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binary" PartName="/xl/metadata"/>
  <Override ContentType="application/binary" PartName="/xl/commentsmeta0"/>
  <Override ContentType="application/binary" PartName="/xl/commentsmeta1"/>
  <Override ContentType="application/binary" PartName="/xl/commentsmeta3"/>
  <Override ContentType="application/binary" PartName="/xl/commentsmeta4"/>
  <Override ContentType="application/binary" PartName="/xl/commentsmeta5"/>
  <Override ContentType="application/binary" PartName="/xl/commentsmeta6"/>
  <Override ContentType="application/binary" PartName="/xl/commentsmeta7"/>
  <Override ContentType="application/binary" PartName="/xl/commentsmeta8"/>
  <Override ContentType="application/binary" PartName="/xl/commentsmeta9"/>
  <Override ContentType="application/binary" PartName="/xl/commentsmeta10"/>
  <Override ContentType="application/binary" PartName="/xl/commentsmeta11"/>
  <Override ContentType="application/binary" PartName="/xl/commentsmeta12"/>
  <Override ContentType="application/binary" PartName="/xl/commentsmeta13"/>
  <Override ContentType="application/binary" PartName="/xl/commentsmeta14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uario\Downloads\KEVIN\"/>
    </mc:Choice>
  </mc:AlternateContent>
  <xr:revisionPtr revIDLastSave="0" documentId="13_ncr:1_{A25A30E2-B00F-467B-A701-DB3771AB81A2}" xr6:coauthVersionLast="47" xr6:coauthVersionMax="47" xr10:uidLastSave="{00000000-0000-0000-0000-000000000000}"/>
  <bookViews>
    <workbookView xWindow="38280" yWindow="-120" windowWidth="38640" windowHeight="21120" firstSheet="1" activeTab="13" xr2:uid="{00000000-000D-0000-FFFF-FFFF00000000}"/>
  </bookViews>
  <sheets>
    <sheet name="01. PUENTE P." sheetId="1" r:id="rId1"/>
    <sheet name="04. CHILCA" sheetId="2" r:id="rId2"/>
    <sheet name="32. BRASIL" sheetId="3" r:id="rId3"/>
    <sheet name="14.VIRU" sheetId="4" r:id="rId4"/>
    <sheet name="43. MAKITA" sheetId="5" r:id="rId5"/>
    <sheet name="44.SAN PABLO" sheetId="6" r:id="rId6"/>
    <sheet name="54. HUANCHACO" sheetId="7" r:id="rId7"/>
    <sheet name="55.ENACE" sheetId="8" r:id="rId8"/>
    <sheet name="56. ACAPULCO" sheetId="9" r:id="rId9"/>
    <sheet name="28. CATACAOS" sheetId="10" r:id="rId10"/>
    <sheet name="50.TULIS" sheetId="11" r:id="rId11"/>
    <sheet name="31. SAN MARCOS" sheetId="12" r:id="rId12"/>
    <sheet name="35. MARIA EUGENIA" sheetId="13" r:id="rId13"/>
    <sheet name="60. VELITA" sheetId="14" r:id="rId14"/>
    <sheet name="49. QUISTOCOCHA" sheetId="15" r:id="rId15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l71xWQVNjyfNQCjDjyG8FI9ZnkJqiiJoeli/g3FKrp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H15" authorId="0" shapeId="0" xr:uid="{00000000-0006-0000-0000-000001000000}">
      <text>
        <r>
          <rPr>
            <rFont val="Calibri"/>
            <sz val="11"/>
          </rPr>
          <t>======_x000A_ID#AAAByg_qjsU_x000A_America Ame    (2026-01-12 22:07:28)_x000A_UREA</t>
        </r>
      </text>
    </comment>
    <comment ref="BH52" authorId="0" shapeId="0" xr:uid="{00000000-0006-0000-0000-000002000000}">
      <text>
        <r>
          <rPr>
            <rFont val="Calibri"/>
            <sz val="11"/>
          </rPr>
          <t>======_x000A_ID#AAAB0fwUa5E_x000A_America Ame    (2026-02-18 16:01:35)_x000A_venta de urea 320</t>
        </r>
      </text>
    </comment>
    <comment ref="BP63" authorId="0" shapeId="0" xr:uid="{00000000-0006-0000-0000-000003000000}">
      <text>
        <r>
          <rPr>
            <rFont val="Calibri"/>
            <sz val="11"/>
          </rPr>
          <t>======_x000A_ID#AAAB1JBWGj8_x000A_America Ame    (2026-02-26 16:21:27)_x000A_diferencias de 120 de venta de UREA</t>
        </r>
      </text>
    </comment>
    <comment ref="BH84" authorId="0" shapeId="0" xr:uid="{00000000-0006-0000-0000-000004000000}">
      <text>
        <r>
          <rPr>
            <rFont val="Calibri"/>
            <sz val="11"/>
          </rPr>
          <t>======_x000A_ID#AAAB1vyboz0_x000A_America Ame    (2026-03-13 19:56:59)_x000A_venta de urea</t>
        </r>
      </text>
    </comment>
    <comment ref="BH86" authorId="0" shapeId="0" xr:uid="{00000000-0006-0000-0000-000005000000}">
      <text>
        <r>
          <rPr>
            <rFont val="Calibri"/>
            <sz val="11"/>
          </rPr>
          <t>======_x000A_ID#AAAB1_x6o0E_x000A_America Ame    (2026-03-17 20:07:34)_x000A_venta de urea</t>
        </r>
      </text>
    </comment>
    <comment ref="BP103" authorId="0" shapeId="0" xr:uid="{00000000-0006-0000-0000-000006000000}">
      <text>
        <r>
          <rPr>
            <rFont val="Calibri"/>
            <sz val="11"/>
          </rPr>
          <t>======_x000A_ID#AAAB26yCzbg_x000A_America Ame    (2026-04-01 19:46:05)_x000A_faltante de rosmeri tavara</t>
        </r>
      </text>
    </comment>
    <comment ref="BH119" authorId="0" shapeId="0" xr:uid="{00000000-0006-0000-0000-000007000000}">
      <text>
        <r>
          <rPr>
            <rFont val="Calibri"/>
            <sz val="11"/>
          </rPr>
          <t>======_x000A_ID#AAAB5aNxSFA_x000A_America Ame    (2026-04-15 20:39:32)_x000A_VENTA DE UREA 61.05</t>
        </r>
      </text>
    </comment>
    <comment ref="AT241" authorId="0" shapeId="0" xr:uid="{00000000-0006-0000-0000-000008000000}">
      <text>
        <r>
          <rPr>
            <rFont val="Calibri"/>
            <sz val="11"/>
          </rPr>
          <t>======_x000A_ID#AAABp6LSClM_x000A_America Ame    (2025-08-21 17:04:54)_x000A_MENOS 27 SOLES</t>
        </r>
      </text>
    </comment>
    <comment ref="BP377" authorId="0" shapeId="0" xr:uid="{00000000-0006-0000-0000-000009000000}">
      <text>
        <r>
          <rPr>
            <rFont val="Calibri"/>
            <sz val="11"/>
          </rPr>
          <t>======_x000A_ID#AAABuedUbDs_x000A_America Ame    (2025-12-05 16:52:01)_x000A_FALTANTE DE 50.03</t>
        </r>
      </text>
    </comment>
    <comment ref="BH401" authorId="0" shapeId="0" xr:uid="{00000000-0006-0000-0000-00000A000000}">
      <text>
        <r>
          <rPr>
            <rFont val="Calibri"/>
            <sz val="11"/>
          </rPr>
          <t>======_x000A_ID#AAABwbNyhzU_x000A_America Ame    (2025-12-30 16:49:48)_x000A_1330 soles faltante por robo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QjtN6/9H5e9xmRhqQRrzwCgX9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5" authorId="0" shapeId="0" xr:uid="{00000000-0006-0000-0100-000001000000}">
      <text>
        <r>
          <rPr>
            <rFont val="Calibri"/>
            <sz val="11"/>
          </rPr>
          <t>======_x000A_ID#AAABUauNvwc_x000A_mnunez    (2024-08-27 15:38:22)_x000A_RESPONSABLE MAVEL CABIA</t>
        </r>
      </text>
    </comment>
    <comment ref="X5" authorId="0" shapeId="0" xr:uid="{00000000-0006-0000-0100-000002000000}">
      <text>
        <r>
          <rPr>
            <rFont val="Calibri"/>
            <sz val="11"/>
          </rPr>
          <t>======_x000A_ID#AAABUauNv8A_x000A_mnunez    (2024-08-27 15:38:22)_x000A_4126.92 TRANSPORTES GROUP_x000A_220.00 FLETES CRISTIAN OSORIO</t>
        </r>
      </text>
    </comment>
    <comment ref="CB8" authorId="0" shapeId="0" xr:uid="{00000000-0006-0000-0100-000003000000}">
      <text>
        <r>
          <rPr>
            <rFont val="Calibri"/>
            <sz val="11"/>
          </rPr>
          <t>======_x000A_ID#AAAByYxh2jE_x000A_America Ame    (2026-01-07 21:13:11)_x000A_FALTANTE DE _x000A_SIESQUEN ROCCA</t>
        </r>
      </text>
    </comment>
    <comment ref="BL21" authorId="0" shapeId="0" xr:uid="{00000000-0006-0000-0100-000004000000}">
      <text>
        <r>
          <rPr>
            <rFont val="Calibri"/>
            <sz val="11"/>
          </rPr>
          <t>======_x000A_ID#AAABy4i4Xec_x000A_America Ame    (2026-01-20 20:30:13)_x000A_venta de gas</t>
        </r>
      </text>
    </comment>
    <comment ref="BL23" authorId="0" shapeId="0" xr:uid="{00000000-0006-0000-0100-000005000000}">
      <text>
        <r>
          <rPr>
            <rFont val="Calibri"/>
            <sz val="11"/>
          </rPr>
          <t>======_x000A_ID#AAABy4i4Xeg_x000A_America Ame    (2026-01-20 20:33:39)_x000A_venta de urea 100_x000A_------_x000A_ID#AAABy4i4Xeo_x000A_America Ame    (2026-01-20 20:34:34)_x000A_lo demás falta de_x000A_Paniura Clariza</t>
        </r>
      </text>
    </comment>
    <comment ref="CB27" authorId="0" shapeId="0" xr:uid="{00000000-0006-0000-0100-000006000000}">
      <text>
        <r>
          <rPr>
            <rFont val="Calibri"/>
            <sz val="11"/>
          </rPr>
          <t>======_x000A_ID#AAABzAFP_p0_x000A_America Ame    (2026-01-23 21:45:52)_x000A_faltante de _x000A_siesquen rocca tatiana : 13.99_x000A_paniura clariza : 8.20</t>
        </r>
      </text>
    </comment>
    <comment ref="BA29" authorId="0" shapeId="0" xr:uid="{00000000-0006-0000-0100-000007000000}">
      <text>
        <r>
          <rPr>
            <rFont val="Calibri"/>
            <sz val="11"/>
          </rPr>
          <t>======_x000A_ID#AAABzWtU9ow_x000A_America Ame    (2026-02-03 22:05:26)_x000A_DEPOSITO 5 SO DE MAS</t>
        </r>
      </text>
    </comment>
    <comment ref="CB31" authorId="0" shapeId="0" xr:uid="{00000000-0006-0000-0100-000008000000}">
      <text>
        <r>
          <rPr>
            <rFont val="Calibri"/>
            <sz val="11"/>
          </rPr>
          <t>======_x000A_ID#AAABzIwmxIo_x000A_America Ame    (2026-01-27 20:54:53)_x000A_faltante de siesquen roca 15</t>
        </r>
      </text>
    </comment>
    <comment ref="BD35" authorId="0" shapeId="0" xr:uid="{00000000-0006-0000-0100-000009000000}">
      <text>
        <r>
          <rPr>
            <rFont val="Calibri"/>
            <sz val="11"/>
          </rPr>
          <t>======_x000A_ID#AAABdk6mhaA_x000A_America Ame    (2025-02-01 16:04:36)_x000A_Dto cta. Gerardo Rojas</t>
        </r>
      </text>
    </comment>
    <comment ref="CB36" authorId="0" shapeId="0" xr:uid="{00000000-0006-0000-0100-00000A000000}">
      <text>
        <r>
          <rPr>
            <rFont val="Calibri"/>
            <sz val="11"/>
          </rPr>
          <t>======_x000A_ID#AAABzUlaoHI_x000A_America Ame    (2026-02-02 21:39:45)_x000A_Faltante de SIESQUEN ROCCA -26.97</t>
        </r>
      </text>
    </comment>
    <comment ref="CB42" authorId="0" shapeId="0" xr:uid="{00000000-0006-0000-0100-00000B000000}">
      <text>
        <r>
          <rPr>
            <rFont val="Calibri"/>
            <sz val="11"/>
          </rPr>
          <t>======_x000A_ID#AAAB0BbPTlQ_x000A_America Ame    (2026-02-09 14:50:22)_x000A_FALTANTE DE JULIA CARMINA PONCE _x000A_S/.50</t>
        </r>
      </text>
    </comment>
    <comment ref="BL49" authorId="0" shapeId="0" xr:uid="{00000000-0006-0000-0100-00000C000000}">
      <text>
        <r>
          <rPr>
            <rFont val="Calibri"/>
            <sz val="11"/>
          </rPr>
          <t>======_x000A_ID#AAAB0ZMIA94_x000A_America Ame    (2026-02-13 21:22:16)_x000A_FALTANTE DE JULIA CARMINA PONCE 10 SO</t>
        </r>
      </text>
    </comment>
    <comment ref="BA53" authorId="0" shapeId="0" xr:uid="{00000000-0006-0000-0100-00000D000000}">
      <text>
        <r>
          <rPr>
            <rFont val="Calibri"/>
            <sz val="11"/>
          </rPr>
          <t>======_x000A_ID#AAAB0eSsMS8_x000A_America Ame    (2026-02-17 19:40:20)_x000A_DEPOSITO 30 DE MAS, DEL MONTO DE DIA  15.</t>
        </r>
      </text>
    </comment>
    <comment ref="CB55" authorId="0" shapeId="0" xr:uid="{00000000-0006-0000-0100-00000E000000}">
      <text>
        <r>
          <rPr>
            <rFont val="Calibri"/>
            <sz val="11"/>
          </rPr>
          <t>======_x000A_ID#AAAB0eSsM_Y_x000A_America Ame    (2026-02-17 19:57:37)_x000A_*FALTANTE DE 90 DE SIESQUEN ROCCA TATIANA_x000A__x000A_*FALTANTE DE PAMIURA CLARIZA 17.95</t>
        </r>
      </text>
    </comment>
    <comment ref="BL61" authorId="0" shapeId="0" xr:uid="{00000000-0006-0000-0100-00000F000000}">
      <text>
        <r>
          <rPr>
            <rFont val="Calibri"/>
            <sz val="11"/>
          </rPr>
          <t>======_x000A_ID#AAAB0tpFzIg_x000A_America Ame    (2026-02-24 17:02:13)_x000A_paniura clariza 33</t>
        </r>
      </text>
    </comment>
    <comment ref="BL64" authorId="0" shapeId="0" xr:uid="{00000000-0006-0000-0100-000010000000}">
      <text>
        <r>
          <rPr>
            <rFont val="Calibri"/>
            <sz val="11"/>
          </rPr>
          <t>======_x000A_ID#AAAB1NkQ91Y_x000A_America Ame    (2026-02-28 16:14:42)_x000A_venta de urea</t>
        </r>
      </text>
    </comment>
    <comment ref="BD66" authorId="0" shapeId="0" xr:uid="{00000000-0006-0000-0100-000011000000}">
      <text>
        <r>
          <rPr>
            <rFont val="Calibri"/>
            <sz val="11"/>
          </rPr>
          <t>======_x000A_ID#AAABd-3Y-rs_x000A_America Ame    (2025-03-03 16:14:39)_x000A_AGROPEC</t>
        </r>
      </text>
    </comment>
    <comment ref="BL66" authorId="0" shapeId="0" xr:uid="{00000000-0006-0000-0100-000012000000}">
      <text>
        <r>
          <rPr>
            <rFont val="Calibri"/>
            <sz val="11"/>
          </rPr>
          <t>======_x000A_ID#AAAB1UzBWJg_x000A_America Ame    (2026-03-03 21:12:49)_x000A_FALTANTE DE RICHARD TITO QUISPE 9.95</t>
        </r>
      </text>
    </comment>
    <comment ref="CB73" authorId="0" shapeId="0" xr:uid="{00000000-0006-0000-0100-000013000000}">
      <text>
        <r>
          <rPr>
            <rFont val="Calibri"/>
            <sz val="11"/>
          </rPr>
          <t>======_x000A_ID#AAAB1Vdt6wA_x000A_America Ame    (2026-03-04 21:34:56)_x000A_FALTANTE DE 10.94 DE PANIURA PANTOJA</t>
        </r>
      </text>
    </comment>
    <comment ref="BL76" authorId="0" shapeId="0" xr:uid="{00000000-0006-0000-0100-000014000000}">
      <text>
        <r>
          <rPr>
            <rFont val="Calibri"/>
            <sz val="11"/>
          </rPr>
          <t>======_x000A_ID#AAAB1hnRkHo_x000A_America Ame    (2026-03-09 20:12:16)_x000A_FALTANTES DE PANIURA CLARIZA  =19.59</t>
        </r>
      </text>
    </comment>
    <comment ref="CB76" authorId="0" shapeId="0" xr:uid="{00000000-0006-0000-0100-000015000000}">
      <text>
        <r>
          <rPr>
            <rFont val="Calibri"/>
            <sz val="11"/>
          </rPr>
          <t>======_x000A_ID#AAABvrj4StE_x000A_America Ame    (2026-03-06 16:47:18)_x000A_FALTANTE DE PANIURA CLARIZA</t>
        </r>
      </text>
    </comment>
    <comment ref="CB78" authorId="0" shapeId="0" xr:uid="{00000000-0006-0000-0100-000016000000}">
      <text>
        <r>
          <rPr>
            <rFont val="Calibri"/>
            <sz val="11"/>
          </rPr>
          <t>======_x000A_ID#AAAB1iMg8-s_x000A_America Ame    (2026-03-10 15:28:38)_x000A_faltante de 153.06_x000A_PERLA DURAND PANTOJA</t>
        </r>
      </text>
    </comment>
    <comment ref="BL84" authorId="0" shapeId="0" xr:uid="{00000000-0006-0000-0100-000017000000}">
      <text>
        <r>
          <rPr>
            <rFont val="Calibri"/>
            <sz val="11"/>
          </rPr>
          <t>======_x000A_ID#AAAB1_I4LKg_x000A_America Ame    (2026-03-17 15:22:04)_x000A_130 ---- tarjetas SOLON</t>
        </r>
      </text>
    </comment>
    <comment ref="CB84" authorId="0" shapeId="0" xr:uid="{00000000-0006-0000-0100-000018000000}">
      <text>
        <r>
          <rPr>
            <rFont val="Calibri"/>
            <sz val="11"/>
          </rPr>
          <t>======_x000A_ID#AAAB19uBZ1Q_x000A_America Ame    (2026-03-16 17:14:58)_x000A_faltante de _x000A_SOLON OLORTEGUI----- 130.02_x000A_PARIUNA CLARIZA -- 38.98_x000A_LO RESTANTE ES DE VENTA DE UREA</t>
        </r>
      </text>
    </comment>
    <comment ref="CB89" authorId="0" shapeId="0" xr:uid="{00000000-0006-0000-0100-000019000000}">
      <text>
        <r>
          <rPr>
            <rFont val="Calibri"/>
            <sz val="11"/>
          </rPr>
          <t>======_x000A_ID#AAAB3mCZCBY_x000A_America Ame    (2026-03-21 17:29:08)_x000A_VENTA DE UREA 94.02</t>
        </r>
      </text>
    </comment>
    <comment ref="CB90" authorId="0" shapeId="0" xr:uid="{00000000-0006-0000-0100-00001A000000}">
      <text>
        <r>
          <rPr>
            <rFont val="Calibri"/>
            <sz val="11"/>
          </rPr>
          <t>======_x000A_ID#AAAB3mCZCBc_x000A_America Ame    (2026-03-21 17:38:51)_x000A_FALTANTE DE PANIURA CLARIZA 34.54</t>
        </r>
      </text>
    </comment>
    <comment ref="BL91" authorId="0" shapeId="0" xr:uid="{00000000-0006-0000-0100-00001B000000}">
      <text>
        <r>
          <rPr>
            <rFont val="Calibri"/>
            <sz val="11"/>
          </rPr>
          <t>======_x000A_ID#AAAB2c4Hi7k_x000A_America Ame    (2026-03-23 22:04:14)_x000A_Faltante de Marco Rivas_x000A_43.10._x000A_Perla faltante 4.</t>
        </r>
      </text>
    </comment>
    <comment ref="BL94" authorId="0" shapeId="0" xr:uid="{00000000-0006-0000-0100-00001C000000}">
      <text>
        <r>
          <rPr>
            <rFont val="Calibri"/>
            <sz val="11"/>
          </rPr>
          <t>======_x000A_ID#AAAB2lXy1oY_x000A_America Ame    (2026-03-27 20:49:29)_x000A_faltante de alexa zarate 30.04</t>
        </r>
      </text>
    </comment>
    <comment ref="BL95" authorId="0" shapeId="0" xr:uid="{00000000-0006-0000-0100-00001D000000}">
      <text>
        <r>
          <rPr>
            <rFont val="Calibri"/>
            <sz val="11"/>
          </rPr>
          <t>======_x000A_ID#AAAB2lXy1oc_x000A_America Ame    (2026-03-27 20:53:06)_x000A_faltante de palacios rodriguez</t>
        </r>
      </text>
    </comment>
    <comment ref="BB96" authorId="0" shapeId="0" xr:uid="{00000000-0006-0000-0100-00001E000000}">
      <text>
        <r>
          <rPr>
            <rFont val="Calibri"/>
            <sz val="11"/>
          </rPr>
          <t>======_x000A_ID#AAAB2lXy1ok_x000A_America Ame    (2026-03-27 21:04:51)_x000A_deposito del faltante de medali lapa  ¡</t>
        </r>
      </text>
    </comment>
    <comment ref="BL96" authorId="0" shapeId="0" xr:uid="{00000000-0006-0000-0100-00001F000000}">
      <text>
        <r>
          <rPr>
            <rFont val="Calibri"/>
            <sz val="11"/>
          </rPr>
          <t>======_x000A_ID#AAAB2lXy1og_x000A_America Ame    (2026-03-27 20:57:28)_x000A_faltante de  _x000A_100 lapa chavez _x000A_perla dura 13</t>
        </r>
      </text>
    </comment>
    <comment ref="BA98" authorId="0" shapeId="0" xr:uid="{00000000-0006-0000-0100-000020000000}">
      <text>
        <r>
          <rPr>
            <rFont val="Calibri"/>
            <sz val="11"/>
          </rPr>
          <t>======_x000A_ID#AAAB3ENnmCc_x000A_America Ame    (2026-04-06 16:17:07)_x000A_DEPOSITO 17530.10 TENIENDO UN SOBRNTE DE  60.9</t>
        </r>
      </text>
    </comment>
    <comment ref="BF98" authorId="0" shapeId="0" xr:uid="{00000000-0006-0000-0100-000021000000}">
      <text>
        <r>
          <rPr>
            <rFont val="Calibri"/>
            <sz val="11"/>
          </rPr>
          <t>======_x000A_ID#AAAB3ENnmCs_x000A_America Ame    (2026-04-06 16:31:24)_x000A_DEPOSITO 1489 _x000A_FALTA 60.90</t>
        </r>
      </text>
    </comment>
    <comment ref="BL106" authorId="0" shapeId="0" xr:uid="{00000000-0006-0000-0100-000022000000}">
      <text>
        <r>
          <rPr>
            <rFont val="Calibri"/>
            <sz val="11"/>
          </rPr>
          <t>======_x000A_ID#AAAB3FuQ0f8_x000A_America Ame    (2026-04-07 22:17:32)_x000A_FALTANTE DE _x000A_CARLOS SOLON 10_x000A_LUIS ROMAN 9.40</t>
        </r>
      </text>
    </comment>
    <comment ref="CB106" authorId="0" shapeId="0" xr:uid="{00000000-0006-0000-0100-000023000000}">
      <text>
        <r>
          <rPr>
            <rFont val="Calibri"/>
            <sz val="11"/>
          </rPr>
          <t>======_x000A_ID#AAAB3FuQ0gE_x000A_America Ame    (2026-04-07 22:19:56)_x000A_FALTANTE DE _x000A_CARLOS SOLON 10_x000A_LUIS ROMAN 9.40</t>
        </r>
      </text>
    </comment>
    <comment ref="CB107" authorId="0" shapeId="0" xr:uid="{00000000-0006-0000-0100-000024000000}">
      <text>
        <r>
          <rPr>
            <rFont val="Calibri"/>
            <sz val="11"/>
          </rPr>
          <t>======_x000A_ID#AAAB3FuQ0gA_x000A_America Ame    (2026-04-07 22:19:15)_x000A_FALTANTE DE ALEXA 11.50</t>
        </r>
      </text>
    </comment>
    <comment ref="BL109" authorId="0" shapeId="0" xr:uid="{00000000-0006-0000-0100-000025000000}">
      <text>
        <r>
          <rPr>
            <rFont val="Calibri"/>
            <sz val="11"/>
          </rPr>
          <t>======_x000A_ID#AAAB3FuQ0gI_x000A_America Ame    (2026-04-07 22:28:16)_x000A_FALTANTE PERLA DURAN  25.47_x000A_ALEXA  ZARATE 14.52</t>
        </r>
      </text>
    </comment>
    <comment ref="BL110" authorId="0" shapeId="0" xr:uid="{00000000-0006-0000-0100-000026000000}">
      <text>
        <r>
          <rPr>
            <rFont val="Calibri"/>
            <sz val="11"/>
          </rPr>
          <t>======_x000A_ID#AAAB3FuQ0gM_x000A_America Ame    (2026-04-07 22:37:34)_x000A_FALTANTE DE _x000A_ALEXA = 44.25_x000A_PERLA DURAN = 11</t>
        </r>
      </text>
    </comment>
    <comment ref="BL111" authorId="0" shapeId="0" xr:uid="{00000000-0006-0000-0100-000027000000}">
      <text>
        <r>
          <rPr>
            <rFont val="Calibri"/>
            <sz val="11"/>
          </rPr>
          <t>======_x000A_ID#AAAB3ImAeXk_x000A_America Ame    (2026-04-10 15:22:47)_x000A_faltante de CARLOS SOLON = 97.76</t>
        </r>
      </text>
    </comment>
    <comment ref="BL114" authorId="0" shapeId="0" xr:uid="{00000000-0006-0000-0100-000028000000}">
      <text>
        <r>
          <rPr>
            <rFont val="Calibri"/>
            <sz val="11"/>
          </rPr>
          <t>======_x000A_ID#AAAB3LkvCp0_x000A_America Ame    (2026-04-11 15:16:28)_x000A_faltante de _x000A_ROMAN PUJADAS LUIS 49.44</t>
        </r>
      </text>
    </comment>
    <comment ref="BL115" authorId="0" shapeId="0" xr:uid="{00000000-0006-0000-0100-000029000000}">
      <text>
        <r>
          <rPr>
            <rFont val="Calibri"/>
            <sz val="11"/>
          </rPr>
          <t>======_x000A_ID#AAAB3Pa-j5k_x000A_America Ame    (2026-04-13 16:09:30)_x000A_VENTA DE UREA</t>
        </r>
      </text>
    </comment>
    <comment ref="BL116" authorId="0" shapeId="0" xr:uid="{00000000-0006-0000-0100-00002A000000}">
      <text>
        <r>
          <rPr>
            <rFont val="Calibri"/>
            <sz val="11"/>
          </rPr>
          <t>======_x000A_ID#AAAB33l5FCQ_x000A_America Ame    (2026-04-14 16:25:14)_x000A_VENTA DE UREA</t>
        </r>
      </text>
    </comment>
    <comment ref="BL117" authorId="0" shapeId="0" xr:uid="{00000000-0006-0000-0100-00002B000000}">
      <text>
        <r>
          <rPr>
            <rFont val="Calibri"/>
            <sz val="11"/>
          </rPr>
          <t>======_x000A_ID#AAAB33l5FCU_x000A_America Ame    (2026-04-14 16:35:26)_x000A_Faltante de 165.10  _x000A_ALEXA ZARATE MAYA</t>
        </r>
      </text>
    </comment>
    <comment ref="BL118" authorId="0" shapeId="0" xr:uid="{00000000-0006-0000-0100-00002C000000}">
      <text>
        <r>
          <rPr>
            <rFont val="Calibri"/>
            <sz val="11"/>
          </rPr>
          <t>======_x000A_ID#AAAB33l5FCk_x000A_America Ame    (2026-04-14 17:40:03)_x000A_FALTANTE DE _x000A_MARCO RIVAS YALLE : 28.74_x000A_CUBAS SANDIVAL : 29.57</t>
        </r>
      </text>
    </comment>
    <comment ref="BL119" authorId="0" shapeId="0" xr:uid="{00000000-0006-0000-0100-00002D000000}">
      <text>
        <r>
          <rPr>
            <rFont val="Calibri"/>
            <sz val="11"/>
          </rPr>
          <t>======_x000A_ID#AAAB5aNxSE4_x000A_America Ame    (2026-04-15 20:09:12)_x000A_FALTANTE DE PERLA DURAN 269.96_x000A__x000A_PALACIOS RODRIGUEZ 123.51</t>
        </r>
      </text>
    </comment>
    <comment ref="BL120" authorId="0" shapeId="0" xr:uid="{00000000-0006-0000-0100-00002E000000}">
      <text>
        <r>
          <rPr>
            <rFont val="Calibri"/>
            <sz val="11"/>
          </rPr>
          <t>======_x000A_ID#AAAB3WwfmuA_x000A_America Ame    (2026-04-16 20:32:50)_x000A_urea de 45</t>
        </r>
      </text>
    </comment>
    <comment ref="BL121" authorId="0" shapeId="0" xr:uid="{00000000-0006-0000-0100-00002F000000}">
      <text>
        <r>
          <rPr>
            <rFont val="Calibri"/>
            <sz val="11"/>
          </rPr>
          <t>======_x000A_ID#AAAB3sDZDAs_x000A_America Ame    (2026-04-17 16:04:41)_x000A_FALTANTE DE PALACIOS RODRIGUEZ 59.96</t>
        </r>
      </text>
    </comment>
    <comment ref="BL122" authorId="0" shapeId="0" xr:uid="{00000000-0006-0000-0100-000030000000}">
      <text>
        <r>
          <rPr>
            <rFont val="Calibri"/>
            <sz val="11"/>
          </rPr>
          <t>======_x000A_ID#AAAB3xgDyww_x000A_America Ame    (2026-04-21 15:48:29)_x000A_venta de urea</t>
        </r>
      </text>
    </comment>
    <comment ref="BL124" authorId="0" shapeId="0" xr:uid="{00000000-0006-0000-0100-000031000000}">
      <text>
        <r>
          <rPr>
            <rFont val="Calibri"/>
            <sz val="11"/>
          </rPr>
          <t>======_x000A_ID#AAAB3xgDyw4_x000A_America Ame    (2026-04-21 15:52:11)_x000A_FALTANTE _x000A_PALACIOS RODRIGUEZ . 100</t>
        </r>
      </text>
    </comment>
    <comment ref="BA125" authorId="0" shapeId="0" xr:uid="{00000000-0006-0000-0100-000032000000}">
      <text>
        <r>
          <rPr>
            <rFont val="Calibri"/>
            <sz val="11"/>
          </rPr>
          <t>======_x000A_ID#AAAB5pU0BPA_x000A_America Ame    (2026-05-04 21:37:35)_x000A_DEPOSITO 6.10 DE MAS</t>
        </r>
      </text>
    </comment>
    <comment ref="BL125" authorId="0" shapeId="0" xr:uid="{00000000-0006-0000-0100-000033000000}">
      <text>
        <r>
          <rPr>
            <rFont val="Calibri"/>
            <sz val="11"/>
          </rPr>
          <t>======_x000A_ID#AAAB38a1FyU_x000A_America Ame    (2026-04-22 22:38:40)_x000A_FALTANTE DE CARLOS SOLON 100 SO</t>
        </r>
      </text>
    </comment>
    <comment ref="BL126" authorId="0" shapeId="0" xr:uid="{00000000-0006-0000-0100-000034000000}">
      <text>
        <r>
          <rPr>
            <rFont val="Calibri"/>
            <sz val="11"/>
          </rPr>
          <t>======_x000A_ID#AAAB38a1FyY_x000A_America Ame    (2026-04-22 22:41:03)_x000A_FALTANTE DE PALACIOS RODRIGUEZ EDUARDO : 10 SO</t>
        </r>
      </text>
    </comment>
    <comment ref="CB128" authorId="0" shapeId="0" xr:uid="{00000000-0006-0000-0100-000035000000}">
      <text>
        <r>
          <rPr>
            <rFont val="Calibri"/>
            <sz val="11"/>
          </rPr>
          <t>======_x000A_ID#AAAB5AKF5DM_x000A_America Ame    (2026-04-27 16:18:22)_x000A_venta de urea</t>
        </r>
      </text>
    </comment>
    <comment ref="BL134" authorId="0" shapeId="0" xr:uid="{00000000-0006-0000-0100-000036000000}">
      <text>
        <r>
          <rPr>
            <rFont val="Calibri"/>
            <sz val="11"/>
          </rPr>
          <t>======_x000A_ID#AAAB5ouDKK4_x000A_America Ame    (2026-05-04 17:51:35)_x000A_urea</t>
        </r>
      </text>
    </comment>
    <comment ref="BL142" authorId="0" shapeId="0" xr:uid="{00000000-0006-0000-0100-000037000000}">
      <text>
        <r>
          <rPr>
            <rFont val="Calibri"/>
            <sz val="11"/>
          </rPr>
          <t>======_x000A_ID#AAAB50qd_QQ_x000A_America Ame    (2026-05-05 21:32:55)_x000A_FALTANTE_x000A_MARCO RIVAS : 9.99_x000A_PERLA DURAN : 35.05</t>
        </r>
      </text>
    </comment>
    <comment ref="BL143" authorId="0" shapeId="0" xr:uid="{00000000-0006-0000-0100-000038000000}">
      <text>
        <r>
          <rPr>
            <rFont val="Calibri"/>
            <sz val="11"/>
          </rPr>
          <t>======_x000A_ID#AAAB565dDQY_x000A_America Ame    (2026-05-07 21:34:49)_x000A_FALTANTE DE  PALACIOS RODRIGUEZ : 10.32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gcqUshRZCvVC7AcEFMihKzoNl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P41" authorId="0" shapeId="0" xr:uid="{00000000-0006-0000-0300-000001000000}">
      <text>
        <r>
          <rPr>
            <rFont val="Calibri"/>
            <sz val="11"/>
          </rPr>
          <t>======_x000A_ID#AAABc-egpUE_x000A_America Ame    (2025-02-11 17:13:14)_x000A_redondeo de cuadre</t>
        </r>
      </text>
    </comment>
    <comment ref="BE80" authorId="0" shapeId="0" xr:uid="{00000000-0006-0000-0300-000002000000}">
      <text>
        <r>
          <rPr>
            <rFont val="Calibri"/>
            <sz val="11"/>
          </rPr>
          <t>======_x000A_ID#AAAB1hnLIzU_x000A_America Ame    (2026-03-09 19:28:23)_x000A_D_x000A_iferencias por cambio de precios</t>
        </r>
      </text>
    </comment>
    <comment ref="AV101" authorId="0" shapeId="0" xr:uid="{00000000-0006-0000-0300-000003000000}">
      <text>
        <r>
          <rPr>
            <rFont val="Calibri"/>
            <sz val="11"/>
          </rPr>
          <t>======_x000A_ID#AAABUauNvIg_x000A_mnunez    (2024-08-27 15:38:22)_x000A_DEPOSITADO CTA  VIRU DIA 27-03-24  MCP HUANCAQUITO BAJO,</t>
        </r>
      </text>
    </comment>
    <comment ref="Z104" authorId="0" shapeId="0" xr:uid="{00000000-0006-0000-0300-000004000000}">
      <text>
        <r>
          <rPr>
            <rFont val="Calibri"/>
            <sz val="11"/>
          </rPr>
          <t>======_x000A_ID#AAAB26OvnLg_x000A_America Ame    (2026-04-01 16:14:29)_x000A_PAGO EN CHEQUE</t>
        </r>
      </text>
    </comment>
    <comment ref="AU109" authorId="0" shapeId="0" xr:uid="{00000000-0006-0000-0300-000005000000}">
      <text>
        <r>
          <rPr>
            <rFont val="Calibri"/>
            <sz val="11"/>
          </rPr>
          <t>======_x000A_ID#AAABUauNv6g_x000A_mnunez    (2024-08-27 15:38:22)_x000A_DEPOSITADO EN LA CTA DE VIRU DIA 03-04-24 POR LA MUNICIPALIDAD CP CARMELO</t>
        </r>
      </text>
    </comment>
    <comment ref="AU123" authorId="0" shapeId="0" xr:uid="{00000000-0006-0000-0300-000006000000}">
      <text>
        <r>
          <rPr>
            <rFont val="Calibri"/>
            <sz val="11"/>
          </rPr>
          <t>======_x000A_ID#AAABUauNv0Y_x000A_mnunez    (2024-08-27 15:38:22)_x000A_PAGO CLIENTE DIA 12-04-24 CON TARJETA NIUVIZ NªTARJETA 4130</t>
        </r>
      </text>
    </comment>
    <comment ref="AU129" authorId="0" shapeId="0" xr:uid="{00000000-0006-0000-0300-000007000000}">
      <text>
        <r>
          <rPr>
            <rFont val="Calibri"/>
            <sz val="11"/>
          </rPr>
          <t>======_x000A_ID#AAABUauNvhI_x000A_mnunez    (2024-08-27 15:38:22)_x000A_DEPOSITO POR CLIENTE EN LA CT VIRU DIA 23-04-24  FARMEX S.A.</t>
        </r>
      </text>
    </comment>
    <comment ref="AU130" authorId="0" shapeId="0" xr:uid="{00000000-0006-0000-0300-000008000000}">
      <text>
        <r>
          <rPr>
            <rFont val="Calibri"/>
            <sz val="11"/>
          </rPr>
          <t>======_x000A_ID#AAABUauNvjc_x000A_mnunez    (2024-08-27 15:38:22)_x000A_DEPOSITO A LA CT DE VIRU DIA 24-04-24 CLIENTE MUNICIPALIDA C.P HUANCAQUITO</t>
        </r>
      </text>
    </comment>
    <comment ref="AU145" authorId="0" shapeId="0" xr:uid="{00000000-0006-0000-0300-000009000000}">
      <text>
        <r>
          <rPr>
            <rFont val="Calibri"/>
            <sz val="11"/>
          </rPr>
          <t>======_x000A_ID#AAABUauNv4U_x000A_mnunez    (2024-08-27 15:38:22)_x000A_DEPOSITO A LA CT MUNICIPALIDAD C.P EL CARMELO DIA 06-05-24</t>
        </r>
      </text>
    </comment>
    <comment ref="AU161" authorId="0" shapeId="0" xr:uid="{00000000-0006-0000-0300-00000A000000}">
      <text>
        <r>
          <rPr>
            <rFont val="Calibri"/>
            <sz val="11"/>
          </rPr>
          <t>======_x000A_ID#AAABUauNvMU_x000A_mnunez    (2024-08-27 15:38:22)_x000A_DEPOCITO A LA CUENTA DIA 21-05-24 MUNICIPALIDAD HUANCAQUITO</t>
        </r>
      </text>
    </comment>
    <comment ref="AV184" authorId="0" shapeId="0" xr:uid="{00000000-0006-0000-0300-00000B000000}">
      <text>
        <r>
          <rPr>
            <rFont val="Calibri"/>
            <sz val="11"/>
          </rPr>
          <t>======_x000A_ID#AAABUauNvqQ_x000A_mnunez    (2024-08-27 15:38:22)_x000A_DEPOSITO A LA CT DIA 11-06-2024 CLIENTE MUNICIPALIDAD C.P EL CARMELO</t>
        </r>
      </text>
    </comment>
    <comment ref="AV191" authorId="0" shapeId="0" xr:uid="{00000000-0006-0000-0300-00000C000000}">
      <text>
        <r>
          <rPr>
            <rFont val="Calibri"/>
            <sz val="11"/>
          </rPr>
          <t>======_x000A_ID#AAABUauNvKU_x000A_mnunez    (2024-08-27 15:38:22)_x000A_Deposito tarjeta dia  14-06-24 adjunto reporte detalle Niuviz.</t>
        </r>
      </text>
    </comment>
    <comment ref="AV209" authorId="0" shapeId="0" xr:uid="{00000000-0006-0000-0300-00000D000000}">
      <text>
        <r>
          <rPr>
            <rFont val="Calibri"/>
            <sz val="11"/>
          </rPr>
          <t>======_x000A_ID#AAABUauNvho_x000A_mnunez    (2024-08-27 15:38:22)_x000A_VENTA VALIDA POR NIUBIZ DEL DIA 02/07/2024 CODIGO DE AUTORIZACION 985980</t>
        </r>
      </text>
    </comment>
    <comment ref="AV256" authorId="0" shapeId="0" xr:uid="{00000000-0006-0000-0300-00000E000000}">
      <text>
        <r>
          <rPr>
            <rFont val="Calibri"/>
            <sz val="11"/>
          </rPr>
          <t>======_x000A_ID#AAABUauNvjg_x000A_JORGE    (2024-08-27 15:38:22)_x000A_TARJETA CAIDA SISTEMA DE NIUVIZ DE DIA 14-08-24  RECLAMO DE LO CUAL ASUMIO LA VENDEDORA Y NIUVIZ DIO RESPUESTA QUE INGRESO CTA EMPRESA</t>
        </r>
      </text>
    </comment>
    <comment ref="AV284" authorId="0" shapeId="0" xr:uid="{00000000-0006-0000-0300-00000F000000}">
      <text>
        <r>
          <rPr>
            <rFont val="Calibri"/>
            <sz val="11"/>
          </rPr>
          <t>======_x000A_ID#AAABV0jfURc_x000A_America Ame    (2024-09-11 21:32:17)_x000A_DEPOSITO REALIZADO POR MUNICIPALIDAD EL CARMELO 10-09-24</t>
        </r>
      </text>
    </comment>
    <comment ref="AV297" authorId="0" shapeId="0" xr:uid="{00000000-0006-0000-0300-000010000000}">
      <text>
        <r>
          <rPr>
            <rFont val="Calibri"/>
            <sz val="11"/>
          </rPr>
          <t>======_x000A_ID#AAABToD7Urk_x000A_America Ame    (2024-09-24 22:09:22)_x000A_INTERB CLIENTE LOGISTICA E INVERSIONES CERVEL SAC NRO OPERACIÓN 3983556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ZMbIbNE6dy6CVU7JMMi2/NfOg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D33" authorId="0" shapeId="0" xr:uid="{00000000-0006-0000-0400-000001000000}">
      <text>
        <r>
          <rPr>
            <rFont val="Calibri"/>
            <sz val="11"/>
          </rPr>
          <t>======_x000A_ID#AAABzGv7ILc_x000A_America Ame    (2026-01-28 20:48:03)_x000A_FALTANTE 60 SOLES _x000A_QUE YA ENVIO SU CORREO</t>
        </r>
      </text>
    </comment>
    <comment ref="BD88" authorId="0" shapeId="0" xr:uid="{00000000-0006-0000-0400-000002000000}">
      <text>
        <r>
          <rPr>
            <rFont val="Calibri"/>
            <sz val="11"/>
          </rPr>
          <t>======_x000A_ID#AAAB2MDnJyQ_x000A_America Ame    (2026-03-18 22:10:27)_x000A_venta de vustony</t>
        </r>
      </text>
    </comment>
    <comment ref="BS121" authorId="0" shapeId="0" xr:uid="{00000000-0006-0000-0400-000003000000}">
      <text>
        <r>
          <rPr>
            <rFont val="Calibri"/>
            <sz val="11"/>
          </rPr>
          <t>======_x000A_ID#AAABUauNvkQ_x000A_mnunez    (2024-08-27 15:38:22)_x000A_mnunez:SERAPHIN  - D2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286FdKgqmoEq8FWzE/MkM+LWCr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S78" authorId="0" shapeId="0" xr:uid="{00000000-0006-0000-0500-000001000000}">
      <text>
        <r>
          <rPr>
            <rFont val="Calibri"/>
            <sz val="11"/>
          </rPr>
          <t>======_x000A_ID#AAAB1iDIrMA_x000A_America Ame    (2026-03-09 22:50:34)_x000A_empresa ataltic</t>
        </r>
      </text>
    </comment>
    <comment ref="BA92" authorId="0" shapeId="0" xr:uid="{00000000-0006-0000-0500-000002000000}">
      <text>
        <r>
          <rPr>
            <rFont val="Calibri"/>
            <sz val="11"/>
          </rPr>
          <t>======_x000A_ID#AAAB2h6beUw_x000A_America Ame    (2026-03-25 22:49:37)_x000A_FALTANTE DE 99.61,  YA S EMANDO A DESCONTAR ¡</t>
        </r>
      </text>
    </comment>
    <comment ref="AT100" authorId="0" shapeId="0" xr:uid="{00000000-0006-0000-0500-000003000000}">
      <text>
        <r>
          <rPr>
            <rFont val="Calibri"/>
            <sz val="11"/>
          </rPr>
          <t>======_x000A_ID#AAAB26yCzbk_x000A_America Ame    (2026-04-01 20:00:32)_x000A_Deposito S/.7134.30+ Retencion S/.209.26= S/.7343.60</t>
        </r>
      </text>
    </comment>
    <comment ref="BA131" authorId="0" shapeId="0" xr:uid="{00000000-0006-0000-0500-000004000000}">
      <text>
        <r>
          <rPr>
            <rFont val="Calibri"/>
            <sz val="11"/>
          </rPr>
          <t>======_x000A_ID#AAAB5AKF5DQ_x000A_America Ame    (2026-04-27 16:58:45)_x000A_faltante de 50 por billete falso</t>
        </r>
      </text>
    </comment>
    <comment ref="BQ131" authorId="0" shapeId="0" xr:uid="{00000000-0006-0000-0500-000005000000}">
      <text>
        <r>
          <rPr>
            <rFont val="Calibri"/>
            <sz val="11"/>
          </rPr>
          <t>======_x000A_ID#AAAB5ol_z6A_x000A_America Ame    (2026-05-04 15:52:16)_x000A_faltantee por billete falso</t>
        </r>
      </text>
    </comment>
    <comment ref="BQ297" authorId="0" shapeId="0" xr:uid="{00000000-0006-0000-0500-000006000000}">
      <text>
        <r>
          <rPr>
            <rFont val="Calibri"/>
            <sz val="11"/>
          </rPr>
          <t>======_x000A_ID#AAABr3ZYpzw_x000A_America Ame    (2025-09-24 16:44:39)_x000A_faltante de personal RAMIREZ LEON</t>
        </r>
      </text>
    </comment>
    <comment ref="BQ395" authorId="0" shapeId="0" xr:uid="{00000000-0006-0000-0500-000007000000}">
      <text>
        <r>
          <rPr>
            <rFont val="Calibri"/>
            <sz val="11"/>
          </rPr>
          <t>======_x000A_ID#AAAByEPUTgk_x000A_America Ame    (2025-12-23 19:16:09)_x000A_faltante, ya se envio a descontar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nOX928A4VNoh1AjodBOGIY11B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6" authorId="0" shapeId="0" xr:uid="{00000000-0006-0000-0600-000001000000}">
      <text>
        <r>
          <rPr>
            <rFont val="Calibri"/>
            <sz val="11"/>
          </rPr>
          <t>======_x000A_ID#AAABUauNvJw_x000A_mnunez    (2024-08-27 15:38:22)_x000A_CIA.CONST.COMERC.Y SERV.LEKERSA</t>
        </r>
      </text>
    </comment>
    <comment ref="AU21" authorId="0" shapeId="0" xr:uid="{00000000-0006-0000-0600-000002000000}">
      <text>
        <r>
          <rPr>
            <rFont val="Calibri"/>
            <sz val="11"/>
          </rPr>
          <t>======_x000A_ID#AAAByrowRtw_x000A_America Ame    (2026-01-17 16:50:22)_x000A_transferencia fraudulenta 5290.39</t>
        </r>
      </text>
    </comment>
    <comment ref="BU21" authorId="0" shapeId="0" xr:uid="{00000000-0006-0000-0600-000003000000}">
      <text>
        <r>
          <rPr>
            <rFont val="Calibri"/>
            <sz val="11"/>
          </rPr>
          <t>======_x000A_ID#AAAByrowRt0_x000A_America Ame    (2026-01-17 16:50:51)_x000A_transferencia que no ingreso a la cuenta del banco</t>
        </r>
      </text>
    </comment>
    <comment ref="AY62" authorId="0" shapeId="0" xr:uid="{00000000-0006-0000-0600-000004000000}">
      <text>
        <r>
          <rPr>
            <rFont val="Calibri"/>
            <sz val="11"/>
          </rPr>
          <t>======_x000A_ID#AAAB1UzBWJk_x000A_America Ame    (2026-03-03 21:34:07)_x000A_deposito 2 soles de mas</t>
        </r>
      </text>
    </comment>
    <comment ref="B135" authorId="0" shapeId="0" xr:uid="{00000000-0006-0000-0600-000005000000}">
      <text>
        <r>
          <rPr>
            <rFont val="Calibri"/>
            <sz val="11"/>
          </rPr>
          <t>======_x000A_ID#AAAB5z52bSk_x000A_America Ame    (2026-05-05 15:14:31)_x000A_CAMBIO DE RAZON SOCIAL. _x000A_DE PASO A PETRONEX ENB SIGES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NK4URdf14UNu8HjDtfMQuvJpTA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5" authorId="0" shapeId="0" xr:uid="{00000000-0006-0000-0700-000001000000}">
      <text>
        <r>
          <rPr>
            <rFont val="Calibri"/>
            <sz val="11"/>
          </rPr>
          <t>======_x000A_ID#AAABUauNvng_x000A_mnunez    (2024-08-27 15:38:22)_x000A_ELIZABETH CHAVES</t>
        </r>
      </text>
    </comment>
    <comment ref="BA26" authorId="0" shapeId="0" xr:uid="{00000000-0006-0000-0700-000002000000}">
      <text>
        <r>
          <rPr>
            <rFont val="Calibri"/>
            <sz val="11"/>
          </rPr>
          <t>======_x000A_ID#AAABzutgdlQ_x000A_America Ame    (2026-02-04 22:24:31)_x000A_deposito 1548.50</t>
        </r>
      </text>
    </comment>
    <comment ref="BA67" authorId="0" shapeId="0" xr:uid="{00000000-0006-0000-0700-000003000000}">
      <text>
        <r>
          <rPr>
            <rFont val="Calibri"/>
            <sz val="11"/>
          </rPr>
          <t>======_x000A_ID#AAAB2Kf0qOE_x000A_America Ame    (2026-03-18 15:24:33)_x000A_DEPOSITO 752.40, _x000A_EL FALTANTE DE 563.1 LO DEPOSITO EL DIA 1/03 DENTRO DEL MONTO DE 752.40.</t>
        </r>
      </text>
    </comment>
    <comment ref="BA73" authorId="0" shapeId="0" xr:uid="{00000000-0006-0000-0700-000004000000}">
      <text>
        <r>
          <rPr>
            <rFont val="Calibri"/>
            <sz val="11"/>
          </rPr>
          <t>======_x000A_ID#AAAB2Kf0qOI_x000A_America Ame    (2026-03-18 15:27:39)_x000A_DEPOSITO 1816 _x000A_POR EL SOBRANT DEL DIA  28/02</t>
        </r>
      </text>
    </comment>
    <comment ref="BG91" authorId="0" shapeId="0" xr:uid="{00000000-0006-0000-0700-000005000000}">
      <text>
        <r>
          <rPr>
            <rFont val="Calibri"/>
            <sz val="11"/>
          </rPr>
          <t>======_x000A_ID#AAAB2cs1ScA_x000A_America Ame    (2026-03-23 21:33:28)_x000A_Consumo de hibrocarburos  que se tiene que facturar a fin de mes y luego anular.... blabla</t>
        </r>
      </text>
    </comment>
    <comment ref="BW91" authorId="0" shapeId="0" xr:uid="{00000000-0006-0000-0700-000006000000}">
      <text>
        <r>
          <rPr>
            <rFont val="Calibri"/>
            <sz val="11"/>
          </rPr>
          <t>======_x000A_ID#AAAB2kW0QSA_x000A_America Ame    (2026-03-26 16:44:57)_x000A_Consumo de hibrocarburos que se tiene que facturar a fin de mes y luego anular.... blabla</t>
        </r>
      </text>
    </comment>
    <comment ref="BW94" authorId="0" shapeId="0" xr:uid="{00000000-0006-0000-0700-000007000000}">
      <text>
        <r>
          <rPr>
            <rFont val="Calibri"/>
            <sz val="11"/>
          </rPr>
          <t>======_x000A_ID#AAAB2kW0QR8_x000A_America Ame    (2026-03-26 16:44:33)_x000A_consumo de HIDROCARBUROS DEL MUNDO</t>
        </r>
      </text>
    </comment>
    <comment ref="AV106" authorId="0" shapeId="0" xr:uid="{00000000-0006-0000-0700-000008000000}">
      <text>
        <r>
          <rPr>
            <rFont val="Calibri"/>
            <sz val="11"/>
          </rPr>
          <t>======_x000A_ID#AAAB5aNxSFI_x000A_America Ame    (2026-04-15 21:55:51)_x000A_TRANFERENCIAS POR OPERADOR LOGISTICO MEMPER - BCP</t>
        </r>
      </text>
    </comment>
    <comment ref="BA114" authorId="0" shapeId="0" xr:uid="{00000000-0006-0000-0700-000009000000}">
      <text>
        <r>
          <rPr>
            <rFont val="Calibri"/>
            <sz val="11"/>
          </rPr>
          <t>======_x000A_ID#AAAB5xinUWw_x000A_America Ame    (2026-04-23 17:54:59)_x000A_DEPOSITO : 682.20</t>
        </r>
      </text>
    </comment>
    <comment ref="BE120" authorId="0" shapeId="0" xr:uid="{00000000-0006-0000-0700-00000A000000}">
      <text>
        <r>
          <rPr>
            <rFont val="Calibri"/>
            <sz val="11"/>
          </rPr>
          <t>======_x000A_ID#AAAB385D2t0_x000A_America Ame    (2026-04-21 19:44:35)_x000A_venta a un cliente con trasferencias bcp</t>
        </r>
      </text>
    </comment>
    <comment ref="AU124" authorId="0" shapeId="0" xr:uid="{00000000-0006-0000-0700-00000B000000}">
      <text>
        <r>
          <rPr>
            <rFont val="Calibri"/>
            <sz val="11"/>
          </rPr>
          <t>======_x000A_ID#AAAB48AyDTU_x000A_America Ame    (2026-04-24 16:19:18)_x000A_complemento de 554 depositado en día 22/04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osCJvjguq33n5q5svDrfW7XqBg=="/>
    </ext>
  </extL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4" authorId="0" shapeId="0" xr:uid="{00000000-0006-0000-0800-000001000000}">
      <text>
        <r>
          <rPr>
            <rFont val="Calibri"/>
            <sz val="11"/>
          </rPr>
          <t>======_x000A_ID#AAABUauNvJo_x000A_ALEX AQUINO    (2024-08-27 15:38:22)_x000A_CONTREGO TRADING COMAPNY S.R.L.</t>
        </r>
      </text>
    </comment>
    <comment ref="BF77" authorId="0" shapeId="0" xr:uid="{00000000-0006-0000-0800-000002000000}">
      <text>
        <r>
          <rPr>
            <rFont val="Calibri"/>
            <sz val="11"/>
          </rPr>
          <t>======_x000A_ID#AAAB1lzn3AU_x000A_America Ame    (2026-03-10 22:25:59)_x000A_FALTANTE DE DAVID ZAVALA</t>
        </r>
      </text>
    </comment>
    <comment ref="BV249" authorId="0" shapeId="0" xr:uid="{00000000-0006-0000-0800-000003000000}">
      <text>
        <r>
          <rPr>
            <rFont val="Calibri"/>
            <sz val="11"/>
          </rPr>
          <t>======_x000A_ID#AAABpgnScNY_x000A_America Ame    (2025-08-12 21:56:26)_x000A_100 soles falso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Ajuycj4zMnaDaLrvIB7ORIs/yg=="/>
    </ext>
  </extL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W7" authorId="0" shapeId="0" xr:uid="{00000000-0006-0000-0900-000001000000}">
      <text>
        <r>
          <rPr>
            <rFont val="Calibri"/>
            <sz val="11"/>
          </rPr>
          <t>======_x000A_ID#AAAByXmbYYI_x000A_America Ame    (2026-01-08 16:48:28)_x000A_deposito del faltante de 30 so</t>
        </r>
      </text>
    </comment>
    <comment ref="BX14" authorId="0" shapeId="0" xr:uid="{00000000-0006-0000-0900-000002000000}">
      <text>
        <r>
          <rPr>
            <rFont val="Calibri"/>
            <sz val="11"/>
          </rPr>
          <t>======_x000A_ID#AAAByg_qjp8_x000A_America Ame    (2026-01-12 21:43:37)_x000A_FALTANTE DE 300 _x000A_MENDOZA CHAVARRI</t>
        </r>
      </text>
    </comment>
    <comment ref="BW22" authorId="0" shapeId="0" xr:uid="{00000000-0006-0000-0900-000003000000}">
      <text>
        <r>
          <rPr>
            <rFont val="Calibri"/>
            <sz val="11"/>
          </rPr>
          <t>======_x000A_ID#AAAB2kna2Oc_x000A_America Ame    (2026-03-26 22:04:06)_x000A_REGULARIZADO EL DIA  19/03/26</t>
        </r>
      </text>
    </comment>
    <comment ref="BX22" authorId="0" shapeId="0" xr:uid="{00000000-0006-0000-0900-000004000000}">
      <text>
        <r>
          <rPr>
            <rFont val="Calibri"/>
            <sz val="11"/>
          </rPr>
          <t>======_x000A_ID#AAABy4pUnZA_x000A_America Ame    (2026-01-20 21:34:25)_x000A_FALTANTE POR PRESTAMO PARA EL PAGO DEL VIGILANTE</t>
        </r>
      </text>
    </comment>
    <comment ref="BX58" authorId="0" shapeId="0" xr:uid="{00000000-0006-0000-0900-000005000000}">
      <text>
        <r>
          <rPr>
            <rFont val="Calibri"/>
            <sz val="11"/>
          </rPr>
          <t>======_x000A_ID#AAAB0u_LWOc_x000A_America Ame    (2026-02-24 22:24:10)_x000A_prestamo para el pago del vigilante</t>
        </r>
      </text>
    </comment>
    <comment ref="BH64" authorId="0" shapeId="0" xr:uid="{00000000-0006-0000-0900-000006000000}">
      <text>
        <r>
          <rPr>
            <rFont val="Calibri"/>
            <sz val="11"/>
          </rPr>
          <t>======_x000A_ID#AAABvjr-R0I_x000A_America Ame    (2026-02-26 22:21:54)_x000A_PRESTAMO DE COMBUSTIBLE A ACAPULCO ""</t>
        </r>
      </text>
    </comment>
    <comment ref="BX64" authorId="0" shapeId="0" xr:uid="{00000000-0006-0000-0900-000007000000}">
      <text>
        <r>
          <rPr>
            <rFont val="Calibri"/>
            <sz val="11"/>
          </rPr>
          <t>======_x000A_ID#AAAB1NkQ91g_x000A_America Ame    (2026-02-28 17:01:38)_x000A_PRESTAMO DE COMBUSTIBLE ACAPULCO, COORDINANDO DECOLUCION_x000A_------_x000A_ID#AAAB2kna2OY_x000A_America Ame    (2026-03-26 22:02:15)_x000A_DEVOLVIO EL MONTO TOTAL EL DIA  16/03</t>
        </r>
      </text>
    </comment>
    <comment ref="BX88" authorId="0" shapeId="0" xr:uid="{00000000-0006-0000-0900-000008000000}">
      <text>
        <r>
          <rPr>
            <rFont val="Calibri"/>
            <sz val="11"/>
          </rPr>
          <t>======_x000A_ID#AAAB2LYXHt0_x000A_America Ame    (2026-03-18 19:57:06)_x000A_Préstamo de 1400 _x000A_para el pago del vigilante ¡</t>
        </r>
      </text>
    </comment>
    <comment ref="BX122" authorId="0" shapeId="0" xr:uid="{00000000-0006-0000-0900-000009000000}">
      <text>
        <r>
          <rPr>
            <rFont val="Calibri"/>
            <sz val="11"/>
          </rPr>
          <t>======_x000A_ID#AAAB385D2vs_x000A_America Ame    (2026-04-21 22:12:48)_x000A_PRESTAMNO PARA EL VIGILANTE</t>
        </r>
      </text>
    </comment>
    <comment ref="BX242" authorId="0" shapeId="0" xr:uid="{00000000-0006-0000-0900-00000A000000}">
      <text>
        <r>
          <rPr>
            <rFont val="Calibri"/>
            <sz val="11"/>
          </rPr>
          <t>======_x000A_ID#AAABqEymc5g_x000A_America Ame    (2025-08-27 15:22:25)_x000A_FALTANTES DEL TEMA DE  YAPE</t>
        </r>
      </text>
    </comment>
    <comment ref="BX368" authorId="0" shapeId="0" xr:uid="{00000000-0006-0000-0900-00000B000000}">
      <text>
        <r>
          <rPr>
            <rFont val="Calibri"/>
            <sz val="11"/>
          </rPr>
          <t>======_x000A_ID#AAABw1Cfngk_x000A_America Ame    (2025-11-28 20:03:54)_x000A_FALTANTE : SEGURA SANDOVAL ANGEL ( S/. 50.30 )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ALcvI0wwOFrM3c7IoiJoV0zrHew=="/>
    </ext>
  </extL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T37" authorId="0" shapeId="0" xr:uid="{00000000-0006-0000-0A00-000001000000}">
      <text>
        <r>
          <rPr>
            <rFont val="Calibri"/>
            <sz val="11"/>
          </rPr>
          <t>======_x000A_ID#AAABz05MNOw_x000A_America Ame    (2026-02-07 17:08:23)_x000A_gastos de flete</t>
        </r>
      </text>
    </comment>
    <comment ref="BT229" authorId="0" shapeId="0" xr:uid="{00000000-0006-0000-0A00-000002000000}">
      <text>
        <r>
          <rPr>
            <rFont val="Calibri"/>
            <sz val="11"/>
          </rPr>
          <t>======_x000A_ID#AAABnxZCKVg_x000A_America Ame    (2025-07-24 21:49:22)_x000A_RETENCION DE CLIENTE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t0OX2cIjuiCL5t0iU9Ua/B6Qarg=="/>
    </ext>
  </extL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B00-000001000000}">
      <text>
        <r>
          <rPr>
            <rFont val="Calibri"/>
            <sz val="11"/>
          </rPr>
          <t>======_x000A_ID#AAABUauNvRo_x000A_mnunez    (2024-08-27 15:38:22)_x000A_CISTERNA-D5K-778</t>
        </r>
      </text>
    </comment>
    <comment ref="BT19" authorId="0" shapeId="0" xr:uid="{00000000-0006-0000-0B00-000002000000}">
      <text>
        <r>
          <rPr>
            <rFont val="Calibri"/>
            <sz val="11"/>
          </rPr>
          <t>======_x000A_ID#AAAByhlozyU_x000A_America Ame    (2026-01-14 20:40:58)_x000A_ERROR DE DIGITACION</t>
        </r>
      </text>
    </comment>
    <comment ref="AQ32" authorId="0" shapeId="0" xr:uid="{00000000-0006-0000-0B00-000003000000}">
      <text>
        <r>
          <rPr>
            <rFont val="Calibri"/>
            <sz val="11"/>
          </rPr>
          <t>======_x000A_ID#AAABz05MNOo_x000A_America Ame    (2026-02-07 15:33:22)_x000A_falta depositar 4so_x000A_------_x000A_ID#AAABz05MNOs_x000A_America Ame    (2026-02-07 15:33:42)_x000A_deposito : 7247.50</t>
        </r>
      </text>
    </comment>
    <comment ref="AS44" authorId="0" shapeId="0" xr:uid="{00000000-0006-0000-0B00-000004000000}">
      <text>
        <r>
          <rPr>
            <rFont val="Calibri"/>
            <sz val="11"/>
          </rPr>
          <t>======_x000A_ID#AAABc6968Kk_x000A_America Ame    (2025-02-08 16:59:57)_x000A_pago petropeu</t>
        </r>
      </text>
    </comment>
    <comment ref="AO76" authorId="0" shapeId="0" xr:uid="{00000000-0006-0000-0B00-000005000000}">
      <text>
        <r>
          <rPr>
            <rFont val="Calibri"/>
            <sz val="11"/>
          </rPr>
          <t>======_x000A_ID#AAAB1ZnPJAg_x000A_America Ame    (2026-03-05 21:00:43)_x000A_INDICA ERROR DE MAQUINA</t>
        </r>
      </text>
    </comment>
    <comment ref="BT85" authorId="0" shapeId="0" xr:uid="{00000000-0006-0000-0B00-000006000000}">
      <text>
        <r>
          <rPr>
            <rFont val="Calibri"/>
            <sz val="11"/>
          </rPr>
          <t>======_x000A_ID#AAAB199W3Mw_x000A_America Ame    (2026-03-16 20:17:21)_x000A_FALTANTE DE  LLMER SANGAMA  ---50</t>
        </r>
      </text>
    </comment>
    <comment ref="BC108" authorId="0" shapeId="0" xr:uid="{00000000-0006-0000-0B00-000007000000}">
      <text>
        <r>
          <rPr>
            <rFont val="Calibri"/>
            <sz val="11"/>
          </rPr>
          <t>======_x000A_ID#AAAB45p643k_x000A_America Ame    (2026-04-08 20:41:29)_x000A_error de sistema segun comentario</t>
        </r>
      </text>
    </comment>
    <comment ref="AQ136" authorId="0" shapeId="0" xr:uid="{00000000-0006-0000-0B00-000008000000}">
      <text>
        <r>
          <rPr>
            <rFont val="Calibri"/>
            <sz val="11"/>
          </rPr>
          <t>======_x000A_ID#AAAB5z52bWk_x000A_America Ame    (2026-05-05 15:49:49)_x000A_Deposito en dos partes _x000A_8643.50 -- 02/05_x000A_3500 -- 04/05</t>
        </r>
      </text>
    </comment>
    <comment ref="BC262" authorId="0" shapeId="0" xr:uid="{00000000-0006-0000-0B00-000009000000}">
      <text>
        <r>
          <rPr>
            <rFont val="Calibri"/>
            <sz val="11"/>
          </rPr>
          <t>======_x000A_ID#AAABpua7xpo_x000A_America Ame    (2025-08-23 17:48:47)_x000A_segun administrador: ticket no jalo descuento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I+QQZVXkowLV95rjeEQak1BwMQ=="/>
    </ext>
  </extL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P19" authorId="0" shapeId="0" xr:uid="{00000000-0006-0000-0C00-000001000000}">
      <text>
        <r>
          <rPr>
            <rFont val="Calibri"/>
            <sz val="11"/>
          </rPr>
          <t>======_x000A_ID#AAAByhlozyQ_x000A_America Ame    (2026-01-14 20:34:04)_x000A_PAGO DE CAPITANIA ATTE: SR. RAMIRO</t>
        </r>
      </text>
    </comment>
    <comment ref="AQ120" authorId="0" shapeId="0" xr:uid="{00000000-0006-0000-0C00-000002000000}">
      <text>
        <r>
          <rPr>
            <rFont val="Calibri"/>
            <sz val="11"/>
          </rPr>
          <t>======_x000A_ID#AAAB4jqMUFw_x000A_America Ame    (2026-04-23 21:24:25)_x000A_DEPOSITO 2874.30</t>
        </r>
      </text>
    </comment>
    <comment ref="BC126" authorId="0" shapeId="0" xr:uid="{00000000-0006-0000-0C00-000003000000}">
      <text>
        <r>
          <rPr>
            <rFont val="Calibri"/>
            <sz val="11"/>
          </rPr>
          <t>======_x000A_ID#AAAB385D2uQ_x000A_America Ame    (2026-04-21 20:47:16)_x000A_llamar a siges para su corrección ¡</t>
        </r>
      </text>
    </comment>
    <comment ref="BC242" authorId="0" shapeId="0" xr:uid="{00000000-0006-0000-0C00-000004000000}">
      <text>
        <r>
          <rPr>
            <rFont val="Calibri"/>
            <sz val="11"/>
          </rPr>
          <t>======_x000A_ID#AAABo8983GA_x000A_America Ame    (2025-08-07 16:59:11)_x000A_DIFERENCIA A CAUSA DEL SERAFINEADO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rfuh4miRoxIcl+8NicfEkRw8Nw=="/>
    </ext>
  </extL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5" authorId="0" shapeId="0" xr:uid="{00000000-0006-0000-0D00-000001000000}">
      <text>
        <r>
          <rPr>
            <rFont val="Calibri"/>
            <sz val="11"/>
          </rPr>
          <t>======_x000A_ID#AAABUauNvac_x000A_mnunez    (2024-08-27 15:38:22)_x000A_SITERNAS AQUINO</t>
        </r>
      </text>
    </comment>
    <comment ref="AV18" authorId="0" shapeId="0" xr:uid="{00000000-0006-0000-0D00-000002000000}">
      <text>
        <r>
          <rPr>
            <rFont val="Calibri"/>
            <sz val="11"/>
          </rPr>
          <t>======_x000A_ID#AAABvuf3QLM_x000A_America Ame    (2026-01-16 20:24:46)_x000A_deposito mas 7.8 so</t>
        </r>
      </text>
    </comment>
    <comment ref="AV59" authorId="0" shapeId="0" xr:uid="{00000000-0006-0000-0D00-000003000000}">
      <text>
        <r>
          <rPr>
            <rFont val="Calibri"/>
            <sz val="11"/>
          </rPr>
          <t>======_x000A_ID#AAAB1U4LM04_x000A_America Ame    (2026-03-04 19:20:05)_x000A_DEPOSITO 100 DE MAS POR ERROR</t>
        </r>
      </text>
    </comment>
    <comment ref="AV60" authorId="0" shapeId="0" xr:uid="{00000000-0006-0000-0D00-000004000000}">
      <text>
        <r>
          <rPr>
            <rFont val="Calibri"/>
            <sz val="11"/>
          </rPr>
          <t>======_x000A_ID#AAAB1U4LM1E_x000A_America Ame    (2026-03-04 19:24:17)_x000A_DESCONTO 100 SOLO DEL DIA ANTERIOR</t>
        </r>
      </text>
    </comment>
    <comment ref="V80" authorId="0" shapeId="0" xr:uid="{00000000-0006-0000-0D00-000005000000}">
      <text>
        <r>
          <rPr>
            <rFont val="Calibri"/>
            <sz val="11"/>
          </rPr>
          <t>======_x000A_ID#AAAB385D2vc_x000A_America Ame    (2026-04-21 21:18:03)_x000A_10/03</t>
        </r>
      </text>
    </comment>
    <comment ref="V93" authorId="0" shapeId="0" xr:uid="{00000000-0006-0000-0D00-000006000000}">
      <text>
        <r>
          <rPr>
            <rFont val="Calibri"/>
            <sz val="11"/>
          </rPr>
          <t>======_x000A_ID#AAAB385D2vg_x000A_America Ame    (2026-04-21 21:18:25)_x000A_23/03_x000A_------_x000A_ID#AAAB385D2vk_x000A_America Ame    (2026-04-21 21:19:13)_x000A_DOS ABONS DE 500 Y 200</t>
        </r>
      </text>
    </comment>
    <comment ref="V100" authorId="0" shapeId="0" xr:uid="{00000000-0006-0000-0D00-000007000000}">
      <text>
        <r>
          <rPr>
            <rFont val="Calibri"/>
            <sz val="11"/>
          </rPr>
          <t>======_x000A_ID#AAAB385D2vo_x000A_America Ame    (2026-04-21 21:19:33)_x000A_30/03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7sWyIs2+MqjI5omweNeAV8BCZQ=="/>
    </ext>
  </extL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X103" authorId="0" shapeId="0" xr:uid="{00000000-0006-0000-0E00-000001000000}">
      <text>
        <r>
          <rPr>
            <rFont val="Calibri"/>
            <sz val="11"/>
          </rPr>
          <t>======_x000A_ID#AAABUauNvvM_x000A_mnunez    (2024-08-27 15:38:22)_x000A_SERAFIN G-84</t>
        </r>
      </text>
    </comment>
    <comment ref="AI114" authorId="0" shapeId="0" xr:uid="{00000000-0006-0000-0E00-000002000000}">
      <text>
        <r>
          <rPr>
            <rFont val="Calibri"/>
            <sz val="11"/>
          </rPr>
          <t>======_x000A_ID#AAAB4jqMUF0_x000A_America Ame    (2026-04-23 21:34:14)_x000A_DEPOSITO 20 DE MAS</t>
        </r>
      </text>
    </comment>
    <comment ref="C131" authorId="0" shapeId="0" xr:uid="{00000000-0006-0000-0E00-000003000000}">
      <text>
        <r>
          <rPr>
            <rFont val="Calibri"/>
            <sz val="11"/>
          </rPr>
          <t>======_x000A_ID#AAAB5BBQaOU_x000A_America Ame    (2026-04-27 21:21:19)_x000A_Manual</t>
        </r>
      </text>
    </comment>
    <comment ref="BB141" authorId="0" shapeId="0" xr:uid="{00000000-0006-0000-0E00-000004000000}">
      <text>
        <r>
          <rPr>
            <rFont val="Calibri"/>
            <sz val="11"/>
          </rPr>
          <t>======_x000A_ID#AAABUauNv8o_x000A_mnunez    (2024-08-27 15:38:22)_x000A_30 BOTELLONES DE AGUA DE MESA</t>
        </r>
      </text>
    </comment>
    <comment ref="AK144" authorId="0" shapeId="0" xr:uid="{00000000-0006-0000-0E00-000005000000}">
      <text>
        <r>
          <rPr>
            <rFont val="Calibri"/>
            <sz val="11"/>
          </rPr>
          <t>======_x000A_ID#AAAB7LZ0N68_x000A_America Ame    (2026-05-06 22:34:35)_x000A_DEPOSITO EL DIA 06/05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lOOn5b2smxjg/bCe7HR5rVRVVg=="/>
    </ext>
  </extLst>
</comments>
</file>

<file path=xl/sharedStrings.xml><?xml version="1.0" encoding="utf-8"?>
<sst xmlns="http://schemas.openxmlformats.org/spreadsheetml/2006/main" count="309" uniqueCount="309">
  <si>
    <t>-+</t>
  </si>
  <si>
    <t xml:space="preserve">ESTACION DE SERVICIOS PASO DE LOS ANDES SAC </t>
  </si>
  <si>
    <t xml:space="preserve">REGISTRO DE VENTAS -PUENTE PIEDRA ( LUNES,MIERCOLES Y  VIERNES )</t>
  </si>
  <si>
    <t>GASTOS ADICIONALES</t>
  </si>
  <si>
    <t>TOTAL</t>
  </si>
  <si>
    <t xml:space="preserve">TOTAL </t>
  </si>
  <si>
    <t>FECHA</t>
  </si>
  <si>
    <t xml:space="preserve">VENTA </t>
  </si>
  <si>
    <t>VENTA</t>
  </si>
  <si>
    <t>RECAUDA</t>
  </si>
  <si>
    <t>CREDITO</t>
  </si>
  <si>
    <t>TOTAL CREDITO</t>
  </si>
  <si>
    <t>PADEL</t>
  </si>
  <si>
    <t>TARJ. CRED.</t>
  </si>
  <si>
    <t>TARJETA CRED.</t>
  </si>
  <si>
    <t>DESCUENTO</t>
  </si>
  <si>
    <t>DIFERENC.</t>
  </si>
  <si>
    <t>DEPOSITO</t>
  </si>
  <si>
    <t xml:space="preserve"> HERMES LIQ</t>
  </si>
  <si>
    <t>VENTA CON</t>
  </si>
  <si>
    <t xml:space="preserve">DEPOSITO </t>
  </si>
  <si>
    <t>RECAUDO</t>
  </si>
  <si>
    <t>DOLARES</t>
  </si>
  <si>
    <t>HERMES GLP</t>
  </si>
  <si>
    <t>T.C.</t>
  </si>
  <si>
    <t>DIFERENCIA</t>
  </si>
  <si>
    <t>SERAFIN</t>
  </si>
  <si>
    <t xml:space="preserve">GRUPO </t>
  </si>
  <si>
    <t>OTROS</t>
  </si>
  <si>
    <t>DIRENCIAS</t>
  </si>
  <si>
    <t>LIQUIDOS</t>
  </si>
  <si>
    <t>GLP</t>
  </si>
  <si>
    <t>GNV</t>
  </si>
  <si>
    <t>COFIDE GNV</t>
  </si>
  <si>
    <t>LIQUIDO+GLP</t>
  </si>
  <si>
    <t>PETROTHOR</t>
  </si>
  <si>
    <t>01. RED FUEL SA</t>
  </si>
  <si>
    <t>GTM DEL PERU</t>
  </si>
  <si>
    <t xml:space="preserve">PUNTO GAS </t>
  </si>
  <si>
    <t>4. OBRAS CIVILES</t>
  </si>
  <si>
    <t>5. C&amp;M SERVICIOS</t>
  </si>
  <si>
    <t>6.PETROWORLD</t>
  </si>
  <si>
    <t>7. VIJOSTRAN</t>
  </si>
  <si>
    <t>8. CONSORCIO VIA</t>
  </si>
  <si>
    <t>SERVIMELSA 31/03/25</t>
  </si>
  <si>
    <t>RED COL</t>
  </si>
  <si>
    <t>11</t>
  </si>
  <si>
    <t>12</t>
  </si>
  <si>
    <t>LIQUIDO</t>
  </si>
  <si>
    <t>SAN PEDRITO</t>
  </si>
  <si>
    <t>POLO MINERIA</t>
  </si>
  <si>
    <t>ALEXA TRANS</t>
  </si>
  <si>
    <t>3</t>
  </si>
  <si>
    <t>4</t>
  </si>
  <si>
    <t>5</t>
  </si>
  <si>
    <t>6</t>
  </si>
  <si>
    <t>7</t>
  </si>
  <si>
    <t>8</t>
  </si>
  <si>
    <t>9</t>
  </si>
  <si>
    <t>10</t>
  </si>
  <si>
    <t>MAQUINA</t>
  </si>
  <si>
    <t>EFECTIVO</t>
  </si>
  <si>
    <t>BILLETES</t>
  </si>
  <si>
    <t>REGULARIZACION</t>
  </si>
  <si>
    <t>MONEDAS</t>
  </si>
  <si>
    <t>TRANSFERENCIAS</t>
  </si>
  <si>
    <t>CHEQUE 2</t>
  </si>
  <si>
    <t>CHEQUE 3</t>
  </si>
  <si>
    <t>CHEQUE 4</t>
  </si>
  <si>
    <t>SOLES</t>
  </si>
  <si>
    <t>DEPOSITOS</t>
  </si>
  <si>
    <t>EFECT.- DEPOS.</t>
  </si>
  <si>
    <t>GASTOS</t>
  </si>
  <si>
    <t>ELECTROG.</t>
  </si>
  <si>
    <t>1</t>
  </si>
  <si>
    <t>2</t>
  </si>
  <si>
    <t>TOTAL 2</t>
  </si>
  <si>
    <t>TOTAL 3</t>
  </si>
  <si>
    <t>TOTAL CONSUMO</t>
  </si>
  <si>
    <t>TOTAL 5</t>
  </si>
  <si>
    <t>TOTAL 6</t>
  </si>
  <si>
    <t>TOTAL 7</t>
  </si>
  <si>
    <t>TOTAL 8</t>
  </si>
  <si>
    <t>TOTAL 9</t>
  </si>
  <si>
    <t>TOTAL 10</t>
  </si>
  <si>
    <t>TOTAL 11</t>
  </si>
  <si>
    <t>TOTAL 12</t>
  </si>
  <si>
    <t>REGISTRO DE VENTAS- CHILCA</t>
  </si>
  <si>
    <t>ROJAS MAZA GERARDO</t>
  </si>
  <si>
    <t>DEVOLUC.</t>
  </si>
  <si>
    <t>FLETE</t>
  </si>
  <si>
    <t>VIATICOS</t>
  </si>
  <si>
    <t>MOVILIDAD</t>
  </si>
  <si>
    <t>COMPRA</t>
  </si>
  <si>
    <t>REPARACION</t>
  </si>
  <si>
    <t>MATERIALES</t>
  </si>
  <si>
    <t>MULT. ECOGAS</t>
  </si>
  <si>
    <t>RAUL LLOCCE - CUBO</t>
  </si>
  <si>
    <t xml:space="preserve">OBRAS </t>
  </si>
  <si>
    <t>ALTAS SENDAS SAC</t>
  </si>
  <si>
    <t>PETRO WORD - CAMIONETA</t>
  </si>
  <si>
    <t>FAB. ALCANTARA</t>
  </si>
  <si>
    <t>C &amp; M SERVICENTROS</t>
  </si>
  <si>
    <t>RED FUEL</t>
  </si>
  <si>
    <t>OBRAS CIVILES PETRAM.</t>
  </si>
  <si>
    <t>SUNDA</t>
  </si>
  <si>
    <t>PUNTO GAS</t>
  </si>
  <si>
    <t>MUNICIP.DE SANTA MARIA</t>
  </si>
  <si>
    <t xml:space="preserve">AGAMA GONZALES JOSE MANUEL </t>
  </si>
  <si>
    <t>CREA</t>
  </si>
  <si>
    <t>VIJOSTRAN</t>
  </si>
  <si>
    <t>OBRAS MALA</t>
  </si>
  <si>
    <t>VIPETROS</t>
  </si>
  <si>
    <t>ASOCIACION CIVIL CLUB NAUTICO POSEIDON</t>
  </si>
  <si>
    <t>MONTACARGAS &amp; GRUAS MARCO S.A.C.</t>
  </si>
  <si>
    <t>FIBRAPRINT</t>
  </si>
  <si>
    <t>PORCELANATO LATINO</t>
  </si>
  <si>
    <t>KALE SERVICIOS INDUSTRIALES</t>
  </si>
  <si>
    <t>POSEIDON CARGO S.A.C.</t>
  </si>
  <si>
    <t>RIOSA</t>
  </si>
  <si>
    <t>JHON GUILLERMO</t>
  </si>
  <si>
    <t>VJL SERVICIOS G.</t>
  </si>
  <si>
    <t>TRANSP. GROUP 2R</t>
  </si>
  <si>
    <t>SURSA GAS</t>
  </si>
  <si>
    <t>HY ENGINEERING PERU</t>
  </si>
  <si>
    <t>AL TANQUE</t>
  </si>
  <si>
    <t xml:space="preserve"> MOVILIDAD</t>
  </si>
  <si>
    <t>EE.SS.</t>
  </si>
  <si>
    <t>REPUEST.</t>
  </si>
  <si>
    <t>MAQUINAS</t>
  </si>
  <si>
    <t>GLP / GNV</t>
  </si>
  <si>
    <t>OBRAS</t>
  </si>
  <si>
    <t>TOTAL 1</t>
  </si>
  <si>
    <t>REGISTRO DE VENTAS - BRASIL</t>
  </si>
  <si>
    <t>DESWCUENTO</t>
  </si>
  <si>
    <t>CSD GLOBAL</t>
  </si>
  <si>
    <t>FUERO MILITAR</t>
  </si>
  <si>
    <t>ALMACENES ASOCIADOS SAC</t>
  </si>
  <si>
    <t>SERPAR</t>
  </si>
  <si>
    <t>C&amp;M SERVICENTROS</t>
  </si>
  <si>
    <t>IMPORTACIONES HUARMEY SAC</t>
  </si>
  <si>
    <t>FONDEPES PPTO 2003</t>
  </si>
  <si>
    <t>PROGRAMA TRABAJA PERU</t>
  </si>
  <si>
    <t xml:space="preserve">ANA </t>
  </si>
  <si>
    <t>INEI PPTO 2003</t>
  </si>
  <si>
    <t xml:space="preserve">CREA  ACESORES SAC</t>
  </si>
  <si>
    <t xml:space="preserve">PETROTHOR </t>
  </si>
  <si>
    <t>REDCOL</t>
  </si>
  <si>
    <t>FONCODES</t>
  </si>
  <si>
    <t>MUNIC. J,MARIA</t>
  </si>
  <si>
    <t>MINISTERIO AMBIENTE</t>
  </si>
  <si>
    <t>SUNAFIL</t>
  </si>
  <si>
    <t>SIS</t>
  </si>
  <si>
    <t>ASTER-ASTERIA</t>
  </si>
  <si>
    <t>FONDO DE BIENESTAR PNP</t>
  </si>
  <si>
    <t>I N S N</t>
  </si>
  <si>
    <t>ALMACENERA MERCANTIL</t>
  </si>
  <si>
    <t>ALMACENERA</t>
  </si>
  <si>
    <t>CHEQUE 1</t>
  </si>
  <si>
    <t>REGISTRO DE VENTAS - VIRU</t>
  </si>
  <si>
    <t>VENTAS CON</t>
  </si>
  <si>
    <t>MUNICIPALIDAD D HUANCAQUITO</t>
  </si>
  <si>
    <t>CHAMACO SAC.</t>
  </si>
  <si>
    <t xml:space="preserve">C&amp;M SERVICENTROS </t>
  </si>
  <si>
    <t>PETRO WORLD</t>
  </si>
  <si>
    <t>TRANS. AVALOS E HIJOS</t>
  </si>
  <si>
    <t xml:space="preserve">JK GROUP CONTRUCTION </t>
  </si>
  <si>
    <t>MANIPULADORES Y EQUIPOS</t>
  </si>
  <si>
    <t>REDCOL SAC</t>
  </si>
  <si>
    <t xml:space="preserve">GAP BERRIS  SAC</t>
  </si>
  <si>
    <t>MARIA DELCY CANTURENCIO</t>
  </si>
  <si>
    <t>HUNTER SERVICIOS</t>
  </si>
  <si>
    <t>AGRICOLA DIGARZA SAC</t>
  </si>
  <si>
    <t xml:space="preserve"> GERMINA SAC</t>
  </si>
  <si>
    <t>MUNICIP. CARMELO</t>
  </si>
  <si>
    <t>MUNI STA ELENA</t>
  </si>
  <si>
    <t>MINISTERIO PUBLICO -VIRU</t>
  </si>
  <si>
    <t>01. TOTAL</t>
  </si>
  <si>
    <r>
      <rPr>
        <rFont val="Arial"/>
        <b/>
        <color rgb="FF0000FF"/>
        <sz val="12"/>
      </rPr>
      <t>REGISTRO DE VENTAS - MAKITA</t>
    </r>
    <r>
      <rPr>
        <rFont val="Arial"/>
        <color rgb="FF0000FF"/>
        <sz val="12"/>
      </rPr>
      <t xml:space="preserve"> </t>
    </r>
  </si>
  <si>
    <t>OBRAS CIVILES</t>
  </si>
  <si>
    <t>C&amp;M SERVICENTRO</t>
  </si>
  <si>
    <t>FLETES</t>
  </si>
  <si>
    <t>SR. ROSPLIGIOSI</t>
  </si>
  <si>
    <t>JUAN LA ROSA</t>
  </si>
  <si>
    <t>SR.GONZALO</t>
  </si>
  <si>
    <t>BALANZA</t>
  </si>
  <si>
    <t>TOTAL 01</t>
  </si>
  <si>
    <t xml:space="preserve">TOTAL CONSUMO </t>
  </si>
  <si>
    <t>23/12/2026</t>
  </si>
  <si>
    <r>
      <rPr>
        <rFont val="Arial"/>
        <b/>
        <color rgb="FF0000FF"/>
        <sz val="11"/>
      </rPr>
      <t>REGISTRO DE VENTAS - SAN PABLO</t>
    </r>
    <r>
      <rPr>
        <rFont val="Arial"/>
        <b/>
        <color rgb="FF0000FF"/>
        <sz val="11"/>
      </rPr>
      <t xml:space="preserve"> </t>
    </r>
    <r>
      <rPr>
        <rFont val="Arial"/>
        <color rgb="FF0000FF"/>
        <sz val="11"/>
      </rPr>
      <t>(REMESA LOS MIERCOLES DE 7 DIAS)</t>
    </r>
  </si>
  <si>
    <t>PETROWORLD</t>
  </si>
  <si>
    <t xml:space="preserve">C&amp;M </t>
  </si>
  <si>
    <t>FELTES</t>
  </si>
  <si>
    <t>CONSTRUCTORA M&amp;S</t>
  </si>
  <si>
    <t>ALVARADO REYES GABRIELA</t>
  </si>
  <si>
    <t>LUCAR VELASQUEZ</t>
  </si>
  <si>
    <t xml:space="preserve">01.TOTAL </t>
  </si>
  <si>
    <t>REGISTRO DE VENTAS - HUANCHACO</t>
  </si>
  <si>
    <t>1. RED FUEL S.A</t>
  </si>
  <si>
    <t>2. C&amp;M SERVICENTROS S.A.C</t>
  </si>
  <si>
    <t>3. LA AZULITA SAC</t>
  </si>
  <si>
    <t>4. DEOCHRYSO SAC</t>
  </si>
  <si>
    <t>5. PINGO ARCE CINTHIA JASMIN</t>
  </si>
  <si>
    <t>6. MULTISERVICIOS COAL MINER</t>
  </si>
  <si>
    <t>7.SERVICIOS LEKERSA</t>
  </si>
  <si>
    <t>8. EXACTA OPE. LOGISTICO</t>
  </si>
  <si>
    <t>9. ALIS VELASQUEZ NOVOA</t>
  </si>
  <si>
    <t>PETROTHOR SAC</t>
  </si>
  <si>
    <t>MURILLO BRICEÑO</t>
  </si>
  <si>
    <t>10. OBRAS CIVILES</t>
  </si>
  <si>
    <t>RUIZ PEDRO LUIS E.</t>
  </si>
  <si>
    <t>ANITA VIRGINIA ROMERO</t>
  </si>
  <si>
    <t>CARMEZ SAC</t>
  </si>
  <si>
    <t>C MEJIA CONTRA. GENER S.A.C.</t>
  </si>
  <si>
    <t>EMP.CONST.Y.SERV.GENR.ESQUIVEL</t>
  </si>
  <si>
    <t>TRANSFERENCIA</t>
  </si>
  <si>
    <t xml:space="preserve">REGISTRO DE VENTAS - ENACE TALARA </t>
  </si>
  <si>
    <t>PETRO WORLD-SITERNAS</t>
  </si>
  <si>
    <t>SEA</t>
  </si>
  <si>
    <t>GA ING</t>
  </si>
  <si>
    <t>B.A SERVICIOS AMBIENTALES SAC</t>
  </si>
  <si>
    <t>NEG. GEN. WILMER</t>
  </si>
  <si>
    <t>WLADIMIR PEREZ G.</t>
  </si>
  <si>
    <t>MULTISERVICIOS</t>
  </si>
  <si>
    <t>ALIFAV</t>
  </si>
  <si>
    <t>ATLANTIC</t>
  </si>
  <si>
    <t xml:space="preserve"> </t>
  </si>
  <si>
    <t xml:space="preserve"> CONSUMO</t>
  </si>
  <si>
    <t>REGISTRO DE VENTAS - ACAPULCO</t>
  </si>
  <si>
    <t>C&amp;M SERVICENTROS SAC</t>
  </si>
  <si>
    <t>GONZALES DE LA CRUZ</t>
  </si>
  <si>
    <t>CONSORCIO MCC</t>
  </si>
  <si>
    <t>TDEM SRL</t>
  </si>
  <si>
    <t>C.TRADING COMPANY S.R.L.</t>
  </si>
  <si>
    <t>OILTECH PERU S.A.C.</t>
  </si>
  <si>
    <t>GA ING CONSTRUCTORES</t>
  </si>
  <si>
    <t>ESTACION DE SERVICIO SANTO TOMAS DE LIMA</t>
  </si>
  <si>
    <t>REGISTRO DE VENTAS - CATACAOS</t>
  </si>
  <si>
    <t>E. SANTO TOMAS DE LIMA</t>
  </si>
  <si>
    <t>KIMSA</t>
  </si>
  <si>
    <t>C&amp;M SERVICENTRO SAC</t>
  </si>
  <si>
    <t>REDFUEL</t>
  </si>
  <si>
    <t>FUNDO CHICLAYITO</t>
  </si>
  <si>
    <t>REFRISERVIS</t>
  </si>
  <si>
    <t>FUNDO MASSARIS</t>
  </si>
  <si>
    <t>HARPER</t>
  </si>
  <si>
    <t>CHOPIPO</t>
  </si>
  <si>
    <t>f</t>
  </si>
  <si>
    <t>RIO VIEJO</t>
  </si>
  <si>
    <t>TOTAL 4</t>
  </si>
  <si>
    <t>REGISTRO DE VENTAS -TULIS</t>
  </si>
  <si>
    <t xml:space="preserve">DIFERENCIA </t>
  </si>
  <si>
    <t>OBRAS CIVILIES</t>
  </si>
  <si>
    <t xml:space="preserve">CORPORACION ISUR S.R.L.  </t>
  </si>
  <si>
    <t>BEAGLE</t>
  </si>
  <si>
    <t>MARCO PERUANA</t>
  </si>
  <si>
    <t>CORPORACION TICSANI EIRL</t>
  </si>
  <si>
    <t xml:space="preserve">MOVILIDAD  BANCO</t>
  </si>
  <si>
    <t>TOTAL 02</t>
  </si>
  <si>
    <t>TOTAL 03</t>
  </si>
  <si>
    <t>24/04</t>
  </si>
  <si>
    <t>TOTAL 05</t>
  </si>
  <si>
    <t>TOTAL 06</t>
  </si>
  <si>
    <t>TOTAL 07</t>
  </si>
  <si>
    <t>TOTAL 08</t>
  </si>
  <si>
    <t>TOTAL 09</t>
  </si>
  <si>
    <t xml:space="preserve">SERVI CENTRO  SAN MARCOS EIRL</t>
  </si>
  <si>
    <t xml:space="preserve">REGISTRO DE VENTAS- SAN MARCOS </t>
  </si>
  <si>
    <t>HIDROCARBURO</t>
  </si>
  <si>
    <t>TRANS Y SERVICIOS LOG MIGUEL ALEXANDER</t>
  </si>
  <si>
    <t>ERICK PERU CARGO SAC</t>
  </si>
  <si>
    <t>JOSEPH PERU</t>
  </si>
  <si>
    <t>ERROR DE MAQUINA</t>
  </si>
  <si>
    <t>TOTAL 04</t>
  </si>
  <si>
    <t xml:space="preserve">GRIFO FLOTANTE -  MARIA EUGENIA DEL AMAZONAS EIRL</t>
  </si>
  <si>
    <t>REGISTRO DE VENTAS- MARIA EUGENIA</t>
  </si>
  <si>
    <t>GOLFINHO</t>
  </si>
  <si>
    <t>RONY VALERA</t>
  </si>
  <si>
    <t>PUNTO GAS SELVA</t>
  </si>
  <si>
    <t>GRIFO FLOTANTE MARIA EUGENIA DEL AMAZONAS EIRL.</t>
  </si>
  <si>
    <t>REGISTRO DE VENTAS - VELITA</t>
  </si>
  <si>
    <t>INICIO 10/03/26</t>
  </si>
  <si>
    <t>LA CHACRA</t>
  </si>
  <si>
    <t>MINISTERIO PUBLICO</t>
  </si>
  <si>
    <t>AMAZONIA RURAL (PROGRAMA NACIONAL DE )</t>
  </si>
  <si>
    <t>INVER. SAN PEDRO</t>
  </si>
  <si>
    <t>FAF 1 Y 2</t>
  </si>
  <si>
    <t>CREDIVARGAS</t>
  </si>
  <si>
    <t>TROPIC SERVICE</t>
  </si>
  <si>
    <t>INS</t>
  </si>
  <si>
    <t>ACES</t>
  </si>
  <si>
    <t xml:space="preserve"> RIO HUALLAGA S.A.C</t>
  </si>
  <si>
    <t>MURRIETA</t>
  </si>
  <si>
    <t xml:space="preserve">G-FLOTANTE MARIA </t>
  </si>
  <si>
    <t>CYL TECNOLOGIAS SAC</t>
  </si>
  <si>
    <t>EMERAL LOGISTIC</t>
  </si>
  <si>
    <t>CREDITOS</t>
  </si>
  <si>
    <t>A. P. N.PTO</t>
  </si>
  <si>
    <t>EMERAL LOGISTICS</t>
  </si>
  <si>
    <t>INDECI (24.04.25)</t>
  </si>
  <si>
    <t xml:space="preserve">ACQUA BEATA </t>
  </si>
  <si>
    <t>COOP. DE AHORRO Y CREDITOS</t>
  </si>
  <si>
    <t>TRAJETAS</t>
  </si>
  <si>
    <t>GRIFO FLOTANTE MARIA EUGENIA DEL AMAZONAS EIRL - QUISTOCOCHA</t>
  </si>
  <si>
    <t>REGISTRO DE VENTAS - QUISTOCOCHA</t>
  </si>
  <si>
    <t xml:space="preserve">  HONDA SELVA</t>
  </si>
  <si>
    <t>CONSTRUCTORA MLS</t>
  </si>
  <si>
    <t>C. RIO HUALLAGA</t>
  </si>
  <si>
    <t>BRAULIO OBREGON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</si>
</sst>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#,##0.00;[Red]#,##0.00"/>
    <numFmt numFmtId="165" formatCode="_ &quot;S/.&quot;\ * #,##0.00_ ;_ &quot;S/.&quot;\ * \-#,##0.00_ ;_ &quot;S/.&quot;\ * &quot;-&quot;??_ ;_ @_ "/>
    <numFmt numFmtId="166" formatCode="_-&quot;S/&quot;* #,##0.00_-;\-&quot;S/&quot;* #,##0.00_-;_-&quot;S/&quot;* &quot;-&quot;??_-;_-@"/>
    <numFmt numFmtId="167" formatCode="_ [$S/.-280A]\ * #,##0.00_ ;_ [$S/.-280A]\ * \-#,##0.00_ ;_ [$S/.-280A]\ * &quot;-&quot;??_ ;_ @_ "/>
    <numFmt numFmtId="169" formatCode="&quot;S/&quot;#,##0.00"/>
    <numFmt numFmtId="170" formatCode="_-* #,##0.00_-;\-* #,##0.00_-;_-* &quot;-&quot;??_-;_-@"/>
    <numFmt numFmtId="171" formatCode="#,##0;[Red]#,##0"/>
    <numFmt numFmtId="172" formatCode="#,##0.0;[Red]#,##0.0"/>
    <numFmt numFmtId="173" formatCode="_ &quot;S/&quot;* #,##0.00_ ;_ &quot;S/&quot;* \-#,##0.00_ ;_ &quot;S/&quot;* &quot;-&quot;??_ ;_ @_ "/>
    <numFmt numFmtId="174" formatCode="_ * #,##0.00_ ;_ * \-#,##0.00_ ;_ * &quot;-&quot;??_ ;_ @_ "/>
  </numFmts>
  <fonts count="89">
    <font>
      <sz val="11"/>
      <color theme="1"/>
      <name val="Calibri"/>
      <scheme val="minor"/>
    </font>
    <font>
      <sz val="11"/>
      <color rgb="FF000000"/>
      <name val="Arial"/>
    </font>
    <font>
      <sz val="10"/>
      <color rgb="FF000000"/>
      <name val="Arial"/>
    </font>
    <font>
      <b/>
      <sz val="11"/>
      <color rgb="FFFF0000"/>
      <name val="Arial"/>
    </font>
    <font>
      <b/>
      <sz val="11"/>
      <color rgb="FF0066FF"/>
      <name val="Arial"/>
    </font>
    <font>
      <sz val="11"/>
      <color rgb="FFFF0000"/>
      <name val="Arial"/>
    </font>
    <font>
      <b/>
      <sz val="14"/>
      <color theme="1"/>
      <name val="Arial"/>
    </font>
    <font>
      <b/>
      <i/>
      <sz val="14"/>
      <color theme="1"/>
      <name val="Arial"/>
    </font>
    <font>
      <sz val="14"/>
      <color rgb="FF000000"/>
      <name val="Arial"/>
    </font>
    <font>
      <b/>
      <sz val="14"/>
      <color rgb="FFFF0000"/>
      <name val="Arial"/>
    </font>
    <font>
      <b/>
      <sz val="14"/>
      <color rgb="FF0066FF"/>
      <name val="Arial"/>
    </font>
    <font>
      <b/>
      <sz val="12"/>
      <color theme="1"/>
      <name val="Arial"/>
    </font>
    <font>
      <b/>
      <sz val="12"/>
      <color rgb="FF0000FF"/>
      <name val="Arial"/>
    </font>
    <font>
      <b/>
      <i/>
      <sz val="12"/>
      <color theme="1"/>
      <name val="Arial"/>
    </font>
    <font>
      <sz val="12"/>
      <color rgb="FF000000"/>
      <name val="Arial"/>
    </font>
    <font>
      <b/>
      <sz val="9"/>
      <color rgb="FFFF0000"/>
      <name val="Arial"/>
    </font>
    <font>
      <b/>
      <sz val="12"/>
      <color rgb="FF0066FF"/>
      <name val="Arial"/>
    </font>
    <font>
      <b/>
      <sz val="12"/>
      <color rgb="FFFF0000"/>
      <name val="Arial"/>
    </font>
    <font>
      <sz val="9"/>
      <color rgb="FF000000"/>
      <name val="Arial"/>
    </font>
    <font>
      <b/>
      <sz val="9"/>
      <color theme="1"/>
      <name val="Arial"/>
    </font>
    <font>
      <i/>
      <sz val="9"/>
      <color theme="1"/>
      <name val="Arial"/>
    </font>
    <font>
      <b/>
      <sz val="9"/>
      <color rgb="FF000000"/>
      <name val="Arial"/>
    </font>
    <font>
      <b/>
      <sz val="11"/>
      <color rgb="FFFF0000"/>
      <name val="Calibri"/>
    </font>
    <font>
      <b/>
      <sz val="9"/>
      <color rgb="FF0066FF"/>
      <name val="Arial"/>
    </font>
    <font>
      <b/>
      <sz val="9"/>
      <color rgb="FF0000FF"/>
      <name val="Arial"/>
    </font>
    <font>
      <sz val="9"/>
      <color theme="1"/>
      <name val="Arial"/>
    </font>
    <font>
      <b/>
      <sz val="8"/>
      <color rgb="FF000000"/>
      <name val="Arial"/>
    </font>
    <font>
      <b/>
      <sz val="8"/>
      <color theme="1"/>
      <name val="Arial"/>
    </font>
    <font>
      <b/>
      <sz val="10"/>
      <color rgb="FFFF0000"/>
      <name val="Arial"/>
    </font>
    <font>
      <b/>
      <sz val="10"/>
      <color rgb="FF0066FF"/>
      <name val="Arial"/>
    </font>
    <font>
      <b/>
      <sz val="8"/>
      <color rgb="FFFF0000"/>
      <name val="Arial"/>
    </font>
    <font>
      <b/>
      <sz val="8"/>
      <color rgb="FF0000FF"/>
      <name val="Arial"/>
    </font>
    <font>
      <b/>
      <sz val="10"/>
      <color theme="1"/>
      <name val="Arial"/>
    </font>
    <font>
      <b/>
      <sz val="8"/>
      <color rgb="FF0066FF"/>
      <name val="Arial"/>
    </font>
    <font>
      <sz val="11"/>
      <name val="Calibri"/>
    </font>
    <font>
      <b/>
      <i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rgb="FF000000"/>
      <name val="Arial"/>
    </font>
    <font>
      <b/>
      <i/>
      <sz val="10"/>
      <color rgb="FFFF0000"/>
      <name val="Arial"/>
    </font>
    <font>
      <b/>
      <i/>
      <sz val="10"/>
      <color rgb="FF0066FF"/>
      <name val="Arial"/>
    </font>
    <font>
      <b/>
      <i/>
      <sz val="11"/>
      <color theme="1"/>
      <name val="Arial"/>
    </font>
    <font>
      <b/>
      <i/>
      <sz val="11"/>
      <color rgb="FFFF0000"/>
      <name val="Arial"/>
    </font>
    <font>
      <b/>
      <i/>
      <sz val="11"/>
      <color rgb="FF000000"/>
      <name val="Arial"/>
    </font>
    <font>
      <b/>
      <i/>
      <sz val="10"/>
      <color rgb="FF000000"/>
      <name val="Arial"/>
    </font>
    <font>
      <b/>
      <i/>
      <sz val="11"/>
      <color rgb="FF0066FF"/>
      <name val="Arial"/>
    </font>
    <font>
      <b/>
      <sz val="10"/>
      <color rgb="FF0000FF"/>
      <name val="Arial"/>
    </font>
    <font>
      <sz val="11"/>
      <color rgb="FF0000FF"/>
      <name val="Arial"/>
    </font>
    <font>
      <b/>
      <sz val="11"/>
      <color rgb="FF0000FF"/>
      <name val="Arial"/>
    </font>
    <font>
      <b/>
      <sz val="11"/>
      <color theme="1"/>
      <name val="Arial"/>
    </font>
    <font>
      <sz val="8"/>
      <color rgb="FF000000"/>
      <name val="Arial"/>
    </font>
    <font>
      <sz val="11"/>
      <color theme="1"/>
      <name val="Calibri"/>
    </font>
    <font>
      <b/>
      <sz val="14"/>
      <color rgb="FF000000"/>
      <name val="Arial"/>
    </font>
    <font>
      <b/>
      <sz val="10"/>
      <color rgb="FFFF0000"/>
      <name val="Calibri"/>
    </font>
    <font>
      <b/>
      <sz val="10"/>
      <color rgb="FF0000FF"/>
      <name val="Calibri"/>
    </font>
    <font>
      <sz val="10"/>
      <color rgb="FFFF0000"/>
      <name val="Calibri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i/>
      <sz val="11"/>
      <color theme="1"/>
      <name val="Arial"/>
    </font>
    <font>
      <b/>
      <sz val="13"/>
      <color theme="1"/>
      <name val="Arial"/>
    </font>
    <font>
      <sz val="13"/>
      <color theme="1"/>
      <name val="Arial"/>
    </font>
    <font>
      <b/>
      <i/>
      <sz val="13"/>
      <color theme="1"/>
      <name val="Arial"/>
    </font>
    <font>
      <sz val="13"/>
      <color rgb="FF000000"/>
      <name val="Arial"/>
    </font>
    <font>
      <sz val="12"/>
      <color theme="1"/>
      <name val="Arial"/>
    </font>
    <font>
      <i/>
      <sz val="10"/>
      <color theme="1"/>
      <name val="Arial"/>
    </font>
    <font>
      <sz val="10"/>
      <color rgb="FF0000FF"/>
      <name val="Arial"/>
    </font>
    <font>
      <b/>
      <sz val="9"/>
      <color rgb="FFCC3300"/>
      <name val="Arial"/>
    </font>
    <font>
      <b/>
      <sz val="9"/>
      <color rgb="FFC00000"/>
      <name val="Arial"/>
    </font>
    <font>
      <b/>
      <sz val="7"/>
      <color rgb="FF0000FF"/>
      <name val="Arial"/>
    </font>
    <font>
      <sz val="10"/>
      <color theme="1"/>
      <name val="Calibri"/>
    </font>
    <font>
      <b/>
      <i/>
      <sz val="11"/>
      <color rgb="FF000000"/>
      <name val="Calibri"/>
    </font>
    <font>
      <b/>
      <sz val="9"/>
      <color theme="1"/>
      <name val="Calibri"/>
    </font>
    <font>
      <b/>
      <sz val="8"/>
      <color theme="1"/>
      <name val="Calibri"/>
    </font>
    <font>
      <b/>
      <i/>
      <sz val="10"/>
      <color rgb="FF0000FF"/>
      <name val="Arial"/>
    </font>
    <font>
      <i/>
      <sz val="12"/>
      <color theme="1"/>
      <name val="Arial"/>
    </font>
    <font>
      <sz val="8"/>
      <color rgb="FFFF0000"/>
      <name val="Arial"/>
    </font>
    <font>
      <b/>
      <sz val="12"/>
      <color theme="1"/>
      <name val="Calibri"/>
    </font>
    <font>
      <b/>
      <sz val="12"/>
      <color rgb="FF000000"/>
      <name val="Arial"/>
    </font>
    <font>
      <sz val="9"/>
      <color theme="1"/>
      <name val="Calibri"/>
    </font>
    <font>
      <b/>
      <sz val="11"/>
      <color theme="1"/>
      <name val="Calibri"/>
    </font>
    <font>
      <b/>
      <sz val="13"/>
      <color rgb="FF0000FF"/>
      <name val="Arial"/>
    </font>
    <font>
      <sz val="8"/>
      <color rgb="FF0000FF"/>
      <name val="Arial"/>
    </font>
    <font>
      <b/>
      <sz val="16"/>
      <color theme="1"/>
      <name val="Arial"/>
    </font>
    <font>
      <b/>
      <sz val="18"/>
      <color theme="1"/>
      <name val="Arial"/>
    </font>
    <font>
      <sz val="11"/>
      <color rgb="FF000000"/>
      <name val="Arial"/>
    </font>
    <font>
      <b/>
      <sz val="10"/>
      <color theme="1"/>
      <name val="Calibri"/>
    </font>
    <font>
      <i/>
      <sz val="11"/>
      <color rgb="FF000000"/>
      <name val="Calibri"/>
    </font>
    <font>
      <sz val="10"/>
      <color rgb="FF000000"/>
      <name val="Calibri"/>
    </font>
  </fonts>
  <fills count="8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4B083"/>
        <bgColor rgb="FFF4B083"/>
      </patternFill>
    </fill>
    <fill>
      <patternFill patternType="solid">
        <fgColor rgb="FFBFBFBF"/>
        <bgColor rgb="FFBFBFBF"/>
      </patternFill>
    </fill>
    <fill>
      <patternFill patternType="solid">
        <fgColor rgb="FFFF99CC"/>
        <bgColor rgb="FFFF99CC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CCCFF"/>
        <bgColor rgb="FFCCCCFF"/>
      </patternFill>
    </fill>
    <fill>
      <patternFill patternType="solid">
        <fgColor rgb="FFCCFF99"/>
        <bgColor rgb="FFCCFF99"/>
      </patternFill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66FFFF"/>
        <bgColor rgb="FF66FFFF"/>
      </patternFill>
    </fill>
    <fill>
      <patternFill patternType="solid">
        <fgColor rgb="FFFFCCFF"/>
        <bgColor rgb="FFFFCCFF"/>
      </patternFill>
    </fill>
    <fill>
      <patternFill patternType="solid">
        <fgColor rgb="FF00B050"/>
        <bgColor rgb="FF00B050"/>
      </patternFill>
    </fill>
    <fill>
      <patternFill patternType="solid">
        <fgColor rgb="FFF4CCCC"/>
        <bgColor rgb="FFF4CCCC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FFE598"/>
        <bgColor rgb="FFFFE598"/>
      </patternFill>
    </fill>
    <fill>
      <patternFill patternType="solid">
        <fgColor rgb="FFFFFF66"/>
        <bgColor rgb="FFFFFF66"/>
      </patternFill>
    </fill>
    <fill>
      <patternFill patternType="solid">
        <fgColor rgb="FFD9EAD3"/>
        <bgColor rgb="FFD9EAD3"/>
      </patternFill>
    </fill>
    <fill>
      <patternFill patternType="solid">
        <fgColor theme="7" tint="0.7999816888943144"/>
        <bgColor rgb="FF00B0F0"/>
      </patternFill>
    </fill>
    <fill>
      <patternFill patternType="solid">
        <fgColor theme="7" tint="0.7999816888943144"/>
        <bgColor rgb="FFFFFFCC"/>
      </patternFill>
    </fill>
    <fill>
      <patternFill patternType="solid">
        <fgColor theme="7" tint="0.7999816888943144"/>
        <bgColor rgb="FF00FFFF"/>
      </patternFill>
    </fill>
    <fill>
      <patternFill patternType="solid">
        <fgColor theme="7" tint="0.7999816888943144"/>
        <bgColor rgb="FFD9D2E9"/>
      </patternFill>
    </fill>
    <fill>
      <patternFill patternType="solid">
        <fgColor theme="7" tint="0.7999816888943144"/>
        <bgColor rgb="FFC27BA0"/>
      </patternFill>
    </fill>
    <fill>
      <patternFill patternType="solid">
        <fgColor theme="7" tint="0.7999816888943144"/>
        <bgColor rgb="FFD5A6BD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rgb="FF63D297"/>
      </patternFill>
    </fill>
    <fill>
      <patternFill patternType="solid">
        <fgColor theme="7" tint="0.7999816888943144"/>
        <bgColor rgb="FFFF99CC"/>
      </patternFill>
    </fill>
    <fill>
      <patternFill patternType="solid">
        <fgColor theme="7" tint="0.7999816888943144"/>
        <bgColor rgb="FFA4C2F4"/>
      </patternFill>
    </fill>
    <fill>
      <patternFill patternType="solid">
        <fgColor theme="7" tint="0.7999816888943144"/>
        <bgColor rgb="FFB6D7A8"/>
      </patternFill>
    </fill>
    <fill>
      <patternFill patternType="solid">
        <fgColor theme="7" tint="0.7999816888943144"/>
        <bgColor rgb="FFDD7E6B"/>
      </patternFill>
    </fill>
    <fill>
      <patternFill patternType="solid">
        <fgColor theme="7" tint="0.7999816888943144"/>
        <bgColor rgb="FFFF6600"/>
      </patternFill>
    </fill>
    <fill>
      <patternFill patternType="solid">
        <fgColor theme="7" tint="0.7999816888943144"/>
        <bgColor rgb="FFF1C232"/>
      </patternFill>
    </fill>
    <fill>
      <patternFill patternType="solid">
        <fgColor theme="7" tint="0.7999816888943144"/>
        <bgColor rgb="FFFFC000"/>
      </patternFill>
    </fill>
    <fill>
      <patternFill patternType="solid">
        <fgColor theme="7" tint="0.7999816888943144"/>
        <bgColor rgb="FFCCFF99"/>
      </patternFill>
    </fill>
    <fill>
      <patternFill patternType="solid">
        <fgColor theme="7" tint="0.7999816888943144"/>
        <bgColor rgb="FF38761D"/>
      </patternFill>
    </fill>
    <fill>
      <patternFill patternType="solid">
        <fgColor theme="7" tint="0.7999816888943144"/>
        <bgColor rgb="FF385623"/>
      </patternFill>
    </fill>
    <fill>
      <patternFill patternType="solid">
        <fgColor theme="7" tint="0.7999816888943144"/>
        <bgColor rgb="FFFFD966"/>
      </patternFill>
    </fill>
    <fill>
      <patternFill patternType="solid">
        <fgColor theme="7" tint="0.7999816888943144"/>
        <bgColor rgb="FFF4B083"/>
      </patternFill>
    </fill>
    <fill>
      <patternFill patternType="solid">
        <fgColor theme="7" tint="0.7999816888943144"/>
        <bgColor rgb="FFF9CB9C"/>
      </patternFill>
    </fill>
    <fill>
      <patternFill patternType="solid">
        <fgColor theme="7" tint="0.7999816888943144"/>
        <bgColor rgb="FF9FC5E8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7" tint="0.7999816888943144"/>
        <bgColor rgb="FF93C47D"/>
      </patternFill>
    </fill>
    <fill>
      <patternFill patternType="solid">
        <fgColor theme="7" tint="0.7999816888943144"/>
        <bgColor rgb="FFE69138"/>
      </patternFill>
    </fill>
    <fill>
      <patternFill patternType="solid">
        <fgColor theme="7" tint="0.7999816888943144"/>
        <bgColor rgb="FFFBE4D5"/>
      </patternFill>
    </fill>
    <fill>
      <patternFill patternType="solid">
        <fgColor theme="7" tint="0.7999816888943144"/>
        <bgColor rgb="FFEA9999"/>
      </patternFill>
    </fill>
    <fill>
      <patternFill patternType="solid">
        <fgColor theme="7" tint="0.7999816888943144"/>
        <bgColor rgb="FF3C78D8"/>
      </patternFill>
    </fill>
    <fill>
      <patternFill patternType="solid">
        <fgColor theme="7" tint="0.7999816888943144"/>
        <bgColor rgb="FFFFE599"/>
      </patternFill>
    </fill>
    <fill>
      <patternFill patternType="solid">
        <fgColor theme="7" tint="0.7999816888943144"/>
        <bgColor rgb="FF8E7CC3"/>
      </patternFill>
    </fill>
    <fill>
      <patternFill patternType="solid">
        <fgColor theme="7" tint="0.7999816888943144"/>
        <bgColor rgb="FF6FA8DC"/>
      </patternFill>
    </fill>
    <fill>
      <patternFill patternType="solid">
        <fgColor theme="7" tint="0.7999816888943144"/>
        <bgColor rgb="FFB4A7D6"/>
      </patternFill>
    </fill>
    <fill>
      <patternFill patternType="solid">
        <fgColor theme="7" tint="0.7999816888943144"/>
        <bgColor rgb="FFCCFFCC"/>
      </patternFill>
    </fill>
    <fill>
      <patternFill patternType="solid">
        <fgColor theme="7" tint="0.7999816888943144"/>
        <bgColor rgb="FF66CCFF"/>
      </patternFill>
    </fill>
    <fill>
      <patternFill patternType="solid">
        <fgColor theme="7" tint="0.7999816888943144"/>
        <bgColor rgb="FF66FFFF"/>
      </patternFill>
    </fill>
    <fill>
      <patternFill patternType="solid">
        <fgColor theme="7" tint="0.7999816888943144"/>
        <bgColor rgb="FFCFE2F3"/>
      </patternFill>
    </fill>
    <fill>
      <patternFill patternType="solid">
        <fgColor theme="7" tint="0.7999816888943144"/>
        <bgColor rgb="FFFFCCFF"/>
      </patternFill>
    </fill>
    <fill>
      <patternFill patternType="solid">
        <fgColor theme="7" tint="0.7999816888943144"/>
        <bgColor rgb="FF76A5AF"/>
      </patternFill>
    </fill>
    <fill>
      <patternFill patternType="solid">
        <fgColor theme="7" tint="0.7999816888943144"/>
        <bgColor rgb="FFFFFF99"/>
      </patternFill>
    </fill>
    <fill>
      <patternFill patternType="solid">
        <fgColor theme="7" tint="0.7999816888943144"/>
        <bgColor rgb="FFF6B26B"/>
      </patternFill>
    </fill>
    <fill>
      <patternFill patternType="solid">
        <fgColor theme="7" tint="0.7999816888943144"/>
        <bgColor rgb="FF00B05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EAD1DC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6AA84F"/>
      </patternFill>
    </fill>
    <fill>
      <patternFill patternType="solid">
        <fgColor theme="7" tint="0.7999816888943144"/>
        <bgColor rgb="FFFFF2CC"/>
      </patternFill>
    </fill>
    <fill>
      <patternFill patternType="solid">
        <fgColor theme="7" tint="0.7999816888943144"/>
        <bgColor rgb="FFD9EAD3"/>
      </patternFill>
    </fill>
    <fill>
      <patternFill patternType="solid">
        <fgColor theme="7" tint="0.7999816888943144"/>
        <bgColor rgb="FFFCE5CD"/>
      </patternFill>
    </fill>
  </fills>
  <borders count="15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FF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741B47"/>
      </left>
      <right style="dotted">
        <color rgb="FF741B47"/>
      </right>
      <top style="thick">
        <color rgb="FF741B47"/>
      </top>
      <bottom style="dotted">
        <color rgb="FF741B47"/>
      </bottom>
      <diagonal/>
    </border>
    <border>
      <left style="dotted">
        <color rgb="FF741B47"/>
      </left>
      <right style="dotted">
        <color rgb="FF741B47"/>
      </right>
      <top style="thick">
        <color rgb="FF741B47"/>
      </top>
      <bottom style="dotted">
        <color rgb="FF741B47"/>
      </bottom>
      <diagonal/>
    </border>
    <border>
      <left style="thick">
        <color rgb="FF741B47"/>
      </left>
      <right style="dotted">
        <color rgb="FF741B47"/>
      </right>
      <top style="dotted">
        <color rgb="FF741B47"/>
      </top>
      <bottom style="thick">
        <color rgb="FF741B47"/>
      </bottom>
      <diagonal/>
    </border>
    <border>
      <left style="dotted">
        <color rgb="FF741B47"/>
      </left>
      <right style="dotted">
        <color rgb="FF741B47"/>
      </right>
      <top style="dotted">
        <color rgb="FF741B47"/>
      </top>
      <bottom style="thick">
        <color rgb="FF741B4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29">
    <xf numFmtId="0" fontId="0" fillId="0" borderId="0" xfId="0"/>
    <xf numFmtId="164" applyNumberFormat="1" fontId="1" applyFont="1" fillId="0" borderId="0" xfId="0" applyAlignment="1">
      <alignment horizontal="center"/>
    </xf>
    <xf numFmtId="16" applyNumberFormat="1" fontId="1" applyFont="1" fillId="0" borderId="0" xfId="0" applyAlignment="1">
      <alignment horizontal="center"/>
    </xf>
    <xf numFmtId="164" applyNumberFormat="1" fontId="1" applyFont="1" fillId="0" borderId="0" xfId="0"/>
    <xf numFmtId="164" applyNumberFormat="1" fontId="2" applyFont="1" fillId="0" borderId="0" xfId="0"/>
    <xf numFmtId="164" applyNumberFormat="1" fontId="3" applyFont="1" fillId="0" borderId="0" xfId="0"/>
    <xf numFmtId="164" applyNumberFormat="1" fontId="4" applyFont="1" fillId="0" borderId="0" xfId="0"/>
    <xf numFmtId="164" applyNumberFormat="1" fontId="6" applyFont="1" fillId="0" borderId="0" xfId="0"/>
    <xf numFmtId="164" applyNumberFormat="1" fontId="7" applyFont="1" fillId="0" borderId="0" xfId="0"/>
    <xf numFmtId="164" applyNumberFormat="1" fontId="8" applyFont="1" fillId="0" borderId="0" xfId="0"/>
    <xf numFmtId="164" applyNumberFormat="1" fontId="6" applyFont="1" fillId="0" borderId="0" xfId="0" applyAlignment="1">
      <alignment horizontal="center"/>
    </xf>
    <xf numFmtId="164" applyNumberFormat="1" fontId="9" applyFont="1" fillId="0" borderId="0" xfId="0"/>
    <xf numFmtId="164" applyNumberFormat="1" fontId="10" applyFont="1" fillId="0" borderId="0" xfId="0"/>
    <xf numFmtId="16" applyNumberFormat="1" fontId="6" applyFont="1" fillId="0" borderId="0" xfId="0" applyAlignment="1">
      <alignment horizontal="left"/>
    </xf>
    <xf numFmtId="164" applyNumberFormat="1" fontId="11" applyFont="1" fillId="0" borderId="0" xfId="0"/>
    <xf numFmtId="164" applyNumberFormat="1" fontId="13" applyFont="1" fillId="0" borderId="0" xfId="0"/>
    <xf numFmtId="164" applyNumberFormat="1" fontId="14" applyFont="1" fillId="0" borderId="0" xfId="0"/>
    <xf numFmtId="164" applyNumberFormat="1" fontId="11" applyFont="1" fillId="0" borderId="0" xfId="0" applyAlignment="1">
      <alignment horizontal="center"/>
    </xf>
    <xf numFmtId="164" applyNumberFormat="1" fontId="15" applyFont="1" fillId="0" borderId="0" xfId="0"/>
    <xf numFmtId="164" applyNumberFormat="1" fontId="16" applyFont="1" fillId="0" borderId="0" xfId="0"/>
    <xf numFmtId="16" applyNumberFormat="1" fontId="11" applyFont="1" fillId="0" borderId="0" xfId="0" applyAlignment="1">
      <alignment horizontal="left"/>
    </xf>
    <xf numFmtId="164" applyNumberFormat="1" fontId="17" applyFont="1" fillId="0" borderId="0" xfId="0"/>
    <xf numFmtId="164" applyNumberFormat="1" fontId="18" applyFont="1" fillId="0" borderId="0" xfId="0"/>
    <xf numFmtId="16" applyNumberFormat="1" fontId="19" applyFont="1" fillId="0" borderId="0" xfId="0" applyAlignment="1">
      <alignment horizontal="center"/>
    </xf>
    <xf numFmtId="164" applyNumberFormat="1" fontId="20" applyFont="1" fillId="0" borderId="0" xfId="0"/>
    <xf numFmtId="164" applyNumberFormat="1" fontId="19" applyFont="1" fillId="3" applyFill="1" borderId="2" applyBorder="1" xfId="0" applyAlignment="1">
      <alignment horizontal="center"/>
    </xf>
    <xf numFmtId="164" applyNumberFormat="1" fontId="19" applyFont="1" fillId="4" applyFill="1" borderId="2" applyBorder="1" xfId="0" applyAlignment="1">
      <alignment horizontal="center"/>
    </xf>
    <xf numFmtId="164" applyNumberFormat="1" fontId="19" applyFont="1" fillId="0" borderId="0" xfId="0"/>
    <xf numFmtId="164" applyNumberFormat="1" fontId="21" applyFont="1" fillId="0" borderId="3" applyBorder="1" xfId="0" applyAlignment="1">
      <alignment horizontal="center"/>
    </xf>
    <xf numFmtId="0" fontId="22" applyFont="1" fillId="0" borderId="0" xfId="0"/>
    <xf numFmtId="164" applyNumberFormat="1" fontId="23" applyFont="1" fillId="0" borderId="0" xfId="0"/>
    <xf numFmtId="164" applyNumberFormat="1" fontId="25" applyFont="1" fillId="0" borderId="0" xfId="0"/>
    <xf numFmtId="164" applyNumberFormat="1" fontId="19" applyFont="1" fillId="0" borderId="3" applyBorder="1" xfId="0"/>
    <xf numFmtId="164" applyNumberFormat="1" fontId="26" applyFont="1" fillId="0" borderId="0" xfId="0"/>
    <xf numFmtId="16" applyNumberFormat="1" fontId="27" applyFont="1" fillId="5" applyFill="1" borderId="4" applyBorder="1" xfId="0" applyAlignment="1">
      <alignment horizontal="center"/>
    </xf>
    <xf numFmtId="164" applyNumberFormat="1" fontId="27" applyFont="1" fillId="5" applyFill="1" borderId="5" applyBorder="1" xfId="0" applyAlignment="1">
      <alignment horizontal="center"/>
    </xf>
    <xf numFmtId="164" applyNumberFormat="1" fontId="27" applyFont="1" fillId="6" applyFill="1" borderId="6" applyBorder="1" xfId="0" applyAlignment="1">
      <alignment horizontal="center"/>
    </xf>
    <xf numFmtId="164" applyNumberFormat="1" fontId="27" applyFont="1" fillId="6" applyFill="1" borderId="5" applyBorder="1" xfId="0" applyAlignment="1">
      <alignment horizontal="center"/>
    </xf>
    <xf numFmtId="164" applyNumberFormat="1" fontId="27" applyFont="1" fillId="4" applyFill="1" borderId="4" applyBorder="1" xfId="0" applyAlignment="1">
      <alignment horizontal="center"/>
    </xf>
    <xf numFmtId="164" applyNumberFormat="1" fontId="19" applyFont="1" fillId="7" applyFill="1" borderId="7" applyBorder="1" xfId="0" applyAlignment="1">
      <alignment horizontal="center"/>
    </xf>
    <xf numFmtId="164" applyNumberFormat="1" fontId="19" applyFont="1" fillId="7" applyFill="1" borderId="8" applyBorder="1" xfId="0" applyAlignment="1">
      <alignment horizontal="center"/>
    </xf>
    <xf numFmtId="164" applyNumberFormat="1" fontId="19" applyFont="1" fillId="7" applyFill="1" borderId="5" applyBorder="1" xfId="0" applyAlignment="1">
      <alignment horizontal="center"/>
    </xf>
    <xf numFmtId="164" applyNumberFormat="1" fontId="19" applyFont="1" fillId="3" applyFill="1" borderId="5" applyBorder="1" xfId="0" applyAlignment="1">
      <alignment horizontal="center"/>
    </xf>
    <xf numFmtId="164" applyNumberFormat="1" fontId="27" applyFont="1" fillId="3" applyFill="1" borderId="5" applyBorder="1" xfId="0" applyAlignment="1">
      <alignment horizontal="center"/>
    </xf>
    <xf numFmtId="164" applyNumberFormat="1" fontId="27" applyFont="1" fillId="3" applyFill="1" borderId="6" applyBorder="1" xfId="0" applyAlignment="1">
      <alignment horizontal="center"/>
    </xf>
    <xf numFmtId="164" applyNumberFormat="1" fontId="27" applyFont="1" fillId="8" applyFill="1" borderId="8" applyBorder="1" xfId="0" applyAlignment="1">
      <alignment horizontal="center"/>
    </xf>
    <xf numFmtId="164" applyNumberFormat="1" fontId="27" applyFont="1" fillId="8" applyFill="1" borderId="5" applyBorder="1" xfId="0" applyAlignment="1">
      <alignment horizontal="center"/>
    </xf>
    <xf numFmtId="164" applyNumberFormat="1" fontId="27" applyFont="1" fillId="4" applyFill="1" borderId="5" applyBorder="1" xfId="0" applyAlignment="1">
      <alignment horizontal="center"/>
    </xf>
    <xf numFmtId="49" applyNumberFormat="1" fontId="27" applyFont="1" fillId="9" applyFill="1" borderId="5" applyBorder="1" xfId="0" applyAlignment="1">
      <alignment horizontal="center"/>
    </xf>
    <xf numFmtId="49" applyNumberFormat="1" fontId="27" applyFont="1" fillId="8" applyFill="1" borderId="5" applyBorder="1" xfId="0" applyAlignment="1">
      <alignment horizontal="center"/>
    </xf>
    <xf numFmtId="49" applyNumberFormat="1" fontId="27" applyFont="1" fillId="8" applyFill="1" borderId="6" applyBorder="1" xfId="0" applyAlignment="1">
      <alignment horizontal="center"/>
    </xf>
    <xf numFmtId="164" applyNumberFormat="1" fontId="27" applyFont="1" fillId="5" applyFill="1" borderId="7" applyBorder="1" xfId="0" applyAlignment="1">
      <alignment horizontal="center"/>
    </xf>
    <xf numFmtId="164" applyNumberFormat="1" fontId="27" applyFont="1" fillId="10" applyFill="1" borderId="8" applyBorder="1" xfId="0" applyAlignment="1">
      <alignment horizontal="center"/>
    </xf>
    <xf numFmtId="164" applyNumberFormat="1" fontId="28" applyFont="1" fillId="4" applyFill="1" borderId="8" applyBorder="1" xfId="0" applyAlignment="1">
      <alignment horizontal="center"/>
    </xf>
    <xf numFmtId="164" applyNumberFormat="1" fontId="27" applyFont="1" fillId="4" applyFill="1" borderId="5" applyBorder="1" xfId="0" applyAlignment="1">
      <alignment horizontal="center"/>
    </xf>
    <xf numFmtId="164" applyNumberFormat="1" fontId="27" applyFont="1" fillId="10" applyFill="1" borderId="5" applyBorder="1" xfId="0" applyAlignment="1">
      <alignment horizontal="center"/>
    </xf>
    <xf numFmtId="164" applyNumberFormat="1" fontId="29" applyFont="1" fillId="4" applyFill="1" borderId="5" applyBorder="1" xfId="0" applyAlignment="1">
      <alignment horizontal="center"/>
    </xf>
    <xf numFmtId="164" applyNumberFormat="1" fontId="30" applyFont="1" fillId="11" applyFill="1" borderId="9" applyBorder="1" xfId="0" applyAlignment="1">
      <alignment horizontal="center"/>
    </xf>
    <xf numFmtId="164" applyNumberFormat="1" fontId="30" applyFont="1" fillId="11" applyFill="1" borderId="2" applyBorder="1" xfId="0" applyAlignment="1">
      <alignment horizontal="center"/>
    </xf>
    <xf numFmtId="164" applyNumberFormat="1" fontId="27" applyFont="1" fillId="4" applyFill="1" borderId="2" applyBorder="1" xfId="0" applyAlignment="1">
      <alignment horizontal="center"/>
    </xf>
    <xf numFmtId="164" applyNumberFormat="1" fontId="31" applyFont="1" fillId="4" applyFill="1" borderId="2" applyBorder="1" xfId="0" applyAlignment="1">
      <alignment horizontal="center"/>
    </xf>
    <xf numFmtId="164" applyNumberFormat="1" fontId="27" applyFont="1" fillId="4" applyFill="1" borderId="7" applyBorder="1" xfId="0" applyAlignment="1">
      <alignment horizontal="center"/>
    </xf>
    <xf numFmtId="164" applyNumberFormat="1" fontId="27" applyFont="1" fillId="4" applyFill="1" borderId="12" applyBorder="1" xfId="0" applyAlignment="1">
      <alignment horizontal="center"/>
    </xf>
    <xf numFmtId="16" applyNumberFormat="1" fontId="27" applyFont="1" fillId="5" applyFill="1" borderId="13" applyBorder="1" xfId="0" applyAlignment="1">
      <alignment horizontal="center"/>
    </xf>
    <xf numFmtId="164" applyNumberFormat="1" fontId="27" applyFont="1" fillId="5" applyFill="1" borderId="14" applyBorder="1" xfId="0" applyAlignment="1">
      <alignment horizontal="center"/>
    </xf>
    <xf numFmtId="164" applyNumberFormat="1" fontId="27" applyFont="1" fillId="6" applyFill="1" borderId="15" applyBorder="1" xfId="0" applyAlignment="1">
      <alignment horizontal="center"/>
    </xf>
    <xf numFmtId="164" applyNumberFormat="1" fontId="27" applyFont="1" fillId="6" applyFill="1" borderId="16" applyBorder="1" xfId="0" applyAlignment="1">
      <alignment horizontal="center"/>
    </xf>
    <xf numFmtId="164" applyNumberFormat="1" fontId="27" applyFont="1" fillId="4" applyFill="1" borderId="17" applyBorder="1" xfId="0" applyAlignment="1">
      <alignment horizontal="center"/>
    </xf>
    <xf numFmtId="164" applyNumberFormat="1" fontId="15" applyFont="1" fillId="7" applyFill="1" borderId="18" applyBorder="1" xfId="0" applyAlignment="1">
      <alignment horizontal="center"/>
    </xf>
    <xf numFmtId="164" applyNumberFormat="1" fontId="15" applyFont="1" fillId="7" applyFill="1" borderId="19" applyBorder="1" xfId="0" applyAlignment="1">
      <alignment horizontal="center"/>
    </xf>
    <xf numFmtId="164" applyNumberFormat="1" fontId="15" applyFont="1" fillId="7" applyFill="1" borderId="16" applyBorder="1" xfId="0" applyAlignment="1">
      <alignment horizontal="center"/>
    </xf>
    <xf numFmtId="164" applyNumberFormat="1" fontId="15" applyFont="1" fillId="3" applyFill="1" borderId="16" applyBorder="1" xfId="0" applyAlignment="1">
      <alignment horizontal="center"/>
    </xf>
    <xf numFmtId="164" applyNumberFormat="1" fontId="32" applyFont="1" fillId="3" applyFill="1" borderId="16" applyBorder="1" xfId="0" applyAlignment="1">
      <alignment horizontal="center"/>
    </xf>
    <xf numFmtId="164" applyNumberFormat="1" fontId="31" applyFont="1" fillId="3" applyFill="1" borderId="16" applyBorder="1" xfId="0" applyAlignment="1">
      <alignment horizontal="center"/>
    </xf>
    <xf numFmtId="164" applyNumberFormat="1" fontId="27" applyFont="1" fillId="3" applyFill="1" borderId="16" applyBorder="1" xfId="0" applyAlignment="1">
      <alignment horizontal="center"/>
    </xf>
    <xf numFmtId="164" applyNumberFormat="1" fontId="27" applyFont="1" fillId="8" applyFill="1" borderId="19" applyBorder="1" xfId="0" applyAlignment="1">
      <alignment horizontal="center"/>
    </xf>
    <xf numFmtId="164" applyNumberFormat="1" fontId="27" applyFont="1" fillId="8" applyFill="1" borderId="16" applyBorder="1" xfId="0" applyAlignment="1">
      <alignment horizontal="center"/>
    </xf>
    <xf numFmtId="164" applyNumberFormat="1" fontId="27" applyFont="1" fillId="4" applyFill="1" borderId="16" applyBorder="1" xfId="0" applyAlignment="1">
      <alignment horizontal="center"/>
    </xf>
    <xf numFmtId="49" applyNumberFormat="1" fontId="27" applyFont="1" fillId="9" applyFill="1" borderId="16" applyBorder="1" xfId="0" applyAlignment="1">
      <alignment horizontal="center"/>
    </xf>
    <xf numFmtId="49" applyNumberFormat="1" fontId="27" applyFont="1" fillId="8" applyFill="1" borderId="16" applyBorder="1" xfId="0" applyAlignment="1">
      <alignment horizontal="center"/>
    </xf>
    <xf numFmtId="49" applyNumberFormat="1" fontId="27" applyFont="1" fillId="8" applyFill="1" borderId="15" applyBorder="1" xfId="0" applyAlignment="1">
      <alignment horizontal="center"/>
    </xf>
    <xf numFmtId="164" applyNumberFormat="1" fontId="27" applyFont="1" fillId="5" applyFill="1" borderId="18" applyBorder="1" xfId="0" applyAlignment="1">
      <alignment horizontal="center"/>
    </xf>
    <xf numFmtId="164" applyNumberFormat="1" fontId="27" applyFont="1" fillId="10" applyFill="1" borderId="20" applyBorder="1" xfId="0" applyAlignment="1">
      <alignment horizontal="center"/>
    </xf>
    <xf numFmtId="164" applyNumberFormat="1" fontId="30" applyFont="1" fillId="4" applyFill="1" borderId="20" applyBorder="1" xfId="0" applyAlignment="1">
      <alignment horizontal="center"/>
    </xf>
    <xf numFmtId="164" applyNumberFormat="1" fontId="27" applyFont="1" fillId="4" applyFill="1" borderId="21" applyBorder="1" xfId="0" applyAlignment="1">
      <alignment horizontal="center"/>
    </xf>
    <xf numFmtId="164" applyNumberFormat="1" fontId="27" applyFont="1" fillId="4" applyFill="1" borderId="21" applyBorder="1" xfId="0" applyAlignment="1">
      <alignment horizontal="center"/>
    </xf>
    <xf numFmtId="164" applyNumberFormat="1" fontId="27" applyFont="1" fillId="10" applyFill="1" borderId="21" applyBorder="1" xfId="0" applyAlignment="1">
      <alignment horizontal="center"/>
    </xf>
    <xf numFmtId="164" applyNumberFormat="1" fontId="33" applyFont="1" fillId="4" applyFill="1" borderId="21" applyBorder="1" xfId="0" applyAlignment="1">
      <alignment horizontal="center"/>
    </xf>
    <xf numFmtId="164" applyNumberFormat="1" fontId="30" applyFont="1" fillId="11" applyFill="1" borderId="22" applyBorder="1" xfId="0" applyAlignment="1">
      <alignment horizontal="center"/>
    </xf>
    <xf numFmtId="164" applyNumberFormat="1" fontId="30" applyFont="1" fillId="11" applyFill="1" borderId="23" applyBorder="1" xfId="0" applyAlignment="1">
      <alignment horizontal="center"/>
    </xf>
    <xf numFmtId="164" applyNumberFormat="1" fontId="27" applyFont="1" fillId="4" applyFill="1" borderId="23" applyBorder="1" xfId="0" applyAlignment="1">
      <alignment horizontal="center"/>
    </xf>
    <xf numFmtId="164" applyNumberFormat="1" fontId="31" applyFont="1" fillId="4" applyFill="1" borderId="23" applyBorder="1" xfId="0" applyAlignment="1">
      <alignment horizontal="center"/>
    </xf>
    <xf numFmtId="164" applyNumberFormat="1" fontId="27" applyFont="1" fillId="4" applyFill="1" borderId="18" applyBorder="1" xfId="0" applyAlignment="1">
      <alignment horizontal="center"/>
    </xf>
    <xf numFmtId="16" applyNumberFormat="1" fontId="1" applyFont="1" fillId="0" borderId="10" applyBorder="1" xfId="0" applyAlignment="1">
      <alignment horizontal="center"/>
    </xf>
    <xf numFmtId="164" applyNumberFormat="1" fontId="1" applyFont="1" fillId="0" borderId="28" applyBorder="1" xfId="0"/>
    <xf numFmtId="164" applyNumberFormat="1" fontId="1" applyFont="1" fillId="0" borderId="10" applyBorder="1" xfId="0" applyAlignment="1"/>
    <xf numFmtId="164" applyNumberFormat="1" fontId="1" applyFont="1" fillId="0" borderId="29" applyBorder="1" xfId="0"/>
    <xf numFmtId="164" applyNumberFormat="1" fontId="1" applyFont="1" fillId="0" borderId="30" applyBorder="1" xfId="0"/>
    <xf numFmtId="164" applyNumberFormat="1" fontId="35" applyFont="1" fillId="4" applyFill="1" borderId="13" applyBorder="1" xfId="0"/>
    <xf numFmtId="164" applyNumberFormat="1" fontId="36" applyFont="1" fillId="0" borderId="31" applyBorder="1" xfId="0"/>
    <xf numFmtId="164" applyNumberFormat="1" fontId="36" applyFont="1" fillId="0" borderId="28" applyBorder="1" xfId="0"/>
    <xf numFmtId="164" applyNumberFormat="1" fontId="36" applyFont="1" fillId="0" borderId="10" applyBorder="1" xfId="0"/>
    <xf numFmtId="164" applyNumberFormat="1" fontId="36" applyFont="1" fillId="0" borderId="10" applyBorder="1" xfId="0" applyAlignment="1"/>
    <xf numFmtId="164" applyNumberFormat="1" fontId="35" applyFont="1" fillId="3" applyFill="1" borderId="14" applyBorder="1" xfId="0"/>
    <xf numFmtId="164" applyNumberFormat="1" fontId="1" applyFont="1" fillId="0" borderId="10" applyBorder="1" xfId="0"/>
    <xf numFmtId="164" applyNumberFormat="1" fontId="35" applyFont="1" fillId="4" applyFill="1" borderId="14" applyBorder="1" xfId="0"/>
    <xf numFmtId="164" applyNumberFormat="1" fontId="36" applyFont="1" fillId="0" borderId="30" applyBorder="1" xfId="0"/>
    <xf numFmtId="164" applyNumberFormat="1" fontId="35" applyFont="1" fillId="5" applyFill="1" borderId="32" applyBorder="1" xfId="0"/>
    <xf numFmtId="164" applyNumberFormat="1" fontId="3" applyFont="1" fillId="12" applyFill="1" borderId="2" applyBorder="1" xfId="0"/>
    <xf numFmtId="164" applyNumberFormat="1" fontId="37" applyFont="1" fillId="12" applyFill="1" borderId="2" applyBorder="1" xfId="0"/>
    <xf numFmtId="164" applyNumberFormat="1" fontId="37" applyFont="1" fillId="12" applyFill="1" borderId="34" applyBorder="1" xfId="0"/>
    <xf numFmtId="164" applyNumberFormat="1" fontId="4" applyFont="1" fillId="12" applyFill="1" borderId="2" applyBorder="1" xfId="0"/>
    <xf numFmtId="164" applyNumberFormat="1" fontId="35" applyFont="1" fillId="5" applyFill="1" borderId="37" applyBorder="1" xfId="0"/>
    <xf numFmtId="164" applyNumberFormat="1" fontId="1" applyFont="1" fillId="11" applyFill="1" borderId="14" applyBorder="1" xfId="0"/>
    <xf numFmtId="164" applyNumberFormat="1" fontId="1" applyFont="1" fillId="11" applyFill="1" borderId="2" applyBorder="1" xfId="0"/>
    <xf numFmtId="164" applyNumberFormat="1" fontId="1" applyFont="1" fillId="4" applyFill="1" borderId="2" applyBorder="1" xfId="0"/>
    <xf numFmtId="164" applyNumberFormat="1" fontId="35" applyFont="1" fillId="13" applyFill="1" borderId="2" applyBorder="1" xfId="0"/>
    <xf numFmtId="16" applyNumberFormat="1" fontId="1" applyFont="1" fillId="0" borderId="31" applyBorder="1" xfId="0" applyAlignment="1">
      <alignment horizontal="center"/>
    </xf>
    <xf numFmtId="164" applyNumberFormat="1" fontId="1" applyFont="1" fillId="0" borderId="41" applyBorder="1" xfId="0"/>
    <xf numFmtId="164" applyNumberFormat="1" fontId="1" applyFont="1" fillId="0" borderId="31" applyBorder="1" xfId="0" applyAlignment="1"/>
    <xf numFmtId="164" applyNumberFormat="1" fontId="1" applyFont="1" fillId="0" borderId="38" applyBorder="1" xfId="0"/>
    <xf numFmtId="164" applyNumberFormat="1" fontId="36" applyFont="1" fillId="0" borderId="31" applyBorder="1" xfId="0" applyAlignment="1"/>
    <xf numFmtId="164" applyNumberFormat="1" fontId="36" applyFont="1" fillId="0" borderId="41" applyBorder="1" xfId="0"/>
    <xf numFmtId="164" applyNumberFormat="1" fontId="1" applyFont="1" fillId="0" borderId="31" applyBorder="1" xfId="0"/>
    <xf numFmtId="164" applyNumberFormat="1" fontId="36" applyFont="1" fillId="0" borderId="38" applyBorder="1" xfId="0"/>
    <xf numFmtId="164" applyNumberFormat="1" fontId="3" applyFont="1" fillId="12" applyFill="1" borderId="14" applyBorder="1" xfId="0"/>
    <xf numFmtId="164" applyNumberFormat="1" fontId="37" applyFont="1" fillId="12" applyFill="1" borderId="14" applyBorder="1" xfId="0"/>
    <xf numFmtId="164" applyNumberFormat="1" fontId="37" applyFont="1" fillId="12" applyFill="1" borderId="1" applyBorder="1" xfId="0"/>
    <xf numFmtId="164" applyNumberFormat="1" fontId="4" applyFont="1" fillId="12" applyFill="1" borderId="14" applyBorder="1" xfId="0"/>
    <xf numFmtId="164" applyNumberFormat="1" fontId="1" applyFont="1" fillId="4" applyFill="1" borderId="14" applyBorder="1" xfId="0"/>
    <xf numFmtId="164" applyNumberFormat="1" fontId="35" applyFont="1" fillId="13" applyFill="1" borderId="14" applyBorder="1" xfId="0"/>
    <xf numFmtId="164" applyNumberFormat="1" fontId="1" applyFont="1" fillId="4" applyFill="1" borderId="14" applyBorder="1" xfId="0" applyAlignment="1"/>
    <xf numFmtId="164" applyNumberFormat="1" fontId="37" applyFont="1" fillId="0" borderId="0" xfId="0"/>
    <xf numFmtId="164" applyNumberFormat="1" fontId="37" applyFont="1" fillId="0" borderId="41" applyBorder="1" xfId="0"/>
    <xf numFmtId="164" applyNumberFormat="1" fontId="37" applyFont="1" fillId="0" borderId="31" applyBorder="1" xfId="0" applyAlignment="1"/>
    <xf numFmtId="164" applyNumberFormat="1" fontId="37" applyFont="1" fillId="0" borderId="38" applyBorder="1" xfId="0"/>
    <xf numFmtId="164" applyNumberFormat="1" fontId="37" applyFont="1" fillId="0" borderId="31" applyBorder="1" xfId="0"/>
    <xf numFmtId="164" applyNumberFormat="1" fontId="3" applyFont="1" fillId="12" applyFill="1" borderId="23" applyBorder="1" xfId="0"/>
    <xf numFmtId="164" applyNumberFormat="1" fontId="37" applyFont="1" fillId="12" applyFill="1" borderId="23" applyBorder="1" xfId="0"/>
    <xf numFmtId="164" applyNumberFormat="1" fontId="4" applyFont="1" fillId="12" applyFill="1" borderId="23" applyBorder="1" xfId="0"/>
    <xf numFmtId="164" applyNumberFormat="1" fontId="37" applyFont="1" fillId="11" applyFill="1" borderId="14" applyBorder="1" xfId="0"/>
    <xf numFmtId="164" applyNumberFormat="1" fontId="37" applyFont="1" fillId="4" applyFill="1" borderId="14" applyBorder="1" xfId="0"/>
    <xf numFmtId="16" applyNumberFormat="1" fontId="37" applyFont="1" fillId="0" borderId="31" applyBorder="1" xfId="0" applyAlignment="1">
      <alignment horizontal="center"/>
    </xf>
    <xf numFmtId="164" applyNumberFormat="1" fontId="36" applyFont="1" fillId="11" applyFill="1" borderId="14" applyBorder="1" xfId="0"/>
    <xf numFmtId="164" applyNumberFormat="1" fontId="36" applyFont="1" fillId="11" applyFill="1" borderId="46" applyBorder="1" xfId="0"/>
    <xf numFmtId="164" applyNumberFormat="1" fontId="36" applyFont="1" fillId="11" applyFill="1" borderId="14" applyBorder="1" xfId="0" applyAlignment="1"/>
    <xf numFmtId="164" applyNumberFormat="1" fontId="36" applyFont="1" fillId="11" applyFill="1" borderId="47" applyBorder="1" xfId="0"/>
    <xf numFmtId="164" applyNumberFormat="1" fontId="35" applyFont="1" fillId="4" applyFill="1" borderId="25" applyBorder="1" xfId="0"/>
    <xf numFmtId="164" applyNumberFormat="1" fontId="36" applyFont="1" fillId="11" applyFill="1" borderId="1" applyBorder="1" xfId="0"/>
    <xf numFmtId="164" applyNumberFormat="1" fontId="36" applyFont="1" fillId="11" applyFill="1" borderId="47" applyBorder="1" xfId="0" applyAlignment="1"/>
    <xf numFmtId="164" applyNumberFormat="1" fontId="37" applyFont="1" fillId="4" applyFill="1" borderId="14" applyBorder="1" xfId="0" applyAlignment="1"/>
    <xf numFmtId="164" applyNumberFormat="1" fontId="36" applyFont="1" fillId="11" applyFill="1" borderId="1" applyBorder="1" xfId="0" applyAlignment="1"/>
    <xf numFmtId="164" applyNumberFormat="1" fontId="37" applyFont="1" fillId="4" applyFill="1" borderId="46" applyBorder="1" xfId="0"/>
    <xf numFmtId="164" applyNumberFormat="1" fontId="37" applyFont="1" fillId="0" borderId="51" applyBorder="1" xfId="0"/>
    <xf numFmtId="164" applyNumberFormat="1" fontId="37" applyFont="1" fillId="0" borderId="24" applyBorder="1" xfId="0" applyAlignment="1"/>
    <xf numFmtId="164" applyNumberFormat="1" fontId="37" applyFont="1" fillId="0" borderId="52" applyBorder="1" xfId="0"/>
    <xf numFmtId="164" applyNumberFormat="1" fontId="37" applyFont="1" fillId="0" borderId="53" applyBorder="1" xfId="0"/>
    <xf numFmtId="164" applyNumberFormat="1" fontId="36" applyFont="1" fillId="11" applyFill="1" borderId="23" applyBorder="1" xfId="0"/>
    <xf numFmtId="164" applyNumberFormat="1" fontId="36" applyFont="1" fillId="11" applyFill="1" borderId="23" applyBorder="1" xfId="0" applyAlignment="1"/>
    <xf numFmtId="164" applyNumberFormat="1" fontId="37" applyFont="1" fillId="0" borderId="24" applyBorder="1" xfId="0"/>
    <xf numFmtId="164" applyNumberFormat="1" fontId="36" applyFont="1" fillId="11" applyFill="1" borderId="54" applyBorder="1" xfId="0"/>
    <xf numFmtId="164" applyNumberFormat="1" fontId="37" applyFont="1" fillId="12" applyFill="1" borderId="55" applyBorder="1" xfId="0"/>
    <xf numFmtId="164" applyNumberFormat="1" fontId="37" applyFont="1" fillId="11" applyFill="1" borderId="23" applyBorder="1" xfId="0"/>
    <xf numFmtId="164" applyNumberFormat="1" fontId="37" applyFont="1" fillId="4" applyFill="1" borderId="23" applyBorder="1" xfId="0"/>
    <xf numFmtId="164" applyNumberFormat="1" fontId="35" applyFont="1" fillId="13" applyFill="1" borderId="23" applyBorder="1" xfId="0"/>
    <xf numFmtId="164" applyNumberFormat="1" fontId="35" applyFont="1" fillId="20" applyFill="1" borderId="23" applyBorder="1" xfId="0"/>
    <xf numFmtId="164" applyNumberFormat="1" fontId="35" applyFont="1" fillId="20" applyFill="1" borderId="57" applyBorder="1" xfId="0"/>
    <xf numFmtId="164" applyNumberFormat="1" fontId="35" applyFont="1" fillId="20" applyFill="1" borderId="58" applyBorder="1" xfId="0"/>
    <xf numFmtId="164" applyNumberFormat="1" fontId="39" applyFont="1" fillId="20" applyFill="1" borderId="24" applyBorder="1" xfId="0"/>
    <xf numFmtId="164" applyNumberFormat="1" fontId="35" applyFont="1" fillId="20" applyFill="1" borderId="59" applyBorder="1" xfId="0"/>
    <xf numFmtId="164" applyNumberFormat="1" fontId="35" applyFont="1" fillId="20" applyFill="1" borderId="24" applyBorder="1" xfId="0"/>
    <xf numFmtId="164" applyNumberFormat="1" fontId="40" applyFont="1" fillId="20" applyFill="1" borderId="24" applyBorder="1" xfId="0"/>
    <xf numFmtId="164" applyNumberFormat="1" fontId="35" applyFont="1" fillId="11" applyFill="1" borderId="57" applyBorder="1" xfId="0"/>
    <xf numFmtId="164" applyNumberFormat="1" fontId="36" applyFont="1" fillId="0" borderId="0" xfId="0"/>
    <xf numFmtId="16" applyNumberFormat="1" fontId="1" applyFont="1" fillId="0" borderId="0" xfId="0"/>
    <xf numFmtId="164" applyNumberFormat="1" fontId="32" applyFont="1" fillId="0" borderId="0" xfId="0"/>
    <xf numFmtId="164" applyNumberFormat="1" fontId="1" applyFont="1" fillId="0" borderId="52" applyBorder="1" xfId="0"/>
    <xf numFmtId="164" applyNumberFormat="1" fontId="2" applyFont="1" fillId="0" borderId="60" applyBorder="1" xfId="0"/>
    <xf numFmtId="164" applyNumberFormat="1" fontId="36" applyFont="1" fillId="0" borderId="52" applyBorder="1" xfId="0"/>
    <xf numFmtId="16" applyNumberFormat="1" fontId="37" applyFont="1" fillId="0" borderId="10" applyBorder="1" xfId="0" applyAlignment="1">
      <alignment horizontal="center"/>
    </xf>
    <xf numFmtId="164" applyNumberFormat="1" fontId="37" applyFont="1" fillId="0" borderId="28" applyBorder="1" xfId="0"/>
    <xf numFmtId="164" applyNumberFormat="1" fontId="37" applyFont="1" fillId="0" borderId="10" applyBorder="1" xfId="0" applyAlignment="1"/>
    <xf numFmtId="164" applyNumberFormat="1" fontId="37" applyFont="1" fillId="0" borderId="30" applyBorder="1" xfId="0"/>
    <xf numFmtId="164" applyNumberFormat="1" fontId="35" applyFont="1" fillId="4" applyFill="1" borderId="61" applyBorder="1" xfId="0"/>
    <xf numFmtId="164" applyNumberFormat="1" fontId="36" applyFont="1" fillId="11" applyFill="1" borderId="10" applyBorder="1" xfId="0"/>
    <xf numFmtId="164" applyNumberFormat="1" fontId="36" applyFont="1" fillId="11" applyFill="1" borderId="36" applyBorder="1" xfId="0"/>
    <xf numFmtId="164" applyNumberFormat="1" fontId="36" applyFont="1" fillId="11" applyFill="1" borderId="2" applyBorder="1" xfId="0"/>
    <xf numFmtId="164" applyNumberFormat="1" fontId="36" applyFont="1" fillId="11" applyFill="1" borderId="62" applyBorder="1" xfId="0"/>
    <xf numFmtId="164" applyNumberFormat="1" fontId="36" applyFont="1" fillId="11" applyFill="1" borderId="2" applyBorder="1" xfId="0" applyAlignment="1"/>
    <xf numFmtId="164" applyNumberFormat="1" fontId="35" applyFont="1" fillId="3" applyFill="1" borderId="2" applyBorder="1" xfId="0"/>
    <xf numFmtId="164" applyNumberFormat="1" fontId="37" applyFont="1" fillId="0" borderId="10" applyBorder="1" xfId="0"/>
    <xf numFmtId="164" applyNumberFormat="1" fontId="35" applyFont="1" fillId="4" applyFill="1" borderId="2" applyBorder="1" xfId="0"/>
    <xf numFmtId="164" applyNumberFormat="1" fontId="36" applyFont="1" fillId="11" applyFill="1" borderId="62" applyBorder="1" xfId="0" applyAlignment="1"/>
    <xf numFmtId="164" applyNumberFormat="1" fontId="36" applyFont="1" fillId="11" applyFill="1" borderId="63" applyBorder="1" xfId="0"/>
    <xf numFmtId="164" applyNumberFormat="1" fontId="35" applyFont="1" fillId="5" applyFill="1" borderId="64" applyBorder="1" xfId="0"/>
    <xf numFmtId="164" applyNumberFormat="1" fontId="37" applyFont="1" fillId="11" applyFill="1" borderId="2" applyBorder="1" xfId="0"/>
    <xf numFmtId="164" applyNumberFormat="1" fontId="37" applyFont="1" fillId="4" applyFill="1" borderId="2" applyBorder="1" xfId="0"/>
    <xf numFmtId="16" applyNumberFormat="1" fontId="37" applyFont="1" fillId="0" borderId="10" applyBorder="1" xfId="0" applyAlignment="1">
      <alignment horizontal="center"/>
    </xf>
    <xf numFmtId="164" applyNumberFormat="1" fontId="36" applyFont="1" fillId="11" applyFill="1" borderId="65" applyBorder="1" xfId="0" applyAlignment="1"/>
    <xf numFmtId="164" applyNumberFormat="1" fontId="36" applyFont="1" fillId="11" applyFill="1" borderId="46" applyBorder="1" xfId="0" applyAlignment="1"/>
    <xf numFmtId="164" applyNumberFormat="1" fontId="37" applyFont="1" fillId="0" borderId="0" xfId="0" applyAlignment="1"/>
    <xf numFmtId="164" applyNumberFormat="1" fontId="37" applyFont="1" fillId="11" applyFill="1" borderId="14" applyBorder="1" xfId="0" applyAlignment="1"/>
    <xf numFmtId="2" applyNumberFormat="1" fontId="32" applyFont="1" fillId="15" applyFill="1" borderId="67" applyBorder="1" xfId="0"/>
    <xf numFmtId="2" applyNumberFormat="1" fontId="32" applyFont="1" fillId="17" applyFill="1" borderId="49" applyBorder="1" xfId="0"/>
    <xf numFmtId="16" applyNumberFormat="1" fontId="32" applyFont="1" fillId="0" borderId="0" xfId="0" applyAlignment="1">
      <alignment horizontal="center"/>
    </xf>
    <xf numFmtId="164" applyNumberFormat="1" fontId="43" applyFont="1" fillId="0" borderId="0" xfId="0" applyAlignment="1">
      <alignment horizontal="center"/>
    </xf>
    <xf numFmtId="16" applyNumberFormat="1" fontId="43" applyFont="1" fillId="0" borderId="0" xfId="0" applyAlignment="1">
      <alignment horizontal="center"/>
    </xf>
    <xf numFmtId="164" applyNumberFormat="1" fontId="43" applyFont="1" fillId="0" borderId="0" xfId="0"/>
    <xf numFmtId="164" applyNumberFormat="1" fontId="44" applyFont="1" fillId="0" borderId="0" xfId="0"/>
    <xf numFmtId="164" applyNumberFormat="1" fontId="43" applyFont="1" fillId="0" borderId="52" applyBorder="1" xfId="0"/>
    <xf numFmtId="164" applyNumberFormat="1" fontId="44" applyFont="1" fillId="0" borderId="60" applyBorder="1" xfId="0"/>
    <xf numFmtId="164" applyNumberFormat="1" fontId="42" applyFont="1" fillId="0" borderId="0" xfId="0"/>
    <xf numFmtId="164" applyNumberFormat="1" fontId="43" applyFont="1" fillId="0" borderId="31" applyBorder="1" xfId="0"/>
    <xf numFmtId="164" applyNumberFormat="1" fontId="45" applyFont="1" fillId="0" borderId="0" xfId="0"/>
    <xf numFmtId="164" applyNumberFormat="1" fontId="44" applyFont="1" fillId="0" borderId="52" applyBorder="1" xfId="0"/>
    <xf numFmtId="16" applyNumberFormat="1" fontId="1" applyFont="1" fillId="0" borderId="10" applyBorder="1" xfId="0" applyAlignment="1">
      <alignment horizontal="center"/>
    </xf>
    <xf numFmtId="164" applyNumberFormat="1" fontId="35" applyFont="1" fillId="4" applyFill="1" borderId="7" applyBorder="1" xfId="0"/>
    <xf numFmtId="164" applyNumberFormat="1" fontId="36" applyFont="1" fillId="11" applyFill="1" borderId="34" applyBorder="1" xfId="0"/>
    <xf numFmtId="164" applyNumberFormat="1" fontId="36" applyFont="1" fillId="22" applyFill="1" borderId="2" applyBorder="1" xfId="0" applyAlignment="1"/>
    <xf numFmtId="164" applyNumberFormat="1" fontId="35" applyFont="1" fillId="5" applyFill="1" borderId="4" applyBorder="1" xfId="0"/>
    <xf numFmtId="164" applyNumberFormat="1" fontId="1" applyFont="1" fillId="12" applyFill="1" borderId="2" applyBorder="1" xfId="0"/>
    <xf numFmtId="164" applyNumberFormat="1" fontId="1" applyFont="1" fillId="12" applyFill="1" borderId="1" applyBorder="1" xfId="0"/>
    <xf numFmtId="164" applyNumberFormat="1" fontId="35" applyFont="1" fillId="5" applyFill="1" borderId="45" applyBorder="1" xfId="0"/>
    <xf numFmtId="164" applyNumberFormat="1" fontId="36" applyFont="1" fillId="22" applyFill="1" borderId="14" applyBorder="1" xfId="0" applyAlignment="1"/>
    <xf numFmtId="164" applyNumberFormat="1" fontId="35" applyFont="1" fillId="5" applyFill="1" borderId="13" applyBorder="1" xfId="0"/>
    <xf numFmtId="164" applyNumberFormat="1" fontId="1" applyFont="1" fillId="12" applyFill="1" borderId="14" applyBorder="1" xfId="0"/>
    <xf numFmtId="164" applyNumberFormat="1" fontId="1" applyFont="1" fillId="0" borderId="0" xfId="0" applyAlignment="1"/>
    <xf numFmtId="164" applyNumberFormat="1" fontId="1" applyFont="1" fillId="12" applyFill="1" borderId="14" applyBorder="1" xfId="0" applyAlignment="1"/>
    <xf numFmtId="164" applyNumberFormat="1" fontId="1" applyFont="1" fillId="0" borderId="41" applyBorder="1" xfId="0" applyAlignment="1"/>
    <xf numFmtId="164" applyNumberFormat="1" fontId="37" applyFont="1" fillId="12" applyFill="1" borderId="14" applyBorder="1" xfId="0" applyAlignment="1"/>
    <xf numFmtId="164" applyNumberFormat="1" fontId="37" applyFont="1" fillId="0" borderId="41" applyBorder="1" xfId="0" applyAlignment="1"/>
    <xf numFmtId="164" applyNumberFormat="1" fontId="37" applyFont="1" fillId="17" applyFill="1" borderId="14" applyBorder="1" xfId="0"/>
    <xf numFmtId="164" applyNumberFormat="1" fontId="35" applyFont="1" fillId="5" applyFill="1" borderId="17" applyBorder="1" xfId="0"/>
    <xf numFmtId="164" applyNumberFormat="1" fontId="39" applyFont="1" fillId="20" applyFill="1" borderId="23" applyBorder="1" xfId="0"/>
    <xf numFmtId="164" applyNumberFormat="1" fontId="40" applyFont="1" fillId="20" applyFill="1" borderId="23" applyBorder="1" xfId="0"/>
    <xf numFmtId="164" applyNumberFormat="1" fontId="47" applyFont="1" fillId="0" borderId="0" xfId="0"/>
    <xf numFmtId="16" applyNumberFormat="1" fontId="1" applyFont="1" fillId="0" borderId="52" applyBorder="1" xfId="0" applyAlignment="1">
      <alignment horizontal="center"/>
    </xf>
    <xf numFmtId="16" applyNumberFormat="1" fontId="1" applyFont="1" fillId="0" borderId="76" applyBorder="1" xfId="0" applyAlignment="1">
      <alignment horizontal="center"/>
    </xf>
    <xf numFmtId="164" applyNumberFormat="1" fontId="1" applyFont="1" fillId="0" borderId="28" applyBorder="1" xfId="0" applyAlignment="1"/>
    <xf numFmtId="164" applyNumberFormat="1" fontId="35" applyFont="1" fillId="4" applyFill="1" borderId="30" applyBorder="1" xfId="0"/>
    <xf numFmtId="164" applyNumberFormat="1" fontId="36" applyFont="1" fillId="11" applyFill="1" borderId="29" applyBorder="1" xfId="0"/>
    <xf numFmtId="164" applyNumberFormat="1" fontId="36" applyFont="1" fillId="11" applyFill="1" borderId="10" applyBorder="1" xfId="0" applyAlignment="1"/>
    <xf numFmtId="164" applyNumberFormat="1" fontId="36" applyFont="1" fillId="11" applyFill="1" borderId="29" applyBorder="1" xfId="0" applyAlignment="1"/>
    <xf numFmtId="164" applyNumberFormat="1" fontId="36" applyFont="1" fillId="11" applyFill="1" borderId="28" applyBorder="1" xfId="0"/>
    <xf numFmtId="164" applyNumberFormat="1" fontId="35" applyFont="1" fillId="3" applyFill="1" borderId="77" applyBorder="1" xfId="0"/>
    <xf numFmtId="164" applyNumberFormat="1" fontId="36" applyFont="1" fillId="11" applyFill="1" borderId="30" applyBorder="1" xfId="0"/>
    <xf numFmtId="164" applyNumberFormat="1" fontId="1" applyFont="1" fillId="0" borderId="30" applyBorder="1" xfId="0" applyAlignment="1"/>
    <xf numFmtId="164" applyNumberFormat="1" fontId="36" applyFont="1" fillId="0" borderId="29" applyBorder="1" xfId="0"/>
    <xf numFmtId="164" applyNumberFormat="1" fontId="35" applyFont="1" fillId="5" applyFill="1" borderId="42" applyBorder="1" xfId="0"/>
    <xf numFmtId="164" applyNumberFormat="1" fontId="1" applyFont="1" fillId="4" applyFill="1" borderId="62" applyBorder="1" xfId="0"/>
    <xf numFmtId="164" applyNumberFormat="1" fontId="1" applyFont="1" fillId="4" applyFill="1" borderId="2" applyBorder="1" xfId="0" applyAlignment="1"/>
    <xf numFmtId="164" applyNumberFormat="1" fontId="35" applyFont="1" fillId="4" applyFill="1" borderId="78" applyBorder="1" xfId="0"/>
    <xf numFmtId="164" applyNumberFormat="1" fontId="36" applyFont="1" fillId="11" applyFill="1" borderId="79" applyBorder="1" xfId="0"/>
    <xf numFmtId="164" applyNumberFormat="1" fontId="36" applyFont="1" fillId="11" applyFill="1" borderId="65" applyBorder="1" xfId="0"/>
    <xf numFmtId="164" applyNumberFormat="1" fontId="35" applyFont="1" fillId="4" applyFill="1" borderId="65" applyBorder="1" xfId="0"/>
    <xf numFmtId="164" applyNumberFormat="1" fontId="1" applyFont="1" fillId="4" applyFill="1" borderId="46" applyBorder="1" xfId="0"/>
    <xf numFmtId="164" applyNumberFormat="1" fontId="36" applyFont="1" fillId="0" borderId="38" applyBorder="1" xfId="0" applyAlignment="1"/>
    <xf numFmtId="164" applyNumberFormat="1" fontId="32" applyFont="1" fillId="0" borderId="0" xfId="0" applyAlignment="1">
      <alignment horizontal="center"/>
    </xf>
    <xf numFmtId="164" applyNumberFormat="1" fontId="37" applyFont="1" fillId="0" borderId="51" applyBorder="1" xfId="0" applyAlignment="1"/>
    <xf numFmtId="164" applyNumberFormat="1" fontId="37" applyFont="1" fillId="12" applyFill="1" borderId="23" applyBorder="1" xfId="0" applyAlignment="1"/>
    <xf numFmtId="0" fontId="21" applyFont="1" fillId="14" applyFill="1" borderId="57" applyBorder="1" xfId="0" applyAlignment="1">
      <alignment horizontal="center"/>
    </xf>
    <xf numFmtId="164" applyNumberFormat="1" fontId="40" applyFont="1" fillId="20" applyFill="1" borderId="57" applyBorder="1" xfId="0"/>
    <xf numFmtId="0" fontId="21" applyFont="1" fillId="23" applyFill="1" borderId="57" applyBorder="1" xfId="0" applyAlignment="1">
      <alignment horizontal="center"/>
    </xf>
    <xf numFmtId="164" applyNumberFormat="1" fontId="35" applyFont="1" fillId="28" applyFill="1" borderId="57" applyBorder="1" xfId="0"/>
    <xf numFmtId="16" applyNumberFormat="1" fontId="37" applyFont="1" fillId="0" borderId="3" applyBorder="1" xfId="0" applyAlignment="1">
      <alignment horizontal="center"/>
    </xf>
    <xf numFmtId="164" applyNumberFormat="1" fontId="35" applyFont="1" fillId="4" applyFill="1" borderId="80" applyBorder="1" xfId="0"/>
    <xf numFmtId="164" applyNumberFormat="1" fontId="35" applyFont="1" fillId="5" applyFill="1" borderId="81" applyBorder="1" xfId="0"/>
    <xf numFmtId="164" applyNumberFormat="1" fontId="37" applyFont="1" fillId="12" applyFill="1" borderId="57" applyBorder="1" xfId="0" applyAlignment="1"/>
    <xf numFmtId="164" applyNumberFormat="1" fontId="3" applyFont="1" fillId="12" applyFill="1" borderId="62" applyBorder="1" xfId="0"/>
    <xf numFmtId="164" applyNumberFormat="1" fontId="37" applyFont="1" fillId="12" applyFill="1" borderId="62" applyBorder="1" xfId="0"/>
    <xf numFmtId="164" applyNumberFormat="1" fontId="37" applyFont="1" fillId="12" applyFill="1" borderId="63" applyBorder="1" xfId="0"/>
    <xf numFmtId="164" applyNumberFormat="1" fontId="37" applyFont="1" fillId="12" applyFill="1" borderId="2" applyBorder="1" xfId="0" applyAlignment="1"/>
    <xf numFmtId="164" applyNumberFormat="1" fontId="35" applyFont="1" fillId="5" applyFill="1" borderId="50" applyBorder="1" xfId="0"/>
    <xf numFmtId="164" applyNumberFormat="1" fontId="3" applyFont="1" fillId="12" applyFill="1" borderId="46" applyBorder="1" xfId="0"/>
    <xf numFmtId="164" applyNumberFormat="1" fontId="37" applyFont="1" fillId="12" applyFill="1" borderId="46" applyBorder="1" xfId="0"/>
    <xf numFmtId="164" applyNumberFormat="1" fontId="37" applyFont="1" fillId="12" applyFill="1" borderId="47" applyBorder="1" xfId="0"/>
    <xf numFmtId="164" applyNumberFormat="1" fontId="1" applyFont="1" fillId="12" applyFill="1" borderId="46" applyBorder="1" xfId="0"/>
    <xf numFmtId="164" applyNumberFormat="1" fontId="1" applyFont="1" fillId="0" borderId="51" applyBorder="1" xfId="0"/>
    <xf numFmtId="164" applyNumberFormat="1" fontId="1" applyFont="1" fillId="0" borderId="24" applyBorder="1" xfId="0"/>
    <xf numFmtId="164" applyNumberFormat="1" fontId="1" applyFont="1" fillId="0" borderId="53" applyBorder="1" xfId="0"/>
    <xf numFmtId="164" applyNumberFormat="1" fontId="1" applyFont="1" fillId="12" applyFill="1" borderId="23" applyBorder="1" xfId="0"/>
    <xf numFmtId="164" applyNumberFormat="1" fontId="1" applyFont="1" fillId="11" applyFill="1" borderId="23" applyBorder="1" xfId="0"/>
    <xf numFmtId="164" applyNumberFormat="1" fontId="1" applyFont="1" fillId="4" applyFill="1" borderId="23" applyBorder="1" xfId="0"/>
    <xf numFmtId="164" applyNumberFormat="1" fontId="39" applyFont="1" fillId="20" applyFill="1" borderId="57" applyBorder="1" xfId="0"/>
    <xf numFmtId="164" applyNumberFormat="1" fontId="35" applyFont="1" fillId="20" applyFill="1" borderId="70" applyBorder="1" xfId="0"/>
    <xf numFmtId="164" applyNumberFormat="1" fontId="1" applyFont="1" fillId="0" borderId="82" applyBorder="1" xfId="0"/>
    <xf numFmtId="164" applyNumberFormat="1" fontId="1" applyFont="1" fillId="12" applyFill="1" borderId="62" applyBorder="1" xfId="0"/>
    <xf numFmtId="164" applyNumberFormat="1" fontId="36" applyFont="1" fillId="4" applyFill="1" borderId="2" applyBorder="1" xfId="0"/>
    <xf numFmtId="164" applyNumberFormat="1" fontId="36" applyFont="1" fillId="4" applyFill="1" borderId="14" applyBorder="1" xfId="0"/>
    <xf numFmtId="164" applyNumberFormat="1" fontId="3" applyFont="1" fillId="12" applyFill="1" borderId="1" applyBorder="1" xfId="0"/>
    <xf numFmtId="166" applyNumberFormat="1" fontId="36" applyFont="1" fillId="4" applyFill="1" borderId="14" applyBorder="1" xfId="0" applyAlignment="1">
      <alignment horizontal="right"/>
    </xf>
    <xf numFmtId="166" applyNumberFormat="1" fontId="38" applyFont="1" fillId="12" applyFill="1" borderId="25" applyBorder="1" xfId="0" applyAlignment="1">
      <alignment horizontal="right"/>
    </xf>
    <xf numFmtId="164" applyNumberFormat="1" fontId="35" applyFont="1" fillId="5" applyFill="1" borderId="49" applyBorder="1" xfId="0"/>
    <xf numFmtId="164" applyNumberFormat="1" fontId="48" applyFont="1" fillId="12" applyFill="1" borderId="14" applyBorder="1" xfId="0"/>
    <xf numFmtId="164" applyNumberFormat="1" fontId="49" applyFont="1" fillId="12" applyFill="1" borderId="14" applyBorder="1" xfId="0"/>
    <xf numFmtId="164" applyNumberFormat="1" fontId="3" applyFont="1" fillId="12" applyFill="1" borderId="85" applyBorder="1" xfId="0"/>
    <xf numFmtId="164" applyNumberFormat="1" fontId="37" applyFont="1" fillId="12" applyFill="1" borderId="85" applyBorder="1" xfId="0"/>
    <xf numFmtId="164" applyNumberFormat="1" fontId="37" applyFont="1" fillId="12" applyFill="1" borderId="54" applyBorder="1" xfId="0"/>
    <xf numFmtId="164" applyNumberFormat="1" fontId="4" applyFont="1" fillId="12" applyFill="1" borderId="46" applyBorder="1" xfId="0"/>
    <xf numFmtId="16" applyNumberFormat="1" fontId="50" applyFont="1" fillId="0" borderId="0" xfId="0" applyAlignment="1">
      <alignment horizontal="center"/>
    </xf>
    <xf numFmtId="164" applyNumberFormat="1" fontId="35" applyFont="1" fillId="3" applyFill="1" borderId="47" applyBorder="1" xfId="0"/>
    <xf numFmtId="0" fontId="51" applyFont="1" fillId="0" borderId="0" xfId="0"/>
    <xf numFmtId="167" applyNumberFormat="1" fontId="15" applyFont="1" fillId="12" applyFill="1" borderId="46" applyBorder="1" xfId="0" applyAlignment="1">
      <alignment horizontal="right"/>
    </xf>
    <xf numFmtId="167" applyNumberFormat="1" fontId="19" applyFont="1" fillId="12" applyFill="1" borderId="46" applyBorder="1" xfId="0" applyAlignment="1">
      <alignment horizontal="right"/>
    </xf>
    <xf numFmtId="164" applyNumberFormat="1" fontId="36" applyFont="1" fillId="12" applyFill="1" borderId="46" applyBorder="1" xfId="0"/>
    <xf numFmtId="164" applyNumberFormat="1" fontId="2" applyFont="1" fillId="0" borderId="52" applyBorder="1" xfId="0"/>
    <xf numFmtId="16" applyNumberFormat="1" fontId="1" applyFont="1" fillId="0" borderId="86" applyBorder="1" xfId="0" applyAlignment="1">
      <alignment horizontal="center"/>
    </xf>
    <xf numFmtId="4" applyNumberFormat="1" fontId="35" applyFont="1" fillId="4" applyFill="1" borderId="80" applyBorder="1" xfId="0"/>
    <xf numFmtId="164" applyNumberFormat="1" fontId="35" applyFont="1" fillId="5" applyFill="1" borderId="14" applyBorder="1" xfId="0"/>
    <xf numFmtId="164" applyNumberFormat="1" fontId="37" applyFont="1" fillId="4" applyFill="1" borderId="47" applyBorder="1" xfId="0"/>
    <xf numFmtId="2" applyNumberFormat="1" fontId="37" applyFont="1" fillId="4" applyFill="1" borderId="14" applyBorder="1" xfId="0" applyAlignment="1">
      <alignment horizontal="right"/>
    </xf>
    <xf numFmtId="164" applyNumberFormat="1" fontId="7" applyFont="1" fillId="0" borderId="0" xfId="0" applyAlignment="1">
      <alignment horizontal="right"/>
    </xf>
    <xf numFmtId="164" applyNumberFormat="1" fontId="52" applyFont="1" fillId="0" borderId="0" xfId="0"/>
    <xf numFmtId="164" applyNumberFormat="1" fontId="49" applyFont="1" fillId="0" borderId="0" xfId="0"/>
    <xf numFmtId="16" applyNumberFormat="1" fontId="49" applyFont="1" fillId="0" borderId="0" xfId="0" applyAlignment="1">
      <alignment horizontal="left"/>
    </xf>
    <xf numFmtId="0" fontId="48" applyFont="1" fillId="0" borderId="0" xfId="0" applyAlignment="1">
      <alignment horizontal="left"/>
    </xf>
    <xf numFmtId="164" applyNumberFormat="1" fontId="41" applyFont="1" fillId="0" borderId="0" xfId="0"/>
    <xf numFmtId="164" applyNumberFormat="1" fontId="41" applyFont="1" fillId="0" borderId="0" xfId="0" applyAlignment="1">
      <alignment horizontal="right"/>
    </xf>
    <xf numFmtId="164" applyNumberFormat="1" fontId="49" applyFont="1" fillId="0" borderId="0" xfId="0" applyAlignment="1">
      <alignment horizontal="center"/>
    </xf>
    <xf numFmtId="16" applyNumberFormat="1" fontId="19" applyFont="1" fillId="0" borderId="3" applyBorder="1" xfId="0" applyAlignment="1">
      <alignment horizontal="center"/>
    </xf>
    <xf numFmtId="164" applyNumberFormat="1" fontId="20" applyFont="1" fillId="0" borderId="0" xfId="0" applyAlignment="1">
      <alignment horizontal="right"/>
    </xf>
    <xf numFmtId="164" applyNumberFormat="1" fontId="19" applyFont="1" fillId="0" borderId="0" xfId="0" applyAlignment="1">
      <alignment horizontal="center"/>
    </xf>
    <xf numFmtId="164" applyNumberFormat="1" fontId="19" applyFont="1" fillId="17" applyFill="1" borderId="3" applyBorder="1" xfId="0" applyAlignment="1">
      <alignment horizontal="center"/>
    </xf>
    <xf numFmtId="164" applyNumberFormat="1" fontId="21" applyFont="1" fillId="0" borderId="0" xfId="0"/>
    <xf numFmtId="164" applyNumberFormat="1" fontId="19" applyFont="1" fillId="17" applyFill="1" borderId="3" applyBorder="1" xfId="0"/>
    <xf numFmtId="164" applyNumberFormat="1" fontId="19" applyFont="1" fillId="0" borderId="3" applyBorder="1" xfId="0" applyAlignment="1">
      <alignment horizontal="center"/>
    </xf>
    <xf numFmtId="164" applyNumberFormat="1" fontId="19" applyFont="1" fillId="5" applyFill="1" borderId="2" applyBorder="1" xfId="0" applyAlignment="1">
      <alignment horizontal="center"/>
    </xf>
    <xf numFmtId="164" applyNumberFormat="1" fontId="19" applyFont="1" fillId="6" applyFill="1" borderId="63" applyBorder="1" xfId="0" applyAlignment="1">
      <alignment horizontal="center"/>
    </xf>
    <xf numFmtId="164" applyNumberFormat="1" fontId="19" applyFont="1" fillId="6" applyFill="1" borderId="2" applyBorder="1" xfId="0" applyAlignment="1">
      <alignment horizontal="center"/>
    </xf>
    <xf numFmtId="164" applyNumberFormat="1" fontId="19" applyFont="1" fillId="4" applyFill="1" borderId="87" applyBorder="1" xfId="0" applyAlignment="1">
      <alignment horizontal="center"/>
    </xf>
    <xf numFmtId="164" applyNumberFormat="1" fontId="19" applyFont="1" fillId="29" applyFill="1" borderId="36" applyBorder="1" xfId="0" applyAlignment="1">
      <alignment horizontal="center"/>
    </xf>
    <xf numFmtId="164" applyNumberFormat="1" fontId="19" applyFont="1" fillId="29" applyFill="1" borderId="2" applyBorder="1" xfId="0" applyAlignment="1">
      <alignment horizontal="right"/>
    </xf>
    <xf numFmtId="164" applyNumberFormat="1" fontId="19" applyFont="1" fillId="29" applyFill="1" borderId="2" applyBorder="1" xfId="0" applyAlignment="1">
      <alignment horizontal="center"/>
    </xf>
    <xf numFmtId="164" applyNumberFormat="1" fontId="19" applyFont="1" fillId="3" applyFill="1" borderId="63" applyBorder="1" xfId="0" applyAlignment="1">
      <alignment horizontal="center"/>
    </xf>
    <xf numFmtId="164" applyNumberFormat="1" fontId="19" applyFont="1" fillId="8" applyFill="1" borderId="62" applyBorder="1" xfId="0" applyAlignment="1">
      <alignment horizontal="center"/>
    </xf>
    <xf numFmtId="164" applyNumberFormat="1" fontId="19" applyFont="1" fillId="8" applyFill="1" borderId="2" applyBorder="1" xfId="0" applyAlignment="1">
      <alignment horizontal="center"/>
    </xf>
    <xf numFmtId="49" applyNumberFormat="1" fontId="19" applyFont="1" fillId="9" applyFill="1" borderId="2" applyBorder="1" xfId="0" applyAlignment="1">
      <alignment horizontal="center"/>
    </xf>
    <xf numFmtId="49" applyNumberFormat="1" fontId="19" applyFont="1" fillId="8" applyFill="1" borderId="2" applyBorder="1" xfId="0" applyAlignment="1">
      <alignment horizontal="center"/>
    </xf>
    <xf numFmtId="49" applyNumberFormat="1" fontId="19" applyFont="1" fillId="8" applyFill="1" borderId="63" applyBorder="1" xfId="0" applyAlignment="1">
      <alignment horizontal="center"/>
    </xf>
    <xf numFmtId="164" applyNumberFormat="1" fontId="19" applyFont="1" fillId="5" applyFill="1" borderId="81" applyBorder="1" xfId="0" applyAlignment="1">
      <alignment horizontal="center"/>
    </xf>
    <xf numFmtId="164" applyNumberFormat="1" fontId="19" applyFont="1" fillId="30" applyFill="1" borderId="14" applyBorder="1" xfId="0" applyAlignment="1">
      <alignment horizontal="center"/>
    </xf>
    <xf numFmtId="164" applyNumberFormat="1" fontId="21" applyFont="1" fillId="4" applyFill="1" borderId="2" applyBorder="1" xfId="0" applyAlignment="1">
      <alignment horizontal="center"/>
    </xf>
    <xf numFmtId="164" applyNumberFormat="1" fontId="19" applyFont="1" fillId="20" applyFill="1" borderId="2" applyBorder="1" xfId="0" applyAlignment="1">
      <alignment horizontal="center"/>
    </xf>
    <xf numFmtId="164" applyNumberFormat="1" fontId="19" applyFont="1" fillId="5" applyFill="1" borderId="80" applyBorder="1" xfId="0" applyAlignment="1">
      <alignment horizontal="center"/>
    </xf>
    <xf numFmtId="164" applyNumberFormat="1" fontId="15" applyFont="1" fillId="11" applyFill="1" borderId="2" applyBorder="1" xfId="0" applyAlignment="1">
      <alignment horizontal="center"/>
    </xf>
    <xf numFmtId="164" applyNumberFormat="1" fontId="24" applyFont="1" fillId="4" applyFill="1" borderId="2" applyBorder="1" xfId="0" applyAlignment="1">
      <alignment horizontal="center"/>
    </xf>
    <xf numFmtId="164" applyNumberFormat="1" fontId="19" applyFont="1" fillId="4" applyFill="1" borderId="7" applyBorder="1" xfId="0" applyAlignment="1">
      <alignment horizontal="center"/>
    </xf>
    <xf numFmtId="164" applyNumberFormat="1" fontId="19" applyFont="1" fillId="5" applyFill="1" borderId="23" applyBorder="1" xfId="0" applyAlignment="1">
      <alignment horizontal="center"/>
    </xf>
    <xf numFmtId="164" applyNumberFormat="1" fontId="19" applyFont="1" fillId="6" applyFill="1" borderId="54" applyBorder="1" xfId="0" applyAlignment="1">
      <alignment horizontal="center"/>
    </xf>
    <xf numFmtId="164" applyNumberFormat="1" fontId="19" applyFont="1" fillId="6" applyFill="1" borderId="23" applyBorder="1" xfId="0" applyAlignment="1">
      <alignment horizontal="center"/>
    </xf>
    <xf numFmtId="164" applyNumberFormat="1" fontId="19" applyFont="1" fillId="4" applyFill="1" borderId="88" applyBorder="1" xfId="0" applyAlignment="1">
      <alignment horizontal="center"/>
    </xf>
    <xf numFmtId="164" applyNumberFormat="1" fontId="53" applyFont="1" fillId="29" applyFill="1" borderId="23" applyBorder="1" xfId="0" applyAlignment="1">
      <alignment horizontal="center"/>
    </xf>
    <xf numFmtId="164" applyNumberFormat="1" fontId="53" applyFont="1" fillId="29" applyFill="1" borderId="23" applyBorder="1" xfId="0" applyAlignment="1">
      <alignment horizontal="right"/>
    </xf>
    <xf numFmtId="164" applyNumberFormat="1" fontId="54" applyFont="1" fillId="29" applyFill="1" borderId="23" applyBorder="1" xfId="0" applyAlignment="1">
      <alignment horizontal="center"/>
    </xf>
    <xf numFmtId="49" applyNumberFormat="1" fontId="53" applyFont="1" fillId="29" applyFill="1" borderId="23" applyBorder="1" xfId="0" applyAlignment="1">
      <alignment horizontal="center"/>
    </xf>
    <xf numFmtId="49" applyNumberFormat="1" fontId="55" applyFont="1" fillId="29" applyFill="1" borderId="23" applyBorder="1" xfId="0" applyAlignment="1">
      <alignment horizontal="center" wrapText="1"/>
    </xf>
    <xf numFmtId="49" applyNumberFormat="1" fontId="15" applyFont="1" fillId="29" applyFill="1" borderId="23" applyBorder="1" xfId="0" applyAlignment="1">
      <alignment horizontal="center"/>
    </xf>
    <xf numFmtId="164" applyNumberFormat="1" fontId="19" applyFont="1" fillId="3" applyFill="1" borderId="23" applyBorder="1" xfId="0" applyAlignment="1">
      <alignment horizontal="center"/>
    </xf>
    <xf numFmtId="164" applyNumberFormat="1" fontId="24" applyFont="1" fillId="3" applyFill="1" borderId="23" applyBorder="1" xfId="0" applyAlignment="1">
      <alignment horizontal="left"/>
    </xf>
    <xf numFmtId="49" applyNumberFormat="1" fontId="24" applyFont="1" fillId="3" applyFill="1" borderId="23" applyBorder="1" xfId="0" applyAlignment="1">
      <alignment horizontal="center"/>
    </xf>
    <xf numFmtId="164" applyNumberFormat="1" fontId="24" applyFont="1" fillId="3" applyFill="1" borderId="23" applyBorder="1" xfId="0" applyAlignment="1">
      <alignment horizontal="center"/>
    </xf>
    <xf numFmtId="164" applyNumberFormat="1" fontId="24" applyFont="1" fillId="3" applyFill="1" borderId="23" applyBorder="1" xfId="0" applyAlignment="1">
      <alignment horizontal="left"/>
    </xf>
    <xf numFmtId="164" applyNumberFormat="1" fontId="15" applyFont="1" fillId="3" applyFill="1" borderId="23" applyBorder="1" xfId="0" applyAlignment="1">
      <alignment horizontal="center"/>
    </xf>
    <xf numFmtId="164" applyNumberFormat="1" fontId="19" applyFont="1" fillId="8" applyFill="1" borderId="85" applyBorder="1" xfId="0" applyAlignment="1">
      <alignment horizontal="center"/>
    </xf>
    <xf numFmtId="164" applyNumberFormat="1" fontId="19" applyFont="1" fillId="8" applyFill="1" borderId="23" applyBorder="1" xfId="0" applyAlignment="1">
      <alignment horizontal="center"/>
    </xf>
    <xf numFmtId="164" applyNumberFormat="1" fontId="19" applyFont="1" fillId="4" applyFill="1" borderId="23" applyBorder="1" xfId="0" applyAlignment="1">
      <alignment horizontal="center"/>
    </xf>
    <xf numFmtId="49" applyNumberFormat="1" fontId="19" applyFont="1" fillId="9" applyFill="1" borderId="23" applyBorder="1" xfId="0" applyAlignment="1">
      <alignment horizontal="center"/>
    </xf>
    <xf numFmtId="49" applyNumberFormat="1" fontId="19" applyFont="1" fillId="8" applyFill="1" borderId="23" applyBorder="1" xfId="0" applyAlignment="1">
      <alignment horizontal="center"/>
    </xf>
    <xf numFmtId="49" applyNumberFormat="1" fontId="19" applyFont="1" fillId="8" applyFill="1" borderId="54" applyBorder="1" xfId="0" applyAlignment="1">
      <alignment horizontal="center"/>
    </xf>
    <xf numFmtId="164" applyNumberFormat="1" fontId="19" applyFont="1" fillId="5" applyFill="1" borderId="89" applyBorder="1" xfId="0" applyAlignment="1">
      <alignment horizontal="center"/>
    </xf>
    <xf numFmtId="164" applyNumberFormat="1" fontId="19" applyFont="1" fillId="30" applyFill="1" borderId="21" applyBorder="1" xfId="0" applyAlignment="1">
      <alignment horizontal="center"/>
    </xf>
    <xf numFmtId="164" applyNumberFormat="1" fontId="26" applyFont="1" fillId="4" applyFill="1" borderId="23" applyBorder="1" xfId="0" applyAlignment="1">
      <alignment horizontal="center"/>
    </xf>
    <xf numFmtId="164" applyNumberFormat="1" fontId="19" applyFont="1" fillId="20" applyFill="1" borderId="23" applyBorder="1" xfId="0" applyAlignment="1">
      <alignment horizontal="center"/>
    </xf>
    <xf numFmtId="164" applyNumberFormat="1" fontId="19" applyFont="1" fillId="5" applyFill="1" borderId="90" applyBorder="1" xfId="0" applyAlignment="1">
      <alignment horizontal="center"/>
    </xf>
    <xf numFmtId="164" applyNumberFormat="1" fontId="15" applyFont="1" fillId="11" applyFill="1" borderId="23" applyBorder="1" xfId="0" applyAlignment="1">
      <alignment horizontal="center"/>
    </xf>
    <xf numFmtId="164" applyNumberFormat="1" fontId="19" applyFont="1" fillId="4" applyFill="1" borderId="23" applyBorder="1" xfId="0" applyAlignment="1">
      <alignment horizontal="center"/>
    </xf>
    <xf numFmtId="164" applyNumberFormat="1" fontId="24" applyFont="1" fillId="4" applyFill="1" borderId="23" applyBorder="1" xfId="0" applyAlignment="1">
      <alignment horizontal="center"/>
    </xf>
    <xf numFmtId="164" applyNumberFormat="1" fontId="19" applyFont="1" fillId="4" applyFill="1" borderId="18" applyBorder="1" xfId="0" applyAlignment="1">
      <alignment horizontal="center"/>
    </xf>
    <xf numFmtId="164" applyNumberFormat="1" fontId="49" applyFont="1" fillId="4" applyFill="1" borderId="32" applyBorder="1" xfId="0"/>
    <xf numFmtId="164" applyNumberFormat="1" fontId="37" applyFont="1" fillId="0" borderId="31" applyBorder="1" xfId="0" applyAlignment="1">
      <alignment horizontal="center"/>
    </xf>
    <xf numFmtId="164" applyNumberFormat="1" fontId="37" applyFont="1" fillId="0" borderId="0" xfId="0" applyAlignment="1">
      <alignment horizontal="center"/>
    </xf>
    <xf numFmtId="164" applyNumberFormat="1" fontId="37" applyFont="1" fillId="0" borderId="31" applyBorder="1" xfId="0" applyAlignment="1">
      <alignment horizontal="right"/>
    </xf>
    <xf numFmtId="164" applyNumberFormat="1" fontId="37" applyFont="1" fillId="0" borderId="31" applyBorder="1" xfId="0" applyAlignment="1">
      <alignment horizontal="center"/>
    </xf>
    <xf numFmtId="164" applyNumberFormat="1" fontId="41" applyFont="1" fillId="3" applyFill="1" borderId="14" applyBorder="1" xfId="0"/>
    <xf numFmtId="164" applyNumberFormat="1" fontId="49" applyFont="1" fillId="3" applyFill="1" borderId="14" applyBorder="1" xfId="0"/>
    <xf numFmtId="164" applyNumberFormat="1" fontId="49" applyFont="1" fillId="4" applyFill="1" borderId="14" applyBorder="1" xfId="0"/>
    <xf numFmtId="164" applyNumberFormat="1" fontId="49" applyFont="1" fillId="0" borderId="31" applyBorder="1" xfId="0"/>
    <xf numFmtId="164" applyNumberFormat="1" fontId="49" applyFont="1" fillId="5" applyFill="1" borderId="32" applyBorder="1" xfId="0"/>
    <xf numFmtId="164" applyNumberFormat="1" fontId="37" applyFont="1" fillId="2" applyFill="1" borderId="62" applyBorder="1" xfId="0"/>
    <xf numFmtId="164" applyNumberFormat="1" fontId="49" applyFont="1" fillId="5" applyFill="1" borderId="45" applyBorder="1" xfId="0"/>
    <xf numFmtId="164" applyNumberFormat="1" fontId="41" applyFont="1" fillId="13" applyFill="1" borderId="14" applyBorder="1" xfId="0"/>
    <xf numFmtId="164" applyNumberFormat="1" fontId="41" applyFont="1" fillId="31" applyFill="1" borderId="2" applyBorder="1" xfId="0"/>
    <xf numFmtId="164" applyNumberFormat="1" fontId="37" applyFont="1" fillId="11" applyFill="1" borderId="47" applyBorder="1" xfId="0"/>
    <xf numFmtId="164" applyNumberFormat="1" fontId="37" applyFont="1" fillId="4" applyFill="1" borderId="14" applyBorder="1" xfId="0" applyAlignment="1">
      <alignment horizontal="center"/>
    </xf>
    <xf numFmtId="164" applyNumberFormat="1" fontId="37" applyFont="1" fillId="2" applyFill="1" borderId="46" applyBorder="1" xfId="0"/>
    <xf numFmtId="164" applyNumberFormat="1" fontId="37" applyFont="1" fillId="0" borderId="41" applyBorder="1" xfId="0" applyAlignment="1">
      <alignment horizontal="center"/>
    </xf>
    <xf numFmtId="164" applyNumberFormat="1" fontId="37" applyFont="1" fillId="0" borderId="0" xfId="0" applyAlignment="1">
      <alignment horizontal="right"/>
    </xf>
    <xf numFmtId="164" applyNumberFormat="1" fontId="37" applyFont="1" fillId="0" borderId="0" xfId="0" applyAlignment="1">
      <alignment horizontal="center"/>
    </xf>
    <xf numFmtId="164" applyNumberFormat="1" fontId="37" applyFont="1" fillId="0" borderId="51" applyBorder="1" xfId="0" applyAlignment="1">
      <alignment horizontal="center"/>
    </xf>
    <xf numFmtId="164" applyNumberFormat="1" fontId="37" applyFont="1" fillId="0" borderId="24" applyBorder="1" xfId="0" applyAlignment="1">
      <alignment horizontal="right"/>
    </xf>
    <xf numFmtId="164" applyNumberFormat="1" fontId="37" applyFont="1" fillId="0" borderId="24" applyBorder="1" xfId="0" applyAlignment="1">
      <alignment horizontal="center"/>
    </xf>
    <xf numFmtId="164" applyNumberFormat="1" fontId="37" applyFont="1" fillId="0" borderId="24" applyBorder="1" xfId="0" applyAlignment="1">
      <alignment horizontal="center"/>
    </xf>
    <xf numFmtId="164" applyNumberFormat="1" fontId="37" applyFont="1" fillId="11" applyFill="1" borderId="23" applyBorder="1" xfId="0" applyAlignment="1"/>
    <xf numFmtId="164" applyNumberFormat="1" fontId="37" applyFont="1" fillId="11" applyFill="1" borderId="54" applyBorder="1" xfId="0"/>
    <xf numFmtId="164" applyNumberFormat="1" fontId="37" applyFont="1" fillId="2" applyFill="1" borderId="85" applyBorder="1" xfId="0"/>
    <xf numFmtId="164" applyNumberFormat="1" fontId="41" applyFont="1" fillId="13" applyFill="1" borderId="23" applyBorder="1" xfId="0"/>
    <xf numFmtId="16" applyNumberFormat="1" fontId="56" applyFont="1" fillId="0" borderId="0" xfId="0" applyAlignment="1">
      <alignment horizontal="center"/>
    </xf>
    <xf numFmtId="164" applyNumberFormat="1" fontId="41" applyFont="1" fillId="20" applyFill="1" borderId="57" applyBorder="1" xfId="0"/>
    <xf numFmtId="164" applyNumberFormat="1" fontId="49" applyFont="1" fillId="20" applyFill="1" borderId="57" applyBorder="1" xfId="0"/>
    <xf numFmtId="164" applyNumberFormat="1" fontId="41" applyFont="1" fillId="20" applyFill="1" borderId="57" applyBorder="1" xfId="0" applyAlignment="1">
      <alignment horizontal="center"/>
    </xf>
    <xf numFmtId="164" applyNumberFormat="1" fontId="41" applyFont="1" fillId="20" applyFill="1" borderId="24" applyBorder="1" xfId="0" applyAlignment="1">
      <alignment horizontal="center"/>
    </xf>
    <xf numFmtId="164" applyNumberFormat="1" fontId="43" applyFont="1" fillId="20" applyFill="1" borderId="57" applyBorder="1" xfId="0"/>
    <xf numFmtId="164" applyNumberFormat="1" fontId="41" applyFont="1" fillId="20" applyFill="1" borderId="24" applyBorder="1" xfId="0"/>
    <xf numFmtId="164" applyNumberFormat="1" fontId="56" applyFont="1" fillId="0" borderId="0" xfId="0"/>
    <xf numFmtId="164" applyNumberFormat="1" fontId="1" applyFont="1" fillId="0" borderId="0" xfId="0" applyAlignment="1">
      <alignment horizontal="right"/>
    </xf>
    <xf numFmtId="164" applyNumberFormat="1" fontId="49" applyFont="1" fillId="4" applyFill="1" borderId="80" applyBorder="1" xfId="0"/>
    <xf numFmtId="164" applyNumberFormat="1" fontId="37" applyFont="1" fillId="0" borderId="29" applyBorder="1" xfId="0" applyAlignment="1">
      <alignment horizontal="center"/>
    </xf>
    <xf numFmtId="164" applyNumberFormat="1" fontId="37" applyFont="1" fillId="0" borderId="10" applyBorder="1" xfId="0" applyAlignment="1">
      <alignment horizontal="center"/>
    </xf>
    <xf numFmtId="164" applyNumberFormat="1" fontId="37" applyFont="1" fillId="0" borderId="10" applyBorder="1" xfId="0" applyAlignment="1">
      <alignment horizontal="right"/>
    </xf>
    <xf numFmtId="164" applyNumberFormat="1" fontId="37" applyFont="1" fillId="0" borderId="10" applyBorder="1" xfId="0" applyAlignment="1">
      <alignment horizontal="center"/>
    </xf>
    <xf numFmtId="164" applyNumberFormat="1" fontId="41" applyFont="1" fillId="3" applyFill="1" borderId="2" applyBorder="1" xfId="0"/>
    <xf numFmtId="164" applyNumberFormat="1" fontId="49" applyFont="1" fillId="3" applyFill="1" borderId="2" applyBorder="1" xfId="0"/>
    <xf numFmtId="164" applyNumberFormat="1" fontId="49" applyFont="1" fillId="4" applyFill="1" borderId="2" applyBorder="1" xfId="0"/>
    <xf numFmtId="164" applyNumberFormat="1" fontId="37" applyFont="1" fillId="11" applyFill="1" borderId="2" applyBorder="1" xfId="0" applyAlignment="1"/>
    <xf numFmtId="164" applyNumberFormat="1" fontId="37" applyFont="1" fillId="11" applyFill="1" borderId="63" applyBorder="1" xfId="0"/>
    <xf numFmtId="164" applyNumberFormat="1" fontId="49" applyFont="1" fillId="5" applyFill="1" borderId="81" applyBorder="1" xfId="0"/>
    <xf numFmtId="164" applyNumberFormat="1" fontId="1" applyFont="1" fillId="12" applyFill="1" borderId="2" applyBorder="1" xfId="0" applyAlignment="1">
      <alignment horizontal="center"/>
    </xf>
    <xf numFmtId="164" applyNumberFormat="1" fontId="37" applyFont="1" fillId="12" applyFill="1" borderId="2" applyBorder="1" xfId="0" applyAlignment="1">
      <alignment horizontal="center"/>
    </xf>
    <xf numFmtId="164" applyNumberFormat="1" fontId="37" applyFont="1" fillId="12" applyFill="1" borderId="1" applyBorder="1" xfId="0" applyAlignment="1">
      <alignment horizontal="center"/>
    </xf>
    <xf numFmtId="164" applyNumberFormat="1" fontId="49" applyFont="1" fillId="5" applyFill="1" borderId="50" applyBorder="1" xfId="0"/>
    <xf numFmtId="164" applyNumberFormat="1" fontId="41" applyFont="1" fillId="13" applyFill="1" borderId="2" applyBorder="1" xfId="0"/>
    <xf numFmtId="164" applyNumberFormat="1" fontId="49" applyFont="1" fillId="4" applyFill="1" borderId="25" applyBorder="1" xfId="0"/>
    <xf numFmtId="164" applyNumberFormat="1" fontId="49" applyFont="1" fillId="5" applyFill="1" borderId="13" applyBorder="1" xfId="0"/>
    <xf numFmtId="164" applyNumberFormat="1" fontId="37" applyFont="1" fillId="12" applyFill="1" borderId="14" applyBorder="1" xfId="0" applyAlignment="1">
      <alignment horizontal="center"/>
    </xf>
    <xf numFmtId="164" applyNumberFormat="1" fontId="1" applyFont="1" fillId="12" applyFill="1" borderId="14" applyBorder="1" xfId="0" applyAlignment="1">
      <alignment horizontal="center"/>
    </xf>
    <xf numFmtId="164" applyNumberFormat="1" fontId="37" applyFont="1" fillId="12" applyFill="1" borderId="23" applyBorder="1" xfId="0" applyAlignment="1">
      <alignment horizontal="center"/>
    </xf>
    <xf numFmtId="16" applyNumberFormat="1" fontId="56" applyFont="1" fillId="0" borderId="57" applyBorder="1" xfId="0" applyAlignment="1">
      <alignment horizontal="center"/>
    </xf>
    <xf numFmtId="164" applyNumberFormat="1" fontId="41" applyFont="1" fillId="20" applyFill="1" borderId="23" applyBorder="1" xfId="0" applyAlignment="1">
      <alignment horizontal="center"/>
    </xf>
    <xf numFmtId="164" applyNumberFormat="1" fontId="43" applyFont="1" fillId="20" applyFill="1" borderId="23" applyBorder="1" xfId="0"/>
    <xf numFmtId="164" applyNumberFormat="1" fontId="41" applyFont="1" fillId="20" applyFill="1" borderId="23" applyBorder="1" xfId="0"/>
    <xf numFmtId="164" applyNumberFormat="1" fontId="41" applyFont="1" fillId="0" borderId="0" xfId="0" applyAlignment="1">
      <alignment horizontal="center"/>
    </xf>
    <xf numFmtId="16" applyNumberFormat="1" fontId="56" applyFont="1" fillId="0" borderId="52" applyBorder="1" xfId="0" applyAlignment="1">
      <alignment horizontal="center"/>
    </xf>
    <xf numFmtId="164" applyNumberFormat="1" fontId="41" applyFont="1" fillId="0" borderId="52" applyBorder="1" xfId="0"/>
    <xf numFmtId="164" applyNumberFormat="1" fontId="49" applyFont="1" fillId="0" borderId="52" applyBorder="1" xfId="0"/>
    <xf numFmtId="16" applyNumberFormat="1" fontId="1" applyFont="1" fillId="0" borderId="31" applyBorder="1" xfId="0" applyAlignment="1">
      <alignment horizontal="center"/>
    </xf>
    <xf numFmtId="164" applyNumberFormat="1" fontId="49" applyFont="1" fillId="4" applyFill="1" borderId="13" applyBorder="1" xfId="0"/>
    <xf numFmtId="164" applyNumberFormat="1" fontId="37" applyFont="1" fillId="11" applyFill="1" borderId="2" applyBorder="1" xfId="0" applyAlignment="1">
      <alignment horizontal="right"/>
    </xf>
    <xf numFmtId="164" applyNumberFormat="1" fontId="37" applyFont="1" fillId="11" applyFill="1" borderId="2" applyBorder="1" xfId="0" applyAlignment="1">
      <alignment horizontal="center"/>
    </xf>
    <xf numFmtId="164" applyNumberFormat="1" fontId="37" applyFont="1" fillId="11" applyFill="1" borderId="2" applyBorder="1" xfId="0" applyAlignment="1">
      <alignment horizontal="center"/>
    </xf>
    <xf numFmtId="164" applyNumberFormat="1" fontId="37" applyFont="1" fillId="11" applyFill="1" borderId="62" applyBorder="1" xfId="0"/>
    <xf numFmtId="164" applyNumberFormat="1" fontId="41" applyFont="1" fillId="3" applyFill="1" borderId="46" applyBorder="1" xfId="0"/>
    <xf numFmtId="164" applyNumberFormat="1" fontId="49" applyFont="1" fillId="3" applyFill="1" borderId="47" applyBorder="1" xfId="0"/>
    <xf numFmtId="164" applyNumberFormat="1" fontId="1" applyFont="1" fillId="4" applyFill="1" borderId="47" applyBorder="1" xfId="0"/>
    <xf numFmtId="164" applyNumberFormat="1" fontId="1" applyFont="1" fillId="4" applyFill="1" borderId="63" applyBorder="1" xfId="0"/>
    <xf numFmtId="164" applyNumberFormat="1" fontId="37" applyFont="1" fillId="11" applyFill="1" borderId="14" applyBorder="1" xfId="0" applyAlignment="1">
      <alignment horizontal="right"/>
    </xf>
    <xf numFmtId="164" applyNumberFormat="1" fontId="37" applyFont="1" fillId="11" applyFill="1" borderId="14" applyBorder="1" xfId="0" applyAlignment="1">
      <alignment horizontal="center"/>
    </xf>
    <xf numFmtId="164" applyNumberFormat="1" fontId="37" applyFont="1" fillId="11" applyFill="1" borderId="14" applyBorder="1" xfId="0" applyAlignment="1">
      <alignment horizontal="center"/>
    </xf>
    <xf numFmtId="164" applyNumberFormat="1" fontId="37" applyFont="1" fillId="11" applyFill="1" borderId="46" applyBorder="1" xfId="0"/>
    <xf numFmtId="164" applyNumberFormat="1" fontId="1" applyFont="1" fillId="0" borderId="38" applyBorder="1" xfId="0" applyAlignment="1"/>
    <xf numFmtId="4" applyNumberFormat="1" fontId="37" applyFont="1" fillId="0" borderId="0" xfId="0"/>
    <xf numFmtId="164" applyNumberFormat="1" fontId="37" applyFont="1" fillId="0" borderId="38" applyBorder="1" xfId="0" applyAlignment="1"/>
    <xf numFmtId="0" fontId="51" applyFont="1" fillId="0" borderId="31" applyBorder="1" xfId="0"/>
    <xf numFmtId="4" applyNumberFormat="1" fontId="37" applyFont="1" fillId="0" borderId="31" applyBorder="1" xfId="0" applyAlignment="1"/>
    <xf numFmtId="4" applyNumberFormat="1" fontId="37" applyFont="1" fillId="0" borderId="31" applyBorder="1" xfId="0"/>
    <xf numFmtId="4" applyNumberFormat="1" fontId="37" applyFont="1" fillId="0" borderId="41" applyBorder="1" xfId="0"/>
    <xf numFmtId="164" applyNumberFormat="1" fontId="49" applyFont="1" fillId="4" applyFill="1" borderId="95" applyBorder="1" xfId="0"/>
    <xf numFmtId="164" applyNumberFormat="1" fontId="37" applyFont="1" fillId="11" applyFill="1" borderId="21" applyBorder="1" xfId="0"/>
    <xf numFmtId="164" applyNumberFormat="1" fontId="37" applyFont="1" fillId="11" applyFill="1" borderId="21" applyBorder="1" xfId="0" applyAlignment="1">
      <alignment horizontal="right"/>
    </xf>
    <xf numFmtId="164" applyNumberFormat="1" fontId="37" applyFont="1" fillId="11" applyFill="1" borderId="21" applyBorder="1" xfId="0" applyAlignment="1"/>
    <xf numFmtId="164" applyNumberFormat="1" fontId="37" applyFont="1" fillId="11" applyFill="1" borderId="21" applyBorder="1" xfId="0" applyAlignment="1">
      <alignment horizontal="center"/>
    </xf>
    <xf numFmtId="164" applyNumberFormat="1" fontId="37" applyFont="1" fillId="11" applyFill="1" borderId="21" applyBorder="1" xfId="0" applyAlignment="1">
      <alignment horizontal="center"/>
    </xf>
    <xf numFmtId="164" applyNumberFormat="1" fontId="37" applyFont="1" fillId="11" applyFill="1" borderId="20" applyBorder="1" xfId="0"/>
    <xf numFmtId="164" applyNumberFormat="1" fontId="41" applyFont="1" fillId="3" applyFill="1" borderId="20" applyBorder="1" xfId="0"/>
    <xf numFmtId="164" applyNumberFormat="1" fontId="37" applyFont="1" fillId="11" applyFill="1" borderId="96" applyBorder="1" xfId="0"/>
    <xf numFmtId="164" applyNumberFormat="1" fontId="49" applyFont="1" fillId="3" applyFill="1" borderId="96" applyBorder="1" xfId="0"/>
    <xf numFmtId="164" applyNumberFormat="1" fontId="49" applyFont="1" fillId="4" applyFill="1" borderId="21" applyBorder="1" xfId="0"/>
    <xf numFmtId="164" applyNumberFormat="1" fontId="49" applyFont="1" fillId="5" applyFill="1" borderId="95" applyBorder="1" xfId="0"/>
    <xf numFmtId="164" applyNumberFormat="1" fontId="49" applyFont="1" fillId="5" applyFill="1" borderId="98" applyBorder="1" xfId="0"/>
    <xf numFmtId="164" applyNumberFormat="1" fontId="37" applyFont="1" fillId="4" applyFill="1" borderId="21" applyBorder="1" xfId="0"/>
    <xf numFmtId="164" applyNumberFormat="1" fontId="37" applyFont="1" fillId="4" applyFill="1" borderId="96" applyBorder="1" xfId="0"/>
    <xf numFmtId="164" applyNumberFormat="1" fontId="41" applyFont="1" fillId="13" applyFill="1" borderId="21" applyBorder="1" xfId="0"/>
    <xf numFmtId="164" applyNumberFormat="1" fontId="37" applyFont="1" fillId="0" borderId="29" applyBorder="1" xfId="0"/>
    <xf numFmtId="164" applyNumberFormat="1" fontId="37" applyFont="1" fillId="0" borderId="28" applyBorder="1" xfId="0" applyAlignment="1"/>
    <xf numFmtId="164" applyNumberFormat="1" fontId="49" applyFont="1" fillId="4" applyFill="1" borderId="81" applyBorder="1" xfId="0"/>
    <xf numFmtId="16" applyNumberFormat="1" fontId="49" applyFont="1" fillId="0" borderId="10" applyBorder="1" xfId="0" applyAlignment="1">
      <alignment horizontal="left"/>
    </xf>
    <xf numFmtId="164" applyNumberFormat="1" fontId="41" applyFont="1" fillId="3" applyFill="1" borderId="62" applyBorder="1" xfId="0"/>
    <xf numFmtId="164" applyNumberFormat="1" fontId="49" applyFont="1" fillId="3" applyFill="1" borderId="63" applyBorder="1" xfId="0"/>
    <xf numFmtId="164" applyNumberFormat="1" fontId="37" applyFont="1" fillId="0" borderId="30" applyBorder="1" xfId="0" applyAlignment="1"/>
    <xf numFmtId="164" applyNumberFormat="1" fontId="37" applyFont="1" fillId="12" applyFill="1" borderId="2" applyBorder="1" xfId="0" applyAlignment="1">
      <alignment horizontal="center"/>
    </xf>
    <xf numFmtId="164" applyNumberFormat="1" fontId="37" applyFont="1" fillId="4" applyFill="1" borderId="63" applyBorder="1" xfId="0"/>
    <xf numFmtId="164" applyNumberFormat="1" fontId="37" applyFont="1" fillId="4" applyFill="1" borderId="62" applyBorder="1" xfId="0"/>
    <xf numFmtId="16" applyNumberFormat="1" fontId="1" applyFont="1" fillId="0" borderId="86" applyBorder="1" xfId="0" applyAlignment="1">
      <alignment horizontal="center"/>
    </xf>
    <xf numFmtId="164" applyNumberFormat="1" fontId="37" applyFont="1" fillId="12" applyFill="1" borderId="14" applyBorder="1" xfId="0" applyAlignment="1">
      <alignment horizontal="center"/>
    </xf>
    <xf numFmtId="164" applyNumberFormat="1" fontId="37" applyFont="1" fillId="4" applyFill="1" borderId="46" applyBorder="1" xfId="0" applyAlignment="1"/>
    <xf numFmtId="164" applyNumberFormat="1" fontId="49" applyFont="1" fillId="4" applyFill="1" borderId="14" applyBorder="1" xfId="0" applyAlignment="1"/>
    <xf numFmtId="164" applyNumberFormat="1" fontId="37" applyFont="1" fillId="4" applyFill="1" borderId="1" applyBorder="1" xfId="0"/>
    <xf numFmtId="164" applyNumberFormat="1" fontId="37" applyFont="1" fillId="12" applyFill="1" borderId="46" applyBorder="1" xfId="0" applyAlignment="1"/>
    <xf numFmtId="164" applyNumberFormat="1" fontId="58" applyFont="1" fillId="0" borderId="0" xfId="0"/>
    <xf numFmtId="164" applyNumberFormat="1" fontId="49" applyFont="1" fillId="3" applyFill="1" borderId="54" applyBorder="1" xfId="0"/>
    <xf numFmtId="164" applyNumberFormat="1" fontId="49" applyFont="1" fillId="5" applyFill="1" borderId="17" applyBorder="1" xfId="0"/>
    <xf numFmtId="164" applyNumberFormat="1" fontId="37" applyFont="1" fillId="11" applyFill="1" borderId="23" applyBorder="1" xfId="0" applyAlignment="1">
      <alignment horizontal="right"/>
    </xf>
    <xf numFmtId="164" applyNumberFormat="1" fontId="37" applyFont="1" fillId="11" applyFill="1" borderId="23" applyBorder="1" xfId="0" applyAlignment="1">
      <alignment horizontal="center"/>
    </xf>
    <xf numFmtId="164" applyNumberFormat="1" fontId="37" applyFont="1" fillId="11" applyFill="1" borderId="23" applyBorder="1" xfId="0" applyAlignment="1">
      <alignment horizontal="center"/>
    </xf>
    <xf numFmtId="164" applyNumberFormat="1" fontId="37" applyFont="1" fillId="11" applyFill="1" borderId="85" applyBorder="1" xfId="0"/>
    <xf numFmtId="164" applyNumberFormat="1" fontId="37" applyFont="1" fillId="0" borderId="53" applyBorder="1" xfId="0" applyAlignment="1"/>
    <xf numFmtId="164" applyNumberFormat="1" fontId="37" applyFont="1" fillId="12" applyFill="1" borderId="23" applyBorder="1" xfId="0" applyAlignment="1">
      <alignment horizontal="center"/>
    </xf>
    <xf numFmtId="164" applyNumberFormat="1" fontId="37" applyFont="1" fillId="4" applyFill="1" borderId="54" applyBorder="1" xfId="0"/>
    <xf numFmtId="0" fontId="1" applyFont="1" fillId="0" borderId="0" xfId="0" applyAlignment="1">
      <alignment horizontal="center"/>
    </xf>
    <xf numFmtId="164" applyNumberFormat="1" fontId="41" applyFont="1" fillId="20" applyFill="1" borderId="58" applyBorder="1" xfId="0"/>
    <xf numFmtId="164" applyNumberFormat="1" fontId="41" applyFont="1" fillId="20" applyFill="1" borderId="70" applyBorder="1" xfId="0"/>
    <xf numFmtId="164" applyNumberFormat="1" fontId="41" applyFont="1" fillId="13" applyFill="1" borderId="57" applyBorder="1" xfId="0"/>
    <xf numFmtId="164" applyNumberFormat="1" fontId="1" applyFont="1" fillId="0" borderId="60" applyBorder="1" xfId="0"/>
    <xf numFmtId="16" applyNumberFormat="1" fontId="1" applyFont="1" fillId="0" borderId="39" applyBorder="1" xfId="0" applyAlignment="1">
      <alignment horizontal="center"/>
    </xf>
    <xf numFmtId="164" applyNumberFormat="1" fontId="49" applyFont="1" fillId="4" applyFill="1" borderId="4" applyBorder="1" xfId="0"/>
    <xf numFmtId="164" applyNumberFormat="1" fontId="37" applyFont="1" fillId="11" applyFill="1" borderId="46" applyBorder="1" xfId="0" applyAlignment="1"/>
    <xf numFmtId="0" fontId="18" applyFont="1" fillId="18" applyFill="1" borderId="0" xfId="0" applyAlignment="1">
      <alignment horizontal="center"/>
    </xf>
    <xf numFmtId="0" fontId="18" applyFont="1" fillId="23" applyFill="1" borderId="101" applyBorder="1" xfId="0" applyAlignment="1">
      <alignment horizontal="center"/>
    </xf>
    <xf numFmtId="164" applyNumberFormat="1" fontId="1" applyFont="1" fillId="28" applyFill="1" borderId="57" applyBorder="1" xfId="0"/>
    <xf numFmtId="16" applyNumberFormat="1" fontId="37" applyFont="1" fillId="0" borderId="102" applyBorder="1" xfId="0" applyAlignment="1">
      <alignment horizontal="center"/>
    </xf>
    <xf numFmtId="164" applyNumberFormat="1" fontId="49" applyFont="1" fillId="4" applyFill="1" borderId="63" applyBorder="1" xfId="0"/>
    <xf numFmtId="164" applyNumberFormat="1" fontId="1" applyFont="1" fillId="12" applyFill="1" borderId="62" applyBorder="1" xfId="0" applyAlignment="1"/>
    <xf numFmtId="164" applyNumberFormat="1" fontId="49" applyFont="1" fillId="5" applyFill="1" borderId="49" applyBorder="1" xfId="0"/>
    <xf numFmtId="164" applyNumberFormat="1" fontId="49" applyFont="1" fillId="4" applyFill="1" borderId="47" applyBorder="1" xfId="0"/>
    <xf numFmtId="164" applyNumberFormat="1" fontId="1" applyFont="1" fillId="12" applyFill="1" borderId="46" applyBorder="1" xfId="0" applyAlignment="1"/>
    <xf numFmtId="164" applyNumberFormat="1" fontId="47" applyFont="1" fillId="11" applyFill="1" borderId="14" applyBorder="1" xfId="0"/>
    <xf numFmtId="164" applyNumberFormat="1" fontId="37" applyFont="1" fillId="11" applyFill="1" borderId="1" applyBorder="1" xfId="0"/>
    <xf numFmtId="164" applyNumberFormat="1" fontId="37" applyFont="1" fillId="8" applyFill="1" borderId="1" applyBorder="1" xfId="0"/>
    <xf numFmtId="164" applyNumberFormat="1" fontId="37" applyFont="1" fillId="8" applyFill="1" borderId="47" applyBorder="1" xfId="0"/>
    <xf numFmtId="164" applyNumberFormat="1" fontId="49" applyFont="1" fillId="8" applyFill="1" borderId="13" applyBorder="1" xfId="0"/>
    <xf numFmtId="164" applyNumberFormat="1" fontId="41" applyFont="1" fillId="8" applyFill="1" borderId="14" applyBorder="1" xfId="0"/>
    <xf numFmtId="164" applyNumberFormat="1" fontId="49" applyFont="1" fillId="8" applyFill="1" borderId="14" applyBorder="1" xfId="0"/>
    <xf numFmtId="164" applyNumberFormat="1" fontId="49" applyFont="1" fillId="8" applyFill="1" borderId="47" applyBorder="1" xfId="0"/>
    <xf numFmtId="164" applyNumberFormat="1" fontId="49" applyFont="1" fillId="8" applyFill="1" borderId="45" applyBorder="1" xfId="0"/>
    <xf numFmtId="164" applyNumberFormat="1" fontId="1" applyFont="1" fillId="12" applyFill="1" borderId="85" applyBorder="1" xfId="0"/>
    <xf numFmtId="164" applyNumberFormat="1" fontId="41" applyFont="1" fillId="11" applyFill="1" borderId="57" applyBorder="1" xfId="0"/>
    <xf numFmtId="164" applyNumberFormat="1" fontId="37" applyFont="1" fillId="11" applyFill="1" borderId="34" applyBorder="1" xfId="0"/>
    <xf numFmtId="164" applyNumberFormat="1" fontId="59" applyFont="1" fillId="3" applyFill="1" borderId="14" applyBorder="1" xfId="0"/>
    <xf numFmtId="164" applyNumberFormat="1" fontId="59" applyFont="1" fillId="13" applyFill="1" borderId="14" applyBorder="1" xfId="0"/>
    <xf numFmtId="164" applyNumberFormat="1" fontId="41" applyFont="1" fillId="0" borderId="31" applyBorder="1" xfId="0"/>
    <xf numFmtId="164" applyNumberFormat="1" fontId="47" applyFont="1" fillId="4" applyFill="1" borderId="2" applyBorder="1" xfId="0"/>
    <xf numFmtId="164" applyNumberFormat="1" fontId="47" applyFont="1" fillId="4" applyFill="1" borderId="14" applyBorder="1" xfId="0"/>
    <xf numFmtId="164" applyNumberFormat="1" fontId="1" applyFont="1" fillId="0" borderId="103" applyBorder="1" xfId="0"/>
    <xf numFmtId="164" applyNumberFormat="1" fontId="48" applyFont="1" fillId="0" borderId="10" applyBorder="1" xfId="0"/>
    <xf numFmtId="164" applyNumberFormat="1" fontId="49" applyFont="1" fillId="0" borderId="10" applyBorder="1" xfId="0"/>
    <xf numFmtId="164" applyNumberFormat="1" fontId="3" applyFont="1" fillId="0" borderId="10" applyBorder="1" xfId="0"/>
    <xf numFmtId="164" applyNumberFormat="1" fontId="48" applyFont="1" fillId="11" applyFill="1" borderId="14" applyBorder="1" xfId="0"/>
    <xf numFmtId="164" applyNumberFormat="1" fontId="47" applyFont="1" fillId="11" applyFill="1" borderId="2" applyBorder="1" xfId="0"/>
    <xf numFmtId="164" applyNumberFormat="1" fontId="49" applyFont="1" fillId="5" applyFill="1" borderId="4" applyBorder="1" xfId="0"/>
    <xf numFmtId="164" applyNumberFormat="1" fontId="47" applyFont="1" fillId="11" applyFill="1" borderId="14" applyBorder="1" xfId="0" applyAlignment="1">
      <alignment horizontal="center"/>
    </xf>
    <xf numFmtId="164" applyNumberFormat="1" fontId="3" applyFont="1" fillId="11" applyFill="1" borderId="14" applyBorder="1" xfId="0"/>
    <xf numFmtId="164" applyNumberFormat="1" fontId="1" applyFont="1" fillId="17" applyFill="1" borderId="1" applyBorder="1" xfId="0" applyAlignment="1">
      <alignment horizontal="center"/>
    </xf>
    <xf numFmtId="164" applyNumberFormat="1" fontId="1" applyFont="1" fillId="17" applyFill="1" borderId="1" applyBorder="1" xfId="0"/>
    <xf numFmtId="4" applyNumberFormat="1" fontId="37" applyFont="1" fillId="0" borderId="104" applyBorder="1" xfId="0"/>
    <xf numFmtId="164" applyNumberFormat="1" fontId="1" applyFont="1" fillId="17" applyFill="1" borderId="14" applyBorder="1" xfId="0"/>
    <xf numFmtId="164" applyNumberFormat="1" fontId="37" applyFont="1" fillId="11" applyFill="1" borderId="46" applyBorder="1" xfId="0" applyAlignment="1">
      <alignment horizontal="center"/>
    </xf>
    <xf numFmtId="4" applyNumberFormat="1" fontId="61" applyFont="1" fillId="0" borderId="10" applyBorder="1" xfId="0"/>
    <xf numFmtId="164" applyNumberFormat="1" fontId="49" applyFont="1" fillId="11" applyFill="1" borderId="54" applyBorder="1" xfId="0"/>
    <xf numFmtId="164" applyNumberFormat="1" fontId="41" applyFont="1" fillId="20" applyFill="1" borderId="1" applyBorder="1" xfId="0"/>
    <xf numFmtId="164" applyNumberFormat="1" fontId="43" applyFont="1" fillId="20" applyFill="1" borderId="1" applyBorder="1" xfId="0"/>
    <xf numFmtId="164" applyNumberFormat="1" fontId="60" applyFont="1" fillId="0" borderId="0" xfId="0"/>
    <xf numFmtId="16" applyNumberFormat="1" fontId="60" applyFont="1" fillId="0" borderId="0" xfId="0" applyAlignment="1">
      <alignment horizontal="left"/>
    </xf>
    <xf numFmtId="164" applyNumberFormat="1" fontId="62" applyFont="1" fillId="0" borderId="0" xfId="0"/>
    <xf numFmtId="164" applyNumberFormat="1" fontId="60" applyFont="1" fillId="0" borderId="0" xfId="0" applyAlignment="1">
      <alignment horizontal="center"/>
    </xf>
    <xf numFmtId="164" applyNumberFormat="1" fontId="63" applyFont="1" fillId="0" borderId="0" xfId="0"/>
    <xf numFmtId="164" applyNumberFormat="1" fontId="20" applyFont="1" fillId="0" borderId="0" xfId="0" applyAlignment="1">
      <alignment horizontal="center"/>
    </xf>
    <xf numFmtId="164" applyNumberFormat="1" fontId="19" applyFont="1" fillId="0" borderId="66" applyBorder="1" xfId="0"/>
    <xf numFmtId="164" applyNumberFormat="1" fontId="27" applyFont="1" fillId="5" applyFill="1" borderId="2" applyBorder="1" xfId="0" applyAlignment="1">
      <alignment horizontal="center"/>
    </xf>
    <xf numFmtId="164" applyNumberFormat="1" fontId="27" applyFont="1" fillId="6" applyFill="1" borderId="63" applyBorder="1" xfId="0" applyAlignment="1">
      <alignment horizontal="center"/>
    </xf>
    <xf numFmtId="164" applyNumberFormat="1" fontId="27" applyFont="1" fillId="6" applyFill="1" borderId="2" applyBorder="1" xfId="0" applyAlignment="1">
      <alignment horizontal="center"/>
    </xf>
    <xf numFmtId="164" applyNumberFormat="1" fontId="27" applyFont="1" fillId="4" applyFill="1" borderId="80" applyBorder="1" xfId="0" applyAlignment="1">
      <alignment horizontal="center"/>
    </xf>
    <xf numFmtId="164" applyNumberFormat="1" fontId="27" applyFont="1" fillId="3" applyFill="1" borderId="62" applyBorder="1" xfId="0" applyAlignment="1">
      <alignment horizontal="center"/>
    </xf>
    <xf numFmtId="164" applyNumberFormat="1" fontId="27" applyFont="1" fillId="3" applyFill="1" borderId="2" applyBorder="1" xfId="0" applyAlignment="1">
      <alignment horizontal="center"/>
    </xf>
    <xf numFmtId="164" applyNumberFormat="1" fontId="27" applyFont="1" fillId="8" applyFill="1" borderId="62" applyBorder="1" xfId="0" applyAlignment="1">
      <alignment horizontal="center"/>
    </xf>
    <xf numFmtId="164" applyNumberFormat="1" fontId="27" applyFont="1" fillId="8" applyFill="1" borderId="2" applyBorder="1" xfId="0" applyAlignment="1">
      <alignment horizontal="center"/>
    </xf>
    <xf numFmtId="49" applyNumberFormat="1" fontId="27" applyFont="1" fillId="9" applyFill="1" borderId="2" applyBorder="1" xfId="0" applyAlignment="1">
      <alignment horizontal="center"/>
    </xf>
    <xf numFmtId="49" applyNumberFormat="1" fontId="27" applyFont="1" fillId="8" applyFill="1" borderId="2" applyBorder="1" xfId="0" applyAlignment="1">
      <alignment horizontal="center"/>
    </xf>
    <xf numFmtId="49" applyNumberFormat="1" fontId="27" applyFont="1" fillId="8" applyFill="1" borderId="63" applyBorder="1" xfId="0" applyAlignment="1">
      <alignment horizontal="center"/>
    </xf>
    <xf numFmtId="164" applyNumberFormat="1" fontId="27" applyFont="1" fillId="5" applyFill="1" borderId="80" applyBorder="1" xfId="0" applyAlignment="1">
      <alignment horizontal="center"/>
    </xf>
    <xf numFmtId="164" applyNumberFormat="1" fontId="27" applyFont="1" fillId="33" applyFill="1" borderId="105" applyBorder="1" xfId="0" applyAlignment="1">
      <alignment horizontal="center"/>
    </xf>
    <xf numFmtId="164" applyNumberFormat="1" fontId="27" applyFont="1" fillId="4" applyFill="1" borderId="14" applyBorder="1" xfId="0" applyAlignment="1">
      <alignment horizontal="center"/>
    </xf>
    <xf numFmtId="164" applyNumberFormat="1" fontId="27" applyFont="1" fillId="4" applyFill="1" borderId="63" applyBorder="1" xfId="0" applyAlignment="1">
      <alignment horizontal="center"/>
    </xf>
    <xf numFmtId="164" applyNumberFormat="1" fontId="27" applyFont="1" fillId="33" applyFill="1" borderId="7" applyBorder="1" xfId="0"/>
    <xf numFmtId="164" applyNumberFormat="1" fontId="27" applyFont="1" fillId="33" applyFill="1" borderId="8" applyBorder="1" xfId="0"/>
    <xf numFmtId="164" applyNumberFormat="1" fontId="27" applyFont="1" fillId="33" applyFill="1" borderId="2" applyBorder="1" xfId="0"/>
    <xf numFmtId="164" applyNumberFormat="1" fontId="27" applyFont="1" fillId="5" applyFill="1" borderId="23" applyBorder="1" xfId="0" applyAlignment="1">
      <alignment horizontal="center"/>
    </xf>
    <xf numFmtId="164" applyNumberFormat="1" fontId="27" applyFont="1" fillId="6" applyFill="1" borderId="54" applyBorder="1" xfId="0" applyAlignment="1">
      <alignment horizontal="center"/>
    </xf>
    <xf numFmtId="164" applyNumberFormat="1" fontId="27" applyFont="1" fillId="6" applyFill="1" borderId="23" applyBorder="1" xfId="0" applyAlignment="1">
      <alignment horizontal="center"/>
    </xf>
    <xf numFmtId="164" applyNumberFormat="1" fontId="27" applyFont="1" fillId="4" applyFill="1" borderId="90" applyBorder="1" xfId="0" applyAlignment="1">
      <alignment horizontal="center"/>
    </xf>
    <xf numFmtId="164" applyNumberFormat="1" fontId="30" applyFont="1" fillId="3" applyFill="1" borderId="23" applyBorder="1" xfId="0" applyAlignment="1">
      <alignment horizontal="center"/>
    </xf>
    <xf numFmtId="164" applyNumberFormat="1" fontId="33" applyFont="1" fillId="3" applyFill="1" borderId="23" applyBorder="1" xfId="0" applyAlignment="1">
      <alignment horizontal="center"/>
    </xf>
    <xf numFmtId="164" applyNumberFormat="1" fontId="30" applyFont="1" fillId="3" applyFill="1" borderId="23" applyBorder="1" xfId="0" applyAlignment="1">
      <alignment horizontal="left"/>
    </xf>
    <xf numFmtId="164" applyNumberFormat="1" fontId="15" applyFont="1" fillId="3" applyFill="1" borderId="23" applyBorder="1" xfId="0" applyAlignment="1">
      <alignment horizontal="left"/>
    </xf>
    <xf numFmtId="164" applyNumberFormat="1" fontId="28" applyFont="1" fillId="3" applyFill="1" borderId="23" applyBorder="1" xfId="0" applyAlignment="1">
      <alignment horizontal="center"/>
    </xf>
    <xf numFmtId="0" fontId="28" applyFont="1" fillId="3" applyFill="1" borderId="23" applyBorder="1" xfId="0" applyAlignment="1">
      <alignment horizontal="center"/>
    </xf>
    <xf numFmtId="164" applyNumberFormat="1" fontId="28" applyFont="1" fillId="3" applyFill="1" borderId="23" applyBorder="1" xfId="0" applyAlignment="1">
      <alignment horizontal="right"/>
    </xf>
    <xf numFmtId="164" applyNumberFormat="1" fontId="27" applyFont="1" fillId="3" applyFill="1" borderId="23" applyBorder="1" xfId="0" applyAlignment="1">
      <alignment horizontal="center"/>
    </xf>
    <xf numFmtId="164" applyNumberFormat="1" fontId="31" applyFont="1" fillId="3" applyFill="1" borderId="23" applyBorder="1" xfId="0" applyAlignment="1">
      <alignment horizontal="left"/>
    </xf>
    <xf numFmtId="164" applyNumberFormat="1" fontId="46" applyFont="1" fillId="3" applyFill="1" borderId="23" applyBorder="1" xfId="0" applyAlignment="1">
      <alignment horizontal="center"/>
    </xf>
    <xf numFmtId="0" fontId="31" applyFont="1" fillId="3" applyFill="1" borderId="23" applyBorder="1" xfId="0" applyAlignment="1">
      <alignment horizontal="center"/>
    </xf>
    <xf numFmtId="164" applyNumberFormat="1" fontId="27" applyFont="1" fillId="8" applyFill="1" borderId="85" applyBorder="1" xfId="0" applyAlignment="1">
      <alignment horizontal="center"/>
    </xf>
    <xf numFmtId="164" applyNumberFormat="1" fontId="27" applyFont="1" fillId="8" applyFill="1" borderId="23" applyBorder="1" xfId="0" applyAlignment="1">
      <alignment horizontal="center"/>
    </xf>
    <xf numFmtId="49" applyNumberFormat="1" fontId="27" applyFont="1" fillId="9" applyFill="1" borderId="23" applyBorder="1" xfId="0" applyAlignment="1">
      <alignment horizontal="center"/>
    </xf>
    <xf numFmtId="49" applyNumberFormat="1" fontId="27" applyFont="1" fillId="8" applyFill="1" borderId="23" applyBorder="1" xfId="0" applyAlignment="1">
      <alignment horizontal="center"/>
    </xf>
    <xf numFmtId="49" applyNumberFormat="1" fontId="27" applyFont="1" fillId="8" applyFill="1" borderId="54" applyBorder="1" xfId="0" applyAlignment="1">
      <alignment horizontal="center"/>
    </xf>
    <xf numFmtId="164" applyNumberFormat="1" fontId="27" applyFont="1" fillId="5" applyFill="1" borderId="25" applyBorder="1" xfId="0" applyAlignment="1">
      <alignment horizontal="center"/>
    </xf>
    <xf numFmtId="164" applyNumberFormat="1" fontId="27" applyFont="1" fillId="4" applyFill="1" borderId="14" applyBorder="1" xfId="0" applyAlignment="1">
      <alignment horizontal="center"/>
    </xf>
    <xf numFmtId="164" applyNumberFormat="1" fontId="27" applyFont="1" fillId="4" applyFill="1" borderId="47" applyBorder="1" xfId="0" applyAlignment="1">
      <alignment horizontal="center"/>
    </xf>
    <xf numFmtId="164" applyNumberFormat="1" fontId="27" applyFont="1" fillId="33" applyFill="1" borderId="25" applyBorder="1" xfId="0"/>
    <xf numFmtId="164" applyNumberFormat="1" fontId="27" applyFont="1" fillId="33" applyFill="1" borderId="46" applyBorder="1" xfId="0"/>
    <xf numFmtId="164" applyNumberFormat="1" fontId="27" applyFont="1" fillId="33" applyFill="1" borderId="14" applyBorder="1" xfId="0"/>
    <xf numFmtId="164" applyNumberFormat="1" fontId="27" applyFont="1" fillId="5" applyFill="1" borderId="90" applyBorder="1" xfId="0" applyAlignment="1">
      <alignment horizontal="center"/>
    </xf>
    <xf numFmtId="164" applyNumberFormat="1" fontId="36" applyFont="1" fillId="11" applyFill="1" borderId="14" applyBorder="1" xfId="0" applyAlignment="1">
      <alignment horizontal="center"/>
    </xf>
    <xf numFmtId="164" applyNumberFormat="1" fontId="36" applyFont="1" fillId="11" applyFill="1" borderId="85" applyBorder="1" xfId="0"/>
    <xf numFmtId="164" applyNumberFormat="1" fontId="36" applyFont="1" fillId="11" applyFill="1" borderId="23" applyBorder="1" xfId="0" applyAlignment="1">
      <alignment horizontal="center"/>
    </xf>
    <xf numFmtId="0" fontId="36" applyFont="1" fillId="0" borderId="0" xfId="0"/>
    <xf numFmtId="0" fontId="36" applyFont="1" fillId="0" borderId="24" applyBorder="1" xfId="0"/>
    <xf numFmtId="0" fontId="64" applyFont="1" fillId="0" borderId="0" xfId="0"/>
    <xf numFmtId="164" applyNumberFormat="1" fontId="35" applyFont="1" fillId="20" applyFill="1" borderId="57" applyBorder="1" xfId="0" applyAlignment="1">
      <alignment horizontal="center"/>
    </xf>
    <xf numFmtId="16" applyNumberFormat="1" fontId="37" applyFont="1" fillId="0" borderId="106" applyBorder="1" xfId="0" applyAlignment="1">
      <alignment horizontal="center"/>
    </xf>
    <xf numFmtId="164" applyNumberFormat="1" fontId="36" applyFont="1" fillId="11" applyFill="1" borderId="2" applyBorder="1" xfId="0" applyAlignment="1">
      <alignment horizontal="center"/>
    </xf>
    <xf numFmtId="164" applyNumberFormat="1" fontId="35" applyFont="1" fillId="5" applyFill="1" borderId="63" applyBorder="1" xfId="0"/>
    <xf numFmtId="164" applyNumberFormat="1" fontId="35" applyFont="1" fillId="5" applyFill="1" borderId="47" applyBorder="1" xfId="0"/>
    <xf numFmtId="164" applyNumberFormat="1" fontId="35" applyFont="1" fillId="4" applyFill="1" borderId="90" applyBorder="1" xfId="0"/>
    <xf numFmtId="164" applyNumberFormat="1" fontId="35" applyFont="1" fillId="3" applyFill="1" borderId="23" applyBorder="1" xfId="0"/>
    <xf numFmtId="164" applyNumberFormat="1" fontId="35" applyFont="1" fillId="4" applyFill="1" borderId="23" applyBorder="1" xfId="0"/>
    <xf numFmtId="164" applyNumberFormat="1" fontId="35" applyFont="1" fillId="5" applyFill="1" borderId="54" applyBorder="1" xfId="0"/>
    <xf numFmtId="164" applyNumberFormat="1" fontId="35" applyFont="1" fillId="5" applyFill="1" borderId="94" applyBorder="1" xfId="0"/>
    <xf numFmtId="16" applyNumberFormat="1" fontId="37" applyFont="1" fillId="0" borderId="106" applyBorder="1" xfId="0" applyAlignment="1">
      <alignment horizontal="center"/>
    </xf>
    <xf numFmtId="164" applyNumberFormat="1" fontId="37" applyFont="1" fillId="17" applyFill="1" borderId="34" applyBorder="1" xfId="0"/>
    <xf numFmtId="16" applyNumberFormat="1" fontId="1" applyFont="1" fillId="0" borderId="3" applyBorder="1" xfId="0" applyAlignment="1">
      <alignment horizontal="center"/>
    </xf>
    <xf numFmtId="164" applyNumberFormat="1" fontId="39" applyFont="1" fillId="13" applyFill="1" borderId="2" applyBorder="1" xfId="0"/>
    <xf numFmtId="164" applyNumberFormat="1" fontId="3" applyFont="1" fillId="4" applyFill="1" borderId="2" applyBorder="1" xfId="0"/>
    <xf numFmtId="4" applyNumberFormat="1" fontId="64" applyFont="1" fillId="0" borderId="0" xfId="0" applyAlignment="1"/>
    <xf numFmtId="164" applyNumberFormat="1" fontId="36" applyFont="1" fillId="17" applyFill="1" borderId="14" applyBorder="1" xfId="0"/>
    <xf numFmtId="164" applyNumberFormat="1" fontId="36" applyFont="1" fillId="17" applyFill="1" borderId="14" applyBorder="1" xfId="0" applyAlignment="1"/>
    <xf numFmtId="164" applyNumberFormat="1" fontId="65" applyFont="1" fillId="13" applyFill="1" borderId="14" applyBorder="1" xfId="0"/>
    <xf numFmtId="164" applyNumberFormat="1" fontId="37" applyFont="1" fillId="17" applyFill="1" borderId="1" applyBorder="1" xfId="0" applyAlignment="1">
      <alignment horizontal="center"/>
    </xf>
    <xf numFmtId="164" applyNumberFormat="1" fontId="36" applyFont="1" fillId="0" borderId="28" applyBorder="1" xfId="0" applyAlignment="1"/>
    <xf numFmtId="164" applyNumberFormat="1" fontId="36" applyFont="1" fillId="0" borderId="10" applyBorder="1" xfId="0" applyAlignment="1">
      <alignment horizontal="center"/>
    </xf>
    <xf numFmtId="164" applyNumberFormat="1" fontId="37" applyFont="1" fillId="12" applyFill="1" borderId="8" applyBorder="1" xfId="0"/>
    <xf numFmtId="164" applyNumberFormat="1" fontId="36" applyFont="1" fillId="0" borderId="41" applyBorder="1" xfId="0" applyAlignment="1"/>
    <xf numFmtId="164" applyNumberFormat="1" fontId="36" applyFont="1" fillId="0" borderId="31" applyBorder="1" xfId="0" applyAlignment="1">
      <alignment horizontal="center"/>
    </xf>
    <xf numFmtId="164" applyNumberFormat="1" fontId="37" applyFont="1" fillId="17" applyFill="1" borderId="47" applyBorder="1" xfId="0" applyAlignment="1"/>
    <xf numFmtId="164" applyNumberFormat="1" fontId="32" applyFont="1" fillId="0" borderId="31" applyBorder="1" xfId="0" applyAlignment="1">
      <alignment horizontal="center"/>
    </xf>
    <xf numFmtId="164" applyNumberFormat="1" fontId="32" applyFont="1" fillId="0" borderId="31" applyBorder="1" xfId="0"/>
    <xf numFmtId="164" applyNumberFormat="1" fontId="32" applyFont="1" fillId="0" borderId="31" applyBorder="1" xfId="0" applyAlignment="1"/>
    <xf numFmtId="164" applyNumberFormat="1" fontId="37" applyFont="1" fillId="17" applyFill="1" borderId="14" applyBorder="1" xfId="0" applyAlignment="1"/>
    <xf numFmtId="0" fontId="1" applyFont="1" fillId="20" applyFill="1" borderId="0" xfId="0" applyAlignment="1">
      <alignment horizontal="left"/>
    </xf>
    <xf numFmtId="164" applyNumberFormat="1" fontId="35" applyFont="1" fillId="20" applyFill="1" borderId="10" applyBorder="1" xfId="0"/>
    <xf numFmtId="164" applyNumberFormat="1" fontId="35" applyFont="1" fillId="20" applyFill="1" borderId="21" applyBorder="1" xfId="0"/>
    <xf numFmtId="0" fontId="1" applyFont="1" fillId="23" applyFill="1" borderId="0" xfId="0" applyAlignment="1">
      <alignment horizontal="left"/>
    </xf>
    <xf numFmtId="164" applyNumberFormat="1" fontId="37" applyFont="1" fillId="21" applyFill="1" borderId="1" applyBorder="1" xfId="0"/>
    <xf numFmtId="164" applyNumberFormat="1" fontId="35" applyFont="1" fillId="21" applyFill="1" borderId="14" applyBorder="1" xfId="0"/>
    <xf numFmtId="164" applyNumberFormat="1" fontId="35" applyFont="1" fillId="21" applyFill="1" borderId="13" applyBorder="1" xfId="0"/>
    <xf numFmtId="164" applyNumberFormat="1" fontId="35" applyFont="1" fillId="21" applyFill="1" borderId="45" applyBorder="1" xfId="0"/>
    <xf numFmtId="164" applyNumberFormat="1" fontId="37" applyFont="1" fillId="21" applyFill="1" borderId="14" applyBorder="1" xfId="0"/>
    <xf numFmtId="164" applyNumberFormat="1" fontId="36" applyFont="1" fillId="0" borderId="51" applyBorder="1" xfId="0"/>
    <xf numFmtId="164" applyNumberFormat="1" fontId="36" applyFont="1" fillId="0" borderId="24" applyBorder="1" xfId="0"/>
    <xf numFmtId="164" applyNumberFormat="1" fontId="36" applyFont="1" fillId="0" borderId="24" applyBorder="1" xfId="0" applyAlignment="1">
      <alignment horizontal="center"/>
    </xf>
    <xf numFmtId="164" applyNumberFormat="1" fontId="36" applyFont="1" fillId="0" borderId="53" applyBorder="1" xfId="0"/>
    <xf numFmtId="4" applyNumberFormat="1" fontId="51" applyFont="1" fillId="4" applyFill="1" borderId="80" applyBorder="1" xfId="0"/>
    <xf numFmtId="4" applyNumberFormat="1" fontId="51" applyFont="1" fillId="4" applyFill="1" borderId="14" applyBorder="1" xfId="0"/>
    <xf numFmtId="164" applyNumberFormat="1" fontId="5" applyFont="1" fillId="0" borderId="0" xfId="0"/>
    <xf numFmtId="164" applyNumberFormat="1" fontId="37" applyFont="1" fillId="17" applyFill="1" borderId="46" applyBorder="1" xfId="0"/>
    <xf numFmtId="164" applyNumberFormat="1" fontId="66" applyFont="1" fillId="0" borderId="31" applyBorder="1" xfId="0"/>
    <xf numFmtId="164" applyNumberFormat="1" fontId="1" applyFont="1" fillId="12" applyFill="1" borderId="55" applyBorder="1" xfId="0"/>
    <xf numFmtId="164" applyNumberFormat="1" fontId="35" applyFont="1" fillId="20" applyFill="1" borderId="14" applyBorder="1" xfId="0"/>
    <xf numFmtId="164" applyNumberFormat="1" fontId="35" applyFont="1" fillId="20" applyFill="1" borderId="47" applyBorder="1" xfId="0"/>
    <xf numFmtId="164" applyNumberFormat="1" fontId="35" applyFont="1" fillId="20" applyFill="1" borderId="46" applyBorder="1" xfId="0"/>
    <xf numFmtId="164" applyNumberFormat="1" fontId="35" applyFont="1" fillId="20" applyFill="1" borderId="85" applyBorder="1" xfId="0"/>
    <xf numFmtId="164" applyNumberFormat="1" fontId="37" applyFont="1" fillId="17" applyFill="1" borderId="2" applyBorder="1" xfId="0"/>
    <xf numFmtId="164" applyNumberFormat="1" fontId="3" applyFont="1" fillId="11" applyFill="1" borderId="1" applyBorder="1" xfId="0"/>
    <xf numFmtId="164" applyNumberFormat="1" fontId="66" applyFont="1" fillId="11" applyFill="1" borderId="14" applyBorder="1" xfId="0"/>
    <xf numFmtId="0" fontId="1" applyFont="1" fillId="0" borderId="10" applyBorder="1" xfId="0" applyAlignment="1">
      <alignment horizontal="center"/>
    </xf>
    <xf numFmtId="164" applyNumberFormat="1" fontId="37" applyFont="1" fillId="34" applyFill="1" borderId="62" applyBorder="1" xfId="0"/>
    <xf numFmtId="164" applyNumberFormat="1" fontId="37" applyFont="1" fillId="34" applyFill="1" borderId="2" applyBorder="1" xfId="0"/>
    <xf numFmtId="164" applyNumberFormat="1" fontId="37" applyFont="1" fillId="34" applyFill="1" borderId="63" applyBorder="1" xfId="0"/>
    <xf numFmtId="164" applyNumberFormat="1" fontId="37" applyFont="1" fillId="34" applyFill="1" borderId="8" applyBorder="1" xfId="0"/>
    <xf numFmtId="164" applyNumberFormat="1" fontId="35" applyFont="1" fillId="5" applyFill="1" borderId="12" applyBorder="1" xfId="0"/>
    <xf numFmtId="164" applyNumberFormat="1" fontId="37" applyFont="1" fillId="11" applyFill="1" borderId="5" applyBorder="1" xfId="0"/>
    <xf numFmtId="164" applyNumberFormat="1" fontId="37" applyFont="1" fillId="34" applyFill="1" borderId="46" applyBorder="1" xfId="0"/>
    <xf numFmtId="164" applyNumberFormat="1" fontId="37" applyFont="1" fillId="34" applyFill="1" borderId="14" applyBorder="1" xfId="0"/>
    <xf numFmtId="164" applyNumberFormat="1" fontId="37" applyFont="1" fillId="34" applyFill="1" borderId="47" applyBorder="1" xfId="0"/>
    <xf numFmtId="164" applyNumberFormat="1" fontId="37" applyFont="1" fillId="34" applyFill="1" borderId="85" applyBorder="1" xfId="0"/>
    <xf numFmtId="164" applyNumberFormat="1" fontId="37" applyFont="1" fillId="34" applyFill="1" borderId="23" applyBorder="1" xfId="0"/>
    <xf numFmtId="164" applyNumberFormat="1" fontId="37" applyFont="1" fillId="34" applyFill="1" borderId="54" applyBorder="1" xfId="0"/>
    <xf numFmtId="164" applyNumberFormat="1" fontId="56" applyFont="1" fillId="4" applyFill="1" borderId="14" applyBorder="1" xfId="0"/>
    <xf numFmtId="164" applyNumberFormat="1" fontId="36" applyFont="1" fillId="11" applyFill="1" borderId="107" applyBorder="1" xfId="0"/>
    <xf numFmtId="164" applyNumberFormat="1" fontId="7" applyFont="1" fillId="0" borderId="0" xfId="0" applyAlignment="1">
      <alignment horizontal="center"/>
    </xf>
    <xf numFmtId="0" fontId="12" applyFont="1" fillId="0" borderId="0" xfId="0" applyAlignment="1">
      <alignment horizontal="left"/>
    </xf>
    <xf numFmtId="164" applyNumberFormat="1" fontId="13" applyFont="1" fillId="0" borderId="0" xfId="0" applyAlignment="1">
      <alignment horizontal="center"/>
    </xf>
    <xf numFmtId="164" applyNumberFormat="1" fontId="14" applyFont="1" fillId="0" borderId="0" xfId="0" applyAlignment="1">
      <alignment horizontal="center"/>
    </xf>
    <xf numFmtId="16" applyNumberFormat="1" fontId="32" applyFont="1" fillId="0" borderId="3" applyBorder="1" xfId="0" applyAlignment="1">
      <alignment horizontal="center"/>
    </xf>
    <xf numFmtId="164" applyNumberFormat="1" fontId="65" applyFont="1" fillId="0" borderId="0" xfId="0"/>
    <xf numFmtId="164" applyNumberFormat="1" fontId="65" applyFont="1" fillId="0" borderId="0" xfId="0" applyAlignment="1">
      <alignment horizontal="center"/>
    </xf>
    <xf numFmtId="164" applyNumberFormat="1" fontId="32" applyFont="1" fillId="4" applyFill="1" borderId="2" applyBorder="1" xfId="0" applyAlignment="1">
      <alignment horizontal="center"/>
    </xf>
    <xf numFmtId="164" applyNumberFormat="1" fontId="3" applyFont="1" fillId="17" applyFill="1" borderId="1" applyBorder="1" xfId="0"/>
    <xf numFmtId="164" applyNumberFormat="1" fontId="26" applyFont="1" fillId="0" borderId="0" xfId="0" applyAlignment="1">
      <alignment horizontal="center"/>
    </xf>
    <xf numFmtId="164" applyNumberFormat="1" fontId="27" applyFont="1" fillId="4" applyFill="1" borderId="1" applyBorder="1" xfId="0" applyAlignment="1">
      <alignment horizontal="center"/>
    </xf>
    <xf numFmtId="164" applyNumberFormat="1" fontId="19" applyFont="1" fillId="4" applyFill="1" borderId="62" applyBorder="1" xfId="0" applyAlignment="1">
      <alignment horizontal="center"/>
    </xf>
    <xf numFmtId="164" applyNumberFormat="1" fontId="19" applyFont="1" fillId="4" applyFill="1" borderId="46" applyBorder="1" xfId="0" applyAlignment="1">
      <alignment horizontal="center"/>
    </xf>
    <xf numFmtId="164" applyNumberFormat="1" fontId="19" applyFont="1" fillId="4" applyFill="1" borderId="5" applyBorder="1" xfId="0" applyAlignment="1">
      <alignment horizontal="center"/>
    </xf>
    <xf numFmtId="164" applyNumberFormat="1" fontId="19" applyFont="1" fillId="4" applyFill="1" borderId="14" applyBorder="1" xfId="0" applyAlignment="1">
      <alignment horizontal="center"/>
    </xf>
    <xf numFmtId="164" applyNumberFormat="1" fontId="19" applyFont="1" fillId="4" applyFill="1" borderId="108" applyBorder="1" xfId="0" applyAlignment="1">
      <alignment horizontal="center"/>
    </xf>
    <xf numFmtId="164" applyNumberFormat="1" fontId="19" applyFont="1" fillId="35" applyFill="1" borderId="5" applyBorder="1" xfId="0" applyAlignment="1">
      <alignment horizontal="center"/>
    </xf>
    <xf numFmtId="164" applyNumberFormat="1" fontId="19" applyFont="1" fillId="4" applyFill="1" borderId="6" applyBorder="1" xfId="0" applyAlignment="1">
      <alignment horizontal="center"/>
    </xf>
    <xf numFmtId="164" applyNumberFormat="1" fontId="19" applyFont="1" fillId="3" applyFill="1" borderId="8" applyBorder="1" xfId="0" applyAlignment="1">
      <alignment horizontal="center"/>
    </xf>
    <xf numFmtId="164" applyNumberFormat="1" fontId="19" applyFont="1" fillId="3" applyFill="1" borderId="9" applyBorder="1" xfId="0" applyAlignment="1">
      <alignment horizontal="center"/>
    </xf>
    <xf numFmtId="164" applyNumberFormat="1" fontId="27" applyFont="1" fillId="3" applyFill="1" borderId="63" applyBorder="1" xfId="0" applyAlignment="1">
      <alignment horizontal="center"/>
    </xf>
    <xf numFmtId="164" applyNumberFormat="1" fontId="27" applyFont="1" fillId="3" applyFill="1" borderId="14" applyBorder="1" xfId="0" applyAlignment="1">
      <alignment horizontal="center"/>
    </xf>
    <xf numFmtId="164" applyNumberFormat="1" fontId="27" applyFont="1" fillId="9" applyFill="1" borderId="2" applyBorder="1" xfId="0" applyAlignment="1">
      <alignment horizontal="center"/>
    </xf>
    <xf numFmtId="164" applyNumberFormat="1" fontId="27" applyFont="1" fillId="8" applyFill="1" borderId="63" applyBorder="1" xfId="0" applyAlignment="1">
      <alignment horizontal="center"/>
    </xf>
    <xf numFmtId="164" applyNumberFormat="1" fontId="27" applyFont="1" fillId="10" applyFill="1" borderId="62" applyBorder="1" xfId="0" applyAlignment="1">
      <alignment horizontal="center"/>
    </xf>
    <xf numFmtId="164" applyNumberFormat="1" fontId="27" applyFont="1" fillId="4" applyFill="1" borderId="2" applyBorder="1" xfId="0" applyAlignment="1">
      <alignment horizontal="center"/>
    </xf>
    <xf numFmtId="164" applyNumberFormat="1" fontId="27" applyFont="1" fillId="10" applyFill="1" borderId="2" applyBorder="1" xfId="0" applyAlignment="1">
      <alignment horizontal="center"/>
    </xf>
    <xf numFmtId="164" applyNumberFormat="1" fontId="27" applyFont="1" fillId="20" applyFill="1" borderId="2" applyBorder="1" xfId="0" applyAlignment="1">
      <alignment horizontal="center"/>
    </xf>
    <xf numFmtId="164" applyNumberFormat="1" fontId="27" applyFont="1" fillId="4" applyFill="1" borderId="49" applyBorder="1" xfId="0" applyAlignment="1">
      <alignment horizontal="center"/>
    </xf>
    <xf numFmtId="164" applyNumberFormat="1" fontId="30" applyFont="1" fillId="4" applyFill="1" borderId="1" applyBorder="1" xfId="0" applyAlignment="1">
      <alignment horizontal="center" wrapText="1"/>
    </xf>
    <xf numFmtId="164" applyNumberFormat="1" fontId="67" applyFont="1" fillId="4" applyFill="1" borderId="23" applyBorder="1" xfId="0" applyAlignment="1">
      <alignment horizontal="center" wrapText="1"/>
    </xf>
    <xf numFmtId="164" applyNumberFormat="1" fontId="15" applyFont="1" fillId="4" applyFill="1" borderId="23" applyBorder="1" xfId="0" applyAlignment="1">
      <alignment horizontal="left" wrapText="1"/>
    </xf>
    <xf numFmtId="164" applyNumberFormat="1" fontId="67" applyFont="1" fillId="4" applyFill="1" borderId="23" applyBorder="1" xfId="0" applyAlignment="1">
      <alignment horizontal="left"/>
    </xf>
    <xf numFmtId="164" applyNumberFormat="1" fontId="68" applyFont="1" fillId="4" applyFill="1" borderId="109" applyBorder="1" xfId="0" applyAlignment="1">
      <alignment horizontal="center" wrapText="1"/>
    </xf>
    <xf numFmtId="164" applyNumberFormat="1" fontId="68" applyFont="1" fillId="4" applyFill="1" borderId="16" applyBorder="1" xfId="0" applyAlignment="1">
      <alignment horizontal="center"/>
    </xf>
    <xf numFmtId="164" applyNumberFormat="1" fontId="15" applyFont="1" fillId="4" applyFill="1" borderId="16" applyBorder="1" xfId="0" applyAlignment="1">
      <alignment horizontal="center" wrapText="1"/>
    </xf>
    <xf numFmtId="164" applyNumberFormat="1" fontId="28" applyFont="1" fillId="35" applyFill="1" borderId="16" applyBorder="1" xfId="0" applyAlignment="1">
      <alignment horizontal="center"/>
    </xf>
    <xf numFmtId="164" applyNumberFormat="1" fontId="15" applyFont="1" fillId="4" applyFill="1" borderId="16" applyBorder="1" xfId="0" applyAlignment="1">
      <alignment horizontal="center"/>
    </xf>
    <xf numFmtId="164" applyNumberFormat="1" fontId="15" applyFont="1" fillId="4" applyFill="1" borderId="15" applyBorder="1" xfId="0" applyAlignment="1">
      <alignment horizontal="center"/>
    </xf>
    <xf numFmtId="164" applyNumberFormat="1" fontId="19" applyFont="1" fillId="3" applyFill="1" borderId="57" applyBorder="1" xfId="0" applyAlignment="1">
      <alignment horizontal="center"/>
    </xf>
    <xf numFmtId="164" applyNumberFormat="1" fontId="24" applyFont="1" fillId="3" applyFill="1" borderId="19" applyBorder="1" xfId="0" applyAlignment="1">
      <alignment horizontal="center"/>
    </xf>
    <xf numFmtId="164" applyNumberFormat="1" fontId="69" applyFont="1" fillId="3" applyFill="1" borderId="16" applyBorder="1" xfId="0" applyAlignment="1">
      <alignment horizontal="center"/>
    </xf>
    <xf numFmtId="164" applyNumberFormat="1" fontId="24" applyFont="1" fillId="3" applyFill="1" borderId="16" applyBorder="1" xfId="0" applyAlignment="1">
      <alignment horizontal="center"/>
    </xf>
    <xf numFmtId="164" applyNumberFormat="1" fontId="24" applyFont="1" fillId="3" applyFill="1" borderId="22" applyBorder="1" xfId="0" applyAlignment="1">
      <alignment horizontal="center"/>
    </xf>
    <xf numFmtId="164" applyNumberFormat="1" fontId="31" applyFont="1" fillId="3" applyFill="1" borderId="85" applyBorder="1" xfId="0" applyAlignment="1">
      <alignment horizontal="center"/>
    </xf>
    <xf numFmtId="164" applyNumberFormat="1" fontId="31" applyFont="1" fillId="3" applyFill="1" borderId="23" applyBorder="1" xfId="0" applyAlignment="1">
      <alignment horizontal="center"/>
    </xf>
    <xf numFmtId="164" applyNumberFormat="1" fontId="30" applyFont="1" fillId="3" applyFill="1" borderId="23" applyBorder="1" xfId="0" applyAlignment="1">
      <alignment horizontal="center"/>
    </xf>
    <xf numFmtId="164" applyNumberFormat="1" fontId="27" applyFont="1" fillId="9" applyFill="1" borderId="23" applyBorder="1" xfId="0" applyAlignment="1">
      <alignment horizontal="center"/>
    </xf>
    <xf numFmtId="164" applyNumberFormat="1" fontId="27" applyFont="1" fillId="8" applyFill="1" borderId="54" applyBorder="1" xfId="0" applyAlignment="1">
      <alignment horizontal="center"/>
    </xf>
    <xf numFmtId="164" applyNumberFormat="1" fontId="27" applyFont="1" fillId="10" applyFill="1" borderId="46" applyBorder="1" xfId="0" applyAlignment="1">
      <alignment horizontal="center"/>
    </xf>
    <xf numFmtId="164" applyNumberFormat="1" fontId="27" applyFont="1" fillId="10" applyFill="1" borderId="14" applyBorder="1" xfId="0" applyAlignment="1">
      <alignment horizontal="center"/>
    </xf>
    <xf numFmtId="164" applyNumberFormat="1" fontId="27" applyFont="1" fillId="20" applyFill="1" borderId="14" applyBorder="1" xfId="0" applyAlignment="1">
      <alignment horizontal="center"/>
    </xf>
    <xf numFmtId="164" applyNumberFormat="1" fontId="27" applyFont="1" fillId="4" applyFill="1" borderId="110" applyBorder="1" xfId="0" applyAlignment="1">
      <alignment horizontal="center"/>
    </xf>
    <xf numFmtId="164" applyNumberFormat="1" fontId="27" applyFont="1" fillId="4" applyFill="1" borderId="23" applyBorder="1" xfId="0" applyAlignment="1">
      <alignment horizontal="center"/>
    </xf>
    <xf numFmtId="164" applyNumberFormat="1" fontId="35" applyFont="1" fillId="0" borderId="0" xfId="0"/>
    <xf numFmtId="164" applyNumberFormat="1" fontId="36" applyFont="1" fillId="0" borderId="28" applyBorder="1" xfId="0" applyAlignment="1">
      <alignment horizontal="center"/>
    </xf>
    <xf numFmtId="164" applyNumberFormat="1" fontId="70" applyFont="1" fillId="0" borderId="41" applyBorder="1" xfId="0"/>
    <xf numFmtId="164" applyNumberFormat="1" fontId="70" applyFont="1" fillId="0" borderId="31" applyBorder="1" xfId="0"/>
    <xf numFmtId="164" applyNumberFormat="1" fontId="36" applyFont="1" fillId="0" borderId="41" applyBorder="1" xfId="0" applyAlignment="1">
      <alignment horizontal="center"/>
    </xf>
    <xf numFmtId="164" applyNumberFormat="1" fontId="70" applyFont="1" fillId="0" borderId="31" applyBorder="1" xfId="0" applyAlignment="1"/>
    <xf numFmtId="164" applyNumberFormat="1" fontId="36" applyFont="1" fillId="0" borderId="31" applyBorder="1" xfId="0" applyAlignment="1">
      <alignment horizontal="center"/>
    </xf>
    <xf numFmtId="165" applyNumberFormat="1" fontId="25" applyFont="1" fillId="12" applyFill="1" borderId="14" applyBorder="1" xfId="0" applyAlignment="1">
      <alignment horizontal="right"/>
    </xf>
    <xf numFmtId="165" applyNumberFormat="1" fontId="25" applyFont="1" fillId="12" applyFill="1" borderId="14" applyBorder="1" xfId="0" applyAlignment="1">
      <alignment horizontal="right"/>
    </xf>
    <xf numFmtId="165" applyNumberFormat="1" fontId="25" applyFont="1" fillId="12" applyFill="1" borderId="1" applyBorder="1" xfId="0" applyAlignment="1">
      <alignment horizontal="right"/>
    </xf>
    <xf numFmtId="164" applyNumberFormat="1" fontId="49" applyFont="1" fillId="12" applyFill="1" borderId="1" applyBorder="1" xfId="0"/>
    <xf numFmtId="164" applyNumberFormat="1" fontId="48" applyFont="1" fillId="12" applyFill="1" borderId="1" applyBorder="1" xfId="0"/>
    <xf numFmtId="164" applyNumberFormat="1" fontId="35" applyFont="1" fillId="0" borderId="0" xfId="0" applyAlignment="1"/>
    <xf numFmtId="164" applyNumberFormat="1" fontId="35" applyFont="1" fillId="20" applyFill="1" borderId="74" applyBorder="1" xfId="0"/>
    <xf numFmtId="164" applyNumberFormat="1" fontId="35" applyFont="1" fillId="20" applyFill="1" borderId="109" applyBorder="1" xfId="0" applyAlignment="1">
      <alignment horizontal="center"/>
    </xf>
    <xf numFmtId="164" applyNumberFormat="1" fontId="35" applyFont="1" fillId="20" applyFill="1" borderId="109" applyBorder="1" xfId="0"/>
    <xf numFmtId="164" applyNumberFormat="1" fontId="57" applyFont="1" fillId="0" borderId="0" xfId="0"/>
    <xf numFmtId="164" applyNumberFormat="1" fontId="70" applyFont="1" fillId="0" borderId="28" applyBorder="1" xfId="0"/>
    <xf numFmtId="164" applyNumberFormat="1" fontId="70" applyFont="1" fillId="0" borderId="10" applyBorder="1" xfId="0"/>
    <xf numFmtId="164" applyNumberFormat="1" fontId="70" applyFont="1" fillId="0" borderId="10" applyBorder="1" xfId="0" applyAlignment="1"/>
    <xf numFmtId="164" applyNumberFormat="1" fontId="36" applyFont="1" fillId="0" borderId="10" applyBorder="1" xfId="0" applyAlignment="1">
      <alignment horizontal="center"/>
    </xf>
    <xf numFmtId="164" applyNumberFormat="1" fontId="36" applyFont="1" fillId="0" borderId="31" applyBorder="1" xfId="0" applyAlignment="1">
      <alignment horizontal="right"/>
    </xf>
    <xf numFmtId="164" applyNumberFormat="1" fontId="36" applyFont="1" fillId="0" borderId="31" applyBorder="1" xfId="0" applyAlignment="1">
      <alignment horizontal="right"/>
    </xf>
    <xf numFmtId="164" applyNumberFormat="1" fontId="49" applyFont="1" fillId="17" applyFill="1" borderId="46" applyBorder="1" xfId="0"/>
    <xf numFmtId="164" applyNumberFormat="1" fontId="32" applyFont="1" fillId="11" applyFill="1" borderId="14" applyBorder="1" xfId="0"/>
    <xf numFmtId="164" applyNumberFormat="1" fontId="49" applyFont="1" fillId="0" borderId="41" applyBorder="1" xfId="0"/>
    <xf numFmtId="164" applyNumberFormat="1" fontId="36" applyFont="1" fillId="11" applyFill="1" borderId="46" applyBorder="1" xfId="0" applyAlignment="1">
      <alignment horizontal="center"/>
    </xf>
    <xf numFmtId="16" applyNumberFormat="1" fontId="1" applyFont="1" fillId="0" borderId="24" applyBorder="1" xfId="0" applyAlignment="1">
      <alignment horizontal="center"/>
    </xf>
    <xf numFmtId="164" applyNumberFormat="1" fontId="35" applyFont="1" fillId="20" applyFill="1" borderId="112" applyBorder="1" xfId="0"/>
    <xf numFmtId="164" applyNumberFormat="1" fontId="35" applyFont="1" fillId="20" applyFill="1" borderId="3" applyBorder="1" xfId="0"/>
    <xf numFmtId="164" applyNumberFormat="1" fontId="37" applyFont="1" fillId="17" applyFill="1" borderId="34" applyBorder="1" xfId="0" applyAlignment="1">
      <alignment horizontal="center"/>
    </xf>
    <xf numFmtId="164" applyNumberFormat="1" fontId="41" applyFont="1" fillId="17" applyFill="1" borderId="1" applyBorder="1" xfId="0"/>
    <xf numFmtId="164" applyNumberFormat="1" fontId="43" applyFont="1" fillId="17" applyFill="1" borderId="1" applyBorder="1" xfId="0"/>
    <xf numFmtId="164" applyNumberFormat="1" fontId="71" applyFont="1" fillId="0" borderId="0" xfId="0"/>
    <xf numFmtId="164" applyNumberFormat="1" fontId="41" applyFont="1" fillId="11" applyFill="1" borderId="1" applyBorder="1" xfId="0" applyAlignment="1">
      <alignment horizontal="center"/>
    </xf>
    <xf numFmtId="164" applyNumberFormat="1" fontId="41" applyFont="1" fillId="11" applyFill="1" borderId="1" applyBorder="1" xfId="0"/>
    <xf numFmtId="164" applyNumberFormat="1" fontId="36" applyFont="1" fillId="11" applyFill="1" borderId="62" applyBorder="1" xfId="0" applyAlignment="1">
      <alignment horizontal="center"/>
    </xf>
    <xf numFmtId="164" applyNumberFormat="1" fontId="25" applyFont="1" fillId="0" borderId="31" applyBorder="1" xfId="0" applyAlignment="1">
      <alignment horizontal="center"/>
    </xf>
    <xf numFmtId="164" applyNumberFormat="1" fontId="37" applyFont="1" fillId="17" applyFill="1" borderId="47" applyBorder="1" xfId="0"/>
    <xf numFmtId="164" applyNumberFormat="1" fontId="70" applyFont="1" fillId="0" borderId="0" xfId="0"/>
    <xf numFmtId="164" applyNumberFormat="1" fontId="70" applyFont="1" fillId="0" borderId="41" applyBorder="1" xfId="0" applyAlignment="1"/>
    <xf numFmtId="164" applyNumberFormat="1" fontId="36" applyFont="1" fillId="0" borderId="51" applyBorder="1" xfId="0" applyAlignment="1">
      <alignment horizontal="center"/>
    </xf>
    <xf numFmtId="164" applyNumberFormat="1" fontId="70" applyFont="1" fillId="0" borderId="51" applyBorder="1" xfId="0"/>
    <xf numFmtId="164" applyNumberFormat="1" fontId="70" applyFont="1" fillId="0" borderId="24" applyBorder="1" xfId="0"/>
    <xf numFmtId="164" applyNumberFormat="1" fontId="70" applyFont="1" fillId="0" borderId="24" applyBorder="1" xfId="0" applyAlignment="1"/>
    <xf numFmtId="164" applyNumberFormat="1" fontId="37" applyFont="1" fillId="17" applyFill="1" borderId="16" applyBorder="1" xfId="0"/>
    <xf numFmtId="164" applyNumberFormat="1" fontId="36" applyFont="1" fillId="11" applyFill="1" borderId="85" applyBorder="1" xfId="0" applyAlignment="1">
      <alignment horizontal="center"/>
    </xf>
    <xf numFmtId="164" applyNumberFormat="1" fontId="37" applyFont="1" fillId="4" applyFill="1" borderId="23" applyBorder="1" xfId="0" applyAlignment="1"/>
    <xf numFmtId="164" applyNumberFormat="1" fontId="2" applyFont="1" fillId="0" borderId="0" xfId="0" applyAlignment="1">
      <alignment horizontal="center"/>
    </xf>
    <xf numFmtId="16" applyNumberFormat="1" fontId="37" applyFont="1" fillId="0" borderId="39" applyBorder="1" xfId="0" applyAlignment="1">
      <alignment horizontal="center"/>
    </xf>
    <xf numFmtId="164" applyNumberFormat="1" fontId="35" applyFont="1" fillId="4" applyFill="1" borderId="34" applyBorder="1" xfId="0" applyAlignment="1"/>
    <xf numFmtId="164" applyNumberFormat="1" fontId="70" applyFont="1" fillId="11" applyFill="1" borderId="62" applyBorder="1" xfId="0"/>
    <xf numFmtId="164" applyNumberFormat="1" fontId="70" applyFont="1" fillId="11" applyFill="1" borderId="2" applyBorder="1" xfId="0" applyAlignment="1"/>
    <xf numFmtId="164" applyNumberFormat="1" fontId="70" applyFont="1" fillId="11" applyFill="1" borderId="2" applyBorder="1" xfId="0"/>
    <xf numFmtId="164" applyNumberFormat="1" fontId="36" applyFont="1" fillId="11" applyFill="1" borderId="2" applyBorder="1" xfId="0" applyAlignment="1">
      <alignment horizontal="center"/>
    </xf>
    <xf numFmtId="164" applyNumberFormat="1" fontId="35" applyFont="1" fillId="4" applyFill="1" borderId="1" applyBorder="1" xfId="0"/>
    <xf numFmtId="164" applyNumberFormat="1" fontId="70" applyFont="1" fillId="11" applyFill="1" borderId="46" applyBorder="1" xfId="0"/>
    <xf numFmtId="164" applyNumberFormat="1" fontId="70" applyFont="1" fillId="11" applyFill="1" borderId="14" applyBorder="1" xfId="0"/>
    <xf numFmtId="164" applyNumberFormat="1" fontId="70" applyFont="1" fillId="11" applyFill="1" borderId="14" applyBorder="1" xfId="0" applyAlignment="1"/>
    <xf numFmtId="164" applyNumberFormat="1" fontId="36" applyFont="1" fillId="11" applyFill="1" borderId="14" applyBorder="1" xfId="0" applyAlignment="1">
      <alignment horizontal="center"/>
    </xf>
    <xf numFmtId="164" applyNumberFormat="1" fontId="36" applyFont="1" fillId="11" applyFill="1" borderId="47" applyBorder="1" xfId="0" applyAlignment="1">
      <alignment horizontal="center"/>
    </xf>
    <xf numFmtId="164" applyNumberFormat="1" fontId="47" applyFont="1" fillId="12" applyFill="1" borderId="1" applyBorder="1" xfId="0"/>
    <xf numFmtId="164" applyNumberFormat="1" fontId="49" applyFont="1" fillId="17" applyFill="1" borderId="14" applyBorder="1" xfId="0"/>
    <xf numFmtId="164" applyNumberFormat="1" fontId="35" applyFont="1" fillId="4" applyFill="1" borderId="1" applyBorder="1" xfId="0" applyAlignment="1"/>
    <xf numFmtId="0" fontId="18" applyFont="1" fillId="20" applyFill="1" borderId="57" applyBorder="1" xfId="0" applyAlignment="1">
      <alignment horizontal="left"/>
    </xf>
    <xf numFmtId="164" applyNumberFormat="1" fontId="35" applyFont="1" fillId="20" applyFill="1" borderId="113" applyBorder="1" xfId="0"/>
    <xf numFmtId="164" applyNumberFormat="1" fontId="35" applyFont="1" fillId="20" applyFill="1" borderId="106" applyBorder="1" xfId="0"/>
    <xf numFmtId="164" applyNumberFormat="1" fontId="35" applyFont="1" fillId="20" applyFill="1" borderId="17" applyBorder="1" xfId="0"/>
    <xf numFmtId="164" applyNumberFormat="1" fontId="35" applyFont="1" fillId="20" applyFill="1" borderId="16" applyBorder="1" xfId="0"/>
    <xf numFmtId="0" fontId="18" applyFont="1" fillId="28" applyFill="1" borderId="0" xfId="0" applyAlignment="1">
      <alignment horizontal="left"/>
    </xf>
    <xf numFmtId="164" applyNumberFormat="1" fontId="2" applyFont="1" fillId="28" applyFill="1" borderId="57" applyBorder="1" xfId="0"/>
    <xf numFmtId="164" applyNumberFormat="1" fontId="35" applyFont="1" fillId="0" borderId="29" applyBorder="1" xfId="0" applyAlignment="1">
      <alignment horizontal="center"/>
    </xf>
    <xf numFmtId="164" applyNumberFormat="1" fontId="35" applyFont="1" fillId="0" borderId="29" applyBorder="1" xfId="0"/>
    <xf numFmtId="164" applyNumberFormat="1" fontId="35" applyFont="1" fillId="0" borderId="30" applyBorder="1" xfId="0"/>
    <xf numFmtId="164" applyNumberFormat="1" fontId="35" applyFont="1" fillId="4" applyFill="1" borderId="81" applyBorder="1" xfId="0"/>
    <xf numFmtId="164" applyNumberFormat="1" fontId="35" applyFont="1" fillId="0" borderId="10" applyBorder="1" xfId="0"/>
    <xf numFmtId="16" applyNumberFormat="1" fontId="37" applyFont="1" fillId="0" borderId="31" applyBorder="1" xfId="0" applyAlignment="1">
      <alignment horizontal="center"/>
    </xf>
    <xf numFmtId="164" applyNumberFormat="1" fontId="35" applyFont="1" fillId="0" borderId="31" applyBorder="1" xfId="0"/>
    <xf numFmtId="164" applyNumberFormat="1" fontId="47" applyFont="1" fillId="0" borderId="41" applyBorder="1" xfId="0"/>
    <xf numFmtId="164" applyNumberFormat="1" fontId="47" applyFont="1" fillId="0" borderId="31" applyBorder="1" xfId="0"/>
    <xf numFmtId="164" applyNumberFormat="1" fontId="47" applyFont="1" fillId="0" borderId="38" applyBorder="1" xfId="0"/>
    <xf numFmtId="164" applyNumberFormat="1" fontId="66" applyFont="1" fillId="0" borderId="41" applyBorder="1" xfId="0" applyAlignment="1">
      <alignment horizontal="center"/>
    </xf>
    <xf numFmtId="164" applyNumberFormat="1" fontId="66" applyFont="1" fillId="0" borderId="41" applyBorder="1" xfId="0"/>
    <xf numFmtId="164" applyNumberFormat="1" fontId="66" applyFont="1" fillId="0" borderId="31" applyBorder="1" xfId="0" applyAlignment="1">
      <alignment horizontal="center"/>
    </xf>
    <xf numFmtId="164" applyNumberFormat="1" fontId="66" applyFont="1" fillId="11" applyFill="1" borderId="14" applyBorder="1" xfId="0" applyAlignment="1">
      <alignment horizontal="center"/>
    </xf>
    <xf numFmtId="164" applyNumberFormat="1" fontId="66" applyFont="1" fillId="11" applyFill="1" borderId="47" applyBorder="1" xfId="0"/>
    <xf numFmtId="164" applyNumberFormat="1" fontId="74" applyFont="1" fillId="13" applyFill="1" borderId="14" applyBorder="1" xfId="0"/>
    <xf numFmtId="16" applyNumberFormat="1" fontId="37" applyFont="1" fillId="0" borderId="24" applyBorder="1" xfId="0" applyAlignment="1">
      <alignment horizontal="center"/>
    </xf>
    <xf numFmtId="164" applyNumberFormat="1" fontId="47" applyFont="1" fillId="0" borderId="51" applyBorder="1" xfId="0"/>
    <xf numFmtId="164" applyNumberFormat="1" fontId="47" applyFont="1" fillId="0" borderId="24" applyBorder="1" xfId="0"/>
    <xf numFmtId="164" applyNumberFormat="1" fontId="47" applyFont="1" fillId="0" borderId="53" applyBorder="1" xfId="0"/>
    <xf numFmtId="164" applyNumberFormat="1" fontId="35" applyFont="1" fillId="0" borderId="24" applyBorder="1" xfId="0"/>
    <xf numFmtId="164" applyNumberFormat="1" fontId="66" applyFont="1" fillId="0" borderId="51" applyBorder="1" xfId="0" applyAlignment="1">
      <alignment horizontal="center"/>
    </xf>
    <xf numFmtId="164" applyNumberFormat="1" fontId="66" applyFont="1" fillId="0" borderId="51" applyBorder="1" xfId="0"/>
    <xf numFmtId="164" applyNumberFormat="1" fontId="66" applyFont="1" fillId="0" borderId="24" applyBorder="1" xfId="0"/>
    <xf numFmtId="164" applyNumberFormat="1" fontId="66" applyFont="1" fillId="0" borderId="24" applyBorder="1" xfId="0" applyAlignment="1">
      <alignment horizontal="center"/>
    </xf>
    <xf numFmtId="164" applyNumberFormat="1" fontId="66" applyFont="1" fillId="11" applyFill="1" borderId="23" applyBorder="1" xfId="0"/>
    <xf numFmtId="164" applyNumberFormat="1" fontId="66" applyFont="1" fillId="11" applyFill="1" borderId="23" applyBorder="1" xfId="0" applyAlignment="1">
      <alignment horizontal="center"/>
    </xf>
    <xf numFmtId="164" applyNumberFormat="1" fontId="66" applyFont="1" fillId="11" applyFill="1" borderId="54" applyBorder="1" xfId="0"/>
    <xf numFmtId="164" applyNumberFormat="1" fontId="47" applyFont="1" fillId="4" applyFill="1" borderId="23" applyBorder="1" xfId="0"/>
    <xf numFmtId="164" applyNumberFormat="1" fontId="74" applyFont="1" fillId="13" applyFill="1" borderId="23" applyBorder="1" xfId="0"/>
    <xf numFmtId="164" applyNumberFormat="1" fontId="2" applyFont="1" fillId="0" borderId="38" applyBorder="1" xfId="0"/>
    <xf numFmtId="164" applyNumberFormat="1" fontId="1" applyFont="1" fillId="0" borderId="48" applyBorder="1" xfId="0"/>
    <xf numFmtId="164" applyNumberFormat="1" fontId="35" applyFont="1" fillId="4" applyFill="1" borderId="4" applyBorder="1" xfId="0"/>
    <xf numFmtId="164" applyNumberFormat="1" fontId="32" applyFont="1" fillId="11" applyFill="1" borderId="2" applyBorder="1" xfId="0"/>
    <xf numFmtId="164" applyNumberFormat="1" fontId="37" applyFont="1" fillId="12" applyFill="1" borderId="5" applyBorder="1" xfId="0"/>
    <xf numFmtId="166" applyNumberFormat="1" fontId="24" applyFont="1" fillId="12" applyFill="1" borderId="69" applyBorder="1" xfId="0" applyAlignment="1">
      <alignment horizontal="right"/>
    </xf>
    <xf numFmtId="164" applyNumberFormat="1" fontId="1" applyFont="1" fillId="0" borderId="114" applyBorder="1" xfId="0"/>
    <xf numFmtId="166" applyNumberFormat="1" fontId="18" applyFont="1" fillId="12" applyFill="1" borderId="111" applyBorder="1" xfId="0" applyAlignment="1">
      <alignment horizontal="right"/>
    </xf>
    <xf numFmtId="166" applyNumberFormat="1" fontId="25" applyFont="1" fillId="12" applyFill="1" borderId="14" applyBorder="1" xfId="0" applyAlignment="1">
      <alignment horizontal="right"/>
    </xf>
    <xf numFmtId="166" applyNumberFormat="1" fontId="25" applyFont="1" fillId="12" applyFill="1" borderId="47" applyBorder="1" xfId="0" applyAlignment="1">
      <alignment horizontal="right"/>
    </xf>
    <xf numFmtId="164" applyNumberFormat="1" fontId="37" applyFont="1" fillId="12" applyFill="1" borderId="16" applyBorder="1" xfId="0"/>
    <xf numFmtId="166" applyNumberFormat="1" fontId="25" applyFont="1" fillId="12" applyFill="1" borderId="46" applyBorder="1" xfId="0" applyAlignment="1">
      <alignment horizontal="right"/>
    </xf>
    <xf numFmtId="165" applyNumberFormat="1" fontId="25" applyFont="1" fillId="12" applyFill="1" borderId="46" applyBorder="1" xfId="0" applyAlignment="1">
      <alignment horizontal="right"/>
    </xf>
    <xf numFmtId="164" applyNumberFormat="1" fontId="37" applyFont="1" fillId="17" applyFill="1" borderId="1" applyBorder="1" xfId="0"/>
    <xf numFmtId="164" applyNumberFormat="1" fontId="5" applyFont="1" fillId="12" applyFill="1" borderId="14" applyBorder="1" xfId="0"/>
    <xf numFmtId="164" applyNumberFormat="1" fontId="35" applyFont="1" fillId="20" applyFill="1" borderId="72" applyBorder="1" xfId="0"/>
    <xf numFmtId="164" applyNumberFormat="1" fontId="37" applyFont="1" fillId="12" applyFill="1" borderId="12" applyBorder="1" xfId="0"/>
    <xf numFmtId="164" applyNumberFormat="1" fontId="37" applyFont="1" fillId="12" applyFill="1" borderId="7" applyBorder="1" xfId="0"/>
    <xf numFmtId="164" applyNumberFormat="1" fontId="37" applyFont="1" fillId="12" applyFill="1" borderId="4" applyBorder="1" xfId="0"/>
    <xf numFmtId="164" applyNumberFormat="1" fontId="37" applyFont="1" fillId="12" applyFill="1" borderId="45" applyBorder="1" xfId="0"/>
    <xf numFmtId="164" applyNumberFormat="1" fontId="37" applyFont="1" fillId="12" applyFill="1" borderId="25" applyBorder="1" xfId="0"/>
    <xf numFmtId="164" applyNumberFormat="1" fontId="37" applyFont="1" fillId="12" applyFill="1" borderId="13" applyBorder="1" xfId="0"/>
    <xf numFmtId="165" applyNumberFormat="1" fontId="25" applyFont="1" fillId="12" applyFill="1" borderId="25" applyBorder="1" xfId="0" applyAlignment="1">
      <alignment horizontal="right"/>
    </xf>
    <xf numFmtId="164" applyNumberFormat="1" fontId="51" applyFont="1" fillId="12" applyFill="1" borderId="25" applyBorder="1" xfId="0" applyAlignment="1">
      <alignment horizontal="right"/>
    </xf>
    <xf numFmtId="164" applyNumberFormat="1" fontId="48" applyFont="1" fillId="12" applyFill="1" borderId="25" applyBorder="1" xfId="0"/>
    <xf numFmtId="164" applyNumberFormat="1" fontId="37" applyFont="1" fillId="12" applyFill="1" borderId="25" applyBorder="1" xfId="0" applyAlignment="1">
      <alignment horizontal="right"/>
    </xf>
    <xf numFmtId="164" applyNumberFormat="1" fontId="1" applyFont="1" fillId="0" borderId="115" applyBorder="1" xfId="0"/>
    <xf numFmtId="164" applyNumberFormat="1" fontId="37" applyFont="1" fillId="11" applyFill="1" borderId="1" applyBorder="1" xfId="0" applyAlignment="1">
      <alignment horizontal="right"/>
    </xf>
    <xf numFmtId="164" applyNumberFormat="1" fontId="1" applyFont="1" fillId="11" applyFill="1" borderId="46" applyBorder="1" xfId="0"/>
    <xf numFmtId="164" applyNumberFormat="1" fontId="1" applyFont="1" fillId="11" applyFill="1" borderId="47" applyBorder="1" xfId="0"/>
    <xf numFmtId="164" applyNumberFormat="1" fontId="1" applyFont="1" fillId="11" applyFill="1" borderId="1" applyBorder="1" xfId="0"/>
    <xf numFmtId="164" applyNumberFormat="1" fontId="36" applyFont="1" fillId="11" applyFill="1" borderId="14" applyBorder="1" xfId="0" applyAlignment="1">
      <alignment horizontal="right"/>
    </xf>
    <xf numFmtId="0" fontId="51" applyFont="1" fillId="0" borderId="10" applyBorder="1" xfId="0"/>
    <xf numFmtId="164" applyNumberFormat="1" fontId="35" applyFont="1" fillId="3" applyFill="1" borderId="62" applyBorder="1" xfId="0"/>
    <xf numFmtId="164" applyNumberFormat="1" fontId="35" applyFont="1" fillId="3" applyFill="1" borderId="46" applyBorder="1" xfId="0"/>
    <xf numFmtId="165" applyNumberFormat="1" fontId="25" applyFont="1" fillId="4" applyFill="1" borderId="14" applyBorder="1" xfId="0" applyAlignment="1">
      <alignment horizontal="right"/>
    </xf>
    <xf numFmtId="164" applyNumberFormat="1" fontId="37" applyFont="1" fillId="4" applyFill="1" borderId="85" applyBorder="1" xfId="0"/>
    <xf numFmtId="164" applyNumberFormat="1" fontId="35" applyFont="1" fillId="20" applyFill="1" borderId="19" applyBorder="1" xfId="0"/>
    <xf numFmtId="164" applyNumberFormat="1" fontId="75" applyFont="1" fillId="0" borderId="0" xfId="0"/>
    <xf numFmtId="164" applyNumberFormat="1" fontId="27" applyFont="1" fillId="33" applyFill="1" borderId="7" applyBorder="1" xfId="0" applyAlignment="1">
      <alignment horizontal="center"/>
    </xf>
    <xf numFmtId="164" applyNumberFormat="1" fontId="27" applyFont="1" fillId="4" applyFill="1" borderId="62" applyBorder="1" xfId="0" applyAlignment="1">
      <alignment horizontal="center"/>
    </xf>
    <xf numFmtId="164" applyNumberFormat="1" fontId="27" applyFont="1" fillId="20" applyFill="1" borderId="7" applyBorder="1" xfId="0" applyAlignment="1">
      <alignment horizontal="center"/>
    </xf>
    <xf numFmtId="16" applyNumberFormat="1" fontId="27" applyFont="1" fillId="5" applyFill="1" borderId="17" applyBorder="1" xfId="0" applyAlignment="1">
      <alignment horizontal="center"/>
    </xf>
    <xf numFmtId="164" applyNumberFormat="1" fontId="76" applyFont="1" fillId="3" applyFill="1" borderId="23" applyBorder="1" xfId="0" applyAlignment="1">
      <alignment horizontal="center"/>
    </xf>
    <xf numFmtId="164" applyNumberFormat="1" fontId="27" applyFont="1" fillId="33" applyFill="1" borderId="25" applyBorder="1" xfId="0" applyAlignment="1">
      <alignment horizontal="center"/>
    </xf>
    <xf numFmtId="164" applyNumberFormat="1" fontId="27" applyFont="1" fillId="4" applyFill="1" borderId="46" applyBorder="1" xfId="0" applyAlignment="1">
      <alignment horizontal="center"/>
    </xf>
    <xf numFmtId="164" applyNumberFormat="1" fontId="27" applyFont="1" fillId="20" applyFill="1" borderId="25" applyBorder="1" xfId="0" applyAlignment="1">
      <alignment horizontal="center"/>
    </xf>
    <xf numFmtId="4" applyNumberFormat="1" fontId="37" applyFont="1" fillId="0" borderId="39" applyBorder="1" xfId="0" applyAlignment="1">
      <alignment horizontal="right" wrapText="1"/>
    </xf>
    <xf numFmtId="4" applyNumberFormat="1" fontId="37" applyFont="1" fillId="0" borderId="83" applyBorder="1" xfId="0" applyAlignment="1">
      <alignment horizontal="right" wrapText="1"/>
    </xf>
    <xf numFmtId="0" fontId="51" applyFont="1" fillId="0" borderId="83" applyBorder="1" xfId="0" applyAlignment="1">
      <alignment wrapText="1"/>
    </xf>
    <xf numFmtId="0" fontId="51" applyFont="1" fillId="0" borderId="116" applyBorder="1" xfId="0" applyAlignment="1">
      <alignment wrapText="1"/>
    </xf>
    <xf numFmtId="0" fontId="51" applyFont="1" fillId="11" applyFill="1" borderId="7" applyBorder="1" xfId="0" applyAlignment="1">
      <alignment wrapText="1"/>
    </xf>
    <xf numFmtId="0" fontId="51" applyFont="1" fillId="11" applyFill="1" borderId="1" applyBorder="1" xfId="0" applyAlignment="1">
      <alignment wrapText="1"/>
    </xf>
    <xf numFmtId="4" applyNumberFormat="1" fontId="37" applyFont="1" fillId="0" borderId="39" applyBorder="1" xfId="0" applyAlignment="1">
      <alignment horizontal="right" wrapText="1"/>
    </xf>
    <xf numFmtId="0" fontId="37" applyFont="1" fillId="0" borderId="83" applyBorder="1" xfId="0" applyAlignment="1">
      <alignment horizontal="right" wrapText="1"/>
    </xf>
    <xf numFmtId="0" fontId="51" applyFont="1" fillId="4" applyFill="1" borderId="7" applyBorder="1" xfId="0" applyAlignment="1">
      <alignment wrapText="1"/>
    </xf>
    <xf numFmtId="0" fontId="51" applyFont="1" fillId="4" applyFill="1" borderId="12" applyBorder="1" xfId="0" applyAlignment="1">
      <alignment wrapText="1"/>
    </xf>
    <xf numFmtId="4" applyNumberFormat="1" fontId="37" applyFont="1" fillId="0" borderId="40" applyBorder="1" xfId="0" applyAlignment="1">
      <alignment horizontal="right" wrapText="1"/>
    </xf>
    <xf numFmtId="4" applyNumberFormat="1" fontId="37" applyFont="1" fillId="0" borderId="66" applyBorder="1" xfId="0" applyAlignment="1">
      <alignment horizontal="right" wrapText="1"/>
    </xf>
    <xf numFmtId="0" fontId="51" applyFont="1" fillId="0" borderId="66" applyBorder="1" xfId="0" applyAlignment="1">
      <alignment wrapText="1"/>
    </xf>
    <xf numFmtId="0" fontId="51" applyFont="1" fillId="0" borderId="117" applyBorder="1" xfId="0" applyAlignment="1">
      <alignment wrapText="1"/>
    </xf>
    <xf numFmtId="0" fontId="36" applyFont="1" fillId="11" applyFill="1" borderId="25" applyBorder="1" xfId="0" applyAlignment="1">
      <alignment horizontal="right" wrapText="1"/>
    </xf>
    <xf numFmtId="0" fontId="51" applyFont="1" fillId="11" applyFill="1" borderId="25" applyBorder="1" xfId="0" applyAlignment="1">
      <alignment wrapText="1"/>
    </xf>
    <xf numFmtId="4" applyNumberFormat="1" fontId="37" applyFont="1" fillId="0" borderId="40" applyBorder="1" xfId="0" applyAlignment="1">
      <alignment horizontal="right" wrapText="1"/>
    </xf>
    <xf numFmtId="0" fontId="37" applyFont="1" fillId="0" borderId="66" applyBorder="1" xfId="0" applyAlignment="1">
      <alignment horizontal="right" wrapText="1"/>
    </xf>
    <xf numFmtId="0" fontId="51" applyFont="1" fillId="4" applyFill="1" borderId="25" applyBorder="1" xfId="0" applyAlignment="1">
      <alignment wrapText="1"/>
    </xf>
    <xf numFmtId="0" fontId="51" applyFont="1" fillId="4" applyFill="1" borderId="45" applyBorder="1" xfId="0" applyAlignment="1">
      <alignment wrapText="1"/>
    </xf>
    <xf numFmtId="0" fontId="37" applyFont="1" fillId="4" applyFill="1" borderId="45" applyBorder="1" xfId="0" applyAlignment="1">
      <alignment horizontal="right" wrapText="1"/>
    </xf>
    <xf numFmtId="0" fontId="37" applyFont="1" fillId="0" borderId="40" applyBorder="1" xfId="0" applyAlignment="1">
      <alignment horizontal="right" wrapText="1"/>
    </xf>
    <xf numFmtId="0" fontId="36" applyFont="1" fillId="11" applyFill="1" borderId="1" applyBorder="1" xfId="0" applyAlignment="1">
      <alignment horizontal="right" wrapText="1"/>
    </xf>
    <xf numFmtId="2" applyNumberFormat="1" fontId="11" applyFont="1" fillId="4" applyFill="1" borderId="25" applyBorder="1" xfId="0" applyAlignment="1">
      <alignment vertical="center"/>
    </xf>
    <xf numFmtId="0" fontId="37" applyFont="1" fillId="4" applyFill="1" borderId="25" applyBorder="1" xfId="0" applyAlignment="1">
      <alignment horizontal="right" wrapText="1"/>
    </xf>
    <xf numFmtId="0" fontId="51" applyFont="1" fillId="0" borderId="40" applyBorder="1" xfId="0" applyAlignment="1">
      <alignment wrapText="1"/>
    </xf>
    <xf numFmtId="0" fontId="51" applyFont="1" fillId="0" borderId="66" applyBorder="1" xfId="0" applyAlignment="1">
      <alignment wrapText="1"/>
    </xf>
    <xf numFmtId="0" fontId="51" applyFont="1" fillId="0" borderId="40" applyBorder="1" xfId="0" applyAlignment="1">
      <alignment wrapText="1"/>
    </xf>
    <xf numFmtId="4" applyNumberFormat="1" fontId="37" applyFont="1" fillId="0" borderId="56" applyBorder="1" xfId="0" applyAlignment="1">
      <alignment horizontal="right" wrapText="1"/>
    </xf>
    <xf numFmtId="4" applyNumberFormat="1" fontId="37" applyFont="1" fillId="0" borderId="84" applyBorder="1" xfId="0" applyAlignment="1">
      <alignment horizontal="right" wrapText="1"/>
    </xf>
    <xf numFmtId="0" fontId="51" applyFont="1" fillId="0" borderId="84" applyBorder="1" xfId="0" applyAlignment="1">
      <alignment wrapText="1"/>
    </xf>
    <xf numFmtId="0" fontId="51" applyFont="1" fillId="0" borderId="118" applyBorder="1" xfId="0" applyAlignment="1">
      <alignment wrapText="1"/>
    </xf>
    <xf numFmtId="0" fontId="36" applyFont="1" fillId="11" applyFill="1" borderId="18" applyBorder="1" xfId="0" applyAlignment="1">
      <alignment horizontal="right" wrapText="1"/>
    </xf>
    <xf numFmtId="0" fontId="51" applyFont="1" fillId="11" applyFill="1" borderId="18" applyBorder="1" xfId="0" applyAlignment="1">
      <alignment wrapText="1"/>
    </xf>
    <xf numFmtId="4" applyNumberFormat="1" fontId="37" applyFont="1" fillId="0" borderId="56" applyBorder="1" xfId="0" applyAlignment="1">
      <alignment horizontal="right" wrapText="1"/>
    </xf>
    <xf numFmtId="0" fontId="37" applyFont="1" fillId="0" borderId="84" applyBorder="1" xfId="0" applyAlignment="1">
      <alignment horizontal="right" wrapText="1"/>
    </xf>
    <xf numFmtId="0" fontId="51" applyFont="1" fillId="4" applyFill="1" borderId="18" applyBorder="1" xfId="0" applyAlignment="1">
      <alignment wrapText="1"/>
    </xf>
    <xf numFmtId="0" fontId="51" applyFont="1" fillId="4" applyFill="1" borderId="27" applyBorder="1" xfId="0" applyAlignment="1">
      <alignment wrapText="1"/>
    </xf>
    <xf numFmtId="164" applyNumberFormat="1" fontId="5" applyFont="1" fillId="17" applyFill="1" borderId="34" applyBorder="1" xfId="0"/>
    <xf numFmtId="164" applyNumberFormat="1" fontId="2" applyFont="1" fillId="17" applyFill="1" borderId="34" applyBorder="1" xfId="0"/>
    <xf numFmtId="164" applyNumberFormat="1" fontId="44" applyFont="1" fillId="17" applyFill="1" borderId="1" applyBorder="1" xfId="0"/>
    <xf numFmtId="2" applyNumberFormat="1" fontId="11" applyFont="1" fillId="12" applyFill="1" borderId="25" applyBorder="1" xfId="0" applyAlignment="1">
      <alignment vertical="center"/>
    </xf>
    <xf numFmtId="164" applyNumberFormat="1" fontId="1" applyFont="1" fillId="12" applyFill="1" borderId="2" applyBorder="1" xfId="0" applyAlignment="1"/>
    <xf numFmtId="2" applyNumberFormat="1" fontId="11" applyFont="1" fillId="0" borderId="40" applyBorder="1" xfId="0" applyAlignment="1">
      <alignment vertical="center"/>
    </xf>
    <xf numFmtId="2" applyNumberFormat="1" fontId="77" applyFont="1" fillId="0" borderId="66" applyBorder="1" xfId="0" applyAlignment="1">
      <alignment horizontal="right" vertical="center"/>
    </xf>
    <xf numFmtId="0" fontId="21" applyFont="1" fillId="14" applyFill="1" borderId="0" xfId="0" applyAlignment="1">
      <alignment horizontal="left"/>
    </xf>
    <xf numFmtId="164" applyNumberFormat="1" fontId="1" applyFont="1" fillId="0" borderId="57" applyBorder="1" xfId="0"/>
    <xf numFmtId="0" fontId="21" applyFont="1" fillId="28" applyFill="1" borderId="57" applyBorder="1" xfId="0" applyAlignment="1">
      <alignment horizontal="left"/>
    </xf>
    <xf numFmtId="164" applyNumberFormat="1" fontId="37" applyFont="1" fillId="12" applyFill="1" borderId="7" applyBorder="1" xfId="0" applyAlignment="1"/>
    <xf numFmtId="164" applyNumberFormat="1" fontId="37" applyFont="1" fillId="12" applyFill="1" borderId="25" applyBorder="1" xfId="0" applyAlignment="1"/>
    <xf numFmtId="164" applyNumberFormat="1" fontId="36" applyFont="1" fillId="17" applyFill="1" borderId="46" applyBorder="1" xfId="0"/>
    <xf numFmtId="164" applyNumberFormat="1" fontId="5" applyFont="1" fillId="12" applyFill="1" borderId="18" applyBorder="1" xfId="0"/>
    <xf numFmtId="164" applyNumberFormat="1" fontId="5" applyFont="1" fillId="12" applyFill="1" borderId="85" applyBorder="1" xfId="0"/>
    <xf numFmtId="164" applyNumberFormat="1" fontId="5" applyFont="1" fillId="12" applyFill="1" borderId="23" applyBorder="1" xfId="0"/>
    <xf numFmtId="164" applyNumberFormat="1" fontId="37" applyFont="1" fillId="12" applyFill="1" borderId="18" applyBorder="1" xfId="0"/>
    <xf numFmtId="164" applyNumberFormat="1" fontId="1" applyFont="1" fillId="4" applyFill="1" borderId="85" applyBorder="1" xfId="0"/>
    <xf numFmtId="2" applyNumberFormat="1" fontId="11" applyFont="1" fillId="4" applyFill="1" borderId="80" applyBorder="1" xfId="0" applyAlignment="1">
      <alignment vertical="center"/>
    </xf>
    <xf numFmtId="164" applyNumberFormat="1" fontId="35" applyFont="1" fillId="5" applyFill="1" borderId="110" applyBorder="1" xfId="0"/>
    <xf numFmtId="2" applyNumberFormat="1" fontId="14" applyFont="1" fillId="0" borderId="31" applyBorder="1" xfId="0" applyAlignment="1">
      <alignment horizontal="right" vertical="center"/>
    </xf>
    <xf numFmtId="2" applyNumberFormat="1" fontId="78" applyFont="1" fillId="0" borderId="0" xfId="0" applyAlignment="1">
      <alignment horizontal="right" vertical="center"/>
    </xf>
    <xf numFmtId="2" applyNumberFormat="1" fontId="78" applyFont="1" fillId="0" borderId="31" applyBorder="1" xfId="0" applyAlignment="1">
      <alignment horizontal="right" vertical="center"/>
    </xf>
    <xf numFmtId="164" applyNumberFormat="1" fontId="35" applyFont="1" fillId="0" borderId="40" applyBorder="1" xfId="0"/>
    <xf numFmtId="164" applyNumberFormat="1" fontId="35" applyFont="1" fillId="0" borderId="66" applyBorder="1" xfId="0"/>
    <xf numFmtId="164" applyNumberFormat="1" fontId="41" applyFont="1" fillId="4" applyFill="1" borderId="25" applyBorder="1" xfId="0"/>
    <xf numFmtId="164" applyNumberFormat="1" fontId="41" applyFont="1" fillId="4" applyFill="1" borderId="14" applyBorder="1" xfId="0"/>
    <xf numFmtId="164" applyNumberFormat="1" fontId="41" applyFont="1" fillId="5" applyFill="1" borderId="13" applyBorder="1" xfId="0"/>
    <xf numFmtId="0" fontId="51" applyFont="1" fillId="12" applyFill="1" borderId="46" applyBorder="1" xfId="0"/>
    <xf numFmtId="0" fontId="51" applyFont="1" fillId="12" applyFill="1" borderId="1" applyBorder="1" xfId="0"/>
    <xf numFmtId="164" applyNumberFormat="1" fontId="41" applyFont="1" fillId="5" applyFill="1" borderId="45" applyBorder="1" xfId="0"/>
    <xf numFmtId="2" applyNumberFormat="1" fontId="77" applyFont="1" fillId="0" borderId="41" applyBorder="1" xfId="0" applyAlignment="1">
      <alignment horizontal="right" vertical="center"/>
    </xf>
    <xf numFmtId="164" applyNumberFormat="1" fontId="37" applyFont="1" fillId="0" borderId="119" applyBorder="1" xfId="0"/>
    <xf numFmtId="164" applyNumberFormat="1" fontId="37" applyFont="1" fillId="17" applyFill="1" borderId="45" applyBorder="1" xfId="0"/>
    <xf numFmtId="2" applyNumberFormat="1" fontId="11" applyFont="1" fillId="0" borderId="0" xfId="0" applyAlignment="1">
      <alignment vertical="center"/>
    </xf>
    <xf numFmtId="2" applyNumberFormat="1" fontId="11" applyFont="1" fillId="0" borderId="66" applyBorder="1" xfId="0" applyAlignment="1">
      <alignment vertical="center"/>
    </xf>
    <xf numFmtId="2" applyNumberFormat="1" fontId="64" applyFont="1" fillId="4" applyFill="1" borderId="25" applyBorder="1" xfId="0" applyAlignment="1">
      <alignment vertical="center"/>
    </xf>
    <xf numFmtId="0" fontId="36" applyFont="1" fillId="0" borderId="31" applyBorder="1" xfId="0"/>
    <xf numFmtId="4" applyNumberFormat="1" fontId="36" applyFont="1" fillId="0" borderId="0" xfId="0"/>
    <xf numFmtId="2" applyNumberFormat="1" fontId="11" applyFont="1" fillId="0" borderId="114" applyBorder="1" xfId="0" applyAlignment="1">
      <alignment vertical="center"/>
    </xf>
    <xf numFmtId="2" applyNumberFormat="1" fontId="37" applyFont="1" fillId="0" borderId="66" applyBorder="1" xfId="0" applyAlignment="1">
      <alignment horizontal="right" vertical="center"/>
    </xf>
    <xf numFmtId="2" applyNumberFormat="1" fontId="37" applyFont="1" fillId="0" borderId="0" xfId="0" applyAlignment="1">
      <alignment horizontal="right" vertical="center"/>
    </xf>
    <xf numFmtId="2" applyNumberFormat="1" fontId="11" applyFont="1" fillId="0" borderId="68" applyBorder="1" xfId="0" applyAlignment="1">
      <alignment vertical="center"/>
    </xf>
    <xf numFmtId="164" applyNumberFormat="1" fontId="32" applyFont="1" fillId="11" applyFill="1" borderId="23" applyBorder="1" xfId="0"/>
    <xf numFmtId="2" applyNumberFormat="1" fontId="11" applyFont="1" fillId="12" applyFill="1" borderId="90" applyBorder="1" xfId="0" applyAlignment="1">
      <alignment vertical="center"/>
    </xf>
    <xf numFmtId="164" applyNumberFormat="1" fontId="36" applyFont="1" fillId="11" applyFill="1" borderId="105" applyBorder="1" xfId="0"/>
    <xf numFmtId="4" applyNumberFormat="1" fontId="32" applyFont="1" fillId="0" borderId="40" applyBorder="1" xfId="0" applyAlignment="1">
      <alignment horizontal="right"/>
    </xf>
    <xf numFmtId="164" applyNumberFormat="1" fontId="35" applyFont="1" fillId="4" applyFill="1" borderId="47" applyBorder="1" xfId="0"/>
    <xf numFmtId="2" applyNumberFormat="1" fontId="70" applyFont="1" fillId="0" borderId="31" applyBorder="1" xfId="0" applyAlignment="1">
      <alignment horizontal="right"/>
    </xf>
    <xf numFmtId="2" applyNumberFormat="1" fontId="70" applyFont="1" fillId="0" borderId="41" applyBorder="1" xfId="0" applyAlignment="1">
      <alignment horizontal="right"/>
    </xf>
    <xf numFmtId="0" fontId="1" applyFont="1" fillId="0" borderId="39" applyBorder="1" xfId="0" applyAlignment="1">
      <alignment horizontal="center"/>
    </xf>
    <xf numFmtId="164" applyNumberFormat="1" fontId="27" applyFont="1" fillId="33" applyFill="1" borderId="107" applyBorder="1" xfId="0" applyAlignment="1">
      <alignment horizontal="center"/>
    </xf>
    <xf numFmtId="164" applyNumberFormat="1" fontId="27" applyFont="1" fillId="33" applyFill="1" borderId="2" applyBorder="1" xfId="0" applyAlignment="1">
      <alignment horizontal="center"/>
    </xf>
    <xf numFmtId="164" applyNumberFormat="1" fontId="27" applyFont="1" fillId="33" applyFill="1" borderId="14" applyBorder="1" xfId="0" applyAlignment="1">
      <alignment horizontal="center"/>
    </xf>
    <xf numFmtId="4" applyNumberFormat="1" fontId="36" applyFont="1" fillId="11" applyFill="1" borderId="7" applyBorder="1" xfId="0" applyAlignment="1">
      <alignment horizontal="right" wrapText="1"/>
    </xf>
    <xf numFmtId="0" fontId="37" applyFont="1" fillId="0" borderId="39" applyBorder="1" xfId="0" applyAlignment="1">
      <alignment horizontal="right" wrapText="1"/>
    </xf>
    <xf numFmtId="0" fontId="36" applyFont="1" fillId="11" applyFill="1" borderId="7" applyBorder="1" xfId="0" applyAlignment="1">
      <alignment horizontal="right" wrapText="1"/>
    </xf>
    <xf numFmtId="0" fontId="51" applyFont="1" fillId="12" applyFill="1" borderId="7" applyBorder="1" xfId="0" applyAlignment="1">
      <alignment wrapText="1"/>
    </xf>
    <xf numFmtId="0" fontId="51" applyFont="1" fillId="12" applyFill="1" borderId="12" applyBorder="1" xfId="0" applyAlignment="1">
      <alignment wrapText="1"/>
    </xf>
    <xf numFmtId="4" applyNumberFormat="1" fontId="36" applyFont="1" fillId="11" applyFill="1" borderId="25" applyBorder="1" xfId="0" applyAlignment="1">
      <alignment horizontal="right" wrapText="1"/>
    </xf>
    <xf numFmtId="0" fontId="36" applyFont="1" fillId="11" applyFill="1" borderId="25" applyBorder="1" xfId="0" applyAlignment="1">
      <alignment horizontal="right" wrapText="1"/>
    </xf>
    <xf numFmtId="0" fontId="36" applyFont="1" fillId="11" applyFill="1" borderId="1" applyBorder="1" xfId="0" applyAlignment="1">
      <alignment horizontal="right" wrapText="1"/>
    </xf>
    <xf numFmtId="0" fontId="51" applyFont="1" fillId="12" applyFill="1" borderId="25" applyBorder="1" xfId="0" applyAlignment="1">
      <alignment wrapText="1"/>
    </xf>
    <xf numFmtId="0" fontId="51" applyFont="1" fillId="12" applyFill="1" borderId="45" applyBorder="1" xfId="0" applyAlignment="1">
      <alignment wrapText="1"/>
    </xf>
    <xf numFmtId="0" fontId="51" applyFont="1" fillId="11" applyFill="1" borderId="25" applyBorder="1" xfId="0" applyAlignment="1">
      <alignment wrapText="1"/>
    </xf>
    <xf numFmtId="0" fontId="37" applyFont="1" fillId="12" applyFill="1" borderId="45" applyBorder="1" xfId="0" applyAlignment="1">
      <alignment horizontal="right" wrapText="1"/>
    </xf>
    <xf numFmtId="0" fontId="37" applyFont="1" fillId="12" applyFill="1" borderId="25" applyBorder="1" xfId="0" applyAlignment="1">
      <alignment horizontal="right" wrapText="1"/>
    </xf>
    <xf numFmtId="0" fontId="51" applyFont="1" fillId="12" applyFill="1" borderId="25" applyBorder="1" xfId="0" applyAlignment="1">
      <alignment wrapText="1"/>
    </xf>
    <xf numFmtId="0" fontId="51" applyFont="1" fillId="12" applyFill="1" borderId="45" applyBorder="1" xfId="0" applyAlignment="1">
      <alignment wrapText="1"/>
    </xf>
    <xf numFmtId="0" fontId="51" applyFont="1" fillId="11" applyFill="1" borderId="1" applyBorder="1" xfId="0" applyAlignment="1">
      <alignment wrapText="1"/>
    </xf>
    <xf numFmtId="0" fontId="37" applyFont="1" fillId="0" borderId="40" applyBorder="1" xfId="0" applyAlignment="1">
      <alignment horizontal="right" wrapText="1"/>
    </xf>
    <xf numFmtId="4" applyNumberFormat="1" fontId="36" applyFont="1" fillId="11" applyFill="1" borderId="25" applyBorder="1" xfId="0" applyAlignment="1">
      <alignment horizontal="right" wrapText="1"/>
    </xf>
    <xf numFmtId="4" applyNumberFormat="1" fontId="36" applyFont="1" fillId="11" applyFill="1" borderId="18" applyBorder="1" xfId="0" applyAlignment="1">
      <alignment horizontal="right" wrapText="1"/>
    </xf>
    <xf numFmtId="0" fontId="37" applyFont="1" fillId="0" borderId="56" applyBorder="1" xfId="0" applyAlignment="1">
      <alignment horizontal="right" wrapText="1"/>
    </xf>
    <xf numFmtId="0" fontId="51" applyFont="1" fillId="11" applyFill="1" borderId="18" applyBorder="1" xfId="0" applyAlignment="1">
      <alignment wrapText="1"/>
    </xf>
    <xf numFmtId="0" fontId="51" applyFont="1" fillId="12" applyFill="1" borderId="18" applyBorder="1" xfId="0" applyAlignment="1">
      <alignment wrapText="1"/>
    </xf>
    <xf numFmtId="0" fontId="51" applyFont="1" fillId="12" applyFill="1" borderId="27" applyBorder="1" xfId="0" applyAlignment="1">
      <alignment wrapText="1"/>
    </xf>
    <xf numFmtId="2" applyNumberFormat="1" fontId="72" applyFont="1" fillId="0" borderId="31" applyBorder="1" xfId="0" applyAlignment="1">
      <alignment horizontal="right"/>
    </xf>
    <xf numFmtId="164" applyNumberFormat="1" fontId="1" applyFont="1" fillId="0" borderId="120" applyBorder="1" xfId="0"/>
    <xf numFmtId="164" applyNumberFormat="1" fontId="1" applyFont="1" fillId="0" borderId="121" applyBorder="1" xfId="0" applyAlignment="1"/>
    <xf numFmtId="164" applyNumberFormat="1" fontId="1" applyFont="1" fillId="0" borderId="122" applyBorder="1" xfId="0"/>
    <xf numFmtId="164" applyNumberFormat="1" fontId="36" applyFont="1" fillId="11" applyFill="1" borderId="8" applyBorder="1" xfId="0"/>
    <xf numFmtId="164" applyNumberFormat="1" fontId="36" applyFont="1" fillId="11" applyFill="1" borderId="5" applyBorder="1" xfId="0"/>
    <xf numFmtId="164" applyNumberFormat="1" fontId="36" applyFont="1" fillId="11" applyFill="1" borderId="5" applyBorder="1" xfId="0" applyAlignment="1"/>
    <xf numFmtId="164" applyNumberFormat="1" fontId="35" applyFont="1" fillId="3" applyFill="1" borderId="5" applyBorder="1" xfId="0"/>
    <xf numFmtId="164" applyNumberFormat="1" fontId="1" applyFont="1" fillId="0" borderId="121" applyBorder="1" xfId="0"/>
    <xf numFmtId="164" applyNumberFormat="1" fontId="35" applyFont="1" fillId="4" applyFill="1" borderId="5" applyBorder="1" xfId="0"/>
    <xf numFmtId="164" applyNumberFormat="1" fontId="36" applyFont="1" fillId="11" applyFill="1" borderId="6" applyBorder="1" xfId="0"/>
    <xf numFmtId="164" applyNumberFormat="1" fontId="1" applyFont="1" fillId="11" applyFill="1" borderId="9" applyBorder="1" xfId="0"/>
    <xf numFmtId="164" applyNumberFormat="1" fontId="1" applyFont="1" fillId="11" applyFill="1" borderId="110" applyBorder="1" xfId="0"/>
    <xf numFmtId="164" applyNumberFormat="1" fontId="37" applyFont="1" fillId="11" applyFill="1" borderId="110" applyBorder="1" xfId="0"/>
    <xf numFmtId="0" fontId="18" applyFont="1" fillId="14" applyFill="1" borderId="57" applyBorder="1" xfId="0" applyAlignment="1">
      <alignment horizontal="left"/>
    </xf>
    <xf numFmtId="164" applyNumberFormat="1" fontId="35" applyFont="1" fillId="20" applyFill="1" borderId="75" applyBorder="1" xfId="0"/>
    <xf numFmtId="164" applyNumberFormat="1" fontId="35" applyFont="1" fillId="20" applyFill="1" borderId="121" applyBorder="1" xfId="0"/>
    <xf numFmtId="164" applyNumberFormat="1" fontId="18" applyFont="1" fillId="0" borderId="0" xfId="0" applyAlignment="1">
      <alignment horizontal="center"/>
    </xf>
    <xf numFmtId="0" fontId="18" applyFont="1" fillId="23" applyFill="1" borderId="57" applyBorder="1" xfId="0" applyAlignment="1">
      <alignment horizontal="left"/>
    </xf>
    <xf numFmtId="164" applyNumberFormat="1" fontId="37" applyFont="1" fillId="0" borderId="106" applyBorder="1" xfId="0"/>
    <xf numFmtId="164" applyNumberFormat="1" fontId="37" applyFont="1" fillId="0" borderId="121" applyBorder="1" xfId="0" applyAlignment="1"/>
    <xf numFmtId="164" applyNumberFormat="1" fontId="37" applyFont="1" fillId="0" borderId="121" applyBorder="1" xfId="0"/>
    <xf numFmtId="164" applyNumberFormat="1" fontId="1" applyFont="1" fillId="0" borderId="106" applyBorder="1" xfId="0"/>
    <xf numFmtId="2" applyNumberFormat="1" fontId="79" applyFont="1" fillId="0" borderId="71" applyBorder="1" xfId="0" applyAlignment="1">
      <alignment horizontal="right"/>
    </xf>
    <xf numFmtId="164" applyNumberFormat="1" fontId="1" applyFont="1" fillId="11" applyFill="1" borderId="108" applyBorder="1" xfId="0"/>
    <xf numFmtId="164" applyNumberFormat="1" fontId="57" applyFont="1" fillId="12" applyFill="1" borderId="46" applyBorder="1" xfId="0" applyAlignment="1">
      <alignment horizontal="right"/>
    </xf>
    <xf numFmtId="164" applyNumberFormat="1" fontId="57" applyFont="1" fillId="12" applyFill="1" borderId="14" applyBorder="1" xfId="0" applyAlignment="1">
      <alignment horizontal="right"/>
    </xf>
    <xf numFmtId="2" applyNumberFormat="1" fontId="70" applyFont="1" fillId="0" borderId="66" applyBorder="1" xfId="0" applyAlignment="1">
      <alignment horizontal="right"/>
    </xf>
    <xf numFmtId="2" applyNumberFormat="1" fontId="70" applyFont="1" fillId="0" borderId="0" xfId="0" applyAlignment="1">
      <alignment horizontal="right"/>
    </xf>
    <xf numFmtId="2" applyNumberFormat="1" fontId="72" applyFont="1" fillId="4" applyFill="1" borderId="25" applyBorder="1" xfId="0" applyAlignment="1">
      <alignment horizontal="right"/>
    </xf>
    <xf numFmtId="2" applyNumberFormat="1" fontId="79" applyFont="1" fillId="0" borderId="24" applyBorder="1" xfId="0" applyAlignment="1">
      <alignment horizontal="right"/>
    </xf>
    <xf numFmtId="4" applyNumberFormat="1" fontId="79" applyFont="1" fillId="0" borderId="104" applyBorder="1" xfId="0" applyAlignment="1">
      <alignment horizontal="right"/>
    </xf>
    <xf numFmtId="0" fontId="43" applyFont="1" fillId="0" borderId="0" xfId="0"/>
    <xf numFmtId="164" applyNumberFormat="1" fontId="80" applyFont="1" fillId="29" applyFill="1" borderId="62" applyBorder="1" xfId="0" applyAlignment="1">
      <alignment horizontal="center"/>
    </xf>
    <xf numFmtId="164" applyNumberFormat="1" fontId="80" applyFont="1" fillId="29" applyFill="1" borderId="2" applyBorder="1" xfId="0" applyAlignment="1">
      <alignment horizontal="center"/>
    </xf>
    <xf numFmtId="164" applyNumberFormat="1" fontId="22" applyFont="1" fillId="3" applyFill="1" borderId="2" applyBorder="1" xfId="0" applyAlignment="1">
      <alignment horizontal="center"/>
    </xf>
    <xf numFmtId="164" applyNumberFormat="1" fontId="80" applyFont="1" fillId="3" applyFill="1" borderId="2" applyBorder="1" xfId="0" applyAlignment="1">
      <alignment horizontal="center"/>
    </xf>
    <xf numFmtId="164" applyNumberFormat="1" fontId="32" applyFont="1" fillId="3" applyFill="1" borderId="2" applyBorder="1" xfId="0" applyAlignment="1">
      <alignment horizontal="center"/>
    </xf>
    <xf numFmtId="164" applyNumberFormat="1" fontId="27" applyFont="1" fillId="10" applyFill="1" borderId="105" applyBorder="1" xfId="0" applyAlignment="1">
      <alignment horizontal="center"/>
    </xf>
    <xf numFmtId="164" applyNumberFormat="1" fontId="22" applyFont="1" fillId="29" applyFill="1" borderId="23" applyBorder="1" xfId="0" applyAlignment="1">
      <alignment horizontal="center"/>
    </xf>
    <xf numFmtId="164" applyNumberFormat="1" fontId="22" applyFont="1" fillId="29" applyFill="1" borderId="23" applyBorder="1" xfId="0" applyAlignment="1">
      <alignment horizontal="left"/>
    </xf>
    <xf numFmtId="164" applyNumberFormat="1" fontId="22" applyFont="1" fillId="3" applyFill="1" borderId="23" applyBorder="1" xfId="0" applyAlignment="1">
      <alignment horizontal="center"/>
    </xf>
    <xf numFmtId="164" applyNumberFormat="1" fontId="22" applyFont="1" fillId="3" applyFill="1" borderId="23" applyBorder="1" xfId="0" applyAlignment="1">
      <alignment horizontal="left"/>
    </xf>
    <xf numFmtId="0" fontId="51" applyFont="1" fillId="11" applyFill="1" borderId="123" applyBorder="1" xfId="0" applyAlignment="1">
      <alignment wrapText="1"/>
    </xf>
    <xf numFmtId="0" fontId="36" applyFont="1" fillId="11" applyFill="1" borderId="7" applyBorder="1" xfId="0" applyAlignment="1">
      <alignment horizontal="right" wrapText="1"/>
    </xf>
    <xf numFmtId="0" fontId="51" applyFont="1" fillId="11" applyFill="1" borderId="12" applyBorder="1" xfId="0" applyAlignment="1">
      <alignment wrapText="1"/>
    </xf>
    <xf numFmtId="164" applyNumberFormat="1" fontId="1" applyFont="1" fillId="11" applyFill="1" borderId="2" applyBorder="1" xfId="0" applyAlignment="1">
      <alignment horizontal="center"/>
    </xf>
    <xf numFmtId="0" fontId="37" applyFont="1" fillId="4" applyFill="1" borderId="7" applyBorder="1" xfId="0" applyAlignment="1">
      <alignment horizontal="right" wrapText="1"/>
    </xf>
    <xf numFmtId="0" fontId="51" applyFont="1" fillId="11" applyFill="1" borderId="124" applyBorder="1" xfId="0" applyAlignment="1">
      <alignment wrapText="1"/>
    </xf>
    <xf numFmtId="0" fontId="51" applyFont="1" fillId="11" applyFill="1" borderId="45" applyBorder="1" xfId="0" applyAlignment="1">
      <alignment wrapText="1"/>
    </xf>
    <xf numFmtId="164" applyNumberFormat="1" fontId="1" applyFont="1" fillId="11" applyFill="1" borderId="14" applyBorder="1" xfId="0" applyAlignment="1">
      <alignment horizontal="center"/>
    </xf>
    <xf numFmtId="0" fontId="51" applyFont="1" fillId="4" applyFill="1" borderId="25" applyBorder="1" xfId="0" applyAlignment="1">
      <alignment wrapText="1"/>
    </xf>
    <xf numFmtId="0" fontId="36" applyFont="1" fillId="11" applyFill="1" borderId="124" applyBorder="1" xfId="0" applyAlignment="1">
      <alignment horizontal="center" wrapText="1"/>
    </xf>
    <xf numFmtId="0" fontId="36" applyFont="1" fillId="11" applyFill="1" borderId="124" applyBorder="1" xfId="0" applyAlignment="1">
      <alignment horizontal="center" wrapText="1"/>
    </xf>
    <xf numFmtId="0" fontId="51" applyFont="1" fillId="11" applyFill="1" borderId="124" applyBorder="1" xfId="0" applyAlignment="1">
      <alignment wrapText="1"/>
    </xf>
    <xf numFmtId="0" fontId="36" applyFont="1" fillId="11" applyFill="1" borderId="45" applyBorder="1" xfId="0" applyAlignment="1">
      <alignment horizontal="right" wrapText="1"/>
    </xf>
    <xf numFmtId="164" applyNumberFormat="1" fontId="35" applyFont="1" fillId="5" applyFill="1" borderId="58" applyBorder="1" xfId="0"/>
    <xf numFmtId="0" fontId="51" applyFont="1" fillId="4" applyFill="1" borderId="45" applyBorder="1" xfId="0" applyAlignment="1">
      <alignment wrapText="1"/>
    </xf>
    <xf numFmtId="0" fontId="36" applyFont="1" fillId="11" applyFill="1" borderId="125" applyBorder="1" xfId="0" applyAlignment="1">
      <alignment horizontal="center" wrapText="1"/>
    </xf>
    <xf numFmtId="164" applyNumberFormat="1" fontId="36" applyFont="1" fillId="11" applyFill="1" borderId="23" applyBorder="1" xfId="0" applyAlignment="1">
      <alignment horizontal="center"/>
    </xf>
    <xf numFmtId="4" applyNumberFormat="1" fontId="36" applyFont="1" fillId="11" applyFill="1" borderId="18" applyBorder="1" xfId="0" applyAlignment="1">
      <alignment horizontal="right" wrapText="1"/>
    </xf>
    <xf numFmtId="0" fontId="51" applyFont="1" fillId="11" applyFill="1" borderId="27" applyBorder="1" xfId="0" applyAlignment="1">
      <alignment wrapText="1"/>
    </xf>
    <xf numFmtId="0" fontId="37" applyFont="1" fillId="4" applyFill="1" borderId="18" applyBorder="1" xfId="0" applyAlignment="1">
      <alignment horizontal="right" wrapText="1"/>
    </xf>
    <xf numFmtId="164" applyNumberFormat="1" fontId="35" applyFont="1" fillId="20" applyFill="1" borderId="23" applyBorder="1" xfId="0" applyAlignment="1">
      <alignment horizontal="center"/>
    </xf>
    <xf numFmtId="164" applyNumberFormat="1" fontId="36" applyFont="1" fillId="11" applyFill="1" borderId="62" applyBorder="1" xfId="0" applyAlignment="1">
      <alignment horizontal="center"/>
    </xf>
    <xf numFmtId="164" applyNumberFormat="1" fontId="36" applyFont="1" fillId="11" applyFill="1" borderId="46" applyBorder="1" xfId="0" applyAlignment="1">
      <alignment horizontal="center"/>
    </xf>
    <xf numFmtId="2" applyNumberFormat="1" fontId="36" applyFont="1" fillId="0" borderId="40" applyBorder="1" xfId="0" applyAlignment="1">
      <alignment horizontal="right"/>
    </xf>
    <xf numFmtId="164" applyNumberFormat="1" fontId="36" applyFont="1" fillId="11" applyFill="1" borderId="85" applyBorder="1" xfId="0" applyAlignment="1">
      <alignment horizontal="center"/>
    </xf>
    <xf numFmtId="164" applyNumberFormat="1" fontId="35" applyFont="1" fillId="20" applyFill="1" borderId="126" applyBorder="1" xfId="0"/>
    <xf numFmtId="164" applyNumberFormat="1" fontId="1" applyFont="1" fillId="0" borderId="29" applyBorder="1" xfId="0" applyAlignment="1">
      <alignment horizontal="center"/>
    </xf>
    <xf numFmtId="164" applyNumberFormat="1" fontId="2" applyFont="1" fillId="0" borderId="29" applyBorder="1" xfId="0"/>
    <xf numFmtId="164" applyNumberFormat="1" fontId="2" applyFont="1" fillId="4" applyFill="1" borderId="1" applyBorder="1" xfId="0" applyAlignment="1">
      <alignment horizontal="center"/>
    </xf>
    <xf numFmtId="164" applyNumberFormat="1" fontId="2" applyFont="1" fillId="4" applyFill="1" borderId="1" applyBorder="1" xfId="0"/>
    <xf numFmtId="164" applyNumberFormat="1" fontId="36" applyFont="1" fillId="0" borderId="28" applyBorder="1" xfId="0" applyAlignment="1">
      <alignment horizontal="center"/>
    </xf>
    <xf numFmtId="164" applyNumberFormat="1" fontId="1" applyFont="1" fillId="0" borderId="10" applyBorder="1" xfId="0" applyAlignment="1">
      <alignment horizontal="center"/>
    </xf>
    <xf numFmtId="164" applyNumberFormat="1" fontId="37" applyFont="1" fillId="17" applyFill="1" borderId="14" applyBorder="1" xfId="0" applyAlignment="1">
      <alignment horizontal="center"/>
    </xf>
    <xf numFmtId="164" applyNumberFormat="1" fontId="35" applyFont="1" fillId="4" applyFill="1" borderId="99" applyBorder="1" xfId="0"/>
    <xf numFmtId="164" applyNumberFormat="1" fontId="36" applyFont="1" fillId="11" applyFill="1" borderId="20" applyBorder="1" xfId="0" applyAlignment="1">
      <alignment horizontal="center"/>
    </xf>
    <xf numFmtId="164" applyNumberFormat="1" fontId="36" applyFont="1" fillId="11" applyFill="1" borderId="21" applyBorder="1" xfId="0" applyAlignment="1">
      <alignment horizontal="center"/>
    </xf>
    <xf numFmtId="164" applyNumberFormat="1" fontId="36" applyFont="1" fillId="11" applyFill="1" borderId="21" applyBorder="1" xfId="0" applyAlignment="1">
      <alignment horizontal="center"/>
    </xf>
    <xf numFmtId="164" applyNumberFormat="1" fontId="36" applyFont="1" fillId="11" applyFill="1" borderId="21" applyBorder="1" xfId="0"/>
    <xf numFmtId="164" applyNumberFormat="1" fontId="35" applyFont="1" fillId="3" applyFill="1" borderId="21" applyBorder="1" xfId="0"/>
    <xf numFmtId="164" applyNumberFormat="1" fontId="35" applyFont="1" fillId="4" applyFill="1" borderId="21" applyBorder="1" xfId="0"/>
    <xf numFmtId="164" applyNumberFormat="1" fontId="36" applyFont="1" fillId="11" applyFill="1" borderId="21" applyBorder="1" xfId="0" applyAlignment="1"/>
    <xf numFmtId="164" applyNumberFormat="1" fontId="36" applyFont="1" fillId="11" applyFill="1" borderId="96" applyBorder="1" xfId="0"/>
    <xf numFmtId="164" applyNumberFormat="1" fontId="35" applyFont="1" fillId="5" applyFill="1" borderId="95" applyBorder="1" xfId="0"/>
    <xf numFmtId="164" applyNumberFormat="1" fontId="35" applyFont="1" fillId="5" applyFill="1" borderId="98" applyBorder="1" xfId="0"/>
    <xf numFmtId="164" applyNumberFormat="1" fontId="37" applyFont="1" fillId="4" applyFill="1" borderId="21" applyBorder="1" xfId="0" applyAlignment="1"/>
    <xf numFmtId="164" applyNumberFormat="1" fontId="35" applyFont="1" fillId="13" applyFill="1" borderId="21" applyBorder="1" xfId="0"/>
    <xf numFmtId="0" fontId="1" applyFont="1" fillId="16" applyFill="1" borderId="127" applyBorder="1" xfId="0" applyAlignment="1">
      <alignment horizontal="center"/>
    </xf>
    <xf numFmtId="164" applyNumberFormat="1" fontId="37" applyFont="1" fillId="16" applyFill="1" borderId="127" applyBorder="1" xfId="0" applyAlignment="1"/>
    <xf numFmtId="164" applyNumberFormat="1" fontId="37" applyFont="1" fillId="16" applyFill="1" borderId="127" applyBorder="1" xfId="0"/>
    <xf numFmtId="164" applyNumberFormat="1" fontId="35" applyFont="1" fillId="16" applyFill="1" borderId="127" applyBorder="1" xfId="0"/>
    <xf numFmtId="164" applyNumberFormat="1" fontId="36" applyFont="1" fillId="16" applyFill="1" borderId="127" applyBorder="1" xfId="0" applyAlignment="1">
      <alignment horizontal="center"/>
    </xf>
    <xf numFmtId="164" applyNumberFormat="1" fontId="36" applyFont="1" fillId="16" applyFill="1" borderId="127" applyBorder="1" xfId="0" applyAlignment="1">
      <alignment horizontal="center"/>
    </xf>
    <xf numFmtId="164" applyNumberFormat="1" fontId="36" applyFont="1" fillId="16" applyFill="1" borderId="127" applyBorder="1" xfId="0"/>
    <xf numFmtId="164" applyNumberFormat="1" fontId="36" applyFont="1" fillId="16" applyFill="1" borderId="127" applyBorder="1" xfId="0" applyAlignment="1"/>
    <xf numFmtId="164" applyNumberFormat="1" fontId="37" applyFont="1" fillId="16" applyFill="1" borderId="127" applyBorder="1" xfId="0" applyAlignment="1">
      <alignment horizontal="center"/>
    </xf>
    <xf numFmtId="16" applyNumberFormat="1" fontId="1" applyFont="1" fillId="16" applyFill="1" borderId="127" applyBorder="1" xfId="0" applyAlignment="1">
      <alignment horizontal="center"/>
    </xf>
    <xf numFmtId="16" applyNumberFormat="1" fontId="1" applyFont="1" fillId="0" borderId="40" applyBorder="1" xfId="0" applyAlignment="1">
      <alignment horizontal="center"/>
    </xf>
    <xf numFmtId="164" applyNumberFormat="1" fontId="36" applyFont="1" fillId="11" applyFill="1" borderId="128" applyBorder="1" xfId="0" applyAlignment="1">
      <alignment horizontal="center"/>
    </xf>
    <xf numFmtId="164" applyNumberFormat="1" fontId="36" applyFont="1" fillId="11" applyFill="1" borderId="65" applyBorder="1" xfId="0" applyAlignment="1">
      <alignment horizontal="center"/>
    </xf>
    <xf numFmtId="164" applyNumberFormat="1" fontId="35" applyFont="1" fillId="3" applyFill="1" borderId="65" applyBorder="1" xfId="0"/>
    <xf numFmtId="164" applyNumberFormat="1" fontId="36" applyFont="1" fillId="11" applyFill="1" borderId="129" applyBorder="1" xfId="0"/>
    <xf numFmtId="164" applyNumberFormat="1" fontId="35" applyFont="1" fillId="5" applyFill="1" borderId="130" applyBorder="1" xfId="0"/>
    <xf numFmtId="164" applyNumberFormat="1" fontId="35" applyFont="1" fillId="5" applyFill="1" borderId="131" applyBorder="1" xfId="0"/>
    <xf numFmtId="164" applyNumberFormat="1" fontId="37" applyFont="1" fillId="11" applyFill="1" borderId="65" applyBorder="1" xfId="0" applyAlignment="1">
      <alignment horizontal="center"/>
    </xf>
    <xf numFmtId="164" applyNumberFormat="1" fontId="37" applyFont="1" fillId="11" applyFill="1" borderId="65" applyBorder="1" xfId="0"/>
    <xf numFmtId="164" applyNumberFormat="1" fontId="37" applyFont="1" fillId="4" applyFill="1" borderId="65" applyBorder="1" xfId="0"/>
    <xf numFmtId="164" applyNumberFormat="1" fontId="37" applyFont="1" fillId="4" applyFill="1" borderId="65" applyBorder="1" xfId="0" applyAlignment="1"/>
    <xf numFmtId="164" applyNumberFormat="1" fontId="35" applyFont="1" fillId="13" applyFill="1" borderId="65" applyBorder="1" xfId="0"/>
    <xf numFmtId="164" applyNumberFormat="1" fontId="47" applyFont="1" fillId="0" borderId="41" applyBorder="1" xfId="0" applyAlignment="1"/>
    <xf numFmtId="164" applyNumberFormat="1" fontId="47" applyFont="1" fillId="0" borderId="31" applyBorder="1" xfId="0" applyAlignment="1"/>
    <xf numFmtId="164" applyNumberFormat="1" fontId="66" applyFont="1" fillId="11" applyFill="1" borderId="46" applyBorder="1" xfId="0" applyAlignment="1">
      <alignment horizontal="center"/>
    </xf>
    <xf numFmtId="164" applyNumberFormat="1" fontId="47" applyFont="1" fillId="12" applyFill="1" borderId="23" applyBorder="1" xfId="0"/>
    <xf numFmtId="164" applyNumberFormat="1" fontId="18" applyFont="1" fillId="0" borderId="57" applyBorder="1" xfId="0" applyAlignment="1">
      <alignment horizontal="left"/>
    </xf>
    <xf numFmtId="0" fontId="18" applyFont="1" fillId="19" applyFill="1" borderId="57" applyBorder="1" xfId="0" applyAlignment="1">
      <alignment horizontal="left"/>
    </xf>
    <xf numFmtId="164" applyNumberFormat="1" fontId="1" applyFont="1" fillId="28" applyFill="1" borderId="57" applyBorder="1" xfId="0" applyAlignment="1">
      <alignment horizontal="center"/>
    </xf>
    <xf numFmtId="164" applyNumberFormat="1" fontId="66" applyFont="1" fillId="11" applyFill="1" borderId="2" applyBorder="1" xfId="0" applyAlignment="1">
      <alignment horizontal="center"/>
    </xf>
    <xf numFmtId="164" applyNumberFormat="1" fontId="35" applyFont="1" fillId="25" applyFill="1" borderId="50" applyBorder="1" xfId="0"/>
    <xf numFmtId="164" applyNumberFormat="1" fontId="35" applyFont="1" fillId="25" applyFill="1" borderId="45" applyBorder="1" xfId="0"/>
    <xf numFmtId="164" applyNumberFormat="1" fontId="66" applyFont="1" fillId="11" applyFill="1" borderId="46" applyBorder="1" xfId="0" applyAlignment="1">
      <alignment horizontal="center"/>
    </xf>
    <xf numFmtId="164" applyNumberFormat="1" fontId="36" applyFont="1" fillId="17" applyFill="1" borderId="1" applyBorder="1" xfId="0" applyAlignment="1">
      <alignment horizontal="center"/>
    </xf>
    <xf numFmtId="2" applyNumberFormat="1" fontId="51" applyFont="1" fillId="12" applyFill="1" borderId="14" applyBorder="1" xfId="0" applyAlignment="1">
      <alignment horizontal="right"/>
    </xf>
    <xf numFmtId="169" applyNumberFormat="1" fontId="64" applyFont="1" fillId="12" applyFill="1" borderId="14" applyBorder="1" xfId="0" applyAlignment="1">
      <alignment horizontal="right"/>
    </xf>
    <xf numFmtId="2" applyNumberFormat="1" fontId="37" applyFont="1" fillId="0" borderId="31" applyBorder="1" xfId="0" applyAlignment="1">
      <alignment horizontal="right"/>
    </xf>
    <xf numFmtId="2" applyNumberFormat="1" fontId="36" applyFont="1" fillId="0" borderId="31" applyBorder="1" xfId="0" applyAlignment="1">
      <alignment horizontal="right"/>
    </xf>
    <xf numFmtId="164" applyNumberFormat="1" fontId="37" applyFont="1" fillId="12" applyFill="1" borderId="62" applyBorder="1" xfId="0" applyAlignment="1">
      <alignment horizontal="center"/>
    </xf>
    <xf numFmtId="164" applyNumberFormat="1" fontId="37" applyFont="1" fillId="12" applyFill="1" borderId="46" applyBorder="1" xfId="0" applyAlignment="1">
      <alignment horizontal="center"/>
    </xf>
    <xf numFmtId="164" applyNumberFormat="1" fontId="37" applyFont="1" fillId="12" applyFill="1" borderId="85" applyBorder="1" xfId="0" applyAlignment="1">
      <alignment horizontal="center"/>
    </xf>
    <xf numFmtId="164" applyNumberFormat="1" fontId="1" applyFont="1" fillId="4" applyFill="1" borderId="1" applyBorder="1" xfId="0"/>
    <xf numFmtId="169" applyNumberFormat="1" fontId="37" applyFont="1" fillId="12" applyFill="1" borderId="14" applyBorder="1" xfId="0" applyAlignment="1">
      <alignment horizontal="right"/>
    </xf>
    <xf numFmtId="169" applyNumberFormat="1" fontId="64" applyFont="1" fillId="12" applyFill="1" borderId="23" applyBorder="1" xfId="0" applyAlignment="1">
      <alignment horizontal="right"/>
    </xf>
    <xf numFmtId="164" applyNumberFormat="1" fontId="36" applyFont="1" fillId="11" applyFill="1" borderId="105" applyBorder="1" xfId="0" applyAlignment="1">
      <alignment horizontal="center"/>
    </xf>
    <xf numFmtId="164" applyNumberFormat="1" fontId="1" applyFont="1" fillId="11" applyFill="1" borderId="23" applyBorder="1" xfId="0" applyAlignment="1">
      <alignment horizontal="center"/>
    </xf>
    <xf numFmtId="0" fontId="51" applyFont="1" fillId="12" applyFill="1" borderId="14" applyBorder="1" xfId="0"/>
    <xf numFmtId="164" applyNumberFormat="1" fontId="25" applyFont="1" fillId="0" borderId="3" applyBorder="1" xfId="0" applyAlignment="1">
      <alignment horizontal="center"/>
    </xf>
    <xf numFmtId="16" applyNumberFormat="1" fontId="27" applyFont="1" fillId="5" applyFill="1" borderId="2" applyBorder="1" xfId="0" applyAlignment="1">
      <alignment horizontal="center"/>
    </xf>
    <xf numFmtId="164" applyNumberFormat="1" fontId="19" applyFont="1" fillId="3" applyFill="1" borderId="62" applyBorder="1" xfId="0" applyAlignment="1">
      <alignment horizontal="center"/>
    </xf>
    <xf numFmtId="164" applyNumberFormat="1" fontId="27" applyFont="1" fillId="20" applyFill="1" borderId="105" applyBorder="1" xfId="0" applyAlignment="1">
      <alignment horizontal="center"/>
    </xf>
    <xf numFmtId="16" applyNumberFormat="1" fontId="27" applyFont="1" fillId="5" applyFill="1" borderId="23" applyBorder="1" xfId="0" applyAlignment="1">
      <alignment horizontal="center"/>
    </xf>
    <xf numFmtId="164" applyNumberFormat="1" fontId="30" applyFont="1" fillId="26" applyFill="1" borderId="23" applyBorder="1" xfId="0" applyAlignment="1">
      <alignment horizontal="center"/>
    </xf>
    <xf numFmtId="0" fontId="36" applyFont="1" fillId="11" applyFill="1" borderId="123" applyBorder="1" xfId="0" applyAlignment="1">
      <alignment horizontal="right" wrapText="1"/>
    </xf>
    <xf numFmtId="0" fontId="51" applyFont="1" fillId="11" applyFill="1" borderId="7" applyBorder="1" xfId="0" applyAlignment="1">
      <alignment wrapText="1"/>
    </xf>
    <xf numFmtId="0" fontId="36" applyFont="1" fillId="11" applyFill="1" borderId="124" applyBorder="1" xfId="0" applyAlignment="1">
      <alignment horizontal="right" wrapText="1"/>
    </xf>
    <xf numFmtId="0" fontId="36" applyFont="1" fillId="11" applyFill="1" borderId="124" applyBorder="1" xfId="0" applyAlignment="1">
      <alignment horizontal="right" wrapText="1"/>
    </xf>
    <xf numFmtId="4" applyNumberFormat="1" fontId="36" applyFont="1" fillId="11" applyFill="1" borderId="124" applyBorder="1" xfId="0" applyAlignment="1">
      <alignment horizontal="right" wrapText="1"/>
    </xf>
    <xf numFmtId="4" applyNumberFormat="1" fontId="36" applyFont="1" fillId="11" applyFill="1" borderId="124" applyBorder="1" xfId="0" applyAlignment="1">
      <alignment horizontal="right" wrapText="1"/>
    </xf>
    <xf numFmtId="4" applyNumberFormat="1" fontId="36" applyFont="1" fillId="11" applyFill="1" borderId="125" applyBorder="1" xfId="0" applyAlignment="1">
      <alignment horizontal="right" wrapText="1"/>
    </xf>
    <xf numFmtId="0" fontId="37" applyFont="1" fillId="4" applyFill="1" borderId="18" applyBorder="1" xfId="0" applyAlignment="1">
      <alignment horizontal="right" wrapText="1"/>
    </xf>
    <xf numFmtId="164" applyNumberFormat="1" fontId="36" applyFont="1" fillId="17" applyFill="1" borderId="2" applyBorder="1" xfId="0"/>
    <xf numFmtId="164" applyNumberFormat="1" fontId="47" applyFont="1" fillId="0" borderId="10" applyBorder="1" xfId="0"/>
    <xf numFmtId="164" applyNumberFormat="1" fontId="47" applyFont="1" fillId="0" borderId="28" applyBorder="1" xfId="0"/>
    <xf numFmtId="164" applyNumberFormat="1" fontId="65" applyFont="1" fillId="3" applyFill="1" borderId="14" applyBorder="1" xfId="0"/>
    <xf numFmtId="164" applyNumberFormat="1" fontId="36" applyFont="1" fillId="11" applyFill="1" borderId="85" applyBorder="1" xfId="0" applyAlignment="1"/>
    <xf numFmtId="164" applyNumberFormat="1" fontId="2" applyFont="1" fillId="0" borderId="39" applyBorder="1" xfId="0"/>
    <xf numFmtId="0" fontId="38" applyFont="1" fillId="14" applyFill="1" borderId="57" applyBorder="1" xfId="0" applyAlignment="1">
      <alignment horizontal="left"/>
    </xf>
    <xf numFmtId="0" fontId="38" applyFont="1" fillId="23" applyFill="1" borderId="57" applyBorder="1" xfId="0" applyAlignment="1">
      <alignment horizontal="left"/>
    </xf>
    <xf numFmtId="164" applyNumberFormat="1" fontId="37" applyFont="1" fillId="12" applyFill="1" borderId="7" applyBorder="1" xfId="0" applyAlignment="1">
      <alignment horizontal="center"/>
    </xf>
    <xf numFmtId="164" applyNumberFormat="1" fontId="37" applyFont="1" fillId="12" applyFill="1" borderId="108" applyBorder="1" xfId="0" applyAlignment="1">
      <alignment horizontal="center"/>
    </xf>
    <xf numFmtId="164" applyNumberFormat="1" fontId="37" applyFont="1" fillId="12" applyFill="1" borderId="5" applyBorder="1" xfId="0" applyAlignment="1">
      <alignment horizontal="center"/>
    </xf>
    <xf numFmtId="164" applyNumberFormat="1" fontId="37" applyFont="1" fillId="12" applyFill="1" borderId="9" applyBorder="1" xfId="0" applyAlignment="1">
      <alignment horizontal="center"/>
    </xf>
    <xf numFmtId="164" applyNumberFormat="1" fontId="37" applyFont="1" fillId="12" applyFill="1" borderId="25" applyBorder="1" xfId="0" applyAlignment="1">
      <alignment horizontal="center"/>
    </xf>
    <xf numFmtId="164" applyNumberFormat="1" fontId="37" applyFont="1" fillId="12" applyFill="1" borderId="47" applyBorder="1" xfId="0" applyAlignment="1">
      <alignment horizontal="center"/>
    </xf>
    <xf numFmtId="164" applyNumberFormat="1" fontId="37" applyFont="1" fillId="12" applyFill="1" borderId="46" applyBorder="1" xfId="0" applyAlignment="1">
      <alignment horizontal="center"/>
    </xf>
    <xf numFmtId="164" applyNumberFormat="1" fontId="37" applyFont="1" fillId="12" applyFill="1" borderId="25" applyBorder="1" xfId="0" applyAlignment="1">
      <alignment horizontal="center"/>
    </xf>
    <xf numFmtId="164" applyNumberFormat="1" fontId="35" applyFont="1" fillId="5" applyFill="1" borderId="89" applyBorder="1" xfId="0"/>
    <xf numFmtId="164" applyNumberFormat="1" fontId="37" applyFont="1" fillId="12" applyFill="1" borderId="18" applyBorder="1" xfId="0" applyAlignment="1">
      <alignment horizontal="center"/>
    </xf>
    <xf numFmtId="164" applyNumberFormat="1" fontId="35" applyFont="1" fillId="13" applyFill="1" borderId="57" applyBorder="1" xfId="0"/>
    <xf numFmtId="164" applyNumberFormat="1" fontId="36" applyFont="1" fillId="0" borderId="0" xfId="0" applyAlignment="1">
      <alignment horizontal="center"/>
    </xf>
    <xf numFmtId="164" applyNumberFormat="1" fontId="3" applyFont="1" fillId="12" applyFill="1" borderId="14" applyBorder="1" xfId="0" applyAlignment="1">
      <alignment horizontal="center"/>
    </xf>
    <xf numFmtId="164" applyNumberFormat="1" fontId="48" applyFont="1" fillId="12" applyFill="1" borderId="14" applyBorder="1" xfId="0" applyAlignment="1">
      <alignment horizontal="center"/>
    </xf>
    <xf numFmtId="166" applyNumberFormat="1" fontId="37" applyFont="1" fillId="12" applyFill="1" borderId="14" applyBorder="1" xfId="0" applyAlignment="1">
      <alignment vertical="center"/>
    </xf>
    <xf numFmtId="164" applyNumberFormat="1" fontId="65" applyFont="1" fillId="4" applyFill="1" borderId="25" applyBorder="1" xfId="0"/>
    <xf numFmtId="164" applyNumberFormat="1" fontId="65" applyFont="1" fillId="4" applyFill="1" borderId="14" applyBorder="1" xfId="0"/>
    <xf numFmtId="164" applyNumberFormat="1" fontId="65" applyFont="1" fillId="5" applyFill="1" borderId="13" applyBorder="1" xfId="0"/>
    <xf numFmtId="164" applyNumberFormat="1" fontId="65" applyFont="1" fillId="5" applyFill="1" borderId="45" applyBorder="1" xfId="0"/>
    <xf numFmtId="164" applyNumberFormat="1" fontId="47" applyFont="1" fillId="12" applyFill="1" borderId="14" applyBorder="1" xfId="0" applyAlignment="1">
      <alignment horizontal="center"/>
    </xf>
    <xf numFmtId="166" applyNumberFormat="1" fontId="1" applyFont="1" fillId="12" applyFill="1" borderId="14" applyBorder="1" xfId="0" applyAlignment="1">
      <alignment vertical="center"/>
    </xf>
    <xf numFmtId="164" applyNumberFormat="1" fontId="35" applyFont="1" fillId="20" applyFill="1" borderId="54" applyBorder="1" xfId="0"/>
    <xf numFmtId="166" applyNumberFormat="1" fontId="18" applyFont="1" fillId="12" applyFill="1" borderId="14" applyBorder="1" xfId="0" applyAlignment="1">
      <alignment vertical="center"/>
    </xf>
    <xf numFmtId="164" applyNumberFormat="1" fontId="35" applyFont="1" fillId="11" applyFill="1" borderId="75" applyBorder="1" xfId="0"/>
    <xf numFmtId="164" applyNumberFormat="1" fontId="36" applyFont="1" fillId="0" borderId="103" applyBorder="1" xfId="0"/>
    <xf numFmtId="164" applyNumberFormat="1" fontId="49" applyFont="1" fillId="12" applyFill="1" borderId="2" applyBorder="1" xfId="0" applyAlignment="1">
      <alignment horizontal="center"/>
    </xf>
    <xf numFmtId="164" applyNumberFormat="1" fontId="1" applyFont="1" fillId="0" borderId="52" applyBorder="1" xfId="0" applyAlignment="1">
      <alignment horizontal="center"/>
    </xf>
    <xf numFmtId="164" applyNumberFormat="1" fontId="27" applyFont="1" fillId="3" applyFill="1" borderId="2" applyBorder="1" xfId="0" applyAlignment="1">
      <alignment horizontal="center"/>
    </xf>
    <xf numFmtId="164" applyNumberFormat="1" fontId="27" applyFont="1" fillId="5" applyFill="1" borderId="4" applyBorder="1" xfId="0" applyAlignment="1">
      <alignment horizontal="center"/>
    </xf>
    <xf numFmtId="164" applyNumberFormat="1" fontId="27" applyFont="1" fillId="30" applyFill="1" borderId="2" applyBorder="1" xfId="0" applyAlignment="1">
      <alignment horizontal="center"/>
    </xf>
    <xf numFmtId="164" applyNumberFormat="1" fontId="30" applyFont="1" fillId="4" applyFill="1" borderId="23" applyBorder="1" xfId="0" applyAlignment="1">
      <alignment horizontal="center"/>
    </xf>
    <xf numFmtId="49" applyNumberFormat="1" fontId="27" applyFont="1" fillId="9" applyFill="1" borderId="14" applyBorder="1" xfId="0" applyAlignment="1">
      <alignment horizontal="center"/>
    </xf>
    <xf numFmtId="49" applyNumberFormat="1" fontId="27" applyFont="1" fillId="8" applyFill="1" borderId="14" applyBorder="1" xfId="0" applyAlignment="1">
      <alignment horizontal="center"/>
    </xf>
    <xf numFmtId="49" applyNumberFormat="1" fontId="27" applyFont="1" fillId="8" applyFill="1" borderId="47" applyBorder="1" xfId="0" applyAlignment="1">
      <alignment horizontal="center"/>
    </xf>
    <xf numFmtId="164" applyNumberFormat="1" fontId="27" applyFont="1" fillId="5" applyFill="1" borderId="109" applyBorder="1" xfId="0" applyAlignment="1">
      <alignment horizontal="center"/>
    </xf>
    <xf numFmtId="164" applyNumberFormat="1" fontId="27" applyFont="1" fillId="30" applyFill="1" borderId="46" applyBorder="1" xfId="0" applyAlignment="1">
      <alignment horizontal="center"/>
    </xf>
    <xf numFmtId="0" fontId="51" applyFont="1" fillId="11" applyFill="1" borderId="49" applyBorder="1" xfId="0" applyAlignment="1">
      <alignment wrapText="1"/>
    </xf>
    <xf numFmtId="0" fontId="51" applyFont="1" fillId="11" applyFill="1" borderId="34" applyBorder="1" xfId="0" applyAlignment="1">
      <alignment wrapText="1"/>
    </xf>
    <xf numFmtId="164" applyNumberFormat="1" fontId="35" applyFont="1" fillId="5" applyFill="1" borderId="11" applyBorder="1" xfId="0"/>
    <xf numFmtId="0" fontId="51" applyFont="1" fillId="11" applyFill="1" borderId="110" applyBorder="1" xfId="0" applyAlignment="1">
      <alignment wrapText="1"/>
    </xf>
    <xf numFmtId="164" applyNumberFormat="1" fontId="35" applyFont="1" fillId="5" applyFill="1" borderId="1" applyBorder="1" xfId="0"/>
    <xf numFmtId="0" fontId="37" applyFont="1" fillId="4" applyFill="1" borderId="25" applyBorder="1" xfId="0" applyAlignment="1">
      <alignment horizontal="right" wrapText="1"/>
    </xf>
    <xf numFmtId="4" applyNumberFormat="1" fontId="37" applyFont="1" fillId="20" applyFill="1" borderId="40" applyBorder="1" xfId="0" applyAlignment="1">
      <alignment horizontal="right" wrapText="1"/>
    </xf>
    <xf numFmtId="0" fontId="36" applyFont="1" fillId="11" applyFill="1" borderId="110" applyBorder="1" xfId="0" applyAlignment="1">
      <alignment horizontal="right" wrapText="1"/>
    </xf>
    <xf numFmtId="0" fontId="51" applyFont="1" fillId="11" applyFill="1" borderId="110" applyBorder="1" xfId="0" applyAlignment="1">
      <alignment wrapText="1"/>
    </xf>
    <xf numFmtId="0" fontId="51" applyFont="1" fillId="0" borderId="134" applyBorder="1" xfId="0" applyAlignment="1">
      <alignment horizontal="right" wrapText="1"/>
    </xf>
    <xf numFmtId="0" fontId="37" applyFont="1" fillId="0" borderId="134" applyBorder="1" xfId="0" applyAlignment="1">
      <alignment horizontal="right" wrapText="1"/>
    </xf>
    <xf numFmtId="0" fontId="36" applyFont="1" fillId="11" applyFill="1" borderId="125" applyBorder="1" xfId="0" applyAlignment="1">
      <alignment horizontal="right" wrapText="1"/>
    </xf>
    <xf numFmtId="0" fontId="51" applyFont="1" fillId="11" applyFill="1" borderId="133" applyBorder="1" xfId="0" applyAlignment="1">
      <alignment wrapText="1"/>
    </xf>
    <xf numFmtId="0" fontId="51" applyFont="1" fillId="11" applyFill="1" borderId="55" applyBorder="1" xfId="0" applyAlignment="1">
      <alignment wrapText="1"/>
    </xf>
    <xf numFmtId="164" applyNumberFormat="1" fontId="35" applyFont="1" fillId="5" applyFill="1" borderId="55" applyBorder="1" xfId="0"/>
    <xf numFmtId="2" applyNumberFormat="1" fontId="25" applyFont="1" fillId="0" borderId="31" applyBorder="1" xfId="0" applyAlignment="1">
      <alignment vertical="center"/>
    </xf>
    <xf numFmtId="164" applyNumberFormat="1" fontId="35" applyFont="1" fillId="7" applyFill="1" borderId="46" applyBorder="1" xfId="0"/>
    <xf numFmtId="164" applyNumberFormat="1" fontId="35" applyFont="1" fillId="7" applyFill="1" borderId="14" applyBorder="1" xfId="0"/>
    <xf numFmtId="170" applyNumberFormat="1" fontId="51" applyFont="1" fillId="0" borderId="0" xfId="0" applyAlignment="1">
      <alignment vertical="center"/>
    </xf>
    <xf numFmtId="170" applyNumberFormat="1" fontId="51" applyFont="1" fillId="0" borderId="41" applyBorder="1" xfId="0" applyAlignment="1">
      <alignment vertical="center"/>
    </xf>
    <xf numFmtId="164" applyNumberFormat="1" fontId="1" applyFont="1" fillId="32" applyFill="1" borderId="1" applyBorder="1" xfId="0"/>
    <xf numFmtId="16" applyNumberFormat="1" fontId="60" applyFont="1" fillId="0" borderId="0" xfId="0" applyAlignment="1">
      <alignment horizontal="center"/>
    </xf>
    <xf numFmtId="164" applyNumberFormat="1" fontId="62" applyFont="1" fillId="0" borderId="0" xfId="0" applyAlignment="1">
      <alignment horizontal="center"/>
    </xf>
    <xf numFmtId="164" applyNumberFormat="1" fontId="60" applyFont="1" fillId="11" applyFill="1" borderId="1" applyBorder="1" xfId="0"/>
    <xf numFmtId="164" applyNumberFormat="1" fontId="61" applyFont="1" fillId="0" borderId="0" xfId="0"/>
    <xf numFmtId="164" applyNumberFormat="1" fontId="61" applyFont="1" fillId="0" borderId="0" xfId="0" applyAlignment="1">
      <alignment horizontal="center"/>
    </xf>
    <xf numFmtId="164" applyNumberFormat="1" fontId="63" applyFont="1" fillId="0" borderId="0" xfId="0" applyAlignment="1">
      <alignment horizontal="center"/>
    </xf>
    <xf numFmtId="0" fontId="81" applyFont="1" fillId="0" borderId="0" xfId="0" applyAlignment="1">
      <alignment horizontal="center"/>
    </xf>
    <xf numFmtId="164" applyNumberFormat="1" fontId="20" applyFont="1" fillId="11" applyFill="1" borderId="1" applyBorder="1" xfId="0"/>
    <xf numFmtId="164" applyNumberFormat="1" fontId="19" applyFont="1" fillId="32" applyFill="1" borderId="2" applyBorder="1" xfId="0" applyAlignment="1">
      <alignment horizontal="center"/>
    </xf>
    <xf numFmtId="16" applyNumberFormat="1" fontId="19" applyFont="1" fillId="8" applyFill="1" borderId="63" applyBorder="1" xfId="0" applyAlignment="1">
      <alignment horizontal="center"/>
    </xf>
    <xf numFmtId="164" applyNumberFormat="1" fontId="19" applyFont="1" fillId="32" applyFill="1" borderId="63" applyBorder="1" xfId="0" applyAlignment="1">
      <alignment horizontal="center"/>
    </xf>
    <xf numFmtId="164" applyNumberFormat="1" fontId="19" applyFont="1" fillId="32" applyFill="1" borderId="14" applyBorder="1" xfId="0" applyAlignment="1">
      <alignment horizontal="center"/>
    </xf>
    <xf numFmtId="164" applyNumberFormat="1" fontId="19" applyFont="1" fillId="5" applyFill="1" borderId="7" applyBorder="1" xfId="0" applyAlignment="1">
      <alignment horizontal="center"/>
    </xf>
    <xf numFmtId="164" applyNumberFormat="1" fontId="19" applyFont="1" fillId="10" applyFill="1" borderId="107" applyBorder="1" xfId="0" applyAlignment="1">
      <alignment horizontal="center"/>
    </xf>
    <xf numFmtId="164" applyNumberFormat="1" fontId="19" applyFont="1" fillId="10" applyFill="1" borderId="2" applyBorder="1" xfId="0" applyAlignment="1">
      <alignment horizontal="center"/>
    </xf>
    <xf numFmtId="164" applyNumberFormat="1" fontId="19" applyFont="1" fillId="4" applyFill="1" borderId="49" applyBorder="1" xfId="0" applyAlignment="1">
      <alignment horizontal="center"/>
    </xf>
    <xf numFmtId="16" applyNumberFormat="1" fontId="19" applyFont="1" fillId="8" applyFill="1" borderId="47" applyBorder="1" xfId="0" applyAlignment="1">
      <alignment horizontal="center"/>
    </xf>
    <xf numFmtId="164" applyNumberFormat="1" fontId="15" applyFont="1" fillId="32" applyFill="1" borderId="23" applyBorder="1" xfId="0" applyAlignment="1">
      <alignment horizontal="center"/>
    </xf>
    <xf numFmtId="164" applyNumberFormat="1" fontId="19" applyFont="1" fillId="32" applyFill="1" borderId="23" applyBorder="1" xfId="0" applyAlignment="1">
      <alignment horizontal="center"/>
    </xf>
    <xf numFmtId="171" applyNumberFormat="1" fontId="24" applyFont="1" fillId="32" applyFill="1" borderId="23" applyBorder="1" xfId="0" applyAlignment="1">
      <alignment horizontal="center"/>
    </xf>
    <xf numFmtId="164" applyNumberFormat="1" fontId="24" applyFont="1" fillId="32" applyFill="1" borderId="23" applyBorder="1" xfId="0" applyAlignment="1">
      <alignment horizontal="center"/>
    </xf>
    <xf numFmtId="164" applyNumberFormat="1" fontId="19" applyFont="1" fillId="5" applyFill="1" borderId="18" applyBorder="1" xfId="0" applyAlignment="1">
      <alignment horizontal="center"/>
    </xf>
    <xf numFmtId="164" applyNumberFormat="1" fontId="19" applyFont="1" fillId="10" applyFill="1" borderId="105" applyBorder="1" xfId="0" applyAlignment="1">
      <alignment horizontal="center"/>
    </xf>
    <xf numFmtId="164" applyNumberFormat="1" fontId="19" applyFont="1" fillId="10" applyFill="1" borderId="14" applyBorder="1" xfId="0" applyAlignment="1">
      <alignment horizontal="center"/>
    </xf>
    <xf numFmtId="164" applyNumberFormat="1" fontId="19" applyFont="1" fillId="4" applyFill="1" borderId="133" applyBorder="1" xfId="0" applyAlignment="1">
      <alignment horizontal="center"/>
    </xf>
    <xf numFmtId="4" applyNumberFormat="1" fontId="37" applyFont="1" fillId="0" borderId="135" applyBorder="1" xfId="0" applyAlignment="1">
      <alignment horizontal="right" wrapText="1"/>
    </xf>
    <xf numFmtId="0" fontId="36" applyFont="1" fillId="11" applyFill="1" borderId="7" applyBorder="1" xfId="0" applyAlignment="1">
      <alignment horizontal="center" wrapText="1"/>
    </xf>
    <xf numFmtId="0" fontId="51" applyFont="1" fillId="11" applyFill="1" borderId="7" applyBorder="1" xfId="0" applyAlignment="1">
      <alignment horizontal="center" wrapText="1"/>
    </xf>
    <xf numFmtId="164" applyNumberFormat="1" fontId="35" applyFont="1" fillId="32" applyFill="1" borderId="14" applyBorder="1" xfId="0"/>
    <xf numFmtId="0" fontId="36" applyFont="1" fillId="0" borderId="136" applyBorder="1" xfId="0" applyAlignment="1">
      <alignment horizontal="right" wrapText="1"/>
    </xf>
    <xf numFmtId="4" applyNumberFormat="1" fontId="37" applyFont="1" fillId="0" borderId="134" applyBorder="1" xfId="0" applyAlignment="1">
      <alignment horizontal="right" wrapText="1"/>
    </xf>
    <xf numFmtId="4" applyNumberFormat="1" fontId="36" applyFont="1" fillId="11" applyFill="1" borderId="25" applyBorder="1" xfId="0" applyAlignment="1">
      <alignment horizontal="center" wrapText="1"/>
    </xf>
    <xf numFmtId="0" fontId="51" applyFont="1" fillId="11" applyFill="1" borderId="25" applyBorder="1" xfId="0" applyAlignment="1">
      <alignment horizontal="center" wrapText="1"/>
    </xf>
    <xf numFmtId="0" fontId="36" applyFont="1" fillId="0" borderId="137" applyBorder="1" xfId="0" applyAlignment="1">
      <alignment horizontal="right" wrapText="1"/>
    </xf>
    <xf numFmtId="0" fontId="51" applyFont="1" fillId="0" borderId="137" applyBorder="1" xfId="0" applyAlignment="1">
      <alignment wrapText="1"/>
    </xf>
    <xf numFmtId="4" applyNumberFormat="1" fontId="36" applyFont="1" fillId="11" applyFill="1" borderId="124" applyBorder="1" xfId="0" applyAlignment="1">
      <alignment horizontal="center" wrapText="1"/>
    </xf>
    <xf numFmtId="0" fontId="36" applyFont="1" fillId="11" applyFill="1" borderId="25" applyBorder="1" xfId="0" applyAlignment="1">
      <alignment horizontal="center" wrapText="1"/>
    </xf>
    <xf numFmtId="4" applyNumberFormat="1" fontId="36" applyFont="1" fillId="11" applyFill="1" borderId="25" applyBorder="1" xfId="0" applyAlignment="1">
      <alignment horizontal="center" wrapText="1"/>
    </xf>
    <xf numFmtId="0" fontId="51" applyFont="1" fillId="11" applyFill="1" borderId="138" applyBorder="1" xfId="0" applyAlignment="1">
      <alignment wrapText="1"/>
    </xf>
    <xf numFmtId="0" fontId="51" applyFont="1" fillId="11" applyFill="1" borderId="25" applyBorder="1" xfId="0" applyAlignment="1">
      <alignment horizontal="center" wrapText="1"/>
    </xf>
    <xf numFmtId="0" fontId="36" applyFont="1" fillId="11" applyFill="1" borderId="138" applyBorder="1" xfId="0" applyAlignment="1">
      <alignment horizontal="right" wrapText="1"/>
    </xf>
    <xf numFmtId="0" fontId="37" applyFont="1" fillId="4" applyFill="1" borderId="45" applyBorder="1" xfId="0" applyAlignment="1">
      <alignment horizontal="right" wrapText="1"/>
    </xf>
    <xf numFmtId="4" applyNumberFormat="1" fontId="36" applyFont="1" fillId="11" applyFill="1" borderId="45" applyBorder="1" xfId="0" applyAlignment="1">
      <alignment horizontal="center" wrapText="1"/>
    </xf>
    <xf numFmtId="0" fontId="36" applyFont="1" fillId="11" applyFill="1" borderId="25" applyBorder="1" xfId="0" applyAlignment="1">
      <alignment horizontal="center" wrapText="1"/>
    </xf>
    <xf numFmtId="0" fontId="36" applyFont="1" fillId="0" borderId="40" applyBorder="1" xfId="0" applyAlignment="1">
      <alignment horizontal="center" wrapText="1"/>
    </xf>
    <xf numFmtId="4" applyNumberFormat="1" fontId="36" applyFont="1" fillId="0" borderId="40" applyBorder="1" xfId="0" applyAlignment="1">
      <alignment horizontal="center" wrapText="1"/>
    </xf>
    <xf numFmtId="4" applyNumberFormat="1" fontId="37" applyFont="1" fillId="0" borderId="139" applyBorder="1" xfId="0" applyAlignment="1">
      <alignment horizontal="right" wrapText="1"/>
    </xf>
    <xf numFmtId="0" fontId="51" applyFont="1" fillId="11" applyFill="1" borderId="125" applyBorder="1" xfId="0" applyAlignment="1">
      <alignment wrapText="1"/>
    </xf>
    <xf numFmtId="4" applyNumberFormat="1" fontId="36" applyFont="1" fillId="11" applyFill="1" borderId="18" applyBorder="1" xfId="0" applyAlignment="1">
      <alignment horizontal="center" wrapText="1"/>
    </xf>
    <xf numFmtId="4" applyNumberFormat="1" fontId="36" applyFont="1" fillId="11" applyFill="1" borderId="18" applyBorder="1" xfId="0" applyAlignment="1">
      <alignment horizontal="center" wrapText="1"/>
    </xf>
    <xf numFmtId="0" fontId="51" applyFont="1" fillId="11" applyFill="1" borderId="140" applyBorder="1" xfId="0" applyAlignment="1">
      <alignment wrapText="1"/>
    </xf>
    <xf numFmtId="164" applyNumberFormat="1" fontId="35" applyFont="1" fillId="32" applyFill="1" borderId="57" applyBorder="1" xfId="0"/>
    <xf numFmtId="164" applyNumberFormat="1" fontId="35" applyFont="1" fillId="32" applyFill="1" borderId="2" applyBorder="1" xfId="0"/>
    <xf numFmtId="164" applyNumberFormat="1" fontId="49" applyFont="1" fillId="12" applyFill="1" borderId="46" applyBorder="1" xfId="0" applyAlignment="1">
      <alignment horizontal="center"/>
    </xf>
    <xf numFmtId="164" applyNumberFormat="1" fontId="43" applyFont="1" fillId="11" applyFill="1" borderId="1" applyBorder="1" xfId="0"/>
    <xf numFmtId="164" applyNumberFormat="1" fontId="37" applyFont="1" fillId="17" applyFill="1" borderId="55" applyBorder="1" xfId="0" applyAlignment="1">
      <alignment horizontal="center"/>
    </xf>
    <xf numFmtId="164" applyNumberFormat="1" fontId="43" applyFont="1" fillId="0" borderId="52" applyBorder="1" xfId="0" applyAlignment="1">
      <alignment horizontal="center"/>
    </xf>
    <xf numFmtId="164" applyNumberFormat="1" fontId="36" applyFont="1" fillId="11" applyFill="1" borderId="107" applyBorder="1" xfId="0" applyAlignment="1">
      <alignment horizontal="center"/>
    </xf>
    <xf numFmtId="164" applyNumberFormat="1" fontId="36" applyFont="1" fillId="17" applyFill="1" borderId="14" applyBorder="1" xfId="0" applyAlignment="1">
      <alignment horizontal="center"/>
    </xf>
    <xf numFmtId="4" applyNumberFormat="1" fontId="36" applyFont="1" fillId="0" borderId="38" applyBorder="1" xfId="0" applyAlignment="1">
      <alignment horizontal="center" vertical="center"/>
    </xf>
    <xf numFmtId="164" applyNumberFormat="1" fontId="36" applyFont="1" fillId="17" applyFill="1" borderId="14" applyBorder="1" xfId="0" applyAlignment="1">
      <alignment horizontal="center"/>
    </xf>
    <xf numFmtId="164" applyNumberFormat="1" fontId="37" applyFont="1" fillId="17" applyFill="1" borderId="14" applyBorder="1" xfId="0" applyAlignment="1">
      <alignment horizontal="center"/>
    </xf>
    <xf numFmtId="164" applyNumberFormat="1" fontId="37" applyFont="1" fillId="17" applyFill="1" borderId="46" applyBorder="1" xfId="0" applyAlignment="1">
      <alignment horizontal="center"/>
    </xf>
    <xf numFmtId="164" applyNumberFormat="1" fontId="2" applyFont="1" fillId="0" borderId="60" applyBorder="1" xfId="0" applyAlignment="1">
      <alignment horizontal="center"/>
    </xf>
    <xf numFmtId="164" applyNumberFormat="1" fontId="36" applyFont="1" fillId="17" applyFill="1" borderId="46" applyBorder="1" xfId="0" applyAlignment="1">
      <alignment horizontal="center"/>
    </xf>
    <xf numFmtId="164" applyNumberFormat="1" fontId="37" applyFont="1" fillId="6" applyFill="1" borderId="47" applyBorder="1" xfId="0"/>
    <xf numFmtId="164" applyNumberFormat="1" fontId="36" applyFont="1" fillId="6" applyFill="1" borderId="14" applyBorder="1" xfId="0"/>
    <xf numFmtId="164" applyNumberFormat="1" fontId="35" applyFont="1" fillId="6" applyFill="1" borderId="14" applyBorder="1" xfId="0"/>
    <xf numFmtId="164" applyNumberFormat="1" fontId="37" applyFont="1" fillId="6" applyFill="1" borderId="14" applyBorder="1" xfId="0"/>
    <xf numFmtId="164" applyNumberFormat="1" fontId="35" applyFont="1" fillId="6" applyFill="1" borderId="13" applyBorder="1" xfId="0"/>
    <xf numFmtId="164" applyNumberFormat="1" fontId="35" applyFont="1" fillId="6" applyFill="1" borderId="45" applyBorder="1" xfId="0"/>
    <xf numFmtId="164" applyNumberFormat="1" fontId="37" applyFont="1" fillId="6" applyFill="1" borderId="1" applyBorder="1" xfId="0"/>
    <xf numFmtId="164" applyNumberFormat="1" fontId="35" applyFont="1" fillId="11" applyFill="1" borderId="25" applyBorder="1" xfId="0"/>
    <xf numFmtId="164" applyNumberFormat="1" fontId="35" applyFont="1" fillId="11" applyFill="1" borderId="14" applyBorder="1" xfId="0"/>
    <xf numFmtId="164" applyNumberFormat="1" fontId="35" applyFont="1" fillId="11" applyFill="1" borderId="13" applyBorder="1" xfId="0"/>
    <xf numFmtId="164" applyNumberFormat="1" fontId="35" applyFont="1" fillId="11" applyFill="1" borderId="45" applyBorder="1" xfId="0"/>
    <xf numFmtId="164" applyNumberFormat="1" fontId="74" applyFont="1" fillId="32" applyFill="1" borderId="14" applyBorder="1" xfId="0"/>
    <xf numFmtId="164" applyNumberFormat="1" fontId="66" applyFont="1" fillId="0" borderId="38" applyBorder="1" xfId="0"/>
    <xf numFmtId="164" applyNumberFormat="1" fontId="47" applyFont="1" fillId="12" applyFill="1" borderId="46" applyBorder="1" xfId="0"/>
    <xf numFmtId="164" applyNumberFormat="1" fontId="47" applyFont="1" fillId="12" applyFill="1" borderId="46" applyBorder="1" xfId="0" applyAlignment="1">
      <alignment horizontal="center"/>
    </xf>
    <xf numFmtId="164" applyNumberFormat="1" fontId="47" applyFont="1" fillId="12" applyFill="1" borderId="47" applyBorder="1" xfId="0"/>
    <xf numFmtId="164" applyNumberFormat="1" fontId="47" applyFont="1" fillId="12" applyFill="1" borderId="14" applyBorder="1" xfId="0"/>
    <xf numFmtId="164" applyNumberFormat="1" fontId="74" applyFont="1" fillId="5" applyFill="1" borderId="45" applyBorder="1" xfId="0"/>
    <xf numFmtId="164" applyNumberFormat="1" fontId="66" applyFont="1" fillId="11" applyFill="1" borderId="85" applyBorder="1" xfId="0" applyAlignment="1">
      <alignment horizontal="center"/>
    </xf>
    <xf numFmtId="164" applyNumberFormat="1" fontId="66" applyFont="1" fillId="0" borderId="53" applyBorder="1" xfId="0"/>
    <xf numFmtId="164" applyNumberFormat="1" fontId="47" applyFont="1" fillId="12" applyFill="1" borderId="85" applyBorder="1" xfId="0"/>
    <xf numFmtId="164" applyNumberFormat="1" fontId="47" applyFont="1" fillId="12" applyFill="1" borderId="23" applyBorder="1" xfId="0" applyAlignment="1">
      <alignment horizontal="center"/>
    </xf>
    <xf numFmtId="164" applyNumberFormat="1" fontId="1" applyFont="1" fillId="11" applyFill="1" borderId="107" applyBorder="1" xfId="0"/>
    <xf numFmtId="164" applyNumberFormat="1" fontId="1" applyFont="1" fillId="17" applyFill="1" borderId="14" applyBorder="1" xfId="0" applyAlignment="1">
      <alignment horizontal="center"/>
    </xf>
    <xf numFmtId="2" applyNumberFormat="1" fontId="36" applyFont="1" fillId="12" applyFill="1" borderId="14" applyBorder="1" xfId="0" applyAlignment="1">
      <alignment horizontal="right" vertical="center"/>
    </xf>
    <xf numFmtId="164" applyNumberFormat="1" fontId="1" applyFont="1" fillId="0" borderId="31" applyBorder="1" xfId="0" applyAlignment="1">
      <alignment horizontal="center"/>
    </xf>
    <xf numFmtId="4" applyNumberFormat="1" fontId="36" applyFont="1" fillId="0" borderId="104" applyBorder="1" xfId="0" applyAlignment="1">
      <alignment horizontal="center" vertical="center" wrapText="1"/>
    </xf>
    <xf numFmtId="164" applyNumberFormat="1" fontId="32" applyFont="1" fillId="11" applyFill="1" borderId="14" applyBorder="1" xfId="0" applyAlignment="1">
      <alignment horizontal="center"/>
    </xf>
    <xf numFmtId="164" applyNumberFormat="1" fontId="32" applyFont="1" fillId="11" applyFill="1" borderId="46" applyBorder="1" xfId="0" applyAlignment="1">
      <alignment horizontal="center"/>
    </xf>
    <xf numFmtId="164" applyNumberFormat="1" fontId="37" applyFont="1" fillId="12" applyFill="1" borderId="57" applyBorder="1" xfId="0"/>
    <xf numFmtId="164" applyNumberFormat="1" fontId="37" applyFont="1" fillId="12" applyFill="1" borderId="73" applyBorder="1" xfId="0"/>
    <xf numFmtId="164" applyNumberFormat="1" fontId="65" applyFont="1" fillId="11" applyFill="1" borderId="14" applyBorder="1" xfId="0" applyAlignment="1">
      <alignment horizontal="center"/>
    </xf>
    <xf numFmtId="164" applyNumberFormat="1" fontId="36" applyFont="1" fillId="11" applyFill="1" borderId="1" applyBorder="1" xfId="0" applyAlignment="1">
      <alignment horizontal="center"/>
    </xf>
    <xf numFmtId="4" applyNumberFormat="1" fontId="36" applyFont="1" fillId="0" borderId="41" applyBorder="1" xfId="0" applyAlignment="1">
      <alignment horizontal="center" vertical="center" wrapText="1"/>
    </xf>
    <xf numFmtId="4" applyNumberFormat="1" fontId="36" applyFont="1" fillId="0" borderId="41" applyBorder="1" xfId="0" applyAlignment="1">
      <alignment horizontal="center" vertical="center"/>
    </xf>
    <xf numFmtId="4" applyNumberFormat="1" fontId="36" applyFont="1" fillId="0" borderId="31" applyBorder="1" xfId="0" applyAlignment="1">
      <alignment horizontal="right" vertical="center"/>
    </xf>
    <xf numFmtId="4" applyNumberFormat="1" fontId="36" applyFont="1" fillId="0" borderId="66" applyBorder="1" xfId="0" applyAlignment="1">
      <alignment horizontal="center" vertical="center"/>
    </xf>
    <xf numFmtId="164" applyNumberFormat="1" fontId="1" applyFont="1" fillId="12" applyFill="1" borderId="62" applyBorder="1" xfId="0" applyAlignment="1">
      <alignment horizontal="center"/>
    </xf>
    <xf numFmtId="164" applyNumberFormat="1" fontId="1" applyFont="1" fillId="12" applyFill="1" borderId="63" applyBorder="1" xfId="0"/>
    <xf numFmtId="164" applyNumberFormat="1" fontId="1" applyFont="1" fillId="12" applyFill="1" borderId="46" applyBorder="1" xfId="0" applyAlignment="1">
      <alignment horizontal="center"/>
    </xf>
    <xf numFmtId="164" applyNumberFormat="1" fontId="1" applyFont="1" fillId="12" applyFill="1" borderId="47" applyBorder="1" xfId="0"/>
    <xf numFmtId="4" applyNumberFormat="1" fontId="36" applyFont="1" fillId="0" borderId="104" applyBorder="1" xfId="0" applyAlignment="1">
      <alignment horizontal="center" vertical="center"/>
    </xf>
    <xf numFmtId="172" applyNumberFormat="1" fontId="1" applyFont="1" fillId="12" applyFill="1" borderId="46" applyBorder="1" xfId="0"/>
    <xf numFmtId="164" applyNumberFormat="1" fontId="1" applyFont="1" fillId="12" applyFill="1" borderId="85" applyBorder="1" xfId="0" applyAlignment="1">
      <alignment horizontal="center"/>
    </xf>
    <xf numFmtId="164" applyNumberFormat="1" fontId="35" applyFont="1" fillId="4" applyFill="1" borderId="57" applyBorder="1" xfId="0"/>
    <xf numFmtId="164" applyNumberFormat="1" fontId="35" applyFont="1" fillId="11" applyFill="1" borderId="58" applyBorder="1" xfId="0"/>
    <xf numFmtId="164" applyNumberFormat="1" fontId="35" applyFont="1" fillId="5" applyFill="1" borderId="2" applyBorder="1" xfId="0"/>
    <xf numFmtId="164" applyNumberFormat="1" fontId="1" applyFont="1" fillId="11" applyFill="1" borderId="62" applyBorder="1" xfId="0"/>
    <xf numFmtId="164" applyNumberFormat="1" fontId="36" applyFont="1" fillId="11" applyFill="1" borderId="13" applyBorder="1" xfId="0" applyAlignment="1">
      <alignment horizontal="center"/>
    </xf>
    <xf numFmtId="164" applyNumberFormat="1" fontId="35" applyFont="1" fillId="5" applyFill="1" borderId="23" applyBorder="1" xfId="0"/>
    <xf numFmtId="164" applyNumberFormat="1" fontId="1" applyFont="1" fillId="4" applyFill="1" borderId="2" applyBorder="1" xfId="0" applyAlignment="1">
      <alignment horizontal="center"/>
    </xf>
    <xf numFmtId="164" applyNumberFormat="1" fontId="38" applyFont="1" fillId="0" borderId="0" xfId="0"/>
    <xf numFmtId="16" applyNumberFormat="1" fontId="27" applyFont="1" fillId="5" applyFill="1" borderId="63" applyBorder="1" xfId="0" applyAlignment="1">
      <alignment horizontal="center"/>
    </xf>
    <xf numFmtId="164" applyNumberFormat="1" fontId="27" applyFont="1" fillId="33" applyFill="1" borderId="62" applyBorder="1" xfId="0" applyAlignment="1">
      <alignment horizontal="center"/>
    </xf>
    <xf numFmtId="16" applyNumberFormat="1" fontId="27" applyFont="1" fillId="5" applyFill="1" borderId="54" applyBorder="1" xfId="0" applyAlignment="1">
      <alignment horizontal="center"/>
    </xf>
    <xf numFmtId="164" applyNumberFormat="1" fontId="30" applyFont="1" fillId="3" applyFill="1" borderId="23" applyBorder="1" xfId="0" applyAlignment="1">
      <alignment horizontal="center" wrapText="1"/>
    </xf>
    <xf numFmtId="164" applyNumberFormat="1" fontId="82" applyFont="1" fillId="3" applyFill="1" borderId="23" applyBorder="1" xfId="0" applyAlignment="1">
      <alignment horizontal="center" wrapText="1"/>
    </xf>
    <xf numFmtId="164" applyNumberFormat="1" fontId="31" applyFont="1" fillId="3" applyFill="1" borderId="23" applyBorder="1" xfId="0" applyAlignment="1">
      <alignment horizontal="center" wrapText="1"/>
    </xf>
    <xf numFmtId="164" applyNumberFormat="1" fontId="27" applyFont="1" fillId="33" applyFill="1" borderId="46" applyBorder="1" xfId="0" applyAlignment="1">
      <alignment horizontal="center"/>
    </xf>
    <xf numFmtId="164" applyNumberFormat="1" fontId="27" applyFont="1" fillId="33" applyFill="1" borderId="23" applyBorder="1" xfId="0" applyAlignment="1">
      <alignment horizontal="center"/>
    </xf>
    <xf numFmtId="164" applyNumberFormat="1" fontId="27" applyFont="1" fillId="20" applyFill="1" borderId="23" applyBorder="1" xfId="0" applyAlignment="1">
      <alignment horizontal="center"/>
    </xf>
    <xf numFmtId="164" applyNumberFormat="1" fontId="27" applyFont="1" fillId="4" applyFill="1" borderId="23" applyBorder="1" xfId="0" applyAlignment="1">
      <alignment horizontal="center" vertical="center"/>
    </xf>
    <xf numFmtId="0" fontId="51" applyFont="1" fillId="11" applyFill="1" borderId="12" applyBorder="1" xfId="0" applyAlignment="1">
      <alignment wrapText="1"/>
    </xf>
    <xf numFmtId="0" fontId="36" applyFont="1" fillId="11" applyFill="1" borderId="45" applyBorder="1" xfId="0" applyAlignment="1">
      <alignment horizontal="right" wrapText="1"/>
    </xf>
    <xf numFmtId="4" applyNumberFormat="1" fontId="36" applyFont="1" fillId="11" applyFill="1" borderId="45" applyBorder="1" xfId="0" applyAlignment="1">
      <alignment horizontal="right" wrapText="1"/>
    </xf>
    <xf numFmtId="4" applyNumberFormat="1" fontId="36" applyFont="1" fillId="11" applyFill="1" borderId="45" applyBorder="1" xfId="0" applyAlignment="1">
      <alignment horizontal="right" wrapText="1"/>
    </xf>
    <xf numFmtId="0" fontId="51" applyFont="1" fillId="11" applyFill="1" borderId="45" applyBorder="1" xfId="0" applyAlignment="1">
      <alignment wrapText="1"/>
    </xf>
    <xf numFmtId="4" applyNumberFormat="1" fontId="36" applyFont="1" fillId="11" applyFill="1" borderId="27" applyBorder="1" xfId="0" applyAlignment="1">
      <alignment horizontal="right" wrapText="1"/>
    </xf>
    <xf numFmtId="0" fontId="36" applyFont="1" fillId="11" applyFill="1" borderId="18" applyBorder="1" xfId="0" applyAlignment="1">
      <alignment horizontal="right" wrapText="1"/>
    </xf>
    <xf numFmtId="0" fontId="51" applyFont="1" fillId="0" borderId="0" xfId="0" applyAlignment="1"/>
    <xf numFmtId="164" applyNumberFormat="1" fontId="35" applyFont="1" fillId="16" applyFill="1" borderId="23" applyBorder="1" xfId="0"/>
    <xf numFmtId="164" applyNumberFormat="1" fontId="37" applyFont="1" fillId="27" applyFill="1" borderId="14" applyBorder="1" xfId="0"/>
    <xf numFmtId="164" applyNumberFormat="1" fontId="36" applyFont="1" fillId="11" applyFill="1" borderId="20" applyBorder="1" xfId="0"/>
    <xf numFmtId="164" applyNumberFormat="1" fontId="37" applyFont="1" fillId="17" applyFill="1" borderId="21" applyBorder="1" xfId="0"/>
    <xf numFmtId="164" applyNumberFormat="1" fontId="37" applyFont="1" fillId="22" applyFill="1" borderId="141" applyBorder="1" xfId="0"/>
    <xf numFmtId="16" applyNumberFormat="1" fontId="1" applyFont="1" fillId="22" applyFill="1" borderId="142" applyBorder="1" xfId="0" applyAlignment="1">
      <alignment horizontal="center"/>
    </xf>
    <xf numFmtId="164" applyNumberFormat="1" fontId="37" applyFont="1" fillId="22" applyFill="1" borderId="142" applyBorder="1" xfId="0"/>
    <xf numFmtId="164" applyNumberFormat="1" fontId="37" applyFont="1" fillId="22" applyFill="1" borderId="142" applyBorder="1" xfId="0" applyAlignment="1"/>
    <xf numFmtId="164" applyNumberFormat="1" fontId="35" applyFont="1" fillId="22" applyFill="1" borderId="142" applyBorder="1" xfId="0"/>
    <xf numFmtId="164" applyNumberFormat="1" fontId="36" applyFont="1" fillId="22" applyFill="1" borderId="142" applyBorder="1" xfId="0"/>
    <xf numFmtId="164" applyNumberFormat="1" fontId="36" applyFont="1" fillId="22" applyFill="1" borderId="142" applyBorder="1" xfId="0" applyAlignment="1"/>
    <xf numFmtId="164" applyNumberFormat="1" fontId="37" applyFont="1" fillId="22" applyFill="1" borderId="143" applyBorder="1" xfId="0"/>
    <xf numFmtId="0" fontId="1" applyFont="1" fillId="22" applyFill="1" borderId="144" applyBorder="1" xfId="0" applyAlignment="1">
      <alignment horizontal="center"/>
    </xf>
    <xf numFmtId="164" applyNumberFormat="1" fontId="37" applyFont="1" fillId="22" applyFill="1" borderId="144" applyBorder="1" xfId="0" applyAlignment="1"/>
    <xf numFmtId="164" applyNumberFormat="1" fontId="37" applyFont="1" fillId="22" applyFill="1" borderId="144" applyBorder="1" xfId="0"/>
    <xf numFmtId="164" applyNumberFormat="1" fontId="35" applyFont="1" fillId="22" applyFill="1" borderId="144" applyBorder="1" xfId="0"/>
    <xf numFmtId="164" applyNumberFormat="1" fontId="36" applyFont="1" fillId="22" applyFill="1" borderId="144" applyBorder="1" xfId="0"/>
    <xf numFmtId="164" applyNumberFormat="1" fontId="36" applyFont="1" fillId="22" applyFill="1" borderId="144" applyBorder="1" xfId="0" applyAlignment="1"/>
    <xf numFmtId="164" applyNumberFormat="1" fontId="36" applyFont="1" fillId="11" applyFill="1" borderId="128" applyBorder="1" xfId="0"/>
    <xf numFmtId="164" applyNumberFormat="1" fontId="37" applyFont="1" fillId="17" applyFill="1" borderId="65" applyBorder="1" xfId="0"/>
    <xf numFmtId="0" fontId="2" applyFont="1" fillId="14" applyFill="1" borderId="57" applyBorder="1" xfId="0" applyAlignment="1">
      <alignment horizontal="left"/>
    </xf>
    <xf numFmtId="0" fontId="2" applyFont="1" fillId="23" applyFill="1" borderId="57" applyBorder="1" xfId="0" applyAlignment="1">
      <alignment horizontal="left"/>
    </xf>
    <xf numFmtId="164" applyNumberFormat="1" fontId="74" applyFont="1" fillId="4" applyFill="1" borderId="25" applyBorder="1" xfId="0"/>
    <xf numFmtId="164" applyNumberFormat="1" fontId="66" applyFont="1" fillId="11" applyFill="1" borderId="46" applyBorder="1" xfId="0"/>
    <xf numFmtId="164" applyNumberFormat="1" fontId="74" applyFont="1" fillId="3" applyFill="1" borderId="14" applyBorder="1" xfId="0"/>
    <xf numFmtId="164" applyNumberFormat="1" fontId="74" applyFont="1" fillId="4" applyFill="1" borderId="14" applyBorder="1" xfId="0"/>
    <xf numFmtId="164" applyNumberFormat="1" fontId="74" applyFont="1" fillId="5" applyFill="1" borderId="13" applyBorder="1" xfId="0"/>
    <xf numFmtId="164" applyNumberFormat="1" fontId="66" applyFont="1" fillId="11" applyFill="1" borderId="85" applyBorder="1" xfId="0"/>
    <xf numFmtId="164" applyNumberFormat="1" fontId="74" applyFont="1" fillId="5" applyFill="1" borderId="17" applyBorder="1" xfId="0"/>
    <xf numFmtId="164" applyNumberFormat="1" fontId="47" applyFont="1" fillId="11" applyFill="1" borderId="23" applyBorder="1" xfId="0"/>
    <xf numFmtId="164" applyNumberFormat="1" fontId="36" applyFont="1" fillId="11" applyFill="1" borderId="132" applyBorder="1" xfId="0"/>
    <xf numFmtId="164" applyNumberFormat="1" fontId="13" applyFont="1" fillId="20" applyFill="1" borderId="57" applyBorder="1" xfId="0"/>
    <xf numFmtId="164" applyNumberFormat="1" fontId="13" applyFont="1" fillId="20" applyFill="1" borderId="23" applyBorder="1" xfId="0"/>
    <xf numFmtId="164" applyNumberFormat="1" fontId="13" applyFont="1" fillId="11" applyFill="1" borderId="57" applyBorder="1" xfId="0"/>
    <xf numFmtId="164" applyNumberFormat="1" fontId="64" applyFont="1" fillId="0" borderId="0" xfId="0"/>
    <xf numFmtId="164" applyNumberFormat="1" fontId="35" applyFont="1" fillId="20" applyFill="1" borderId="18" applyBorder="1" xfId="0"/>
    <xf numFmtId="164" applyNumberFormat="1" fontId="38" applyFont="1" fillId="0" borderId="52" applyBorder="1" xfId="0"/>
    <xf numFmtId="164" applyNumberFormat="1" fontId="78" applyFont="1" fillId="0" borderId="0" xfId="0"/>
    <xf numFmtId="164" applyNumberFormat="1" fontId="27" applyFont="1" fillId="4" applyFill="1" borderId="107" applyBorder="1" xfId="0" applyAlignment="1">
      <alignment horizontal="center"/>
    </xf>
    <xf numFmtId="164" applyNumberFormat="1" fontId="76" applyFont="1" fillId="3" applyFill="1" borderId="23" applyBorder="1" xfId="0" applyAlignment="1">
      <alignment horizontal="center" wrapText="1"/>
    </xf>
    <xf numFmtId="164" applyNumberFormat="1" fontId="27" applyFont="1" fillId="4" applyFill="1" borderId="105" applyBorder="1" xfId="0" applyAlignment="1">
      <alignment horizontal="center"/>
    </xf>
    <xf numFmtId="164" applyNumberFormat="1" fontId="30" applyFont="1" fillId="11" applyFill="1" borderId="14" applyBorder="1" xfId="0" applyAlignment="1">
      <alignment horizontal="center"/>
    </xf>
    <xf numFmtId="171" applyNumberFormat="1" fontId="27" applyFont="1" fillId="4" applyFill="1" borderId="23" applyBorder="1" xfId="0" applyAlignment="1">
      <alignment horizontal="center"/>
    </xf>
    <xf numFmtId="164" applyNumberFormat="1" fontId="38" applyFont="1" fillId="0" borderId="60" applyBorder="1" xfId="0"/>
    <xf numFmtId="164" applyNumberFormat="1" fontId="28" applyFont="1" fillId="11" applyFill="1" borderId="14" applyBorder="1" xfId="0"/>
    <xf numFmtId="166" applyNumberFormat="1" fontId="37" applyFont="1" fillId="0" borderId="0" xfId="0"/>
    <xf numFmtId="164" applyNumberFormat="1" fontId="37" applyFont="1" fillId="4" applyFill="1" borderId="47" applyBorder="1" xfId="0" applyAlignment="1"/>
    <xf numFmtId="4" applyNumberFormat="1" fontId="25" applyFont="1" fillId="0" borderId="104" applyBorder="1" xfId="0" applyAlignment="1">
      <alignment vertical="center"/>
    </xf>
    <xf numFmtId="166" applyNumberFormat="1" fontId="19" applyFont="1" fillId="4" applyFill="1" borderId="111" applyBorder="1" xfId="0" applyAlignment="1">
      <alignment horizontal="center" vertical="center"/>
    </xf>
    <xf numFmtId="166" applyNumberFormat="1" fontId="25" applyFont="1" fillId="4" applyFill="1" borderId="111" applyBorder="1" xfId="0" applyAlignment="1">
      <alignment vertical="center"/>
    </xf>
    <xf numFmtId="166" applyNumberFormat="1" fontId="25" applyFont="1" fillId="12" applyFill="1" borderId="111" applyBorder="1" xfId="0" applyAlignment="1">
      <alignment vertical="center"/>
    </xf>
    <xf numFmtId="166" applyNumberFormat="1" fontId="25" applyFont="1" fillId="17" applyFill="1" borderId="14" applyBorder="1" xfId="0" applyAlignment="1">
      <alignment horizontal="center" vertical="center"/>
    </xf>
    <xf numFmtId="166" applyNumberFormat="1" fontId="25" applyFont="1" fillId="4" applyFill="1" borderId="14" applyBorder="1" xfId="0" applyAlignment="1">
      <alignment vertical="center"/>
    </xf>
    <xf numFmtId="164" applyNumberFormat="1" fontId="35" applyFont="1" fillId="13" applyFill="1" borderId="46" applyBorder="1" xfId="0"/>
    <xf numFmtId="166" applyNumberFormat="1" fontId="25" applyFont="1" fillId="4" applyFill="1" borderId="1" applyBorder="1" xfId="0" applyAlignment="1">
      <alignment vertical="center"/>
    </xf>
    <xf numFmtId="166" applyNumberFormat="1" fontId="25" applyFont="1" fillId="4" applyFill="1" borderId="1" applyBorder="1" xfId="0" applyAlignment="1">
      <alignment horizontal="center" vertical="center"/>
    </xf>
    <xf numFmtId="166" applyNumberFormat="1" fontId="25" applyFont="1" fillId="4" applyFill="1" borderId="111" applyBorder="1" xfId="0" applyAlignment="1">
      <alignment horizontal="center" vertical="center"/>
    </xf>
    <xf numFmtId="164" applyNumberFormat="1" fontId="5" applyFont="1" fillId="12" applyFill="1" borderId="62" applyBorder="1" xfId="0"/>
    <xf numFmtId="0" fontId="51" applyFont="1" fillId="0" borderId="39" applyBorder="1" xfId="0" applyAlignment="1">
      <alignment wrapText="1"/>
    </xf>
    <xf numFmtId="164" applyNumberFormat="1" fontId="35" applyFont="1" fillId="32" applyFill="1" borderId="23" applyBorder="1" xfId="0"/>
    <xf numFmtId="164" applyNumberFormat="1" fontId="28" applyFont="1" fillId="11" applyFill="1" borderId="2" applyBorder="1" xfId="0"/>
    <xf numFmtId="166" applyNumberFormat="1" fontId="51" applyFont="1" fillId="0" borderId="0" xfId="0"/>
    <xf numFmtId="164" applyNumberFormat="1" fontId="1" applyFont="1" fillId="11" applyFill="1" borderId="5" applyBorder="1" xfId="0"/>
    <xf numFmtId="166" applyNumberFormat="1" fontId="25" applyFont="1" fillId="4" applyFill="1" borderId="47" applyBorder="1" xfId="0" applyAlignment="1">
      <alignment vertical="center"/>
    </xf>
    <xf numFmtId="4" applyNumberFormat="1" fontId="37" applyFont="1" fillId="0" borderId="31" applyBorder="1" xfId="0" applyAlignment="1">
      <alignment horizontal="right" vertical="center"/>
    </xf>
    <xf numFmtId="16" applyNumberFormat="1" fontId="83" applyFont="1" fillId="0" borderId="0" xfId="0" applyAlignment="1">
      <alignment horizontal="left"/>
    </xf>
    <xf numFmtId="0" fontId="65" applyFont="1" fillId="0" borderId="0" xfId="0" applyAlignment="1"/>
    <xf numFmtId="164" applyNumberFormat="1" fontId="84" applyFont="1" fillId="0" borderId="0" xfId="0"/>
    <xf numFmtId="164" applyNumberFormat="1" fontId="27" applyFont="1" fillId="7" applyFill="1" borderId="62" applyBorder="1" xfId="0" applyAlignment="1">
      <alignment horizontal="center"/>
    </xf>
    <xf numFmtId="164" applyNumberFormat="1" fontId="27" applyFont="1" fillId="7" applyFill="1" borderId="2" applyBorder="1" xfId="0" applyAlignment="1">
      <alignment horizontal="center"/>
    </xf>
    <xf numFmtId="4" applyNumberFormat="1" fontId="37" applyFont="1" fillId="0" borderId="145" applyBorder="1" xfId="0" applyAlignment="1">
      <alignment horizontal="center" wrapText="1"/>
    </xf>
    <xf numFmtId="0" fontId="36" applyFont="1" fillId="11" applyFill="1" borderId="145" applyBorder="1" xfId="0" applyAlignment="1">
      <alignment horizontal="right" wrapText="1"/>
    </xf>
    <xf numFmtId="0" fontId="37" applyFont="1" fillId="0" borderId="145" applyBorder="1" xfId="0" applyAlignment="1">
      <alignment horizontal="right" wrapText="1"/>
    </xf>
    <xf numFmtId="0" fontId="51" applyFont="1" fillId="4" applyFill="1" borderId="2" applyBorder="1" xfId="0" applyAlignment="1">
      <alignment wrapText="1"/>
    </xf>
    <xf numFmtId="4" applyNumberFormat="1" fontId="37" applyFont="1" fillId="0" borderId="146" applyBorder="1" xfId="0" applyAlignment="1">
      <alignment horizontal="center" wrapText="1"/>
    </xf>
    <xf numFmtId="0" fontId="36" applyFont="1" fillId="11" applyFill="1" borderId="146" applyBorder="1" xfId="0" applyAlignment="1">
      <alignment horizontal="right" wrapText="1"/>
    </xf>
    <xf numFmtId="4" applyNumberFormat="1" fontId="37" applyFont="1" fillId="0" borderId="146" applyBorder="1" xfId="0" applyAlignment="1">
      <alignment horizontal="right" wrapText="1"/>
    </xf>
    <xf numFmtId="0" fontId="51" applyFont="1" fillId="4" applyFill="1" borderId="14" applyBorder="1" xfId="0" applyAlignment="1">
      <alignment wrapText="1"/>
    </xf>
    <xf numFmtId="0" fontId="37" applyFont="1" fillId="4" applyFill="1" borderId="14" applyBorder="1" xfId="0" applyAlignment="1">
      <alignment horizontal="right" wrapText="1"/>
    </xf>
    <xf numFmtId="0" fontId="36" applyFont="1" fillId="11" applyFill="1" borderId="146" applyBorder="1" xfId="0" applyAlignment="1">
      <alignment horizontal="right" wrapText="1"/>
    </xf>
    <xf numFmtId="0" fontId="37" applyFont="1" fillId="0" borderId="146" applyBorder="1" xfId="0" applyAlignment="1">
      <alignment horizontal="right" wrapText="1"/>
    </xf>
    <xf numFmtId="0" fontId="51" applyFont="1" fillId="11" applyFill="1" borderId="146" applyBorder="1" xfId="0" applyAlignment="1">
      <alignment wrapText="1"/>
    </xf>
    <xf numFmtId="0" fontId="51" applyFont="1" fillId="11" applyFill="1" borderId="146" applyBorder="1" xfId="0" applyAlignment="1">
      <alignment wrapText="1"/>
    </xf>
    <xf numFmtId="0" fontId="37" applyFont="1" fillId="4" applyFill="1" borderId="14" applyBorder="1" xfId="0" applyAlignment="1">
      <alignment horizontal="right" wrapText="1"/>
    </xf>
    <xf numFmtId="0" fontId="51" applyFont="1" fillId="4" applyFill="1" borderId="14" applyBorder="1" xfId="0" applyAlignment="1">
      <alignment wrapText="1"/>
    </xf>
    <xf numFmtId="4" applyNumberFormat="1" fontId="37" applyFont="1" fillId="0" borderId="147" applyBorder="1" xfId="0" applyAlignment="1">
      <alignment horizontal="center" wrapText="1"/>
    </xf>
    <xf numFmtId="0" fontId="36" applyFont="1" fillId="11" applyFill="1" borderId="147" applyBorder="1" xfId="0" applyAlignment="1">
      <alignment horizontal="right" wrapText="1"/>
    </xf>
    <xf numFmtId="4" applyNumberFormat="1" fontId="37" applyFont="1" fillId="0" borderId="147" applyBorder="1" xfId="0" applyAlignment="1">
      <alignment horizontal="right" wrapText="1"/>
    </xf>
    <xf numFmtId="0" fontId="51" applyFont="1" fillId="4" applyFill="1" borderId="23" applyBorder="1" xfId="0" applyAlignment="1">
      <alignment wrapText="1"/>
    </xf>
    <xf numFmtId="164" applyNumberFormat="1" fontId="1" applyFont="1" fillId="0" borderId="28" applyBorder="1" xfId="0" applyAlignment="1">
      <alignment horizontal="center"/>
    </xf>
    <xf numFmtId="164" applyNumberFormat="1" fontId="1" applyFont="1" fillId="0" borderId="41" applyBorder="1" xfId="0" applyAlignment="1">
      <alignment horizontal="center"/>
    </xf>
    <xf numFmtId="164" applyNumberFormat="1" fontId="37" applyFont="1" fillId="0" borderId="41" applyBorder="1" xfId="0" applyAlignment="1">
      <alignment horizontal="center"/>
    </xf>
    <xf numFmtId="164" applyNumberFormat="1" fontId="85" applyFont="1" fillId="11" applyFill="1" borderId="57" applyBorder="1" xfId="0" applyAlignment="1">
      <alignment horizontal="right"/>
    </xf>
    <xf numFmtId="173" applyNumberFormat="1" fontId="25" applyFont="1" fillId="0" borderId="0" xfId="0" applyAlignment="1">
      <alignment vertical="center"/>
    </xf>
    <xf numFmtId="164" applyNumberFormat="1" fontId="1" applyFont="1" fillId="0" borderId="10" applyBorder="1" xfId="0" applyAlignment="1">
      <alignment horizontal="center"/>
    </xf>
    <xf numFmtId="164" applyNumberFormat="1" fontId="36" applyFont="1" fillId="0" borderId="82" applyBorder="1" xfId="0"/>
    <xf numFmtId="164" applyNumberFormat="1" fontId="36" applyFont="1" fillId="0" borderId="115" applyBorder="1" xfId="0"/>
    <xf numFmtId="164" applyNumberFormat="1" fontId="1" applyFont="1" fillId="0" borderId="31" applyBorder="1" xfId="0" applyAlignment="1">
      <alignment horizontal="center"/>
    </xf>
    <xf numFmtId="164" applyNumberFormat="1" fontId="36" applyFont="1" fillId="0" borderId="104" applyBorder="1" xfId="0"/>
    <xf numFmtId="4" applyNumberFormat="1" fontId="2" applyFont="1" fillId="0" borderId="104" applyBorder="1" xfId="0" applyAlignment="1">
      <alignment vertical="center"/>
    </xf>
    <xf numFmtId="164" applyNumberFormat="1" fontId="36" applyFont="1" fillId="0" borderId="24" applyBorder="1" xfId="0" applyAlignment="1"/>
    <xf numFmtId="164" applyNumberFormat="1" fontId="32" applyFont="1" fillId="0" borderId="24" applyBorder="1" xfId="0"/>
    <xf numFmtId="164" applyNumberFormat="1" fontId="36" applyFont="1" fillId="0" borderId="51" applyBorder="1" xfId="0" applyAlignment="1"/>
    <xf numFmtId="0" fontId="18" applyFont="1" fillId="0" borderId="0" xfId="0" applyAlignment="1">
      <alignment horizontal="center"/>
    </xf>
    <xf numFmtId="164" applyNumberFormat="1" fontId="35" applyFont="1" fillId="20" applyFill="1" borderId="24" applyBorder="1" xfId="0" applyAlignment="1">
      <alignment horizontal="center"/>
    </xf>
    <xf numFmtId="164" applyNumberFormat="1" fontId="35" applyFont="1" fillId="28" applyFill="1" borderId="57" applyBorder="1" xfId="0" applyAlignment="1">
      <alignment horizontal="center"/>
    </xf>
    <xf numFmtId="164" applyNumberFormat="1" fontId="36" applyFont="1" fillId="36" applyFill="1" borderId="14" applyBorder="1" xfId="0" applyAlignment="1"/>
    <xf numFmtId="164" applyNumberFormat="1" fontId="59" applyFont="1" fillId="0" borderId="31" applyBorder="1" xfId="0" applyAlignment="1"/>
    <xf numFmtId="164" applyNumberFormat="1" fontId="35" applyFont="1" fillId="3" applyFill="1" borderId="63" applyBorder="1" xfId="0"/>
    <xf numFmtId="2" applyNumberFormat="1" fontId="1" applyFont="1" fillId="0" borderId="28" applyBorder="1" xfId="0" applyAlignment="1">
      <alignment horizontal="center"/>
    </xf>
    <xf numFmtId="2" applyNumberFormat="1" fontId="1" applyFont="1" fillId="0" borderId="10" applyBorder="1" xfId="0" applyAlignment="1">
      <alignment horizontal="center"/>
    </xf>
    <xf numFmtId="164" applyNumberFormat="1" fontId="35" applyFont="1" fillId="4" applyFill="1" borderId="63" applyBorder="1" xfId="0"/>
    <xf numFmtId="2" applyNumberFormat="1" fontId="1" applyFont="1" fillId="0" borderId="41" applyBorder="1" xfId="0" applyAlignment="1">
      <alignment horizontal="center"/>
    </xf>
    <xf numFmtId="2" applyNumberFormat="1" fontId="1" applyFont="1" fillId="0" borderId="31" applyBorder="1" xfId="0" applyAlignment="1">
      <alignment horizontal="center"/>
    </xf>
    <xf numFmtId="2" applyNumberFormat="1" fontId="37" applyFont="1" fillId="0" borderId="41" applyBorder="1" xfId="0" applyAlignment="1">
      <alignment horizontal="center"/>
    </xf>
    <xf numFmtId="2" applyNumberFormat="1" fontId="37" applyFont="1" fillId="0" borderId="31" applyBorder="1" xfId="0" applyAlignment="1">
      <alignment horizontal="center"/>
    </xf>
    <xf numFmtId="164" applyNumberFormat="1" fontId="36" applyFont="1" fillId="0" borderId="121" applyBorder="1" xfId="0"/>
    <xf numFmtId="164" applyNumberFormat="1" fontId="37" applyFont="1" fillId="24" applyFill="1" borderId="57" applyBorder="1" xfId="0"/>
    <xf numFmtId="164" applyNumberFormat="1" fontId="37" applyFont="1" fillId="24" applyFill="1" borderId="2" applyBorder="1" xfId="0"/>
    <xf numFmtId="16" applyNumberFormat="1" fontId="37" applyFont="1" fillId="0" borderId="41" applyBorder="1" xfId="0" applyAlignment="1">
      <alignment horizontal="center"/>
    </xf>
    <xf numFmtId="4" applyNumberFormat="1" fontId="37" applyFont="1" fillId="0" borderId="41" applyBorder="1" xfId="0" applyAlignment="1">
      <alignment horizontal="center"/>
    </xf>
    <xf numFmtId="164" applyNumberFormat="1" fontId="35" applyFont="1" fillId="20" applyFill="1" borderId="148" applyBorder="1" xfId="0"/>
    <xf numFmtId="16" applyNumberFormat="1" fontId="1" applyFont="1" fillId="0" borderId="0" xfId="0" applyAlignment="1">
      <alignment horizontal="center"/>
    </xf>
    <xf numFmtId="2" applyNumberFormat="1" fontId="37" applyFont="1" fillId="0" borderId="28" applyBorder="1" xfId="0" applyAlignment="1">
      <alignment horizontal="center"/>
    </xf>
    <xf numFmtId="2" applyNumberFormat="1" fontId="37" applyFont="1" fillId="0" borderId="10" applyBorder="1" xfId="0" applyAlignment="1">
      <alignment horizontal="center"/>
    </xf>
    <xf numFmtId="164" applyNumberFormat="1" fontId="36" applyFont="1" fillId="0" borderId="121" applyBorder="1" xfId="0" applyAlignment="1">
      <alignment horizontal="center"/>
    </xf>
    <xf numFmtId="2" applyNumberFormat="1" fontId="37" applyFont="1" fillId="0" borderId="38" applyBorder="1" xfId="0" applyAlignment="1">
      <alignment horizontal="center"/>
    </xf>
    <xf numFmtId="0" fontId="51" applyFont="1" fillId="0" borderId="0" xfId="0" applyAlignment="1">
      <alignment horizontal="center"/>
    </xf>
    <xf numFmtId="164" applyNumberFormat="1" fontId="35" applyFont="1" fillId="5" applyFill="1" borderId="5" applyBorder="1" xfId="0"/>
    <xf numFmtId="2" applyNumberFormat="1" fontId="37" applyFont="1" fillId="0" borderId="0" xfId="0" applyAlignment="1">
      <alignment horizontal="center"/>
    </xf>
    <xf numFmtId="166" applyNumberFormat="1" fontId="25" applyFont="1" fillId="0" borderId="0" xfId="0" applyAlignment="1">
      <alignment vertical="center"/>
    </xf>
    <xf numFmtId="2" applyNumberFormat="1" fontId="37" applyFont="1" fillId="0" borderId="31" applyBorder="1" xfId="0"/>
    <xf numFmtId="4" applyNumberFormat="1" fontId="36" applyFont="1" fillId="0" borderId="0" xfId="0" applyAlignment="1">
      <alignment vertical="center"/>
    </xf>
    <xf numFmtId="4" applyNumberFormat="1" fontId="37" applyFont="1" fillId="0" borderId="31" applyBorder="1" xfId="0" applyAlignment="1">
      <alignment horizontal="center"/>
    </xf>
    <xf numFmtId="164" applyNumberFormat="1" fontId="37" applyFont="1" fillId="0" borderId="122" applyBorder="1" xfId="0"/>
    <xf numFmtId="164" applyNumberFormat="1" fontId="37" applyFont="1" fillId="4" applyFill="1" borderId="5" applyBorder="1" xfId="0"/>
    <xf numFmtId="164" applyNumberFormat="1" fontId="37" applyFont="1" fillId="4" applyFill="1" borderId="8" applyBorder="1" xfId="0"/>
    <xf numFmtId="164" applyNumberFormat="1" fontId="37" applyFont="1" fillId="11" applyFill="1" borderId="9" applyBorder="1" xfId="0"/>
    <xf numFmtId="164" applyNumberFormat="1" fontId="36" applyFont="1" fillId="11" applyFill="1" borderId="5" applyBorder="1" xfId="0" applyAlignment="1">
      <alignment horizontal="center"/>
    </xf>
    <xf numFmtId="164" applyNumberFormat="1" fontId="35" applyFont="1" fillId="13" applyFill="1" borderId="62" applyBorder="1" xfId="0"/>
    <xf numFmtId="16" applyNumberFormat="1" fontId="57" applyFont="1" fillId="0" borderId="0" xfId="0" applyAlignment="1">
      <alignment horizontal="center"/>
    </xf>
    <xf numFmtId="16" applyNumberFormat="1" fontId="77" applyFont="1" fillId="0" borderId="0" xfId="0" applyAlignment="1">
      <alignment horizontal="left"/>
    </xf>
    <xf numFmtId="16" applyNumberFormat="1" fontId="80" applyFont="1" fillId="0" borderId="0" xfId="0" applyAlignment="1">
      <alignment horizontal="left"/>
    </xf>
    <xf numFmtId="16" applyNumberFormat="1" fontId="86" applyFont="1" fillId="0" borderId="0" xfId="0" applyAlignment="1">
      <alignment horizontal="center"/>
    </xf>
    <xf numFmtId="16" applyNumberFormat="1" fontId="73" applyFont="1" fillId="5" applyFill="1" borderId="63" applyBorder="1" xfId="0" applyAlignment="1">
      <alignment horizontal="center"/>
    </xf>
    <xf numFmtId="164" applyNumberFormat="1" fontId="27" applyFont="1" fillId="5" applyFill="1" borderId="12" applyBorder="1" xfId="0" applyAlignment="1">
      <alignment horizontal="center"/>
    </xf>
    <xf numFmtId="16" applyNumberFormat="1" fontId="73" applyFont="1" fillId="5" applyFill="1" borderId="54" applyBorder="1" xfId="0" applyAlignment="1">
      <alignment horizontal="center"/>
    </xf>
    <xf numFmtId="164" applyNumberFormat="1" fontId="82" applyFont="1" fillId="2" applyFill="1" borderId="23" applyBorder="1" xfId="0" applyAlignment="1">
      <alignment horizontal="center"/>
    </xf>
    <xf numFmtId="164" applyNumberFormat="1" fontId="27" applyFont="1" fillId="5" applyFill="1" borderId="99" applyBorder="1" xfId="0" applyAlignment="1">
      <alignment horizontal="center"/>
    </xf>
    <xf numFmtId="164" applyNumberFormat="1" fontId="27" applyFont="1" fillId="4" applyFill="1" borderId="45" applyBorder="1" xfId="0" applyAlignment="1">
      <alignment horizontal="center"/>
    </xf>
    <xf numFmtId="164" applyNumberFormat="1" fontId="27" applyFont="1" fillId="5" applyFill="1" borderId="27" applyBorder="1" xfId="0" applyAlignment="1">
      <alignment horizontal="center"/>
    </xf>
    <xf numFmtId="16" applyNumberFormat="1" fontId="57" applyFont="1" fillId="0" borderId="10" applyBorder="1" xfId="0" applyAlignment="1">
      <alignment horizontal="center"/>
    </xf>
    <xf numFmtId="164" applyNumberFormat="1" fontId="36" applyFont="1" fillId="11" applyFill="1" borderId="64" applyBorder="1" xfId="0"/>
    <xf numFmtId="164" applyNumberFormat="1" fontId="35" applyFont="1" fillId="5" applyFill="1" borderId="10" applyBorder="1" xfId="0"/>
    <xf numFmtId="164" applyNumberFormat="1" fontId="36" applyFont="1" fillId="11" applyFill="1" borderId="77" applyBorder="1" xfId="0"/>
    <xf numFmtId="164" applyNumberFormat="1" fontId="35" applyFont="1" fillId="5" applyFill="1" borderId="31" applyBorder="1" xfId="0"/>
    <xf numFmtId="4" applyNumberFormat="1" fontId="37" applyFont="1" fillId="4" applyFill="1" borderId="45" applyBorder="1" xfId="0" applyAlignment="1">
      <alignment horizontal="right" wrapText="1"/>
    </xf>
    <xf numFmtId="0" fontId="36" applyFont="1" fillId="11" applyFill="1" borderId="125" applyBorder="1" xfId="0" applyAlignment="1">
      <alignment horizontal="right" wrapText="1"/>
    </xf>
    <xf numFmtId="164" applyNumberFormat="1" fontId="36" applyFont="1" fillId="11" applyFill="1" borderId="93" applyBorder="1" xfId="0"/>
    <xf numFmtId="164" applyNumberFormat="1" fontId="35" applyFont="1" fillId="5" applyFill="1" borderId="24" applyBorder="1" xfId="0"/>
    <xf numFmtId="0" fontId="37" applyFont="1" fillId="4" applyFill="1" borderId="27" applyBorder="1" xfId="0" applyAlignment="1">
      <alignment horizontal="right" wrapText="1"/>
    </xf>
    <xf numFmtId="16" applyNumberFormat="1" fontId="57" applyFont="1" fillId="0" borderId="0" xfId="0"/>
    <xf numFmtId="4" applyNumberFormat="1" fontId="51" applyFont="1" fillId="0" borderId="0" xfId="0"/>
    <xf numFmtId="16" applyNumberFormat="1" fontId="57" applyFont="1" fillId="0" borderId="10" applyBorder="1" xfId="0" applyAlignment="1">
      <alignment horizontal="center"/>
    </xf>
    <xf numFmtId="16" applyNumberFormat="1" fontId="57" applyFont="1" fillId="0" borderId="28" applyBorder="1" xfId="0" applyAlignment="1">
      <alignment horizontal="center"/>
    </xf>
    <xf numFmtId="16" applyNumberFormat="1" fontId="87" applyFont="1" fillId="0" borderId="10" applyBorder="1" xfId="0" applyAlignment="1">
      <alignment horizontal="center"/>
    </xf>
    <xf numFmtId="16" applyNumberFormat="1" fontId="51" applyFont="1" fillId="0" borderId="31" applyBorder="1" xfId="0" applyAlignment="1">
      <alignment horizontal="center"/>
    </xf>
    <xf numFmtId="0" fontId="70" applyFont="1" fillId="14" applyFill="1" borderId="57" applyBorder="1" xfId="0" applyAlignment="1">
      <alignment horizontal="center"/>
    </xf>
    <xf numFmtId="0" fontId="88" applyFont="1" fillId="23" applyFill="1" borderId="57" applyBorder="1" xfId="0" applyAlignment="1">
      <alignment horizontal="center"/>
    </xf>
    <xf numFmtId="16" applyNumberFormat="1" fontId="51" applyFont="1" fillId="0" borderId="57" applyBorder="1" xfId="0" applyAlignment="1">
      <alignment horizontal="center"/>
    </xf>
    <xf numFmtId="164" applyNumberFormat="1" fontId="2" applyFont="1" fillId="17" applyFill="1" borderId="1" applyBorder="1" xfId="0"/>
    <xf numFmtId="164" applyNumberFormat="1" fontId="2" applyFont="1" fillId="17" applyFill="1" borderId="26" applyBorder="1" xfId="0"/>
    <xf numFmtId="164" applyNumberFormat="1" fontId="46" applyFont="1" fillId="12" applyFill="1" borderId="1" applyBorder="1" xfId="0" applyAlignment="1">
      <alignment horizontal="center"/>
    </xf>
    <xf numFmtId="16" applyNumberFormat="1" fontId="51" applyFont="1" fillId="0" borderId="24" applyBorder="1" xfId="0" applyAlignment="1">
      <alignment horizontal="center"/>
    </xf>
    <xf numFmtId="170" applyNumberFormat="1" fontId="37" applyFont="1" fillId="12" applyFill="1" borderId="62" applyBorder="1" xfId="0"/>
    <xf numFmtId="4" applyNumberFormat="1" fontId="37" applyFont="1" fillId="4" applyFill="1" borderId="14" applyBorder="1" xfId="0" applyAlignment="1">
      <alignment vertical="center"/>
    </xf>
    <xf numFmtId="4" applyNumberFormat="1" fontId="37" applyFont="1" fillId="4" applyFill="1" borderId="47" applyBorder="1" xfId="0" applyAlignment="1">
      <alignment vertical="center"/>
    </xf>
    <xf numFmtId="16" applyNumberFormat="1" fontId="57" applyFont="1" fillId="11" applyFill="1" borderId="2" applyBorder="1" xfId="0" applyAlignment="1">
      <alignment horizontal="center"/>
    </xf>
    <xf numFmtId="16" applyNumberFormat="1" fontId="51" applyFont="1" fillId="11" applyFill="1" borderId="46" applyBorder="1" xfId="0" applyAlignment="1">
      <alignment horizontal="center"/>
    </xf>
    <xf numFmtId="174" applyNumberFormat="1" fontId="37" applyFont="1" fillId="0" borderId="0" xfId="0"/>
    <xf numFmtId="164" applyNumberFormat="1" fontId="37" applyFont="1" fillId="37" applyFill="1" borderId="2" applyBorder="1" xfId="0" applyAlignment="1">
      <alignment horizontal="center"/>
    </xf>
    <xf numFmtId="164" applyNumberFormat="1" fontId="3" applyFont="1" fillId="38" applyFill="1" borderId="2" applyBorder="1" xfId="0"/>
    <xf numFmtId="164" applyNumberFormat="1" fontId="37" applyFont="1" fillId="38" applyFill="1" borderId="2" applyBorder="1" xfId="0"/>
    <xf numFmtId="164" applyNumberFormat="1" fontId="37" applyFont="1" fillId="38" applyFill="1" borderId="33" applyBorder="1" xfId="0"/>
    <xf numFmtId="164" applyNumberFormat="1" fontId="37" applyFont="1" fillId="38" applyFill="1" borderId="34" applyBorder="1" xfId="0"/>
    <xf numFmtId="164" applyNumberFormat="1" fontId="37" applyFont="1" fillId="38" applyFill="1" borderId="35" applyBorder="1" xfId="0"/>
    <xf numFmtId="164" applyNumberFormat="1" fontId="37" applyFont="1" fillId="37" applyFill="1" borderId="2" applyBorder="1" xfId="0" applyAlignment="1"/>
    <xf numFmtId="164" applyNumberFormat="1" fontId="4" applyFont="1" fillId="38" applyFill="1" borderId="2" applyBorder="1" xfId="0"/>
    <xf numFmtId="164" applyNumberFormat="1" fontId="37" applyFont="1" fillId="38" applyFill="1" borderId="36" applyBorder="1" xfId="0"/>
    <xf numFmtId="164" applyNumberFormat="1" fontId="37" applyFont="1" fillId="39" applyFill="1" borderId="14" applyBorder="1" xfId="0" applyAlignment="1">
      <alignment horizontal="center"/>
    </xf>
    <xf numFmtId="164" applyNumberFormat="1" fontId="3" applyFont="1" fillId="38" applyFill="1" borderId="14" applyBorder="1" xfId="0"/>
    <xf numFmtId="164" applyNumberFormat="1" fontId="37" applyFont="1" fillId="38" applyFill="1" borderId="14" applyBorder="1" xfId="0"/>
    <xf numFmtId="164" applyNumberFormat="1" fontId="37" applyFont="1" fillId="38" applyFill="1" borderId="42" applyBorder="1" xfId="0"/>
    <xf numFmtId="164" applyNumberFormat="1" fontId="37" applyFont="1" fillId="38" applyFill="1" borderId="1" applyBorder="1" xfId="0"/>
    <xf numFmtId="164" applyNumberFormat="1" fontId="37" applyFont="1" fillId="38" applyFill="1" borderId="43" applyBorder="1" xfId="0"/>
    <xf numFmtId="164" applyNumberFormat="1" fontId="37" applyFont="1" fillId="39" applyFill="1" borderId="14" applyBorder="1" xfId="0" applyAlignment="1"/>
    <xf numFmtId="164" applyNumberFormat="1" fontId="4" applyFont="1" fillId="38" applyFill="1" borderId="14" applyBorder="1" xfId="0"/>
    <xf numFmtId="164" applyNumberFormat="1" fontId="37" applyFont="1" fillId="38" applyFill="1" borderId="44" applyBorder="1" xfId="0"/>
    <xf numFmtId="164" applyNumberFormat="1" fontId="37" applyFont="1" fillId="40" applyFill="1" borderId="14" applyBorder="1" xfId="0" applyAlignment="1">
      <alignment horizontal="center"/>
    </xf>
    <xf numFmtId="164" applyNumberFormat="1" fontId="37" applyFont="1" fillId="40" applyFill="1" borderId="14" applyBorder="1" xfId="0" applyAlignment="1"/>
    <xf numFmtId="164" applyNumberFormat="1" fontId="37" applyFont="1" fillId="40" applyFill="1" borderId="23" applyBorder="1" xfId="0" applyAlignment="1">
      <alignment horizontal="center"/>
    </xf>
    <xf numFmtId="164" applyNumberFormat="1" fontId="3" applyFont="1" fillId="38" applyFill="1" borderId="23" applyBorder="1" xfId="0"/>
    <xf numFmtId="164" applyNumberFormat="1" fontId="37" applyFont="1" fillId="38" applyFill="1" borderId="23" applyBorder="1" xfId="0"/>
    <xf numFmtId="164" applyNumberFormat="1" fontId="37" applyFont="1" fillId="40" applyFill="1" borderId="23" applyBorder="1" xfId="0" applyAlignment="1">
      <alignment horizontal="right"/>
    </xf>
    <xf numFmtId="164" applyNumberFormat="1" fontId="4" applyFont="1" fillId="38" applyFill="1" borderId="23" applyBorder="1" xfId="0"/>
    <xf numFmtId="164" applyNumberFormat="1" fontId="37" applyFont="1" fillId="41" applyFill="1" borderId="2" applyBorder="1" xfId="0" applyAlignment="1">
      <alignment horizontal="center"/>
    </xf>
    <xf numFmtId="164" applyNumberFormat="1" fontId="37" applyFont="1" fillId="42" applyFill="1" borderId="2" applyBorder="1" xfId="0" applyAlignment="1">
      <alignment horizontal="right"/>
    </xf>
    <xf numFmtId="164" applyNumberFormat="1" fontId="37" applyFont="1" fillId="41" applyFill="1" borderId="14" applyBorder="1" xfId="0" applyAlignment="1">
      <alignment horizontal="center"/>
    </xf>
    <xf numFmtId="164" applyNumberFormat="1" fontId="37" applyFont="1" fillId="42" applyFill="1" borderId="14" applyBorder="1" xfId="0" applyAlignment="1"/>
    <xf numFmtId="164" applyNumberFormat="1" fontId="37" applyFont="1" fillId="43" applyFill="1" borderId="14" applyBorder="1" xfId="0" applyAlignment="1">
      <alignment horizontal="center"/>
    </xf>
    <xf numFmtId="164" applyNumberFormat="1" fontId="37" applyFont="1" fillId="43" applyFill="1" borderId="14" applyBorder="1" xfId="0" applyAlignment="1"/>
    <xf numFmtId="164" applyNumberFormat="1" fontId="37" applyFont="1" fillId="42" applyFill="1" borderId="14" applyBorder="1" xfId="0" applyAlignment="1">
      <alignment horizontal="center"/>
    </xf>
    <xf numFmtId="164" applyNumberFormat="1" fontId="37" applyFont="1" fillId="44" applyFill="1" borderId="14" applyBorder="1" xfId="0" applyAlignment="1"/>
    <xf numFmtId="164" applyNumberFormat="1" fontId="37" applyFont="1" fillId="45" applyFill="1" borderId="14" applyBorder="1" xfId="0" applyAlignment="1">
      <alignment horizontal="center"/>
    </xf>
    <xf numFmtId="164" applyNumberFormat="1" fontId="37" applyFont="1" fillId="46" applyFill="1" borderId="14" applyBorder="1" xfId="0" applyAlignment="1"/>
    <xf numFmtId="165" applyNumberFormat="1" fontId="28" applyFont="1" fillId="38" applyFill="1" borderId="14" applyBorder="1" xfId="0" applyAlignment="1">
      <alignment horizontal="right"/>
    </xf>
    <xf numFmtId="165" applyNumberFormat="1" fontId="32" applyFont="1" fillId="38" applyFill="1" borderId="14" applyBorder="1" xfId="0" applyAlignment="1">
      <alignment horizontal="right"/>
    </xf>
    <xf numFmtId="164" applyNumberFormat="1" fontId="37" applyFont="1" fillId="47" applyFill="1" borderId="14" applyBorder="1" xfId="0" applyAlignment="1">
      <alignment horizontal="center"/>
    </xf>
    <xf numFmtId="164" applyNumberFormat="1" fontId="37" applyFont="1" fillId="47" applyFill="1" borderId="14" applyBorder="1" xfId="0" applyAlignment="1"/>
    <xf numFmtId="164" applyNumberFormat="1" fontId="37" applyFont="1" fillId="48" applyFill="1" borderId="14" applyBorder="1" xfId="0" applyAlignment="1">
      <alignment horizontal="center"/>
    </xf>
    <xf numFmtId="165" applyNumberFormat="1" fontId="38" applyFont="1" fillId="38" applyFill="1" borderId="14" applyBorder="1" xfId="0" applyAlignment="1">
      <alignment horizontal="right"/>
    </xf>
    <xf numFmtId="164" applyNumberFormat="1" fontId="37" applyFont="1" fillId="49" applyFill="1" borderId="14" applyBorder="1" xfId="0" applyAlignment="1"/>
    <xf numFmtId="164" applyNumberFormat="1" fontId="37" applyFont="1" fillId="50" applyFill="1" borderId="14" applyBorder="1" xfId="0" applyAlignment="1">
      <alignment horizontal="center"/>
    </xf>
    <xf numFmtId="164" applyNumberFormat="1" fontId="37" applyFont="1" fillId="51" applyFill="1" borderId="14" applyBorder="1" xfId="0" applyAlignment="1"/>
    <xf numFmtId="164" applyNumberFormat="1" fontId="37" applyFont="1" fillId="37" applyFill="1" borderId="14" applyBorder="1" xfId="0" applyAlignment="1">
      <alignment horizontal="center"/>
    </xf>
    <xf numFmtId="164" applyNumberFormat="1" fontId="37" applyFont="1" fillId="37" applyFill="1" borderId="14" applyBorder="1" xfId="0" applyAlignment="1"/>
    <xf numFmtId="164" applyNumberFormat="1" fontId="37" applyFont="1" fillId="52" applyFill="1" borderId="14" applyBorder="1" xfId="0" applyAlignment="1">
      <alignment horizontal="center"/>
    </xf>
    <xf numFmtId="164" applyNumberFormat="1" fontId="37" applyFont="1" fillId="52" applyFill="1" borderId="14" applyBorder="1" xfId="0" applyAlignment="1"/>
    <xf numFmtId="164" applyNumberFormat="1" fontId="37" applyFont="1" fillId="53" applyFill="1" borderId="14" applyBorder="1" xfId="0" applyAlignment="1">
      <alignment horizontal="center"/>
    </xf>
    <xf numFmtId="164" applyNumberFormat="1" fontId="37" applyFont="1" fillId="54" applyFill="1" borderId="14" applyBorder="1" xfId="0" applyAlignment="1"/>
    <xf numFmtId="164" applyNumberFormat="1" fontId="37" applyFont="1" fillId="53" applyFill="1" borderId="23" applyBorder="1" xfId="0" applyAlignment="1">
      <alignment horizontal="center"/>
    </xf>
    <xf numFmtId="164" applyNumberFormat="1" fontId="37" applyFont="1" fillId="38" applyFill="1" borderId="55" applyBorder="1" xfId="0"/>
    <xf numFmtId="164" applyNumberFormat="1" fontId="37" applyFont="1" fillId="54" applyFill="1" borderId="23" applyBorder="1" xfId="0" applyAlignment="1"/>
    <xf numFmtId="164" applyNumberFormat="1" fontId="37" applyFont="1" fillId="53" applyFill="1" borderId="10" applyBorder="1" xfId="0" applyAlignment="1"/>
    <xf numFmtId="164" applyNumberFormat="1" fontId="3" applyFont="1" fillId="38" applyFill="1" borderId="10" applyBorder="1" xfId="0"/>
    <xf numFmtId="164" applyNumberFormat="1" fontId="37" applyFont="1" fillId="38" applyFill="1" borderId="10" applyBorder="1" xfId="0"/>
    <xf numFmtId="164" applyNumberFormat="1" fontId="37" applyFont="1" fillId="38" applyFill="1" borderId="0" xfId="0"/>
    <xf numFmtId="164" applyNumberFormat="1" fontId="4" applyFont="1" fillId="38" applyFill="1" borderId="10" applyBorder="1" xfId="0"/>
    <xf numFmtId="164" applyNumberFormat="1" fontId="37" applyFont="1" fillId="55" applyFill="1" borderId="31" applyBorder="1" xfId="0" applyAlignment="1"/>
    <xf numFmtId="164" applyNumberFormat="1" fontId="3" applyFont="1" fillId="38" applyFill="1" borderId="31" applyBorder="1" xfId="0"/>
    <xf numFmtId="164" applyNumberFormat="1" fontId="37" applyFont="1" fillId="38" applyFill="1" borderId="31" applyBorder="1" xfId="0"/>
    <xf numFmtId="164" applyNumberFormat="1" fontId="37" applyFont="1" fillId="51" applyFill="1" borderId="31" applyBorder="1" xfId="0" applyAlignment="1"/>
    <xf numFmtId="164" applyNumberFormat="1" fontId="4" applyFont="1" fillId="38" applyFill="1" borderId="31" applyBorder="1" xfId="0"/>
    <xf numFmtId="164" applyNumberFormat="1" fontId="37" applyFont="1" fillId="56" applyFill="1" borderId="31" applyBorder="1" xfId="0" applyAlignment="1"/>
    <xf numFmtId="164" applyNumberFormat="1" fontId="37" applyFont="1" fillId="57" applyFill="1" borderId="31" applyBorder="1" xfId="0" applyAlignment="1"/>
    <xf numFmtId="164" applyNumberFormat="1" fontId="37" applyFont="1" fillId="46" applyFill="1" borderId="31" applyBorder="1" xfId="0" applyAlignment="1"/>
    <xf numFmtId="164" applyNumberFormat="1" fontId="37" applyFont="1" fillId="58" applyFill="1" borderId="31" applyBorder="1" xfId="0" applyAlignment="1"/>
    <xf numFmtId="164" applyNumberFormat="1" fontId="37" applyFont="1" fillId="59" applyFill="1" borderId="31" applyBorder="1" xfId="0" applyAlignment="1"/>
    <xf numFmtId="164" applyNumberFormat="1" fontId="37" applyFont="1" fillId="42" applyFill="1" borderId="31" applyBorder="1" xfId="0" applyAlignment="1"/>
    <xf numFmtId="164" applyNumberFormat="1" fontId="37" applyFont="1" fillId="60" applyFill="1" borderId="31" applyBorder="1" xfId="0" applyAlignment="1"/>
    <xf numFmtId="164" applyNumberFormat="1" fontId="37" applyFont="1" fillId="48" applyFill="1" borderId="31" applyBorder="1" xfId="0" applyAlignment="1"/>
    <xf numFmtId="164" applyNumberFormat="1" fontId="37" applyFont="1" fillId="37" applyFill="1" borderId="31" applyBorder="1" xfId="0" applyAlignment="1"/>
    <xf numFmtId="164" applyNumberFormat="1" fontId="37" applyFont="1" fillId="45" applyFill="1" borderId="31" applyBorder="1" xfId="0" applyAlignment="1"/>
    <xf numFmtId="164" applyNumberFormat="1" fontId="37" applyFont="1" fillId="61" applyFill="1" borderId="31" applyBorder="1" xfId="0" applyAlignment="1"/>
    <xf numFmtId="164" applyNumberFormat="1" fontId="37" applyFont="1" fillId="50" applyFill="1" borderId="31" applyBorder="1" xfId="0" applyAlignment="1"/>
    <xf numFmtId="164" applyNumberFormat="1" fontId="37" applyFont="1" fillId="62" applyFill="1" borderId="31" applyBorder="1" xfId="0" applyAlignment="1"/>
    <xf numFmtId="165" applyNumberFormat="1" fontId="28" applyFont="1" fillId="38" applyFill="1" borderId="31" applyBorder="1" xfId="0" applyAlignment="1">
      <alignment horizontal="right"/>
    </xf>
    <xf numFmtId="165" applyNumberFormat="1" fontId="38" applyFont="1" fillId="38" applyFill="1" borderId="31" applyBorder="1" xfId="0" applyAlignment="1">
      <alignment horizontal="right"/>
    </xf>
    <xf numFmtId="164" applyNumberFormat="1" fontId="37" applyFont="1" fillId="40" applyFill="1" borderId="31" applyBorder="1" xfId="0" applyAlignment="1"/>
    <xf numFmtId="164" applyNumberFormat="1" fontId="37" applyFont="1" fillId="38" applyFill="1" borderId="24" applyBorder="1" xfId="0"/>
    <xf numFmtId="164" applyNumberFormat="1" fontId="3" applyFont="1" fillId="38" applyFill="1" borderId="24" applyBorder="1" xfId="0"/>
    <xf numFmtId="164" applyNumberFormat="1" fontId="4" applyFont="1" fillId="38" applyFill="1" borderId="24" applyBorder="1" xfId="0"/>
    <xf numFmtId="164" applyNumberFormat="1" fontId="1" applyFont="1" fillId="40" applyFill="1" borderId="2" applyBorder="1" xfId="0" applyAlignment="1"/>
    <xf numFmtId="164" applyNumberFormat="1" fontId="1" applyFont="1" fillId="38" applyFill="1" borderId="2" applyBorder="1" xfId="0"/>
    <xf numFmtId="164" applyNumberFormat="1" fontId="1" applyFont="1" fillId="38" applyFill="1" borderId="1" applyBorder="1" xfId="0"/>
    <xf numFmtId="164" applyNumberFormat="1" fontId="1" applyFont="1" fillId="63" applyFill="1" borderId="14" applyBorder="1" xfId="0" applyAlignment="1"/>
    <xf numFmtId="164" applyNumberFormat="1" fontId="1" applyFont="1" fillId="38" applyFill="1" borderId="14" applyBorder="1" xfId="0"/>
    <xf numFmtId="164" applyNumberFormat="1" fontId="1" applyFont="1" fillId="47" applyFill="1" borderId="14" applyBorder="1" xfId="0" applyAlignment="1"/>
    <xf numFmtId="164" applyNumberFormat="1" fontId="1" applyFont="1" fillId="38" applyFill="1" borderId="14" applyBorder="1" xfId="0" applyAlignment="1"/>
    <xf numFmtId="164" applyNumberFormat="1" fontId="1" applyFont="1" fillId="64" applyFill="1" borderId="14" applyBorder="1" xfId="0" applyAlignment="1"/>
    <xf numFmtId="164" applyNumberFormat="1" fontId="37" applyFont="1" fillId="58" applyFill="1" borderId="14" applyBorder="1" xfId="0" applyAlignment="1"/>
    <xf numFmtId="164" applyNumberFormat="1" fontId="37" applyFont="1" fillId="38" applyFill="1" borderId="14" applyBorder="1" xfId="0" applyAlignment="1"/>
    <xf numFmtId="164" applyNumberFormat="1" fontId="37" applyFont="1" fillId="65" applyFill="1" borderId="14" applyBorder="1" xfId="0" applyAlignment="1"/>
    <xf numFmtId="164" applyNumberFormat="1" fontId="37" applyFont="1" fillId="63" applyFill="1" borderId="14" applyBorder="1" xfId="0" applyAlignment="1"/>
    <xf numFmtId="164" applyNumberFormat="1" fontId="37" applyFont="1" fillId="60" applyFill="1" borderId="14" applyBorder="1" xfId="0" applyAlignment="1"/>
    <xf numFmtId="164" applyNumberFormat="1" fontId="37" applyFont="1" fillId="66" applyFill="1" borderId="14" applyBorder="1" xfId="0" applyAlignment="1"/>
    <xf numFmtId="164" applyNumberFormat="1" fontId="37" applyFont="1" fillId="67" applyFill="1" borderId="14" applyBorder="1" xfId="0" applyAlignment="1"/>
    <xf numFmtId="164" applyNumberFormat="1" fontId="37" applyFont="1" fillId="68" applyFill="1" borderId="14" applyBorder="1" xfId="0" applyAlignment="1"/>
    <xf numFmtId="164" applyNumberFormat="1" fontId="37" applyFont="1" fillId="69" applyFill="1" borderId="14" applyBorder="1" xfId="0" applyAlignment="1"/>
    <xf numFmtId="164" applyNumberFormat="1" fontId="37" applyFont="1" fillId="57" applyFill="1" borderId="14" applyBorder="1" xfId="0" applyAlignment="1"/>
    <xf numFmtId="164" applyNumberFormat="1" fontId="37" applyFont="1" fillId="70" applyFill="1" borderId="14" applyBorder="1" xfId="0" applyAlignment="1"/>
    <xf numFmtId="164" applyNumberFormat="1" fontId="37" applyFont="1" fillId="71" applyFill="1" borderId="14" applyBorder="1" xfId="0" applyAlignment="1"/>
    <xf numFmtId="164" applyNumberFormat="1" fontId="37" applyFont="1" fillId="72" applyFill="1" borderId="14" applyBorder="1" xfId="0" applyAlignment="1"/>
    <xf numFmtId="164" applyNumberFormat="1" fontId="37" applyFont="1" fillId="73" applyFill="1" borderId="14" applyBorder="1" xfId="0" applyAlignment="1"/>
    <xf numFmtId="164" applyNumberFormat="1" fontId="37" applyFont="1" fillId="74" applyFill="1" borderId="14" applyBorder="1" xfId="0" applyAlignment="1"/>
    <xf numFmtId="164" applyNumberFormat="1" fontId="37" applyFont="1" fillId="50" applyFill="1" borderId="14" applyBorder="1" xfId="0" applyAlignment="1"/>
    <xf numFmtId="164" applyNumberFormat="1" fontId="37" applyFont="1" fillId="50" applyFill="1" borderId="23" applyBorder="1" xfId="0" applyAlignment="1"/>
    <xf numFmtId="164" applyNumberFormat="1" fontId="37" applyFont="1" fillId="40" applyFill="1" borderId="23" applyBorder="1" xfId="0" applyAlignment="1"/>
    <xf numFmtId="164" applyNumberFormat="1" fontId="1" applyFont="1" fillId="72" applyFill="1" borderId="2" applyBorder="1" xfId="0" applyAlignment="1"/>
    <xf numFmtId="164" applyNumberFormat="1" fontId="1" applyFont="1" fillId="75" applyFill="1" borderId="62" applyBorder="1" xfId="0"/>
    <xf numFmtId="164" applyNumberFormat="1" fontId="1" applyFont="1" fillId="75" applyFill="1" borderId="2" applyBorder="1" xfId="0"/>
    <xf numFmtId="164" applyNumberFormat="1" fontId="1" applyFont="1" fillId="75" applyFill="1" borderId="64" applyBorder="1" xfId="0"/>
    <xf numFmtId="164" applyNumberFormat="1" fontId="4" applyFont="1" fillId="75" applyFill="1" borderId="30" applyBorder="1" xfId="0"/>
    <xf numFmtId="164" applyNumberFormat="1" fontId="1" applyFont="1" fillId="75" applyFill="1" borderId="10" applyBorder="1" xfId="0"/>
    <xf numFmtId="164" applyNumberFormat="1" fontId="1" applyFont="1" fillId="72" applyFill="1" borderId="14" applyBorder="1" xfId="0" applyAlignment="1"/>
    <xf numFmtId="164" applyNumberFormat="1" fontId="4" applyFont="1" fillId="75" applyFill="1" borderId="65" applyBorder="1" xfId="0"/>
    <xf numFmtId="164" applyNumberFormat="1" fontId="1" applyFont="1" fillId="75" applyFill="1" borderId="65" applyBorder="1" xfId="0"/>
    <xf numFmtId="164" applyNumberFormat="1" fontId="1" applyFont="1" fillId="75" applyFill="1" borderId="46" applyBorder="1" xfId="0"/>
    <xf numFmtId="164" applyNumberFormat="1" fontId="1" applyFont="1" fillId="75" applyFill="1" borderId="14" applyBorder="1" xfId="0"/>
    <xf numFmtId="164" applyNumberFormat="1" fontId="4" applyFont="1" fillId="75" applyFill="1" borderId="14" applyBorder="1" xfId="0"/>
    <xf numFmtId="164" applyNumberFormat="1" fontId="37" applyFont="1" fillId="75" applyFill="1" borderId="46" applyBorder="1" xfId="0"/>
    <xf numFmtId="164" applyNumberFormat="1" fontId="37" applyFont="1" fillId="75" applyFill="1" borderId="14" applyBorder="1" xfId="0"/>
    <xf numFmtId="164" applyNumberFormat="1" fontId="37" applyFont="1" fillId="76" applyFill="1" borderId="14" applyBorder="1" xfId="0" applyAlignment="1"/>
    <xf numFmtId="164" applyNumberFormat="1" fontId="37" applyFont="1" fillId="41" applyFill="1" borderId="14" applyBorder="1" xfId="0" applyAlignment="1"/>
    <xf numFmtId="164" applyNumberFormat="1" fontId="37" applyFont="1" fillId="77" applyFill="1" borderId="14" applyBorder="1" xfId="0" applyAlignment="1"/>
    <xf numFmtId="164" applyNumberFormat="1" fontId="37" applyFont="1" fillId="38" applyFill="1" borderId="23" applyBorder="1" xfId="0" applyAlignment="1"/>
    <xf numFmtId="164" applyNumberFormat="1" fontId="37" applyFont="1" fillId="45" applyFill="1" borderId="10" applyBorder="1" xfId="0" applyAlignment="1">
      <alignment horizontal="center"/>
    </xf>
    <xf numFmtId="164" applyNumberFormat="1" fontId="1" applyFont="1" fillId="75" applyFill="1" borderId="36" applyBorder="1" xfId="0"/>
    <xf numFmtId="164" applyNumberFormat="1" fontId="37" applyFont="1" fillId="75" applyFill="1" borderId="2" applyBorder="1" xfId="0" applyAlignment="1">
      <alignment horizontal="center"/>
    </xf>
    <xf numFmtId="164" applyNumberFormat="1" fontId="37" applyFont="1" fillId="75" applyFill="1" borderId="64" applyBorder="1" xfId="0" applyAlignment="1">
      <alignment horizontal="center"/>
    </xf>
    <xf numFmtId="0" fontId="51" applyFont="1" fillId="59" applyFill="1" borderId="42" applyBorder="1" xfId="0"/>
    <xf numFmtId="164" applyNumberFormat="1" fontId="37" applyFont="1" fillId="59" applyFill="1" borderId="62" applyBorder="1" xfId="0"/>
    <xf numFmtId="164" applyNumberFormat="1" fontId="37" applyFont="1" fillId="45" applyFill="1" borderId="31" applyBorder="1" xfId="0" applyAlignment="1">
      <alignment horizontal="center"/>
    </xf>
    <xf numFmtId="164" applyNumberFormat="1" fontId="1" applyFont="1" fillId="75" applyFill="1" borderId="44" applyBorder="1" xfId="0" applyAlignment="1">
      <alignment horizontal="center"/>
    </xf>
    <xf numFmtId="164" applyNumberFormat="1" fontId="37" applyFont="1" fillId="75" applyFill="1" borderId="14" applyBorder="1" xfId="0" applyAlignment="1">
      <alignment horizontal="center"/>
    </xf>
    <xf numFmtId="164" applyNumberFormat="1" fontId="37" applyFont="1" fillId="75" applyFill="1" borderId="77" applyBorder="1" xfId="0" applyAlignment="1">
      <alignment horizontal="center"/>
    </xf>
    <xf numFmtId="164" applyNumberFormat="1" fontId="37" applyFont="1" fillId="59" applyFill="1" borderId="44" applyBorder="1" xfId="0"/>
    <xf numFmtId="164" applyNumberFormat="1" fontId="37" applyFont="1" fillId="59" applyFill="1" borderId="46" applyBorder="1" xfId="0"/>
    <xf numFmtId="164" applyNumberFormat="1" fontId="1" applyFont="1" fillId="75" applyFill="1" borderId="91" applyBorder="1" xfId="0" applyAlignment="1">
      <alignment horizontal="center"/>
    </xf>
    <xf numFmtId="164" applyNumberFormat="1" fontId="37" applyFont="1" fillId="75" applyFill="1" borderId="77" applyBorder="1" xfId="0"/>
    <xf numFmtId="164" applyNumberFormat="1" fontId="1" applyFont="1" fillId="75" applyFill="1" borderId="44" applyBorder="1" xfId="0"/>
    <xf numFmtId="0" fontId="57" applyFont="1" fillId="78" applyFill="1" borderId="0" xfId="0"/>
    <xf numFmtId="164" applyNumberFormat="1" fontId="37" applyFont="1" fillId="79" applyFill="1" borderId="31" applyBorder="1" xfId="0" applyAlignment="1">
      <alignment horizontal="center"/>
    </xf>
    <xf numFmtId="164" applyNumberFormat="1" fontId="1" applyFont="1" fillId="75" applyFill="1" borderId="44" applyBorder="1" xfId="0" applyAlignment="1"/>
    <xf numFmtId="164" applyNumberFormat="1" fontId="37" applyFont="1" fillId="79" applyFill="1" borderId="24" applyBorder="1" xfId="0" applyAlignment="1">
      <alignment horizontal="center"/>
    </xf>
    <xf numFmtId="164" applyNumberFormat="1" fontId="1" applyFont="1" fillId="75" applyFill="1" borderId="92" applyBorder="1" xfId="0"/>
    <xf numFmtId="164" applyNumberFormat="1" fontId="37" applyFont="1" fillId="75" applyFill="1" borderId="23" applyBorder="1" xfId="0"/>
    <xf numFmtId="164" applyNumberFormat="1" fontId="37" applyFont="1" fillId="75" applyFill="1" borderId="93" applyBorder="1" xfId="0"/>
    <xf numFmtId="164" applyNumberFormat="1" fontId="37" applyFont="1" fillId="59" applyFill="1" borderId="92" applyBorder="1" xfId="0"/>
    <xf numFmtId="164" applyNumberFormat="1" fontId="37" applyFont="1" fillId="59" applyFill="1" borderId="85" applyBorder="1" xfId="0"/>
    <xf numFmtId="164" applyNumberFormat="1" fontId="37" applyFont="1" fillId="40" applyFill="1" borderId="2" applyBorder="1" xfId="0" applyAlignment="1">
      <alignment horizontal="center"/>
    </xf>
    <xf numFmtId="164" applyNumberFormat="1" fontId="1" applyFont="1" fillId="38" applyFill="1" borderId="2" applyBorder="1" xfId="0" applyAlignment="1">
      <alignment horizontal="center"/>
    </xf>
    <xf numFmtId="164" applyNumberFormat="1" fontId="37" applyFont="1" fillId="38" applyFill="1" borderId="2" applyBorder="1" xfId="0" applyAlignment="1">
      <alignment horizontal="center"/>
    </xf>
    <xf numFmtId="164" applyNumberFormat="1" fontId="37" applyFont="1" fillId="38" applyFill="1" borderId="1" applyBorder="1" xfId="0" applyAlignment="1">
      <alignment horizontal="center"/>
    </xf>
    <xf numFmtId="164" applyNumberFormat="1" fontId="1" applyFont="1" fillId="38" applyFill="1" borderId="14" applyBorder="1" xfId="0" applyAlignment="1">
      <alignment horizontal="center"/>
    </xf>
    <xf numFmtId="164" applyNumberFormat="1" fontId="37" applyFont="1" fillId="38" applyFill="1" borderId="14" applyBorder="1" xfId="0" applyAlignment="1">
      <alignment horizontal="center"/>
    </xf>
    <xf numFmtId="164" applyNumberFormat="1" fontId="1" applyFont="1" fillId="38" applyFill="1" borderId="14" applyBorder="1" xfId="0" applyAlignment="1">
      <alignment horizontal="left"/>
    </xf>
    <xf numFmtId="164" applyNumberFormat="1" fontId="37" applyFont="1" fillId="38" applyFill="1" borderId="23" applyBorder="1" xfId="0" applyAlignment="1">
      <alignment horizontal="center"/>
    </xf>
    <xf numFmtId="164" applyNumberFormat="1" fontId="1" applyFont="1" fillId="38" applyFill="1" borderId="23" applyBorder="1" xfId="0"/>
    <xf numFmtId="164" applyNumberFormat="1" fontId="1" applyFont="1" fillId="72" applyFill="1" borderId="31" applyBorder="1" xfId="0"/>
    <xf numFmtId="164" applyNumberFormat="1" fontId="1" applyFont="1" fillId="78" applyFill="1" borderId="31" applyBorder="1" xfId="0"/>
    <xf numFmtId="164" applyNumberFormat="1" fontId="37" applyFont="1" fillId="80" applyFill="1" borderId="14" applyBorder="1" xfId="0"/>
    <xf numFmtId="164" applyNumberFormat="1" fontId="37" applyFont="1" fillId="80" applyFill="1" borderId="47" applyBorder="1" xfId="0"/>
    <xf numFmtId="164" applyNumberFormat="1" fontId="37" applyFont="1" fillId="72" applyFill="1" borderId="14" applyBorder="1" xfId="0"/>
    <xf numFmtId="164" applyNumberFormat="1" fontId="37" applyFont="1" fillId="72" applyFill="1" borderId="21" applyBorder="1" xfId="0"/>
    <xf numFmtId="164" applyNumberFormat="1" fontId="37" applyFont="1" fillId="80" applyFill="1" borderId="21" applyBorder="1" xfId="0"/>
    <xf numFmtId="164" applyNumberFormat="1" fontId="37" applyFont="1" fillId="80" applyFill="1" borderId="96" applyBorder="1" xfId="0"/>
    <xf numFmtId="164" applyNumberFormat="1" fontId="37" applyFont="1" fillId="72" applyFill="1" borderId="2" applyBorder="1" xfId="0" applyAlignment="1"/>
    <xf numFmtId="164" applyNumberFormat="1" fontId="37" applyFont="1" fillId="80" applyFill="1" borderId="2" applyBorder="1" xfId="0"/>
    <xf numFmtId="164" applyNumberFormat="1" fontId="37" applyFont="1" fillId="80" applyFill="1" borderId="63" applyBorder="1" xfId="0"/>
    <xf numFmtId="164" applyNumberFormat="1" fontId="37" applyFont="1" fillId="72" applyFill="1" borderId="23" applyBorder="1" xfId="0" applyAlignment="1"/>
    <xf numFmtId="164" applyNumberFormat="1" fontId="37" applyFont="1" fillId="80" applyFill="1" borderId="23" applyBorder="1" xfId="0"/>
    <xf numFmtId="164" applyNumberFormat="1" fontId="37" applyFont="1" fillId="80" applyFill="1" borderId="54" applyBorder="1" xfId="0"/>
    <xf numFmtId="164" applyNumberFormat="1" fontId="37" applyFont="1" fillId="38" applyFill="1" borderId="62" applyBorder="1" xfId="0"/>
    <xf numFmtId="164" applyNumberFormat="1" fontId="37" applyFont="1" fillId="38" applyFill="1" borderId="46" applyBorder="1" xfId="0"/>
    <xf numFmtId="164" applyNumberFormat="1" fontId="5" applyFont="1" fillId="38" applyFill="1" borderId="1" applyBorder="1" xfId="0"/>
    <xf numFmtId="164" applyNumberFormat="1" fontId="37" applyFont="1" fillId="38" applyFill="1" borderId="21" applyBorder="1" xfId="0" applyAlignment="1">
      <alignment horizontal="center"/>
    </xf>
    <xf numFmtId="164" applyNumberFormat="1" fontId="1" applyFont="1" fillId="38" applyFill="1" borderId="21" applyBorder="1" xfId="0" applyAlignment="1"/>
    <xf numFmtId="164" applyNumberFormat="1" fontId="37" applyFont="1" fillId="38" applyFill="1" borderId="21" applyBorder="1" xfId="0"/>
    <xf numFmtId="164" applyNumberFormat="1" fontId="37" applyFont="1" fillId="38" applyFill="1" borderId="97" applyBorder="1" xfId="0"/>
    <xf numFmtId="164" applyNumberFormat="1" fontId="37" applyFont="1" fillId="38" applyFill="1" borderId="20" applyBorder="1" xfId="0"/>
    <xf numFmtId="164" applyNumberFormat="1" fontId="37" applyFont="1" fillId="60" applyFill="1" borderId="14" applyBorder="1" xfId="0" applyAlignment="1">
      <alignment horizontal="center"/>
    </xf>
    <xf numFmtId="164" applyNumberFormat="1" fontId="37" applyFont="1" fillId="81" applyFill="1" borderId="14" applyBorder="1" xfId="0" applyAlignment="1"/>
    <xf numFmtId="164" applyNumberFormat="1" fontId="37" applyFont="1" fillId="38" applyFill="1" borderId="46" applyBorder="1" xfId="0" applyAlignment="1"/>
    <xf numFmtId="164" applyNumberFormat="1" fontId="1" applyFont="1" fillId="38" applyFill="1" borderId="23" applyBorder="1" xfId="0" applyAlignment="1"/>
    <xf numFmtId="164" applyNumberFormat="1" fontId="37" applyFont="1" fillId="38" applyFill="1" borderId="85" applyBorder="1" xfId="0"/>
    <xf numFmtId="164" applyNumberFormat="1" fontId="37" applyFont="1" fillId="40" applyFill="1" borderId="2" applyBorder="1" xfId="0" applyAlignment="1"/>
    <xf numFmtId="164" applyNumberFormat="1" fontId="37" applyFont="1" fillId="46" applyFill="1" borderId="14" applyBorder="1" xfId="0" applyAlignment="1">
      <alignment horizontal="center"/>
    </xf>
    <xf numFmtId="164" applyNumberFormat="1" fontId="37" applyFont="1" fillId="79" applyFill="1" borderId="14" applyBorder="1" xfId="0" applyAlignment="1"/>
    <xf numFmtId="164" applyNumberFormat="1" fontId="37" applyFont="1" fillId="46" applyFill="1" borderId="23" applyBorder="1" xfId="0" applyAlignment="1">
      <alignment horizontal="center"/>
    </xf>
    <xf numFmtId="164" applyNumberFormat="1" fontId="37" applyFont="1" fillId="79" applyFill="1" borderId="23" applyBorder="1" xfId="0" applyAlignment="1"/>
    <xf numFmtId="164" applyNumberFormat="1" fontId="37" applyFont="1" fillId="45" applyFill="1" borderId="2" applyBorder="1" xfId="0" applyAlignment="1"/>
    <xf numFmtId="164" applyNumberFormat="1" fontId="37" applyFont="1" fillId="45" applyFill="1" borderId="14" applyBorder="1" xfId="0" applyAlignment="1"/>
    <xf numFmtId="164" applyNumberFormat="1" fontId="37" applyFont="1" fillId="42" applyFill="1" borderId="23" applyBorder="1" xfId="0" applyAlignment="1"/>
    <xf numFmtId="164" applyNumberFormat="1" fontId="37" applyFont="1" fillId="40" applyFill="1" borderId="63" applyBorder="1" xfId="0" applyAlignment="1"/>
    <xf numFmtId="164" applyNumberFormat="1" fontId="37" applyFont="1" fillId="38" applyFill="1" borderId="8" applyBorder="1" xfId="0"/>
    <xf numFmtId="164" applyNumberFormat="1" fontId="37" applyFont="1" fillId="38" applyFill="1" borderId="47" applyBorder="1" xfId="0"/>
    <xf numFmtId="164" applyNumberFormat="1" fontId="37" applyFont="1" fillId="40" applyFill="1" borderId="62" applyBorder="1" xfId="0" applyAlignment="1"/>
    <xf numFmtId="164" applyNumberFormat="1" fontId="37" applyFont="1" fillId="40" applyFill="1" borderId="47" applyBorder="1" xfId="0" applyAlignment="1"/>
    <xf numFmtId="164" applyNumberFormat="1" fontId="37" applyFont="1" fillId="40" applyFill="1" borderId="46" applyBorder="1" xfId="0" applyAlignment="1"/>
    <xf numFmtId="164" applyNumberFormat="1" fontId="37" applyFont="1" fillId="72" applyFill="1" borderId="47" applyBorder="1" xfId="0" applyAlignment="1"/>
    <xf numFmtId="164" applyNumberFormat="1" fontId="37" applyFont="1" fillId="72" applyFill="1" borderId="46" applyBorder="1" xfId="0" applyAlignment="1"/>
    <xf numFmtId="164" applyNumberFormat="1" fontId="37" applyFont="1" fillId="79" applyFill="1" borderId="46" applyBorder="1" xfId="0" applyAlignment="1"/>
    <xf numFmtId="164" applyNumberFormat="1" fontId="37" applyFont="1" fillId="72" applyFill="1" borderId="54" applyBorder="1" xfId="0" applyAlignment="1"/>
    <xf numFmtId="164" applyNumberFormat="1" fontId="37" applyFont="1" fillId="40" applyFill="1" borderId="54" applyBorder="1" xfId="0" applyAlignment="1"/>
    <xf numFmtId="164" applyNumberFormat="1" fontId="37" applyFont="1" fillId="79" applyFill="1" borderId="85" applyBorder="1" xfId="0" applyAlignment="1"/>
    <xf numFmtId="164" applyNumberFormat="1" fontId="36" applyFont="1" fillId="0" applyFill="1" borderId="2" applyBorder="1" xfId="0" applyAlignment="1"/>
    <xf numFmtId="164" applyNumberFormat="1" fontId="36" applyFont="1" fillId="0" applyFill="1" borderId="2" applyBorder="1" xfId="0"/>
    <xf numFmtId="164" applyNumberFormat="1" fontId="36" applyFont="1" fillId="0" applyFill="1" borderId="63" applyBorder="1" xfId="0"/>
    <xf numFmtId="164" applyNumberFormat="1" fontId="36" applyFont="1" fillId="0" applyFill="1" borderId="14" applyBorder="1" xfId="0" applyAlignment="1"/>
    <xf numFmtId="164" applyNumberFormat="1" fontId="36" applyFont="1" fillId="0" applyFill="1" borderId="14" applyBorder="1" xfId="0"/>
    <xf numFmtId="164" applyNumberFormat="1" fontId="36" applyFont="1" fillId="0" applyFill="1" borderId="47" applyBorder="1" xfId="0"/>
    <xf numFmtId="164" applyNumberFormat="1" fontId="36" applyFont="1" fillId="0" applyFill="1" borderId="47" applyBorder="1" xfId="0" applyAlignment="1"/>
    <xf numFmtId="164" applyNumberFormat="1" fontId="36" applyFont="1" fillId="0" applyFill="1" borderId="23" applyBorder="1" xfId="0" applyAlignment="1"/>
    <xf numFmtId="164" applyNumberFormat="1" fontId="36" applyFont="1" fillId="0" applyFill="1" borderId="23" applyBorder="1" xfId="0"/>
    <xf numFmtId="164" applyNumberFormat="1" fontId="36" applyFont="1" fillId="0" applyFill="1" borderId="54" applyBorder="1" xfId="0"/>
    <xf numFmtId="164" applyNumberFormat="1" fontId="37" applyFont="1" fillId="78" applyFill="1" borderId="31" applyBorder="1" xfId="0" applyAlignment="1">
      <alignment horizontal="center"/>
    </xf>
    <xf numFmtId="164" applyNumberFormat="1" fontId="37" applyFont="1" fillId="78" applyFill="1" borderId="31" applyBorder="1" xfId="0"/>
    <xf numFmtId="164" applyNumberFormat="1" fontId="37" applyFont="1" fillId="78" applyFill="1" borderId="0" xfId="0"/>
    <xf numFmtId="164" applyNumberFormat="1" fontId="37" applyFont="1" fillId="78" applyFill="1" borderId="31" applyBorder="1" xfId="0" applyAlignment="1"/>
    <xf numFmtId="165" applyNumberFormat="1" fontId="25" applyFont="1" fillId="78" applyFill="1" borderId="31" applyBorder="1" xfId="0" applyAlignment="1">
      <alignment horizontal="right"/>
    </xf>
    <xf numFmtId="164" applyNumberFormat="1" fontId="37" applyFont="1" fillId="78" applyFill="1" borderId="24" applyBorder="1" xfId="0" applyAlignment="1">
      <alignment horizontal="center"/>
    </xf>
    <xf numFmtId="164" applyNumberFormat="1" fontId="37" applyFont="1" fillId="78" applyFill="1" borderId="24" applyBorder="1" xfId="0"/>
    <xf numFmtId="164" applyNumberFormat="1" fontId="37" applyFont="1" fillId="78" applyFill="1" borderId="24" applyBorder="1" xfId="0" applyAlignment="1"/>
    <xf numFmtId="4" applyNumberFormat="1" fontId="37" applyFont="1" fillId="45" applyFill="1" borderId="2" applyBorder="1" xfId="0" applyAlignment="1">
      <alignment horizontal="right" wrapText="1"/>
    </xf>
    <xf numFmtId="4" applyNumberFormat="1" fontId="37" applyFont="1" fillId="45" applyFill="1" borderId="14" applyBorder="1" xfId="0" applyAlignment="1">
      <alignment horizontal="right" wrapText="1"/>
    </xf>
    <xf numFmtId="4" applyNumberFormat="1" fontId="37" applyFont="1" fillId="42" applyFill="1" borderId="14" applyBorder="1" xfId="0" applyAlignment="1">
      <alignment horizontal="right" wrapText="1"/>
    </xf>
    <xf numFmtId="4" applyNumberFormat="1" fontId="37" applyFont="1" fillId="40" applyFill="1" borderId="14" applyBorder="1" xfId="0" applyAlignment="1">
      <alignment horizontal="right" wrapText="1"/>
    </xf>
    <xf numFmtId="0" fontId="51" applyFont="1" fillId="42" applyFill="1" borderId="14" applyBorder="1" xfId="0" applyAlignment="1">
      <alignment wrapText="1"/>
    </xf>
    <xf numFmtId="0" fontId="51" applyFont="1" fillId="40" applyFill="1" borderId="14" applyBorder="1" xfId="0" applyAlignment="1">
      <alignment wrapText="1"/>
    </xf>
    <xf numFmtId="0" fontId="37" applyFont="1" fillId="40" applyFill="1" borderId="14" applyBorder="1" xfId="0" applyAlignment="1">
      <alignment horizontal="right" wrapText="1"/>
    </xf>
    <xf numFmtId="4" applyNumberFormat="1" fontId="37" applyFont="1" fillId="42" applyFill="1" borderId="23" applyBorder="1" xfId="0" applyAlignment="1">
      <alignment horizontal="right" wrapText="1"/>
    </xf>
    <xf numFmtId="4" applyNumberFormat="1" fontId="37" applyFont="1" fillId="40" applyFill="1" borderId="23" applyBorder="1" xfId="0" applyAlignment="1">
      <alignment horizontal="right" wrapText="1"/>
    </xf>
    <xf numFmtId="164" applyNumberFormat="1" fontId="36" applyFont="1" fillId="38" applyFill="1" borderId="1" applyBorder="1" xfId="0"/>
    <xf numFmtId="164" applyNumberFormat="1" fontId="37" applyFont="1" fillId="82" applyFill="1" borderId="14" applyBorder="1" xfId="0" applyAlignment="1"/>
    <xf numFmtId="164" applyNumberFormat="1" fontId="37" applyFont="1" fillId="55" applyFill="1" borderId="14" applyBorder="1" xfId="0" applyAlignment="1"/>
    <xf numFmtId="164" applyNumberFormat="1" fontId="37" applyFont="1" fillId="55" applyFill="1" borderId="23" applyBorder="1" xfId="0" applyAlignment="1"/>
    <xf numFmtId="164" applyNumberFormat="1" fontId="37" applyFont="1" fillId="47" applyFill="1" borderId="2" applyBorder="1" xfId="0" applyAlignment="1"/>
    <xf numFmtId="164" applyNumberFormat="1" fontId="37" applyFont="1" fillId="83" applyFill="1" borderId="2" applyBorder="1" xfId="0" applyAlignment="1"/>
    <xf numFmtId="164" applyNumberFormat="1" fontId="37" applyFont="1" fillId="83" applyFill="1" borderId="14" applyBorder="1" xfId="0" applyAlignment="1"/>
    <xf numFmtId="164" applyNumberFormat="1" fontId="37" applyFont="1" fillId="65" applyFill="1" borderId="23" applyBorder="1" xfId="0" applyAlignment="1"/>
    <xf numFmtId="164" applyNumberFormat="1" fontId="37" applyFont="1" fillId="68" applyFill="1" borderId="23" applyBorder="1" xfId="0" applyAlignment="1"/>
    <xf numFmtId="0" fontId="51" applyFont="1" fillId="38" applyFill="1" borderId="2" applyBorder="1" xfId="0" applyAlignment="1">
      <alignment wrapText="1"/>
    </xf>
    <xf numFmtId="0" fontId="51" applyFont="1" fillId="38" applyFill="1" borderId="14" applyBorder="1" xfId="0" applyAlignment="1">
      <alignment wrapText="1"/>
    </xf>
    <xf numFmtId="4" applyNumberFormat="1" fontId="37" applyFont="1" fillId="38" applyFill="1" borderId="14" applyBorder="1" xfId="0" applyAlignment="1">
      <alignment horizontal="right" wrapText="1"/>
    </xf>
    <xf numFmtId="4" applyNumberFormat="1" fontId="37" applyFont="1" fillId="38" applyFill="1" borderId="23" applyBorder="1" xfId="0" applyAlignment="1">
      <alignment horizontal="right" wrapText="1"/>
    </xf>
    <xf numFmtId="0" fontId="51" applyFont="1" fillId="38" applyFill="1" borderId="23" applyBorder="1" xfId="0" applyAlignment="1">
      <alignment wrapText="1"/>
    </xf>
    <xf numFmtId="164" applyNumberFormat="1" fontId="37" applyFont="1" fillId="42" applyFill="1" borderId="47" applyBorder="1" xfId="0" applyAlignment="1"/>
    <xf numFmtId="164" applyNumberFormat="1" fontId="37" applyFont="1" fillId="38" applyFill="1" borderId="54" applyBorder="1" xfId="0"/>
    <xf numFmtId="164" applyNumberFormat="1" fontId="49" applyFont="1" fillId="72" applyFill="1" borderId="14" applyBorder="1" xfId="0" applyAlignment="1"/>
    <xf numFmtId="164" applyNumberFormat="1" fontId="49" applyFont="1" fillId="38" applyFill="1" borderId="1" applyBorder="1" xfId="0"/>
    <xf numFmtId="4" applyNumberFormat="1" fontId="37" applyFont="1" fillId="45" applyFill="1" borderId="2" applyBorder="1" xfId="0" applyAlignment="1">
      <alignment horizontal="center" wrapText="1"/>
    </xf>
    <xf numFmtId="0" fontId="37" applyFont="1" fillId="45" applyFill="1" borderId="2" applyBorder="1" xfId="0" applyAlignment="1">
      <alignment horizontal="right" wrapText="1"/>
    </xf>
    <xf numFmtId="4" applyNumberFormat="1" fontId="37" applyFont="1" fillId="45" applyFill="1" borderId="14" applyBorder="1" xfId="0" applyAlignment="1">
      <alignment horizontal="center" wrapText="1"/>
    </xf>
    <xf numFmtId="0" fontId="37" applyFont="1" fillId="45" applyFill="1" borderId="14" applyBorder="1" xfId="0" applyAlignment="1">
      <alignment horizontal="right" wrapText="1"/>
    </xf>
    <xf numFmtId="0" fontId="37" applyFont="1" fillId="38" applyFill="1" borderId="14" applyBorder="1" xfId="0" applyAlignment="1">
      <alignment horizontal="right" wrapText="1"/>
    </xf>
    <xf numFmtId="4" applyNumberFormat="1" fontId="37" applyFont="1" fillId="68" applyFill="1" borderId="14" applyBorder="1" xfId="0" applyAlignment="1">
      <alignment horizontal="center" wrapText="1"/>
    </xf>
    <xf numFmtId="0" fontId="37" applyFont="1" fillId="79" applyFill="1" borderId="14" applyBorder="1" xfId="0" applyAlignment="1">
      <alignment horizontal="right" wrapText="1"/>
    </xf>
    <xf numFmtId="4" applyNumberFormat="1" fontId="37" applyFont="1" fillId="79" applyFill="1" borderId="14" applyBorder="1" xfId="0" applyAlignment="1">
      <alignment horizontal="right" wrapText="1"/>
    </xf>
    <xf numFmtId="4" applyNumberFormat="1" fontId="37" applyFont="1" fillId="68" applyFill="1" borderId="23" applyBorder="1" xfId="0" applyAlignment="1">
      <alignment horizontal="center" wrapText="1"/>
    </xf>
    <xf numFmtId="4" applyNumberFormat="1" fontId="37" applyFont="1" fillId="79" applyFill="1" borderId="23" applyBorder="1" xfId="0" applyAlignment="1">
      <alignment horizontal="right" wrapText="1"/>
    </xf>
    <xf numFmtId="169" applyNumberFormat="1" fontId="11" applyFont="1" fillId="38" applyFill="1" borderId="14" applyBorder="1" xfId="0" applyAlignment="1">
      <alignment horizontal="right"/>
    </xf>
    <xf numFmtId="164" applyNumberFormat="1" fontId="37" applyFont="1" fillId="38" applyFill="1" borderId="2" applyBorder="1" xfId="0" applyAlignment="1"/>
    <xf numFmtId="164" applyNumberFormat="1" fontId="37" applyFont="1" fillId="40" applyFill="1" borderId="21" applyBorder="1" xfId="0" applyAlignment="1">
      <alignment horizontal="center"/>
    </xf>
    <xf numFmtId="164" applyNumberFormat="1" fontId="37" applyFont="1" fillId="38" applyFill="1" borderId="21" applyBorder="1" xfId="0" applyAlignment="1"/>
    <xf numFmtId="164" applyNumberFormat="1" fontId="37" applyFont="1" fillId="72" applyFill="1" borderId="21" applyBorder="1" xfId="0" applyAlignment="1"/>
    <xf numFmtId="164" applyNumberFormat="1" fontId="37" applyFont="1" fillId="40" applyFill="1" borderId="127" applyBorder="1" xfId="0" applyAlignment="1">
      <alignment horizontal="center"/>
    </xf>
    <xf numFmtId="164" applyNumberFormat="1" fontId="37" applyFont="1" fillId="40" applyFill="1" borderId="127" applyBorder="1" xfId="0" applyAlignment="1"/>
    <xf numFmtId="164" applyNumberFormat="1" fontId="37" applyFont="1" fillId="40" applyFill="1" borderId="127" applyBorder="1" xfId="0"/>
    <xf numFmtId="164" applyNumberFormat="1" fontId="37" applyFont="1" fillId="79" applyFill="1" borderId="65" applyBorder="1" xfId="0" applyAlignment="1">
      <alignment horizontal="center"/>
    </xf>
    <xf numFmtId="164" applyNumberFormat="1" fontId="37" applyFont="1" fillId="38" applyFill="1" borderId="65" applyBorder="1" xfId="0" applyAlignment="1"/>
    <xf numFmtId="164" applyNumberFormat="1" fontId="37" applyFont="1" fillId="38" applyFill="1" borderId="65" applyBorder="1" xfId="0"/>
    <xf numFmtId="164" applyNumberFormat="1" fontId="37" applyFont="1" fillId="38" applyFill="1" borderId="79" applyBorder="1" xfId="0"/>
    <xf numFmtId="164" applyNumberFormat="1" fontId="37" applyFont="1" fillId="58" applyFill="1" borderId="65" applyBorder="1" xfId="0" applyAlignment="1"/>
    <xf numFmtId="164" applyNumberFormat="1" fontId="37" applyFont="1" fillId="79" applyFill="1" borderId="23" applyBorder="1" xfId="0" applyAlignment="1">
      <alignment horizontal="center"/>
    </xf>
    <xf numFmtId="164" applyNumberFormat="1" fontId="47" applyFont="1" fillId="38" applyFill="1" borderId="23" applyBorder="1" xfId="0" applyAlignment="1"/>
    <xf numFmtId="164" applyNumberFormat="1" fontId="47" applyFont="1" fillId="38" applyFill="1" borderId="23" applyBorder="1" xfId="0"/>
    <xf numFmtId="164" applyNumberFormat="1" fontId="47" applyFont="1" fillId="38" applyFill="1" borderId="1" applyBorder="1" xfId="0"/>
    <xf numFmtId="164" applyNumberFormat="1" fontId="37" applyFont="1" fillId="58" applyFill="1" borderId="23" applyBorder="1" xfId="0" applyAlignment="1"/>
    <xf numFmtId="4" applyNumberFormat="1" fontId="37" applyFont="1" fillId="45" applyFill="1" borderId="47" applyBorder="1" xfId="0" applyAlignment="1">
      <alignment horizontal="center" wrapText="1"/>
    </xf>
    <xf numFmtId="0" fontId="51" applyFont="1" fillId="38" applyFill="1" borderId="63" applyBorder="1" xfId="0" applyAlignment="1">
      <alignment wrapText="1"/>
    </xf>
    <xf numFmtId="4" applyNumberFormat="1" fontId="37" applyFont="1" fillId="38" applyFill="1" borderId="47" applyBorder="1" xfId="0" applyAlignment="1">
      <alignment horizontal="center" wrapText="1"/>
    </xf>
    <xf numFmtId="0" fontId="51" applyFont="1" fillId="38" applyFill="1" borderId="47" applyBorder="1" xfId="0" applyAlignment="1">
      <alignment wrapText="1"/>
    </xf>
    <xf numFmtId="4" applyNumberFormat="1" fontId="37" applyFont="1" fillId="40" applyFill="1" borderId="47" applyBorder="1" xfId="0" applyAlignment="1">
      <alignment horizontal="center" wrapText="1"/>
    </xf>
    <xf numFmtId="4" applyNumberFormat="1" fontId="37" applyFont="1" fillId="42" applyFill="1" borderId="47" applyBorder="1" xfId="0" applyAlignment="1">
      <alignment horizontal="center" wrapText="1"/>
    </xf>
    <xf numFmtId="164" applyNumberFormat="1" fontId="37" applyFont="1" fillId="38" applyFill="1" borderId="43" applyBorder="1" xfId="0" applyAlignment="1">
      <alignment horizontal="center"/>
    </xf>
    <xf numFmtId="164" applyNumberFormat="1" fontId="37" applyFont="1" fillId="38" applyFill="1" borderId="1" applyBorder="1" xfId="0" applyAlignment="1"/>
    <xf numFmtId="164" applyNumberFormat="1" fontId="37" applyFont="1" fillId="72" applyFill="1" borderId="14" applyBorder="1" xfId="0" applyAlignment="1">
      <alignment horizontal="center"/>
    </xf>
    <xf numFmtId="164" applyNumberFormat="1" fontId="37" applyFont="1" fillId="72" applyFill="1" borderId="23" applyBorder="1" xfId="0" applyAlignment="1">
      <alignment horizontal="center"/>
    </xf>
    <xf numFmtId="164" applyNumberFormat="1" fontId="37" applyFont="1" fillId="38" applyFill="1" borderId="34" applyBorder="1" xfId="0" applyAlignment="1"/>
    <xf numFmtId="164" applyNumberFormat="1" fontId="37" applyFont="1" fillId="38" applyFill="1" borderId="62" applyBorder="1" xfId="0" applyAlignment="1">
      <alignment horizontal="center"/>
    </xf>
    <xf numFmtId="164" applyNumberFormat="1" fontId="37" applyFont="1" fillId="38" applyFill="1" borderId="63" applyBorder="1" xfId="0"/>
    <xf numFmtId="4" applyNumberFormat="1" fontId="37" applyFont="1" fillId="38" applyFill="1" borderId="14" applyBorder="1" xfId="0" applyAlignment="1">
      <alignment horizontal="center" wrapText="1"/>
    </xf>
    <xf numFmtId="164" applyNumberFormat="1" fontId="37" applyFont="1" fillId="38" applyFill="1" borderId="46" applyBorder="1" xfId="0" applyAlignment="1">
      <alignment horizontal="center"/>
    </xf>
    <xf numFmtId="0" fontId="37" applyFont="1" fillId="38" applyFill="1" borderId="14" applyBorder="1" xfId="0" applyAlignment="1">
      <alignment horizontal="center" wrapText="1"/>
    </xf>
    <xf numFmtId="164" applyNumberFormat="1" fontId="37" applyFont="1" fillId="38" applyFill="1" borderId="45" applyBorder="1" xfId="0" applyAlignment="1">
      <alignment horizontal="center"/>
    </xf>
    <xf numFmtId="164" applyNumberFormat="1" fontId="37" applyFont="1" fillId="38" applyFill="1" borderId="55" applyBorder="1" xfId="0" applyAlignment="1"/>
    <xf numFmtId="164" applyNumberFormat="1" fontId="37" applyFont="1" fillId="38" applyFill="1" borderId="85" applyBorder="1" xfId="0" applyAlignment="1">
      <alignment horizontal="center"/>
    </xf>
    <xf numFmtId="164" applyNumberFormat="1" fontId="37" applyFont="1" fillId="75" applyFill="1" borderId="85" applyBorder="1" xfId="0"/>
    <xf numFmtId="164" applyNumberFormat="1" fontId="49" applyFont="1" fillId="38" applyFill="1" borderId="46" applyBorder="1" xfId="0" applyAlignment="1">
      <alignment horizontal="center"/>
    </xf>
    <xf numFmtId="164" applyNumberFormat="1" fontId="37" applyFont="1" fillId="38" applyFill="1" borderId="85" applyBorder="1" xfId="0" applyAlignment="1"/>
    <xf numFmtId="164" applyNumberFormat="1" fontId="1" applyFont="1" fillId="72" applyFill="1" borderId="10" applyBorder="1" xfId="0" applyAlignment="1"/>
    <xf numFmtId="164" applyNumberFormat="1" fontId="1" applyFont="1" fillId="72" applyFill="1" borderId="31" applyBorder="1" xfId="0" applyAlignment="1"/>
    <xf numFmtId="164" applyNumberFormat="1" fontId="37" applyFont="1" fillId="72" applyFill="1" borderId="31" applyBorder="1" xfId="0" applyAlignment="1"/>
    <xf numFmtId="164" applyNumberFormat="1" fontId="37" applyFont="1" fillId="72" applyFill="1" borderId="24" applyBorder="1" xfId="0" applyAlignment="1"/>
    <xf numFmtId="164" applyNumberFormat="1" fontId="36" applyFont="1" fillId="38" applyFill="1" borderId="14" applyBorder="1" xfId="0" applyAlignment="1">
      <alignment horizontal="center"/>
    </xf>
    <xf numFmtId="164" applyNumberFormat="1" fontId="37" applyFont="1" fillId="68" applyFill="1" borderId="2" applyBorder="1" xfId="0" applyAlignment="1"/>
    <xf numFmtId="164" applyNumberFormat="1" fontId="37" applyFont="1" fillId="38" applyFill="1" borderId="8" applyBorder="1" xfId="0" applyAlignment="1"/>
    <xf numFmtId="164" applyNumberFormat="1" fontId="49" applyFont="1" fillId="38" applyFill="1" borderId="14" applyBorder="1" xfId="0" applyAlignment="1">
      <alignment horizontal="center"/>
    </xf>
    <xf numFmtId="4" applyNumberFormat="1" fontId="1" applyFont="1" fillId="73" applyFill="1" borderId="2" applyBorder="1" xfId="0" applyAlignment="1">
      <alignment horizontal="right"/>
    </xf>
    <xf numFmtId="4" applyNumberFormat="1" fontId="37" applyFont="1" fillId="73" applyFill="1" borderId="7" applyBorder="1" xfId="0" applyAlignment="1">
      <alignment horizontal="right" wrapText="1"/>
    </xf>
    <xf numFmtId="4" applyNumberFormat="1" fontId="1" applyFont="1" fillId="73" applyFill="1" borderId="14" applyBorder="1" xfId="0" applyAlignment="1">
      <alignment horizontal="right"/>
    </xf>
    <xf numFmtId="4" applyNumberFormat="1" fontId="37" applyFont="1" fillId="73" applyFill="1" borderId="25" applyBorder="1" xfId="0" applyAlignment="1">
      <alignment horizontal="right" wrapText="1"/>
    </xf>
    <xf numFmtId="4" applyNumberFormat="1" fontId="1" applyFont="1" fillId="40" applyFill="1" borderId="14" applyBorder="1" xfId="0" applyAlignment="1">
      <alignment horizontal="right"/>
    </xf>
    <xf numFmtId="4" applyNumberFormat="1" fontId="37" applyFont="1" fillId="68" applyFill="1" borderId="25" applyBorder="1" xfId="0" applyAlignment="1">
      <alignment horizontal="right" wrapText="1"/>
    </xf>
    <xf numFmtId="4" applyNumberFormat="1" fontId="1" applyFont="1" fillId="40" applyFill="1" borderId="23" applyBorder="1" xfId="0" applyAlignment="1">
      <alignment horizontal="right"/>
    </xf>
    <xf numFmtId="164" applyNumberFormat="1" fontId="1" applyFont="1" fillId="38" applyFill="1" borderId="62" applyBorder="1" xfId="0"/>
    <xf numFmtId="164" applyNumberFormat="1" fontId="1" applyFont="1" fillId="38" applyFill="1" borderId="34" applyBorder="1" xfId="0"/>
    <xf numFmtId="164" applyNumberFormat="1" fontId="1" applyFont="1" fillId="40" applyFill="1" borderId="14" applyBorder="1" xfId="0" applyAlignment="1"/>
    <xf numFmtId="164" applyNumberFormat="1" fontId="1" applyFont="1" fillId="38" applyFill="1" borderId="46" applyBorder="1" xfId="0"/>
    <xf numFmtId="164" applyNumberFormat="1" fontId="37" applyFont="1" fillId="84" applyFill="1" borderId="14" applyBorder="1" xfId="0" applyAlignment="1"/>
    <xf numFmtId="164" applyNumberFormat="1" fontId="37" applyFont="1" fillId="57" applyFill="1" borderId="2" applyBorder="1" xfId="0" applyAlignment="1"/>
    <xf numFmtId="164" applyNumberFormat="1" fontId="37" applyFont="1" fillId="40" applyFill="1" borderId="3" applyBorder="1" xfId="0" applyAlignment="1"/>
    <xf numFmtId="164" applyNumberFormat="1" fontId="37" applyFont="1" fillId="57" applyFill="1" borderId="23" applyBorder="1" xfId="0" applyAlignment="1"/>
    <xf numFmtId="164" applyNumberFormat="1" fontId="37" applyFont="1" fillId="69" applyFill="1" borderId="21" applyBorder="1" xfId="0" applyAlignment="1"/>
    <xf numFmtId="164" applyNumberFormat="1" fontId="37" applyFont="1" fillId="72" applyFill="1" borderId="142" applyBorder="1" xfId="0" applyAlignment="1"/>
    <xf numFmtId="164" applyNumberFormat="1" fontId="37" applyFont="1" fillId="72" applyFill="1" borderId="142" applyBorder="1" xfId="0"/>
    <xf numFmtId="164" applyNumberFormat="1" fontId="37" applyFont="1" fillId="72" applyFill="1" borderId="144" applyBorder="1" xfId="0" applyAlignment="1"/>
    <xf numFmtId="164" applyNumberFormat="1" fontId="37" applyFont="1" fillId="72" applyFill="1" borderId="144" applyBorder="1" xfId="0"/>
    <xf numFmtId="164" applyNumberFormat="1" fontId="37" applyFont="1" fillId="69" applyFill="1" borderId="65" applyBorder="1" xfId="0" applyAlignment="1"/>
    <xf numFmtId="164" applyNumberFormat="1" fontId="37" applyFont="1" fillId="38" applyFill="1" borderId="128" applyBorder="1" xfId="0"/>
    <xf numFmtId="164" applyNumberFormat="1" fontId="37" applyFont="1" fillId="69" applyFill="1" borderId="23" applyBorder="1" xfId="0" applyAlignment="1"/>
    <xf numFmtId="164" applyNumberFormat="1" fontId="47" applyFont="1" fillId="38" applyFill="1" borderId="14" applyBorder="1" xfId="0"/>
    <xf numFmtId="164" applyNumberFormat="1" fontId="5" applyFont="1" fillId="72" applyFill="1" borderId="14" applyBorder="1" xfId="0" applyAlignment="1"/>
    <xf numFmtId="164" applyNumberFormat="1" fontId="5" applyFont="1" fillId="38" applyFill="1" borderId="46" applyBorder="1" xfId="0"/>
    <xf numFmtId="164" applyNumberFormat="1" fontId="37" applyFont="1" fillId="58" applyFill="1" borderId="2" applyBorder="1" xfId="0" applyAlignment="1"/>
    <xf numFmtId="164" applyNumberFormat="1" fontId="35" applyFont="1" fillId="4" applyFill="1" borderId="100" applyBorder="1" xfId="0"/>
    <xf numFmtId="164" applyNumberFormat="1" fontId="35" applyFont="1" fillId="4" applyFill="1" borderId="130" applyBorder="1" xfId="0"/>
    <xf numFmtId="164" applyNumberFormat="1" fontId="35" applyFont="1" fillId="3" applyFill="1" borderId="128" applyBorder="1" xfId="0"/>
    <xf numFmtId="164" applyNumberFormat="1" fontId="30" applyFont="1" fillId="7" applyFill="1" borderId="65" applyBorder="1" xfId="0" applyAlignment="1">
      <alignment horizontal="center"/>
    </xf>
    <xf numFmtId="164" applyNumberFormat="1" fontId="30" applyFont="1" fillId="7" applyFill="1" borderId="65" applyBorder="1" xfId="0" applyAlignment="1">
      <alignment horizontal="center" wrapText="1"/>
    </xf>
    <xf numFmtId="164" applyNumberFormat="1" fontId="36" applyFont="1" fillId="0" borderId="97" applyBorder="1" xfId="0"/>
    <xf numFmtId="0" fontId="51" applyFont="1" fillId="0" borderId="97" applyBorder="1" xfId="0" applyAlignment="1">
      <alignment wrapText="1"/>
    </xf>
    <xf numFmtId="0" fontId="36" applyFont="1" fillId="0" borderId="97" applyBorder="1" xfId="0" applyAlignment="1">
      <alignment horizontal="right" wrapText="1"/>
    </xf>
    <xf numFmtId="164" applyNumberFormat="1" fontId="37" applyFont="1" fillId="0" borderId="97" applyBorder="1" xfId="0"/>
    <xf numFmtId="164" applyNumberFormat="1" fontId="36" applyFont="1" fillId="0" borderId="97" applyBorder="1" xfId="0" applyAlignment="1"/>
    <xf numFmtId="164" applyNumberFormat="1" fontId="36" applyFont="1" fillId="0" borderId="149" applyBorder="1" xfId="0"/>
    <xf numFmtId="0" fontId="51" applyFont="1" fillId="0" borderId="149" applyBorder="1" xfId="0" applyAlignment="1">
      <alignment wrapText="1"/>
    </xf>
    <xf numFmtId="164" applyNumberFormat="1" fontId="36" applyFont="1" fillId="0" borderId="150" applyBorder="1" xfId="0"/>
    <xf numFmtId="0" fontId="51" applyFont="1" fillId="0" borderId="150" applyBorder="1" xfId="0" applyAlignment="1">
      <alignment wrapText="1"/>
    </xf>
    <xf numFmtId="164" applyNumberFormat="1" fontId="36" applyFont="1" fillId="0" borderId="151" applyBorder="1" xfId="0"/>
    <xf numFmtId="164" applyNumberFormat="1" fontId="36" applyFont="1" fillId="0" borderId="152" applyBorder="1" xfId="0"/>
    <xf numFmtId="164" applyNumberFormat="1" fontId="36" applyFont="1" fillId="0" borderId="153" applyBorder="1" xfId="0"/>
    <xf numFmtId="0" fontId="51" applyFont="1" fillId="0" borderId="151" applyBorder="1" xfId="0" applyAlignment="1">
      <alignment wrapText="1"/>
    </xf>
    <xf numFmtId="4" applyNumberFormat="1" fontId="36" applyFont="1" fillId="0" borderId="152" applyBorder="1" xfId="0" applyAlignment="1">
      <alignment horizontal="right" wrapText="1"/>
    </xf>
    <xf numFmtId="0" fontId="36" applyFont="1" fillId="0" borderId="152" applyBorder="1" xfId="0" applyAlignment="1">
      <alignment horizontal="right" wrapText="1"/>
    </xf>
    <xf numFmtId="0" fontId="51" applyFont="1" fillId="0" borderId="152" applyBorder="1" xfId="0" applyAlignment="1">
      <alignment wrapText="1"/>
    </xf>
    <xf numFmtId="4" applyNumberFormat="1" fontId="36" applyFont="1" fillId="0" borderId="153" applyBorder="1" xfId="0" applyAlignment="1">
      <alignment horizontal="right" wrapText="1"/>
    </xf>
    <xf numFmtId="0" fontId="51" applyFont="1" fillId="0" borderId="153" applyBorder="1" xfId="0" applyAlignment="1">
      <alignment wrapText="1"/>
    </xf>
    <xf numFmtId="0" fontId="36" applyFont="1" fillId="0" borderId="153" applyBorder="1" xfId="0" applyAlignment="1">
      <alignment horizontal="right" wrapText="1"/>
    </xf>
    <xf numFmtId="164" applyNumberFormat="1" fontId="36" applyFont="1" fillId="0" borderId="152" applyBorder="1" xfId="0" applyAlignment="1"/>
    <xf numFmtId="0" fontId="36" applyFont="1" fillId="0" borderId="151" applyBorder="1" xfId="0" applyAlignment="1">
      <alignment horizontal="right" wrapText="1"/>
    </xf>
    <xf numFmtId="164" applyNumberFormat="1" fontId="37" applyFont="1" fillId="0" borderId="152" applyBorder="1" xfId="0"/>
    <xf numFmtId="4" applyNumberFormat="1" fontId="37" applyFont="1" fillId="73" applyFill="1" borderId="2" applyBorder="1" xfId="0" applyAlignment="1">
      <alignment horizontal="right" wrapText="1"/>
    </xf>
    <xf numFmtId="4" applyNumberFormat="1" fontId="37" applyFont="1" fillId="73" applyFill="1" borderId="14" applyBorder="1" xfId="0" applyAlignment="1">
      <alignment horizontal="right" wrapText="1"/>
    </xf>
    <xf numFmtId="164" applyNumberFormat="1" fontId="36" applyFont="1" fillId="0" borderId="149" applyBorder="1" xfId="0" applyAlignment="1">
      <alignment horizontal="center"/>
    </xf>
    <xf numFmtId="164" applyNumberFormat="1" fontId="36" applyFont="1" fillId="11" applyFill="1" borderId="149" applyBorder="1" xfId="0"/>
    <xf numFmtId="164" applyNumberFormat="1" fontId="36" applyFont="1" fillId="0" borderId="149" applyBorder="1" xfId="0" applyAlignment="1"/>
    <xf numFmtId="164" applyNumberFormat="1" fontId="36" applyFont="1" fillId="0" borderId="97" applyBorder="1" xfId="0" applyAlignment="1">
      <alignment horizontal="center"/>
    </xf>
    <xf numFmtId="164" applyNumberFormat="1" fontId="36" applyFont="1" fillId="11" applyFill="1" borderId="97" applyBorder="1" xfId="0"/>
    <xf numFmtId="4" applyNumberFormat="1" fontId="37" applyFont="1" fillId="40" applyFill="1" borderId="36" applyBorder="1" xfId="0" applyAlignment="1">
      <alignment horizontal="right" wrapText="1"/>
    </xf>
    <xf numFmtId="0" fontId="51" applyFont="1" fillId="38" applyFill="1" borderId="7" applyBorder="1" xfId="0" applyAlignment="1">
      <alignment wrapText="1"/>
    </xf>
    <xf numFmtId="4" applyNumberFormat="1" fontId="37" applyFont="1" fillId="40" applyFill="1" borderId="44" applyBorder="1" xfId="0" applyAlignment="1">
      <alignment horizontal="right" wrapText="1"/>
    </xf>
    <xf numFmtId="0" fontId="51" applyFont="1" fillId="38" applyFill="1" borderId="25" applyBorder="1" xfId="0" applyAlignment="1">
      <alignment wrapText="1"/>
    </xf>
    <xf numFmtId="4" applyNumberFormat="1" fontId="37" applyFont="1" fillId="38" applyFill="1" borderId="25" applyBorder="1" xfId="0" applyAlignment="1">
      <alignment horizontal="right" wrapText="1"/>
    </xf>
    <xf numFmtId="4" applyNumberFormat="1" fontId="37" applyFont="1" fillId="40" applyFill="1" borderId="92" applyBorder="1" xfId="0" applyAlignment="1">
      <alignment horizontal="right" wrapText="1"/>
    </xf>
    <xf numFmtId="0" fontId="51" applyFont="1" fillId="38" applyFill="1" borderId="18" applyBorder="1" xfId="0" applyAlignment="1">
      <alignment wrapText="1"/>
    </xf>
    <xf numFmtId="164" applyNumberFormat="1" fontId="37" applyFont="1" fillId="40" applyFill="1" borderId="36" applyBorder="1" xfId="0" applyAlignment="1"/>
    <xf numFmtId="164" applyNumberFormat="1" fontId="37" applyFont="1" fillId="75" applyFill="1" borderId="62" applyBorder="1" xfId="0"/>
    <xf numFmtId="164" applyNumberFormat="1" fontId="37" applyFont="1" fillId="40" applyFill="1" borderId="44" applyBorder="1" xfId="0" applyAlignment="1"/>
    <xf numFmtId="164" applyNumberFormat="1" fontId="37" applyFont="1" fillId="75" applyFill="1" borderId="46" applyBorder="1" xfId="0" applyAlignment="1"/>
    <xf numFmtId="164" applyNumberFormat="1" fontId="37" applyFont="1" fillId="75" applyFill="1" borderId="1" applyBorder="1" xfId="0"/>
    <xf numFmtId="164" applyNumberFormat="1" fontId="37" applyFont="1" fillId="38" applyFill="1" borderId="92" applyBorder="1" xfId="0"/>
    <xf numFmtId="164" applyNumberFormat="1" fontId="37" applyFont="1" fillId="38" applyFill="1" borderId="5" applyBorder="1" xfId="0"/>
    <xf numFmtId="164" applyNumberFormat="1" fontId="37" applyFont="1" fillId="47" applyFill="1" borderId="23" applyBorder="1" xfId="0" applyAlignment="1"/>
    <xf numFmtId="0" fontId="0" applyFont="1" fillId="0" borderId="0" xfId="0" applyAlignment="1"/>
    <xf numFmtId="16" applyNumberFormat="1" fontId="6" applyFont="1" fillId="0" borderId="0" xfId="0" applyAlignment="1">
      <alignment horizontal="center"/>
    </xf>
    <xf numFmtId="0" fontId="0" applyFont="1" fillId="0" borderId="0" xfId="0" applyAlignment="1"/>
    <xf numFmtId="0" fontId="12" applyFont="1" fillId="0" borderId="0" xfId="0" applyAlignment="1">
      <alignment horizontal="center"/>
    </xf>
    <xf numFmtId="164" applyNumberFormat="1" fontId="53" applyFont="1" fillId="29" applyFill="1" borderId="10" applyBorder="1" xfId="0" applyAlignment="1">
      <alignment horizontal="center"/>
    </xf>
    <xf numFmtId="0" fontId="34" applyFont="1" fillId="0" borderId="24" applyBorder="1" xfId="0"/>
    <xf numFmtId="164" applyNumberFormat="1" fontId="27" applyFont="1" fillId="4" applyFill="1" borderId="10" applyBorder="1" xfId="0" applyAlignment="1">
      <alignment horizontal="center"/>
    </xf>
    <xf numFmtId="0" fontId="60" applyFont="1" fillId="0" borderId="0" xfId="0" applyAlignment="1">
      <alignment horizontal="center"/>
    </xf>
    <xf numFmtId="0" fontId="81" applyFont="1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b7e1cd"/>
          <bgColor rgb="ffb7e1cd"/>
        </patternFill>
      </fill>
    </dxf>
  </dxfs>
  <tableStyles count="1">
    <tableStyle name="01. PUENTE P.-style" pivot="0" count="3" xr9:uid="{00000000-0011-0000-FFFF-FFFF00000000}">
      <tableStyleElement type="headerRow" dxfId="4"/>
      <tableStyleElement type="firstRowStripe" dxfId="5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<Relationships xmlns="http://schemas.openxmlformats.org/package/2006/relationships"><Relationship Id="rId1" Type="http://customschemas.google.com/relationships/workbookmetadata" Target="commentsmeta5"/></Relationships>
</file>

<file path=xl/_rels/comments6.xml.rels><?xml version="1.0" encoding="UTF-8" standalone="yes"?><Relationships xmlns="http://schemas.openxmlformats.org/package/2006/relationships"><Relationship Id="rId1" Type="http://customschemas.google.com/relationships/workbookmetadata" Target="commentsmeta6"/></Relationships>
</file>

<file path=xl/_rels/comments7.xml.rels><?xml version="1.0" encoding="UTF-8" standalone="yes"?><Relationships xmlns="http://schemas.openxmlformats.org/package/2006/relationships"><Relationship Id="rId1" Type="http://customschemas.google.com/relationships/workbookmetadata" Target="commentsmeta7"/></Relationships>
</file>

<file path=xl/_rels/comments8.xml.rels><?xml version="1.0" encoding="UTF-8" standalone="yes"?><Relationships xmlns="http://schemas.openxmlformats.org/package/2006/relationships"><Relationship Id="rId1" Type="http://customschemas.google.com/relationships/workbookmetadata" Target="commentsmeta8"/></Relationships>
</file>

<file path=xl/_rels/comments9.xml.rels><?xml version="1.0" encoding="UTF-8" standalone="yes"?><Relationships xmlns="http://schemas.openxmlformats.org/package/2006/relationships"><Relationship Id="rId1" Type="http://customschemas.google.com/relationships/workbookmetadata" Target="commentsmeta9"/></Relationships>
</file>

<file path=xl/_rels/comments10.xml.rels><?xml version="1.0" encoding="UTF-8" standalone="yes"?><Relationships xmlns="http://schemas.openxmlformats.org/package/2006/relationships"><Relationship Id="rId1" Type="http://customschemas.google.com/relationships/workbookmetadata" Target="commentsmeta10"/></Relationships>
</file>

<file path=xl/_rels/comments11.xml.rels><?xml version="1.0" encoding="UTF-8" standalone="yes"?><Relationships xmlns="http://schemas.openxmlformats.org/package/2006/relationships"><Relationship Id="rId1" Type="http://customschemas.google.com/relationships/workbookmetadata" Target="commentsmeta11"/></Relationships>
</file>

<file path=xl/_rels/comments12.xml.rels><?xml version="1.0" encoding="UTF-8" standalone="yes"?><Relationships xmlns="http://schemas.openxmlformats.org/package/2006/relationships"><Relationship Id="rId1" Type="http://customschemas.google.com/relationships/workbookmetadata" Target="commentsmeta12"/></Relationships>
</file>

<file path=xl/_rels/comments13.xml.rels><?xml version="1.0" encoding="UTF-8" standalone="yes"?><Relationships xmlns="http://schemas.openxmlformats.org/package/2006/relationships"><Relationship Id="rId1" Type="http://customschemas.google.com/relationships/workbookmetadata" Target="commentsmeta13"/></Relationships>
</file>

<file path=xl/_rels/comments14.xml.rels><?xml version="1.0" encoding="UTF-8" standalone="yes"?><Relationships xmlns="http://schemas.openxmlformats.org/package/2006/relationships"><Relationship Id="rId1" Type="http://customschemas.google.com/relationships/workbookmetadata" Target="commentsmeta14"/></Relationships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5623"/>
  </sheetPr>
  <dimension ref="A1:BQ406"/>
  <sheetViews>
    <sheetView showGridLines="0" zoomScale="70" zoomScaleNormal="7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B68" sqref="B68"/>
    </sheetView>
  </sheetViews>
  <sheetFormatPr baseColWidth="10" defaultColWidth="14.42578125" defaultRowHeight="15" customHeight="1" x14ac:dyDescent="0.25"/>
  <cols>
    <col min="1" max="1" width="3.140625" customWidth="1"/>
    <col min="2" max="2" width="16.140625" customWidth="1"/>
    <col min="3" max="3" width="13.85546875" customWidth="1"/>
    <col min="4" max="4" width="13.28515625" customWidth="1"/>
    <col min="5" max="5" hidden="1" width="4.85546875" customWidth="1"/>
    <col min="6" max="6" hidden="1" width="5" customWidth="1"/>
    <col min="7" max="7" width="16.85546875" customWidth="1"/>
    <col min="8" max="9" width="18.42578125" customWidth="1"/>
    <col min="10" max="10" width="15.7109375" customWidth="1"/>
    <col min="11" max="11" width="14.7109375" customWidth="1"/>
    <col min="12" max="12" width="17.85546875" customWidth="1"/>
    <col min="13" max="13" width="16.42578125" customWidth="1"/>
    <col min="15" max="15" width="4.5703125" customWidth="1"/>
    <col min="16" max="16" width="3.5703125" customWidth="1"/>
    <col min="17" max="17" width="20.7109375" customWidth="1"/>
    <col min="18" max="18" width="13.7109375" customWidth="1"/>
    <col min="19" max="20" hidden="1" width="13.7109375" customWidth="1"/>
    <col min="21" max="21" width="13.5703125" customWidth="1"/>
    <col min="22" max="22" width="15.28515625" customWidth="1"/>
    <col min="23" max="24" width="15.5703125" customWidth="1"/>
    <col min="25" max="32" hidden="1" width="12.7109375" customWidth="1"/>
    <col min="33" max="34" hidden="1" width="16.85546875" customWidth="1"/>
    <col min="35" max="35" hidden="1" width="12.7109375" customWidth="1"/>
    <col min="36" max="36" width="12" customWidth="1"/>
    <col min="37" max="38" width="12.85546875" customWidth="1"/>
    <col min="39" max="39" hidden="1" width="12.85546875" customWidth="1"/>
    <col min="40" max="40" width="16.42578125" customWidth="1"/>
    <col min="41" max="41" width="11.7109375" customWidth="1"/>
    <col min="42" max="42" width="12.140625" customWidth="1"/>
    <col min="43" max="43" hidden="1" width="15.140625" customWidth="1"/>
    <col min="44" max="44" width="12.7109375" customWidth="1"/>
    <col min="45" max="45" width="15" customWidth="1"/>
    <col min="46" max="46" width="11.85546875" customWidth="1"/>
    <col min="47" max="47" hidden="1" width="14.5703125" customWidth="1"/>
    <col min="48" max="48" hidden="1" width="12.42578125" customWidth="1"/>
    <col min="49" max="49" width="15.85546875" customWidth="1"/>
    <col min="50" max="50" hidden="1" width="12.7109375" customWidth="1"/>
    <col min="51" max="52" hidden="1" width="11.85546875" customWidth="1"/>
    <col min="53" max="53" width="11.7109375" customWidth="1"/>
    <col min="54" max="56" hidden="1" width="12.7109375" customWidth="1"/>
    <col min="57" max="57" width="15" customWidth="1"/>
    <col min="58" max="58" width="12.7109375" customWidth="1"/>
    <col min="59" max="59" width="13" customWidth="1"/>
    <col min="60" max="60" width="16.42578125" customWidth="1"/>
    <col min="61" max="61" width="4" customWidth="1"/>
    <col min="62" max="62" width="15" customWidth="1"/>
    <col min="63" max="67" width="12.7109375" customWidth="1"/>
    <col min="68" max="68" width="11.42578125" customWidth="1"/>
    <col min="69" max="69" width="2.140625" customWidth="1"/>
  </cols>
  <sheetData>
    <row r="1" ht="4.5" customHeight="1">
      <c r="A1" s="1" t="s">
        <v>0</v>
      </c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3"/>
      <c r="AP1" s="3"/>
      <c r="AQ1" s="3"/>
      <c r="AR1" s="3"/>
      <c r="AS1" s="4"/>
      <c r="AT1" s="1"/>
      <c r="AU1" s="5"/>
      <c r="AV1" s="3"/>
      <c r="AW1" s="3"/>
      <c r="AX1" s="3"/>
      <c r="AY1" s="3"/>
      <c r="AZ1" s="3"/>
      <c r="BA1" s="3"/>
      <c r="BB1" s="3"/>
      <c r="BC1" s="3"/>
      <c r="BD1" s="3"/>
      <c r="BE1" s="6"/>
      <c r="BF1" s="3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ht="15" customHeight="1">
      <c r="A2" s="7"/>
      <c r="B2" s="1921" t="s">
        <v>1</v>
      </c>
      <c r="C2" s="1922"/>
      <c r="D2" s="1922"/>
      <c r="E2" s="1922"/>
      <c r="F2" s="1922"/>
      <c r="G2" s="1922"/>
      <c r="H2" s="1922"/>
      <c r="I2" s="1922"/>
      <c r="J2" s="1922"/>
      <c r="K2" s="1922"/>
      <c r="L2" s="7"/>
      <c r="M2" s="7"/>
      <c r="N2" s="7"/>
      <c r="O2" s="7"/>
      <c r="P2" s="8"/>
      <c r="Q2" s="8"/>
      <c r="R2" s="8"/>
      <c r="S2" s="8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9"/>
      <c r="AO2" s="9"/>
      <c r="AP2" s="9"/>
      <c r="AQ2" s="9"/>
      <c r="AR2" s="9"/>
      <c r="AS2" s="9"/>
      <c r="AT2" s="10"/>
      <c r="AU2" s="11"/>
      <c r="AV2" s="7"/>
      <c r="AW2" s="7"/>
      <c r="AX2" s="7"/>
      <c r="AY2" s="9"/>
      <c r="AZ2" s="9"/>
      <c r="BA2" s="7"/>
      <c r="BB2" s="7"/>
      <c r="BC2" s="7"/>
      <c r="BD2" s="7"/>
      <c r="BE2" s="12"/>
      <c r="BF2" s="7"/>
      <c r="BG2" s="9"/>
      <c r="BH2" s="7"/>
      <c r="BI2" s="7"/>
      <c r="BJ2" s="7"/>
      <c r="BK2" s="7"/>
      <c r="BL2" s="7"/>
      <c r="BM2" s="7"/>
      <c r="BN2" s="7"/>
      <c r="BO2" s="7"/>
      <c r="BP2" s="7"/>
      <c r="BQ2" s="7"/>
    </row>
    <row r="3" ht="16.5" customHeight="1">
      <c r="A3" s="14"/>
      <c r="B3" s="1923" t="s">
        <v>2</v>
      </c>
      <c r="C3" s="1922"/>
      <c r="D3" s="1922"/>
      <c r="E3" s="1922"/>
      <c r="F3" s="1922"/>
      <c r="G3" s="1922"/>
      <c r="H3" s="1922"/>
      <c r="I3" s="1922"/>
      <c r="J3" s="1922"/>
      <c r="K3" s="1922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6"/>
      <c r="AO3" s="16"/>
      <c r="AP3" s="16"/>
      <c r="AQ3" s="16"/>
      <c r="AR3" s="16"/>
      <c r="AS3" s="16"/>
      <c r="AT3" s="17"/>
      <c r="AU3" s="18"/>
      <c r="AV3" s="14"/>
      <c r="AW3" s="14"/>
      <c r="AX3" s="14"/>
      <c r="AY3" s="16"/>
      <c r="AZ3" s="16"/>
      <c r="BA3" s="14"/>
      <c r="BB3" s="14"/>
      <c r="BC3" s="14"/>
      <c r="BD3" s="14"/>
      <c r="BE3" s="19"/>
      <c r="BF3" s="14"/>
      <c r="BG3" s="16"/>
      <c r="BH3" s="14"/>
      <c r="BI3" s="14"/>
      <c r="BJ3" s="14" t="s">
        <v>3</v>
      </c>
      <c r="BK3" s="14"/>
      <c r="BL3" s="14"/>
      <c r="BM3" s="14"/>
      <c r="BN3" s="14"/>
      <c r="BO3" s="14"/>
      <c r="BP3" s="14"/>
      <c r="BQ3" s="14"/>
    </row>
    <row r="4" ht="11.25" customHeight="1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5" t="s">
        <v>4</v>
      </c>
      <c r="AK4" s="22"/>
      <c r="AL4" s="22"/>
      <c r="AM4" s="22"/>
      <c r="AN4" s="26" t="s">
        <v>5</v>
      </c>
      <c r="AO4" s="24"/>
      <c r="AP4" s="24"/>
      <c r="AQ4" s="24"/>
      <c r="AR4" s="24"/>
      <c r="AS4" s="27"/>
      <c r="AT4" s="28"/>
      <c r="AU4" s="29"/>
      <c r="AV4" s="22"/>
      <c r="AW4" s="22"/>
      <c r="AX4" s="22"/>
      <c r="AY4" s="27"/>
      <c r="AZ4" s="27"/>
      <c r="BA4" s="28"/>
      <c r="BB4" s="22"/>
      <c r="BC4" s="22"/>
      <c r="BD4" s="22"/>
      <c r="BE4" s="30"/>
      <c r="BF4" s="22"/>
      <c r="BG4" s="27"/>
      <c r="BH4" s="27"/>
      <c r="BI4" s="27"/>
      <c r="BJ4" s="27"/>
      <c r="BK4" s="22"/>
      <c r="BL4" s="22"/>
      <c r="BM4" s="22"/>
      <c r="BN4" s="22"/>
      <c r="BO4" s="22"/>
      <c r="BP4" s="27"/>
      <c r="BQ4" s="22"/>
    </row>
    <row r="5" ht="13.5" customHeight="1">
      <c r="A5" s="33"/>
      <c r="B5" s="34" t="s">
        <v>6</v>
      </c>
      <c r="C5" s="35" t="s">
        <v>7</v>
      </c>
      <c r="D5" s="35" t="s">
        <v>7</v>
      </c>
      <c r="E5" s="36" t="s">
        <v>8</v>
      </c>
      <c r="F5" s="37" t="s">
        <v>9</v>
      </c>
      <c r="G5" s="38" t="s">
        <v>8</v>
      </c>
      <c r="H5" s="39" t="s">
        <v>10</v>
      </c>
      <c r="I5" s="40" t="s">
        <v>10</v>
      </c>
      <c r="J5" s="41" t="s">
        <v>10</v>
      </c>
      <c r="K5" s="41" t="s">
        <v>10</v>
      </c>
      <c r="L5" s="41" t="s">
        <v>10</v>
      </c>
      <c r="M5" s="41" t="s">
        <v>10</v>
      </c>
      <c r="N5" s="41" t="s">
        <v>10</v>
      </c>
      <c r="O5" s="41" t="s">
        <v>10</v>
      </c>
      <c r="P5" s="41" t="s">
        <v>10</v>
      </c>
      <c r="Q5" s="41" t="s">
        <v>10</v>
      </c>
      <c r="R5" s="42" t="s">
        <v>10</v>
      </c>
      <c r="S5" s="42" t="s">
        <v>10</v>
      </c>
      <c r="T5" s="42" t="s">
        <v>10</v>
      </c>
      <c r="U5" s="42" t="s">
        <v>11</v>
      </c>
      <c r="V5" s="41" t="s">
        <v>12</v>
      </c>
      <c r="W5" s="43"/>
      <c r="X5" s="43" t="s">
        <v>12</v>
      </c>
      <c r="Y5" s="43" t="s">
        <v>12</v>
      </c>
      <c r="Z5" s="43" t="s">
        <v>12</v>
      </c>
      <c r="AA5" s="43" t="s">
        <v>12</v>
      </c>
      <c r="AB5" s="43" t="s">
        <v>12</v>
      </c>
      <c r="AC5" s="43" t="s">
        <v>12</v>
      </c>
      <c r="AD5" s="43" t="s">
        <v>12</v>
      </c>
      <c r="AE5" s="43" t="s">
        <v>12</v>
      </c>
      <c r="AF5" s="43" t="s">
        <v>12</v>
      </c>
      <c r="AG5" s="43" t="s">
        <v>12</v>
      </c>
      <c r="AH5" s="44" t="s">
        <v>12</v>
      </c>
      <c r="AI5" s="44" t="s">
        <v>12</v>
      </c>
      <c r="AJ5" s="43" t="s">
        <v>12</v>
      </c>
      <c r="AK5" s="45" t="s">
        <v>13</v>
      </c>
      <c r="AL5" s="46" t="s">
        <v>13</v>
      </c>
      <c r="AM5" s="46" t="s">
        <v>13</v>
      </c>
      <c r="AN5" s="47" t="s">
        <v>14</v>
      </c>
      <c r="AO5" s="48" t="s">
        <v>15</v>
      </c>
      <c r="AP5" s="48" t="s">
        <v>15</v>
      </c>
      <c r="AQ5" s="49" t="s">
        <v>15</v>
      </c>
      <c r="AR5" s="50" t="s">
        <v>16</v>
      </c>
      <c r="AS5" s="51" t="s">
        <v>4</v>
      </c>
      <c r="AT5" s="52" t="s">
        <v>17</v>
      </c>
      <c r="AU5" s="53" t="s">
        <v>18</v>
      </c>
      <c r="AV5" s="47" t="s">
        <v>17</v>
      </c>
      <c r="AW5" s="54" t="s">
        <v>19</v>
      </c>
      <c r="AX5" s="47" t="s">
        <v>20</v>
      </c>
      <c r="AY5" s="47" t="s">
        <v>20</v>
      </c>
      <c r="AZ5" s="47" t="s">
        <v>20</v>
      </c>
      <c r="BA5" s="55" t="s">
        <v>20</v>
      </c>
      <c r="BB5" s="47" t="s">
        <v>20</v>
      </c>
      <c r="BC5" s="47" t="s">
        <v>21</v>
      </c>
      <c r="BD5" s="47" t="s">
        <v>22</v>
      </c>
      <c r="BE5" s="56" t="s">
        <v>23</v>
      </c>
      <c r="BF5" s="47" t="s">
        <v>24</v>
      </c>
      <c r="BG5" s="51" t="s">
        <v>5</v>
      </c>
      <c r="BH5" s="57" t="s">
        <v>25</v>
      </c>
      <c r="BI5" s="33"/>
      <c r="BJ5" s="58" t="s">
        <v>4</v>
      </c>
      <c r="BK5" s="59" t="s">
        <v>26</v>
      </c>
      <c r="BL5" s="59" t="s">
        <v>27</v>
      </c>
      <c r="BM5" s="59" t="s">
        <v>28</v>
      </c>
      <c r="BN5" s="59" t="s">
        <v>28</v>
      </c>
      <c r="BO5" s="59" t="s">
        <v>28</v>
      </c>
      <c r="BP5" s="60" t="s">
        <v>29</v>
      </c>
      <c r="BQ5" s="33"/>
    </row>
    <row r="6" ht="21.75" customHeight="1">
      <c r="A6" s="33"/>
      <c r="B6" s="63"/>
      <c r="C6" s="64" t="s">
        <v>30</v>
      </c>
      <c r="D6" s="64" t="s">
        <v>31</v>
      </c>
      <c r="E6" s="65" t="s">
        <v>32</v>
      </c>
      <c r="F6" s="66" t="s">
        <v>33</v>
      </c>
      <c r="G6" s="67" t="s">
        <v>34</v>
      </c>
      <c r="H6" s="68" t="s">
        <v>35</v>
      </c>
      <c r="I6" s="69" t="s">
        <v>36</v>
      </c>
      <c r="J6" s="70" t="s">
        <v>37</v>
      </c>
      <c r="K6" s="70" t="s">
        <v>38</v>
      </c>
      <c r="L6" s="70" t="s">
        <v>39</v>
      </c>
      <c r="M6" s="70" t="s">
        <v>40</v>
      </c>
      <c r="N6" s="70" t="s">
        <v>41</v>
      </c>
      <c r="O6" s="70" t="s">
        <v>42</v>
      </c>
      <c r="P6" s="71" t="s">
        <v>43</v>
      </c>
      <c r="Q6" s="70" t="s">
        <v>44</v>
      </c>
      <c r="R6" s="71" t="s">
        <v>45</v>
      </c>
      <c r="S6" s="71" t="s">
        <v>46</v>
      </c>
      <c r="T6" s="71" t="s">
        <v>47</v>
      </c>
      <c r="U6" s="72" t="s">
        <v>48</v>
      </c>
      <c r="V6" s="70" t="s">
        <v>49</v>
      </c>
      <c r="W6" s="73" t="s">
        <v>50</v>
      </c>
      <c r="X6" s="73" t="s">
        <v>51</v>
      </c>
      <c r="Y6" s="73" t="s">
        <v>52</v>
      </c>
      <c r="Z6" s="73" t="s">
        <v>53</v>
      </c>
      <c r="AA6" s="73" t="s">
        <v>54</v>
      </c>
      <c r="AB6" s="73" t="s">
        <v>55</v>
      </c>
      <c r="AC6" s="73" t="s">
        <v>56</v>
      </c>
      <c r="AD6" s="73" t="s">
        <v>57</v>
      </c>
      <c r="AE6" s="73" t="s">
        <v>58</v>
      </c>
      <c r="AF6" s="73" t="s">
        <v>59</v>
      </c>
      <c r="AG6" s="73" t="s">
        <v>46</v>
      </c>
      <c r="AH6" s="73"/>
      <c r="AI6" s="73" t="s">
        <v>47</v>
      </c>
      <c r="AJ6" s="74" t="s">
        <v>30</v>
      </c>
      <c r="AK6" s="75" t="s">
        <v>30</v>
      </c>
      <c r="AL6" s="76" t="s">
        <v>31</v>
      </c>
      <c r="AM6" s="76" t="s">
        <v>32</v>
      </c>
      <c r="AN6" s="77" t="s">
        <v>34</v>
      </c>
      <c r="AO6" s="78" t="s">
        <v>48</v>
      </c>
      <c r="AP6" s="78" t="s">
        <v>31</v>
      </c>
      <c r="AQ6" s="79" t="s">
        <v>32</v>
      </c>
      <c r="AR6" s="80" t="s">
        <v>60</v>
      </c>
      <c r="AS6" s="81" t="s">
        <v>61</v>
      </c>
      <c r="AT6" s="82" t="s">
        <v>62</v>
      </c>
      <c r="AU6" s="83" t="s">
        <v>63</v>
      </c>
      <c r="AV6" s="84" t="s">
        <v>64</v>
      </c>
      <c r="AW6" s="85" t="s">
        <v>65</v>
      </c>
      <c r="AX6" s="84" t="s">
        <v>66</v>
      </c>
      <c r="AY6" s="84" t="s">
        <v>67</v>
      </c>
      <c r="AZ6" s="84" t="s">
        <v>68</v>
      </c>
      <c r="BA6" s="86" t="s">
        <v>31</v>
      </c>
      <c r="BB6" s="84" t="s">
        <v>32</v>
      </c>
      <c r="BC6" s="84" t="s">
        <v>32</v>
      </c>
      <c r="BD6" s="84"/>
      <c r="BE6" s="87" t="s">
        <v>63</v>
      </c>
      <c r="BF6" s="84" t="s">
        <v>69</v>
      </c>
      <c r="BG6" s="81" t="s">
        <v>70</v>
      </c>
      <c r="BH6" s="88" t="s">
        <v>71</v>
      </c>
      <c r="BI6" s="33"/>
      <c r="BJ6" s="89" t="s">
        <v>72</v>
      </c>
      <c r="BK6" s="90"/>
      <c r="BL6" s="90" t="s">
        <v>73</v>
      </c>
      <c r="BM6" s="90" t="s">
        <v>74</v>
      </c>
      <c r="BN6" s="90" t="s">
        <v>75</v>
      </c>
      <c r="BO6" s="90" t="s">
        <v>52</v>
      </c>
      <c r="BP6" s="91"/>
      <c r="BQ6" s="33"/>
    </row>
    <row r="7" ht="14.25" customHeight="1">
      <c r="A7" s="3"/>
      <c r="B7" s="93">
        <v>46023</v>
      </c>
      <c r="C7" s="94">
        <f>56950.46-0-0</f>
      </c>
      <c r="D7" s="95"/>
      <c r="E7" s="96"/>
      <c r="F7" s="97"/>
      <c r="G7" s="98">
        <f ref="G7:G37" t="shared" si="0">+C7+D7+E7+F7</f>
        <v>0</v>
      </c>
      <c r="H7" s="99"/>
      <c r="I7" s="100"/>
      <c r="J7" s="101"/>
      <c r="K7" s="102">
        <v>867.38</v>
      </c>
      <c r="L7" s="101"/>
      <c r="M7" s="102">
        <v>1000.26</v>
      </c>
      <c r="N7" s="101"/>
      <c r="O7" s="101"/>
      <c r="P7" s="101"/>
      <c r="Q7" s="101"/>
      <c r="R7" s="101"/>
      <c r="S7" s="101"/>
      <c r="T7" s="101"/>
      <c r="U7" s="103">
        <f>SUM(I7:T7)</f>
        <v>0</v>
      </c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3">
        <f ref="AJ7:AJ37" t="shared" si="1">SUM(V7:AI7)</f>
        <v>0</v>
      </c>
      <c r="AK7" s="95">
        <v>19071.33</v>
      </c>
      <c r="AL7" s="95">
        <v>2675.66</v>
      </c>
      <c r="AM7" s="104"/>
      <c r="AN7" s="105">
        <f ref="AN7:AN37" t="shared" si="2">SUM(AK7:AM7)</f>
        <v>0</v>
      </c>
      <c r="AO7" s="102">
        <v>27.31</v>
      </c>
      <c r="AP7" s="101"/>
      <c r="AQ7" s="101"/>
      <c r="AR7" s="106"/>
      <c r="AS7" s="107">
        <f ref="AS7:AS37" t="shared" si="3">+G7-U7-AJ7-AN7-AO7-AP7-AQ7-AR7</f>
        <v>0</v>
      </c>
      <c r="AT7" s="1535">
        <v>28448.2</v>
      </c>
      <c r="AU7" s="1536"/>
      <c r="AV7" s="1537"/>
      <c r="AW7" s="1537"/>
      <c r="AX7" s="1538"/>
      <c r="AY7" s="1539"/>
      <c r="AZ7" s="1540"/>
      <c r="BA7" s="1541">
        <v>4860.2</v>
      </c>
      <c r="BB7" s="1538"/>
      <c r="BC7" s="1539"/>
      <c r="BD7" s="1540"/>
      <c r="BE7" s="1542"/>
      <c r="BF7" s="1543"/>
      <c r="BG7" s="112">
        <f ref="BG7:BG37" t="shared" si="4">SUM(AT7:BF7)-BD7</f>
        <v>0</v>
      </c>
      <c r="BH7" s="113">
        <f ref="BH7:BH37" t="shared" si="5">+AS7-BG7</f>
        <v>0</v>
      </c>
      <c r="BI7" s="3"/>
      <c r="BJ7" s="114">
        <f ref="BJ7:BJ37" t="shared" si="6">SUM(BK7:BO7)</f>
        <v>0</v>
      </c>
      <c r="BK7" s="115"/>
      <c r="BL7" s="115"/>
      <c r="BM7" s="115"/>
      <c r="BN7" s="115"/>
      <c r="BO7" s="115"/>
      <c r="BP7" s="116">
        <f ref="BP7:BP37" t="shared" si="7">+BH7-BJ7</f>
        <v>0</v>
      </c>
      <c r="BQ7" s="3"/>
    </row>
    <row r="8" ht="14.25" customHeight="1">
      <c r="A8" s="3"/>
      <c r="B8" s="93">
        <v>46024</v>
      </c>
      <c r="C8" s="118">
        <f>65054.10-0-0</f>
      </c>
      <c r="D8" s="119"/>
      <c r="E8" s="3"/>
      <c r="F8" s="120"/>
      <c r="G8" s="98">
        <f t="shared" si="0"/>
        <v>0</v>
      </c>
      <c r="H8" s="121">
        <v>494.22</v>
      </c>
      <c r="I8" s="122"/>
      <c r="J8" s="99"/>
      <c r="K8" s="121">
        <v>2017.48</v>
      </c>
      <c r="L8" s="99"/>
      <c r="M8" s="99"/>
      <c r="N8" s="99"/>
      <c r="O8" s="99"/>
      <c r="P8" s="99"/>
      <c r="Q8" s="99"/>
      <c r="R8" s="121">
        <v>782.54</v>
      </c>
      <c r="S8" s="99"/>
      <c r="T8" s="99"/>
      <c r="U8" s="103">
        <f ref="U8:U37" t="shared" si="8">SUM(H8:T8)</f>
        <v>0</v>
      </c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103">
        <f t="shared" si="1"/>
        <v>0</v>
      </c>
      <c r="AK8" s="119">
        <v>19079.63</v>
      </c>
      <c r="AL8" s="119">
        <v>2556.02</v>
      </c>
      <c r="AM8" s="123"/>
      <c r="AN8" s="105">
        <f t="shared" si="2"/>
        <v>0</v>
      </c>
      <c r="AO8" s="121">
        <v>85.39</v>
      </c>
      <c r="AP8" s="99"/>
      <c r="AQ8" s="99"/>
      <c r="AR8" s="124"/>
      <c r="AS8" s="107">
        <f t="shared" si="3"/>
        <v>0</v>
      </c>
      <c r="AT8" s="1544">
        <v>35639.6</v>
      </c>
      <c r="AU8" s="1545"/>
      <c r="AV8" s="1546"/>
      <c r="AW8" s="1546"/>
      <c r="AX8" s="1547"/>
      <c r="AY8" s="1548"/>
      <c r="AZ8" s="1549"/>
      <c r="BA8" s="1550">
        <v>4399.3</v>
      </c>
      <c r="BB8" s="1547"/>
      <c r="BC8" s="1548"/>
      <c r="BD8" s="1549"/>
      <c r="BE8" s="1551"/>
      <c r="BF8" s="1552"/>
      <c r="BG8" s="112">
        <f t="shared" si="4"/>
        <v>0</v>
      </c>
      <c r="BH8" s="113">
        <f t="shared" si="5"/>
        <v>0</v>
      </c>
      <c r="BI8" s="3"/>
      <c r="BJ8" s="113">
        <f t="shared" si="6"/>
        <v>0</v>
      </c>
      <c r="BK8" s="129"/>
      <c r="BL8" s="129"/>
      <c r="BM8" s="129"/>
      <c r="BN8" s="129"/>
      <c r="BO8" s="129"/>
      <c r="BP8" s="130">
        <f t="shared" si="7"/>
        <v>0</v>
      </c>
      <c r="BQ8" s="3"/>
    </row>
    <row r="9" ht="14.25" customHeight="1">
      <c r="A9" s="3"/>
      <c r="B9" s="93">
        <v>46025</v>
      </c>
      <c r="C9" s="118">
        <f>62918.68-0-0</f>
      </c>
      <c r="D9" s="119"/>
      <c r="E9" s="3"/>
      <c r="F9" s="120"/>
      <c r="G9" s="98">
        <f t="shared" si="0"/>
        <v>0</v>
      </c>
      <c r="H9" s="121">
        <v>257.47</v>
      </c>
      <c r="I9" s="122"/>
      <c r="J9" s="99"/>
      <c r="K9" s="99"/>
      <c r="L9" s="99"/>
      <c r="M9" s="99"/>
      <c r="N9" s="99"/>
      <c r="O9" s="99"/>
      <c r="P9" s="99"/>
      <c r="Q9" s="99"/>
      <c r="R9" s="121">
        <v>151.25</v>
      </c>
      <c r="S9" s="99"/>
      <c r="T9" s="99"/>
      <c r="U9" s="103">
        <f t="shared" si="8"/>
        <v>0</v>
      </c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103">
        <f t="shared" si="1"/>
        <v>0</v>
      </c>
      <c r="AK9" s="119">
        <v>18951.58</v>
      </c>
      <c r="AL9" s="119">
        <v>2893.89</v>
      </c>
      <c r="AM9" s="123"/>
      <c r="AN9" s="105">
        <f t="shared" si="2"/>
        <v>0</v>
      </c>
      <c r="AO9" s="121">
        <v>42.17</v>
      </c>
      <c r="AP9" s="99"/>
      <c r="AQ9" s="99"/>
      <c r="AR9" s="124"/>
      <c r="AS9" s="107">
        <f t="shared" si="3"/>
        <v>0</v>
      </c>
      <c r="AT9" s="1544">
        <v>35471.6</v>
      </c>
      <c r="AU9" s="1545"/>
      <c r="AV9" s="1546"/>
      <c r="AW9" s="1546"/>
      <c r="AX9" s="1547"/>
      <c r="AY9" s="1548"/>
      <c r="AZ9" s="1549"/>
      <c r="BA9" s="1550">
        <v>5151.8</v>
      </c>
      <c r="BB9" s="1547"/>
      <c r="BC9" s="1548"/>
      <c r="BD9" s="1549"/>
      <c r="BE9" s="1551"/>
      <c r="BF9" s="1552"/>
      <c r="BG9" s="112">
        <f t="shared" si="4"/>
        <v>0</v>
      </c>
      <c r="BH9" s="113">
        <f t="shared" si="5"/>
        <v>0</v>
      </c>
      <c r="BI9" s="3"/>
      <c r="BJ9" s="113">
        <f t="shared" si="6"/>
        <v>0</v>
      </c>
      <c r="BK9" s="129"/>
      <c r="BL9" s="129"/>
      <c r="BM9" s="129"/>
      <c r="BN9" s="129"/>
      <c r="BO9" s="129"/>
      <c r="BP9" s="130">
        <f t="shared" si="7"/>
        <v>0</v>
      </c>
      <c r="BQ9" s="3"/>
    </row>
    <row r="10" ht="14.25" customHeight="1">
      <c r="A10" s="3"/>
      <c r="B10" s="93">
        <v>46026</v>
      </c>
      <c r="C10" s="118">
        <f>49518.01-0-0</f>
      </c>
      <c r="D10" s="119"/>
      <c r="E10" s="3"/>
      <c r="F10" s="120"/>
      <c r="G10" s="98">
        <f t="shared" si="0"/>
        <v>0</v>
      </c>
      <c r="H10" s="99"/>
      <c r="I10" s="122"/>
      <c r="J10" s="99"/>
      <c r="K10" s="99"/>
      <c r="L10" s="99"/>
      <c r="M10" s="99"/>
      <c r="N10" s="99"/>
      <c r="O10" s="99"/>
      <c r="P10" s="99"/>
      <c r="Q10" s="99"/>
      <c r="R10" s="121">
        <v>204.95</v>
      </c>
      <c r="S10" s="99"/>
      <c r="T10" s="99"/>
      <c r="U10" s="103">
        <f t="shared" si="8"/>
        <v>0</v>
      </c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103">
        <f t="shared" si="1"/>
        <v>0</v>
      </c>
      <c r="AK10" s="119">
        <v>15098.71</v>
      </c>
      <c r="AL10" s="119">
        <v>2317.79</v>
      </c>
      <c r="AM10" s="123"/>
      <c r="AN10" s="105">
        <f t="shared" si="2"/>
        <v>0</v>
      </c>
      <c r="AO10" s="121">
        <v>48.88</v>
      </c>
      <c r="AP10" s="99"/>
      <c r="AQ10" s="99"/>
      <c r="AR10" s="124"/>
      <c r="AS10" s="107">
        <f t="shared" si="3"/>
        <v>0</v>
      </c>
      <c r="AT10" s="1544">
        <v>27337.6</v>
      </c>
      <c r="AU10" s="1545"/>
      <c r="AV10" s="1546"/>
      <c r="AW10" s="1546"/>
      <c r="AX10" s="1547"/>
      <c r="AY10" s="1548"/>
      <c r="AZ10" s="1549"/>
      <c r="BA10" s="1550">
        <v>4510.2</v>
      </c>
      <c r="BB10" s="1547"/>
      <c r="BC10" s="1548"/>
      <c r="BD10" s="1549"/>
      <c r="BE10" s="1551"/>
      <c r="BF10" s="1552"/>
      <c r="BG10" s="112">
        <f t="shared" si="4"/>
        <v>0</v>
      </c>
      <c r="BH10" s="113">
        <f t="shared" si="5"/>
        <v>0</v>
      </c>
      <c r="BI10" s="3"/>
      <c r="BJ10" s="113">
        <f t="shared" si="6"/>
        <v>0</v>
      </c>
      <c r="BK10" s="129"/>
      <c r="BL10" s="129"/>
      <c r="BM10" s="129"/>
      <c r="BN10" s="129"/>
      <c r="BO10" s="129"/>
      <c r="BP10" s="130">
        <f t="shared" si="7"/>
        <v>0</v>
      </c>
      <c r="BQ10" s="3"/>
    </row>
    <row r="11" ht="14.25" customHeight="1">
      <c r="A11" s="3"/>
      <c r="B11" s="93">
        <v>46027</v>
      </c>
      <c r="C11" s="118">
        <f>59274.39-0-0</f>
      </c>
      <c r="D11" s="119"/>
      <c r="E11" s="3"/>
      <c r="F11" s="120"/>
      <c r="G11" s="98">
        <f t="shared" si="0"/>
        <v>0</v>
      </c>
      <c r="H11" s="99"/>
      <c r="I11" s="122"/>
      <c r="J11" s="99"/>
      <c r="K11" s="121">
        <v>982.36</v>
      </c>
      <c r="L11" s="99"/>
      <c r="M11" s="99"/>
      <c r="N11" s="99"/>
      <c r="O11" s="99"/>
      <c r="P11" s="99"/>
      <c r="Q11" s="99"/>
      <c r="R11" s="99">
        <v>220.01</v>
      </c>
      <c r="S11" s="99"/>
      <c r="T11" s="99"/>
      <c r="U11" s="103">
        <f t="shared" si="8"/>
        <v>0</v>
      </c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103">
        <f t="shared" si="1"/>
        <v>0</v>
      </c>
      <c r="AK11" s="119">
        <v>14194.59</v>
      </c>
      <c r="AL11" s="119">
        <v>1347.54</v>
      </c>
      <c r="AM11" s="123"/>
      <c r="AN11" s="105">
        <f t="shared" si="2"/>
        <v>0</v>
      </c>
      <c r="AO11" s="121">
        <v>57.35</v>
      </c>
      <c r="AP11" s="99"/>
      <c r="AQ11" s="99"/>
      <c r="AR11" s="124"/>
      <c r="AS11" s="107">
        <f t="shared" si="3"/>
        <v>0</v>
      </c>
      <c r="AT11" s="1553">
        <v>37459.6</v>
      </c>
      <c r="AU11" s="1545"/>
      <c r="AV11" s="1546"/>
      <c r="AW11" s="1546"/>
      <c r="AX11" s="1547"/>
      <c r="AY11" s="1548"/>
      <c r="AZ11" s="1549"/>
      <c r="BA11" s="1554">
        <v>4958.7</v>
      </c>
      <c r="BB11" s="1547"/>
      <c r="BC11" s="1548"/>
      <c r="BD11" s="1549"/>
      <c r="BE11" s="1551"/>
      <c r="BF11" s="1552"/>
      <c r="BG11" s="112">
        <f t="shared" si="4"/>
        <v>0</v>
      </c>
      <c r="BH11" s="113">
        <f t="shared" si="5"/>
        <v>0</v>
      </c>
      <c r="BI11" s="3"/>
      <c r="BJ11" s="113">
        <f t="shared" si="6"/>
        <v>0</v>
      </c>
      <c r="BK11" s="129"/>
      <c r="BL11" s="129"/>
      <c r="BM11" s="131"/>
      <c r="BN11" s="129">
        <v>54.3</v>
      </c>
      <c r="BO11" s="129"/>
      <c r="BP11" s="130">
        <f t="shared" si="7"/>
        <v>0</v>
      </c>
      <c r="BQ11" s="3"/>
    </row>
    <row r="12" ht="14.25" customHeight="1">
      <c r="A12" s="132"/>
      <c r="B12" s="93">
        <v>46028</v>
      </c>
      <c r="C12" s="133">
        <f>55770.95-0-0</f>
      </c>
      <c r="D12" s="134"/>
      <c r="E12" s="132"/>
      <c r="F12" s="135"/>
      <c r="G12" s="98">
        <f t="shared" si="0"/>
        <v>0</v>
      </c>
      <c r="H12" s="99"/>
      <c r="I12" s="122"/>
      <c r="J12" s="99"/>
      <c r="K12" s="99"/>
      <c r="L12" s="99"/>
      <c r="M12" s="99"/>
      <c r="N12" s="121">
        <v>908.55</v>
      </c>
      <c r="O12" s="99"/>
      <c r="P12" s="99"/>
      <c r="Q12" s="99"/>
      <c r="R12" s="121">
        <v>221.13</v>
      </c>
      <c r="S12" s="99"/>
      <c r="T12" s="99"/>
      <c r="U12" s="103">
        <f t="shared" si="8"/>
        <v>0</v>
      </c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103">
        <f t="shared" si="1"/>
        <v>0</v>
      </c>
      <c r="AK12" s="134">
        <v>13173.47</v>
      </c>
      <c r="AL12" s="134">
        <v>2517.77</v>
      </c>
      <c r="AM12" s="136"/>
      <c r="AN12" s="105">
        <f t="shared" si="2"/>
        <v>0</v>
      </c>
      <c r="AO12" s="121">
        <v>48.95</v>
      </c>
      <c r="AP12" s="99"/>
      <c r="AQ12" s="99"/>
      <c r="AR12" s="124"/>
      <c r="AS12" s="107">
        <f t="shared" si="3"/>
        <v>0</v>
      </c>
      <c r="AT12" s="1555">
        <v>34281.8</v>
      </c>
      <c r="AU12" s="1556"/>
      <c r="AV12" s="1557"/>
      <c r="AW12" s="1557"/>
      <c r="AX12" s="1547"/>
      <c r="AY12" s="1548"/>
      <c r="AZ12" s="1549"/>
      <c r="BA12" s="1558">
        <v>4617.48</v>
      </c>
      <c r="BB12" s="1547"/>
      <c r="BC12" s="1548"/>
      <c r="BD12" s="1549"/>
      <c r="BE12" s="1559"/>
      <c r="BF12" s="1552"/>
      <c r="BG12" s="112">
        <f t="shared" si="4"/>
        <v>0</v>
      </c>
      <c r="BH12" s="140">
        <f t="shared" si="5"/>
        <v>0</v>
      </c>
      <c r="BI12" s="132"/>
      <c r="BJ12" s="140">
        <f t="shared" si="6"/>
        <v>0</v>
      </c>
      <c r="BK12" s="141"/>
      <c r="BL12" s="141"/>
      <c r="BM12" s="141"/>
      <c r="BN12" s="141"/>
      <c r="BO12" s="141"/>
      <c r="BP12" s="130">
        <f t="shared" si="7"/>
        <v>0</v>
      </c>
      <c r="BQ12" s="132"/>
    </row>
    <row r="13" ht="14.25" customHeight="1">
      <c r="A13" s="132"/>
      <c r="B13" s="93">
        <v>46029</v>
      </c>
      <c r="C13" s="133">
        <f>52733.83-0-0</f>
      </c>
      <c r="D13" s="134"/>
      <c r="E13" s="132"/>
      <c r="F13" s="135"/>
      <c r="G13" s="98">
        <f t="shared" si="0"/>
        <v>0</v>
      </c>
      <c r="H13" s="99"/>
      <c r="I13" s="122"/>
      <c r="J13" s="99"/>
      <c r="K13" s="121">
        <v>2940.26</v>
      </c>
      <c r="L13" s="99"/>
      <c r="M13" s="99"/>
      <c r="N13" s="121">
        <v>812.55</v>
      </c>
      <c r="O13" s="99"/>
      <c r="P13" s="99"/>
      <c r="Q13" s="99"/>
      <c r="R13" s="121">
        <v>154.01</v>
      </c>
      <c r="S13" s="99"/>
      <c r="T13" s="99"/>
      <c r="U13" s="103">
        <f t="shared" si="8"/>
        <v>0</v>
      </c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103">
        <f t="shared" si="1"/>
        <v>0</v>
      </c>
      <c r="AK13" s="134">
        <v>12151.11</v>
      </c>
      <c r="AL13" s="134">
        <v>1624.09</v>
      </c>
      <c r="AM13" s="136"/>
      <c r="AN13" s="105">
        <f t="shared" si="2"/>
        <v>0</v>
      </c>
      <c r="AO13" s="121">
        <v>32.5</v>
      </c>
      <c r="AP13" s="99"/>
      <c r="AQ13" s="99"/>
      <c r="AR13" s="124"/>
      <c r="AS13" s="107">
        <f t="shared" si="3"/>
        <v>0</v>
      </c>
      <c r="AT13" s="1560">
        <v>31240.5</v>
      </c>
      <c r="AU13" s="1536"/>
      <c r="AV13" s="1537"/>
      <c r="AW13" s="1537"/>
      <c r="AX13" s="1548"/>
      <c r="AY13" s="1548"/>
      <c r="AZ13" s="1548"/>
      <c r="BA13" s="1561">
        <v>3778.8</v>
      </c>
      <c r="BB13" s="1548"/>
      <c r="BC13" s="1548"/>
      <c r="BD13" s="1548"/>
      <c r="BE13" s="1542"/>
      <c r="BF13" s="1537"/>
      <c r="BG13" s="112">
        <f t="shared" si="4"/>
        <v>0</v>
      </c>
      <c r="BH13" s="140">
        <f t="shared" si="5"/>
        <v>0</v>
      </c>
      <c r="BI13" s="132"/>
      <c r="BJ13" s="140">
        <f t="shared" si="6"/>
        <v>0</v>
      </c>
      <c r="BK13" s="141"/>
      <c r="BL13" s="141"/>
      <c r="BM13" s="141"/>
      <c r="BN13" s="141"/>
      <c r="BO13" s="141"/>
      <c r="BP13" s="130">
        <f t="shared" si="7"/>
        <v>0</v>
      </c>
      <c r="BQ13" s="132"/>
    </row>
    <row r="14" ht="14.25" customHeight="1">
      <c r="A14" s="132"/>
      <c r="B14" s="93">
        <v>46030</v>
      </c>
      <c r="C14" s="133">
        <f>50357.22-0-0</f>
      </c>
      <c r="D14" s="134"/>
      <c r="E14" s="132"/>
      <c r="F14" s="135"/>
      <c r="G14" s="98">
        <f t="shared" si="0"/>
        <v>0</v>
      </c>
      <c r="H14" s="99"/>
      <c r="I14" s="122"/>
      <c r="J14" s="99"/>
      <c r="K14" s="121">
        <v>534.77</v>
      </c>
      <c r="L14" s="99"/>
      <c r="M14" s="121">
        <v>85.02</v>
      </c>
      <c r="N14" s="99"/>
      <c r="O14" s="99"/>
      <c r="P14" s="99"/>
      <c r="Q14" s="99"/>
      <c r="R14" s="121">
        <v>178.03</v>
      </c>
      <c r="S14" s="99"/>
      <c r="T14" s="99"/>
      <c r="U14" s="103">
        <f t="shared" si="8"/>
        <v>0</v>
      </c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103">
        <f t="shared" si="1"/>
        <v>0</v>
      </c>
      <c r="AK14" s="134">
        <v>13507.23</v>
      </c>
      <c r="AL14" s="134">
        <v>1952.26</v>
      </c>
      <c r="AM14" s="136"/>
      <c r="AN14" s="105">
        <f t="shared" si="2"/>
        <v>0</v>
      </c>
      <c r="AO14" s="121">
        <v>62</v>
      </c>
      <c r="AP14" s="99"/>
      <c r="AQ14" s="99"/>
      <c r="AR14" s="124"/>
      <c r="AS14" s="107">
        <f t="shared" si="3"/>
        <v>0</v>
      </c>
      <c r="AT14" s="1562">
        <v>29609.9</v>
      </c>
      <c r="AU14" s="1545"/>
      <c r="AV14" s="1546"/>
      <c r="AW14" s="1546"/>
      <c r="AX14" s="1548"/>
      <c r="AY14" s="1548"/>
      <c r="AZ14" s="1548"/>
      <c r="BA14" s="1563">
        <v>4428.1</v>
      </c>
      <c r="BB14" s="1548"/>
      <c r="BC14" s="1548"/>
      <c r="BD14" s="1548"/>
      <c r="BE14" s="1551"/>
      <c r="BF14" s="1546"/>
      <c r="BG14" s="112">
        <f t="shared" si="4"/>
        <v>0</v>
      </c>
      <c r="BH14" s="140">
        <f t="shared" si="5"/>
        <v>0</v>
      </c>
      <c r="BI14" s="132"/>
      <c r="BJ14" s="140">
        <f t="shared" si="6"/>
        <v>0</v>
      </c>
      <c r="BK14" s="141"/>
      <c r="BL14" s="141"/>
      <c r="BM14" s="141"/>
      <c r="BN14" s="141"/>
      <c r="BO14" s="141"/>
      <c r="BP14" s="130">
        <f t="shared" si="7"/>
        <v>0</v>
      </c>
      <c r="BQ14" s="132"/>
    </row>
    <row r="15" ht="14.25" customHeight="1">
      <c r="A15" s="132"/>
      <c r="B15" s="93">
        <v>46031</v>
      </c>
      <c r="C15" s="133">
        <f>55220.12-0-0</f>
      </c>
      <c r="D15" s="134"/>
      <c r="E15" s="132"/>
      <c r="F15" s="135"/>
      <c r="G15" s="98">
        <f t="shared" si="0"/>
        <v>0</v>
      </c>
      <c r="H15" s="121">
        <v>501</v>
      </c>
      <c r="I15" s="122"/>
      <c r="J15" s="99"/>
      <c r="K15" s="99"/>
      <c r="L15" s="99"/>
      <c r="M15" s="99">
        <v>2492.16</v>
      </c>
      <c r="N15" s="121">
        <v>833.94</v>
      </c>
      <c r="O15" s="99"/>
      <c r="P15" s="99"/>
      <c r="Q15" s="99"/>
      <c r="R15" s="99"/>
      <c r="S15" s="99"/>
      <c r="T15" s="99"/>
      <c r="U15" s="103">
        <f t="shared" si="8"/>
        <v>0</v>
      </c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103">
        <f t="shared" si="1"/>
        <v>0</v>
      </c>
      <c r="AK15" s="134">
        <v>16291.2</v>
      </c>
      <c r="AL15" s="134">
        <v>2007.22</v>
      </c>
      <c r="AM15" s="136"/>
      <c r="AN15" s="105">
        <f t="shared" si="2"/>
        <v>0</v>
      </c>
      <c r="AO15" s="121">
        <v>88.88</v>
      </c>
      <c r="AP15" s="99"/>
      <c r="AQ15" s="99"/>
      <c r="AR15" s="124"/>
      <c r="AS15" s="107">
        <f t="shared" si="3"/>
        <v>0</v>
      </c>
      <c r="AT15" s="1564">
        <v>29297.1</v>
      </c>
      <c r="AU15" s="1545"/>
      <c r="AV15" s="1546"/>
      <c r="AW15" s="1546"/>
      <c r="AX15" s="1548"/>
      <c r="AY15" s="1548"/>
      <c r="AZ15" s="1548"/>
      <c r="BA15" s="1565">
        <v>3706.7</v>
      </c>
      <c r="BB15" s="1548"/>
      <c r="BC15" s="1548"/>
      <c r="BD15" s="1548"/>
      <c r="BE15" s="1551"/>
      <c r="BF15" s="1546"/>
      <c r="BG15" s="112">
        <f t="shared" si="4"/>
        <v>0</v>
      </c>
      <c r="BH15" s="140">
        <f t="shared" si="5"/>
        <v>0</v>
      </c>
      <c r="BI15" s="132"/>
      <c r="BJ15" s="140">
        <f t="shared" si="6"/>
        <v>0</v>
      </c>
      <c r="BK15" s="141"/>
      <c r="BL15" s="141"/>
      <c r="BM15" s="141"/>
      <c r="BN15" s="141"/>
      <c r="BO15" s="141"/>
      <c r="BP15" s="130">
        <f t="shared" si="7"/>
        <v>0</v>
      </c>
      <c r="BQ15" s="132"/>
    </row>
    <row r="16" ht="14.25" customHeight="1">
      <c r="A16" s="132"/>
      <c r="B16" s="93">
        <v>46032</v>
      </c>
      <c r="C16" s="133">
        <f>60433.92-0-0</f>
      </c>
      <c r="D16" s="134"/>
      <c r="E16" s="132"/>
      <c r="F16" s="135"/>
      <c r="G16" s="98">
        <f t="shared" si="0"/>
        <v>0</v>
      </c>
      <c r="H16" s="143"/>
      <c r="I16" s="144"/>
      <c r="J16" s="143"/>
      <c r="K16" s="145">
        <v>470</v>
      </c>
      <c r="L16" s="143"/>
      <c r="M16" s="145">
        <v>1375.96</v>
      </c>
      <c r="N16" s="143"/>
      <c r="O16" s="143"/>
      <c r="P16" s="143"/>
      <c r="Q16" s="143"/>
      <c r="R16" s="145">
        <v>150</v>
      </c>
      <c r="S16" s="143"/>
      <c r="T16" s="143"/>
      <c r="U16" s="103">
        <f t="shared" si="8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03">
        <f t="shared" si="1"/>
        <v>0</v>
      </c>
      <c r="AK16" s="134">
        <v>19922.13</v>
      </c>
      <c r="AL16" s="134">
        <v>2582.41</v>
      </c>
      <c r="AM16" s="136"/>
      <c r="AN16" s="105">
        <f t="shared" si="2"/>
        <v>0</v>
      </c>
      <c r="AO16" s="145">
        <v>44.33</v>
      </c>
      <c r="AP16" s="143"/>
      <c r="AQ16" s="143"/>
      <c r="AR16" s="146"/>
      <c r="AS16" s="107">
        <f t="shared" si="3"/>
        <v>0</v>
      </c>
      <c r="AT16" s="1564">
        <v>30997.58</v>
      </c>
      <c r="AU16" s="1545"/>
      <c r="AV16" s="1546"/>
      <c r="AW16" s="1546"/>
      <c r="AX16" s="1548"/>
      <c r="AY16" s="1548"/>
      <c r="AZ16" s="1548"/>
      <c r="BA16" s="1565">
        <v>4894.3</v>
      </c>
      <c r="BB16" s="1548"/>
      <c r="BC16" s="1548"/>
      <c r="BD16" s="1548"/>
      <c r="BE16" s="1551"/>
      <c r="BF16" s="1546"/>
      <c r="BG16" s="112">
        <f t="shared" si="4"/>
        <v>0</v>
      </c>
      <c r="BH16" s="140">
        <f t="shared" si="5"/>
        <v>0</v>
      </c>
      <c r="BI16" s="132"/>
      <c r="BJ16" s="140">
        <f t="shared" si="6"/>
        <v>0</v>
      </c>
      <c r="BK16" s="141"/>
      <c r="BL16" s="141"/>
      <c r="BM16" s="141"/>
      <c r="BN16" s="141"/>
      <c r="BO16" s="141"/>
      <c r="BP16" s="130">
        <f t="shared" si="7"/>
        <v>0</v>
      </c>
      <c r="BQ16" s="132"/>
    </row>
    <row r="17" ht="14.25" customHeight="1">
      <c r="A17" s="132"/>
      <c r="B17" s="93">
        <v>46033</v>
      </c>
      <c r="C17" s="133">
        <f>41802.15-0-0</f>
      </c>
      <c r="D17" s="134"/>
      <c r="E17" s="132"/>
      <c r="F17" s="135"/>
      <c r="G17" s="98">
        <f t="shared" si="0"/>
        <v>0</v>
      </c>
      <c r="H17" s="143"/>
      <c r="I17" s="144"/>
      <c r="J17" s="143"/>
      <c r="K17" s="143"/>
      <c r="L17" s="143"/>
      <c r="M17" s="143"/>
      <c r="N17" s="143"/>
      <c r="O17" s="143"/>
      <c r="P17" s="143"/>
      <c r="Q17" s="143"/>
      <c r="R17" s="145">
        <v>137.15</v>
      </c>
      <c r="S17" s="143"/>
      <c r="T17" s="143"/>
      <c r="U17" s="103">
        <f t="shared" si="8"/>
        <v>0</v>
      </c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03">
        <f t="shared" si="1"/>
        <v>0</v>
      </c>
      <c r="AK17" s="134">
        <v>13736.44</v>
      </c>
      <c r="AL17" s="134">
        <v>2439.29</v>
      </c>
      <c r="AM17" s="136"/>
      <c r="AN17" s="105">
        <f t="shared" si="2"/>
        <v>0</v>
      </c>
      <c r="AO17" s="145">
        <v>17.37</v>
      </c>
      <c r="AP17" s="143"/>
      <c r="AQ17" s="143"/>
      <c r="AR17" s="146"/>
      <c r="AS17" s="107">
        <f t="shared" si="3"/>
        <v>0</v>
      </c>
      <c r="AT17" s="1564">
        <v>21738.3</v>
      </c>
      <c r="AU17" s="1545"/>
      <c r="AV17" s="1546"/>
      <c r="AW17" s="1546"/>
      <c r="AX17" s="1548"/>
      <c r="AY17" s="1548"/>
      <c r="AZ17" s="1548"/>
      <c r="BA17" s="1565">
        <v>3733.7</v>
      </c>
      <c r="BB17" s="1548"/>
      <c r="BC17" s="1548"/>
      <c r="BD17" s="1548"/>
      <c r="BE17" s="1551"/>
      <c r="BF17" s="1546"/>
      <c r="BG17" s="112">
        <f t="shared" si="4"/>
        <v>0</v>
      </c>
      <c r="BH17" s="140">
        <f t="shared" si="5"/>
        <v>0</v>
      </c>
      <c r="BI17" s="132"/>
      <c r="BJ17" s="140">
        <f t="shared" si="6"/>
        <v>0</v>
      </c>
      <c r="BK17" s="141"/>
      <c r="BL17" s="141"/>
      <c r="BM17" s="141"/>
      <c r="BN17" s="141"/>
      <c r="BO17" s="141"/>
      <c r="BP17" s="130">
        <f t="shared" si="7"/>
        <v>0</v>
      </c>
      <c r="BQ17" s="132"/>
    </row>
    <row r="18" ht="14.25" customHeight="1">
      <c r="A18" s="132"/>
      <c r="B18" s="93">
        <v>46034</v>
      </c>
      <c r="C18" s="133">
        <f>54354.94-0-0</f>
      </c>
      <c r="D18" s="134"/>
      <c r="E18" s="132"/>
      <c r="F18" s="135"/>
      <c r="G18" s="147">
        <f t="shared" si="0"/>
        <v>0</v>
      </c>
      <c r="H18" s="148"/>
      <c r="I18" s="143"/>
      <c r="J18" s="143"/>
      <c r="K18" s="145">
        <v>1361.87</v>
      </c>
      <c r="L18" s="143"/>
      <c r="M18" s="143"/>
      <c r="N18" s="143"/>
      <c r="O18" s="143"/>
      <c r="P18" s="143"/>
      <c r="Q18" s="143"/>
      <c r="R18" s="143">
        <v>160.13</v>
      </c>
      <c r="S18" s="143"/>
      <c r="T18" s="143"/>
      <c r="U18" s="103">
        <f t="shared" si="8"/>
        <v>0</v>
      </c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03">
        <f t="shared" si="1"/>
        <v>0</v>
      </c>
      <c r="AK18" s="134">
        <v>15193.91</v>
      </c>
      <c r="AL18" s="134">
        <v>2580.56</v>
      </c>
      <c r="AM18" s="136"/>
      <c r="AN18" s="105">
        <f t="shared" si="2"/>
        <v>0</v>
      </c>
      <c r="AO18" s="145">
        <v>63</v>
      </c>
      <c r="AP18" s="143"/>
      <c r="AQ18" s="143"/>
      <c r="AR18" s="146"/>
      <c r="AS18" s="107">
        <f t="shared" si="3"/>
        <v>0</v>
      </c>
      <c r="AT18" s="1566">
        <v>30129.7</v>
      </c>
      <c r="AU18" s="1545"/>
      <c r="AV18" s="1546"/>
      <c r="AW18" s="1546"/>
      <c r="AX18" s="1548"/>
      <c r="AY18" s="1548"/>
      <c r="AZ18" s="1548"/>
      <c r="BA18" s="1567">
        <v>4864.4</v>
      </c>
      <c r="BB18" s="1548"/>
      <c r="BC18" s="1548"/>
      <c r="BD18" s="1548"/>
      <c r="BE18" s="1551"/>
      <c r="BF18" s="1546"/>
      <c r="BG18" s="112">
        <f t="shared" si="4"/>
        <v>0</v>
      </c>
      <c r="BH18" s="140">
        <f t="shared" si="5"/>
        <v>0</v>
      </c>
      <c r="BI18" s="132"/>
      <c r="BJ18" s="140">
        <f t="shared" si="6"/>
        <v>0</v>
      </c>
      <c r="BK18" s="141"/>
      <c r="BL18" s="141"/>
      <c r="BM18" s="141"/>
      <c r="BN18" s="141"/>
      <c r="BO18" s="141"/>
      <c r="BP18" s="130">
        <f t="shared" si="7"/>
        <v>0</v>
      </c>
      <c r="BQ18" s="132"/>
    </row>
    <row r="19" ht="14.25" customHeight="1">
      <c r="A19" s="132"/>
      <c r="B19" s="93">
        <v>46035</v>
      </c>
      <c r="C19" s="133">
        <f>52592.39-0-0</f>
      </c>
      <c r="D19" s="134"/>
      <c r="E19" s="132"/>
      <c r="F19" s="135"/>
      <c r="G19" s="147">
        <f t="shared" si="0"/>
        <v>0</v>
      </c>
      <c r="H19" s="148"/>
      <c r="I19" s="143"/>
      <c r="J19" s="143"/>
      <c r="K19" s="143"/>
      <c r="L19" s="143"/>
      <c r="M19" s="143"/>
      <c r="N19" s="143"/>
      <c r="O19" s="143"/>
      <c r="P19" s="143"/>
      <c r="Q19" s="143"/>
      <c r="R19" s="145">
        <v>1538.9</v>
      </c>
      <c r="S19" s="143"/>
      <c r="T19" s="143"/>
      <c r="U19" s="103">
        <f t="shared" si="8"/>
        <v>0</v>
      </c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03">
        <f t="shared" si="1"/>
        <v>0</v>
      </c>
      <c r="AK19" s="134">
        <v>15393.62</v>
      </c>
      <c r="AL19" s="134">
        <v>2697.59</v>
      </c>
      <c r="AM19" s="136"/>
      <c r="AN19" s="105">
        <f t="shared" si="2"/>
        <v>0</v>
      </c>
      <c r="AO19" s="145">
        <v>37.57</v>
      </c>
      <c r="AP19" s="143"/>
      <c r="AQ19" s="143"/>
      <c r="AR19" s="149">
        <v>2.25</v>
      </c>
      <c r="AS19" s="107">
        <f t="shared" si="3"/>
        <v>0</v>
      </c>
      <c r="AT19" s="1566">
        <v>27172.8</v>
      </c>
      <c r="AU19" s="1545"/>
      <c r="AV19" s="1546"/>
      <c r="AW19" s="1546"/>
      <c r="AX19" s="1548"/>
      <c r="AY19" s="1548"/>
      <c r="AZ19" s="1548"/>
      <c r="BA19" s="1567">
        <v>4999.7</v>
      </c>
      <c r="BB19" s="1548"/>
      <c r="BC19" s="1548"/>
      <c r="BD19" s="1548"/>
      <c r="BE19" s="1551"/>
      <c r="BF19" s="1546"/>
      <c r="BG19" s="112">
        <f t="shared" si="4"/>
        <v>0</v>
      </c>
      <c r="BH19" s="140">
        <f t="shared" si="5"/>
        <v>0</v>
      </c>
      <c r="BI19" s="132"/>
      <c r="BJ19" s="140">
        <f t="shared" si="6"/>
        <v>0</v>
      </c>
      <c r="BK19" s="141"/>
      <c r="BL19" s="141"/>
      <c r="BM19" s="150"/>
      <c r="BN19" s="141">
        <v>750</v>
      </c>
      <c r="BO19" s="141"/>
      <c r="BP19" s="130">
        <f t="shared" si="7"/>
        <v>0</v>
      </c>
      <c r="BQ19" s="132"/>
    </row>
    <row r="20" ht="14.25" customHeight="1">
      <c r="A20" s="132"/>
      <c r="B20" s="93">
        <v>46036</v>
      </c>
      <c r="C20" s="133">
        <f>51937.34-0-0</f>
      </c>
      <c r="D20" s="134"/>
      <c r="E20" s="132"/>
      <c r="F20" s="135"/>
      <c r="G20" s="147">
        <f t="shared" si="0"/>
        <v>0</v>
      </c>
      <c r="H20" s="148"/>
      <c r="I20" s="143"/>
      <c r="J20" s="143"/>
      <c r="K20" s="145">
        <v>1383.34</v>
      </c>
      <c r="L20" s="143"/>
      <c r="M20" s="143"/>
      <c r="N20" s="143"/>
      <c r="O20" s="143"/>
      <c r="P20" s="143"/>
      <c r="Q20" s="143"/>
      <c r="R20" s="145">
        <v>260.03</v>
      </c>
      <c r="S20" s="143"/>
      <c r="T20" s="143"/>
      <c r="U20" s="103">
        <f t="shared" si="8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03">
        <f t="shared" si="1"/>
        <v>0</v>
      </c>
      <c r="AK20" s="134">
        <v>14123.01</v>
      </c>
      <c r="AL20" s="134">
        <v>2196.13</v>
      </c>
      <c r="AM20" s="136"/>
      <c r="AN20" s="105">
        <f t="shared" si="2"/>
        <v>0</v>
      </c>
      <c r="AO20" s="145">
        <v>55.36</v>
      </c>
      <c r="AP20" s="143"/>
      <c r="AQ20" s="143"/>
      <c r="AR20" s="146"/>
      <c r="AS20" s="107">
        <f t="shared" si="3"/>
        <v>0</v>
      </c>
      <c r="AT20" s="1568">
        <v>29582.9</v>
      </c>
      <c r="AU20" s="1545"/>
      <c r="AV20" s="1546"/>
      <c r="AW20" s="1546"/>
      <c r="AX20" s="1548"/>
      <c r="AY20" s="1548"/>
      <c r="AZ20" s="1548"/>
      <c r="BA20" s="1569">
        <v>4336.9</v>
      </c>
      <c r="BB20" s="1548"/>
      <c r="BC20" s="1548"/>
      <c r="BD20" s="1548"/>
      <c r="BE20" s="1551"/>
      <c r="BF20" s="1546"/>
      <c r="BG20" s="112">
        <f t="shared" si="4"/>
        <v>0</v>
      </c>
      <c r="BH20" s="140">
        <f t="shared" si="5"/>
        <v>0</v>
      </c>
      <c r="BI20" s="132"/>
      <c r="BJ20" s="140">
        <f t="shared" si="6"/>
        <v>0</v>
      </c>
      <c r="BK20" s="141"/>
      <c r="BL20" s="141"/>
      <c r="BM20" s="141"/>
      <c r="BN20" s="141"/>
      <c r="BO20" s="141"/>
      <c r="BP20" s="130">
        <f t="shared" si="7"/>
        <v>0</v>
      </c>
      <c r="BQ20" s="132"/>
    </row>
    <row r="21" ht="14.25" customHeight="1">
      <c r="A21" s="132"/>
      <c r="B21" s="93">
        <v>46037</v>
      </c>
      <c r="C21" s="133">
        <f>53395.35-0-0</f>
      </c>
      <c r="D21" s="134"/>
      <c r="E21" s="132"/>
      <c r="F21" s="135"/>
      <c r="G21" s="147">
        <f t="shared" si="0"/>
        <v>0</v>
      </c>
      <c r="H21" s="148"/>
      <c r="I21" s="143"/>
      <c r="J21" s="143"/>
      <c r="K21" s="145">
        <v>536.03</v>
      </c>
      <c r="L21" s="143"/>
      <c r="M21" s="145">
        <v>776.6</v>
      </c>
      <c r="N21" s="143"/>
      <c r="O21" s="143"/>
      <c r="P21" s="143"/>
      <c r="Q21" s="143"/>
      <c r="R21" s="143">
        <v>283.34</v>
      </c>
      <c r="S21" s="143"/>
      <c r="T21" s="143"/>
      <c r="U21" s="103">
        <f t="shared" si="8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03">
        <f t="shared" si="1"/>
        <v>0</v>
      </c>
      <c r="AK21" s="134">
        <v>16107.84</v>
      </c>
      <c r="AL21" s="134">
        <v>2154.21</v>
      </c>
      <c r="AM21" s="136"/>
      <c r="AN21" s="105">
        <f t="shared" si="2"/>
        <v>0</v>
      </c>
      <c r="AO21" s="145">
        <v>74.48</v>
      </c>
      <c r="AP21" s="143"/>
      <c r="AQ21" s="143"/>
      <c r="AR21" s="146"/>
      <c r="AS21" s="107">
        <f t="shared" si="3"/>
        <v>0</v>
      </c>
      <c r="AT21" s="1568">
        <v>28482</v>
      </c>
      <c r="AU21" s="1570"/>
      <c r="AV21" s="1571"/>
      <c r="AW21" s="1546"/>
      <c r="AX21" s="1548"/>
      <c r="AY21" s="1548"/>
      <c r="AZ21" s="1548"/>
      <c r="BA21" s="1569">
        <v>4980</v>
      </c>
      <c r="BB21" s="1548"/>
      <c r="BC21" s="1548"/>
      <c r="BD21" s="1548"/>
      <c r="BE21" s="1551"/>
      <c r="BF21" s="1546"/>
      <c r="BG21" s="112">
        <f t="shared" si="4"/>
        <v>0</v>
      </c>
      <c r="BH21" s="140">
        <f t="shared" si="5"/>
        <v>0</v>
      </c>
      <c r="BI21" s="132"/>
      <c r="BJ21" s="140">
        <f t="shared" si="6"/>
        <v>0</v>
      </c>
      <c r="BK21" s="141"/>
      <c r="BL21" s="141"/>
      <c r="BM21" s="141"/>
      <c r="BN21" s="141"/>
      <c r="BO21" s="141"/>
      <c r="BP21" s="130">
        <f t="shared" si="7"/>
        <v>0</v>
      </c>
      <c r="BQ21" s="132"/>
    </row>
    <row r="22" ht="14.25" customHeight="1">
      <c r="A22" s="132"/>
      <c r="B22" s="93">
        <v>46038</v>
      </c>
      <c r="C22" s="133">
        <f>60129.84-0-0</f>
      </c>
      <c r="D22" s="134"/>
      <c r="E22" s="132"/>
      <c r="F22" s="135"/>
      <c r="G22" s="147">
        <f t="shared" si="0"/>
        <v>0</v>
      </c>
      <c r="H22" s="151">
        <v>760.9</v>
      </c>
      <c r="I22" s="143"/>
      <c r="J22" s="143"/>
      <c r="K22" s="145">
        <v>470</v>
      </c>
      <c r="L22" s="143"/>
      <c r="M22" s="143"/>
      <c r="N22" s="145">
        <v>2467.47</v>
      </c>
      <c r="O22" s="143"/>
      <c r="P22" s="143"/>
      <c r="Q22" s="143"/>
      <c r="R22" s="145">
        <v>143.03</v>
      </c>
      <c r="S22" s="143"/>
      <c r="T22" s="143"/>
      <c r="U22" s="103">
        <f t="shared" si="8"/>
        <v>0</v>
      </c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03">
        <f t="shared" si="1"/>
        <v>0</v>
      </c>
      <c r="AK22" s="134">
        <v>16002.6</v>
      </c>
      <c r="AL22" s="134">
        <v>2419.74</v>
      </c>
      <c r="AM22" s="136"/>
      <c r="AN22" s="105">
        <f t="shared" si="2"/>
        <v>0</v>
      </c>
      <c r="AO22" s="145">
        <v>78.67</v>
      </c>
      <c r="AP22" s="143"/>
      <c r="AQ22" s="143"/>
      <c r="AR22" s="146"/>
      <c r="AS22" s="107">
        <f t="shared" si="3"/>
        <v>0</v>
      </c>
      <c r="AT22" s="1572">
        <v>32592.2</v>
      </c>
      <c r="AU22" s="1545"/>
      <c r="AV22" s="1546"/>
      <c r="AW22" s="1546"/>
      <c r="AX22" s="1548"/>
      <c r="AY22" s="1548"/>
      <c r="AZ22" s="1548"/>
      <c r="BA22" s="1573">
        <v>5194.9</v>
      </c>
      <c r="BB22" s="1548"/>
      <c r="BC22" s="1548"/>
      <c r="BD22" s="1548"/>
      <c r="BE22" s="1551"/>
      <c r="BF22" s="1546"/>
      <c r="BG22" s="112">
        <f t="shared" si="4"/>
        <v>0</v>
      </c>
      <c r="BH22" s="140">
        <f t="shared" si="5"/>
        <v>0</v>
      </c>
      <c r="BI22" s="132"/>
      <c r="BJ22" s="140">
        <f t="shared" si="6"/>
        <v>0</v>
      </c>
      <c r="BK22" s="141"/>
      <c r="BL22" s="141"/>
      <c r="BM22" s="141"/>
      <c r="BN22" s="141"/>
      <c r="BO22" s="141"/>
      <c r="BP22" s="130">
        <f t="shared" si="7"/>
        <v>0</v>
      </c>
      <c r="BQ22" s="132"/>
    </row>
    <row r="23" ht="14.25" customHeight="1">
      <c r="A23" s="132"/>
      <c r="B23" s="93">
        <v>46039</v>
      </c>
      <c r="C23" s="133">
        <f>57515.00-0-0</f>
      </c>
      <c r="D23" s="134"/>
      <c r="E23" s="132"/>
      <c r="F23" s="135"/>
      <c r="G23" s="147">
        <f t="shared" si="0"/>
        <v>0</v>
      </c>
      <c r="H23" s="148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03">
        <f t="shared" si="8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03">
        <f t="shared" si="1"/>
        <v>0</v>
      </c>
      <c r="AK23" s="134">
        <v>20967.55</v>
      </c>
      <c r="AL23" s="134">
        <v>2282.88</v>
      </c>
      <c r="AM23" s="136"/>
      <c r="AN23" s="105">
        <f t="shared" si="2"/>
        <v>0</v>
      </c>
      <c r="AO23" s="145">
        <v>50.6</v>
      </c>
      <c r="AP23" s="143"/>
      <c r="AQ23" s="143"/>
      <c r="AR23" s="146"/>
      <c r="AS23" s="107">
        <f t="shared" si="3"/>
        <v>0</v>
      </c>
      <c r="AT23" s="1572">
        <v>28458.4</v>
      </c>
      <c r="AU23" s="1545"/>
      <c r="AV23" s="1546"/>
      <c r="AW23" s="1546"/>
      <c r="AX23" s="1548"/>
      <c r="AY23" s="1548"/>
      <c r="AZ23" s="1548"/>
      <c r="BA23" s="1573">
        <v>5755.5</v>
      </c>
      <c r="BB23" s="1548"/>
      <c r="BC23" s="1548"/>
      <c r="BD23" s="1548"/>
      <c r="BE23" s="1551"/>
      <c r="BF23" s="1546"/>
      <c r="BG23" s="112">
        <f t="shared" si="4"/>
        <v>0</v>
      </c>
      <c r="BH23" s="140">
        <f t="shared" si="5"/>
        <v>0</v>
      </c>
      <c r="BI23" s="132"/>
      <c r="BJ23" s="140">
        <f t="shared" si="6"/>
        <v>0</v>
      </c>
      <c r="BK23" s="141"/>
      <c r="BL23" s="141"/>
      <c r="BM23" s="141"/>
      <c r="BN23" s="141"/>
      <c r="BO23" s="141"/>
      <c r="BP23" s="130">
        <f t="shared" si="7"/>
        <v>0</v>
      </c>
      <c r="BQ23" s="132"/>
    </row>
    <row r="24" ht="14.25" customHeight="1">
      <c r="A24" s="132"/>
      <c r="B24" s="93">
        <v>46040</v>
      </c>
      <c r="C24" s="133">
        <f>47322.64-0-0</f>
      </c>
      <c r="D24" s="134"/>
      <c r="E24" s="132"/>
      <c r="F24" s="135"/>
      <c r="G24" s="147">
        <f t="shared" si="0"/>
        <v>0</v>
      </c>
      <c r="H24" s="148"/>
      <c r="I24" s="143"/>
      <c r="J24" s="143"/>
      <c r="K24" s="145">
        <v>879.02</v>
      </c>
      <c r="L24" s="143"/>
      <c r="M24" s="145">
        <v>627.24</v>
      </c>
      <c r="N24" s="143"/>
      <c r="O24" s="143"/>
      <c r="P24" s="143"/>
      <c r="Q24" s="143"/>
      <c r="R24" s="145">
        <v>240</v>
      </c>
      <c r="S24" s="143"/>
      <c r="T24" s="143"/>
      <c r="U24" s="103">
        <f t="shared" si="8"/>
        <v>0</v>
      </c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03">
        <f t="shared" si="1"/>
        <v>0</v>
      </c>
      <c r="AK24" s="134">
        <v>13229.67</v>
      </c>
      <c r="AL24" s="134">
        <v>1929.15</v>
      </c>
      <c r="AM24" s="136"/>
      <c r="AN24" s="105">
        <f t="shared" si="2"/>
        <v>0</v>
      </c>
      <c r="AO24" s="145">
        <v>23.22</v>
      </c>
      <c r="AP24" s="143"/>
      <c r="AQ24" s="143"/>
      <c r="AR24" s="146"/>
      <c r="AS24" s="107">
        <f t="shared" si="3"/>
        <v>0</v>
      </c>
      <c r="AT24" s="1572">
        <v>27061.4</v>
      </c>
      <c r="AU24" s="1545"/>
      <c r="AV24" s="1546"/>
      <c r="AW24" s="1546"/>
      <c r="AX24" s="1548"/>
      <c r="AY24" s="1548"/>
      <c r="AZ24" s="1548"/>
      <c r="BA24" s="1573">
        <v>3333</v>
      </c>
      <c r="BB24" s="1548"/>
      <c r="BC24" s="1548"/>
      <c r="BD24" s="1548"/>
      <c r="BE24" s="1551"/>
      <c r="BF24" s="1546"/>
      <c r="BG24" s="112">
        <f t="shared" si="4"/>
        <v>0</v>
      </c>
      <c r="BH24" s="140">
        <f t="shared" si="5"/>
        <v>0</v>
      </c>
      <c r="BI24" s="132"/>
      <c r="BJ24" s="140">
        <f t="shared" si="6"/>
        <v>0</v>
      </c>
      <c r="BK24" s="141"/>
      <c r="BL24" s="141"/>
      <c r="BM24" s="141"/>
      <c r="BN24" s="141"/>
      <c r="BO24" s="141"/>
      <c r="BP24" s="130">
        <f t="shared" si="7"/>
        <v>0</v>
      </c>
      <c r="BQ24" s="132"/>
    </row>
    <row r="25" ht="14.25" customHeight="1">
      <c r="A25" s="132"/>
      <c r="B25" s="93">
        <v>46041</v>
      </c>
      <c r="C25" s="133">
        <f>52014.68-0-0</f>
      </c>
      <c r="D25" s="134"/>
      <c r="E25" s="132"/>
      <c r="F25" s="135"/>
      <c r="G25" s="147">
        <f t="shared" si="0"/>
        <v>0</v>
      </c>
      <c r="H25" s="148"/>
      <c r="I25" s="143"/>
      <c r="J25" s="143"/>
      <c r="K25" s="145">
        <v>519.1</v>
      </c>
      <c r="L25" s="143"/>
      <c r="M25" s="143"/>
      <c r="N25" s="143"/>
      <c r="O25" s="143"/>
      <c r="P25" s="143"/>
      <c r="Q25" s="143"/>
      <c r="R25" s="143"/>
      <c r="S25" s="143"/>
      <c r="T25" s="143"/>
      <c r="U25" s="103">
        <f t="shared" si="8"/>
        <v>0</v>
      </c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03">
        <f t="shared" si="1"/>
        <v>0</v>
      </c>
      <c r="AK25" s="134">
        <v>13257.54</v>
      </c>
      <c r="AL25" s="134">
        <v>1947.36</v>
      </c>
      <c r="AM25" s="136"/>
      <c r="AN25" s="105">
        <f t="shared" si="2"/>
        <v>0</v>
      </c>
      <c r="AO25" s="145">
        <v>62.3</v>
      </c>
      <c r="AP25" s="143"/>
      <c r="AQ25" s="143"/>
      <c r="AR25" s="146"/>
      <c r="AS25" s="107">
        <f t="shared" si="3"/>
        <v>0</v>
      </c>
      <c r="AT25" s="1574">
        <v>31800.9</v>
      </c>
      <c r="AU25" s="1570"/>
      <c r="AV25" s="1575"/>
      <c r="AW25" s="1546"/>
      <c r="AX25" s="1548"/>
      <c r="AY25" s="1548"/>
      <c r="AZ25" s="1548"/>
      <c r="BA25" s="1576">
        <v>4428</v>
      </c>
      <c r="BB25" s="1548"/>
      <c r="BC25" s="1548"/>
      <c r="BD25" s="1548"/>
      <c r="BE25" s="1551"/>
      <c r="BF25" s="1546"/>
      <c r="BG25" s="112">
        <f t="shared" si="4"/>
        <v>0</v>
      </c>
      <c r="BH25" s="140">
        <f t="shared" si="5"/>
        <v>0</v>
      </c>
      <c r="BI25" s="132"/>
      <c r="BJ25" s="140">
        <f t="shared" si="6"/>
        <v>0</v>
      </c>
      <c r="BK25" s="141"/>
      <c r="BL25" s="141"/>
      <c r="BM25" s="141"/>
      <c r="BN25" s="141"/>
      <c r="BO25" s="141"/>
      <c r="BP25" s="130">
        <f t="shared" si="7"/>
        <v>0</v>
      </c>
      <c r="BQ25" s="132"/>
    </row>
    <row r="26" ht="14.25" customHeight="1">
      <c r="A26" s="132"/>
      <c r="B26" s="93">
        <v>46042</v>
      </c>
      <c r="C26" s="133">
        <f>53883.31-0-0</f>
      </c>
      <c r="D26" s="134"/>
      <c r="E26" s="132"/>
      <c r="F26" s="135"/>
      <c r="G26" s="147">
        <f t="shared" si="0"/>
        <v>0</v>
      </c>
      <c r="H26" s="148"/>
      <c r="I26" s="143"/>
      <c r="J26" s="143"/>
      <c r="K26" s="145">
        <v>1550.2</v>
      </c>
      <c r="L26" s="143"/>
      <c r="M26" s="145">
        <v>1154.37</v>
      </c>
      <c r="N26" s="143"/>
      <c r="O26" s="143"/>
      <c r="P26" s="143"/>
      <c r="Q26" s="143"/>
      <c r="R26" s="143"/>
      <c r="S26" s="143"/>
      <c r="T26" s="143"/>
      <c r="U26" s="103">
        <f t="shared" si="8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03">
        <f t="shared" si="1"/>
        <v>0</v>
      </c>
      <c r="AK26" s="134">
        <v>17494.15</v>
      </c>
      <c r="AL26" s="134">
        <v>2196.72</v>
      </c>
      <c r="AM26" s="136"/>
      <c r="AN26" s="105">
        <f t="shared" si="2"/>
        <v>0</v>
      </c>
      <c r="AO26" s="145">
        <v>51.6</v>
      </c>
      <c r="AP26" s="143"/>
      <c r="AQ26" s="143"/>
      <c r="AR26" s="146"/>
      <c r="AS26" s="107">
        <f t="shared" si="3"/>
        <v>0</v>
      </c>
      <c r="AT26" s="1574">
        <v>27294.6</v>
      </c>
      <c r="AU26" s="1570"/>
      <c r="AV26" s="1575"/>
      <c r="AW26" s="1546"/>
      <c r="AX26" s="1548"/>
      <c r="AY26" s="1548"/>
      <c r="AZ26" s="1548"/>
      <c r="BA26" s="1576">
        <v>4141.7</v>
      </c>
      <c r="BB26" s="1548"/>
      <c r="BC26" s="1548"/>
      <c r="BD26" s="1548"/>
      <c r="BE26" s="1551"/>
      <c r="BF26" s="1546"/>
      <c r="BG26" s="112">
        <f t="shared" si="4"/>
        <v>0</v>
      </c>
      <c r="BH26" s="140">
        <f t="shared" si="5"/>
        <v>0</v>
      </c>
      <c r="BI26" s="132"/>
      <c r="BJ26" s="140">
        <f t="shared" si="6"/>
        <v>0</v>
      </c>
      <c r="BK26" s="141"/>
      <c r="BL26" s="141"/>
      <c r="BM26" s="141"/>
      <c r="BN26" s="141"/>
      <c r="BO26" s="141"/>
      <c r="BP26" s="130">
        <f t="shared" si="7"/>
        <v>0</v>
      </c>
      <c r="BQ26" s="132"/>
    </row>
    <row r="27" ht="14.25" customHeight="1">
      <c r="A27" s="132"/>
      <c r="B27" s="93">
        <v>46043</v>
      </c>
      <c r="C27" s="133">
        <f>51443.09-0-0</f>
      </c>
      <c r="D27" s="134"/>
      <c r="E27" s="132"/>
      <c r="F27" s="135"/>
      <c r="G27" s="147">
        <f t="shared" si="0"/>
        <v>0</v>
      </c>
      <c r="H27" s="148"/>
      <c r="I27" s="143"/>
      <c r="J27" s="143"/>
      <c r="K27" s="145">
        <v>470</v>
      </c>
      <c r="L27" s="143"/>
      <c r="M27" s="145">
        <v>51.87</v>
      </c>
      <c r="N27" s="143"/>
      <c r="O27" s="143"/>
      <c r="P27" s="143"/>
      <c r="Q27" s="143"/>
      <c r="R27" s="145">
        <v>478.03</v>
      </c>
      <c r="S27" s="143"/>
      <c r="T27" s="143"/>
      <c r="U27" s="103">
        <f t="shared" si="8"/>
        <v>0</v>
      </c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03">
        <f t="shared" si="1"/>
        <v>0</v>
      </c>
      <c r="AK27" s="134">
        <v>12922.83</v>
      </c>
      <c r="AL27" s="134">
        <v>2654.15</v>
      </c>
      <c r="AM27" s="136"/>
      <c r="AN27" s="105">
        <f t="shared" si="2"/>
        <v>0</v>
      </c>
      <c r="AO27" s="145">
        <v>49.75</v>
      </c>
      <c r="AP27" s="143"/>
      <c r="AQ27" s="143"/>
      <c r="AR27" s="146"/>
      <c r="AS27" s="107">
        <f t="shared" si="3"/>
        <v>0</v>
      </c>
      <c r="AT27" s="1577">
        <v>27664.5</v>
      </c>
      <c r="AU27" s="1545"/>
      <c r="AV27" s="1546"/>
      <c r="AW27" s="1546"/>
      <c r="AX27" s="1548"/>
      <c r="AY27" s="1548"/>
      <c r="AZ27" s="1548"/>
      <c r="BA27" s="1578">
        <v>5152</v>
      </c>
      <c r="BB27" s="1548"/>
      <c r="BC27" s="1548"/>
      <c r="BD27" s="1548"/>
      <c r="BE27" s="1551"/>
      <c r="BF27" s="1546"/>
      <c r="BG27" s="112">
        <f t="shared" si="4"/>
        <v>0</v>
      </c>
      <c r="BH27" s="140">
        <f t="shared" si="5"/>
        <v>0</v>
      </c>
      <c r="BI27" s="132"/>
      <c r="BJ27" s="140">
        <f t="shared" si="6"/>
        <v>0</v>
      </c>
      <c r="BK27" s="141"/>
      <c r="BL27" s="141"/>
      <c r="BM27" s="150"/>
      <c r="BN27" s="141">
        <v>2000</v>
      </c>
      <c r="BO27" s="141"/>
      <c r="BP27" s="130">
        <f t="shared" si="7"/>
        <v>0</v>
      </c>
      <c r="BQ27" s="132"/>
    </row>
    <row r="28" ht="14.25" customHeight="1">
      <c r="A28" s="132"/>
      <c r="B28" s="93">
        <v>46044</v>
      </c>
      <c r="C28" s="133">
        <f>35060.58-0-0</f>
      </c>
      <c r="D28" s="134"/>
      <c r="E28" s="132"/>
      <c r="F28" s="135"/>
      <c r="G28" s="147">
        <f t="shared" si="0"/>
        <v>0</v>
      </c>
      <c r="H28" s="148"/>
      <c r="I28" s="143"/>
      <c r="J28" s="143"/>
      <c r="K28" s="145">
        <v>512.77</v>
      </c>
      <c r="L28" s="143"/>
      <c r="M28" s="143"/>
      <c r="N28" s="143"/>
      <c r="O28" s="143"/>
      <c r="P28" s="143"/>
      <c r="Q28" s="143"/>
      <c r="R28" s="143"/>
      <c r="S28" s="143"/>
      <c r="T28" s="143"/>
      <c r="U28" s="103">
        <f t="shared" si="8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03">
        <f t="shared" si="1"/>
        <v>0</v>
      </c>
      <c r="AK28" s="134">
        <v>10028.3</v>
      </c>
      <c r="AL28" s="134">
        <v>1796.13</v>
      </c>
      <c r="AM28" s="136"/>
      <c r="AN28" s="105">
        <f t="shared" si="2"/>
        <v>0</v>
      </c>
      <c r="AO28" s="145">
        <v>11.66</v>
      </c>
      <c r="AP28" s="143"/>
      <c r="AQ28" s="143"/>
      <c r="AR28" s="146"/>
      <c r="AS28" s="107">
        <f t="shared" si="3"/>
        <v>0</v>
      </c>
      <c r="AT28" s="1577">
        <v>19363.1</v>
      </c>
      <c r="AU28" s="1545"/>
      <c r="AV28" s="1546"/>
      <c r="AW28" s="1546"/>
      <c r="AX28" s="1548"/>
      <c r="AY28" s="1548"/>
      <c r="AZ28" s="1548"/>
      <c r="BA28" s="1578">
        <v>3348.3</v>
      </c>
      <c r="BB28" s="1548"/>
      <c r="BC28" s="1548"/>
      <c r="BD28" s="1548"/>
      <c r="BE28" s="1551"/>
      <c r="BF28" s="1546"/>
      <c r="BG28" s="112">
        <f t="shared" si="4"/>
        <v>0</v>
      </c>
      <c r="BH28" s="140">
        <f t="shared" si="5"/>
        <v>0</v>
      </c>
      <c r="BI28" s="132"/>
      <c r="BJ28" s="140">
        <f t="shared" si="6"/>
        <v>0</v>
      </c>
      <c r="BK28" s="141"/>
      <c r="BL28" s="141"/>
      <c r="BM28" s="141"/>
      <c r="BN28" s="141"/>
      <c r="BO28" s="141"/>
      <c r="BP28" s="130">
        <f t="shared" si="7"/>
        <v>0</v>
      </c>
      <c r="BQ28" s="132"/>
    </row>
    <row r="29" ht="14.25" customHeight="1">
      <c r="A29" s="132"/>
      <c r="B29" s="93">
        <v>46045</v>
      </c>
      <c r="C29" s="133">
        <f>51222.24-0-0</f>
      </c>
      <c r="D29" s="134"/>
      <c r="E29" s="132"/>
      <c r="F29" s="135"/>
      <c r="G29" s="147">
        <f t="shared" si="0"/>
        <v>0</v>
      </c>
      <c r="H29" s="151">
        <v>561.66</v>
      </c>
      <c r="I29" s="143"/>
      <c r="J29" s="143"/>
      <c r="K29" s="145">
        <v>863.44</v>
      </c>
      <c r="L29" s="143"/>
      <c r="M29" s="145">
        <v>48.93</v>
      </c>
      <c r="N29" s="143"/>
      <c r="O29" s="143"/>
      <c r="P29" s="143"/>
      <c r="Q29" s="143"/>
      <c r="R29" s="145">
        <v>146.93</v>
      </c>
      <c r="S29" s="143"/>
      <c r="T29" s="143"/>
      <c r="U29" s="103">
        <f t="shared" si="8"/>
        <v>0</v>
      </c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03">
        <f t="shared" si="1"/>
        <v>0</v>
      </c>
      <c r="AK29" s="134">
        <v>14114.57</v>
      </c>
      <c r="AL29" s="134">
        <v>3064.33</v>
      </c>
      <c r="AM29" s="136"/>
      <c r="AN29" s="105">
        <f t="shared" si="2"/>
        <v>0</v>
      </c>
      <c r="AO29" s="145">
        <v>39.6</v>
      </c>
      <c r="AP29" s="143"/>
      <c r="AQ29" s="143"/>
      <c r="AR29" s="146"/>
      <c r="AS29" s="107">
        <f t="shared" si="3"/>
        <v>0</v>
      </c>
      <c r="AT29" s="1566">
        <v>26294</v>
      </c>
      <c r="AU29" s="1545"/>
      <c r="AV29" s="1546"/>
      <c r="AW29" s="1546"/>
      <c r="AX29" s="1548"/>
      <c r="AY29" s="1548"/>
      <c r="AZ29" s="1548"/>
      <c r="BA29" s="1563">
        <v>4659</v>
      </c>
      <c r="BB29" s="1548"/>
      <c r="BC29" s="1548"/>
      <c r="BD29" s="1548"/>
      <c r="BE29" s="1551"/>
      <c r="BF29" s="1546"/>
      <c r="BG29" s="112">
        <f t="shared" si="4"/>
        <v>0</v>
      </c>
      <c r="BH29" s="140">
        <f t="shared" si="5"/>
        <v>0</v>
      </c>
      <c r="BI29" s="132"/>
      <c r="BJ29" s="140">
        <f t="shared" si="6"/>
        <v>0</v>
      </c>
      <c r="BK29" s="141"/>
      <c r="BL29" s="141"/>
      <c r="BM29" s="150"/>
      <c r="BN29" s="141">
        <v>1430</v>
      </c>
      <c r="BO29" s="141"/>
      <c r="BP29" s="130">
        <f t="shared" si="7"/>
        <v>0</v>
      </c>
      <c r="BQ29" s="132"/>
    </row>
    <row r="30" ht="14.25" customHeight="1">
      <c r="A30" s="132"/>
      <c r="B30" s="93">
        <v>46046</v>
      </c>
      <c r="C30" s="133">
        <f>57745.31-0-0</f>
      </c>
      <c r="D30" s="134"/>
      <c r="E30" s="132"/>
      <c r="F30" s="135"/>
      <c r="G30" s="147">
        <f t="shared" si="0"/>
        <v>0</v>
      </c>
      <c r="H30" s="148"/>
      <c r="I30" s="143"/>
      <c r="J30" s="143"/>
      <c r="K30" s="145">
        <v>421.97</v>
      </c>
      <c r="L30" s="143"/>
      <c r="M30" s="145">
        <v>862.63</v>
      </c>
      <c r="N30" s="143"/>
      <c r="O30" s="143"/>
      <c r="P30" s="143"/>
      <c r="Q30" s="143"/>
      <c r="R30" s="143">
        <v>343.24</v>
      </c>
      <c r="S30" s="143"/>
      <c r="T30" s="143"/>
      <c r="U30" s="103">
        <f t="shared" si="8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03">
        <f t="shared" si="1"/>
        <v>0</v>
      </c>
      <c r="AK30" s="134">
        <v>17796.07</v>
      </c>
      <c r="AL30" s="134">
        <v>3244.19</v>
      </c>
      <c r="AM30" s="136"/>
      <c r="AN30" s="105">
        <f t="shared" si="2"/>
        <v>0</v>
      </c>
      <c r="AO30" s="145">
        <v>37.25</v>
      </c>
      <c r="AP30" s="143"/>
      <c r="AQ30" s="143"/>
      <c r="AR30" s="146"/>
      <c r="AS30" s="107">
        <f t="shared" si="3"/>
        <v>0</v>
      </c>
      <c r="AT30" s="1566">
        <v>29468</v>
      </c>
      <c r="AU30" s="1545"/>
      <c r="AV30" s="1546"/>
      <c r="AW30" s="1546"/>
      <c r="AX30" s="1548"/>
      <c r="AY30" s="1548"/>
      <c r="AZ30" s="1548"/>
      <c r="BA30" s="1563">
        <v>5573.2</v>
      </c>
      <c r="BB30" s="1548"/>
      <c r="BC30" s="1548"/>
      <c r="BD30" s="1548"/>
      <c r="BE30" s="1551"/>
      <c r="BF30" s="1546"/>
      <c r="BG30" s="112">
        <f t="shared" si="4"/>
        <v>0</v>
      </c>
      <c r="BH30" s="140">
        <f t="shared" si="5"/>
        <v>0</v>
      </c>
      <c r="BI30" s="132"/>
      <c r="BJ30" s="140">
        <f t="shared" si="6"/>
        <v>0</v>
      </c>
      <c r="BK30" s="141"/>
      <c r="BL30" s="141"/>
      <c r="BM30" s="141"/>
      <c r="BN30" s="152"/>
      <c r="BO30" s="141"/>
      <c r="BP30" s="130">
        <f t="shared" si="7"/>
        <v>0</v>
      </c>
      <c r="BQ30" s="132"/>
    </row>
    <row r="31" ht="14.25" customHeight="1">
      <c r="A31" s="132"/>
      <c r="B31" s="93">
        <v>46047</v>
      </c>
      <c r="C31" s="133">
        <f>52052.45-0-0</f>
      </c>
      <c r="D31" s="134"/>
      <c r="E31" s="132"/>
      <c r="F31" s="135"/>
      <c r="G31" s="147">
        <f t="shared" si="0"/>
        <v>0</v>
      </c>
      <c r="H31" s="148"/>
      <c r="I31" s="143"/>
      <c r="J31" s="143"/>
      <c r="K31" s="145">
        <v>889.85</v>
      </c>
      <c r="L31" s="143"/>
      <c r="M31" s="143"/>
      <c r="N31" s="143"/>
      <c r="O31" s="143"/>
      <c r="P31" s="143"/>
      <c r="Q31" s="143"/>
      <c r="R31" s="143"/>
      <c r="S31" s="143"/>
      <c r="T31" s="143"/>
      <c r="U31" s="103">
        <f t="shared" si="8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03">
        <f t="shared" si="1"/>
        <v>0</v>
      </c>
      <c r="AK31" s="134">
        <v>14707.8</v>
      </c>
      <c r="AL31" s="134">
        <v>2660.2</v>
      </c>
      <c r="AM31" s="136"/>
      <c r="AN31" s="105">
        <f t="shared" si="2"/>
        <v>0</v>
      </c>
      <c r="AO31" s="145">
        <v>39.35</v>
      </c>
      <c r="AP31" s="143"/>
      <c r="AQ31" s="143"/>
      <c r="AR31" s="146"/>
      <c r="AS31" s="107">
        <f t="shared" si="3"/>
        <v>0</v>
      </c>
      <c r="AT31" s="1566">
        <v>28649.5</v>
      </c>
      <c r="AU31" s="1545"/>
      <c r="AV31" s="1546"/>
      <c r="AW31" s="1546"/>
      <c r="AX31" s="1548"/>
      <c r="AY31" s="1548"/>
      <c r="AZ31" s="1548"/>
      <c r="BA31" s="1563">
        <v>5105.7</v>
      </c>
      <c r="BB31" s="1548"/>
      <c r="BC31" s="1548"/>
      <c r="BD31" s="1548"/>
      <c r="BE31" s="1551"/>
      <c r="BF31" s="1546"/>
      <c r="BG31" s="112">
        <f t="shared" si="4"/>
        <v>0</v>
      </c>
      <c r="BH31" s="140">
        <f t="shared" si="5"/>
        <v>0</v>
      </c>
      <c r="BI31" s="132"/>
      <c r="BJ31" s="140">
        <f t="shared" si="6"/>
        <v>0</v>
      </c>
      <c r="BK31" s="141"/>
      <c r="BL31" s="141"/>
      <c r="BM31" s="141"/>
      <c r="BN31" s="141"/>
      <c r="BO31" s="141"/>
      <c r="BP31" s="130">
        <f t="shared" si="7"/>
        <v>0</v>
      </c>
      <c r="BQ31" s="132"/>
    </row>
    <row r="32" ht="14.25" customHeight="1">
      <c r="A32" s="132"/>
      <c r="B32" s="93">
        <v>46048</v>
      </c>
      <c r="C32" s="133">
        <f>54329.44-0-0</f>
      </c>
      <c r="D32" s="134"/>
      <c r="E32" s="132"/>
      <c r="F32" s="135"/>
      <c r="G32" s="147">
        <f t="shared" si="0"/>
        <v>0</v>
      </c>
      <c r="H32" s="151">
        <v>285.34</v>
      </c>
      <c r="I32" s="143"/>
      <c r="J32" s="143"/>
      <c r="K32" s="145">
        <v>498.03</v>
      </c>
      <c r="L32" s="143"/>
      <c r="M32" s="143"/>
      <c r="N32" s="143"/>
      <c r="O32" s="143"/>
      <c r="P32" s="143"/>
      <c r="Q32" s="143"/>
      <c r="R32" s="143"/>
      <c r="S32" s="143"/>
      <c r="T32" s="143"/>
      <c r="U32" s="103">
        <f t="shared" si="8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03">
        <f t="shared" si="1"/>
        <v>0</v>
      </c>
      <c r="AK32" s="134">
        <v>20839.16</v>
      </c>
      <c r="AL32" s="134">
        <v>2344.93</v>
      </c>
      <c r="AM32" s="136"/>
      <c r="AN32" s="105">
        <f t="shared" si="2"/>
        <v>0</v>
      </c>
      <c r="AO32" s="145">
        <v>148.65</v>
      </c>
      <c r="AP32" s="143"/>
      <c r="AQ32" s="143"/>
      <c r="AR32" s="146"/>
      <c r="AS32" s="107">
        <f t="shared" si="3"/>
        <v>0</v>
      </c>
      <c r="AT32" s="1579">
        <v>25680.6</v>
      </c>
      <c r="AU32" s="1545"/>
      <c r="AV32" s="1546"/>
      <c r="AW32" s="1546"/>
      <c r="AX32" s="1548"/>
      <c r="AY32" s="1548"/>
      <c r="AZ32" s="1548"/>
      <c r="BA32" s="1580">
        <v>4538.13</v>
      </c>
      <c r="BB32" s="1548"/>
      <c r="BC32" s="1548"/>
      <c r="BD32" s="1548"/>
      <c r="BE32" s="1551"/>
      <c r="BF32" s="1546"/>
      <c r="BG32" s="112">
        <f t="shared" si="4"/>
        <v>0</v>
      </c>
      <c r="BH32" s="140">
        <f t="shared" si="5"/>
        <v>0</v>
      </c>
      <c r="BI32" s="132"/>
      <c r="BJ32" s="140">
        <f t="shared" si="6"/>
        <v>0</v>
      </c>
      <c r="BK32" s="141"/>
      <c r="BL32" s="141"/>
      <c r="BM32" s="141"/>
      <c r="BN32" s="141"/>
      <c r="BO32" s="141"/>
      <c r="BP32" s="130">
        <f t="shared" si="7"/>
        <v>0</v>
      </c>
      <c r="BQ32" s="132"/>
    </row>
    <row r="33" ht="14.25" customHeight="1">
      <c r="A33" s="132"/>
      <c r="B33" s="93">
        <v>46049</v>
      </c>
      <c r="C33" s="133">
        <f>49567.95-0-0</f>
      </c>
      <c r="D33" s="134"/>
      <c r="E33" s="132"/>
      <c r="F33" s="135"/>
      <c r="G33" s="147">
        <f t="shared" si="0"/>
        <v>0</v>
      </c>
      <c r="H33" s="148"/>
      <c r="I33" s="143"/>
      <c r="J33" s="143"/>
      <c r="K33" s="145">
        <v>463.09</v>
      </c>
      <c r="L33" s="143"/>
      <c r="M33" s="143"/>
      <c r="N33" s="145">
        <v>803.07</v>
      </c>
      <c r="O33" s="143"/>
      <c r="P33" s="143"/>
      <c r="Q33" s="143"/>
      <c r="R33" s="143"/>
      <c r="S33" s="143"/>
      <c r="T33" s="143"/>
      <c r="U33" s="103">
        <f t="shared" si="8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03">
        <f t="shared" si="1"/>
        <v>0</v>
      </c>
      <c r="AK33" s="134">
        <v>14171.26</v>
      </c>
      <c r="AL33" s="134">
        <v>2186.7</v>
      </c>
      <c r="AM33" s="136"/>
      <c r="AN33" s="105">
        <f t="shared" si="2"/>
        <v>0</v>
      </c>
      <c r="AO33" s="145">
        <v>24.19</v>
      </c>
      <c r="AP33" s="143"/>
      <c r="AQ33" s="143"/>
      <c r="AR33" s="146"/>
      <c r="AS33" s="107">
        <f t="shared" si="3"/>
        <v>0</v>
      </c>
      <c r="AT33" s="1579">
        <v>27442.2</v>
      </c>
      <c r="AU33" s="1545"/>
      <c r="AV33" s="1546"/>
      <c r="AW33" s="1546"/>
      <c r="AX33" s="1548"/>
      <c r="AY33" s="1548"/>
      <c r="AZ33" s="1548"/>
      <c r="BA33" s="1580">
        <v>4477.4</v>
      </c>
      <c r="BB33" s="1548"/>
      <c r="BC33" s="1548"/>
      <c r="BD33" s="1548"/>
      <c r="BE33" s="1551"/>
      <c r="BF33" s="1546"/>
      <c r="BG33" s="112">
        <f t="shared" si="4"/>
        <v>0</v>
      </c>
      <c r="BH33" s="140">
        <f t="shared" si="5"/>
        <v>0</v>
      </c>
      <c r="BI33" s="132"/>
      <c r="BJ33" s="140">
        <f t="shared" si="6"/>
        <v>0</v>
      </c>
      <c r="BK33" s="141"/>
      <c r="BL33" s="141"/>
      <c r="BM33" s="141"/>
      <c r="BN33" s="141"/>
      <c r="BO33" s="141"/>
      <c r="BP33" s="130">
        <f t="shared" si="7"/>
        <v>0</v>
      </c>
      <c r="BQ33" s="132"/>
    </row>
    <row r="34" ht="14.25" customHeight="1">
      <c r="A34" s="132"/>
      <c r="B34" s="93">
        <v>46050</v>
      </c>
      <c r="C34" s="133">
        <f>54227.45-0-0</f>
      </c>
      <c r="D34" s="134"/>
      <c r="E34" s="132"/>
      <c r="F34" s="135"/>
      <c r="G34" s="147">
        <f t="shared" si="0"/>
        <v>0</v>
      </c>
      <c r="H34" s="148"/>
      <c r="I34" s="143"/>
      <c r="J34" s="143"/>
      <c r="K34" s="145">
        <v>1056.85</v>
      </c>
      <c r="L34" s="143"/>
      <c r="M34" s="145">
        <v>97.73</v>
      </c>
      <c r="N34" s="145">
        <v>3116.66</v>
      </c>
      <c r="O34" s="143"/>
      <c r="P34" s="143"/>
      <c r="Q34" s="143"/>
      <c r="R34" s="143">
        <v>390.67</v>
      </c>
      <c r="S34" s="143"/>
      <c r="T34" s="143"/>
      <c r="U34" s="103">
        <f t="shared" si="8"/>
        <v>0</v>
      </c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03">
        <f t="shared" si="1"/>
        <v>0</v>
      </c>
      <c r="AK34" s="134">
        <v>17241.2</v>
      </c>
      <c r="AL34" s="134">
        <v>2004.36</v>
      </c>
      <c r="AM34" s="136"/>
      <c r="AN34" s="105">
        <f t="shared" si="2"/>
        <v>0</v>
      </c>
      <c r="AO34" s="145">
        <v>44.68</v>
      </c>
      <c r="AP34" s="143"/>
      <c r="AQ34" s="143"/>
      <c r="AR34" s="146"/>
      <c r="AS34" s="107">
        <f t="shared" si="3"/>
        <v>0</v>
      </c>
      <c r="AT34" s="1581">
        <v>25739.8</v>
      </c>
      <c r="AU34" s="1545"/>
      <c r="AV34" s="1546"/>
      <c r="AW34" s="1546"/>
      <c r="AX34" s="1548"/>
      <c r="AY34" s="1548"/>
      <c r="AZ34" s="1548"/>
      <c r="BA34" s="1582">
        <v>4535.5</v>
      </c>
      <c r="BB34" s="1548"/>
      <c r="BC34" s="1548"/>
      <c r="BD34" s="1548"/>
      <c r="BE34" s="1551"/>
      <c r="BF34" s="1546"/>
      <c r="BG34" s="112">
        <f t="shared" si="4"/>
        <v>0</v>
      </c>
      <c r="BH34" s="140">
        <f t="shared" si="5"/>
        <v>0</v>
      </c>
      <c r="BI34" s="132"/>
      <c r="BJ34" s="140">
        <f t="shared" si="6"/>
        <v>0</v>
      </c>
      <c r="BK34" s="141"/>
      <c r="BL34" s="141"/>
      <c r="BM34" s="141"/>
      <c r="BN34" s="141"/>
      <c r="BO34" s="141"/>
      <c r="BP34" s="130">
        <f t="shared" si="7"/>
        <v>0</v>
      </c>
      <c r="BQ34" s="132"/>
    </row>
    <row r="35" ht="14.25" customHeight="1">
      <c r="A35" s="132"/>
      <c r="B35" s="93">
        <v>46051</v>
      </c>
      <c r="C35" s="133">
        <f>53957.26-0-0</f>
      </c>
      <c r="D35" s="134"/>
      <c r="E35" s="132"/>
      <c r="F35" s="135"/>
      <c r="G35" s="147">
        <f t="shared" si="0"/>
        <v>0</v>
      </c>
      <c r="H35" s="148"/>
      <c r="I35" s="143"/>
      <c r="J35" s="143"/>
      <c r="K35" s="145">
        <v>2073.77</v>
      </c>
      <c r="L35" s="143"/>
      <c r="M35" s="143"/>
      <c r="N35" s="145">
        <v>844.1</v>
      </c>
      <c r="O35" s="143"/>
      <c r="P35" s="143"/>
      <c r="Q35" s="143"/>
      <c r="R35" s="145">
        <v>225.16</v>
      </c>
      <c r="S35" s="143"/>
      <c r="T35" s="143"/>
      <c r="U35" s="103">
        <f t="shared" si="8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03">
        <f t="shared" si="1"/>
        <v>0</v>
      </c>
      <c r="AK35" s="134">
        <v>19462.08</v>
      </c>
      <c r="AL35" s="134">
        <v>2563.67</v>
      </c>
      <c r="AM35" s="136"/>
      <c r="AN35" s="105">
        <f t="shared" si="2"/>
        <v>0</v>
      </c>
      <c r="AO35" s="145">
        <v>37.33</v>
      </c>
      <c r="AP35" s="143"/>
      <c r="AQ35" s="143"/>
      <c r="AR35" s="146"/>
      <c r="AS35" s="107">
        <f t="shared" si="3"/>
        <v>0</v>
      </c>
      <c r="AT35" s="1581">
        <v>24015</v>
      </c>
      <c r="AU35" s="1545"/>
      <c r="AV35" s="1546"/>
      <c r="AW35" s="1546"/>
      <c r="AX35" s="1548"/>
      <c r="AY35" s="1548"/>
      <c r="AZ35" s="1548"/>
      <c r="BA35" s="1582">
        <v>4660.6</v>
      </c>
      <c r="BB35" s="1548"/>
      <c r="BC35" s="1548"/>
      <c r="BD35" s="1548"/>
      <c r="BE35" s="1551"/>
      <c r="BF35" s="1546"/>
      <c r="BG35" s="112">
        <f t="shared" si="4"/>
        <v>0</v>
      </c>
      <c r="BH35" s="140">
        <f t="shared" si="5"/>
        <v>0</v>
      </c>
      <c r="BI35" s="132"/>
      <c r="BJ35" s="140">
        <f t="shared" si="6"/>
        <v>0</v>
      </c>
      <c r="BK35" s="141"/>
      <c r="BL35" s="141"/>
      <c r="BM35" s="150"/>
      <c r="BN35" s="141">
        <v>75.55</v>
      </c>
      <c r="BO35" s="141"/>
      <c r="BP35" s="130">
        <f t="shared" si="7"/>
        <v>0</v>
      </c>
      <c r="BQ35" s="132"/>
    </row>
    <row r="36" ht="14.25" customHeight="1">
      <c r="A36" s="132"/>
      <c r="B36" s="93">
        <v>46052</v>
      </c>
      <c r="C36" s="133">
        <f>54960.75-0-0</f>
      </c>
      <c r="D36" s="134"/>
      <c r="E36" s="132"/>
      <c r="F36" s="135"/>
      <c r="G36" s="147">
        <f t="shared" si="0"/>
        <v>0</v>
      </c>
      <c r="H36" s="151">
        <v>738</v>
      </c>
      <c r="I36" s="143"/>
      <c r="J36" s="143"/>
      <c r="K36" s="143"/>
      <c r="L36" s="143"/>
      <c r="M36" s="145">
        <v>1843.49</v>
      </c>
      <c r="N36" s="143"/>
      <c r="O36" s="143"/>
      <c r="P36" s="143"/>
      <c r="Q36" s="143"/>
      <c r="R36" s="145">
        <v>121.94</v>
      </c>
      <c r="S36" s="143"/>
      <c r="T36" s="143"/>
      <c r="U36" s="103">
        <f t="shared" si="8"/>
        <v>0</v>
      </c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03">
        <f t="shared" si="1"/>
        <v>0</v>
      </c>
      <c r="AK36" s="134">
        <v>17944.06</v>
      </c>
      <c r="AL36" s="134">
        <v>2119.8</v>
      </c>
      <c r="AM36" s="136"/>
      <c r="AN36" s="105">
        <f t="shared" si="2"/>
        <v>0</v>
      </c>
      <c r="AO36" s="145">
        <v>23.91</v>
      </c>
      <c r="AP36" s="143"/>
      <c r="AQ36" s="143"/>
      <c r="AR36" s="146"/>
      <c r="AS36" s="107">
        <f t="shared" si="3"/>
        <v>0</v>
      </c>
      <c r="AT36" s="1583">
        <v>27010</v>
      </c>
      <c r="AU36" s="1545"/>
      <c r="AV36" s="1546"/>
      <c r="AW36" s="1546"/>
      <c r="AX36" s="1548"/>
      <c r="AY36" s="1548"/>
      <c r="AZ36" s="1548"/>
      <c r="BA36" s="1584">
        <v>5159.5</v>
      </c>
      <c r="BB36" s="1548"/>
      <c r="BC36" s="1548"/>
      <c r="BD36" s="1548"/>
      <c r="BE36" s="1551"/>
      <c r="BF36" s="1546"/>
      <c r="BG36" s="112">
        <f t="shared" si="4"/>
        <v>0</v>
      </c>
      <c r="BH36" s="140">
        <f t="shared" si="5"/>
        <v>0</v>
      </c>
      <c r="BI36" s="132"/>
      <c r="BJ36" s="140">
        <f t="shared" si="6"/>
        <v>0</v>
      </c>
      <c r="BK36" s="141"/>
      <c r="BL36" s="141"/>
      <c r="BM36" s="141"/>
      <c r="BN36" s="141"/>
      <c r="BO36" s="141"/>
      <c r="BP36" s="130">
        <f t="shared" si="7"/>
        <v>0</v>
      </c>
      <c r="BQ36" s="132"/>
    </row>
    <row r="37" ht="14.25" customHeight="1">
      <c r="A37" s="132"/>
      <c r="B37" s="93">
        <v>46053</v>
      </c>
      <c r="C37" s="153">
        <f>63678.45-0-0</f>
      </c>
      <c r="D37" s="154"/>
      <c r="E37" s="155"/>
      <c r="F37" s="156"/>
      <c r="G37" s="147">
        <f t="shared" si="0"/>
        <v>0</v>
      </c>
      <c r="H37" s="148"/>
      <c r="I37" s="157"/>
      <c r="J37" s="157"/>
      <c r="K37" s="157"/>
      <c r="L37" s="157"/>
      <c r="M37" s="157"/>
      <c r="N37" s="157"/>
      <c r="O37" s="157"/>
      <c r="P37" s="157"/>
      <c r="Q37" s="157"/>
      <c r="R37" s="158">
        <v>23.01</v>
      </c>
      <c r="S37" s="157"/>
      <c r="T37" s="157"/>
      <c r="U37" s="103">
        <f t="shared" si="8"/>
        <v>0</v>
      </c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03">
        <f t="shared" si="1"/>
        <v>0</v>
      </c>
      <c r="AK37" s="154">
        <v>24856.06</v>
      </c>
      <c r="AL37" s="154">
        <v>3342.96</v>
      </c>
      <c r="AM37" s="159"/>
      <c r="AN37" s="105">
        <f t="shared" si="2"/>
        <v>0</v>
      </c>
      <c r="AO37" s="158">
        <v>72.49</v>
      </c>
      <c r="AP37" s="157"/>
      <c r="AQ37" s="157"/>
      <c r="AR37" s="160"/>
      <c r="AS37" s="107">
        <f t="shared" si="3"/>
        <v>0</v>
      </c>
      <c r="AT37" s="1585">
        <v>30120.8</v>
      </c>
      <c r="AU37" s="1556"/>
      <c r="AV37" s="1557"/>
      <c r="AW37" s="1557"/>
      <c r="AX37" s="1586"/>
      <c r="AY37" s="1586"/>
      <c r="AZ37" s="1586"/>
      <c r="BA37" s="1587">
        <v>5263</v>
      </c>
      <c r="BB37" s="1586"/>
      <c r="BC37" s="1586"/>
      <c r="BD37" s="1586"/>
      <c r="BE37" s="1559"/>
      <c r="BF37" s="1557"/>
      <c r="BG37" s="112">
        <f t="shared" si="4"/>
        <v>0</v>
      </c>
      <c r="BH37" s="162">
        <f t="shared" si="5"/>
        <v>0</v>
      </c>
      <c r="BI37" s="132"/>
      <c r="BJ37" s="162">
        <f t="shared" si="6"/>
        <v>0</v>
      </c>
      <c r="BK37" s="163"/>
      <c r="BL37" s="141"/>
      <c r="BM37" s="163"/>
      <c r="BN37" s="163"/>
      <c r="BO37" s="163"/>
      <c r="BP37" s="164">
        <f t="shared" si="7"/>
        <v>0</v>
      </c>
      <c r="BQ37" s="132"/>
    </row>
    <row r="38" ht="14.25" customHeight="1">
      <c r="A38" s="3"/>
      <c r="B38" s="2"/>
      <c r="C38" s="165">
        <f ref="C38:V38" t="shared" si="9">SUM(C7:C37)</f>
        <v>0</v>
      </c>
      <c r="D38" s="165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/>
      <c r="X38" s="166">
        <f ref="X38:AG38" t="shared" si="10">SUM(X7:X37)</f>
        <v>0</v>
      </c>
      <c r="Y38" s="166">
        <f t="shared" si="10"/>
        <v>0</v>
      </c>
      <c r="Z38" s="166">
        <f t="shared" si="10"/>
        <v>0</v>
      </c>
      <c r="AA38" s="166">
        <f t="shared" si="10"/>
        <v>0</v>
      </c>
      <c r="AB38" s="166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/>
      <c r="AI38" s="166">
        <f ref="AI38:AT38" t="shared" si="11">SUM(AI7:AI37)</f>
        <v>0</v>
      </c>
      <c r="AJ38" s="166">
        <f t="shared" si="11"/>
        <v>0</v>
      </c>
      <c r="AK38" s="166">
        <f t="shared" si="11"/>
        <v>0</v>
      </c>
      <c r="AL38" s="166">
        <f t="shared" si="11"/>
        <v>0</v>
      </c>
      <c r="AM38" s="166">
        <f t="shared" si="11"/>
        <v>0</v>
      </c>
      <c r="AN38" s="166">
        <f t="shared" si="11"/>
        <v>0</v>
      </c>
      <c r="AO38" s="166">
        <f t="shared" si="11"/>
        <v>0</v>
      </c>
      <c r="AP38" s="166">
        <f t="shared" si="11"/>
        <v>0</v>
      </c>
      <c r="AQ38" s="166">
        <f t="shared" si="11"/>
        <v>0</v>
      </c>
      <c r="AR38" s="166">
        <f t="shared" si="11"/>
        <v>0</v>
      </c>
      <c r="AS38" s="167">
        <f t="shared" si="11"/>
        <v>0</v>
      </c>
      <c r="AT38" s="166">
        <f t="shared" si="11"/>
        <v>0</v>
      </c>
      <c r="AU38" s="168"/>
      <c r="AV38" s="169">
        <f ref="AV38:BD38" t="shared" si="12">SUM(AV7:AV37)</f>
        <v>0</v>
      </c>
      <c r="AW38" s="170">
        <f t="shared" si="12"/>
        <v>0</v>
      </c>
      <c r="AX38" s="170">
        <f t="shared" si="12"/>
        <v>0</v>
      </c>
      <c r="AY38" s="170">
        <f t="shared" si="12"/>
        <v>0</v>
      </c>
      <c r="AZ38" s="170">
        <f t="shared" si="12"/>
        <v>0</v>
      </c>
      <c r="BA38" s="170">
        <f t="shared" si="12"/>
        <v>0</v>
      </c>
      <c r="BB38" s="170">
        <f t="shared" si="12"/>
        <v>0</v>
      </c>
      <c r="BC38" s="170">
        <f t="shared" si="12"/>
        <v>0</v>
      </c>
      <c r="BD38" s="170">
        <f t="shared" si="12"/>
        <v>0</v>
      </c>
      <c r="BE38" s="171"/>
      <c r="BF38" s="170">
        <f ref="BF38:BH38" t="shared" si="13">SUM(BF7:BF37)</f>
        <v>0</v>
      </c>
      <c r="BG38" s="166">
        <f t="shared" si="13"/>
        <v>0</v>
      </c>
      <c r="BH38" s="166">
        <f t="shared" si="13"/>
        <v>0</v>
      </c>
      <c r="BI38" s="3"/>
      <c r="BJ38" s="172">
        <f>SUM(BJ7:BJ37)</f>
        <v>0</v>
      </c>
      <c r="BK38" s="172">
        <f ref="BK38:BP38" t="shared" si="14">SUM(BK7:BK37)</f>
        <v>0</v>
      </c>
      <c r="BL38" s="172">
        <f t="shared" si="14"/>
        <v>0</v>
      </c>
      <c r="BM38" s="172">
        <f t="shared" si="14"/>
        <v>0</v>
      </c>
      <c r="BN38" s="172">
        <f t="shared" si="14"/>
        <v>0</v>
      </c>
      <c r="BO38" s="172">
        <f t="shared" si="14"/>
        <v>0</v>
      </c>
      <c r="BP38" s="172">
        <f t="shared" si="14"/>
        <v>0</v>
      </c>
      <c r="BQ38" s="3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4"/>
      <c r="AO39" s="3"/>
      <c r="AP39" s="3"/>
      <c r="AQ39" s="3"/>
      <c r="AR39" s="3"/>
      <c r="AS39" s="4"/>
      <c r="AT39" s="1"/>
      <c r="AU39" s="5"/>
      <c r="AV39" s="3"/>
      <c r="AW39" s="3"/>
      <c r="AX39" s="3"/>
      <c r="AY39" s="3"/>
      <c r="AZ39" s="3"/>
      <c r="BA39" s="3"/>
      <c r="BB39" s="3"/>
      <c r="BC39" s="3"/>
      <c r="BD39" s="3"/>
      <c r="BE39" s="6"/>
      <c r="BF39" s="3"/>
      <c r="BG39" s="4"/>
      <c r="BH39" s="3"/>
      <c r="BI39" s="3"/>
      <c r="BJ39" s="173"/>
      <c r="BK39" s="3"/>
      <c r="BL39" s="3"/>
      <c r="BM39" s="3"/>
      <c r="BN39" s="3"/>
      <c r="BO39" s="3"/>
      <c r="BP39" s="173"/>
      <c r="BQ39" s="3"/>
    </row>
    <row r="40" ht="14.25" customHeight="1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176"/>
      <c r="AK40" s="3"/>
      <c r="AL40" s="3"/>
      <c r="AM40" s="3"/>
      <c r="AN40" s="4"/>
      <c r="AO40" s="3"/>
      <c r="AP40" s="3"/>
      <c r="AQ40" s="3"/>
      <c r="AR40" s="3"/>
      <c r="AS40" s="4"/>
      <c r="AT40" s="1"/>
      <c r="AU40" s="5"/>
      <c r="AV40" s="3"/>
      <c r="AW40" s="3"/>
      <c r="AX40" s="3"/>
      <c r="AY40" s="3"/>
      <c r="AZ40" s="3"/>
      <c r="BA40" s="3"/>
      <c r="BB40" s="3"/>
      <c r="BC40" s="3"/>
      <c r="BD40" s="3"/>
      <c r="BE40" s="6"/>
      <c r="BF40" s="3"/>
      <c r="BG40" s="177"/>
      <c r="BH40" s="3"/>
      <c r="BI40" s="3"/>
      <c r="BJ40" s="178"/>
      <c r="BK40" s="176"/>
      <c r="BL40" s="176"/>
      <c r="BM40" s="176"/>
      <c r="BN40" s="176"/>
      <c r="BO40" s="176"/>
      <c r="BP40" s="178"/>
      <c r="BQ40" s="3"/>
    </row>
    <row r="41" ht="14.25" customHeight="1">
      <c r="A41" s="132"/>
      <c r="B41" s="179">
        <v>46054</v>
      </c>
      <c r="C41" s="180">
        <f>48442.74-0-0</f>
      </c>
      <c r="D41" s="181"/>
      <c r="E41" s="182"/>
      <c r="F41" s="182"/>
      <c r="G41" s="183">
        <f ref="G41:G69" t="shared" si="15">+C41+D41+E41+F41</f>
        <v>0</v>
      </c>
      <c r="H41" s="184"/>
      <c r="I41" s="185"/>
      <c r="J41" s="186"/>
      <c r="K41" s="186"/>
      <c r="L41" s="187"/>
      <c r="M41" s="188">
        <v>661.31</v>
      </c>
      <c r="N41" s="186"/>
      <c r="O41" s="187"/>
      <c r="P41" s="186"/>
      <c r="Q41" s="186"/>
      <c r="R41" s="186"/>
      <c r="S41" s="186"/>
      <c r="T41" s="186"/>
      <c r="U41" s="189">
        <f>SUM(I41:T41)</f>
        <v>0</v>
      </c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03">
        <f ref="AJ41:AJ69" t="shared" si="16">SUM(V41:AI41)</f>
        <v>0</v>
      </c>
      <c r="AK41" s="181">
        <v>15050.55</v>
      </c>
      <c r="AL41" s="181">
        <v>3522.24</v>
      </c>
      <c r="AM41" s="190"/>
      <c r="AN41" s="191">
        <f ref="AN41:AN69" t="shared" si="17">SUM(AK41:AM41)</f>
        <v>0</v>
      </c>
      <c r="AO41" s="192">
        <v>6</v>
      </c>
      <c r="AP41" s="186"/>
      <c r="AQ41" s="186"/>
      <c r="AR41" s="193"/>
      <c r="AS41" s="194">
        <f ref="AS41:AS69" t="shared" si="18">+G41-U41-AJ41-AN41-AO41-AP41-AQ41-AR41</f>
        <v>0</v>
      </c>
      <c r="AT41" s="1588">
        <v>24207.9</v>
      </c>
      <c r="AU41" s="1589"/>
      <c r="AV41" s="1590"/>
      <c r="AW41" s="1590"/>
      <c r="AX41" s="1591"/>
      <c r="AY41" s="1591"/>
      <c r="AZ41" s="1591"/>
      <c r="BA41" s="1588">
        <v>4994.9</v>
      </c>
      <c r="BB41" s="1591"/>
      <c r="BC41" s="1591"/>
      <c r="BD41" s="1591"/>
      <c r="BE41" s="1592"/>
      <c r="BF41" s="1590"/>
      <c r="BG41" s="112">
        <f ref="BG41:BG69" t="shared" si="19">SUM(AT41:BF41)-BD41</f>
        <v>0</v>
      </c>
      <c r="BH41" s="195">
        <f ref="BH41:BH69" t="shared" si="20">+AS41-BG41</f>
        <v>0</v>
      </c>
      <c r="BI41" s="132"/>
      <c r="BJ41" s="195">
        <f ref="BJ41:BJ69" t="shared" si="21">SUM(BK41:BO41)</f>
        <v>0</v>
      </c>
      <c r="BK41" s="196"/>
      <c r="BL41" s="196"/>
      <c r="BM41" s="196"/>
      <c r="BN41" s="196"/>
      <c r="BO41" s="196"/>
      <c r="BP41" s="116">
        <f ref="BP41:BP69" t="shared" si="22">+BH41-BJ41</f>
        <v>0</v>
      </c>
      <c r="BQ41" s="132"/>
    </row>
    <row r="42" ht="14.25" customHeight="1">
      <c r="A42" s="132"/>
      <c r="B42" s="197">
        <v>46055</v>
      </c>
      <c r="C42" s="133">
        <f>50840.12-0-0</f>
      </c>
      <c r="D42" s="134"/>
      <c r="E42" s="135"/>
      <c r="F42" s="135"/>
      <c r="G42" s="98">
        <f t="shared" si="15"/>
        <v>0</v>
      </c>
      <c r="H42" s="198">
        <v>286.53</v>
      </c>
      <c r="I42" s="144"/>
      <c r="J42" s="143"/>
      <c r="K42" s="145">
        <v>2020.57</v>
      </c>
      <c r="L42" s="132"/>
      <c r="M42" s="143"/>
      <c r="N42" s="136"/>
      <c r="O42" s="132"/>
      <c r="P42" s="143"/>
      <c r="Q42" s="143"/>
      <c r="R42" s="145">
        <v>183.78</v>
      </c>
      <c r="S42" s="143"/>
      <c r="T42" s="143"/>
      <c r="U42" s="103">
        <f>SUM(H42:T42)</f>
        <v>0</v>
      </c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03">
        <f t="shared" si="16"/>
        <v>0</v>
      </c>
      <c r="AK42" s="134">
        <v>15718.11</v>
      </c>
      <c r="AL42" s="134">
        <v>1921.4</v>
      </c>
      <c r="AM42" s="136"/>
      <c r="AN42" s="105">
        <f t="shared" si="17"/>
        <v>0</v>
      </c>
      <c r="AO42" s="199">
        <v>43.88</v>
      </c>
      <c r="AP42" s="143"/>
      <c r="AQ42" s="143"/>
      <c r="AR42" s="146"/>
      <c r="AS42" s="194">
        <f t="shared" si="18"/>
        <v>0</v>
      </c>
      <c r="AT42" s="1593">
        <v>25947.1</v>
      </c>
      <c r="AU42" s="1594"/>
      <c r="AV42" s="1595"/>
      <c r="AW42" s="1595"/>
      <c r="AX42" s="1591"/>
      <c r="AY42" s="1591"/>
      <c r="AZ42" s="1591"/>
      <c r="BA42" s="1596">
        <v>4718.4</v>
      </c>
      <c r="BB42" s="1591"/>
      <c r="BC42" s="1591"/>
      <c r="BD42" s="1591"/>
      <c r="BE42" s="1597"/>
      <c r="BF42" s="1595"/>
      <c r="BG42" s="112">
        <f t="shared" si="19"/>
        <v>0</v>
      </c>
      <c r="BH42" s="140">
        <f t="shared" si="20"/>
        <v>0</v>
      </c>
      <c r="BI42" s="132"/>
      <c r="BJ42" s="140">
        <f t="shared" si="21"/>
        <v>0</v>
      </c>
      <c r="BK42" s="141"/>
      <c r="BL42" s="141"/>
      <c r="BM42" s="141"/>
      <c r="BN42" s="141"/>
      <c r="BO42" s="141"/>
      <c r="BP42" s="130">
        <f t="shared" si="22"/>
        <v>0</v>
      </c>
      <c r="BQ42" s="132"/>
    </row>
    <row r="43" ht="14.25" customHeight="1">
      <c r="A43" s="132"/>
      <c r="B43" s="197">
        <v>46056</v>
      </c>
      <c r="C43" s="133">
        <f>59752.56-0-0</f>
      </c>
      <c r="D43" s="134"/>
      <c r="E43" s="135"/>
      <c r="F43" s="135"/>
      <c r="G43" s="98">
        <f t="shared" si="15"/>
        <v>0</v>
      </c>
      <c r="H43" s="143"/>
      <c r="I43" s="144"/>
      <c r="J43" s="143"/>
      <c r="K43" s="143"/>
      <c r="L43" s="144"/>
      <c r="M43" s="143"/>
      <c r="N43" s="145">
        <v>3644.02</v>
      </c>
      <c r="O43" s="144"/>
      <c r="P43" s="143"/>
      <c r="Q43" s="143"/>
      <c r="R43" s="145">
        <v>4243.9</v>
      </c>
      <c r="S43" s="143"/>
      <c r="T43" s="143"/>
      <c r="U43" s="103">
        <f ref="U43:U45" t="shared" si="23">SUM(I43:T43)</f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3"/>
      <c r="AJ43" s="103">
        <f t="shared" si="16"/>
        <v>0</v>
      </c>
      <c r="AK43" s="134">
        <v>16849.59</v>
      </c>
      <c r="AL43" s="134">
        <v>2468.13</v>
      </c>
      <c r="AM43" s="136"/>
      <c r="AN43" s="105">
        <f t="shared" si="17"/>
        <v>0</v>
      </c>
      <c r="AO43" s="199">
        <v>59.13</v>
      </c>
      <c r="AP43" s="143"/>
      <c r="AQ43" s="143"/>
      <c r="AR43" s="146"/>
      <c r="AS43" s="194">
        <f t="shared" si="18"/>
        <v>0</v>
      </c>
      <c r="AT43" s="1593">
        <v>28488.3</v>
      </c>
      <c r="AU43" s="1594"/>
      <c r="AV43" s="1595"/>
      <c r="AW43" s="1595"/>
      <c r="AX43" s="1591"/>
      <c r="AY43" s="1591"/>
      <c r="AZ43" s="1591"/>
      <c r="BA43" s="1596">
        <v>4000.3</v>
      </c>
      <c r="BB43" s="1591"/>
      <c r="BC43" s="1591"/>
      <c r="BD43" s="1591"/>
      <c r="BE43" s="1597"/>
      <c r="BF43" s="1595"/>
      <c r="BG43" s="112">
        <f t="shared" si="19"/>
        <v>0</v>
      </c>
      <c r="BH43" s="140">
        <f t="shared" si="20"/>
        <v>0</v>
      </c>
      <c r="BI43" s="132"/>
      <c r="BJ43" s="140">
        <f t="shared" si="21"/>
        <v>0</v>
      </c>
      <c r="BK43" s="141"/>
      <c r="BL43" s="141"/>
      <c r="BM43" s="141"/>
      <c r="BN43" s="141"/>
      <c r="BO43" s="141"/>
      <c r="BP43" s="130">
        <f t="shared" si="22"/>
        <v>0</v>
      </c>
      <c r="BQ43" s="132"/>
    </row>
    <row r="44" ht="14.25" customHeight="1">
      <c r="A44" s="132"/>
      <c r="B44" s="197">
        <v>46057</v>
      </c>
      <c r="C44" s="133">
        <f>50577.18-0-0</f>
      </c>
      <c r="D44" s="134"/>
      <c r="E44" s="135"/>
      <c r="F44" s="135"/>
      <c r="G44" s="98">
        <f t="shared" si="15"/>
        <v>0</v>
      </c>
      <c r="H44" s="143"/>
      <c r="I44" s="144"/>
      <c r="J44" s="143"/>
      <c r="K44" s="143"/>
      <c r="L44" s="144"/>
      <c r="M44" s="145">
        <v>85.91</v>
      </c>
      <c r="N44" s="143"/>
      <c r="O44" s="144"/>
      <c r="P44" s="143"/>
      <c r="Q44" s="143"/>
      <c r="R44" s="143"/>
      <c r="S44" s="143"/>
      <c r="T44" s="143"/>
      <c r="U44" s="103">
        <f t="shared" si="23"/>
        <v>0</v>
      </c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03">
        <f t="shared" si="16"/>
        <v>0</v>
      </c>
      <c r="AK44" s="134">
        <v>17153.66</v>
      </c>
      <c r="AL44" s="134">
        <v>2146.87</v>
      </c>
      <c r="AM44" s="136"/>
      <c r="AN44" s="105">
        <f t="shared" si="17"/>
        <v>0</v>
      </c>
      <c r="AO44" s="199">
        <v>53.6</v>
      </c>
      <c r="AP44" s="143"/>
      <c r="AQ44" s="143"/>
      <c r="AR44" s="146"/>
      <c r="AS44" s="194">
        <f t="shared" si="18"/>
        <v>0</v>
      </c>
      <c r="AT44" s="1598">
        <v>25667.4</v>
      </c>
      <c r="AU44" s="1594"/>
      <c r="AV44" s="1595"/>
      <c r="AW44" s="1595"/>
      <c r="AX44" s="1591"/>
      <c r="AY44" s="1591"/>
      <c r="AZ44" s="1591"/>
      <c r="BA44" s="1599">
        <v>5470.5</v>
      </c>
      <c r="BB44" s="1591"/>
      <c r="BC44" s="1591"/>
      <c r="BD44" s="1591"/>
      <c r="BE44" s="1597"/>
      <c r="BF44" s="1595"/>
      <c r="BG44" s="112">
        <f t="shared" si="19"/>
        <v>0</v>
      </c>
      <c r="BH44" s="140">
        <f t="shared" si="20"/>
        <v>0</v>
      </c>
      <c r="BI44" s="132"/>
      <c r="BJ44" s="140">
        <f t="shared" si="21"/>
        <v>0</v>
      </c>
      <c r="BK44" s="141"/>
      <c r="BL44" s="141"/>
      <c r="BM44" s="141"/>
      <c r="BN44" s="141"/>
      <c r="BO44" s="141"/>
      <c r="BP44" s="130">
        <f t="shared" si="22"/>
        <v>0</v>
      </c>
      <c r="BQ44" s="132"/>
    </row>
    <row r="45" ht="14.25" customHeight="1">
      <c r="A45" s="132"/>
      <c r="B45" s="197">
        <v>46058</v>
      </c>
      <c r="C45" s="133">
        <f>60731.75-0-0</f>
      </c>
      <c r="D45" s="200"/>
      <c r="E45" s="135"/>
      <c r="F45" s="135"/>
      <c r="G45" s="98">
        <f t="shared" si="15"/>
        <v>0</v>
      </c>
      <c r="H45" s="143"/>
      <c r="I45" s="144"/>
      <c r="J45" s="143"/>
      <c r="K45" s="145">
        <v>2438.03</v>
      </c>
      <c r="L45" s="144"/>
      <c r="M45" s="143">
        <v>1133.61</v>
      </c>
      <c r="N45" s="143"/>
      <c r="O45" s="144"/>
      <c r="P45" s="143"/>
      <c r="Q45" s="143"/>
      <c r="R45" s="145">
        <v>367.78</v>
      </c>
      <c r="S45" s="143"/>
      <c r="T45" s="143"/>
      <c r="U45" s="103">
        <f t="shared" si="23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03">
        <f t="shared" si="16"/>
        <v>0</v>
      </c>
      <c r="AK45" s="134">
        <v>19203.27</v>
      </c>
      <c r="AL45" s="134">
        <v>2527.32</v>
      </c>
      <c r="AM45" s="136"/>
      <c r="AN45" s="105">
        <f t="shared" si="17"/>
        <v>0</v>
      </c>
      <c r="AO45" s="145">
        <v>48.01</v>
      </c>
      <c r="AP45" s="143"/>
      <c r="AQ45" s="143"/>
      <c r="AR45" s="146"/>
      <c r="AS45" s="194">
        <f t="shared" si="18"/>
        <v>0</v>
      </c>
      <c r="AT45" s="1598">
        <v>30730.3</v>
      </c>
      <c r="AU45" s="1594"/>
      <c r="AV45" s="1595"/>
      <c r="AW45" s="1595"/>
      <c r="AX45" s="1591"/>
      <c r="AY45" s="1591"/>
      <c r="AZ45" s="1591"/>
      <c r="BA45" s="1599">
        <v>4284</v>
      </c>
      <c r="BB45" s="1591"/>
      <c r="BC45" s="1591"/>
      <c r="BD45" s="1591"/>
      <c r="BE45" s="1597"/>
      <c r="BF45" s="1595"/>
      <c r="BG45" s="112">
        <f t="shared" si="19"/>
        <v>0</v>
      </c>
      <c r="BH45" s="140">
        <f t="shared" si="20"/>
        <v>0</v>
      </c>
      <c r="BI45" s="132"/>
      <c r="BJ45" s="140">
        <f t="shared" si="21"/>
        <v>0</v>
      </c>
      <c r="BK45" s="141"/>
      <c r="BL45" s="141"/>
      <c r="BM45" s="141"/>
      <c r="BN45" s="141"/>
      <c r="BO45" s="141"/>
      <c r="BP45" s="130">
        <f t="shared" si="22"/>
        <v>0</v>
      </c>
      <c r="BQ45" s="132"/>
    </row>
    <row r="46" ht="14.25" customHeight="1">
      <c r="A46" s="132"/>
      <c r="B46" s="197">
        <v>46059</v>
      </c>
      <c r="C46" s="133">
        <f>55349.99-0-0</f>
      </c>
      <c r="D46" s="134"/>
      <c r="E46" s="135"/>
      <c r="F46" s="135"/>
      <c r="G46" s="98">
        <f t="shared" si="15"/>
        <v>0</v>
      </c>
      <c r="H46" s="145">
        <v>655.03</v>
      </c>
      <c r="I46" s="144"/>
      <c r="J46" s="143"/>
      <c r="K46" s="143"/>
      <c r="L46" s="144"/>
      <c r="M46" s="145">
        <v>46.72</v>
      </c>
      <c r="N46" s="145">
        <v>1843.05</v>
      </c>
      <c r="O46" s="144"/>
      <c r="P46" s="143"/>
      <c r="Q46" s="143"/>
      <c r="R46" s="143">
        <v>287.33</v>
      </c>
      <c r="S46" s="143"/>
      <c r="T46" s="143"/>
      <c r="U46" s="103">
        <f>SUM(H46:T46)</f>
        <v>0</v>
      </c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03">
        <f t="shared" si="16"/>
        <v>0</v>
      </c>
      <c r="AK46" s="134">
        <v>16172.89</v>
      </c>
      <c r="AL46" s="134">
        <v>3035.35</v>
      </c>
      <c r="AM46" s="136"/>
      <c r="AN46" s="105">
        <f t="shared" si="17"/>
        <v>0</v>
      </c>
      <c r="AO46" s="145">
        <v>50.9</v>
      </c>
      <c r="AP46" s="143"/>
      <c r="AQ46" s="143"/>
      <c r="AR46" s="146"/>
      <c r="AS46" s="194">
        <f t="shared" si="18"/>
        <v>0</v>
      </c>
      <c r="AT46" s="1600">
        <v>28340.4</v>
      </c>
      <c r="AU46" s="1594"/>
      <c r="AV46" s="1595"/>
      <c r="AW46" s="1595"/>
      <c r="AX46" s="1591"/>
      <c r="AY46" s="1591"/>
      <c r="AZ46" s="1591"/>
      <c r="BA46" s="1601">
        <v>4918.4</v>
      </c>
      <c r="BB46" s="1591"/>
      <c r="BC46" s="1591"/>
      <c r="BD46" s="1591"/>
      <c r="BE46" s="1597"/>
      <c r="BF46" s="1595"/>
      <c r="BG46" s="112">
        <f t="shared" si="19"/>
        <v>0</v>
      </c>
      <c r="BH46" s="140">
        <f t="shared" si="20"/>
        <v>0</v>
      </c>
      <c r="BI46" s="132"/>
      <c r="BJ46" s="140">
        <f t="shared" si="21"/>
        <v>0</v>
      </c>
      <c r="BK46" s="141"/>
      <c r="BL46" s="141"/>
      <c r="BM46" s="141"/>
      <c r="BN46" s="141"/>
      <c r="BO46" s="141"/>
      <c r="BP46" s="130">
        <f t="shared" si="22"/>
        <v>0</v>
      </c>
      <c r="BQ46" s="132"/>
    </row>
    <row r="47" ht="16.5" customHeight="1">
      <c r="A47" s="132"/>
      <c r="B47" s="197">
        <v>46060</v>
      </c>
      <c r="C47" s="133">
        <f>61783.66-0-0</f>
      </c>
      <c r="D47" s="134"/>
      <c r="E47" s="135"/>
      <c r="F47" s="135"/>
      <c r="G47" s="98">
        <f t="shared" si="15"/>
        <v>0</v>
      </c>
      <c r="H47" s="143"/>
      <c r="I47" s="144"/>
      <c r="J47" s="143"/>
      <c r="K47" s="143"/>
      <c r="L47" s="144"/>
      <c r="M47" s="143"/>
      <c r="N47" s="143"/>
      <c r="O47" s="144"/>
      <c r="P47" s="143"/>
      <c r="Q47" s="143"/>
      <c r="R47" s="145">
        <v>20.09</v>
      </c>
      <c r="S47" s="143"/>
      <c r="T47" s="143"/>
      <c r="U47" s="103">
        <f ref="U47:U48" t="shared" si="24">SUM(I47:T47)</f>
        <v>0</v>
      </c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03">
        <f t="shared" si="16"/>
        <v>0</v>
      </c>
      <c r="AK47" s="134">
        <v>21529.28</v>
      </c>
      <c r="AL47" s="134">
        <v>2719.98</v>
      </c>
      <c r="AM47" s="136"/>
      <c r="AN47" s="105">
        <f t="shared" si="17"/>
        <v>0</v>
      </c>
      <c r="AO47" s="145">
        <v>74.7</v>
      </c>
      <c r="AP47" s="143"/>
      <c r="AQ47" s="143"/>
      <c r="AR47" s="146"/>
      <c r="AS47" s="194">
        <f t="shared" si="18"/>
        <v>0</v>
      </c>
      <c r="AT47" s="1600">
        <v>33417.1</v>
      </c>
      <c r="AU47" s="1594"/>
      <c r="AV47" s="1595"/>
      <c r="AW47" s="1595"/>
      <c r="AX47" s="1591"/>
      <c r="AY47" s="1591"/>
      <c r="AZ47" s="1591"/>
      <c r="BA47" s="1601">
        <v>4022.6</v>
      </c>
      <c r="BB47" s="1591"/>
      <c r="BC47" s="1591"/>
      <c r="BD47" s="1591"/>
      <c r="BE47" s="1597"/>
      <c r="BF47" s="1595"/>
      <c r="BG47" s="112">
        <f t="shared" si="19"/>
        <v>0</v>
      </c>
      <c r="BH47" s="140">
        <f t="shared" si="20"/>
        <v>0</v>
      </c>
      <c r="BI47" s="132"/>
      <c r="BJ47" s="140">
        <f t="shared" si="21"/>
        <v>0</v>
      </c>
      <c r="BK47" s="141"/>
      <c r="BL47" s="141"/>
      <c r="BM47" s="141"/>
      <c r="BN47" s="141"/>
      <c r="BO47" s="141"/>
      <c r="BP47" s="130">
        <f t="shared" si="22"/>
        <v>0</v>
      </c>
      <c r="BQ47" s="132"/>
    </row>
    <row r="48" ht="15" customHeight="1">
      <c r="A48" s="132"/>
      <c r="B48" s="197">
        <v>46061</v>
      </c>
      <c r="C48" s="133">
        <f>54898.86-0-0</f>
      </c>
      <c r="D48" s="134"/>
      <c r="E48" s="135"/>
      <c r="F48" s="135"/>
      <c r="G48" s="98">
        <f t="shared" si="15"/>
        <v>0</v>
      </c>
      <c r="H48" s="143"/>
      <c r="I48" s="144"/>
      <c r="J48" s="143"/>
      <c r="K48" s="145">
        <v>1079.42</v>
      </c>
      <c r="L48" s="144"/>
      <c r="M48" s="143"/>
      <c r="N48" s="145">
        <v>794.56</v>
      </c>
      <c r="O48" s="144"/>
      <c r="P48" s="143"/>
      <c r="Q48" s="143"/>
      <c r="R48" s="143"/>
      <c r="S48" s="143"/>
      <c r="T48" s="143"/>
      <c r="U48" s="103">
        <f t="shared" si="24"/>
        <v>0</v>
      </c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03">
        <f t="shared" si="16"/>
        <v>0</v>
      </c>
      <c r="AK48" s="134">
        <v>17669.86</v>
      </c>
      <c r="AL48" s="134">
        <v>2795.75</v>
      </c>
      <c r="AM48" s="136"/>
      <c r="AN48" s="105">
        <f t="shared" si="17"/>
        <v>0</v>
      </c>
      <c r="AO48" s="145">
        <v>21.1</v>
      </c>
      <c r="AP48" s="143"/>
      <c r="AQ48" s="143"/>
      <c r="AR48" s="146"/>
      <c r="AS48" s="194">
        <f t="shared" si="18"/>
        <v>0</v>
      </c>
      <c r="AT48" s="1600">
        <v>27987.9</v>
      </c>
      <c r="AU48" s="1594"/>
      <c r="AV48" s="1595"/>
      <c r="AW48" s="1595"/>
      <c r="AX48" s="1591"/>
      <c r="AY48" s="1591"/>
      <c r="AZ48" s="1591"/>
      <c r="BA48" s="1601">
        <v>4550.2</v>
      </c>
      <c r="BB48" s="1591"/>
      <c r="BC48" s="1591"/>
      <c r="BD48" s="1591"/>
      <c r="BE48" s="1597"/>
      <c r="BF48" s="1595"/>
      <c r="BG48" s="112">
        <f t="shared" si="19"/>
        <v>0</v>
      </c>
      <c r="BH48" s="140">
        <f t="shared" si="20"/>
        <v>0</v>
      </c>
      <c r="BI48" s="132"/>
      <c r="BJ48" s="140">
        <f t="shared" si="21"/>
        <v>0</v>
      </c>
      <c r="BK48" s="141"/>
      <c r="BL48" s="141"/>
      <c r="BM48" s="141"/>
      <c r="BN48" s="141"/>
      <c r="BO48" s="141"/>
      <c r="BP48" s="130">
        <f t="shared" si="22"/>
        <v>0</v>
      </c>
      <c r="BQ48" s="132"/>
    </row>
    <row r="49" ht="14.25" customHeight="1">
      <c r="A49" s="132"/>
      <c r="B49" s="197">
        <v>46062</v>
      </c>
      <c r="C49" s="133">
        <f>51302.33-0-0</f>
      </c>
      <c r="D49" s="134"/>
      <c r="E49" s="135"/>
      <c r="F49" s="135"/>
      <c r="G49" s="98">
        <f t="shared" si="15"/>
        <v>0</v>
      </c>
      <c r="H49" s="145">
        <v>258.02</v>
      </c>
      <c r="I49" s="144"/>
      <c r="J49" s="143"/>
      <c r="K49" s="145">
        <v>478.74</v>
      </c>
      <c r="L49" s="144"/>
      <c r="M49" s="143"/>
      <c r="N49" s="143"/>
      <c r="O49" s="144"/>
      <c r="P49" s="143"/>
      <c r="Q49" s="143"/>
      <c r="R49" s="145">
        <v>20.42</v>
      </c>
      <c r="S49" s="143"/>
      <c r="T49" s="143"/>
      <c r="U49" s="103">
        <f ref="U49:U69" t="shared" si="25">SUM(H49:T49)</f>
        <v>0</v>
      </c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03">
        <f t="shared" si="16"/>
        <v>0</v>
      </c>
      <c r="AK49" s="134">
        <v>13934.19</v>
      </c>
      <c r="AL49" s="134">
        <v>1995.69</v>
      </c>
      <c r="AM49" s="136"/>
      <c r="AN49" s="105">
        <f t="shared" si="17"/>
        <v>0</v>
      </c>
      <c r="AO49" s="145">
        <v>43.35</v>
      </c>
      <c r="AP49" s="143"/>
      <c r="AQ49" s="143"/>
      <c r="AR49" s="146"/>
      <c r="AS49" s="194">
        <f t="shared" si="18"/>
        <v>0</v>
      </c>
      <c r="AT49" s="1602">
        <v>29754</v>
      </c>
      <c r="AU49" s="1594"/>
      <c r="AV49" s="1595"/>
      <c r="AW49" s="1595"/>
      <c r="AX49" s="1591"/>
      <c r="AY49" s="1591"/>
      <c r="AZ49" s="1591"/>
      <c r="BA49" s="1602">
        <v>4818.21</v>
      </c>
      <c r="BB49" s="1591"/>
      <c r="BC49" s="1591"/>
      <c r="BD49" s="1591"/>
      <c r="BE49" s="1597"/>
      <c r="BF49" s="1595"/>
      <c r="BG49" s="112">
        <f t="shared" si="19"/>
        <v>0</v>
      </c>
      <c r="BH49" s="140">
        <f t="shared" si="20"/>
        <v>0</v>
      </c>
      <c r="BI49" s="132"/>
      <c r="BJ49" s="140">
        <f t="shared" si="21"/>
        <v>0</v>
      </c>
      <c r="BK49" s="141"/>
      <c r="BL49" s="141"/>
      <c r="BM49" s="141"/>
      <c r="BN49" s="141"/>
      <c r="BO49" s="141"/>
      <c r="BP49" s="130">
        <f t="shared" si="22"/>
        <v>0</v>
      </c>
      <c r="BQ49" s="132"/>
    </row>
    <row r="50" ht="14.25" customHeight="1">
      <c r="A50" s="132"/>
      <c r="B50" s="197">
        <v>46063</v>
      </c>
      <c r="C50" s="133">
        <f>58919.39-0-0</f>
      </c>
      <c r="D50" s="134"/>
      <c r="E50" s="135"/>
      <c r="F50" s="135"/>
      <c r="G50" s="98">
        <f t="shared" si="15"/>
        <v>0</v>
      </c>
      <c r="H50" s="143"/>
      <c r="I50" s="144"/>
      <c r="J50" s="143"/>
      <c r="K50" s="145">
        <v>2623.32</v>
      </c>
      <c r="L50" s="144"/>
      <c r="M50" s="145">
        <v>34.04</v>
      </c>
      <c r="N50" s="143"/>
      <c r="O50" s="144"/>
      <c r="P50" s="143"/>
      <c r="Q50" s="143"/>
      <c r="R50" s="143">
        <v>401.11</v>
      </c>
      <c r="S50" s="143"/>
      <c r="T50" s="143"/>
      <c r="U50" s="103">
        <f t="shared" si="25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03">
        <f t="shared" si="16"/>
        <v>0</v>
      </c>
      <c r="AK50" s="134">
        <v>21146.93</v>
      </c>
      <c r="AL50" s="134">
        <v>2718.64</v>
      </c>
      <c r="AM50" s="136"/>
      <c r="AN50" s="105">
        <f t="shared" si="17"/>
        <v>0</v>
      </c>
      <c r="AO50" s="145">
        <v>41.47</v>
      </c>
      <c r="AP50" s="143"/>
      <c r="AQ50" s="143"/>
      <c r="AR50" s="146"/>
      <c r="AS50" s="194">
        <f t="shared" si="18"/>
        <v>0</v>
      </c>
      <c r="AT50" s="1602">
        <v>26845.3</v>
      </c>
      <c r="AU50" s="1594"/>
      <c r="AV50" s="1595"/>
      <c r="AW50" s="1595"/>
      <c r="AX50" s="1591"/>
      <c r="AY50" s="1591"/>
      <c r="AZ50" s="1591"/>
      <c r="BA50" s="1602">
        <v>5108.7</v>
      </c>
      <c r="BB50" s="1591"/>
      <c r="BC50" s="1591"/>
      <c r="BD50" s="1591"/>
      <c r="BE50" s="1597"/>
      <c r="BF50" s="1595"/>
      <c r="BG50" s="112">
        <f t="shared" si="19"/>
        <v>0</v>
      </c>
      <c r="BH50" s="140">
        <f t="shared" si="20"/>
        <v>0</v>
      </c>
      <c r="BI50" s="132"/>
      <c r="BJ50" s="140">
        <f t="shared" si="21"/>
        <v>0</v>
      </c>
      <c r="BK50" s="141"/>
      <c r="BL50" s="141"/>
      <c r="BM50" s="141"/>
      <c r="BN50" s="141"/>
      <c r="BO50" s="141"/>
      <c r="BP50" s="130">
        <f t="shared" si="22"/>
        <v>0</v>
      </c>
      <c r="BQ50" s="132"/>
    </row>
    <row r="51" ht="14.25" customHeight="1">
      <c r="A51" s="132"/>
      <c r="B51" s="197">
        <v>46064</v>
      </c>
      <c r="C51" s="133">
        <f>58390.10-0-0</f>
      </c>
      <c r="D51" s="134"/>
      <c r="E51" s="135"/>
      <c r="F51" s="135"/>
      <c r="G51" s="98">
        <f t="shared" si="15"/>
        <v>0</v>
      </c>
      <c r="H51" s="143"/>
      <c r="I51" s="144"/>
      <c r="J51" s="143"/>
      <c r="K51" s="143"/>
      <c r="L51" s="144"/>
      <c r="M51" s="145">
        <v>33.71</v>
      </c>
      <c r="N51" s="143"/>
      <c r="O51" s="144"/>
      <c r="P51" s="143"/>
      <c r="Q51" s="143"/>
      <c r="R51" s="145">
        <v>2219.25</v>
      </c>
      <c r="S51" s="143"/>
      <c r="T51" s="143"/>
      <c r="U51" s="103">
        <f t="shared" si="25"/>
        <v>0</v>
      </c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03">
        <f t="shared" si="16"/>
        <v>0</v>
      </c>
      <c r="AK51" s="134">
        <v>15421.79</v>
      </c>
      <c r="AL51" s="134">
        <v>2423</v>
      </c>
      <c r="AM51" s="136"/>
      <c r="AN51" s="105">
        <f t="shared" si="17"/>
        <v>0</v>
      </c>
      <c r="AO51" s="145">
        <v>28.75</v>
      </c>
      <c r="AP51" s="143"/>
      <c r="AQ51" s="143"/>
      <c r="AR51" s="146"/>
      <c r="AS51" s="194">
        <f t="shared" si="18"/>
        <v>0</v>
      </c>
      <c r="AT51" s="1603">
        <v>32920.69</v>
      </c>
      <c r="AU51" s="1594"/>
      <c r="AV51" s="1595"/>
      <c r="AW51" s="1595"/>
      <c r="AX51" s="1591"/>
      <c r="AY51" s="1591"/>
      <c r="AZ51" s="1591"/>
      <c r="BA51" s="1603">
        <v>5373</v>
      </c>
      <c r="BB51" s="1591"/>
      <c r="BC51" s="1591"/>
      <c r="BD51" s="1591"/>
      <c r="BE51" s="1597"/>
      <c r="BF51" s="1595"/>
      <c r="BG51" s="112">
        <f t="shared" si="19"/>
        <v>0</v>
      </c>
      <c r="BH51" s="140">
        <f t="shared" si="20"/>
        <v>0</v>
      </c>
      <c r="BI51" s="132"/>
      <c r="BJ51" s="140">
        <f t="shared" si="21"/>
        <v>0</v>
      </c>
      <c r="BK51" s="141"/>
      <c r="BL51" s="141"/>
      <c r="BM51" s="141"/>
      <c r="BN51" s="141"/>
      <c r="BO51" s="141"/>
      <c r="BP51" s="130">
        <f t="shared" si="22"/>
        <v>0</v>
      </c>
      <c r="BQ51" s="132"/>
    </row>
    <row r="52" ht="14.25" customHeight="1">
      <c r="A52" s="132"/>
      <c r="B52" s="197">
        <v>46065</v>
      </c>
      <c r="C52" s="133">
        <f>67777.19-0-0</f>
      </c>
      <c r="D52" s="134"/>
      <c r="E52" s="135"/>
      <c r="F52" s="135"/>
      <c r="G52" s="98">
        <f t="shared" si="15"/>
        <v>0</v>
      </c>
      <c r="H52" s="143"/>
      <c r="I52" s="144"/>
      <c r="J52" s="143"/>
      <c r="K52" s="143"/>
      <c r="L52" s="144"/>
      <c r="M52" s="143">
        <v>666.39</v>
      </c>
      <c r="N52" s="143"/>
      <c r="O52" s="144"/>
      <c r="P52" s="143"/>
      <c r="Q52" s="143"/>
      <c r="R52" s="143">
        <v>291.33</v>
      </c>
      <c r="S52" s="143"/>
      <c r="T52" s="143"/>
      <c r="U52" s="103">
        <f t="shared" si="25"/>
        <v>0</v>
      </c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03">
        <f t="shared" si="16"/>
        <v>0</v>
      </c>
      <c r="AK52" s="134">
        <v>26114.85</v>
      </c>
      <c r="AL52" s="134">
        <v>3110.09</v>
      </c>
      <c r="AM52" s="136"/>
      <c r="AN52" s="105">
        <f t="shared" si="17"/>
        <v>0</v>
      </c>
      <c r="AO52" s="145">
        <v>140</v>
      </c>
      <c r="AP52" s="143"/>
      <c r="AQ52" s="143"/>
      <c r="AR52" s="146"/>
      <c r="AS52" s="194">
        <f t="shared" si="18"/>
        <v>0</v>
      </c>
      <c r="AT52" s="1603">
        <v>32657.4</v>
      </c>
      <c r="AU52" s="1594"/>
      <c r="AV52" s="1595"/>
      <c r="AW52" s="1595"/>
      <c r="AX52" s="1591"/>
      <c r="AY52" s="1591"/>
      <c r="AZ52" s="1591"/>
      <c r="BA52" s="1603">
        <v>4570.2</v>
      </c>
      <c r="BB52" s="1591"/>
      <c r="BC52" s="1591"/>
      <c r="BD52" s="1591"/>
      <c r="BE52" s="1597"/>
      <c r="BF52" s="1595"/>
      <c r="BG52" s="112">
        <f t="shared" si="19"/>
        <v>0</v>
      </c>
      <c r="BH52" s="140">
        <f t="shared" si="20"/>
        <v>0</v>
      </c>
      <c r="BI52" s="132"/>
      <c r="BJ52" s="140">
        <f t="shared" si="21"/>
        <v>0</v>
      </c>
      <c r="BK52" s="141"/>
      <c r="BL52" s="141"/>
      <c r="BM52" s="141"/>
      <c r="BN52" s="141"/>
      <c r="BO52" s="141"/>
      <c r="BP52" s="130">
        <f t="shared" si="22"/>
        <v>0</v>
      </c>
      <c r="BQ52" s="132"/>
    </row>
    <row r="53" ht="14.25" customHeight="1">
      <c r="A53" s="132"/>
      <c r="B53" s="197">
        <v>46066</v>
      </c>
      <c r="C53" s="133">
        <f>69455.84-0-0</f>
      </c>
      <c r="D53" s="134"/>
      <c r="E53" s="135"/>
      <c r="F53" s="135"/>
      <c r="G53" s="98">
        <f t="shared" si="15"/>
        <v>0</v>
      </c>
      <c r="H53" s="145">
        <v>706.55</v>
      </c>
      <c r="I53" s="144"/>
      <c r="J53" s="143"/>
      <c r="K53" s="145">
        <v>1097.98</v>
      </c>
      <c r="L53" s="144"/>
      <c r="M53" s="143"/>
      <c r="N53" s="143"/>
      <c r="O53" s="144"/>
      <c r="P53" s="143"/>
      <c r="Q53" s="143"/>
      <c r="R53" s="145">
        <v>666.7</v>
      </c>
      <c r="S53" s="143"/>
      <c r="T53" s="143"/>
      <c r="U53" s="103">
        <f t="shared" si="25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03">
        <f t="shared" si="16"/>
        <v>0</v>
      </c>
      <c r="AK53" s="134">
        <v>21555.39</v>
      </c>
      <c r="AL53" s="134">
        <v>3392.21</v>
      </c>
      <c r="AM53" s="136"/>
      <c r="AN53" s="105">
        <f t="shared" si="17"/>
        <v>0</v>
      </c>
      <c r="AO53" s="145">
        <v>12.46</v>
      </c>
      <c r="AP53" s="143"/>
      <c r="AQ53" s="143"/>
      <c r="AR53" s="146"/>
      <c r="AS53" s="194">
        <f t="shared" si="18"/>
        <v>0</v>
      </c>
      <c r="AT53" s="1604">
        <v>36381.2</v>
      </c>
      <c r="AU53" s="1594"/>
      <c r="AV53" s="1595"/>
      <c r="AW53" s="1595"/>
      <c r="AX53" s="1591"/>
      <c r="AY53" s="1591"/>
      <c r="AZ53" s="1591"/>
      <c r="BA53" s="1604">
        <v>5643.6</v>
      </c>
      <c r="BB53" s="1591"/>
      <c r="BC53" s="1591"/>
      <c r="BD53" s="1591"/>
      <c r="BE53" s="1597"/>
      <c r="BF53" s="1595"/>
      <c r="BG53" s="112">
        <f t="shared" si="19"/>
        <v>0</v>
      </c>
      <c r="BH53" s="140">
        <f t="shared" si="20"/>
        <v>0</v>
      </c>
      <c r="BI53" s="132"/>
      <c r="BJ53" s="140">
        <f t="shared" si="21"/>
        <v>0</v>
      </c>
      <c r="BK53" s="141"/>
      <c r="BL53" s="141"/>
      <c r="BM53" s="141"/>
      <c r="BN53" s="141"/>
      <c r="BO53" s="141"/>
      <c r="BP53" s="130">
        <f t="shared" si="22"/>
        <v>0</v>
      </c>
      <c r="BQ53" s="132"/>
    </row>
    <row r="54" ht="14.25" customHeight="1">
      <c r="A54" s="132"/>
      <c r="B54" s="197">
        <v>46067</v>
      </c>
      <c r="C54" s="133">
        <f>70817.76-0-0</f>
      </c>
      <c r="D54" s="134"/>
      <c r="E54" s="135"/>
      <c r="F54" s="135"/>
      <c r="G54" s="98">
        <f t="shared" si="15"/>
        <v>0</v>
      </c>
      <c r="H54" s="143"/>
      <c r="I54" s="144"/>
      <c r="J54" s="143"/>
      <c r="K54" s="145">
        <v>470</v>
      </c>
      <c r="L54" s="144"/>
      <c r="M54" s="140"/>
      <c r="N54" s="140"/>
      <c r="O54" s="144"/>
      <c r="P54" s="143"/>
      <c r="Q54" s="143"/>
      <c r="R54" s="143"/>
      <c r="S54" s="143"/>
      <c r="T54" s="143"/>
      <c r="U54" s="103">
        <f t="shared" si="25"/>
        <v>0</v>
      </c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03">
        <f t="shared" si="16"/>
        <v>0</v>
      </c>
      <c r="AK54" s="134">
        <v>21189.29</v>
      </c>
      <c r="AL54" s="134">
        <v>3724.91</v>
      </c>
      <c r="AM54" s="136"/>
      <c r="AN54" s="105">
        <f t="shared" si="17"/>
        <v>0</v>
      </c>
      <c r="AO54" s="145">
        <v>58.24</v>
      </c>
      <c r="AP54" s="143"/>
      <c r="AQ54" s="143"/>
      <c r="AR54" s="146"/>
      <c r="AS54" s="194">
        <f t="shared" si="18"/>
        <v>0</v>
      </c>
      <c r="AT54" s="1604">
        <v>39003.9</v>
      </c>
      <c r="AU54" s="1594"/>
      <c r="AV54" s="1595"/>
      <c r="AW54" s="1595"/>
      <c r="AX54" s="1591"/>
      <c r="AY54" s="1591"/>
      <c r="AZ54" s="1591"/>
      <c r="BA54" s="1604">
        <v>6371.5</v>
      </c>
      <c r="BB54" s="1591"/>
      <c r="BC54" s="1591"/>
      <c r="BD54" s="1591"/>
      <c r="BE54" s="1597"/>
      <c r="BF54" s="1595"/>
      <c r="BG54" s="112">
        <f t="shared" si="19"/>
        <v>0</v>
      </c>
      <c r="BH54" s="140">
        <f t="shared" si="20"/>
        <v>0</v>
      </c>
      <c r="BI54" s="132"/>
      <c r="BJ54" s="140">
        <f t="shared" si="21"/>
        <v>0</v>
      </c>
      <c r="BK54" s="141"/>
      <c r="BL54" s="141"/>
      <c r="BM54" s="141"/>
      <c r="BN54" s="141"/>
      <c r="BO54" s="141"/>
      <c r="BP54" s="130">
        <f t="shared" si="22"/>
        <v>0</v>
      </c>
      <c r="BQ54" s="132"/>
    </row>
    <row r="55" ht="14.25" customHeight="1">
      <c r="A55" s="132"/>
      <c r="B55" s="197">
        <v>46068</v>
      </c>
      <c r="C55" s="133">
        <f>47660.17-0-0</f>
      </c>
      <c r="D55" s="134"/>
      <c r="E55" s="135"/>
      <c r="F55" s="135"/>
      <c r="G55" s="98">
        <f t="shared" si="15"/>
        <v>0</v>
      </c>
      <c r="H55" s="143"/>
      <c r="I55" s="144"/>
      <c r="J55" s="143"/>
      <c r="K55" s="145">
        <v>2125.35</v>
      </c>
      <c r="L55" s="140"/>
      <c r="M55" s="140"/>
      <c r="N55" s="140"/>
      <c r="O55" s="140"/>
      <c r="P55" s="143"/>
      <c r="Q55" s="143"/>
      <c r="R55" s="145">
        <v>76.86</v>
      </c>
      <c r="S55" s="143"/>
      <c r="T55" s="143"/>
      <c r="U55" s="103">
        <f t="shared" si="25"/>
        <v>0</v>
      </c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43"/>
      <c r="AJ55" s="103">
        <f t="shared" si="16"/>
        <v>0</v>
      </c>
      <c r="AK55" s="134">
        <v>12662.38</v>
      </c>
      <c r="AL55" s="134">
        <v>2828.84</v>
      </c>
      <c r="AM55" s="136"/>
      <c r="AN55" s="105">
        <f t="shared" si="17"/>
        <v>0</v>
      </c>
      <c r="AO55" s="145">
        <v>14.04</v>
      </c>
      <c r="AP55" s="143"/>
      <c r="AQ55" s="143"/>
      <c r="AR55" s="146"/>
      <c r="AS55" s="194">
        <f t="shared" si="18"/>
        <v>0</v>
      </c>
      <c r="AT55" s="1604">
        <v>25424.6</v>
      </c>
      <c r="AU55" s="1594"/>
      <c r="AV55" s="1595"/>
      <c r="AW55" s="1595"/>
      <c r="AX55" s="1591"/>
      <c r="AY55" s="1591"/>
      <c r="AZ55" s="1591"/>
      <c r="BA55" s="1604">
        <v>4528.1</v>
      </c>
      <c r="BB55" s="1591"/>
      <c r="BC55" s="1591"/>
      <c r="BD55" s="1591"/>
      <c r="BE55" s="1597"/>
      <c r="BF55" s="1595"/>
      <c r="BG55" s="112">
        <f t="shared" si="19"/>
        <v>0</v>
      </c>
      <c r="BH55" s="140">
        <f t="shared" si="20"/>
        <v>0</v>
      </c>
      <c r="BI55" s="132"/>
      <c r="BJ55" s="140">
        <f t="shared" si="21"/>
        <v>0</v>
      </c>
      <c r="BK55" s="141"/>
      <c r="BL55" s="141"/>
      <c r="BM55" s="141"/>
      <c r="BN55" s="141"/>
      <c r="BO55" s="141"/>
      <c r="BP55" s="130">
        <f t="shared" si="22"/>
        <v>0</v>
      </c>
      <c r="BQ55" s="132"/>
    </row>
    <row r="56" ht="14.25" customHeight="1">
      <c r="A56" s="132"/>
      <c r="B56" s="197">
        <v>46069</v>
      </c>
      <c r="C56" s="133">
        <f>63495.72-0-0</f>
      </c>
      <c r="D56" s="134"/>
      <c r="E56" s="135"/>
      <c r="F56" s="135"/>
      <c r="G56" s="98">
        <f t="shared" si="15"/>
        <v>0</v>
      </c>
      <c r="H56" s="145">
        <v>266.92</v>
      </c>
      <c r="I56" s="144"/>
      <c r="J56" s="143"/>
      <c r="K56" s="145">
        <v>551.31</v>
      </c>
      <c r="L56" s="140"/>
      <c r="M56" s="201">
        <v>571.93</v>
      </c>
      <c r="N56" s="201">
        <v>1467.89</v>
      </c>
      <c r="O56" s="144"/>
      <c r="P56" s="143"/>
      <c r="Q56" s="143"/>
      <c r="R56" s="143"/>
      <c r="S56" s="143"/>
      <c r="T56" s="143"/>
      <c r="U56" s="103">
        <f t="shared" si="25"/>
        <v>0</v>
      </c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03">
        <f t="shared" si="16"/>
        <v>0</v>
      </c>
      <c r="AK56" s="134">
        <v>19638.17</v>
      </c>
      <c r="AL56" s="134">
        <v>3476.17</v>
      </c>
      <c r="AM56" s="136"/>
      <c r="AN56" s="105">
        <f t="shared" si="17"/>
        <v>0</v>
      </c>
      <c r="AO56" s="145">
        <v>139.53</v>
      </c>
      <c r="AP56" s="143"/>
      <c r="AQ56" s="143"/>
      <c r="AR56" s="146"/>
      <c r="AS56" s="194">
        <f t="shared" si="18"/>
        <v>0</v>
      </c>
      <c r="AT56" s="1605">
        <v>31813.5</v>
      </c>
      <c r="AU56" s="1594"/>
      <c r="AV56" s="1595"/>
      <c r="AW56" s="1595"/>
      <c r="AX56" s="1591"/>
      <c r="AY56" s="1591"/>
      <c r="AZ56" s="1591"/>
      <c r="BA56" s="1605">
        <v>5269.6</v>
      </c>
      <c r="BB56" s="1591"/>
      <c r="BC56" s="1591"/>
      <c r="BD56" s="1591"/>
      <c r="BE56" s="1597"/>
      <c r="BF56" s="1595"/>
      <c r="BG56" s="112">
        <f t="shared" si="19"/>
        <v>0</v>
      </c>
      <c r="BH56" s="140">
        <f t="shared" si="20"/>
        <v>0</v>
      </c>
      <c r="BI56" s="132"/>
      <c r="BJ56" s="140">
        <f t="shared" si="21"/>
        <v>0</v>
      </c>
      <c r="BK56" s="141"/>
      <c r="BL56" s="141"/>
      <c r="BM56" s="150"/>
      <c r="BN56" s="141">
        <v>300</v>
      </c>
      <c r="BO56" s="141"/>
      <c r="BP56" s="130">
        <f t="shared" si="22"/>
        <v>0</v>
      </c>
      <c r="BQ56" s="132"/>
    </row>
    <row r="57" ht="14.25" customHeight="1">
      <c r="A57" s="132"/>
      <c r="B57" s="197">
        <v>46070</v>
      </c>
      <c r="C57" s="133">
        <f>66057.88-0-0</f>
      </c>
      <c r="D57" s="134"/>
      <c r="E57" s="135"/>
      <c r="F57" s="135"/>
      <c r="G57" s="98">
        <f t="shared" si="15"/>
        <v>0</v>
      </c>
      <c r="H57" s="143"/>
      <c r="I57" s="144"/>
      <c r="J57" s="143"/>
      <c r="K57" s="145">
        <v>990.9</v>
      </c>
      <c r="L57" s="144"/>
      <c r="M57" s="140"/>
      <c r="N57" s="140"/>
      <c r="O57" s="144"/>
      <c r="P57" s="143"/>
      <c r="Q57" s="143"/>
      <c r="R57" s="143">
        <v>395.46</v>
      </c>
      <c r="S57" s="143"/>
      <c r="T57" s="143"/>
      <c r="U57" s="103">
        <f t="shared" si="25"/>
        <v>0</v>
      </c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43"/>
      <c r="AJ57" s="103">
        <f t="shared" si="16"/>
        <v>0</v>
      </c>
      <c r="AK57" s="134">
        <v>15651.58</v>
      </c>
      <c r="AL57" s="134">
        <v>2577.67</v>
      </c>
      <c r="AM57" s="136"/>
      <c r="AN57" s="105">
        <f t="shared" si="17"/>
        <v>0</v>
      </c>
      <c r="AO57" s="145">
        <v>90.91</v>
      </c>
      <c r="AP57" s="143"/>
      <c r="AQ57" s="143"/>
      <c r="AR57" s="146"/>
      <c r="AS57" s="194">
        <f t="shared" si="18"/>
        <v>0</v>
      </c>
      <c r="AT57" s="1605">
        <v>41319</v>
      </c>
      <c r="AU57" s="1594"/>
      <c r="AV57" s="1595"/>
      <c r="AW57" s="1595"/>
      <c r="AX57" s="1591"/>
      <c r="AY57" s="1591"/>
      <c r="AZ57" s="1591"/>
      <c r="BA57" s="1605">
        <v>5033.5</v>
      </c>
      <c r="BB57" s="1591"/>
      <c r="BC57" s="1591"/>
      <c r="BD57" s="1591"/>
      <c r="BE57" s="1597"/>
      <c r="BF57" s="1595"/>
      <c r="BG57" s="112">
        <f t="shared" si="19"/>
        <v>0</v>
      </c>
      <c r="BH57" s="140">
        <f t="shared" si="20"/>
        <v>0</v>
      </c>
      <c r="BI57" s="132"/>
      <c r="BJ57" s="140">
        <f t="shared" si="21"/>
        <v>0</v>
      </c>
      <c r="BK57" s="141"/>
      <c r="BL57" s="141"/>
      <c r="BM57" s="141"/>
      <c r="BN57" s="141"/>
      <c r="BO57" s="141"/>
      <c r="BP57" s="130">
        <f t="shared" si="22"/>
        <v>0</v>
      </c>
      <c r="BQ57" s="132"/>
    </row>
    <row r="58" ht="14.25" customHeight="1">
      <c r="A58" s="132"/>
      <c r="B58" s="197">
        <v>46071</v>
      </c>
      <c r="C58" s="133">
        <f>58214.86-0-0</f>
      </c>
      <c r="D58" s="134"/>
      <c r="E58" s="135"/>
      <c r="F58" s="135"/>
      <c r="G58" s="98">
        <f t="shared" si="15"/>
        <v>0</v>
      </c>
      <c r="H58" s="143"/>
      <c r="I58" s="144"/>
      <c r="J58" s="143"/>
      <c r="K58" s="145">
        <v>460</v>
      </c>
      <c r="L58" s="144"/>
      <c r="M58" s="140"/>
      <c r="N58" s="140"/>
      <c r="O58" s="144"/>
      <c r="P58" s="143"/>
      <c r="Q58" s="143"/>
      <c r="R58" s="143">
        <v>376.49</v>
      </c>
      <c r="S58" s="143"/>
      <c r="T58" s="143"/>
      <c r="U58" s="103">
        <f t="shared" si="25"/>
        <v>0</v>
      </c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43"/>
      <c r="AJ58" s="103">
        <f t="shared" si="16"/>
        <v>0</v>
      </c>
      <c r="AK58" s="134">
        <v>20691.51</v>
      </c>
      <c r="AL58" s="134">
        <v>2750.92</v>
      </c>
      <c r="AM58" s="136"/>
      <c r="AN58" s="105">
        <f t="shared" si="17"/>
        <v>0</v>
      </c>
      <c r="AO58" s="145">
        <v>84.36</v>
      </c>
      <c r="AP58" s="143"/>
      <c r="AQ58" s="143"/>
      <c r="AR58" s="146"/>
      <c r="AS58" s="194">
        <f t="shared" si="18"/>
        <v>0</v>
      </c>
      <c r="AT58" s="1606">
        <v>28839.2</v>
      </c>
      <c r="AU58" s="1594"/>
      <c r="AV58" s="1595"/>
      <c r="AW58" s="1595"/>
      <c r="AX58" s="1591"/>
      <c r="AY58" s="1591"/>
      <c r="AZ58" s="1591"/>
      <c r="BA58" s="1606">
        <v>5012.5</v>
      </c>
      <c r="BB58" s="1591"/>
      <c r="BC58" s="1591"/>
      <c r="BD58" s="1591"/>
      <c r="BE58" s="1597"/>
      <c r="BF58" s="1595"/>
      <c r="BG58" s="112">
        <f t="shared" si="19"/>
        <v>0</v>
      </c>
      <c r="BH58" s="140">
        <f t="shared" si="20"/>
        <v>0</v>
      </c>
      <c r="BI58" s="132"/>
      <c r="BJ58" s="140">
        <f t="shared" si="21"/>
        <v>0</v>
      </c>
      <c r="BK58" s="141"/>
      <c r="BL58" s="141"/>
      <c r="BM58" s="141"/>
      <c r="BN58" s="141"/>
      <c r="BO58" s="141"/>
      <c r="BP58" s="130">
        <f t="shared" si="22"/>
        <v>0</v>
      </c>
      <c r="BQ58" s="132"/>
    </row>
    <row r="59" ht="14.25" customHeight="1">
      <c r="A59" s="132"/>
      <c r="B59" s="197">
        <v>46072</v>
      </c>
      <c r="C59" s="133">
        <f>63660.71-0-0</f>
      </c>
      <c r="D59" s="134"/>
      <c r="E59" s="135"/>
      <c r="F59" s="135"/>
      <c r="G59" s="98">
        <f t="shared" si="15"/>
        <v>0</v>
      </c>
      <c r="H59" s="143"/>
      <c r="I59" s="144"/>
      <c r="J59" s="143"/>
      <c r="K59" s="145">
        <v>2775.76</v>
      </c>
      <c r="L59" s="144"/>
      <c r="M59" s="140">
        <v>167.48</v>
      </c>
      <c r="N59" s="140"/>
      <c r="O59" s="144"/>
      <c r="P59" s="143"/>
      <c r="Q59" s="143"/>
      <c r="R59" s="143"/>
      <c r="S59" s="143"/>
      <c r="T59" s="143"/>
      <c r="U59" s="103">
        <f t="shared" si="25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03">
        <f t="shared" si="16"/>
        <v>0</v>
      </c>
      <c r="AK59" s="134">
        <v>20644.13</v>
      </c>
      <c r="AL59" s="134">
        <v>2920.82</v>
      </c>
      <c r="AM59" s="136"/>
      <c r="AN59" s="105">
        <f t="shared" si="17"/>
        <v>0</v>
      </c>
      <c r="AO59" s="145">
        <v>77.39</v>
      </c>
      <c r="AP59" s="143"/>
      <c r="AQ59" s="143"/>
      <c r="AR59" s="146"/>
      <c r="AS59" s="194">
        <f t="shared" si="18"/>
        <v>0</v>
      </c>
      <c r="AT59" s="1606">
        <v>31474.1</v>
      </c>
      <c r="AU59" s="1594"/>
      <c r="AV59" s="1595"/>
      <c r="AW59" s="1595"/>
      <c r="AX59" s="1591"/>
      <c r="AY59" s="1591"/>
      <c r="AZ59" s="1591"/>
      <c r="BA59" s="1606">
        <v>5601.1</v>
      </c>
      <c r="BB59" s="1591"/>
      <c r="BC59" s="1591"/>
      <c r="BD59" s="1591"/>
      <c r="BE59" s="1597"/>
      <c r="BF59" s="1595"/>
      <c r="BG59" s="112">
        <f t="shared" si="19"/>
        <v>0</v>
      </c>
      <c r="BH59" s="140">
        <f t="shared" si="20"/>
        <v>0</v>
      </c>
      <c r="BI59" s="132"/>
      <c r="BJ59" s="140">
        <f t="shared" si="21"/>
        <v>0</v>
      </c>
      <c r="BK59" s="141"/>
      <c r="BL59" s="141"/>
      <c r="BM59" s="141"/>
      <c r="BN59" s="141"/>
      <c r="BO59" s="141"/>
      <c r="BP59" s="130">
        <f t="shared" si="22"/>
        <v>0</v>
      </c>
      <c r="BQ59" s="132"/>
    </row>
    <row r="60" ht="14.25" customHeight="1">
      <c r="A60" s="132"/>
      <c r="B60" s="197">
        <v>46073</v>
      </c>
      <c r="C60" s="133">
        <f>72844.64-0-0</f>
      </c>
      <c r="D60" s="134"/>
      <c r="E60" s="135"/>
      <c r="F60" s="135"/>
      <c r="G60" s="98">
        <f t="shared" si="15"/>
        <v>0</v>
      </c>
      <c r="H60" s="145">
        <v>473</v>
      </c>
      <c r="I60" s="144"/>
      <c r="J60" s="143"/>
      <c r="K60" s="143"/>
      <c r="L60" s="144"/>
      <c r="M60" s="140"/>
      <c r="N60" s="140"/>
      <c r="O60" s="144"/>
      <c r="P60" s="143"/>
      <c r="Q60" s="143"/>
      <c r="R60" s="143"/>
      <c r="S60" s="143"/>
      <c r="T60" s="143"/>
      <c r="U60" s="103">
        <f t="shared" si="25"/>
        <v>0</v>
      </c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03">
        <f t="shared" si="16"/>
        <v>0</v>
      </c>
      <c r="AK60" s="134">
        <v>30046.59</v>
      </c>
      <c r="AL60" s="134">
        <v>3110.94</v>
      </c>
      <c r="AM60" s="136"/>
      <c r="AN60" s="105">
        <f t="shared" si="17"/>
        <v>0</v>
      </c>
      <c r="AO60" s="145">
        <v>152.4</v>
      </c>
      <c r="AP60" s="143"/>
      <c r="AQ60" s="143"/>
      <c r="AR60" s="146"/>
      <c r="AS60" s="194">
        <f t="shared" si="18"/>
        <v>0</v>
      </c>
      <c r="AT60" s="1607">
        <v>33799.7</v>
      </c>
      <c r="AU60" s="1594"/>
      <c r="AV60" s="1595"/>
      <c r="AW60" s="1595"/>
      <c r="AX60" s="1591"/>
      <c r="AY60" s="1591"/>
      <c r="AZ60" s="1591"/>
      <c r="BA60" s="1607">
        <v>5262.2</v>
      </c>
      <c r="BB60" s="1591"/>
      <c r="BC60" s="1591"/>
      <c r="BD60" s="1591"/>
      <c r="BE60" s="1597"/>
      <c r="BF60" s="1595"/>
      <c r="BG60" s="112">
        <f t="shared" si="19"/>
        <v>0</v>
      </c>
      <c r="BH60" s="140">
        <f t="shared" si="20"/>
        <v>0</v>
      </c>
      <c r="BI60" s="132"/>
      <c r="BJ60" s="140">
        <f t="shared" si="21"/>
        <v>0</v>
      </c>
      <c r="BK60" s="141"/>
      <c r="BL60" s="141"/>
      <c r="BM60" s="141"/>
      <c r="BN60" s="141"/>
      <c r="BO60" s="141"/>
      <c r="BP60" s="130">
        <f t="shared" si="22"/>
        <v>0</v>
      </c>
      <c r="BQ60" s="132"/>
    </row>
    <row r="61" ht="14.25" customHeight="1">
      <c r="A61" s="132"/>
      <c r="B61" s="197">
        <v>46074</v>
      </c>
      <c r="C61" s="133">
        <f>70315.51-0-0</f>
      </c>
      <c r="D61" s="134"/>
      <c r="E61" s="135"/>
      <c r="F61" s="135"/>
      <c r="G61" s="98">
        <f t="shared" si="15"/>
        <v>0</v>
      </c>
      <c r="H61" s="143"/>
      <c r="I61" s="144"/>
      <c r="J61" s="143"/>
      <c r="K61" s="145">
        <v>470</v>
      </c>
      <c r="L61" s="144"/>
      <c r="M61" s="201">
        <v>1126.71</v>
      </c>
      <c r="N61" s="140"/>
      <c r="O61" s="144"/>
      <c r="P61" s="143"/>
      <c r="Q61" s="143"/>
      <c r="R61" s="143">
        <v>256.66</v>
      </c>
      <c r="S61" s="143"/>
      <c r="T61" s="143"/>
      <c r="U61" s="103">
        <f t="shared" si="25"/>
        <v>0</v>
      </c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03">
        <f t="shared" si="16"/>
        <v>0</v>
      </c>
      <c r="AK61" s="134">
        <v>21217.63</v>
      </c>
      <c r="AL61" s="134">
        <v>3736.17</v>
      </c>
      <c r="AM61" s="136"/>
      <c r="AN61" s="105">
        <f t="shared" si="17"/>
        <v>0</v>
      </c>
      <c r="AO61" s="145">
        <v>41.53</v>
      </c>
      <c r="AP61" s="143"/>
      <c r="AQ61" s="143"/>
      <c r="AR61" s="146"/>
      <c r="AS61" s="194">
        <f t="shared" si="18"/>
        <v>0</v>
      </c>
      <c r="AT61" s="1607">
        <v>37214</v>
      </c>
      <c r="AU61" s="1594"/>
      <c r="AV61" s="1595"/>
      <c r="AW61" s="1595"/>
      <c r="AX61" s="1591"/>
      <c r="AY61" s="1591"/>
      <c r="AZ61" s="1591"/>
      <c r="BA61" s="1607">
        <v>6224.6</v>
      </c>
      <c r="BB61" s="1591"/>
      <c r="BC61" s="1591"/>
      <c r="BD61" s="1591"/>
      <c r="BE61" s="1597"/>
      <c r="BF61" s="1595"/>
      <c r="BG61" s="112">
        <f t="shared" si="19"/>
        <v>0</v>
      </c>
      <c r="BH61" s="140">
        <f t="shared" si="20"/>
        <v>0</v>
      </c>
      <c r="BI61" s="132"/>
      <c r="BJ61" s="140">
        <f t="shared" si="21"/>
        <v>0</v>
      </c>
      <c r="BK61" s="141"/>
      <c r="BL61" s="141"/>
      <c r="BM61" s="141"/>
      <c r="BN61" s="141"/>
      <c r="BO61" s="141"/>
      <c r="BP61" s="130">
        <f t="shared" si="22"/>
        <v>0</v>
      </c>
      <c r="BQ61" s="132"/>
    </row>
    <row r="62" ht="14.25" customHeight="1">
      <c r="A62" s="132"/>
      <c r="B62" s="197">
        <v>46075</v>
      </c>
      <c r="C62" s="133">
        <f>60290.50-0-0</f>
      </c>
      <c r="D62" s="134"/>
      <c r="E62" s="135"/>
      <c r="F62" s="135"/>
      <c r="G62" s="98">
        <f t="shared" si="15"/>
        <v>0</v>
      </c>
      <c r="H62" s="143"/>
      <c r="I62" s="144"/>
      <c r="J62" s="143"/>
      <c r="K62" s="145">
        <v>964.09</v>
      </c>
      <c r="L62" s="144"/>
      <c r="M62" s="140"/>
      <c r="N62" s="140"/>
      <c r="O62" s="144"/>
      <c r="P62" s="143"/>
      <c r="Q62" s="143"/>
      <c r="R62" s="145">
        <v>230.66</v>
      </c>
      <c r="S62" s="143"/>
      <c r="T62" s="143"/>
      <c r="U62" s="103">
        <f t="shared" si="25"/>
        <v>0</v>
      </c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03">
        <f t="shared" si="16"/>
        <v>0</v>
      </c>
      <c r="AK62" s="134">
        <v>22303.52</v>
      </c>
      <c r="AL62" s="134">
        <v>3792.78</v>
      </c>
      <c r="AM62" s="136"/>
      <c r="AN62" s="105">
        <f t="shared" si="17"/>
        <v>0</v>
      </c>
      <c r="AO62" s="145">
        <v>7</v>
      </c>
      <c r="AP62" s="143"/>
      <c r="AQ62" s="143"/>
      <c r="AR62" s="146"/>
      <c r="AS62" s="194">
        <f t="shared" si="18"/>
        <v>0</v>
      </c>
      <c r="AT62" s="1607">
        <v>27178.44</v>
      </c>
      <c r="AU62" s="1594"/>
      <c r="AV62" s="1595"/>
      <c r="AW62" s="1595"/>
      <c r="AX62" s="1591"/>
      <c r="AY62" s="1591"/>
      <c r="AZ62" s="1591"/>
      <c r="BA62" s="1607">
        <v>5811.1</v>
      </c>
      <c r="BB62" s="1591"/>
      <c r="BC62" s="1591"/>
      <c r="BD62" s="1591"/>
      <c r="BE62" s="1597"/>
      <c r="BF62" s="1595"/>
      <c r="BG62" s="112">
        <f t="shared" si="19"/>
        <v>0</v>
      </c>
      <c r="BH62" s="140">
        <f t="shared" si="20"/>
        <v>0</v>
      </c>
      <c r="BI62" s="132"/>
      <c r="BJ62" s="140">
        <f t="shared" si="21"/>
        <v>0</v>
      </c>
      <c r="BK62" s="141"/>
      <c r="BL62" s="141"/>
      <c r="BM62" s="141"/>
      <c r="BN62" s="141"/>
      <c r="BO62" s="141"/>
      <c r="BP62" s="130">
        <f t="shared" si="22"/>
        <v>0</v>
      </c>
      <c r="BQ62" s="132"/>
    </row>
    <row r="63" ht="14.25" customHeight="1">
      <c r="A63" s="132"/>
      <c r="B63" s="197">
        <v>46076</v>
      </c>
      <c r="C63" s="133">
        <f>65062.95-0-0</f>
      </c>
      <c r="D63" s="134"/>
      <c r="E63" s="135"/>
      <c r="F63" s="135"/>
      <c r="G63" s="98">
        <f t="shared" si="15"/>
        <v>0</v>
      </c>
      <c r="H63" s="143"/>
      <c r="I63" s="144"/>
      <c r="J63" s="143"/>
      <c r="K63" s="145">
        <v>1197.45</v>
      </c>
      <c r="L63" s="144"/>
      <c r="M63" s="201">
        <v>95.7</v>
      </c>
      <c r="N63" s="201">
        <v>2436.16</v>
      </c>
      <c r="O63" s="144"/>
      <c r="P63" s="143"/>
      <c r="Q63" s="143"/>
      <c r="R63" s="145">
        <v>28.11</v>
      </c>
      <c r="S63" s="143"/>
      <c r="T63" s="143"/>
      <c r="U63" s="103">
        <f t="shared" si="25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03">
        <f t="shared" si="16"/>
        <v>0</v>
      </c>
      <c r="AK63" s="134">
        <v>20013.63</v>
      </c>
      <c r="AL63" s="134">
        <v>2803.02</v>
      </c>
      <c r="AM63" s="136"/>
      <c r="AN63" s="105">
        <f t="shared" si="17"/>
        <v>0</v>
      </c>
      <c r="AO63" s="145">
        <v>73.58</v>
      </c>
      <c r="AP63" s="143"/>
      <c r="AQ63" s="143"/>
      <c r="AR63" s="146"/>
      <c r="AS63" s="194">
        <f t="shared" si="18"/>
        <v>0</v>
      </c>
      <c r="AT63" s="1608">
        <v>33345.9</v>
      </c>
      <c r="AU63" s="1594"/>
      <c r="AV63" s="1595"/>
      <c r="AW63" s="1595"/>
      <c r="AX63" s="1591"/>
      <c r="AY63" s="1591"/>
      <c r="AZ63" s="1591"/>
      <c r="BA63" s="1609">
        <v>4950.8</v>
      </c>
      <c r="BB63" s="1591"/>
      <c r="BC63" s="1591"/>
      <c r="BD63" s="1591"/>
      <c r="BE63" s="1597"/>
      <c r="BF63" s="1595"/>
      <c r="BG63" s="112">
        <f t="shared" si="19"/>
        <v>0</v>
      </c>
      <c r="BH63" s="140">
        <f t="shared" si="20"/>
        <v>0</v>
      </c>
      <c r="BI63" s="132"/>
      <c r="BJ63" s="140">
        <f t="shared" si="21"/>
        <v>0</v>
      </c>
      <c r="BK63" s="141"/>
      <c r="BL63" s="141"/>
      <c r="BM63" s="141"/>
      <c r="BN63" s="141"/>
      <c r="BO63" s="141"/>
      <c r="BP63" s="130">
        <f t="shared" si="22"/>
        <v>0</v>
      </c>
      <c r="BQ63" s="132"/>
    </row>
    <row r="64" ht="14.25" customHeight="1">
      <c r="A64" s="132"/>
      <c r="B64" s="197">
        <v>46077</v>
      </c>
      <c r="C64" s="133">
        <f>65610.12-0-0</f>
      </c>
      <c r="D64" s="134"/>
      <c r="E64" s="135"/>
      <c r="F64" s="135"/>
      <c r="G64" s="98">
        <f t="shared" si="15"/>
        <v>0</v>
      </c>
      <c r="H64" s="143"/>
      <c r="I64" s="144"/>
      <c r="J64" s="143"/>
      <c r="K64" s="145">
        <v>1084.59</v>
      </c>
      <c r="L64" s="144"/>
      <c r="M64" s="143"/>
      <c r="N64" s="143"/>
      <c r="O64" s="144"/>
      <c r="P64" s="143"/>
      <c r="Q64" s="143"/>
      <c r="R64" s="143">
        <v>142.91</v>
      </c>
      <c r="S64" s="143"/>
      <c r="T64" s="143"/>
      <c r="U64" s="103">
        <f t="shared" si="25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03">
        <f t="shared" si="16"/>
        <v>0</v>
      </c>
      <c r="AK64" s="134">
        <v>17142.1</v>
      </c>
      <c r="AL64" s="134">
        <v>2821</v>
      </c>
      <c r="AM64" s="136"/>
      <c r="AN64" s="105">
        <f t="shared" si="17"/>
        <v>0</v>
      </c>
      <c r="AO64" s="145">
        <v>76.76</v>
      </c>
      <c r="AP64" s="143"/>
      <c r="AQ64" s="143"/>
      <c r="AR64" s="146"/>
      <c r="AS64" s="194">
        <f t="shared" si="18"/>
        <v>0</v>
      </c>
      <c r="AT64" s="1608">
        <v>38544.5</v>
      </c>
      <c r="AU64" s="1594"/>
      <c r="AV64" s="1595"/>
      <c r="AW64" s="1595"/>
      <c r="AX64" s="1591"/>
      <c r="AY64" s="1591"/>
      <c r="AZ64" s="1591"/>
      <c r="BA64" s="1609">
        <v>5804.9</v>
      </c>
      <c r="BB64" s="1591"/>
      <c r="BC64" s="1591"/>
      <c r="BD64" s="1591"/>
      <c r="BE64" s="1597"/>
      <c r="BF64" s="1595"/>
      <c r="BG64" s="112">
        <f t="shared" si="19"/>
        <v>0</v>
      </c>
      <c r="BH64" s="140">
        <f t="shared" si="20"/>
        <v>0</v>
      </c>
      <c r="BI64" s="132"/>
      <c r="BJ64" s="140">
        <f t="shared" si="21"/>
        <v>0</v>
      </c>
      <c r="BK64" s="141"/>
      <c r="BL64" s="141"/>
      <c r="BM64" s="141"/>
      <c r="BN64" s="141"/>
      <c r="BO64" s="141"/>
      <c r="BP64" s="130">
        <f t="shared" si="22"/>
        <v>0</v>
      </c>
      <c r="BQ64" s="132"/>
    </row>
    <row r="65" ht="14.25" customHeight="1">
      <c r="A65" s="132"/>
      <c r="B65" s="197">
        <v>46078</v>
      </c>
      <c r="C65" s="133">
        <f>61739.40-0-0</f>
      </c>
      <c r="D65" s="134"/>
      <c r="E65" s="135"/>
      <c r="F65" s="135"/>
      <c r="G65" s="98">
        <f t="shared" si="15"/>
        <v>0</v>
      </c>
      <c r="H65" s="143"/>
      <c r="I65" s="144"/>
      <c r="J65" s="143"/>
      <c r="K65" s="145">
        <v>456.02</v>
      </c>
      <c r="L65" s="144"/>
      <c r="M65" s="145">
        <v>82.53</v>
      </c>
      <c r="N65" s="143"/>
      <c r="O65" s="144"/>
      <c r="P65" s="143"/>
      <c r="Q65" s="143"/>
      <c r="R65" s="143">
        <v>276.73</v>
      </c>
      <c r="S65" s="143"/>
      <c r="T65" s="143"/>
      <c r="U65" s="103">
        <f t="shared" si="25"/>
        <v>0</v>
      </c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03">
        <f t="shared" si="16"/>
        <v>0</v>
      </c>
      <c r="AK65" s="134">
        <v>18533.03</v>
      </c>
      <c r="AL65" s="134">
        <v>3246.62</v>
      </c>
      <c r="AM65" s="136"/>
      <c r="AN65" s="105">
        <f t="shared" si="17"/>
        <v>0</v>
      </c>
      <c r="AO65" s="145">
        <v>87.72</v>
      </c>
      <c r="AP65" s="143"/>
      <c r="AQ65" s="143"/>
      <c r="AR65" s="146"/>
      <c r="AS65" s="194">
        <f t="shared" si="18"/>
        <v>0</v>
      </c>
      <c r="AT65" s="1610">
        <v>34829.03</v>
      </c>
      <c r="AU65" s="1611"/>
      <c r="AV65" s="1612"/>
      <c r="AW65" s="1595"/>
      <c r="AX65" s="1591"/>
      <c r="AY65" s="1591"/>
      <c r="AZ65" s="1591"/>
      <c r="BA65" s="1610">
        <v>4227.7</v>
      </c>
      <c r="BB65" s="1591"/>
      <c r="BC65" s="1591"/>
      <c r="BD65" s="1591"/>
      <c r="BE65" s="1597"/>
      <c r="BF65" s="1595"/>
      <c r="BG65" s="112">
        <f t="shared" si="19"/>
        <v>0</v>
      </c>
      <c r="BH65" s="140">
        <f t="shared" si="20"/>
        <v>0</v>
      </c>
      <c r="BI65" s="132"/>
      <c r="BJ65" s="140">
        <f t="shared" si="21"/>
        <v>0</v>
      </c>
      <c r="BK65" s="141"/>
      <c r="BL65" s="141"/>
      <c r="BM65" s="141"/>
      <c r="BN65" s="141"/>
      <c r="BO65" s="141"/>
      <c r="BP65" s="130">
        <f t="shared" si="22"/>
        <v>0</v>
      </c>
      <c r="BQ65" s="132"/>
    </row>
    <row r="66" ht="14.25" customHeight="1">
      <c r="A66" s="132"/>
      <c r="B66" s="197">
        <v>46079</v>
      </c>
      <c r="C66" s="133">
        <f>70048.47-0-0</f>
      </c>
      <c r="D66" s="134"/>
      <c r="E66" s="135"/>
      <c r="F66" s="135"/>
      <c r="G66" s="98">
        <f t="shared" si="15"/>
        <v>0</v>
      </c>
      <c r="H66" s="143"/>
      <c r="I66" s="144"/>
      <c r="J66" s="143"/>
      <c r="K66" s="145">
        <v>1449.12</v>
      </c>
      <c r="L66" s="144"/>
      <c r="M66" s="143"/>
      <c r="N66" s="143"/>
      <c r="O66" s="144"/>
      <c r="P66" s="143"/>
      <c r="Q66" s="143"/>
      <c r="R66" s="121">
        <v>66.95</v>
      </c>
      <c r="S66" s="143"/>
      <c r="T66" s="143"/>
      <c r="U66" s="103">
        <f t="shared" si="25"/>
        <v>0</v>
      </c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43"/>
      <c r="AJ66" s="103">
        <f t="shared" si="16"/>
        <v>0</v>
      </c>
      <c r="AK66" s="134">
        <v>25320.93</v>
      </c>
      <c r="AL66" s="134">
        <v>3542.88</v>
      </c>
      <c r="AM66" s="136"/>
      <c r="AN66" s="105">
        <f t="shared" si="17"/>
        <v>0</v>
      </c>
      <c r="AO66" s="145">
        <v>78.6</v>
      </c>
      <c r="AP66" s="143"/>
      <c r="AQ66" s="143"/>
      <c r="AR66" s="202"/>
      <c r="AS66" s="194">
        <f t="shared" si="18"/>
        <v>0</v>
      </c>
      <c r="AT66" s="1610">
        <v>34155.9</v>
      </c>
      <c r="AU66" s="1594"/>
      <c r="AV66" s="1595"/>
      <c r="AW66" s="1595"/>
      <c r="AX66" s="1591"/>
      <c r="AY66" s="1591"/>
      <c r="AZ66" s="1591"/>
      <c r="BA66" s="1610">
        <v>5434</v>
      </c>
      <c r="BB66" s="1591"/>
      <c r="BC66" s="1591"/>
      <c r="BD66" s="1591"/>
      <c r="BE66" s="1597"/>
      <c r="BF66" s="1595"/>
      <c r="BG66" s="112">
        <f t="shared" si="19"/>
        <v>0</v>
      </c>
      <c r="BH66" s="140">
        <f t="shared" si="20"/>
        <v>0</v>
      </c>
      <c r="BI66" s="132"/>
      <c r="BJ66" s="140">
        <f t="shared" si="21"/>
        <v>0</v>
      </c>
      <c r="BK66" s="141"/>
      <c r="BL66" s="141"/>
      <c r="BM66" s="141"/>
      <c r="BN66" s="141"/>
      <c r="BO66" s="141"/>
      <c r="BP66" s="130">
        <f t="shared" si="22"/>
        <v>0</v>
      </c>
      <c r="BQ66" s="132"/>
    </row>
    <row r="67" ht="14.25" customHeight="1">
      <c r="A67" s="132"/>
      <c r="B67" s="197">
        <v>46080</v>
      </c>
      <c r="C67" s="133">
        <f>69133.37-0-0</f>
      </c>
      <c r="D67" s="134"/>
      <c r="E67" s="135"/>
      <c r="F67" s="135"/>
      <c r="G67" s="98">
        <f t="shared" si="15"/>
        <v>0</v>
      </c>
      <c r="H67" s="145">
        <v>528.92</v>
      </c>
      <c r="I67" s="144"/>
      <c r="J67" s="143"/>
      <c r="K67" s="143"/>
      <c r="L67" s="144"/>
      <c r="M67" s="143"/>
      <c r="N67" s="143"/>
      <c r="O67" s="144"/>
      <c r="P67" s="143"/>
      <c r="Q67" s="143"/>
      <c r="R67" s="145">
        <v>189.97</v>
      </c>
      <c r="S67" s="143"/>
      <c r="T67" s="143"/>
      <c r="U67" s="103">
        <f t="shared" si="25"/>
        <v>0</v>
      </c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43"/>
      <c r="AJ67" s="103">
        <f t="shared" si="16"/>
        <v>0</v>
      </c>
      <c r="AK67" s="134">
        <v>23083.59</v>
      </c>
      <c r="AL67" s="134">
        <v>2478.51</v>
      </c>
      <c r="AM67" s="136"/>
      <c r="AN67" s="105">
        <f t="shared" si="17"/>
        <v>0</v>
      </c>
      <c r="AO67" s="145">
        <v>56.54</v>
      </c>
      <c r="AP67" s="143"/>
      <c r="AQ67" s="143"/>
      <c r="AR67" s="146"/>
      <c r="AS67" s="194">
        <f t="shared" si="18"/>
        <v>0</v>
      </c>
      <c r="AT67" s="1613">
        <v>37761.6</v>
      </c>
      <c r="AU67" s="1594"/>
      <c r="AV67" s="1595"/>
      <c r="AW67" s="1595"/>
      <c r="AX67" s="1591"/>
      <c r="AY67" s="1591"/>
      <c r="AZ67" s="1591"/>
      <c r="BA67" s="1613">
        <v>5034.4</v>
      </c>
      <c r="BB67" s="1591"/>
      <c r="BC67" s="1591"/>
      <c r="BD67" s="1591"/>
      <c r="BE67" s="1597"/>
      <c r="BF67" s="1595"/>
      <c r="BG67" s="112">
        <f t="shared" si="19"/>
        <v>0</v>
      </c>
      <c r="BH67" s="140">
        <f t="shared" si="20"/>
        <v>0</v>
      </c>
      <c r="BI67" s="132"/>
      <c r="BJ67" s="140">
        <f t="shared" si="21"/>
        <v>0</v>
      </c>
      <c r="BK67" s="141"/>
      <c r="BL67" s="141"/>
      <c r="BM67" s="141"/>
      <c r="BN67" s="141"/>
      <c r="BO67" s="141"/>
      <c r="BP67" s="130">
        <f t="shared" si="22"/>
        <v>0</v>
      </c>
      <c r="BQ67" s="132"/>
    </row>
    <row r="68" ht="14.25" customHeight="1">
      <c r="A68" s="132"/>
      <c r="B68" s="197">
        <v>46081</v>
      </c>
      <c r="C68" s="133">
        <f>36495.53-0-0</f>
      </c>
      <c r="D68" s="134"/>
      <c r="E68" s="135"/>
      <c r="F68" s="135"/>
      <c r="G68" s="98">
        <f t="shared" si="15"/>
        <v>0</v>
      </c>
      <c r="H68" s="143"/>
      <c r="I68" s="144"/>
      <c r="J68" s="143"/>
      <c r="K68" s="145">
        <v>459.5</v>
      </c>
      <c r="L68" s="144"/>
      <c r="M68" s="143"/>
      <c r="N68" s="143"/>
      <c r="O68" s="144"/>
      <c r="P68" s="143"/>
      <c r="Q68" s="143"/>
      <c r="R68" s="143">
        <v>161.54</v>
      </c>
      <c r="S68" s="143"/>
      <c r="T68" s="143"/>
      <c r="U68" s="103">
        <f t="shared" si="25"/>
        <v>0</v>
      </c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03">
        <f t="shared" si="16"/>
        <v>0</v>
      </c>
      <c r="AK68" s="134">
        <v>13792.96</v>
      </c>
      <c r="AL68" s="134">
        <v>2022.4</v>
      </c>
      <c r="AM68" s="136"/>
      <c r="AN68" s="105">
        <f t="shared" si="17"/>
        <v>0</v>
      </c>
      <c r="AO68" s="145">
        <v>10.45</v>
      </c>
      <c r="AP68" s="143"/>
      <c r="AQ68" s="143"/>
      <c r="AR68" s="203"/>
      <c r="AS68" s="194">
        <f t="shared" si="18"/>
        <v>0</v>
      </c>
      <c r="AT68" s="1613">
        <v>16465.3</v>
      </c>
      <c r="AU68" s="1594"/>
      <c r="AV68" s="1595"/>
      <c r="AW68" s="1595"/>
      <c r="AX68" s="1591"/>
      <c r="AY68" s="1591"/>
      <c r="AZ68" s="1591"/>
      <c r="BA68" s="1613">
        <v>3583.9</v>
      </c>
      <c r="BB68" s="1591"/>
      <c r="BC68" s="1591"/>
      <c r="BD68" s="1591"/>
      <c r="BE68" s="1597"/>
      <c r="BF68" s="1595"/>
      <c r="BG68" s="112">
        <f t="shared" si="19"/>
        <v>0</v>
      </c>
      <c r="BH68" s="140">
        <f t="shared" si="20"/>
        <v>0</v>
      </c>
      <c r="BI68" s="132"/>
      <c r="BJ68" s="140">
        <f t="shared" si="21"/>
        <v>0</v>
      </c>
      <c r="BK68" s="141"/>
      <c r="BL68" s="141"/>
      <c r="BM68" s="141"/>
      <c r="BN68" s="141"/>
      <c r="BO68" s="141"/>
      <c r="BP68" s="130">
        <f t="shared" si="22"/>
        <v>0</v>
      </c>
      <c r="BQ68" s="132"/>
    </row>
    <row r="69" ht="14.25" customHeight="1">
      <c r="A69" s="132"/>
      <c r="B69" s="197"/>
      <c r="C69" s="133"/>
      <c r="D69" s="136"/>
      <c r="E69" s="135"/>
      <c r="F69" s="135"/>
      <c r="G69" s="98">
        <f t="shared" si="15"/>
        <v>0</v>
      </c>
      <c r="H69" s="157"/>
      <c r="I69" s="144"/>
      <c r="J69" s="143"/>
      <c r="K69" s="143"/>
      <c r="L69" s="144"/>
      <c r="M69" s="143"/>
      <c r="N69" s="143"/>
      <c r="O69" s="144"/>
      <c r="P69" s="143"/>
      <c r="Q69" s="143"/>
      <c r="R69" s="143"/>
      <c r="S69" s="143"/>
      <c r="T69" s="143"/>
      <c r="U69" s="103">
        <f t="shared" si="25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43"/>
      <c r="AI69" s="143"/>
      <c r="AJ69" s="103">
        <f t="shared" si="16"/>
        <v>0</v>
      </c>
      <c r="AK69" s="136"/>
      <c r="AL69" s="136"/>
      <c r="AM69" s="136"/>
      <c r="AN69" s="105">
        <f t="shared" si="17"/>
        <v>0</v>
      </c>
      <c r="AO69" s="143"/>
      <c r="AP69" s="143"/>
      <c r="AQ69" s="143"/>
      <c r="AR69" s="146"/>
      <c r="AS69" s="194">
        <f t="shared" si="18"/>
        <v>0</v>
      </c>
      <c r="AT69" s="1614"/>
      <c r="AU69" s="1615"/>
      <c r="AV69" s="1614"/>
      <c r="AW69" s="1614"/>
      <c r="AX69" s="1591"/>
      <c r="AY69" s="1591"/>
      <c r="AZ69" s="1591"/>
      <c r="BA69" s="1614"/>
      <c r="BB69" s="1591"/>
      <c r="BC69" s="1591"/>
      <c r="BD69" s="1591"/>
      <c r="BE69" s="1616"/>
      <c r="BF69" s="1614"/>
      <c r="BG69" s="112">
        <f t="shared" si="19"/>
        <v>0</v>
      </c>
      <c r="BH69" s="140">
        <f t="shared" si="20"/>
        <v>0</v>
      </c>
      <c r="BI69" s="132"/>
      <c r="BJ69" s="140">
        <f t="shared" si="21"/>
        <v>0</v>
      </c>
      <c r="BK69" s="141"/>
      <c r="BL69" s="141"/>
      <c r="BM69" s="141"/>
      <c r="BN69" s="141"/>
      <c r="BO69" s="141"/>
      <c r="BP69" s="130">
        <f t="shared" si="22"/>
        <v>0</v>
      </c>
      <c r="BQ69" s="132"/>
    </row>
    <row r="70" ht="14.25" customHeight="1">
      <c r="A70" s="3"/>
      <c r="B70" s="2" t="s">
        <v>76</v>
      </c>
      <c r="C70" s="166">
        <f ref="C70:D70" t="shared" si="26">SUM(C41:C69)</f>
        <v>0</v>
      </c>
      <c r="D70" s="166">
        <f t="shared" si="26"/>
        <v>0</v>
      </c>
      <c r="E70" s="166">
        <f ref="E70:H70" t="shared" si="27">SUM(E41:E68)</f>
        <v>0</v>
      </c>
      <c r="F70" s="166">
        <f t="shared" si="27"/>
        <v>0</v>
      </c>
      <c r="G70" s="166">
        <f t="shared" si="27"/>
        <v>0</v>
      </c>
      <c r="H70" s="166">
        <f t="shared" si="27"/>
        <v>0</v>
      </c>
      <c r="I70" s="166">
        <f>SUM(I41:I69)</f>
        <v>0</v>
      </c>
      <c r="J70" s="166">
        <f>SUM(J41:J68)</f>
        <v>0</v>
      </c>
      <c r="K70" s="166">
        <f>SUM(K41:K69)</f>
        <v>0</v>
      </c>
      <c r="L70" s="166">
        <f ref="L70:V70" t="shared" si="28">SUM(L41:L68)</f>
        <v>0</v>
      </c>
      <c r="M70" s="166">
        <f t="shared" si="28"/>
        <v>0</v>
      </c>
      <c r="N70" s="166">
        <f t="shared" si="28"/>
        <v>0</v>
      </c>
      <c r="O70" s="166">
        <f t="shared" si="28"/>
        <v>0</v>
      </c>
      <c r="P70" s="166">
        <f t="shared" si="28"/>
        <v>0</v>
      </c>
      <c r="Q70" s="166">
        <f t="shared" si="28"/>
        <v>0</v>
      </c>
      <c r="R70" s="166">
        <f t="shared" si="28"/>
        <v>0</v>
      </c>
      <c r="S70" s="166">
        <f t="shared" si="28"/>
        <v>0</v>
      </c>
      <c r="T70" s="166">
        <f t="shared" si="28"/>
        <v>0</v>
      </c>
      <c r="U70" s="166">
        <f t="shared" si="28"/>
        <v>0</v>
      </c>
      <c r="V70" s="166">
        <f t="shared" si="28"/>
        <v>0</v>
      </c>
      <c r="W70" s="166"/>
      <c r="X70" s="166">
        <f ref="X70:AG70" t="shared" si="29">SUM(X41:X68)</f>
        <v>0</v>
      </c>
      <c r="Y70" s="166">
        <f t="shared" si="29"/>
        <v>0</v>
      </c>
      <c r="Z70" s="166">
        <f t="shared" si="29"/>
        <v>0</v>
      </c>
      <c r="AA70" s="166">
        <f t="shared" si="29"/>
        <v>0</v>
      </c>
      <c r="AB70" s="166">
        <f t="shared" si="29"/>
        <v>0</v>
      </c>
      <c r="AC70" s="166">
        <f t="shared" si="29"/>
        <v>0</v>
      </c>
      <c r="AD70" s="166">
        <f t="shared" si="29"/>
        <v>0</v>
      </c>
      <c r="AE70" s="166">
        <f t="shared" si="29"/>
        <v>0</v>
      </c>
      <c r="AF70" s="166">
        <f t="shared" si="29"/>
        <v>0</v>
      </c>
      <c r="AG70" s="166">
        <f t="shared" si="29"/>
        <v>0</v>
      </c>
      <c r="AH70" s="166"/>
      <c r="AI70" s="166">
        <f ref="AI70:AJ70" t="shared" si="30">SUM(AI41:AI68)</f>
        <v>0</v>
      </c>
      <c r="AJ70" s="166">
        <f t="shared" si="30"/>
        <v>0</v>
      </c>
      <c r="AK70" s="166">
        <f ref="AK70:AL70" t="shared" si="31">SUM(AK41:AK69)</f>
        <v>0</v>
      </c>
      <c r="AL70" s="166">
        <f t="shared" si="31"/>
        <v>0</v>
      </c>
      <c r="AM70" s="166">
        <f ref="AM70:AN70" t="shared" si="32">SUM(AM41:AM68)</f>
        <v>0</v>
      </c>
      <c r="AN70" s="166">
        <f t="shared" si="32"/>
        <v>0</v>
      </c>
      <c r="AO70" s="166">
        <f>SUM(AO41:AO69)</f>
        <v>0</v>
      </c>
      <c r="AP70" s="166">
        <f ref="AP70:AS70" t="shared" si="33">SUM(AP41:AP68)</f>
        <v>0</v>
      </c>
      <c r="AQ70" s="166">
        <f t="shared" si="33"/>
        <v>0</v>
      </c>
      <c r="AR70" s="166">
        <f t="shared" si="33"/>
        <v>0</v>
      </c>
      <c r="AS70" s="166">
        <f t="shared" si="33"/>
        <v>0</v>
      </c>
      <c r="AT70" s="170">
        <f ref="AT70:BF70" t="shared" si="34">SUM(AT41:AT69)</f>
        <v>0</v>
      </c>
      <c r="AU70" s="170">
        <f t="shared" si="34"/>
        <v>0</v>
      </c>
      <c r="AV70" s="170">
        <f t="shared" si="34"/>
        <v>0</v>
      </c>
      <c r="AW70" s="170">
        <f t="shared" si="34"/>
        <v>0</v>
      </c>
      <c r="AX70" s="170">
        <f t="shared" si="34"/>
        <v>0</v>
      </c>
      <c r="AY70" s="170">
        <f t="shared" si="34"/>
        <v>0</v>
      </c>
      <c r="AZ70" s="170">
        <f t="shared" si="34"/>
        <v>0</v>
      </c>
      <c r="BA70" s="170">
        <f t="shared" si="34"/>
        <v>0</v>
      </c>
      <c r="BB70" s="170">
        <f t="shared" si="34"/>
        <v>0</v>
      </c>
      <c r="BC70" s="170">
        <f t="shared" si="34"/>
        <v>0</v>
      </c>
      <c r="BD70" s="170">
        <f t="shared" si="34"/>
        <v>0</v>
      </c>
      <c r="BE70" s="170">
        <f t="shared" si="34"/>
        <v>0</v>
      </c>
      <c r="BF70" s="170">
        <f t="shared" si="34"/>
        <v>0</v>
      </c>
      <c r="BG70" s="166">
        <f ref="BG70:BH70" t="shared" si="35">SUM(BG41:BG68)</f>
        <v>0</v>
      </c>
      <c r="BH70" s="166">
        <f t="shared" si="35"/>
        <v>0</v>
      </c>
      <c r="BI70" s="132"/>
      <c r="BJ70" s="166">
        <f ref="BJ70:BP70" t="shared" si="36">SUM(BJ41:BJ68)</f>
        <v>0</v>
      </c>
      <c r="BK70" s="166">
        <f t="shared" si="36"/>
        <v>0</v>
      </c>
      <c r="BL70" s="166">
        <f t="shared" si="36"/>
        <v>0</v>
      </c>
      <c r="BM70" s="166">
        <f t="shared" si="36"/>
        <v>0</v>
      </c>
      <c r="BN70" s="166">
        <f t="shared" si="36"/>
        <v>0</v>
      </c>
      <c r="BO70" s="166">
        <f t="shared" si="36"/>
        <v>0</v>
      </c>
      <c r="BP70" s="166">
        <f t="shared" si="36"/>
        <v>0</v>
      </c>
      <c r="BQ70" s="3"/>
    </row>
    <row r="71" ht="14.25" customHeight="1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  <c r="AO71" s="3"/>
      <c r="AP71" s="3"/>
      <c r="AQ71" s="3"/>
      <c r="AR71" s="3"/>
      <c r="AS71" s="4"/>
      <c r="AT71" s="3"/>
      <c r="AU71" s="5"/>
      <c r="AV71" s="3"/>
      <c r="AW71" s="3"/>
      <c r="AX71" s="3"/>
      <c r="AY71" s="3"/>
      <c r="AZ71" s="3"/>
      <c r="BA71" s="123"/>
      <c r="BB71" s="3"/>
      <c r="BC71" s="3"/>
      <c r="BD71" s="3"/>
      <c r="BE71" s="6"/>
      <c r="BF71" s="3"/>
      <c r="BG71" s="4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ht="14.25" customHeight="1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9"/>
      <c r="AK72" s="207"/>
      <c r="AL72" s="207"/>
      <c r="AM72" s="207"/>
      <c r="AN72" s="208"/>
      <c r="AO72" s="207"/>
      <c r="AP72" s="207"/>
      <c r="AQ72" s="207"/>
      <c r="AR72" s="207"/>
      <c r="AS72" s="210"/>
      <c r="AT72" s="207"/>
      <c r="AU72" s="211"/>
      <c r="AV72" s="207"/>
      <c r="AW72" s="207"/>
      <c r="AX72" s="207"/>
      <c r="AY72" s="207"/>
      <c r="AZ72" s="207"/>
      <c r="BA72" s="212"/>
      <c r="BB72" s="207"/>
      <c r="BC72" s="207"/>
      <c r="BD72" s="207"/>
      <c r="BE72" s="213"/>
      <c r="BF72" s="207"/>
      <c r="BG72" s="214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</row>
    <row r="73" ht="14.25" customHeight="1">
      <c r="A73" s="3"/>
      <c r="B73" s="215">
        <v>46082</v>
      </c>
      <c r="C73" s="94">
        <f>64526.19-0-0</f>
      </c>
      <c r="D73" s="95"/>
      <c r="E73" s="97"/>
      <c r="F73" s="97"/>
      <c r="G73" s="216">
        <f ref="G73:G103" t="shared" si="37">+C73+D73+E73+F73</f>
        <v>0</v>
      </c>
      <c r="H73" s="217"/>
      <c r="I73" s="186"/>
      <c r="J73" s="186"/>
      <c r="K73" s="186"/>
      <c r="L73" s="186"/>
      <c r="M73" s="186"/>
      <c r="N73" s="186"/>
      <c r="O73" s="186"/>
      <c r="P73" s="186"/>
      <c r="Q73" s="186"/>
      <c r="R73" s="188">
        <v>402.25</v>
      </c>
      <c r="S73" s="186"/>
      <c r="T73" s="186"/>
      <c r="U73" s="103">
        <f ref="U73:U84" t="shared" si="38">SUM(I73:T73)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3"/>
      <c r="AI73" s="186"/>
      <c r="AJ73" s="103">
        <f ref="AJ73:AJ103" t="shared" si="39">SUM(V73:AI73)</f>
        <v>0</v>
      </c>
      <c r="AK73" s="95">
        <v>23452.78</v>
      </c>
      <c r="AL73" s="95">
        <v>3210.41</v>
      </c>
      <c r="AM73" s="104"/>
      <c r="AN73" s="191">
        <f ref="AN73:AN103" t="shared" si="40">SUM(AK73:AM73)</f>
        <v>0</v>
      </c>
      <c r="AO73" s="218">
        <v>37.41</v>
      </c>
      <c r="AP73" s="186"/>
      <c r="AQ73" s="186"/>
      <c r="AR73" s="193"/>
      <c r="AS73" s="219">
        <f ref="AS73:AS103" t="shared" si="41">+G73-U73-AJ73-AN73-AO73-AP73-AQ73-AR73</f>
        <v>0</v>
      </c>
      <c r="AT73" s="1617">
        <v>31575.1</v>
      </c>
      <c r="AU73" s="1536"/>
      <c r="AV73" s="1618"/>
      <c r="AW73" s="1618"/>
      <c r="AX73" s="1619"/>
      <c r="AY73" s="1548"/>
      <c r="AZ73" s="1548"/>
      <c r="BA73" s="1617">
        <v>5847.8</v>
      </c>
      <c r="BB73" s="1619"/>
      <c r="BC73" s="1619"/>
      <c r="BD73" s="1619"/>
      <c r="BE73" s="1542"/>
      <c r="BF73" s="1618"/>
      <c r="BG73" s="222">
        <f ref="BG73:BG103" t="shared" si="42">SUM(AT73:BF73)-BD73</f>
        <v>0</v>
      </c>
      <c r="BH73" s="114">
        <f ref="BH73:BH103" t="shared" si="43">+AS73-BG73</f>
        <v>0</v>
      </c>
      <c r="BI73" s="3"/>
      <c r="BJ73" s="114">
        <f ref="BJ73:BJ103" t="shared" si="44">SUM(BK73:BO73)</f>
        <v>0</v>
      </c>
      <c r="BK73" s="115"/>
      <c r="BL73" s="115"/>
      <c r="BM73" s="115"/>
      <c r="BN73" s="115"/>
      <c r="BO73" s="115"/>
      <c r="BP73" s="116">
        <f ref="BP73:BP103" t="shared" si="45">+BH73-BJ73</f>
        <v>0</v>
      </c>
      <c r="BQ73" s="3"/>
    </row>
    <row r="74" ht="14.25" customHeight="1">
      <c r="A74" s="3"/>
      <c r="B74" s="215">
        <v>46083</v>
      </c>
      <c r="C74" s="3">
        <f>63907.14-0-0</f>
      </c>
      <c r="D74" s="119"/>
      <c r="E74" s="120"/>
      <c r="F74" s="120"/>
      <c r="G74" s="147">
        <f t="shared" si="37"/>
        <v>0</v>
      </c>
      <c r="H74" s="148"/>
      <c r="I74" s="143"/>
      <c r="J74" s="143"/>
      <c r="K74" s="145">
        <v>534.02</v>
      </c>
      <c r="L74" s="143"/>
      <c r="M74" s="143"/>
      <c r="N74" s="143"/>
      <c r="O74" s="143"/>
      <c r="P74" s="143"/>
      <c r="Q74" s="143"/>
      <c r="R74" s="143"/>
      <c r="S74" s="143"/>
      <c r="T74" s="143"/>
      <c r="U74" s="103">
        <f t="shared" si="38"/>
        <v>0</v>
      </c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3"/>
      <c r="AI74" s="143"/>
      <c r="AJ74" s="103">
        <f t="shared" si="39"/>
        <v>0</v>
      </c>
      <c r="AK74" s="119">
        <v>17294.07</v>
      </c>
      <c r="AL74" s="119">
        <v>3239.13</v>
      </c>
      <c r="AM74" s="3"/>
      <c r="AN74" s="105">
        <f t="shared" si="40"/>
        <v>0</v>
      </c>
      <c r="AO74" s="223">
        <v>54.4</v>
      </c>
      <c r="AP74" s="143"/>
      <c r="AQ74" s="143"/>
      <c r="AR74" s="146"/>
      <c r="AS74" s="224">
        <f t="shared" si="41"/>
        <v>0</v>
      </c>
      <c r="AT74" s="1620">
        <v>36335.7</v>
      </c>
      <c r="AU74" s="1545"/>
      <c r="AV74" s="1621"/>
      <c r="AW74" s="1621"/>
      <c r="AX74" s="1619"/>
      <c r="AY74" s="1548"/>
      <c r="AZ74" s="1548"/>
      <c r="BA74" s="1620">
        <v>6449.9</v>
      </c>
      <c r="BB74" s="1619"/>
      <c r="BC74" s="1619"/>
      <c r="BD74" s="1619"/>
      <c r="BE74" s="1551"/>
      <c r="BF74" s="1621"/>
      <c r="BG74" s="222">
        <f t="shared" si="42"/>
        <v>0</v>
      </c>
      <c r="BH74" s="113">
        <f t="shared" si="43"/>
        <v>0</v>
      </c>
      <c r="BI74" s="3"/>
      <c r="BJ74" s="113">
        <f t="shared" si="44"/>
        <v>0</v>
      </c>
      <c r="BK74" s="129"/>
      <c r="BL74" s="129"/>
      <c r="BM74" s="129"/>
      <c r="BN74" s="129"/>
      <c r="BO74" s="129"/>
      <c r="BP74" s="130">
        <f t="shared" si="45"/>
        <v>0</v>
      </c>
      <c r="BQ74" s="3"/>
    </row>
    <row r="75" ht="14.25" customHeight="1">
      <c r="A75" s="3"/>
      <c r="B75" s="215">
        <v>46084</v>
      </c>
      <c r="C75" s="3">
        <f>89318.76-0-0</f>
      </c>
      <c r="D75" s="119"/>
      <c r="E75" s="120"/>
      <c r="F75" s="120"/>
      <c r="G75" s="147">
        <f t="shared" si="37"/>
        <v>0</v>
      </c>
      <c r="H75" s="148"/>
      <c r="I75" s="143"/>
      <c r="J75" s="143"/>
      <c r="K75" s="143">
        <v>1031.03</v>
      </c>
      <c r="L75" s="143"/>
      <c r="M75" s="143"/>
      <c r="N75" s="145">
        <v>2322.52</v>
      </c>
      <c r="O75" s="143"/>
      <c r="P75" s="143"/>
      <c r="Q75" s="143"/>
      <c r="R75" s="145">
        <v>160.69</v>
      </c>
      <c r="S75" s="143"/>
      <c r="T75" s="143"/>
      <c r="U75" s="103">
        <f t="shared" si="38"/>
        <v>0</v>
      </c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43"/>
      <c r="AJ75" s="103">
        <f t="shared" si="39"/>
        <v>0</v>
      </c>
      <c r="AK75" s="119">
        <v>28777.24</v>
      </c>
      <c r="AL75" s="119">
        <v>3521.49</v>
      </c>
      <c r="AM75" s="3"/>
      <c r="AN75" s="105">
        <f t="shared" si="40"/>
        <v>0</v>
      </c>
      <c r="AO75" s="223">
        <v>118.83</v>
      </c>
      <c r="AP75" s="143"/>
      <c r="AQ75" s="143"/>
      <c r="AR75" s="146"/>
      <c r="AS75" s="224">
        <f t="shared" si="41"/>
        <v>0</v>
      </c>
      <c r="AT75" s="1620">
        <v>46679.8</v>
      </c>
      <c r="AU75" s="1545"/>
      <c r="AV75" s="1621"/>
      <c r="AW75" s="1621"/>
      <c r="AX75" s="1619"/>
      <c r="AY75" s="1548"/>
      <c r="AZ75" s="1548"/>
      <c r="BA75" s="1620">
        <v>6707.1</v>
      </c>
      <c r="BB75" s="1619"/>
      <c r="BC75" s="1619"/>
      <c r="BD75" s="1619"/>
      <c r="BE75" s="1551"/>
      <c r="BF75" s="1621"/>
      <c r="BG75" s="222">
        <f t="shared" si="42"/>
        <v>0</v>
      </c>
      <c r="BH75" s="113">
        <f t="shared" si="43"/>
        <v>0</v>
      </c>
      <c r="BI75" s="3"/>
      <c r="BJ75" s="113">
        <f t="shared" si="44"/>
        <v>0</v>
      </c>
      <c r="BK75" s="129"/>
      <c r="BL75" s="129"/>
      <c r="BM75" s="129"/>
      <c r="BN75" s="129"/>
      <c r="BO75" s="129"/>
      <c r="BP75" s="130">
        <f t="shared" si="45"/>
        <v>0</v>
      </c>
      <c r="BQ75" s="3"/>
    </row>
    <row r="76" ht="14.25" customHeight="1">
      <c r="A76" s="3"/>
      <c r="B76" s="215">
        <v>46085</v>
      </c>
      <c r="C76" s="226">
        <f>77390.56-0-0</f>
      </c>
      <c r="D76" s="119"/>
      <c r="E76" s="120"/>
      <c r="F76" s="120"/>
      <c r="G76" s="147">
        <f t="shared" si="37"/>
        <v>0</v>
      </c>
      <c r="H76" s="148"/>
      <c r="I76" s="143"/>
      <c r="J76" s="143"/>
      <c r="K76" s="143"/>
      <c r="L76" s="143"/>
      <c r="M76" s="143"/>
      <c r="N76" s="143"/>
      <c r="O76" s="143"/>
      <c r="P76" s="143"/>
      <c r="Q76" s="143"/>
      <c r="R76" s="145">
        <v>674.95</v>
      </c>
      <c r="S76" s="143"/>
      <c r="T76" s="143"/>
      <c r="U76" s="103">
        <f t="shared" si="38"/>
        <v>0</v>
      </c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03">
        <f t="shared" si="39"/>
        <v>0</v>
      </c>
      <c r="AK76" s="119">
        <v>29509.42</v>
      </c>
      <c r="AL76" s="119"/>
      <c r="AM76" s="3"/>
      <c r="AN76" s="105">
        <f t="shared" si="40"/>
        <v>0</v>
      </c>
      <c r="AO76" s="223">
        <v>86.54</v>
      </c>
      <c r="AP76" s="143"/>
      <c r="AQ76" s="143"/>
      <c r="AR76" s="146"/>
      <c r="AS76" s="224">
        <f t="shared" si="41"/>
        <v>0</v>
      </c>
      <c r="AT76" s="1622">
        <v>46869.6</v>
      </c>
      <c r="AU76" s="1545"/>
      <c r="AV76" s="1621"/>
      <c r="AW76" s="1621"/>
      <c r="AX76" s="1619"/>
      <c r="AY76" s="1548"/>
      <c r="AZ76" s="1548"/>
      <c r="BA76" s="1623"/>
      <c r="BB76" s="1619"/>
      <c r="BC76" s="1619"/>
      <c r="BD76" s="1619"/>
      <c r="BE76" s="1551"/>
      <c r="BF76" s="1621"/>
      <c r="BG76" s="222">
        <f t="shared" si="42"/>
        <v>0</v>
      </c>
      <c r="BH76" s="113">
        <f t="shared" si="43"/>
        <v>0</v>
      </c>
      <c r="BI76" s="3"/>
      <c r="BJ76" s="113">
        <f t="shared" si="44"/>
        <v>0</v>
      </c>
      <c r="BK76" s="129"/>
      <c r="BL76" s="129"/>
      <c r="BM76" s="131"/>
      <c r="BN76" s="129">
        <v>250.05</v>
      </c>
      <c r="BO76" s="129"/>
      <c r="BP76" s="130">
        <f t="shared" si="45"/>
        <v>0</v>
      </c>
      <c r="BQ76" s="3"/>
    </row>
    <row r="77" ht="14.25" customHeight="1">
      <c r="A77" s="3"/>
      <c r="B77" s="215">
        <v>46086</v>
      </c>
      <c r="C77" s="3">
        <f>117990.54-0-0</f>
      </c>
      <c r="D77" s="119"/>
      <c r="E77" s="120"/>
      <c r="F77" s="120"/>
      <c r="G77" s="147">
        <f t="shared" si="37"/>
        <v>0</v>
      </c>
      <c r="H77" s="148"/>
      <c r="I77" s="143"/>
      <c r="J77" s="143"/>
      <c r="K77" s="145">
        <v>1719.95</v>
      </c>
      <c r="L77" s="143"/>
      <c r="M77" s="145">
        <v>112.78</v>
      </c>
      <c r="N77" s="143"/>
      <c r="O77" s="143"/>
      <c r="P77" s="143"/>
      <c r="Q77" s="143"/>
      <c r="R77" s="143"/>
      <c r="S77" s="143"/>
      <c r="T77" s="143"/>
      <c r="U77" s="103">
        <f t="shared" si="38"/>
        <v>0</v>
      </c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43"/>
      <c r="AJ77" s="103">
        <f t="shared" si="39"/>
        <v>0</v>
      </c>
      <c r="AK77" s="119">
        <v>54043.41</v>
      </c>
      <c r="AL77" s="119">
        <v>66.34</v>
      </c>
      <c r="AM77" s="3"/>
      <c r="AN77" s="105">
        <f t="shared" si="40"/>
        <v>0</v>
      </c>
      <c r="AO77" s="223">
        <v>243.28</v>
      </c>
      <c r="AP77" s="143"/>
      <c r="AQ77" s="143"/>
      <c r="AR77" s="146"/>
      <c r="AS77" s="224">
        <f t="shared" si="41"/>
        <v>0</v>
      </c>
      <c r="AT77" s="1622">
        <v>61806.7</v>
      </c>
      <c r="AU77" s="1545"/>
      <c r="AV77" s="1621"/>
      <c r="AW77" s="1621"/>
      <c r="AX77" s="1619"/>
      <c r="AY77" s="1548"/>
      <c r="AZ77" s="1548"/>
      <c r="BA77" s="1623"/>
      <c r="BB77" s="1619"/>
      <c r="BC77" s="1619"/>
      <c r="BD77" s="1619"/>
      <c r="BE77" s="1551"/>
      <c r="BF77" s="1621"/>
      <c r="BG77" s="222">
        <f t="shared" si="42"/>
        <v>0</v>
      </c>
      <c r="BH77" s="113">
        <f t="shared" si="43"/>
        <v>0</v>
      </c>
      <c r="BI77" s="3"/>
      <c r="BJ77" s="113">
        <f t="shared" si="44"/>
        <v>0</v>
      </c>
      <c r="BK77" s="129"/>
      <c r="BL77" s="129"/>
      <c r="BM77" s="129"/>
      <c r="BN77" s="129"/>
      <c r="BO77" s="129"/>
      <c r="BP77" s="130">
        <f t="shared" si="45"/>
        <v>0</v>
      </c>
      <c r="BQ77" s="3"/>
    </row>
    <row r="78" ht="14.25" customHeight="1">
      <c r="A78" s="3"/>
      <c r="B78" s="215">
        <v>46087</v>
      </c>
      <c r="C78" s="3">
        <f>113925.39-0-0</f>
      </c>
      <c r="D78" s="119"/>
      <c r="E78" s="120"/>
      <c r="F78" s="120"/>
      <c r="G78" s="147">
        <f t="shared" si="37"/>
        <v>0</v>
      </c>
      <c r="H78" s="148"/>
      <c r="I78" s="143"/>
      <c r="J78" s="143"/>
      <c r="K78" s="143"/>
      <c r="L78" s="143"/>
      <c r="M78" s="143"/>
      <c r="N78" s="143"/>
      <c r="O78" s="143"/>
      <c r="P78" s="143"/>
      <c r="Q78" s="143"/>
      <c r="R78" s="145">
        <v>3091.95</v>
      </c>
      <c r="S78" s="143"/>
      <c r="T78" s="143"/>
      <c r="U78" s="103">
        <f t="shared" si="38"/>
        <v>0</v>
      </c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43"/>
      <c r="AJ78" s="103">
        <f t="shared" si="39"/>
        <v>0</v>
      </c>
      <c r="AK78" s="119">
        <v>32622.14</v>
      </c>
      <c r="AL78" s="119">
        <v>5080.47</v>
      </c>
      <c r="AM78" s="3"/>
      <c r="AN78" s="105">
        <f t="shared" si="40"/>
        <v>0</v>
      </c>
      <c r="AO78" s="223">
        <v>42.47</v>
      </c>
      <c r="AP78" s="143"/>
      <c r="AQ78" s="143"/>
      <c r="AR78" s="146"/>
      <c r="AS78" s="224">
        <f t="shared" si="41"/>
        <v>0</v>
      </c>
      <c r="AT78" s="1624">
        <v>61907.9</v>
      </c>
      <c r="AU78" s="1545"/>
      <c r="AV78" s="1621"/>
      <c r="AW78" s="1621"/>
      <c r="AX78" s="1619"/>
      <c r="AY78" s="1548"/>
      <c r="AZ78" s="1548"/>
      <c r="BA78" s="1624">
        <v>11180.4</v>
      </c>
      <c r="BB78" s="1619"/>
      <c r="BC78" s="1619"/>
      <c r="BD78" s="1619"/>
      <c r="BE78" s="1551"/>
      <c r="BF78" s="1621"/>
      <c r="BG78" s="222">
        <f t="shared" si="42"/>
        <v>0</v>
      </c>
      <c r="BH78" s="113">
        <f t="shared" si="43"/>
        <v>0</v>
      </c>
      <c r="BI78" s="3"/>
      <c r="BJ78" s="113">
        <f t="shared" si="44"/>
        <v>0</v>
      </c>
      <c r="BK78" s="129"/>
      <c r="BL78" s="129"/>
      <c r="BM78" s="129"/>
      <c r="BN78" s="129"/>
      <c r="BO78" s="129"/>
      <c r="BP78" s="130">
        <f t="shared" si="45"/>
        <v>0</v>
      </c>
      <c r="BQ78" s="3"/>
    </row>
    <row r="79" ht="14.25" customHeight="1">
      <c r="A79" s="3"/>
      <c r="B79" s="215">
        <v>46088</v>
      </c>
      <c r="C79" s="3">
        <f>81791.92-0-0</f>
      </c>
      <c r="D79" s="119"/>
      <c r="E79" s="120"/>
      <c r="F79" s="120"/>
      <c r="G79" s="147">
        <f t="shared" si="37"/>
        <v>0</v>
      </c>
      <c r="H79" s="148"/>
      <c r="I79" s="143"/>
      <c r="J79" s="143"/>
      <c r="K79" s="143"/>
      <c r="L79" s="143"/>
      <c r="M79" s="143"/>
      <c r="N79" s="143"/>
      <c r="O79" s="143"/>
      <c r="P79" s="143"/>
      <c r="Q79" s="143"/>
      <c r="R79" s="145">
        <v>4375.81</v>
      </c>
      <c r="S79" s="143"/>
      <c r="T79" s="143"/>
      <c r="U79" s="103">
        <f t="shared" si="38"/>
        <v>0</v>
      </c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43"/>
      <c r="AJ79" s="103">
        <f t="shared" si="39"/>
        <v>0</v>
      </c>
      <c r="AK79" s="119">
        <v>25914.42</v>
      </c>
      <c r="AL79" s="119">
        <v>2198.6</v>
      </c>
      <c r="AM79" s="3"/>
      <c r="AN79" s="105">
        <f t="shared" si="40"/>
        <v>0</v>
      </c>
      <c r="AO79" s="223">
        <v>19.38</v>
      </c>
      <c r="AP79" s="143"/>
      <c r="AQ79" s="143"/>
      <c r="AR79" s="149">
        <v>25.29</v>
      </c>
      <c r="AS79" s="224">
        <f t="shared" si="41"/>
        <v>0</v>
      </c>
      <c r="AT79" s="1624">
        <v>45112</v>
      </c>
      <c r="AU79" s="1545"/>
      <c r="AV79" s="1621"/>
      <c r="AW79" s="1621"/>
      <c r="AX79" s="1619"/>
      <c r="AY79" s="1548"/>
      <c r="AZ79" s="1548"/>
      <c r="BA79" s="1624">
        <v>4146.6</v>
      </c>
      <c r="BB79" s="1619"/>
      <c r="BC79" s="1619"/>
      <c r="BD79" s="1619"/>
      <c r="BE79" s="1551"/>
      <c r="BF79" s="1621"/>
      <c r="BG79" s="222">
        <f t="shared" si="42"/>
        <v>0</v>
      </c>
      <c r="BH79" s="113">
        <f t="shared" si="43"/>
        <v>0</v>
      </c>
      <c r="BI79" s="3"/>
      <c r="BJ79" s="113">
        <f t="shared" si="44"/>
        <v>0</v>
      </c>
      <c r="BK79" s="129"/>
      <c r="BL79" s="129"/>
      <c r="BM79" s="129"/>
      <c r="BN79" s="129"/>
      <c r="BO79" s="129"/>
      <c r="BP79" s="130">
        <f t="shared" si="45"/>
        <v>0</v>
      </c>
      <c r="BQ79" s="3"/>
    </row>
    <row r="80" ht="14.25" customHeight="1">
      <c r="A80" s="3"/>
      <c r="B80" s="215">
        <v>46089</v>
      </c>
      <c r="C80" s="228">
        <f>76621.41-0-0</f>
      </c>
      <c r="D80" s="119"/>
      <c r="E80" s="120"/>
      <c r="F80" s="120"/>
      <c r="G80" s="147">
        <f t="shared" si="37"/>
        <v>0</v>
      </c>
      <c r="H80" s="148"/>
      <c r="I80" s="143"/>
      <c r="J80" s="143"/>
      <c r="K80" s="143"/>
      <c r="L80" s="143"/>
      <c r="M80" s="143"/>
      <c r="N80" s="143"/>
      <c r="O80" s="143"/>
      <c r="P80" s="143"/>
      <c r="Q80" s="143"/>
      <c r="R80" s="145">
        <v>494.56</v>
      </c>
      <c r="S80" s="143"/>
      <c r="T80" s="143"/>
      <c r="U80" s="103">
        <f t="shared" si="38"/>
        <v>0</v>
      </c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43"/>
      <c r="AJ80" s="103">
        <f t="shared" si="39"/>
        <v>0</v>
      </c>
      <c r="AK80" s="119">
        <v>32370.69</v>
      </c>
      <c r="AL80" s="119"/>
      <c r="AM80" s="123"/>
      <c r="AN80" s="105">
        <f t="shared" si="40"/>
        <v>0</v>
      </c>
      <c r="AO80" s="223">
        <v>171.82</v>
      </c>
      <c r="AP80" s="143"/>
      <c r="AQ80" s="143"/>
      <c r="AR80" s="146"/>
      <c r="AS80" s="224">
        <f t="shared" si="41"/>
        <v>0</v>
      </c>
      <c r="AT80" s="1624">
        <v>43584.4</v>
      </c>
      <c r="AU80" s="1545"/>
      <c r="AV80" s="1621"/>
      <c r="AW80" s="1621"/>
      <c r="AX80" s="1619"/>
      <c r="AY80" s="1548"/>
      <c r="AZ80" s="1548"/>
      <c r="BA80" s="1623"/>
      <c r="BB80" s="1619"/>
      <c r="BC80" s="1619"/>
      <c r="BD80" s="1619"/>
      <c r="BE80" s="1551"/>
      <c r="BF80" s="1621"/>
      <c r="BG80" s="222">
        <f t="shared" si="42"/>
        <v>0</v>
      </c>
      <c r="BH80" s="113">
        <f t="shared" si="43"/>
        <v>0</v>
      </c>
      <c r="BI80" s="3"/>
      <c r="BJ80" s="113">
        <f t="shared" si="44"/>
        <v>0</v>
      </c>
      <c r="BK80" s="129"/>
      <c r="BL80" s="129"/>
      <c r="BM80" s="129"/>
      <c r="BN80" s="129"/>
      <c r="BO80" s="129"/>
      <c r="BP80" s="130">
        <f t="shared" si="45"/>
        <v>0</v>
      </c>
      <c r="BQ80" s="3"/>
    </row>
    <row r="81" ht="14.25" customHeight="1">
      <c r="A81" s="132"/>
      <c r="B81" s="215">
        <v>46090</v>
      </c>
      <c r="C81" s="133">
        <f>69716.89-0-0</f>
      </c>
      <c r="D81" s="134"/>
      <c r="E81" s="135"/>
      <c r="F81" s="135"/>
      <c r="G81" s="147">
        <f t="shared" si="37"/>
        <v>0</v>
      </c>
      <c r="H81" s="148"/>
      <c r="I81" s="143"/>
      <c r="J81" s="143"/>
      <c r="K81" s="145">
        <v>721.04</v>
      </c>
      <c r="L81" s="143"/>
      <c r="M81" s="145">
        <v>158.81</v>
      </c>
      <c r="N81" s="143"/>
      <c r="O81" s="143"/>
      <c r="P81" s="143"/>
      <c r="Q81" s="143"/>
      <c r="R81" s="143">
        <v>252.35</v>
      </c>
      <c r="S81" s="143"/>
      <c r="T81" s="143"/>
      <c r="U81" s="103">
        <f t="shared" si="38"/>
        <v>0</v>
      </c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03">
        <f t="shared" si="39"/>
        <v>0</v>
      </c>
      <c r="AK81" s="134">
        <v>26664.38</v>
      </c>
      <c r="AL81" s="134">
        <v>109.61</v>
      </c>
      <c r="AM81" s="136"/>
      <c r="AN81" s="105">
        <f t="shared" si="40"/>
        <v>0</v>
      </c>
      <c r="AO81" s="223">
        <v>20.03</v>
      </c>
      <c r="AP81" s="143"/>
      <c r="AQ81" s="143"/>
      <c r="AR81" s="146"/>
      <c r="AS81" s="224">
        <f t="shared" si="41"/>
        <v>0</v>
      </c>
      <c r="AT81" s="1625">
        <v>41788.8</v>
      </c>
      <c r="AU81" s="1545"/>
      <c r="AV81" s="1546"/>
      <c r="AW81" s="1546"/>
      <c r="AX81" s="1548"/>
      <c r="AY81" s="1548"/>
      <c r="AZ81" s="1548"/>
      <c r="BA81" s="1626"/>
      <c r="BB81" s="1548"/>
      <c r="BC81" s="1548"/>
      <c r="BD81" s="1548"/>
      <c r="BE81" s="1551"/>
      <c r="BF81" s="1546"/>
      <c r="BG81" s="222">
        <f t="shared" si="42"/>
        <v>0</v>
      </c>
      <c r="BH81" s="140">
        <f t="shared" si="43"/>
        <v>0</v>
      </c>
      <c r="BI81" s="132"/>
      <c r="BJ81" s="140">
        <f t="shared" si="44"/>
        <v>0</v>
      </c>
      <c r="BK81" s="141"/>
      <c r="BL81" s="141"/>
      <c r="BM81" s="141"/>
      <c r="BN81" s="141"/>
      <c r="BO81" s="141"/>
      <c r="BP81" s="130">
        <f t="shared" si="45"/>
        <v>0</v>
      </c>
      <c r="BQ81" s="132"/>
    </row>
    <row r="82" ht="14.25" customHeight="1">
      <c r="A82" s="132"/>
      <c r="B82" s="215">
        <v>46091</v>
      </c>
      <c r="C82" s="230">
        <f>102075.14-0-0</f>
      </c>
      <c r="D82" s="134"/>
      <c r="E82" s="135"/>
      <c r="F82" s="135"/>
      <c r="G82" s="147">
        <f t="shared" si="37"/>
        <v>0</v>
      </c>
      <c r="H82" s="148"/>
      <c r="I82" s="143"/>
      <c r="J82" s="143"/>
      <c r="K82" s="143"/>
      <c r="L82" s="143"/>
      <c r="M82" s="145">
        <v>3647.66</v>
      </c>
      <c r="N82" s="143"/>
      <c r="O82" s="143"/>
      <c r="P82" s="143"/>
      <c r="Q82" s="143"/>
      <c r="R82" s="143">
        <v>931.84</v>
      </c>
      <c r="S82" s="143"/>
      <c r="T82" s="143"/>
      <c r="U82" s="103">
        <f t="shared" si="38"/>
        <v>0</v>
      </c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43"/>
      <c r="AJ82" s="103">
        <f t="shared" si="39"/>
        <v>0</v>
      </c>
      <c r="AK82" s="134">
        <v>36076.75</v>
      </c>
      <c r="AL82" s="134"/>
      <c r="AM82" s="136"/>
      <c r="AN82" s="105">
        <f t="shared" si="40"/>
        <v>0</v>
      </c>
      <c r="AO82" s="223">
        <v>31.95</v>
      </c>
      <c r="AP82" s="143"/>
      <c r="AQ82" s="143"/>
      <c r="AR82" s="146"/>
      <c r="AS82" s="224">
        <f t="shared" si="41"/>
        <v>0</v>
      </c>
      <c r="AT82" s="1625">
        <v>61385.8</v>
      </c>
      <c r="AU82" s="1545"/>
      <c r="AV82" s="1546"/>
      <c r="AW82" s="1546"/>
      <c r="AX82" s="1548"/>
      <c r="AY82" s="1548"/>
      <c r="AZ82" s="1548"/>
      <c r="BA82" s="1626"/>
      <c r="BB82" s="1548"/>
      <c r="BC82" s="1548"/>
      <c r="BD82" s="1548"/>
      <c r="BE82" s="1551"/>
      <c r="BF82" s="1546"/>
      <c r="BG82" s="222">
        <f t="shared" si="42"/>
        <v>0</v>
      </c>
      <c r="BH82" s="140">
        <f t="shared" si="43"/>
        <v>0</v>
      </c>
      <c r="BI82" s="132"/>
      <c r="BJ82" s="140">
        <f t="shared" si="44"/>
        <v>0</v>
      </c>
      <c r="BK82" s="141"/>
      <c r="BL82" s="141"/>
      <c r="BM82" s="141"/>
      <c r="BN82" s="141"/>
      <c r="BO82" s="141"/>
      <c r="BP82" s="130">
        <f t="shared" si="45"/>
        <v>0</v>
      </c>
      <c r="BQ82" s="132"/>
    </row>
    <row r="83" ht="14.25" customHeight="1">
      <c r="A83" s="132"/>
      <c r="B83" s="215">
        <v>46092</v>
      </c>
      <c r="C83" s="133">
        <f>62650.28-0-0</f>
      </c>
      <c r="D83" s="134"/>
      <c r="E83" s="135"/>
      <c r="F83" s="135"/>
      <c r="G83" s="147">
        <f t="shared" si="37"/>
        <v>0</v>
      </c>
      <c r="H83" s="148"/>
      <c r="I83" s="143"/>
      <c r="J83" s="143"/>
      <c r="K83" s="143"/>
      <c r="L83" s="143"/>
      <c r="M83" s="145">
        <v>2720.43</v>
      </c>
      <c r="N83" s="143"/>
      <c r="O83" s="143"/>
      <c r="P83" s="143"/>
      <c r="Q83" s="143"/>
      <c r="R83" s="143">
        <v>320.4</v>
      </c>
      <c r="S83" s="143"/>
      <c r="T83" s="143"/>
      <c r="U83" s="103">
        <f t="shared" si="38"/>
        <v>0</v>
      </c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03">
        <f t="shared" si="39"/>
        <v>0</v>
      </c>
      <c r="AK83" s="134">
        <v>29101.48</v>
      </c>
      <c r="AL83" s="134">
        <v>101.4</v>
      </c>
      <c r="AM83" s="136"/>
      <c r="AN83" s="105">
        <f t="shared" si="40"/>
        <v>0</v>
      </c>
      <c r="AO83" s="223">
        <v>10.23</v>
      </c>
      <c r="AP83" s="143"/>
      <c r="AQ83" s="143"/>
      <c r="AR83" s="146"/>
      <c r="AS83" s="224">
        <f t="shared" si="41"/>
        <v>0</v>
      </c>
      <c r="AT83" s="1627">
        <v>30396.5</v>
      </c>
      <c r="AU83" s="1545"/>
      <c r="AV83" s="1546"/>
      <c r="AW83" s="1546"/>
      <c r="AX83" s="1548"/>
      <c r="AY83" s="1548"/>
      <c r="AZ83" s="1548"/>
      <c r="BA83" s="1626"/>
      <c r="BB83" s="1548"/>
      <c r="BC83" s="1548"/>
      <c r="BD83" s="1548"/>
      <c r="BE83" s="1551"/>
      <c r="BF83" s="1546"/>
      <c r="BG83" s="222">
        <f t="shared" si="42"/>
        <v>0</v>
      </c>
      <c r="BH83" s="140">
        <f t="shared" si="43"/>
        <v>0</v>
      </c>
      <c r="BI83" s="132"/>
      <c r="BJ83" s="140">
        <f t="shared" si="44"/>
        <v>0</v>
      </c>
      <c r="BK83" s="141"/>
      <c r="BL83" s="141"/>
      <c r="BM83" s="141"/>
      <c r="BN83" s="141"/>
      <c r="BO83" s="141"/>
      <c r="BP83" s="130">
        <f t="shared" si="45"/>
        <v>0</v>
      </c>
      <c r="BQ83" s="132"/>
    </row>
    <row r="84" ht="14.25" customHeight="1">
      <c r="A84" s="132"/>
      <c r="B84" s="215">
        <v>46093</v>
      </c>
      <c r="C84" s="230">
        <f>59770.29-0-0</f>
      </c>
      <c r="D84" s="134"/>
      <c r="E84" s="135"/>
      <c r="F84" s="135"/>
      <c r="G84" s="147">
        <f t="shared" si="37"/>
        <v>0</v>
      </c>
      <c r="H84" s="148"/>
      <c r="I84" s="143"/>
      <c r="J84" s="143"/>
      <c r="K84" s="143"/>
      <c r="L84" s="143"/>
      <c r="M84" s="143"/>
      <c r="N84" s="143"/>
      <c r="O84" s="143"/>
      <c r="P84" s="143"/>
      <c r="Q84" s="143"/>
      <c r="R84" s="145">
        <v>383.71</v>
      </c>
      <c r="S84" s="143"/>
      <c r="T84" s="143"/>
      <c r="U84" s="103">
        <f t="shared" si="38"/>
        <v>0</v>
      </c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43"/>
      <c r="AJ84" s="103">
        <f t="shared" si="39"/>
        <v>0</v>
      </c>
      <c r="AK84" s="134">
        <v>24672.15</v>
      </c>
      <c r="AL84" s="134"/>
      <c r="AM84" s="136"/>
      <c r="AN84" s="105">
        <f t="shared" si="40"/>
        <v>0</v>
      </c>
      <c r="AO84" s="223">
        <v>15.95</v>
      </c>
      <c r="AP84" s="143"/>
      <c r="AQ84" s="143"/>
      <c r="AR84" s="146"/>
      <c r="AS84" s="224">
        <f t="shared" si="41"/>
        <v>0</v>
      </c>
      <c r="AT84" s="1627">
        <v>34628.1</v>
      </c>
      <c r="AU84" s="1545"/>
      <c r="AV84" s="1546"/>
      <c r="AW84" s="1546"/>
      <c r="AX84" s="1548"/>
      <c r="AY84" s="1548"/>
      <c r="AZ84" s="1548"/>
      <c r="BA84" s="1626"/>
      <c r="BB84" s="1548"/>
      <c r="BC84" s="1548"/>
      <c r="BD84" s="1548"/>
      <c r="BE84" s="1551"/>
      <c r="BF84" s="1546"/>
      <c r="BG84" s="222">
        <f t="shared" si="42"/>
        <v>0</v>
      </c>
      <c r="BH84" s="140">
        <f t="shared" si="43"/>
        <v>0</v>
      </c>
      <c r="BI84" s="132"/>
      <c r="BJ84" s="140">
        <f t="shared" si="44"/>
        <v>0</v>
      </c>
      <c r="BK84" s="141"/>
      <c r="BL84" s="141"/>
      <c r="BM84" s="141"/>
      <c r="BN84" s="141"/>
      <c r="BO84" s="141"/>
      <c r="BP84" s="130">
        <f t="shared" si="45"/>
        <v>0</v>
      </c>
      <c r="BQ84" s="132"/>
    </row>
    <row r="85" ht="14.25" customHeight="1">
      <c r="A85" s="132"/>
      <c r="B85" s="215">
        <v>46094</v>
      </c>
      <c r="C85" s="230">
        <f>60601.79-0-0</f>
      </c>
      <c r="D85" s="134"/>
      <c r="E85" s="135"/>
      <c r="F85" s="135"/>
      <c r="G85" s="147">
        <f t="shared" si="37"/>
        <v>0</v>
      </c>
      <c r="H85" s="151">
        <v>676.93</v>
      </c>
      <c r="I85" s="143"/>
      <c r="J85" s="143"/>
      <c r="K85" s="145">
        <v>739.52</v>
      </c>
      <c r="L85" s="143"/>
      <c r="M85" s="143"/>
      <c r="N85" s="145">
        <v>2337.93</v>
      </c>
      <c r="O85" s="143"/>
      <c r="P85" s="143"/>
      <c r="Q85" s="143"/>
      <c r="R85" s="143">
        <v>984.07</v>
      </c>
      <c r="S85" s="143"/>
      <c r="T85" s="143"/>
      <c r="U85" s="103">
        <f ref="U85:U103" t="shared" si="46">SUM(H85:T85)</f>
        <v>0</v>
      </c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43"/>
      <c r="AJ85" s="103">
        <f t="shared" si="39"/>
        <v>0</v>
      </c>
      <c r="AK85" s="134">
        <v>22408.8</v>
      </c>
      <c r="AL85" s="134"/>
      <c r="AM85" s="136"/>
      <c r="AN85" s="105">
        <f t="shared" si="40"/>
        <v>0</v>
      </c>
      <c r="AO85" s="223">
        <v>12.95</v>
      </c>
      <c r="AP85" s="143"/>
      <c r="AQ85" s="143"/>
      <c r="AR85" s="146"/>
      <c r="AS85" s="224">
        <f t="shared" si="41"/>
        <v>0</v>
      </c>
      <c r="AT85" s="1628">
        <v>33441.7</v>
      </c>
      <c r="AU85" s="1570"/>
      <c r="AV85" s="1575"/>
      <c r="AW85" s="1546"/>
      <c r="AX85" s="1548"/>
      <c r="AY85" s="1548"/>
      <c r="AZ85" s="1548"/>
      <c r="BA85" s="1626"/>
      <c r="BB85" s="1548"/>
      <c r="BC85" s="1548"/>
      <c r="BD85" s="1548"/>
      <c r="BE85" s="1551"/>
      <c r="BF85" s="1546"/>
      <c r="BG85" s="222">
        <f t="shared" si="42"/>
        <v>0</v>
      </c>
      <c r="BH85" s="140">
        <f t="shared" si="43"/>
        <v>0</v>
      </c>
      <c r="BI85" s="132"/>
      <c r="BJ85" s="140">
        <f t="shared" si="44"/>
        <v>0</v>
      </c>
      <c r="BK85" s="141"/>
      <c r="BL85" s="141"/>
      <c r="BM85" s="141"/>
      <c r="BN85" s="141"/>
      <c r="BO85" s="141"/>
      <c r="BP85" s="130">
        <f t="shared" si="45"/>
        <v>0</v>
      </c>
      <c r="BQ85" s="132"/>
    </row>
    <row r="86" ht="14.25" customHeight="1">
      <c r="A86" s="132"/>
      <c r="B86" s="215">
        <v>46095</v>
      </c>
      <c r="C86" s="133">
        <f>56306.98-0-0</f>
      </c>
      <c r="D86" s="134"/>
      <c r="E86" s="135"/>
      <c r="F86" s="135"/>
      <c r="G86" s="147">
        <f t="shared" si="37"/>
        <v>0</v>
      </c>
      <c r="H86" s="151"/>
      <c r="I86" s="143"/>
      <c r="J86" s="143"/>
      <c r="K86" s="145">
        <v>713.66</v>
      </c>
      <c r="L86" s="143"/>
      <c r="M86" s="143">
        <v>2398.95</v>
      </c>
      <c r="N86" s="143">
        <v>3133.79</v>
      </c>
      <c r="O86" s="143"/>
      <c r="P86" s="143"/>
      <c r="Q86" s="143"/>
      <c r="R86" s="143">
        <v>370.94</v>
      </c>
      <c r="S86" s="143"/>
      <c r="T86" s="143"/>
      <c r="U86" s="103">
        <f t="shared" si="46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43"/>
      <c r="AJ86" s="103">
        <f t="shared" si="39"/>
        <v>0</v>
      </c>
      <c r="AK86" s="134">
        <v>22582.99</v>
      </c>
      <c r="AL86" s="134">
        <v>58.62</v>
      </c>
      <c r="AM86" s="136"/>
      <c r="AN86" s="105">
        <f t="shared" si="40"/>
        <v>0</v>
      </c>
      <c r="AO86" s="223">
        <v>10.97</v>
      </c>
      <c r="AP86" s="143"/>
      <c r="AQ86" s="143"/>
      <c r="AR86" s="146"/>
      <c r="AS86" s="224">
        <f t="shared" si="41"/>
        <v>0</v>
      </c>
      <c r="AT86" s="1628">
        <v>26938</v>
      </c>
      <c r="AU86" s="1545"/>
      <c r="AV86" s="1546"/>
      <c r="AW86" s="1546"/>
      <c r="AX86" s="1548"/>
      <c r="AY86" s="1548"/>
      <c r="AZ86" s="1548"/>
      <c r="BA86" s="1626"/>
      <c r="BB86" s="1548"/>
      <c r="BC86" s="1548"/>
      <c r="BD86" s="1548"/>
      <c r="BE86" s="1551"/>
      <c r="BF86" s="1546"/>
      <c r="BG86" s="222">
        <f t="shared" si="42"/>
        <v>0</v>
      </c>
      <c r="BH86" s="140">
        <f t="shared" si="43"/>
        <v>0</v>
      </c>
      <c r="BI86" s="132"/>
      <c r="BJ86" s="140">
        <f t="shared" si="44"/>
        <v>0</v>
      </c>
      <c r="BK86" s="141"/>
      <c r="BL86" s="141"/>
      <c r="BM86" s="141"/>
      <c r="BN86" s="141"/>
      <c r="BO86" s="141"/>
      <c r="BP86" s="130">
        <f t="shared" si="45"/>
        <v>0</v>
      </c>
      <c r="BQ86" s="132"/>
    </row>
    <row r="87" ht="14.25" customHeight="1">
      <c r="A87" s="132"/>
      <c r="B87" s="215">
        <v>46096</v>
      </c>
      <c r="C87" s="133">
        <f>60540.01-0-0</f>
      </c>
      <c r="D87" s="134"/>
      <c r="E87" s="135"/>
      <c r="F87" s="135"/>
      <c r="G87" s="147">
        <f t="shared" si="37"/>
        <v>0</v>
      </c>
      <c r="H87" s="148"/>
      <c r="I87" s="143"/>
      <c r="J87" s="143"/>
      <c r="K87" s="145">
        <v>1385.34</v>
      </c>
      <c r="L87" s="143"/>
      <c r="M87" s="145">
        <v>750.33</v>
      </c>
      <c r="N87" s="143"/>
      <c r="O87" s="143"/>
      <c r="P87" s="143"/>
      <c r="Q87" s="143"/>
      <c r="R87" s="143"/>
      <c r="S87" s="143"/>
      <c r="T87" s="143"/>
      <c r="U87" s="103">
        <f t="shared" si="46"/>
        <v>0</v>
      </c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03">
        <f t="shared" si="39"/>
        <v>0</v>
      </c>
      <c r="AK87" s="134">
        <v>15162.88</v>
      </c>
      <c r="AL87" s="134">
        <v>6190.34</v>
      </c>
      <c r="AM87" s="136"/>
      <c r="AN87" s="105">
        <f t="shared" si="40"/>
        <v>0</v>
      </c>
      <c r="AO87" s="223">
        <v>5</v>
      </c>
      <c r="AP87" s="143"/>
      <c r="AQ87" s="143"/>
      <c r="AR87" s="146"/>
      <c r="AS87" s="224">
        <f t="shared" si="41"/>
        <v>0</v>
      </c>
      <c r="AT87" s="1628">
        <v>21372.3</v>
      </c>
      <c r="AU87" s="1545"/>
      <c r="AV87" s="1546"/>
      <c r="AW87" s="1546"/>
      <c r="AX87" s="1548"/>
      <c r="AY87" s="1548"/>
      <c r="AZ87" s="1548"/>
      <c r="BA87" s="1629">
        <v>15674</v>
      </c>
      <c r="BB87" s="1548"/>
      <c r="BC87" s="1548"/>
      <c r="BD87" s="1548"/>
      <c r="BE87" s="1551"/>
      <c r="BF87" s="1546"/>
      <c r="BG87" s="222">
        <f t="shared" si="42"/>
        <v>0</v>
      </c>
      <c r="BH87" s="140">
        <f t="shared" si="43"/>
        <v>0</v>
      </c>
      <c r="BI87" s="132"/>
      <c r="BJ87" s="140">
        <f t="shared" si="44"/>
        <v>0</v>
      </c>
      <c r="BK87" s="141"/>
      <c r="BL87" s="141"/>
      <c r="BM87" s="141"/>
      <c r="BN87" s="141"/>
      <c r="BO87" s="141"/>
      <c r="BP87" s="130">
        <f t="shared" si="45"/>
        <v>0</v>
      </c>
      <c r="BQ87" s="132"/>
    </row>
    <row r="88" ht="14.25" customHeight="1">
      <c r="A88" s="132"/>
      <c r="B88" s="215">
        <v>46097</v>
      </c>
      <c r="C88" s="133">
        <f>65895.49-0-0</f>
      </c>
      <c r="D88" s="134"/>
      <c r="E88" s="135"/>
      <c r="F88" s="135"/>
      <c r="G88" s="147">
        <f t="shared" si="37"/>
        <v>0</v>
      </c>
      <c r="H88" s="151">
        <v>329.58</v>
      </c>
      <c r="I88" s="143"/>
      <c r="J88" s="143"/>
      <c r="K88" s="145">
        <v>777.78</v>
      </c>
      <c r="L88" s="143"/>
      <c r="M88" s="143"/>
      <c r="N88" s="143"/>
      <c r="O88" s="143"/>
      <c r="P88" s="143"/>
      <c r="Q88" s="143"/>
      <c r="R88" s="143">
        <v>1058.96</v>
      </c>
      <c r="S88" s="143"/>
      <c r="T88" s="143"/>
      <c r="U88" s="103">
        <f t="shared" si="46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43"/>
      <c r="AJ88" s="103">
        <f t="shared" si="39"/>
        <v>0</v>
      </c>
      <c r="AK88" s="134">
        <v>19641.49</v>
      </c>
      <c r="AL88" s="134">
        <v>6795.55</v>
      </c>
      <c r="AM88" s="136"/>
      <c r="AN88" s="105">
        <f t="shared" si="40"/>
        <v>0</v>
      </c>
      <c r="AO88" s="223">
        <v>19.41</v>
      </c>
      <c r="AP88" s="143"/>
      <c r="AQ88" s="143"/>
      <c r="AR88" s="146"/>
      <c r="AS88" s="224">
        <f t="shared" si="41"/>
        <v>0</v>
      </c>
      <c r="AT88" s="1630">
        <v>28561.1</v>
      </c>
      <c r="AU88" s="1545"/>
      <c r="AV88" s="1546"/>
      <c r="AW88" s="1546"/>
      <c r="AX88" s="1548"/>
      <c r="AY88" s="1548"/>
      <c r="AZ88" s="1548"/>
      <c r="BA88" s="1625">
        <v>8711.6</v>
      </c>
      <c r="BB88" s="1548"/>
      <c r="BC88" s="1548"/>
      <c r="BD88" s="1548"/>
      <c r="BE88" s="1551"/>
      <c r="BF88" s="1546"/>
      <c r="BG88" s="222">
        <f t="shared" si="42"/>
        <v>0</v>
      </c>
      <c r="BH88" s="140">
        <f t="shared" si="43"/>
        <v>0</v>
      </c>
      <c r="BI88" s="132"/>
      <c r="BJ88" s="140">
        <f t="shared" si="44"/>
        <v>0</v>
      </c>
      <c r="BK88" s="141"/>
      <c r="BL88" s="141"/>
      <c r="BM88" s="141"/>
      <c r="BN88" s="141"/>
      <c r="BO88" s="141"/>
      <c r="BP88" s="130">
        <f t="shared" si="45"/>
        <v>0</v>
      </c>
      <c r="BQ88" s="132"/>
    </row>
    <row r="89" ht="14.25" customHeight="1">
      <c r="A89" s="132"/>
      <c r="B89" s="215">
        <v>46098</v>
      </c>
      <c r="C89" s="133">
        <f>85376.65-0-0</f>
      </c>
      <c r="D89" s="134"/>
      <c r="E89" s="135"/>
      <c r="F89" s="135"/>
      <c r="G89" s="147">
        <f t="shared" si="37"/>
        <v>0</v>
      </c>
      <c r="H89" s="148"/>
      <c r="I89" s="143"/>
      <c r="J89" s="143"/>
      <c r="K89" s="145">
        <v>699.3</v>
      </c>
      <c r="L89" s="143"/>
      <c r="M89" s="143">
        <v>1752.21</v>
      </c>
      <c r="N89" s="143"/>
      <c r="O89" s="143"/>
      <c r="P89" s="143"/>
      <c r="Q89" s="143"/>
      <c r="R89" s="143">
        <v>831.26</v>
      </c>
      <c r="S89" s="143"/>
      <c r="T89" s="143"/>
      <c r="U89" s="103">
        <f t="shared" si="46"/>
        <v>0</v>
      </c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03">
        <f t="shared" si="39"/>
        <v>0</v>
      </c>
      <c r="AK89" s="134">
        <v>26139.11</v>
      </c>
      <c r="AL89" s="134">
        <v>3460.62</v>
      </c>
      <c r="AM89" s="136"/>
      <c r="AN89" s="105">
        <f t="shared" si="40"/>
        <v>0</v>
      </c>
      <c r="AO89" s="223">
        <v>48.9</v>
      </c>
      <c r="AP89" s="143"/>
      <c r="AQ89" s="143"/>
      <c r="AR89" s="146"/>
      <c r="AS89" s="224">
        <f t="shared" si="41"/>
        <v>0</v>
      </c>
      <c r="AT89" s="1630">
        <v>46793.7</v>
      </c>
      <c r="AU89" s="1545"/>
      <c r="AV89" s="1546"/>
      <c r="AW89" s="1546"/>
      <c r="AX89" s="1548"/>
      <c r="AY89" s="1548"/>
      <c r="AZ89" s="1548"/>
      <c r="BA89" s="1625">
        <v>5651.7</v>
      </c>
      <c r="BB89" s="1548"/>
      <c r="BC89" s="1548"/>
      <c r="BD89" s="1548"/>
      <c r="BE89" s="1551"/>
      <c r="BF89" s="1546"/>
      <c r="BG89" s="222">
        <f t="shared" si="42"/>
        <v>0</v>
      </c>
      <c r="BH89" s="140">
        <f t="shared" si="43"/>
        <v>0</v>
      </c>
      <c r="BI89" s="132"/>
      <c r="BJ89" s="140">
        <f t="shared" si="44"/>
        <v>0</v>
      </c>
      <c r="BK89" s="141"/>
      <c r="BL89" s="141"/>
      <c r="BM89" s="141"/>
      <c r="BN89" s="141"/>
      <c r="BO89" s="141"/>
      <c r="BP89" s="130">
        <f t="shared" si="45"/>
        <v>0</v>
      </c>
      <c r="BQ89" s="132"/>
    </row>
    <row r="90" ht="14.25" customHeight="1">
      <c r="A90" s="132"/>
      <c r="B90" s="215">
        <v>46099</v>
      </c>
      <c r="C90" s="133">
        <f>110736.56-0-0</f>
      </c>
      <c r="D90" s="134"/>
      <c r="E90" s="135"/>
      <c r="F90" s="135"/>
      <c r="G90" s="147">
        <f t="shared" si="37"/>
        <v>0</v>
      </c>
      <c r="H90" s="148"/>
      <c r="I90" s="143"/>
      <c r="J90" s="143"/>
      <c r="K90" s="145">
        <v>1238.82</v>
      </c>
      <c r="L90" s="143"/>
      <c r="M90" s="145">
        <v>1012.23</v>
      </c>
      <c r="N90" s="143"/>
      <c r="O90" s="143"/>
      <c r="P90" s="143"/>
      <c r="Q90" s="143"/>
      <c r="R90" s="143">
        <v>355.02</v>
      </c>
      <c r="S90" s="143"/>
      <c r="T90" s="143"/>
      <c r="U90" s="103">
        <f t="shared" si="46"/>
        <v>0</v>
      </c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03">
        <f t="shared" si="39"/>
        <v>0</v>
      </c>
      <c r="AK90" s="134">
        <v>37270.16</v>
      </c>
      <c r="AL90" s="134">
        <v>6555.52</v>
      </c>
      <c r="AM90" s="136"/>
      <c r="AN90" s="105">
        <f t="shared" si="40"/>
        <v>0</v>
      </c>
      <c r="AO90" s="223">
        <v>170.47</v>
      </c>
      <c r="AP90" s="143"/>
      <c r="AQ90" s="143"/>
      <c r="AR90" s="146"/>
      <c r="AS90" s="224">
        <f t="shared" si="41"/>
        <v>0</v>
      </c>
      <c r="AT90" s="1631">
        <v>54607.9</v>
      </c>
      <c r="AU90" s="1545"/>
      <c r="AV90" s="1546"/>
      <c r="AW90" s="1546"/>
      <c r="AX90" s="1548"/>
      <c r="AY90" s="1548"/>
      <c r="AZ90" s="1548"/>
      <c r="BA90" s="1632">
        <v>9526.6</v>
      </c>
      <c r="BB90" s="1548"/>
      <c r="BC90" s="1548"/>
      <c r="BD90" s="1548"/>
      <c r="BE90" s="1551"/>
      <c r="BF90" s="1546"/>
      <c r="BG90" s="222">
        <f t="shared" si="42"/>
        <v>0</v>
      </c>
      <c r="BH90" s="140">
        <f t="shared" si="43"/>
        <v>0</v>
      </c>
      <c r="BI90" s="132"/>
      <c r="BJ90" s="140">
        <f t="shared" si="44"/>
        <v>0</v>
      </c>
      <c r="BK90" s="141"/>
      <c r="BL90" s="141"/>
      <c r="BM90" s="141"/>
      <c r="BN90" s="141"/>
      <c r="BO90" s="141"/>
      <c r="BP90" s="130">
        <f t="shared" si="45"/>
        <v>0</v>
      </c>
      <c r="BQ90" s="132"/>
    </row>
    <row r="91" ht="14.25" customHeight="1">
      <c r="A91" s="132"/>
      <c r="B91" s="215">
        <v>46100</v>
      </c>
      <c r="C91" s="133">
        <f>87735.51-0-0</f>
      </c>
      <c r="D91" s="134"/>
      <c r="E91" s="135"/>
      <c r="F91" s="135"/>
      <c r="G91" s="147">
        <f t="shared" si="37"/>
        <v>0</v>
      </c>
      <c r="H91" s="148"/>
      <c r="I91" s="143"/>
      <c r="J91" s="143"/>
      <c r="K91" s="145">
        <v>782.57</v>
      </c>
      <c r="L91" s="143"/>
      <c r="M91" s="145">
        <v>832.89</v>
      </c>
      <c r="N91" s="143"/>
      <c r="O91" s="143"/>
      <c r="P91" s="143"/>
      <c r="Q91" s="143"/>
      <c r="R91" s="143">
        <v>125.53</v>
      </c>
      <c r="S91" s="143"/>
      <c r="T91" s="143"/>
      <c r="U91" s="103">
        <f t="shared" si="46"/>
        <v>0</v>
      </c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03">
        <f t="shared" si="39"/>
        <v>0</v>
      </c>
      <c r="AK91" s="134">
        <v>19050.16</v>
      </c>
      <c r="AL91" s="134">
        <v>6755.33</v>
      </c>
      <c r="AM91" s="136"/>
      <c r="AN91" s="105">
        <f t="shared" si="40"/>
        <v>0</v>
      </c>
      <c r="AO91" s="223">
        <v>8.6</v>
      </c>
      <c r="AP91" s="143"/>
      <c r="AQ91" s="143"/>
      <c r="AR91" s="146"/>
      <c r="AS91" s="224">
        <f t="shared" si="41"/>
        <v>0</v>
      </c>
      <c r="AT91" s="1631">
        <v>50444.8</v>
      </c>
      <c r="AU91" s="1545"/>
      <c r="AV91" s="1546"/>
      <c r="AW91" s="1546"/>
      <c r="AX91" s="1548"/>
      <c r="AY91" s="1548"/>
      <c r="AZ91" s="1548"/>
      <c r="BA91" s="1632">
        <v>9733.9</v>
      </c>
      <c r="BB91" s="1548"/>
      <c r="BC91" s="1548"/>
      <c r="BD91" s="1548"/>
      <c r="BE91" s="1551"/>
      <c r="BF91" s="1546"/>
      <c r="BG91" s="222">
        <f t="shared" si="42"/>
        <v>0</v>
      </c>
      <c r="BH91" s="140">
        <f t="shared" si="43"/>
        <v>0</v>
      </c>
      <c r="BI91" s="132"/>
      <c r="BJ91" s="140">
        <f t="shared" si="44"/>
        <v>0</v>
      </c>
      <c r="BK91" s="141"/>
      <c r="BL91" s="141"/>
      <c r="BM91" s="141"/>
      <c r="BN91" s="141"/>
      <c r="BO91" s="141"/>
      <c r="BP91" s="130">
        <f t="shared" si="45"/>
        <v>0</v>
      </c>
      <c r="BQ91" s="132"/>
    </row>
    <row r="92" ht="14.25" customHeight="1">
      <c r="A92" s="132"/>
      <c r="B92" s="215">
        <v>46101</v>
      </c>
      <c r="C92" s="133">
        <f>88831.24-0-0</f>
      </c>
      <c r="D92" s="134"/>
      <c r="E92" s="135"/>
      <c r="F92" s="135"/>
      <c r="G92" s="147">
        <f t="shared" si="37"/>
        <v>0</v>
      </c>
      <c r="H92" s="151">
        <v>1147.55</v>
      </c>
      <c r="I92" s="143"/>
      <c r="J92" s="143"/>
      <c r="K92" s="145">
        <v>2092.71</v>
      </c>
      <c r="L92" s="143"/>
      <c r="M92" s="145">
        <v>1909.18</v>
      </c>
      <c r="N92" s="143"/>
      <c r="O92" s="143"/>
      <c r="P92" s="143"/>
      <c r="Q92" s="143"/>
      <c r="R92" s="143">
        <v>444.61</v>
      </c>
      <c r="S92" s="143"/>
      <c r="T92" s="143"/>
      <c r="U92" s="103">
        <f t="shared" si="46"/>
        <v>0</v>
      </c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03">
        <f t="shared" si="39"/>
        <v>0</v>
      </c>
      <c r="AK92" s="134">
        <v>20400.18</v>
      </c>
      <c r="AL92" s="134">
        <v>5742.25</v>
      </c>
      <c r="AM92" s="136"/>
      <c r="AN92" s="105">
        <f t="shared" si="40"/>
        <v>0</v>
      </c>
      <c r="AO92" s="223">
        <v>15.95</v>
      </c>
      <c r="AP92" s="143"/>
      <c r="AQ92" s="143"/>
      <c r="AR92" s="149">
        <v>35.26</v>
      </c>
      <c r="AS92" s="224">
        <f t="shared" si="41"/>
        <v>0</v>
      </c>
      <c r="AT92" s="1633">
        <v>48065.3</v>
      </c>
      <c r="AU92" s="1545"/>
      <c r="AV92" s="1546"/>
      <c r="AW92" s="1546"/>
      <c r="AX92" s="1548"/>
      <c r="AY92" s="1548"/>
      <c r="AZ92" s="1548"/>
      <c r="BA92" s="1634">
        <v>8978.5</v>
      </c>
      <c r="BB92" s="1548"/>
      <c r="BC92" s="1548"/>
      <c r="BD92" s="1548"/>
      <c r="BE92" s="1551"/>
      <c r="BF92" s="1546"/>
      <c r="BG92" s="222">
        <f t="shared" si="42"/>
        <v>0</v>
      </c>
      <c r="BH92" s="140">
        <f t="shared" si="43"/>
        <v>0</v>
      </c>
      <c r="BI92" s="132"/>
      <c r="BJ92" s="140">
        <f t="shared" si="44"/>
        <v>0</v>
      </c>
      <c r="BK92" s="141"/>
      <c r="BL92" s="141"/>
      <c r="BM92" s="141"/>
      <c r="BN92" s="141"/>
      <c r="BO92" s="141"/>
      <c r="BP92" s="130">
        <f t="shared" si="45"/>
        <v>0</v>
      </c>
      <c r="BQ92" s="132"/>
    </row>
    <row r="93" ht="14.25" customHeight="1">
      <c r="A93" s="132"/>
      <c r="B93" s="215">
        <v>46102</v>
      </c>
      <c r="C93" s="133">
        <f>78778.44-0-0</f>
      </c>
      <c r="D93" s="134"/>
      <c r="E93" s="135"/>
      <c r="F93" s="135"/>
      <c r="G93" s="147">
        <f t="shared" si="37"/>
        <v>0</v>
      </c>
      <c r="H93" s="148"/>
      <c r="I93" s="143"/>
      <c r="J93" s="143"/>
      <c r="K93" s="143"/>
      <c r="L93" s="143"/>
      <c r="M93" s="145">
        <v>901.89</v>
      </c>
      <c r="N93" s="143"/>
      <c r="O93" s="143"/>
      <c r="P93" s="143"/>
      <c r="Q93" s="143"/>
      <c r="R93" s="143"/>
      <c r="S93" s="143"/>
      <c r="T93" s="143"/>
      <c r="U93" s="103">
        <f t="shared" si="46"/>
        <v>0</v>
      </c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03">
        <f t="shared" si="39"/>
        <v>0</v>
      </c>
      <c r="AK93" s="134">
        <v>19926.5</v>
      </c>
      <c r="AL93" s="134">
        <v>5665.3</v>
      </c>
      <c r="AM93" s="136"/>
      <c r="AN93" s="105">
        <f t="shared" si="40"/>
        <v>0</v>
      </c>
      <c r="AO93" s="223">
        <v>23.05</v>
      </c>
      <c r="AP93" s="143"/>
      <c r="AQ93" s="143"/>
      <c r="AR93" s="146"/>
      <c r="AS93" s="224">
        <f t="shared" si="41"/>
        <v>0</v>
      </c>
      <c r="AT93" s="1633">
        <v>45259</v>
      </c>
      <c r="AU93" s="1545"/>
      <c r="AV93" s="1546"/>
      <c r="AW93" s="1546"/>
      <c r="AX93" s="1548"/>
      <c r="AY93" s="1548"/>
      <c r="AZ93" s="1548"/>
      <c r="BA93" s="1634">
        <v>7001.9</v>
      </c>
      <c r="BB93" s="1548"/>
      <c r="BC93" s="1548"/>
      <c r="BD93" s="1548"/>
      <c r="BE93" s="1551"/>
      <c r="BF93" s="1546"/>
      <c r="BG93" s="222">
        <f t="shared" si="42"/>
        <v>0</v>
      </c>
      <c r="BH93" s="140">
        <f t="shared" si="43"/>
        <v>0</v>
      </c>
      <c r="BI93" s="132"/>
      <c r="BJ93" s="140">
        <f t="shared" si="44"/>
        <v>0</v>
      </c>
      <c r="BK93" s="141"/>
      <c r="BL93" s="141"/>
      <c r="BM93" s="141"/>
      <c r="BN93" s="141"/>
      <c r="BO93" s="141"/>
      <c r="BP93" s="130">
        <f t="shared" si="45"/>
        <v>0</v>
      </c>
      <c r="BQ93" s="132"/>
    </row>
    <row r="94" ht="14.25" customHeight="1">
      <c r="A94" s="132"/>
      <c r="B94" s="215">
        <v>46103</v>
      </c>
      <c r="C94" s="133">
        <f>60392.85-0-0</f>
      </c>
      <c r="D94" s="134"/>
      <c r="E94" s="135"/>
      <c r="F94" s="135"/>
      <c r="G94" s="147">
        <f t="shared" si="37"/>
        <v>0</v>
      </c>
      <c r="H94" s="148"/>
      <c r="I94" s="143"/>
      <c r="J94" s="143"/>
      <c r="K94" s="143"/>
      <c r="L94" s="143"/>
      <c r="M94" s="145">
        <v>3563.35</v>
      </c>
      <c r="N94" s="143"/>
      <c r="O94" s="143"/>
      <c r="P94" s="143"/>
      <c r="Q94" s="143"/>
      <c r="R94" s="143">
        <v>862.78</v>
      </c>
      <c r="S94" s="143"/>
      <c r="T94" s="143"/>
      <c r="U94" s="103">
        <f t="shared" si="46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43"/>
      <c r="AJ94" s="103">
        <f t="shared" si="39"/>
        <v>0</v>
      </c>
      <c r="AK94" s="134">
        <v>15641.99</v>
      </c>
      <c r="AL94" s="134">
        <v>2929.11</v>
      </c>
      <c r="AM94" s="136"/>
      <c r="AN94" s="105">
        <f t="shared" si="40"/>
        <v>0</v>
      </c>
      <c r="AO94" s="223">
        <v>22.12</v>
      </c>
      <c r="AP94" s="143"/>
      <c r="AQ94" s="143"/>
      <c r="AR94" s="146"/>
      <c r="AS94" s="224">
        <f t="shared" si="41"/>
        <v>0</v>
      </c>
      <c r="AT94" s="1633">
        <v>33145.5</v>
      </c>
      <c r="AU94" s="1545"/>
      <c r="AV94" s="1546"/>
      <c r="AW94" s="1546"/>
      <c r="AX94" s="1548"/>
      <c r="AY94" s="1548"/>
      <c r="AZ94" s="1548"/>
      <c r="BA94" s="1634">
        <v>4228.7</v>
      </c>
      <c r="BB94" s="1548"/>
      <c r="BC94" s="1548"/>
      <c r="BD94" s="1548"/>
      <c r="BE94" s="1551"/>
      <c r="BF94" s="1546"/>
      <c r="BG94" s="222">
        <f t="shared" si="42"/>
        <v>0</v>
      </c>
      <c r="BH94" s="140">
        <f t="shared" si="43"/>
        <v>0</v>
      </c>
      <c r="BI94" s="132"/>
      <c r="BJ94" s="140">
        <f t="shared" si="44"/>
        <v>0</v>
      </c>
      <c r="BK94" s="141"/>
      <c r="BL94" s="141"/>
      <c r="BM94" s="141"/>
      <c r="BN94" s="141"/>
      <c r="BO94" s="141"/>
      <c r="BP94" s="130">
        <f t="shared" si="45"/>
        <v>0</v>
      </c>
      <c r="BQ94" s="132"/>
    </row>
    <row r="95" ht="14.25" customHeight="1">
      <c r="A95" s="132"/>
      <c r="B95" s="215">
        <v>46104</v>
      </c>
      <c r="C95" s="133">
        <f>71421.68-0-0</f>
      </c>
      <c r="D95" s="134"/>
      <c r="E95" s="135"/>
      <c r="F95" s="135"/>
      <c r="G95" s="147">
        <f t="shared" si="37"/>
        <v>0</v>
      </c>
      <c r="H95" s="151">
        <v>276.05</v>
      </c>
      <c r="I95" s="143"/>
      <c r="J95" s="143"/>
      <c r="K95" s="145">
        <v>773.36</v>
      </c>
      <c r="L95" s="143"/>
      <c r="M95" s="143">
        <v>247.41</v>
      </c>
      <c r="N95" s="143"/>
      <c r="O95" s="143"/>
      <c r="P95" s="143"/>
      <c r="Q95" s="143"/>
      <c r="R95" s="143">
        <v>315.41</v>
      </c>
      <c r="S95" s="143"/>
      <c r="T95" s="143"/>
      <c r="U95" s="103">
        <f t="shared" si="46"/>
        <v>0</v>
      </c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43"/>
      <c r="AJ95" s="103">
        <f t="shared" si="39"/>
        <v>0</v>
      </c>
      <c r="AK95" s="134">
        <v>19221.65</v>
      </c>
      <c r="AL95" s="134">
        <v>3094.56</v>
      </c>
      <c r="AM95" s="136"/>
      <c r="AN95" s="105">
        <f t="shared" si="40"/>
        <v>0</v>
      </c>
      <c r="AO95" s="223">
        <v>22.07</v>
      </c>
      <c r="AP95" s="143"/>
      <c r="AQ95" s="143"/>
      <c r="AR95" s="146"/>
      <c r="AS95" s="224">
        <f t="shared" si="41"/>
        <v>0</v>
      </c>
      <c r="AT95" s="1635">
        <v>42645.5</v>
      </c>
      <c r="AU95" s="1545"/>
      <c r="AV95" s="1546"/>
      <c r="AW95" s="1546"/>
      <c r="AX95" s="1548"/>
      <c r="AY95" s="1548"/>
      <c r="AZ95" s="1548"/>
      <c r="BA95" s="1636">
        <v>4825.6</v>
      </c>
      <c r="BB95" s="1548"/>
      <c r="BC95" s="1548"/>
      <c r="BD95" s="1548"/>
      <c r="BE95" s="1551"/>
      <c r="BF95" s="1546"/>
      <c r="BG95" s="222">
        <f t="shared" si="42"/>
        <v>0</v>
      </c>
      <c r="BH95" s="140">
        <f t="shared" si="43"/>
        <v>0</v>
      </c>
      <c r="BI95" s="132"/>
      <c r="BJ95" s="140">
        <f t="shared" si="44"/>
        <v>0</v>
      </c>
      <c r="BK95" s="141"/>
      <c r="BL95" s="141"/>
      <c r="BM95" s="141"/>
      <c r="BN95" s="141"/>
      <c r="BO95" s="141"/>
      <c r="BP95" s="130">
        <f t="shared" si="45"/>
        <v>0</v>
      </c>
      <c r="BQ95" s="132"/>
    </row>
    <row r="96" ht="15" customHeight="1">
      <c r="A96" s="132"/>
      <c r="B96" s="215">
        <v>46105</v>
      </c>
      <c r="C96" s="133">
        <f>72707.35-0-0</f>
      </c>
      <c r="D96" s="230"/>
      <c r="E96" s="135"/>
      <c r="F96" s="135"/>
      <c r="G96" s="147">
        <f t="shared" si="37"/>
        <v>0</v>
      </c>
      <c r="H96" s="148"/>
      <c r="I96" s="143"/>
      <c r="J96" s="143"/>
      <c r="K96" s="145">
        <v>1951.93</v>
      </c>
      <c r="L96" s="143"/>
      <c r="M96" s="145">
        <v>1617.69</v>
      </c>
      <c r="N96" s="143"/>
      <c r="O96" s="143"/>
      <c r="P96" s="143"/>
      <c r="Q96" s="143"/>
      <c r="R96" s="143">
        <v>498.87</v>
      </c>
      <c r="S96" s="143"/>
      <c r="T96" s="143"/>
      <c r="U96" s="103">
        <f t="shared" si="46"/>
        <v>0</v>
      </c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03">
        <f t="shared" si="39"/>
        <v>0</v>
      </c>
      <c r="AK96" s="134">
        <v>17499.2</v>
      </c>
      <c r="AL96" s="134">
        <v>1874.17</v>
      </c>
      <c r="AM96" s="136"/>
      <c r="AN96" s="105">
        <f t="shared" si="40"/>
        <v>0</v>
      </c>
      <c r="AO96" s="223">
        <v>27.88</v>
      </c>
      <c r="AP96" s="143"/>
      <c r="AQ96" s="143"/>
      <c r="AR96" s="146"/>
      <c r="AS96" s="224">
        <f t="shared" si="41"/>
        <v>0</v>
      </c>
      <c r="AT96" s="1635">
        <v>46874.2</v>
      </c>
      <c r="AU96" s="1545"/>
      <c r="AV96" s="1546"/>
      <c r="AW96" s="1546"/>
      <c r="AX96" s="1548"/>
      <c r="AY96" s="1548"/>
      <c r="AZ96" s="1548"/>
      <c r="BA96" s="1636">
        <v>2363.24</v>
      </c>
      <c r="BB96" s="1548"/>
      <c r="BC96" s="1548"/>
      <c r="BD96" s="1548"/>
      <c r="BE96" s="1551"/>
      <c r="BF96" s="1546"/>
      <c r="BG96" s="222">
        <f t="shared" si="42"/>
        <v>0</v>
      </c>
      <c r="BH96" s="140">
        <f t="shared" si="43"/>
        <v>0</v>
      </c>
      <c r="BI96" s="132"/>
      <c r="BJ96" s="140">
        <f t="shared" si="44"/>
        <v>0</v>
      </c>
      <c r="BK96" s="141"/>
      <c r="BL96" s="141"/>
      <c r="BM96" s="141"/>
      <c r="BN96" s="141"/>
      <c r="BO96" s="141"/>
      <c r="BP96" s="130">
        <f t="shared" si="45"/>
        <v>0</v>
      </c>
      <c r="BQ96" s="132"/>
    </row>
    <row r="97" ht="14.25" customHeight="1">
      <c r="A97" s="132"/>
      <c r="B97" s="215">
        <v>46106</v>
      </c>
      <c r="C97" s="133">
        <f>84251.38-0-0</f>
      </c>
      <c r="D97" s="134"/>
      <c r="E97" s="135"/>
      <c r="F97" s="135"/>
      <c r="G97" s="147">
        <f t="shared" si="37"/>
        <v>0</v>
      </c>
      <c r="H97" s="151">
        <v>113.75</v>
      </c>
      <c r="I97" s="143"/>
      <c r="J97" s="143"/>
      <c r="K97" s="145">
        <v>1382.7</v>
      </c>
      <c r="L97" s="143"/>
      <c r="M97" s="145">
        <v>1136.45</v>
      </c>
      <c r="N97" s="145"/>
      <c r="O97" s="143"/>
      <c r="P97" s="143"/>
      <c r="Q97" s="143"/>
      <c r="R97" s="145">
        <v>1970.45</v>
      </c>
      <c r="S97" s="143"/>
      <c r="T97" s="143"/>
      <c r="U97" s="103">
        <f t="shared" si="46"/>
        <v>0</v>
      </c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03">
        <f t="shared" si="39"/>
        <v>0</v>
      </c>
      <c r="AK97" s="134">
        <v>27945.46</v>
      </c>
      <c r="AL97" s="134">
        <v>826.18</v>
      </c>
      <c r="AM97" s="136"/>
      <c r="AN97" s="105">
        <f t="shared" si="40"/>
        <v>0</v>
      </c>
      <c r="AO97" s="223">
        <v>45.53</v>
      </c>
      <c r="AP97" s="143"/>
      <c r="AQ97" s="143"/>
      <c r="AR97" s="149"/>
      <c r="AS97" s="224">
        <f t="shared" si="41"/>
        <v>0</v>
      </c>
      <c r="AT97" s="1550">
        <v>48514.2</v>
      </c>
      <c r="AU97" s="1545"/>
      <c r="AV97" s="1546"/>
      <c r="AW97" s="1546"/>
      <c r="AX97" s="1548"/>
      <c r="AY97" s="1548"/>
      <c r="AZ97" s="1548"/>
      <c r="BA97" s="1637">
        <v>2317.9</v>
      </c>
      <c r="BB97" s="1548"/>
      <c r="BC97" s="1548"/>
      <c r="BD97" s="1548"/>
      <c r="BE97" s="1551"/>
      <c r="BF97" s="1546"/>
      <c r="BG97" s="222">
        <f t="shared" si="42"/>
        <v>0</v>
      </c>
      <c r="BH97" s="140">
        <f t="shared" si="43"/>
        <v>0</v>
      </c>
      <c r="BI97" s="132"/>
      <c r="BJ97" s="140">
        <f t="shared" si="44"/>
        <v>0</v>
      </c>
      <c r="BK97" s="141"/>
      <c r="BL97" s="141"/>
      <c r="BM97" s="141"/>
      <c r="BN97" s="141"/>
      <c r="BO97" s="141"/>
      <c r="BP97" s="130">
        <f t="shared" si="45"/>
        <v>0</v>
      </c>
      <c r="BQ97" s="132"/>
    </row>
    <row r="98" ht="14.25" customHeight="1">
      <c r="A98" s="132"/>
      <c r="B98" s="215">
        <v>46107</v>
      </c>
      <c r="C98" s="133">
        <f>109078.77-0-0</f>
      </c>
      <c r="D98" s="134"/>
      <c r="E98" s="135"/>
      <c r="F98" s="135"/>
      <c r="G98" s="147">
        <f t="shared" si="37"/>
        <v>0</v>
      </c>
      <c r="H98" s="148"/>
      <c r="I98" s="143"/>
      <c r="J98" s="143"/>
      <c r="K98" s="143"/>
      <c r="L98" s="143"/>
      <c r="M98" s="145">
        <v>1696.41</v>
      </c>
      <c r="N98" s="145">
        <v>2095.19</v>
      </c>
      <c r="O98" s="143"/>
      <c r="P98" s="143"/>
      <c r="Q98" s="143"/>
      <c r="R98" s="145">
        <v>24.46</v>
      </c>
      <c r="S98" s="143"/>
      <c r="T98" s="143"/>
      <c r="U98" s="103">
        <f t="shared" si="46"/>
        <v>0</v>
      </c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03">
        <f t="shared" si="39"/>
        <v>0</v>
      </c>
      <c r="AK98" s="134">
        <v>37650.37</v>
      </c>
      <c r="AL98" s="134">
        <v>1829.96</v>
      </c>
      <c r="AM98" s="136"/>
      <c r="AN98" s="105">
        <f t="shared" si="40"/>
        <v>0</v>
      </c>
      <c r="AO98" s="223">
        <v>168.68</v>
      </c>
      <c r="AP98" s="143"/>
      <c r="AQ98" s="143"/>
      <c r="AR98" s="149">
        <v>15</v>
      </c>
      <c r="AS98" s="224">
        <f t="shared" si="41"/>
        <v>0</v>
      </c>
      <c r="AT98" s="1550">
        <v>62793.3</v>
      </c>
      <c r="AU98" s="1545"/>
      <c r="AV98" s="1546"/>
      <c r="AW98" s="1546"/>
      <c r="AX98" s="1548"/>
      <c r="AY98" s="1548"/>
      <c r="AZ98" s="1548"/>
      <c r="BA98" s="1637">
        <v>2801.5</v>
      </c>
      <c r="BB98" s="1548"/>
      <c r="BC98" s="1548"/>
      <c r="BD98" s="1548"/>
      <c r="BE98" s="1551"/>
      <c r="BF98" s="1546"/>
      <c r="BG98" s="222">
        <f t="shared" si="42"/>
        <v>0</v>
      </c>
      <c r="BH98" s="140">
        <f t="shared" si="43"/>
        <v>0</v>
      </c>
      <c r="BI98" s="132"/>
      <c r="BJ98" s="140">
        <f t="shared" si="44"/>
        <v>0</v>
      </c>
      <c r="BK98" s="141"/>
      <c r="BL98" s="141"/>
      <c r="BM98" s="141"/>
      <c r="BN98" s="141"/>
      <c r="BO98" s="141"/>
      <c r="BP98" s="130">
        <f t="shared" si="45"/>
        <v>0</v>
      </c>
      <c r="BQ98" s="132"/>
    </row>
    <row r="99" ht="14.25" customHeight="1">
      <c r="A99" s="132"/>
      <c r="B99" s="215">
        <v>46108</v>
      </c>
      <c r="C99" s="133">
        <f>128880.52-0-0</f>
      </c>
      <c r="D99" s="134"/>
      <c r="E99" s="135"/>
      <c r="F99" s="135"/>
      <c r="G99" s="147">
        <f t="shared" si="37"/>
        <v>0</v>
      </c>
      <c r="H99" s="151">
        <v>883.76</v>
      </c>
      <c r="I99" s="143"/>
      <c r="J99" s="143"/>
      <c r="K99" s="145">
        <v>821.01</v>
      </c>
      <c r="L99" s="143"/>
      <c r="M99" s="143">
        <v>2006.41</v>
      </c>
      <c r="N99" s="143"/>
      <c r="O99" s="143"/>
      <c r="P99" s="143"/>
      <c r="Q99" s="143"/>
      <c r="R99" s="145">
        <v>10.01</v>
      </c>
      <c r="S99" s="143"/>
      <c r="T99" s="143"/>
      <c r="U99" s="103">
        <f t="shared" si="46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03">
        <f t="shared" si="39"/>
        <v>0</v>
      </c>
      <c r="AK99" s="134">
        <v>46622.06</v>
      </c>
      <c r="AL99" s="134">
        <v>1586.72</v>
      </c>
      <c r="AM99" s="136"/>
      <c r="AN99" s="105">
        <f t="shared" si="40"/>
        <v>0</v>
      </c>
      <c r="AO99" s="223">
        <v>71.16</v>
      </c>
      <c r="AP99" s="143"/>
      <c r="AQ99" s="143"/>
      <c r="AR99" s="146"/>
      <c r="AS99" s="224">
        <f t="shared" si="41"/>
        <v>0</v>
      </c>
      <c r="AT99" s="1638">
        <v>72197</v>
      </c>
      <c r="AU99" s="1545"/>
      <c r="AV99" s="1546"/>
      <c r="AW99" s="1546"/>
      <c r="AX99" s="1548"/>
      <c r="AY99" s="1548"/>
      <c r="AZ99" s="1548"/>
      <c r="BA99" s="1639">
        <v>2917.1</v>
      </c>
      <c r="BB99" s="1548"/>
      <c r="BC99" s="1548"/>
      <c r="BD99" s="1548"/>
      <c r="BE99" s="1551"/>
      <c r="BF99" s="1546"/>
      <c r="BG99" s="222">
        <f t="shared" si="42"/>
        <v>0</v>
      </c>
      <c r="BH99" s="140">
        <f t="shared" si="43"/>
        <v>0</v>
      </c>
      <c r="BI99" s="132"/>
      <c r="BJ99" s="140">
        <f t="shared" si="44"/>
        <v>0</v>
      </c>
      <c r="BK99" s="141"/>
      <c r="BL99" s="141"/>
      <c r="BM99" s="150"/>
      <c r="BN99" s="141">
        <v>1765</v>
      </c>
      <c r="BO99" s="141"/>
      <c r="BP99" s="130">
        <f t="shared" si="45"/>
        <v>0</v>
      </c>
      <c r="BQ99" s="132"/>
    </row>
    <row r="100" ht="14.25" customHeight="1">
      <c r="A100" s="132"/>
      <c r="B100" s="215">
        <v>46109</v>
      </c>
      <c r="C100" s="133">
        <f>121684.19-0-0</f>
      </c>
      <c r="D100" s="134"/>
      <c r="E100" s="135"/>
      <c r="F100" s="135"/>
      <c r="G100" s="147">
        <f t="shared" si="37"/>
        <v>0</v>
      </c>
      <c r="H100" s="148"/>
      <c r="I100" s="143"/>
      <c r="J100" s="143"/>
      <c r="K100" s="143"/>
      <c r="L100" s="143"/>
      <c r="M100" s="145">
        <v>88.77</v>
      </c>
      <c r="N100" s="143"/>
      <c r="O100" s="143"/>
      <c r="P100" s="143"/>
      <c r="Q100" s="143"/>
      <c r="R100" s="145">
        <v>10</v>
      </c>
      <c r="S100" s="143"/>
      <c r="T100" s="143"/>
      <c r="U100" s="103">
        <f t="shared" si="46"/>
        <v>0</v>
      </c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03">
        <f t="shared" si="39"/>
        <v>0</v>
      </c>
      <c r="AK100" s="134">
        <v>34571.95</v>
      </c>
      <c r="AL100" s="134">
        <v>2024.64</v>
      </c>
      <c r="AM100" s="136"/>
      <c r="AN100" s="105">
        <f t="shared" si="40"/>
        <v>0</v>
      </c>
      <c r="AO100" s="223">
        <v>76.55</v>
      </c>
      <c r="AP100" s="143"/>
      <c r="AQ100" s="143"/>
      <c r="AR100" s="146"/>
      <c r="AS100" s="224">
        <f t="shared" si="41"/>
        <v>0</v>
      </c>
      <c r="AT100" s="1638">
        <v>81240.1</v>
      </c>
      <c r="AU100" s="1545"/>
      <c r="AV100" s="1546"/>
      <c r="AW100" s="1546"/>
      <c r="AX100" s="1548"/>
      <c r="AY100" s="1548"/>
      <c r="AZ100" s="1548"/>
      <c r="BA100" s="1639">
        <v>3672.2</v>
      </c>
      <c r="BB100" s="1548"/>
      <c r="BC100" s="1548"/>
      <c r="BD100" s="1548"/>
      <c r="BE100" s="1551"/>
      <c r="BF100" s="1546"/>
      <c r="BG100" s="222">
        <f t="shared" si="42"/>
        <v>0</v>
      </c>
      <c r="BH100" s="140">
        <f t="shared" si="43"/>
        <v>0</v>
      </c>
      <c r="BI100" s="132"/>
      <c r="BJ100" s="140">
        <f t="shared" si="44"/>
        <v>0</v>
      </c>
      <c r="BK100" s="141"/>
      <c r="BL100" s="141"/>
      <c r="BM100" s="141"/>
      <c r="BN100" s="141"/>
      <c r="BO100" s="141"/>
      <c r="BP100" s="130">
        <f t="shared" si="45"/>
        <v>0</v>
      </c>
      <c r="BQ100" s="132"/>
    </row>
    <row r="101" ht="14.25" customHeight="1">
      <c r="A101" s="132"/>
      <c r="B101" s="215">
        <v>46110</v>
      </c>
      <c r="C101" s="133">
        <f>94949.25-0-0</f>
      </c>
      <c r="D101" s="134"/>
      <c r="E101" s="135"/>
      <c r="F101" s="135"/>
      <c r="G101" s="147">
        <f t="shared" si="37"/>
        <v>0</v>
      </c>
      <c r="H101" s="148"/>
      <c r="I101" s="143"/>
      <c r="J101" s="143"/>
      <c r="K101" s="143"/>
      <c r="L101" s="143"/>
      <c r="M101" s="143"/>
      <c r="N101" s="143"/>
      <c r="O101" s="143"/>
      <c r="P101" s="143"/>
      <c r="Q101" s="143"/>
      <c r="R101" s="145">
        <v>325.96</v>
      </c>
      <c r="S101" s="143"/>
      <c r="T101" s="143"/>
      <c r="U101" s="103">
        <f t="shared" si="46"/>
        <v>0</v>
      </c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03">
        <f t="shared" si="39"/>
        <v>0</v>
      </c>
      <c r="AK101" s="134">
        <v>23914.56</v>
      </c>
      <c r="AL101" s="134">
        <v>2032.01</v>
      </c>
      <c r="AM101" s="136"/>
      <c r="AN101" s="105">
        <f t="shared" si="40"/>
        <v>0</v>
      </c>
      <c r="AO101" s="223">
        <v>24.18</v>
      </c>
      <c r="AP101" s="143"/>
      <c r="AQ101" s="143"/>
      <c r="AR101" s="146"/>
      <c r="AS101" s="224">
        <f t="shared" si="41"/>
        <v>0</v>
      </c>
      <c r="AT101" s="1638">
        <v>64978.4</v>
      </c>
      <c r="AU101" s="1545"/>
      <c r="AV101" s="1546"/>
      <c r="AW101" s="1546"/>
      <c r="AX101" s="1548"/>
      <c r="AY101" s="1548"/>
      <c r="AZ101" s="1548"/>
      <c r="BA101" s="1639">
        <v>3674.4</v>
      </c>
      <c r="BB101" s="1548"/>
      <c r="BC101" s="1548"/>
      <c r="BD101" s="1548"/>
      <c r="BE101" s="1551"/>
      <c r="BF101" s="1546"/>
      <c r="BG101" s="222">
        <f t="shared" si="42"/>
        <v>0</v>
      </c>
      <c r="BH101" s="140">
        <f t="shared" si="43"/>
        <v>0</v>
      </c>
      <c r="BI101" s="132"/>
      <c r="BJ101" s="140">
        <f t="shared" si="44"/>
        <v>0</v>
      </c>
      <c r="BK101" s="141"/>
      <c r="BL101" s="141"/>
      <c r="BM101" s="141"/>
      <c r="BN101" s="141"/>
      <c r="BO101" s="141"/>
      <c r="BP101" s="130">
        <f t="shared" si="45"/>
        <v>0</v>
      </c>
      <c r="BQ101" s="132"/>
    </row>
    <row r="102" ht="14.25" customHeight="1">
      <c r="A102" s="132"/>
      <c r="B102" s="215">
        <v>46111</v>
      </c>
      <c r="C102" s="133">
        <f>129254.27-0-0</f>
      </c>
      <c r="D102" s="134"/>
      <c r="E102" s="135"/>
      <c r="F102" s="135"/>
      <c r="G102" s="147">
        <f t="shared" si="37"/>
        <v>0</v>
      </c>
      <c r="H102" s="148"/>
      <c r="I102" s="143"/>
      <c r="J102" s="143"/>
      <c r="K102" s="145">
        <v>766.5</v>
      </c>
      <c r="L102" s="143"/>
      <c r="M102" s="143">
        <v>620.03</v>
      </c>
      <c r="N102" s="143"/>
      <c r="O102" s="143"/>
      <c r="P102" s="143"/>
      <c r="Q102" s="143"/>
      <c r="R102" s="145">
        <v>799.6</v>
      </c>
      <c r="S102" s="143"/>
      <c r="T102" s="143"/>
      <c r="U102" s="103">
        <f t="shared" si="46"/>
        <v>0</v>
      </c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03">
        <f t="shared" si="39"/>
        <v>0</v>
      </c>
      <c r="AK102" s="134">
        <v>34741.2</v>
      </c>
      <c r="AL102" s="134">
        <v>2031.27</v>
      </c>
      <c r="AM102" s="136"/>
      <c r="AN102" s="105">
        <f t="shared" si="40"/>
        <v>0</v>
      </c>
      <c r="AO102" s="223">
        <v>128.43</v>
      </c>
      <c r="AP102" s="143"/>
      <c r="AQ102" s="143"/>
      <c r="AR102" s="146"/>
      <c r="AS102" s="224">
        <f t="shared" si="41"/>
        <v>0</v>
      </c>
      <c r="AT102" s="1640">
        <v>85568.5</v>
      </c>
      <c r="AU102" s="1545"/>
      <c r="AV102" s="1546"/>
      <c r="AW102" s="1546"/>
      <c r="AX102" s="1548"/>
      <c r="AY102" s="1548"/>
      <c r="AZ102" s="1548"/>
      <c r="BA102" s="1554">
        <v>4601.9</v>
      </c>
      <c r="BB102" s="1548"/>
      <c r="BC102" s="1548"/>
      <c r="BD102" s="1548"/>
      <c r="BE102" s="1551"/>
      <c r="BF102" s="1546"/>
      <c r="BG102" s="222">
        <f t="shared" si="42"/>
        <v>0</v>
      </c>
      <c r="BH102" s="140">
        <f t="shared" si="43"/>
        <v>0</v>
      </c>
      <c r="BI102" s="132"/>
      <c r="BJ102" s="140">
        <f t="shared" si="44"/>
        <v>0</v>
      </c>
      <c r="BK102" s="141"/>
      <c r="BL102" s="141"/>
      <c r="BM102" s="141"/>
      <c r="BN102" s="141"/>
      <c r="BO102" s="141"/>
      <c r="BP102" s="130">
        <f t="shared" si="45"/>
        <v>0</v>
      </c>
      <c r="BQ102" s="132"/>
    </row>
    <row r="103" ht="14.25" customHeight="1">
      <c r="A103" s="132"/>
      <c r="B103" s="215">
        <v>46112</v>
      </c>
      <c r="C103" s="133">
        <f>156238.88-0-0</f>
      </c>
      <c r="D103" s="134"/>
      <c r="E103" s="135"/>
      <c r="F103" s="135"/>
      <c r="G103" s="147">
        <f t="shared" si="37"/>
        <v>0</v>
      </c>
      <c r="H103" s="148"/>
      <c r="I103" s="143"/>
      <c r="J103" s="143"/>
      <c r="K103" s="145">
        <v>1963.75</v>
      </c>
      <c r="L103" s="143"/>
      <c r="M103" s="231">
        <v>1715.56</v>
      </c>
      <c r="N103" s="143"/>
      <c r="O103" s="143"/>
      <c r="P103" s="143"/>
      <c r="Q103" s="143"/>
      <c r="R103" s="143">
        <v>935.65</v>
      </c>
      <c r="S103" s="143"/>
      <c r="T103" s="143"/>
      <c r="U103" s="103">
        <f t="shared" si="46"/>
        <v>0</v>
      </c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03">
        <f t="shared" si="39"/>
        <v>0</v>
      </c>
      <c r="AK103" s="134">
        <v>61471.89</v>
      </c>
      <c r="AL103" s="134">
        <v>2307.14</v>
      </c>
      <c r="AM103" s="136"/>
      <c r="AN103" s="105">
        <f t="shared" si="40"/>
        <v>0</v>
      </c>
      <c r="AO103" s="223">
        <v>254.55</v>
      </c>
      <c r="AP103" s="143"/>
      <c r="AQ103" s="143"/>
      <c r="AR103" s="146"/>
      <c r="AS103" s="232">
        <f t="shared" si="41"/>
        <v>0</v>
      </c>
      <c r="AT103" s="1641">
        <v>82128.8</v>
      </c>
      <c r="AU103" s="1556"/>
      <c r="AV103" s="1557"/>
      <c r="AW103" s="1557"/>
      <c r="AX103" s="1548"/>
      <c r="AY103" s="1548"/>
      <c r="AZ103" s="1548"/>
      <c r="BA103" s="1642">
        <v>5404.2</v>
      </c>
      <c r="BB103" s="1548"/>
      <c r="BC103" s="1548"/>
      <c r="BD103" s="1548"/>
      <c r="BE103" s="1559"/>
      <c r="BF103" s="1557"/>
      <c r="BG103" s="222">
        <f t="shared" si="42"/>
        <v>0</v>
      </c>
      <c r="BH103" s="140">
        <f t="shared" si="43"/>
        <v>0</v>
      </c>
      <c r="BI103" s="132"/>
      <c r="BJ103" s="140">
        <f t="shared" si="44"/>
        <v>0</v>
      </c>
      <c r="BK103" s="163"/>
      <c r="BL103" s="141"/>
      <c r="BM103" s="150"/>
      <c r="BN103" s="163">
        <v>50</v>
      </c>
      <c r="BO103" s="163"/>
      <c r="BP103" s="130">
        <f t="shared" si="45"/>
        <v>0</v>
      </c>
      <c r="BQ103" s="132"/>
    </row>
    <row r="104" ht="14.25" customHeight="1">
      <c r="A104" s="3"/>
      <c r="B104" s="2" t="s">
        <v>77</v>
      </c>
      <c r="C104" s="166">
        <f ref="C104:V104" t="shared" si="47">SUM(C73:C103)</f>
        <v>0</v>
      </c>
      <c r="D104" s="166">
        <f t="shared" si="47"/>
        <v>0</v>
      </c>
      <c r="E104" s="166">
        <f t="shared" si="47"/>
        <v>0</v>
      </c>
      <c r="F104" s="166">
        <f t="shared" si="47"/>
        <v>0</v>
      </c>
      <c r="G104" s="166">
        <f t="shared" si="47"/>
        <v>0</v>
      </c>
      <c r="H104" s="166">
        <f t="shared" si="47"/>
        <v>0</v>
      </c>
      <c r="I104" s="166">
        <f t="shared" si="47"/>
        <v>0</v>
      </c>
      <c r="J104" s="166">
        <f t="shared" si="47"/>
        <v>0</v>
      </c>
      <c r="K104" s="166">
        <f t="shared" si="47"/>
        <v>0</v>
      </c>
      <c r="L104" s="166">
        <f t="shared" si="47"/>
        <v>0</v>
      </c>
      <c r="M104" s="166">
        <f t="shared" si="47"/>
        <v>0</v>
      </c>
      <c r="N104" s="166">
        <f t="shared" si="47"/>
        <v>0</v>
      </c>
      <c r="O104" s="166">
        <f t="shared" si="47"/>
        <v>0</v>
      </c>
      <c r="P104" s="166">
        <f t="shared" si="47"/>
        <v>0</v>
      </c>
      <c r="Q104" s="166">
        <f t="shared" si="47"/>
        <v>0</v>
      </c>
      <c r="R104" s="166">
        <f t="shared" si="47"/>
        <v>0</v>
      </c>
      <c r="S104" s="166">
        <f t="shared" si="47"/>
        <v>0</v>
      </c>
      <c r="T104" s="166">
        <f t="shared" si="47"/>
        <v>0</v>
      </c>
      <c r="U104" s="166">
        <f t="shared" si="47"/>
        <v>0</v>
      </c>
      <c r="V104" s="166">
        <f t="shared" si="47"/>
        <v>0</v>
      </c>
      <c r="W104" s="166"/>
      <c r="X104" s="166">
        <f ref="X104:AG104" t="shared" si="48">SUM(X73:X103)</f>
        <v>0</v>
      </c>
      <c r="Y104" s="166">
        <f t="shared" si="48"/>
        <v>0</v>
      </c>
      <c r="Z104" s="166">
        <f t="shared" si="48"/>
        <v>0</v>
      </c>
      <c r="AA104" s="166">
        <f t="shared" si="48"/>
        <v>0</v>
      </c>
      <c r="AB104" s="166">
        <f t="shared" si="48"/>
        <v>0</v>
      </c>
      <c r="AC104" s="166">
        <f t="shared" si="48"/>
        <v>0</v>
      </c>
      <c r="AD104" s="166">
        <f t="shared" si="48"/>
        <v>0</v>
      </c>
      <c r="AE104" s="166">
        <f t="shared" si="48"/>
        <v>0</v>
      </c>
      <c r="AF104" s="166">
        <f t="shared" si="48"/>
        <v>0</v>
      </c>
      <c r="AG104" s="166">
        <f t="shared" si="48"/>
        <v>0</v>
      </c>
      <c r="AH104" s="166"/>
      <c r="AI104" s="166">
        <f ref="AI104:AT104" t="shared" si="49">SUM(AI73:AI103)</f>
        <v>0</v>
      </c>
      <c r="AJ104" s="166">
        <f t="shared" si="49"/>
        <v>0</v>
      </c>
      <c r="AK104" s="166">
        <f t="shared" si="49"/>
        <v>0</v>
      </c>
      <c r="AL104" s="166">
        <f t="shared" si="49"/>
        <v>0</v>
      </c>
      <c r="AM104" s="166">
        <f t="shared" si="49"/>
        <v>0</v>
      </c>
      <c r="AN104" s="166">
        <f t="shared" si="49"/>
        <v>0</v>
      </c>
      <c r="AO104" s="166">
        <f t="shared" si="49"/>
        <v>0</v>
      </c>
      <c r="AP104" s="166">
        <f t="shared" si="49"/>
        <v>0</v>
      </c>
      <c r="AQ104" s="166">
        <f t="shared" si="49"/>
        <v>0</v>
      </c>
      <c r="AR104" s="166">
        <f t="shared" si="49"/>
        <v>0</v>
      </c>
      <c r="AS104" s="166">
        <f t="shared" si="49"/>
        <v>0</v>
      </c>
      <c r="AT104" s="165">
        <f t="shared" si="49"/>
        <v>0</v>
      </c>
      <c r="AU104" s="233"/>
      <c r="AV104" s="165">
        <f ref="AV104:BD104" t="shared" si="50">SUM(AV73:AV103)</f>
        <v>0</v>
      </c>
      <c r="AW104" s="165">
        <f t="shared" si="50"/>
        <v>0</v>
      </c>
      <c r="AX104" s="165">
        <f t="shared" si="50"/>
        <v>0</v>
      </c>
      <c r="AY104" s="165">
        <f t="shared" si="50"/>
        <v>0</v>
      </c>
      <c r="AZ104" s="165">
        <f t="shared" si="50"/>
        <v>0</v>
      </c>
      <c r="BA104" s="165">
        <f t="shared" si="50"/>
        <v>0</v>
      </c>
      <c r="BB104" s="165">
        <f t="shared" si="50"/>
        <v>0</v>
      </c>
      <c r="BC104" s="165">
        <f t="shared" si="50"/>
        <v>0</v>
      </c>
      <c r="BD104" s="165">
        <f t="shared" si="50"/>
        <v>0</v>
      </c>
      <c r="BE104" s="234"/>
      <c r="BF104" s="165">
        <f ref="BF104:BH104" t="shared" si="51">SUM(BF73:BF103)</f>
        <v>0</v>
      </c>
      <c r="BG104" s="166">
        <f t="shared" si="51"/>
        <v>0</v>
      </c>
      <c r="BH104" s="166">
        <f t="shared" si="51"/>
        <v>0</v>
      </c>
      <c r="BI104" s="235"/>
      <c r="BJ104" s="166">
        <f ref="BJ104:BP104" t="shared" si="52">SUM(BJ73:BJ103)</f>
        <v>0</v>
      </c>
      <c r="BK104" s="166">
        <f t="shared" si="52"/>
        <v>0</v>
      </c>
      <c r="BL104" s="166">
        <f t="shared" si="52"/>
        <v>0</v>
      </c>
      <c r="BM104" s="166">
        <f t="shared" si="52"/>
        <v>0</v>
      </c>
      <c r="BN104" s="166">
        <f t="shared" si="52"/>
        <v>0</v>
      </c>
      <c r="BO104" s="166">
        <f t="shared" si="52"/>
        <v>0</v>
      </c>
      <c r="BP104" s="166">
        <f t="shared" si="52"/>
        <v>0</v>
      </c>
      <c r="BQ104" s="235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4"/>
      <c r="AO105" s="3"/>
      <c r="AP105" s="3"/>
      <c r="AQ105" s="3"/>
      <c r="AR105" s="3"/>
      <c r="AS105" s="4"/>
      <c r="AT105" s="3"/>
      <c r="AU105" s="5"/>
      <c r="AV105" s="3"/>
      <c r="AW105" s="3"/>
      <c r="AX105" s="3"/>
      <c r="AY105" s="3"/>
      <c r="AZ105" s="3"/>
      <c r="BA105" s="96"/>
      <c r="BB105" s="3"/>
      <c r="BC105" s="3"/>
      <c r="BD105" s="3"/>
      <c r="BE105" s="6"/>
      <c r="BF105" s="3"/>
      <c r="BG105" s="4"/>
      <c r="BH105" s="3"/>
      <c r="BI105" s="235"/>
      <c r="BJ105" s="3"/>
      <c r="BK105" s="3"/>
      <c r="BL105" s="3"/>
      <c r="BM105" s="3"/>
      <c r="BN105" s="3"/>
      <c r="BO105" s="3"/>
      <c r="BP105" s="3"/>
      <c r="BQ105" s="235"/>
    </row>
    <row r="106" ht="14.25" customHeight="1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176"/>
      <c r="AK106" s="3"/>
      <c r="AL106" s="3"/>
      <c r="AM106" s="3"/>
      <c r="AN106" s="4"/>
      <c r="AO106" s="3"/>
      <c r="AP106" s="3"/>
      <c r="AQ106" s="3"/>
      <c r="AR106" s="3"/>
      <c r="AS106" s="177"/>
      <c r="AT106" s="3"/>
      <c r="AU106" s="5"/>
      <c r="AV106" s="3"/>
      <c r="AW106" s="3"/>
      <c r="AX106" s="3"/>
      <c r="AY106" s="4"/>
      <c r="AZ106" s="4"/>
      <c r="BA106" s="3"/>
      <c r="BB106" s="3"/>
      <c r="BC106" s="3"/>
      <c r="BD106" s="3"/>
      <c r="BE106" s="6"/>
      <c r="BF106" s="3"/>
      <c r="BG106" s="177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ht="14.25" customHeight="1">
      <c r="A107" s="3"/>
      <c r="B107" s="237">
        <v>46113</v>
      </c>
      <c r="C107" s="104">
        <f>155347.82-0-0</f>
      </c>
      <c r="D107" s="238"/>
      <c r="E107" s="96"/>
      <c r="F107" s="97"/>
      <c r="G107" s="239">
        <f ref="G107:G136" t="shared" si="53">+C107+D107+E107+F107</f>
        <v>0</v>
      </c>
      <c r="H107" s="240"/>
      <c r="I107" s="184"/>
      <c r="J107" s="240"/>
      <c r="K107" s="241">
        <v>1473.33</v>
      </c>
      <c r="L107" s="240"/>
      <c r="M107" s="184"/>
      <c r="N107" s="242">
        <v>4055.29</v>
      </c>
      <c r="O107" s="184"/>
      <c r="P107" s="240"/>
      <c r="Q107" s="184"/>
      <c r="R107" s="243">
        <v>7689.6</v>
      </c>
      <c r="S107" s="185"/>
      <c r="T107" s="186"/>
      <c r="U107" s="244">
        <f ref="U107:U109" t="shared" si="54">SUM(I107:T107)</f>
        <v>0</v>
      </c>
      <c r="V107" s="245"/>
      <c r="W107" s="184"/>
      <c r="X107" s="243"/>
      <c r="Y107" s="185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244">
        <f ref="AJ107:AJ136" t="shared" si="55">SUM(V107:AI107)</f>
        <v>0</v>
      </c>
      <c r="AK107" s="246">
        <v>41782.75</v>
      </c>
      <c r="AL107" s="95">
        <v>3102.17</v>
      </c>
      <c r="AM107" s="96"/>
      <c r="AN107" s="239">
        <f ref="AN107:AN136" t="shared" si="56">SUM(AK107:AM107)</f>
        <v>0</v>
      </c>
      <c r="AO107" s="102">
        <v>44.78</v>
      </c>
      <c r="AP107" s="247"/>
      <c r="AQ107" s="247"/>
      <c r="AR107" s="101"/>
      <c r="AS107" s="248">
        <f ref="AS107:AS136" t="shared" si="57">+G107-U107-AJ107-AN107-AO107-AP107-AQ107-AR107</f>
        <v>0</v>
      </c>
      <c r="AT107" s="1643">
        <v>87868.3</v>
      </c>
      <c r="AU107" s="1536"/>
      <c r="AV107" s="1618"/>
      <c r="AW107" s="1618"/>
      <c r="AX107" s="1619"/>
      <c r="AY107" s="1548"/>
      <c r="AZ107" s="1548"/>
      <c r="BA107" s="1643">
        <v>7325.4</v>
      </c>
      <c r="BB107" s="1644"/>
      <c r="BC107" s="1645"/>
      <c r="BD107" s="1646"/>
      <c r="BE107" s="1647"/>
      <c r="BF107" s="1648"/>
      <c r="BG107" s="112">
        <f ref="BG107:BG136" t="shared" si="58">SUM(AT107:BF107)-BD107</f>
        <v>0</v>
      </c>
      <c r="BH107" s="114">
        <f ref="BH107:BH136" t="shared" si="59">+AS107-BG107</f>
        <v>0</v>
      </c>
      <c r="BI107" s="3"/>
      <c r="BJ107" s="114">
        <f ref="BJ107:BJ136" t="shared" si="60">SUM(BK107:BO107)</f>
        <v>0</v>
      </c>
      <c r="BK107" s="115"/>
      <c r="BL107" s="115"/>
      <c r="BM107" s="250"/>
      <c r="BN107" s="115">
        <v>2006</v>
      </c>
      <c r="BO107" s="115"/>
      <c r="BP107" s="116">
        <f ref="BP107:BP136" t="shared" si="61">+BH107-BJ107</f>
        <v>0</v>
      </c>
      <c r="BQ107" s="3"/>
    </row>
    <row r="108" ht="14.25" customHeight="1">
      <c r="A108" s="3"/>
      <c r="B108" s="237">
        <v>46114</v>
      </c>
      <c r="C108" s="123">
        <f>140441.79-0-0</f>
      </c>
      <c r="D108" s="228"/>
      <c r="E108" s="96"/>
      <c r="F108" s="97"/>
      <c r="G108" s="251">
        <f t="shared" si="53"/>
        <v>0</v>
      </c>
      <c r="H108" s="252"/>
      <c r="I108" s="253"/>
      <c r="J108" s="253"/>
      <c r="K108" s="198">
        <v>887.05</v>
      </c>
      <c r="L108" s="253"/>
      <c r="M108" s="198">
        <v>606.4</v>
      </c>
      <c r="N108" s="253"/>
      <c r="O108" s="253"/>
      <c r="P108" s="253"/>
      <c r="Q108" s="253"/>
      <c r="R108" s="253"/>
      <c r="S108" s="186"/>
      <c r="T108" s="186"/>
      <c r="U108" s="103">
        <f t="shared" si="54"/>
        <v>0</v>
      </c>
      <c r="V108" s="253"/>
      <c r="W108" s="253"/>
      <c r="X108" s="253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03">
        <f t="shared" si="55"/>
        <v>0</v>
      </c>
      <c r="AK108" s="119">
        <v>44440.49</v>
      </c>
      <c r="AL108" s="119">
        <v>5549.7</v>
      </c>
      <c r="AM108" s="104"/>
      <c r="AN108" s="254">
        <f t="shared" si="56"/>
        <v>0</v>
      </c>
      <c r="AO108" s="121">
        <v>54.68</v>
      </c>
      <c r="AP108" s="99"/>
      <c r="AQ108" s="99"/>
      <c r="AR108" s="124"/>
      <c r="AS108" s="224">
        <f t="shared" si="57"/>
        <v>0</v>
      </c>
      <c r="AT108" s="1649">
        <v>81729.3</v>
      </c>
      <c r="AU108" s="1545"/>
      <c r="AV108" s="1621"/>
      <c r="AW108" s="1621"/>
      <c r="AX108" s="1619"/>
      <c r="AY108" s="1548"/>
      <c r="AZ108" s="1548"/>
      <c r="BA108" s="1649">
        <v>7174</v>
      </c>
      <c r="BB108" s="1644"/>
      <c r="BC108" s="1645"/>
      <c r="BD108" s="1645"/>
      <c r="BE108" s="1650"/>
      <c r="BF108" s="1651"/>
      <c r="BG108" s="222">
        <f t="shared" si="58"/>
        <v>0</v>
      </c>
      <c r="BH108" s="114">
        <f t="shared" si="59"/>
        <v>0</v>
      </c>
      <c r="BI108" s="3"/>
      <c r="BJ108" s="113">
        <f t="shared" si="60"/>
        <v>0</v>
      </c>
      <c r="BK108" s="129"/>
      <c r="BL108" s="129"/>
      <c r="BM108" s="129"/>
      <c r="BN108" s="129"/>
      <c r="BO108" s="129"/>
      <c r="BP108" s="130">
        <f t="shared" si="61"/>
        <v>0</v>
      </c>
      <c r="BQ108" s="3"/>
    </row>
    <row r="109" ht="14.25" customHeight="1">
      <c r="A109" s="3"/>
      <c r="B109" s="237">
        <v>46115</v>
      </c>
      <c r="C109" s="123">
        <f>101632.62-0-0</f>
      </c>
      <c r="D109" s="228"/>
      <c r="E109" s="3"/>
      <c r="F109" s="120"/>
      <c r="G109" s="147">
        <f t="shared" si="53"/>
        <v>0</v>
      </c>
      <c r="H109" s="148"/>
      <c r="I109" s="143"/>
      <c r="J109" s="143"/>
      <c r="K109" s="143"/>
      <c r="L109" s="143"/>
      <c r="M109" s="143"/>
      <c r="N109" s="143"/>
      <c r="O109" s="143"/>
      <c r="P109" s="143"/>
      <c r="Q109" s="143"/>
      <c r="R109" s="145">
        <v>368.09</v>
      </c>
      <c r="S109" s="143"/>
      <c r="T109" s="143"/>
      <c r="U109" s="103">
        <f t="shared" si="54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03">
        <f t="shared" si="55"/>
        <v>0</v>
      </c>
      <c r="AK109" s="119">
        <v>32727.71</v>
      </c>
      <c r="AL109" s="119">
        <v>2505.67</v>
      </c>
      <c r="AM109" s="123"/>
      <c r="AN109" s="105">
        <f t="shared" si="56"/>
        <v>0</v>
      </c>
      <c r="AO109" s="121">
        <v>60.31</v>
      </c>
      <c r="AP109" s="99"/>
      <c r="AQ109" s="99"/>
      <c r="AR109" s="124"/>
      <c r="AS109" s="224">
        <f t="shared" si="57"/>
        <v>0</v>
      </c>
      <c r="AT109" s="1649">
        <v>61577.4</v>
      </c>
      <c r="AU109" s="1545"/>
      <c r="AV109" s="1621"/>
      <c r="AW109" s="1621"/>
      <c r="AX109" s="1619"/>
      <c r="AY109" s="1548"/>
      <c r="AZ109" s="1548"/>
      <c r="BA109" s="1649">
        <v>4392.6</v>
      </c>
      <c r="BB109" s="1652"/>
      <c r="BC109" s="1653"/>
      <c r="BD109" s="1653"/>
      <c r="BE109" s="1654"/>
      <c r="BF109" s="1653"/>
      <c r="BG109" s="222">
        <f t="shared" si="58"/>
        <v>0</v>
      </c>
      <c r="BH109" s="113">
        <f t="shared" si="59"/>
        <v>0</v>
      </c>
      <c r="BI109" s="3"/>
      <c r="BJ109" s="113">
        <f t="shared" si="60"/>
        <v>0</v>
      </c>
      <c r="BK109" s="129"/>
      <c r="BL109" s="129"/>
      <c r="BM109" s="129"/>
      <c r="BN109" s="129"/>
      <c r="BO109" s="129"/>
      <c r="BP109" s="130">
        <f t="shared" si="61"/>
        <v>0</v>
      </c>
      <c r="BQ109" s="3"/>
    </row>
    <row r="110" ht="14.25" customHeight="1">
      <c r="A110" s="132"/>
      <c r="B110" s="237">
        <v>46116</v>
      </c>
      <c r="C110" s="136">
        <f>128216.57-0-0</f>
      </c>
      <c r="D110" s="133"/>
      <c r="E110" s="132"/>
      <c r="F110" s="135"/>
      <c r="G110" s="147">
        <f t="shared" si="53"/>
        <v>0</v>
      </c>
      <c r="H110" s="151">
        <v>839.12</v>
      </c>
      <c r="I110" s="143"/>
      <c r="J110" s="143"/>
      <c r="K110" s="145">
        <v>747.66</v>
      </c>
      <c r="L110" s="143"/>
      <c r="M110" s="145">
        <v>1539.32</v>
      </c>
      <c r="N110" s="143"/>
      <c r="O110" s="143"/>
      <c r="P110" s="143"/>
      <c r="Q110" s="143"/>
      <c r="R110" s="143"/>
      <c r="S110" s="143"/>
      <c r="T110" s="143"/>
      <c r="U110" s="103">
        <f ref="U110:U136" t="shared" si="62">SUM(H110:T110)</f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03">
        <f t="shared" si="55"/>
        <v>0</v>
      </c>
      <c r="AK110" s="134">
        <v>35082.57</v>
      </c>
      <c r="AL110" s="134">
        <v>2970.77</v>
      </c>
      <c r="AM110" s="136"/>
      <c r="AN110" s="105">
        <f t="shared" si="56"/>
        <v>0</v>
      </c>
      <c r="AO110" s="121">
        <v>50.36</v>
      </c>
      <c r="AP110" s="99"/>
      <c r="AQ110" s="99"/>
      <c r="AR110" s="124"/>
      <c r="AS110" s="224">
        <f t="shared" si="57"/>
        <v>0</v>
      </c>
      <c r="AT110" s="1631">
        <v>80496.37</v>
      </c>
      <c r="AU110" s="1545"/>
      <c r="AV110" s="1546"/>
      <c r="AW110" s="1546"/>
      <c r="AX110" s="1548"/>
      <c r="AY110" s="1548"/>
      <c r="AZ110" s="1548"/>
      <c r="BA110" s="1631">
        <v>6484.4</v>
      </c>
      <c r="BB110" s="1655"/>
      <c r="BC110" s="1656"/>
      <c r="BD110" s="1656"/>
      <c r="BE110" s="1654"/>
      <c r="BF110" s="1656"/>
      <c r="BG110" s="222">
        <f t="shared" si="58"/>
        <v>0</v>
      </c>
      <c r="BH110" s="140">
        <f t="shared" si="59"/>
        <v>0</v>
      </c>
      <c r="BI110" s="132"/>
      <c r="BJ110" s="140">
        <f t="shared" si="60"/>
        <v>0</v>
      </c>
      <c r="BK110" s="141"/>
      <c r="BL110" s="141"/>
      <c r="BM110" s="141"/>
      <c r="BN110" s="141"/>
      <c r="BO110" s="141"/>
      <c r="BP110" s="130">
        <f t="shared" si="61"/>
        <v>0</v>
      </c>
      <c r="BQ110" s="132"/>
    </row>
    <row r="111" ht="14.25" customHeight="1">
      <c r="A111" s="132"/>
      <c r="B111" s="237">
        <v>46117</v>
      </c>
      <c r="C111" s="136">
        <f>106020.87-0-0</f>
      </c>
      <c r="D111" s="230"/>
      <c r="E111" s="132"/>
      <c r="F111" s="135"/>
      <c r="G111" s="147">
        <f t="shared" si="53"/>
        <v>0</v>
      </c>
      <c r="H111" s="148"/>
      <c r="I111" s="143"/>
      <c r="J111" s="143"/>
      <c r="K111" s="143"/>
      <c r="L111" s="143"/>
      <c r="M111" s="143"/>
      <c r="N111" s="143"/>
      <c r="O111" s="143"/>
      <c r="P111" s="143"/>
      <c r="Q111" s="143"/>
      <c r="R111" s="145">
        <v>562.33</v>
      </c>
      <c r="S111" s="143"/>
      <c r="T111" s="143"/>
      <c r="U111" s="103">
        <f t="shared" si="62"/>
        <v>0</v>
      </c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03">
        <f t="shared" si="55"/>
        <v>0</v>
      </c>
      <c r="AK111" s="134">
        <v>27022.82</v>
      </c>
      <c r="AL111" s="134">
        <v>3616.92</v>
      </c>
      <c r="AM111" s="136"/>
      <c r="AN111" s="105">
        <f t="shared" si="56"/>
        <v>0</v>
      </c>
      <c r="AO111" s="121">
        <v>39.27</v>
      </c>
      <c r="AP111" s="99"/>
      <c r="AQ111" s="99"/>
      <c r="AR111" s="124"/>
      <c r="AS111" s="224">
        <f t="shared" si="57"/>
        <v>0</v>
      </c>
      <c r="AT111" s="1631">
        <v>68157.78</v>
      </c>
      <c r="AU111" s="1545"/>
      <c r="AV111" s="1546"/>
      <c r="AW111" s="1546"/>
      <c r="AX111" s="1548"/>
      <c r="AY111" s="1548"/>
      <c r="AZ111" s="1548"/>
      <c r="BA111" s="1631">
        <v>6621.61</v>
      </c>
      <c r="BB111" s="1655"/>
      <c r="BC111" s="1656"/>
      <c r="BD111" s="1656"/>
      <c r="BE111" s="1654"/>
      <c r="BF111" s="1656"/>
      <c r="BG111" s="222">
        <f t="shared" si="58"/>
        <v>0</v>
      </c>
      <c r="BH111" s="140">
        <f t="shared" si="59"/>
        <v>0</v>
      </c>
      <c r="BI111" s="132"/>
      <c r="BJ111" s="140">
        <f t="shared" si="60"/>
        <v>0</v>
      </c>
      <c r="BK111" s="141"/>
      <c r="BL111" s="141"/>
      <c r="BM111" s="141"/>
      <c r="BN111" s="141"/>
      <c r="BO111" s="141"/>
      <c r="BP111" s="130">
        <f t="shared" si="61"/>
        <v>0</v>
      </c>
      <c r="BQ111" s="132"/>
    </row>
    <row r="112" ht="14.25" customHeight="1">
      <c r="A112" s="132"/>
      <c r="B112" s="237">
        <v>46118</v>
      </c>
      <c r="C112" s="136">
        <f>175760.13-0-0</f>
      </c>
      <c r="D112" s="230"/>
      <c r="E112" s="132"/>
      <c r="F112" s="135"/>
      <c r="G112" s="147">
        <f t="shared" si="53"/>
        <v>0</v>
      </c>
      <c r="H112" s="151">
        <v>399.25</v>
      </c>
      <c r="I112" s="143"/>
      <c r="J112" s="143"/>
      <c r="K112" s="145">
        <v>2358.01</v>
      </c>
      <c r="L112" s="143"/>
      <c r="M112" s="145">
        <v>2753.17</v>
      </c>
      <c r="N112" s="143"/>
      <c r="O112" s="143"/>
      <c r="P112" s="143"/>
      <c r="Q112" s="143"/>
      <c r="R112" s="143"/>
      <c r="S112" s="143"/>
      <c r="T112" s="143"/>
      <c r="U112" s="103">
        <f t="shared" si="62"/>
        <v>0</v>
      </c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03">
        <f t="shared" si="55"/>
        <v>0</v>
      </c>
      <c r="AK112" s="134">
        <v>55381.57</v>
      </c>
      <c r="AL112" s="134">
        <v>1805.79</v>
      </c>
      <c r="AM112" s="136"/>
      <c r="AN112" s="105">
        <f t="shared" si="56"/>
        <v>0</v>
      </c>
      <c r="AO112" s="121">
        <v>503.05</v>
      </c>
      <c r="AP112" s="99"/>
      <c r="AQ112" s="99"/>
      <c r="AR112" s="124"/>
      <c r="AS112" s="224">
        <f t="shared" si="57"/>
        <v>0</v>
      </c>
      <c r="AT112" s="1632">
        <v>105227.4</v>
      </c>
      <c r="AU112" s="1545"/>
      <c r="AV112" s="1546"/>
      <c r="AW112" s="1546"/>
      <c r="AX112" s="1548"/>
      <c r="AY112" s="1548"/>
      <c r="AZ112" s="1548"/>
      <c r="BA112" s="1632">
        <v>7332</v>
      </c>
      <c r="BB112" s="1655"/>
      <c r="BC112" s="1656"/>
      <c r="BD112" s="1656"/>
      <c r="BE112" s="1654"/>
      <c r="BF112" s="1656"/>
      <c r="BG112" s="222">
        <f t="shared" si="58"/>
        <v>0</v>
      </c>
      <c r="BH112" s="140">
        <f t="shared" si="59"/>
        <v>0</v>
      </c>
      <c r="BI112" s="132"/>
      <c r="BJ112" s="140">
        <f t="shared" si="60"/>
        <v>0</v>
      </c>
      <c r="BK112" s="141"/>
      <c r="BL112" s="141"/>
      <c r="BM112" s="141"/>
      <c r="BN112" s="141"/>
      <c r="BO112" s="141"/>
      <c r="BP112" s="130">
        <f t="shared" si="61"/>
        <v>0</v>
      </c>
      <c r="BQ112" s="132"/>
    </row>
    <row r="113" ht="14.25" customHeight="1">
      <c r="A113" s="132"/>
      <c r="B113" s="237">
        <v>46119</v>
      </c>
      <c r="C113" s="136">
        <f>149753.38-0-0</f>
      </c>
      <c r="D113" s="230"/>
      <c r="E113" s="132"/>
      <c r="F113" s="135"/>
      <c r="G113" s="147">
        <f t="shared" si="53"/>
        <v>0</v>
      </c>
      <c r="H113" s="148"/>
      <c r="I113" s="143"/>
      <c r="J113" s="143"/>
      <c r="K113" s="143"/>
      <c r="L113" s="143"/>
      <c r="M113" s="145">
        <v>160.33</v>
      </c>
      <c r="N113" s="143"/>
      <c r="O113" s="143"/>
      <c r="P113" s="143"/>
      <c r="Q113" s="143"/>
      <c r="R113" s="145">
        <v>184.01</v>
      </c>
      <c r="S113" s="143"/>
      <c r="T113" s="143"/>
      <c r="U113" s="103">
        <f t="shared" si="62"/>
        <v>0</v>
      </c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03">
        <f t="shared" si="55"/>
        <v>0</v>
      </c>
      <c r="AK113" s="134">
        <v>58252.57</v>
      </c>
      <c r="AL113" s="134">
        <v>2170.39</v>
      </c>
      <c r="AM113" s="136"/>
      <c r="AN113" s="105">
        <f t="shared" si="56"/>
        <v>0</v>
      </c>
      <c r="AO113" s="121">
        <v>176.87</v>
      </c>
      <c r="AP113" s="99"/>
      <c r="AQ113" s="99"/>
      <c r="AR113" s="124"/>
      <c r="AS113" s="224">
        <f t="shared" si="57"/>
        <v>0</v>
      </c>
      <c r="AT113" s="1632">
        <v>82368.7</v>
      </c>
      <c r="AU113" s="1545"/>
      <c r="AV113" s="1546"/>
      <c r="AW113" s="1626"/>
      <c r="AX113" s="1548"/>
      <c r="AY113" s="1548"/>
      <c r="AZ113" s="1548"/>
      <c r="BA113" s="1632">
        <v>6445.3</v>
      </c>
      <c r="BB113" s="1655"/>
      <c r="BC113" s="1656"/>
      <c r="BD113" s="1656"/>
      <c r="BE113" s="1654"/>
      <c r="BF113" s="1656"/>
      <c r="BG113" s="222">
        <f t="shared" si="58"/>
        <v>0</v>
      </c>
      <c r="BH113" s="140">
        <f t="shared" si="59"/>
        <v>0</v>
      </c>
      <c r="BI113" s="132"/>
      <c r="BJ113" s="140">
        <f t="shared" si="60"/>
        <v>0</v>
      </c>
      <c r="BK113" s="141"/>
      <c r="BL113" s="141"/>
      <c r="BM113" s="150"/>
      <c r="BN113" s="141"/>
      <c r="BO113" s="141"/>
      <c r="BP113" s="130">
        <f t="shared" si="61"/>
        <v>0</v>
      </c>
      <c r="BQ113" s="132"/>
    </row>
    <row r="114" ht="14.25" customHeight="1">
      <c r="A114" s="132"/>
      <c r="B114" s="237">
        <v>46120</v>
      </c>
      <c r="C114" s="136">
        <f>139434.47-0-0</f>
      </c>
      <c r="D114" s="230"/>
      <c r="E114" s="132"/>
      <c r="F114" s="135"/>
      <c r="G114" s="147">
        <f t="shared" si="53"/>
        <v>0</v>
      </c>
      <c r="I114" s="143"/>
      <c r="J114" s="143"/>
      <c r="K114" s="145">
        <v>1784.61</v>
      </c>
      <c r="L114" s="143"/>
      <c r="M114" s="145">
        <v>2151.67</v>
      </c>
      <c r="N114" s="145">
        <v>959.94</v>
      </c>
      <c r="O114" s="143"/>
      <c r="P114" s="143"/>
      <c r="Q114" s="143"/>
      <c r="R114" s="145">
        <v>76.99</v>
      </c>
      <c r="S114" s="143"/>
      <c r="T114" s="143"/>
      <c r="U114" s="103">
        <f t="shared" si="62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03">
        <f t="shared" si="55"/>
        <v>0</v>
      </c>
      <c r="AK114" s="134">
        <v>45483.85</v>
      </c>
      <c r="AL114" s="134">
        <v>2462.83</v>
      </c>
      <c r="AM114" s="136"/>
      <c r="AN114" s="105">
        <f t="shared" si="56"/>
        <v>0</v>
      </c>
      <c r="AO114" s="121">
        <v>123.42</v>
      </c>
      <c r="AP114" s="99"/>
      <c r="AQ114" s="99"/>
      <c r="AR114" s="124"/>
      <c r="AS114" s="224">
        <f t="shared" si="57"/>
        <v>0</v>
      </c>
      <c r="AT114" s="1657">
        <v>80674.7</v>
      </c>
      <c r="AU114" s="1545"/>
      <c r="AV114" s="1546"/>
      <c r="AW114" s="1626"/>
      <c r="AX114" s="1548"/>
      <c r="AY114" s="1548"/>
      <c r="AZ114" s="1548"/>
      <c r="BA114" s="1657">
        <v>5728.5</v>
      </c>
      <c r="BB114" s="1655"/>
      <c r="BC114" s="1656"/>
      <c r="BD114" s="1656"/>
      <c r="BE114" s="1654"/>
      <c r="BF114" s="1656"/>
      <c r="BG114" s="222">
        <f t="shared" si="58"/>
        <v>0</v>
      </c>
      <c r="BH114" s="140">
        <f t="shared" si="59"/>
        <v>0</v>
      </c>
      <c r="BI114" s="132"/>
      <c r="BJ114" s="140">
        <f t="shared" si="60"/>
        <v>0</v>
      </c>
      <c r="BK114" s="141"/>
      <c r="BL114" s="141"/>
      <c r="BM114" s="150"/>
      <c r="BN114" s="141"/>
      <c r="BO114" s="141"/>
      <c r="BP114" s="130">
        <f t="shared" si="61"/>
        <v>0</v>
      </c>
      <c r="BQ114" s="132"/>
    </row>
    <row r="115" ht="14.25" customHeight="1">
      <c r="A115" s="132"/>
      <c r="B115" s="237">
        <v>46121</v>
      </c>
      <c r="C115" s="136">
        <f>152839.38-0-0</f>
      </c>
      <c r="D115" s="230"/>
      <c r="E115" s="132"/>
      <c r="F115" s="135"/>
      <c r="G115" s="147">
        <f t="shared" si="53"/>
        <v>0</v>
      </c>
      <c r="H115" s="148"/>
      <c r="I115" s="143"/>
      <c r="J115" s="143"/>
      <c r="K115" s="145">
        <v>824.06</v>
      </c>
      <c r="L115" s="143"/>
      <c r="M115" s="145">
        <v>614.83</v>
      </c>
      <c r="N115" s="145">
        <v>1290.52</v>
      </c>
      <c r="O115" s="143"/>
      <c r="P115" s="143"/>
      <c r="Q115" s="143"/>
      <c r="R115" s="143">
        <v>1878.21</v>
      </c>
      <c r="S115" s="143"/>
      <c r="T115" s="143"/>
      <c r="U115" s="103">
        <f t="shared" si="62"/>
        <v>0</v>
      </c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03">
        <f t="shared" si="55"/>
        <v>0</v>
      </c>
      <c r="AK115" s="134">
        <v>53732.99</v>
      </c>
      <c r="AL115" s="134">
        <v>2399.01</v>
      </c>
      <c r="AM115" s="136"/>
      <c r="AN115" s="105">
        <f t="shared" si="56"/>
        <v>0</v>
      </c>
      <c r="AO115" s="121">
        <v>117.55</v>
      </c>
      <c r="AP115" s="99"/>
      <c r="AQ115" s="99"/>
      <c r="AR115" s="256">
        <v>25</v>
      </c>
      <c r="AS115" s="224">
        <f t="shared" si="57"/>
        <v>0</v>
      </c>
      <c r="AT115" s="1657">
        <v>85117.4</v>
      </c>
      <c r="AU115" s="1545"/>
      <c r="AV115" s="1546"/>
      <c r="AW115" s="1546"/>
      <c r="AX115" s="1548"/>
      <c r="AY115" s="1548"/>
      <c r="AZ115" s="1548"/>
      <c r="BA115" s="1657">
        <v>6840.3</v>
      </c>
      <c r="BB115" s="1655"/>
      <c r="BC115" s="1656"/>
      <c r="BD115" s="1656"/>
      <c r="BE115" s="1654"/>
      <c r="BF115" s="1656"/>
      <c r="BG115" s="222">
        <f t="shared" si="58"/>
        <v>0</v>
      </c>
      <c r="BH115" s="140">
        <f t="shared" si="59"/>
        <v>0</v>
      </c>
      <c r="BI115" s="132"/>
      <c r="BJ115" s="140">
        <f t="shared" si="60"/>
        <v>0</v>
      </c>
      <c r="BK115" s="141"/>
      <c r="BL115" s="141"/>
      <c r="BM115" s="141"/>
      <c r="BN115" s="141"/>
      <c r="BO115" s="141"/>
      <c r="BP115" s="130">
        <f t="shared" si="61"/>
        <v>0</v>
      </c>
      <c r="BQ115" s="132"/>
    </row>
    <row r="116" ht="14.25" customHeight="1">
      <c r="A116" s="132"/>
      <c r="B116" s="237">
        <v>46122</v>
      </c>
      <c r="C116" s="136">
        <f>152974.39-0-0</f>
      </c>
      <c r="D116" s="230"/>
      <c r="E116" s="132"/>
      <c r="F116" s="135"/>
      <c r="G116" s="147">
        <f t="shared" si="53"/>
        <v>0</v>
      </c>
      <c r="H116" s="151">
        <v>1162.01</v>
      </c>
      <c r="I116" s="143"/>
      <c r="J116" s="145">
        <v>1660.04</v>
      </c>
      <c r="K116" s="145">
        <v>781.66</v>
      </c>
      <c r="L116" s="143"/>
      <c r="M116" s="145">
        <v>1681.65</v>
      </c>
      <c r="N116" s="143"/>
      <c r="O116" s="143"/>
      <c r="P116" s="143"/>
      <c r="Q116" s="143"/>
      <c r="R116" s="143"/>
      <c r="S116" s="143"/>
      <c r="T116" s="143"/>
      <c r="U116" s="103">
        <f t="shared" si="62"/>
        <v>0</v>
      </c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03">
        <f t="shared" si="55"/>
        <v>0</v>
      </c>
      <c r="AK116" s="134">
        <v>50901.82</v>
      </c>
      <c r="AL116" s="134">
        <v>1188.1</v>
      </c>
      <c r="AM116" s="136"/>
      <c r="AN116" s="105">
        <f t="shared" si="56"/>
        <v>0</v>
      </c>
      <c r="AO116" s="121">
        <v>178.55</v>
      </c>
      <c r="AP116" s="99"/>
      <c r="AQ116" s="99"/>
      <c r="AR116" s="124"/>
      <c r="AS116" s="224">
        <f t="shared" si="57"/>
        <v>0</v>
      </c>
      <c r="AT116" s="1628">
        <v>88507.6</v>
      </c>
      <c r="AU116" s="1545"/>
      <c r="AV116" s="1546"/>
      <c r="AW116" s="1546"/>
      <c r="AX116" s="1548"/>
      <c r="AY116" s="1548"/>
      <c r="AZ116" s="1548"/>
      <c r="BA116" s="1628">
        <v>6913.1</v>
      </c>
      <c r="BB116" s="1655"/>
      <c r="BC116" s="1656"/>
      <c r="BD116" s="1656"/>
      <c r="BE116" s="1654"/>
      <c r="BF116" s="1656"/>
      <c r="BG116" s="222">
        <f t="shared" si="58"/>
        <v>0</v>
      </c>
      <c r="BH116" s="140">
        <f t="shared" si="59"/>
        <v>0</v>
      </c>
      <c r="BI116" s="132"/>
      <c r="BJ116" s="140">
        <f t="shared" si="60"/>
        <v>0</v>
      </c>
      <c r="BK116" s="141"/>
      <c r="BL116" s="141"/>
      <c r="BM116" s="141"/>
      <c r="BN116" s="141"/>
      <c r="BO116" s="141"/>
      <c r="BP116" s="130">
        <f t="shared" si="61"/>
        <v>0</v>
      </c>
      <c r="BQ116" s="132"/>
    </row>
    <row r="117" ht="14.25" customHeight="1">
      <c r="A117" s="132"/>
      <c r="B117" s="237">
        <v>46123</v>
      </c>
      <c r="C117" s="136">
        <f>111159.53-0-0</f>
      </c>
      <c r="D117" s="230"/>
      <c r="E117" s="132"/>
      <c r="F117" s="135"/>
      <c r="G117" s="147">
        <f t="shared" si="53"/>
        <v>0</v>
      </c>
      <c r="H117" s="148"/>
      <c r="I117" s="143"/>
      <c r="J117" s="145">
        <v>1508.69</v>
      </c>
      <c r="K117" s="143"/>
      <c r="L117" s="143"/>
      <c r="M117" s="145">
        <v>893</v>
      </c>
      <c r="N117" s="143"/>
      <c r="O117" s="143"/>
      <c r="P117" s="143"/>
      <c r="Q117" s="143"/>
      <c r="R117" s="143">
        <v>337.95</v>
      </c>
      <c r="S117" s="143"/>
      <c r="T117" s="143"/>
      <c r="U117" s="103">
        <f t="shared" si="62"/>
        <v>0</v>
      </c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03">
        <f t="shared" si="55"/>
        <v>0</v>
      </c>
      <c r="AK117" s="134">
        <v>36704.37</v>
      </c>
      <c r="AL117" s="134">
        <v>2382.05</v>
      </c>
      <c r="AM117" s="136"/>
      <c r="AN117" s="105">
        <f t="shared" si="56"/>
        <v>0</v>
      </c>
      <c r="AO117" s="121">
        <v>75.02</v>
      </c>
      <c r="AP117" s="99"/>
      <c r="AQ117" s="99"/>
      <c r="AR117" s="124"/>
      <c r="AS117" s="224">
        <f t="shared" si="57"/>
        <v>0</v>
      </c>
      <c r="AT117" s="1628">
        <v>62155.5</v>
      </c>
      <c r="AU117" s="1545"/>
      <c r="AV117" s="1546"/>
      <c r="AW117" s="1546"/>
      <c r="AX117" s="1548"/>
      <c r="AY117" s="1548"/>
      <c r="AZ117" s="1548"/>
      <c r="BA117" s="1628">
        <v>7101</v>
      </c>
      <c r="BB117" s="1655"/>
      <c r="BC117" s="1656"/>
      <c r="BD117" s="1656"/>
      <c r="BE117" s="1654"/>
      <c r="BF117" s="1656"/>
      <c r="BG117" s="222">
        <f t="shared" si="58"/>
        <v>0</v>
      </c>
      <c r="BH117" s="140">
        <f t="shared" si="59"/>
        <v>0</v>
      </c>
      <c r="BI117" s="132"/>
      <c r="BJ117" s="140">
        <f t="shared" si="60"/>
        <v>0</v>
      </c>
      <c r="BK117" s="141"/>
      <c r="BL117" s="141"/>
      <c r="BM117" s="141"/>
      <c r="BN117" s="141"/>
      <c r="BO117" s="141"/>
      <c r="BP117" s="130">
        <f t="shared" si="61"/>
        <v>0</v>
      </c>
      <c r="BQ117" s="132"/>
    </row>
    <row r="118" ht="14.25" customHeight="1">
      <c r="A118" s="132"/>
      <c r="B118" s="237">
        <v>46124</v>
      </c>
      <c r="C118" s="136">
        <f>88770.51-0-0</f>
      </c>
      <c r="D118" s="230"/>
      <c r="E118" s="132"/>
      <c r="F118" s="135"/>
      <c r="G118" s="147">
        <f t="shared" si="53"/>
        <v>0</v>
      </c>
      <c r="H118" s="148"/>
      <c r="I118" s="143"/>
      <c r="J118" s="145">
        <v>2001.12</v>
      </c>
      <c r="K118" s="145">
        <v>1678.48</v>
      </c>
      <c r="L118" s="143"/>
      <c r="M118" s="143"/>
      <c r="N118" s="143"/>
      <c r="O118" s="143"/>
      <c r="P118" s="143"/>
      <c r="Q118" s="143"/>
      <c r="R118" s="145">
        <v>690.85</v>
      </c>
      <c r="S118" s="143"/>
      <c r="T118" s="143"/>
      <c r="U118" s="103">
        <f t="shared" si="62"/>
        <v>0</v>
      </c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03">
        <f t="shared" si="55"/>
        <v>0</v>
      </c>
      <c r="AK118" s="134">
        <v>24504.46</v>
      </c>
      <c r="AL118" s="134">
        <v>2838.25</v>
      </c>
      <c r="AM118" s="136"/>
      <c r="AN118" s="105">
        <f t="shared" si="56"/>
        <v>0</v>
      </c>
      <c r="AO118" s="121">
        <v>62.92</v>
      </c>
      <c r="AP118" s="99"/>
      <c r="AQ118" s="99"/>
      <c r="AR118" s="256">
        <v>37</v>
      </c>
      <c r="AS118" s="224">
        <f t="shared" si="57"/>
        <v>0</v>
      </c>
      <c r="AT118" s="1628">
        <v>47965.8</v>
      </c>
      <c r="AU118" s="1545"/>
      <c r="AV118" s="1546"/>
      <c r="AW118" s="1546"/>
      <c r="AX118" s="1548"/>
      <c r="AY118" s="1548"/>
      <c r="AZ118" s="1548"/>
      <c r="BA118" s="1628">
        <v>8987.9</v>
      </c>
      <c r="BB118" s="1655"/>
      <c r="BC118" s="1656"/>
      <c r="BD118" s="1656"/>
      <c r="BE118" s="1654"/>
      <c r="BF118" s="1656"/>
      <c r="BG118" s="222">
        <f t="shared" si="58"/>
        <v>0</v>
      </c>
      <c r="BH118" s="140">
        <f t="shared" si="59"/>
        <v>0</v>
      </c>
      <c r="BI118" s="132"/>
      <c r="BJ118" s="140">
        <f t="shared" si="60"/>
        <v>0</v>
      </c>
      <c r="BK118" s="141"/>
      <c r="BL118" s="141"/>
      <c r="BM118" s="141"/>
      <c r="BN118" s="141"/>
      <c r="BO118" s="141"/>
      <c r="BP118" s="130">
        <f t="shared" si="61"/>
        <v>0</v>
      </c>
      <c r="BQ118" s="132"/>
    </row>
    <row r="119" ht="14.25" customHeight="1">
      <c r="A119" s="132"/>
      <c r="B119" s="237">
        <v>46125</v>
      </c>
      <c r="C119" s="136">
        <f>104844.58-0-0</f>
      </c>
      <c r="D119" s="230"/>
      <c r="E119" s="132"/>
      <c r="F119" s="135"/>
      <c r="G119" s="147">
        <f t="shared" si="53"/>
        <v>0</v>
      </c>
      <c r="H119" s="151">
        <v>467.39</v>
      </c>
      <c r="I119" s="143"/>
      <c r="J119" s="145">
        <v>2011.35</v>
      </c>
      <c r="K119" s="145">
        <v>877.97</v>
      </c>
      <c r="L119" s="143"/>
      <c r="M119" s="143"/>
      <c r="N119" s="145">
        <v>8733.74</v>
      </c>
      <c r="O119" s="143"/>
      <c r="P119" s="143"/>
      <c r="Q119" s="143"/>
      <c r="R119" s="145">
        <v>180.2</v>
      </c>
      <c r="S119" s="143"/>
      <c r="T119" s="143"/>
      <c r="U119" s="103">
        <f t="shared" si="62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03">
        <f t="shared" si="55"/>
        <v>0</v>
      </c>
      <c r="AK119" s="134">
        <v>34706.57</v>
      </c>
      <c r="AL119" s="134">
        <v>2986.61</v>
      </c>
      <c r="AM119" s="136"/>
      <c r="AN119" s="105">
        <f t="shared" si="56"/>
        <v>0</v>
      </c>
      <c r="AO119" s="121">
        <v>120.92</v>
      </c>
      <c r="AP119" s="99"/>
      <c r="AQ119" s="99"/>
      <c r="AR119" s="124"/>
      <c r="AS119" s="224">
        <f t="shared" si="57"/>
        <v>0</v>
      </c>
      <c r="AT119" s="1634">
        <v>48213</v>
      </c>
      <c r="AU119" s="1545"/>
      <c r="AV119" s="1546"/>
      <c r="AW119" s="1546"/>
      <c r="AX119" s="1548"/>
      <c r="AY119" s="1548"/>
      <c r="AZ119" s="1548"/>
      <c r="BA119" s="1634">
        <v>6550.2</v>
      </c>
      <c r="BB119" s="1655"/>
      <c r="BC119" s="1656"/>
      <c r="BD119" s="1656"/>
      <c r="BE119" s="1654"/>
      <c r="BF119" s="1656"/>
      <c r="BG119" s="222">
        <f t="shared" si="58"/>
        <v>0</v>
      </c>
      <c r="BH119" s="140">
        <f t="shared" si="59"/>
        <v>0</v>
      </c>
      <c r="BI119" s="132"/>
      <c r="BJ119" s="140">
        <f t="shared" si="60"/>
        <v>0</v>
      </c>
      <c r="BK119" s="141"/>
      <c r="BL119" s="141"/>
      <c r="BM119" s="141"/>
      <c r="BN119" s="141"/>
      <c r="BO119" s="141"/>
      <c r="BP119" s="130">
        <f t="shared" si="61"/>
        <v>0</v>
      </c>
      <c r="BQ119" s="132"/>
    </row>
    <row r="120" ht="14.25" customHeight="1">
      <c r="A120" s="132"/>
      <c r="B120" s="237">
        <v>46126</v>
      </c>
      <c r="C120" s="136">
        <f>90230.90-0-0</f>
      </c>
      <c r="D120" s="230"/>
      <c r="E120" s="132"/>
      <c r="F120" s="135"/>
      <c r="G120" s="147">
        <f t="shared" si="53"/>
        <v>0</v>
      </c>
      <c r="H120" s="148"/>
      <c r="I120" s="143"/>
      <c r="J120" s="143"/>
      <c r="K120" s="145">
        <v>1862.19</v>
      </c>
      <c r="L120" s="143"/>
      <c r="M120" s="143"/>
      <c r="N120" s="143"/>
      <c r="O120" s="143"/>
      <c r="P120" s="143"/>
      <c r="Q120" s="143"/>
      <c r="R120" s="145">
        <v>36</v>
      </c>
      <c r="S120" s="143"/>
      <c r="T120" s="143"/>
      <c r="U120" s="103">
        <f t="shared" si="62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03">
        <f t="shared" si="55"/>
        <v>0</v>
      </c>
      <c r="AK120" s="134">
        <v>30179.65</v>
      </c>
      <c r="AL120" s="134">
        <v>2575.99</v>
      </c>
      <c r="AM120" s="136"/>
      <c r="AN120" s="105">
        <f t="shared" si="56"/>
        <v>0</v>
      </c>
      <c r="AO120" s="121">
        <v>68.73</v>
      </c>
      <c r="AP120" s="99"/>
      <c r="AQ120" s="99"/>
      <c r="AR120" s="256">
        <v>24.09</v>
      </c>
      <c r="AS120" s="224">
        <f t="shared" si="57"/>
        <v>0</v>
      </c>
      <c r="AT120" s="1634">
        <v>48603</v>
      </c>
      <c r="AU120" s="1545"/>
      <c r="AV120" s="1546"/>
      <c r="AW120" s="1546"/>
      <c r="AX120" s="1548"/>
      <c r="AY120" s="1548"/>
      <c r="AZ120" s="1548"/>
      <c r="BA120" s="1634">
        <v>6881.3</v>
      </c>
      <c r="BB120" s="1655"/>
      <c r="BC120" s="1656"/>
      <c r="BD120" s="1656"/>
      <c r="BE120" s="1654"/>
      <c r="BF120" s="1656"/>
      <c r="BG120" s="222">
        <f t="shared" si="58"/>
        <v>0</v>
      </c>
      <c r="BH120" s="140">
        <f t="shared" si="59"/>
        <v>0</v>
      </c>
      <c r="BI120" s="132"/>
      <c r="BJ120" s="140">
        <f t="shared" si="60"/>
        <v>0</v>
      </c>
      <c r="BK120" s="141"/>
      <c r="BL120" s="141"/>
      <c r="BM120" s="141"/>
      <c r="BN120" s="141"/>
      <c r="BO120" s="141"/>
      <c r="BP120" s="130">
        <f t="shared" si="61"/>
        <v>0</v>
      </c>
      <c r="BQ120" s="132"/>
    </row>
    <row r="121" ht="14.25" customHeight="1">
      <c r="A121" s="132"/>
      <c r="B121" s="237">
        <v>46127</v>
      </c>
      <c r="C121" s="136">
        <f>90303.61-0-0</f>
      </c>
      <c r="D121" s="230"/>
      <c r="E121" s="132"/>
      <c r="F121" s="135"/>
      <c r="G121" s="147">
        <f t="shared" si="53"/>
        <v>0</v>
      </c>
      <c r="H121" s="148"/>
      <c r="I121" s="143"/>
      <c r="J121" s="143"/>
      <c r="K121" s="143"/>
      <c r="L121" s="143"/>
      <c r="M121" s="145">
        <v>1800</v>
      </c>
      <c r="N121" s="143"/>
      <c r="O121" s="143"/>
      <c r="P121" s="143"/>
      <c r="Q121" s="143"/>
      <c r="R121" s="145">
        <v>722.9</v>
      </c>
      <c r="S121" s="143"/>
      <c r="T121" s="143"/>
      <c r="U121" s="103">
        <f t="shared" si="62"/>
        <v>0</v>
      </c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03">
        <f t="shared" si="55"/>
        <v>0</v>
      </c>
      <c r="AK121" s="134">
        <v>23343.2</v>
      </c>
      <c r="AL121" s="134">
        <v>2733.18</v>
      </c>
      <c r="AM121" s="136"/>
      <c r="AN121" s="105">
        <f t="shared" si="56"/>
        <v>0</v>
      </c>
      <c r="AO121" s="121">
        <v>28.85</v>
      </c>
      <c r="AP121" s="99"/>
      <c r="AQ121" s="99"/>
      <c r="AR121" s="124"/>
      <c r="AS121" s="224">
        <f t="shared" si="57"/>
        <v>0</v>
      </c>
      <c r="AT121" s="1573">
        <v>55088.2</v>
      </c>
      <c r="AU121" s="1545"/>
      <c r="AV121" s="1546"/>
      <c r="AW121" s="1546"/>
      <c r="AX121" s="1548"/>
      <c r="AY121" s="1548"/>
      <c r="AZ121" s="1548"/>
      <c r="BA121" s="1573">
        <v>6587.5</v>
      </c>
      <c r="BB121" s="1655"/>
      <c r="BC121" s="1656"/>
      <c r="BD121" s="1656"/>
      <c r="BE121" s="1654"/>
      <c r="BF121" s="1656"/>
      <c r="BG121" s="222">
        <f t="shared" si="58"/>
        <v>0</v>
      </c>
      <c r="BH121" s="140">
        <f t="shared" si="59"/>
        <v>0</v>
      </c>
      <c r="BI121" s="132"/>
      <c r="BJ121" s="140">
        <f t="shared" si="60"/>
        <v>0</v>
      </c>
      <c r="BK121" s="141"/>
      <c r="BL121" s="141"/>
      <c r="BM121" s="141"/>
      <c r="BN121" s="141"/>
      <c r="BO121" s="141"/>
      <c r="BP121" s="130">
        <f t="shared" si="61"/>
        <v>0</v>
      </c>
      <c r="BQ121" s="132"/>
    </row>
    <row r="122" ht="14.25" customHeight="1">
      <c r="A122" s="132"/>
      <c r="B122" s="237">
        <v>46128</v>
      </c>
      <c r="C122" s="136">
        <f>96512.44-0-0</f>
      </c>
      <c r="D122" s="230"/>
      <c r="E122" s="132"/>
      <c r="F122" s="135"/>
      <c r="G122" s="147">
        <f t="shared" si="53"/>
        <v>0</v>
      </c>
      <c r="H122" s="151">
        <v>7817.95</v>
      </c>
      <c r="I122" s="143"/>
      <c r="J122" s="143"/>
      <c r="K122" s="145">
        <v>1008.46</v>
      </c>
      <c r="L122" s="143"/>
      <c r="M122" s="143"/>
      <c r="N122" s="145">
        <v>1398.69</v>
      </c>
      <c r="O122" s="143"/>
      <c r="P122" s="143"/>
      <c r="Q122" s="143"/>
      <c r="R122" s="145">
        <v>357.77</v>
      </c>
      <c r="S122" s="143"/>
      <c r="T122" s="143"/>
      <c r="U122" s="103">
        <f t="shared" si="62"/>
        <v>0</v>
      </c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03">
        <f t="shared" si="55"/>
        <v>0</v>
      </c>
      <c r="AK122" s="134">
        <v>28810.77</v>
      </c>
      <c r="AL122" s="134">
        <v>3784.05</v>
      </c>
      <c r="AM122" s="136"/>
      <c r="AN122" s="105">
        <f t="shared" si="56"/>
        <v>0</v>
      </c>
      <c r="AO122" s="121">
        <v>54.16</v>
      </c>
      <c r="AP122" s="99"/>
      <c r="AQ122" s="99"/>
      <c r="AR122" s="124"/>
      <c r="AS122" s="224">
        <f t="shared" si="57"/>
        <v>0</v>
      </c>
      <c r="AT122" s="1573">
        <v>46681.6</v>
      </c>
      <c r="AU122" s="1545"/>
      <c r="AV122" s="1546"/>
      <c r="AW122" s="1546"/>
      <c r="AX122" s="1548"/>
      <c r="AY122" s="1548"/>
      <c r="AZ122" s="1548"/>
      <c r="BA122" s="1573">
        <v>6593</v>
      </c>
      <c r="BB122" s="1655"/>
      <c r="BC122" s="1656"/>
      <c r="BD122" s="1656"/>
      <c r="BE122" s="1654"/>
      <c r="BF122" s="1656"/>
      <c r="BG122" s="222">
        <f t="shared" si="58"/>
        <v>0</v>
      </c>
      <c r="BH122" s="140">
        <f t="shared" si="59"/>
        <v>0</v>
      </c>
      <c r="BI122" s="132"/>
      <c r="BJ122" s="140">
        <f t="shared" si="60"/>
        <v>0</v>
      </c>
      <c r="BK122" s="141"/>
      <c r="BL122" s="141"/>
      <c r="BM122" s="141"/>
      <c r="BN122" s="141"/>
      <c r="BO122" s="141"/>
      <c r="BP122" s="130">
        <f t="shared" si="61"/>
        <v>0</v>
      </c>
      <c r="BQ122" s="132"/>
    </row>
    <row r="123" ht="14.25" customHeight="1">
      <c r="A123" s="132"/>
      <c r="B123" s="237">
        <v>46129</v>
      </c>
      <c r="C123" s="136">
        <f>87726.65-0-0</f>
      </c>
      <c r="D123" s="230"/>
      <c r="E123" s="132"/>
      <c r="F123" s="135"/>
      <c r="G123" s="147">
        <f t="shared" si="53"/>
        <v>0</v>
      </c>
      <c r="H123" s="148"/>
      <c r="I123" s="143"/>
      <c r="J123" s="143"/>
      <c r="K123" s="143"/>
      <c r="L123" s="143"/>
      <c r="M123" s="143"/>
      <c r="N123" s="145">
        <v>1356.96</v>
      </c>
      <c r="O123" s="143"/>
      <c r="P123" s="143"/>
      <c r="Q123" s="143"/>
      <c r="R123" s="143">
        <v>693.99</v>
      </c>
      <c r="S123" s="143"/>
      <c r="T123" s="143"/>
      <c r="U123" s="103">
        <f t="shared" si="62"/>
        <v>0</v>
      </c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03">
        <f t="shared" si="55"/>
        <v>0</v>
      </c>
      <c r="AK123" s="134">
        <v>26946.46</v>
      </c>
      <c r="AL123" s="134">
        <v>3413.45</v>
      </c>
      <c r="AM123" s="136"/>
      <c r="AN123" s="105">
        <f t="shared" si="56"/>
        <v>0</v>
      </c>
      <c r="AO123" s="121">
        <v>17.47</v>
      </c>
      <c r="AP123" s="99"/>
      <c r="AQ123" s="99"/>
      <c r="AR123" s="256">
        <v>30</v>
      </c>
      <c r="AS123" s="224">
        <f t="shared" si="57"/>
        <v>0</v>
      </c>
      <c r="AT123" s="1658">
        <v>48876.1</v>
      </c>
      <c r="AU123" s="1545"/>
      <c r="AV123" s="1546"/>
      <c r="AW123" s="1546"/>
      <c r="AX123" s="1548"/>
      <c r="AY123" s="1548"/>
      <c r="AZ123" s="1548"/>
      <c r="BA123" s="1563">
        <v>6392.4</v>
      </c>
      <c r="BB123" s="1655"/>
      <c r="BC123" s="1656"/>
      <c r="BD123" s="1656"/>
      <c r="BE123" s="1654"/>
      <c r="BF123" s="1656"/>
      <c r="BG123" s="222">
        <f t="shared" si="58"/>
        <v>0</v>
      </c>
      <c r="BH123" s="140">
        <f t="shared" si="59"/>
        <v>0</v>
      </c>
      <c r="BI123" s="132"/>
      <c r="BJ123" s="140">
        <f t="shared" si="60"/>
        <v>0</v>
      </c>
      <c r="BK123" s="141"/>
      <c r="BL123" s="141"/>
      <c r="BM123" s="141"/>
      <c r="BN123" s="141"/>
      <c r="BO123" s="141"/>
      <c r="BP123" s="130">
        <f t="shared" si="61"/>
        <v>0</v>
      </c>
      <c r="BQ123" s="132"/>
    </row>
    <row r="124" ht="14.25" customHeight="1">
      <c r="A124" s="132"/>
      <c r="B124" s="237">
        <v>46130</v>
      </c>
      <c r="C124" s="136">
        <f>86411.58-0-0</f>
      </c>
      <c r="D124" s="230"/>
      <c r="E124" s="132"/>
      <c r="F124" s="135"/>
      <c r="G124" s="147">
        <f t="shared" si="53"/>
        <v>0</v>
      </c>
      <c r="H124" s="151">
        <v>125.94</v>
      </c>
      <c r="I124" s="143"/>
      <c r="J124" s="145">
        <v>1915.96</v>
      </c>
      <c r="K124" s="145">
        <v>1383.16</v>
      </c>
      <c r="L124" s="143"/>
      <c r="M124" s="145">
        <v>1908.15</v>
      </c>
      <c r="N124" s="145">
        <v>3173.38</v>
      </c>
      <c r="O124" s="143"/>
      <c r="P124" s="143"/>
      <c r="Q124" s="143"/>
      <c r="R124" s="143">
        <v>1479.36</v>
      </c>
      <c r="S124" s="143"/>
      <c r="T124" s="143"/>
      <c r="U124" s="103">
        <f t="shared" si="62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03">
        <f t="shared" si="55"/>
        <v>0</v>
      </c>
      <c r="AK124" s="134">
        <v>26633.73</v>
      </c>
      <c r="AL124" s="134">
        <v>3008.84</v>
      </c>
      <c r="AM124" s="136"/>
      <c r="AN124" s="105">
        <f t="shared" si="56"/>
        <v>0</v>
      </c>
      <c r="AO124" s="121">
        <v>66.19</v>
      </c>
      <c r="AP124" s="99"/>
      <c r="AQ124" s="99"/>
      <c r="AR124" s="124"/>
      <c r="AS124" s="224">
        <f t="shared" si="57"/>
        <v>0</v>
      </c>
      <c r="AT124" s="1658">
        <v>39044.8</v>
      </c>
      <c r="AU124" s="1545"/>
      <c r="AV124" s="1546"/>
      <c r="AW124" s="1546"/>
      <c r="AX124" s="1548"/>
      <c r="AY124" s="1548"/>
      <c r="AZ124" s="1548"/>
      <c r="BA124" s="1563">
        <v>7671.8</v>
      </c>
      <c r="BB124" s="1655"/>
      <c r="BC124" s="1656"/>
      <c r="BD124" s="1656"/>
      <c r="BE124" s="1654"/>
      <c r="BF124" s="1656"/>
      <c r="BG124" s="222">
        <f t="shared" si="58"/>
        <v>0</v>
      </c>
      <c r="BH124" s="140">
        <f t="shared" si="59"/>
        <v>0</v>
      </c>
      <c r="BI124" s="132"/>
      <c r="BJ124" s="140">
        <f t="shared" si="60"/>
        <v>0</v>
      </c>
      <c r="BK124" s="141"/>
      <c r="BL124" s="141"/>
      <c r="BM124" s="141"/>
      <c r="BN124" s="141"/>
      <c r="BO124" s="141"/>
      <c r="BP124" s="130">
        <f t="shared" si="61"/>
        <v>0</v>
      </c>
      <c r="BQ124" s="132"/>
    </row>
    <row r="125" ht="14.25" customHeight="1">
      <c r="A125" s="132"/>
      <c r="B125" s="237">
        <v>46131</v>
      </c>
      <c r="C125" s="136">
        <f>58116.83-0-0</f>
      </c>
      <c r="D125" s="230"/>
      <c r="E125" s="132"/>
      <c r="F125" s="135"/>
      <c r="G125" s="147">
        <f t="shared" si="53"/>
        <v>0</v>
      </c>
      <c r="H125" s="148"/>
      <c r="I125" s="143"/>
      <c r="J125" s="143"/>
      <c r="K125" s="143"/>
      <c r="L125" s="143"/>
      <c r="M125" s="143"/>
      <c r="N125" s="143"/>
      <c r="O125" s="143"/>
      <c r="P125" s="143"/>
      <c r="Q125" s="143"/>
      <c r="R125" s="145">
        <v>320.04</v>
      </c>
      <c r="S125" s="143"/>
      <c r="T125" s="143"/>
      <c r="U125" s="103">
        <f t="shared" si="62"/>
        <v>0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03">
        <f t="shared" si="55"/>
        <v>0</v>
      </c>
      <c r="AK125" s="134">
        <v>21794.43</v>
      </c>
      <c r="AL125" s="134">
        <v>2882.25</v>
      </c>
      <c r="AM125" s="136"/>
      <c r="AN125" s="105">
        <f t="shared" si="56"/>
        <v>0</v>
      </c>
      <c r="AO125" s="121">
        <v>5.92</v>
      </c>
      <c r="AP125" s="99"/>
      <c r="AQ125" s="99"/>
      <c r="AR125" s="124"/>
      <c r="AS125" s="224">
        <f t="shared" si="57"/>
        <v>0</v>
      </c>
      <c r="AT125" s="1658">
        <v>26169.1</v>
      </c>
      <c r="AU125" s="1545"/>
      <c r="AV125" s="1546"/>
      <c r="AW125" s="1546"/>
      <c r="AX125" s="1548"/>
      <c r="AY125" s="1548"/>
      <c r="AZ125" s="1548"/>
      <c r="BA125" s="1563">
        <v>6944.8</v>
      </c>
      <c r="BB125" s="1655"/>
      <c r="BC125" s="1656"/>
      <c r="BD125" s="1656"/>
      <c r="BE125" s="1654"/>
      <c r="BF125" s="1656"/>
      <c r="BG125" s="222">
        <f t="shared" si="58"/>
        <v>0</v>
      </c>
      <c r="BH125" s="140">
        <f t="shared" si="59"/>
        <v>0</v>
      </c>
      <c r="BI125" s="132"/>
      <c r="BJ125" s="140">
        <f t="shared" si="60"/>
        <v>0</v>
      </c>
      <c r="BK125" s="141"/>
      <c r="BL125" s="141"/>
      <c r="BM125" s="141"/>
      <c r="BN125" s="141"/>
      <c r="BO125" s="141"/>
      <c r="BP125" s="130">
        <f t="shared" si="61"/>
        <v>0</v>
      </c>
      <c r="BQ125" s="132"/>
    </row>
    <row r="126" ht="14.25" customHeight="1">
      <c r="A126" s="132"/>
      <c r="B126" s="237">
        <v>46132</v>
      </c>
      <c r="C126" s="136">
        <f>79842.24-0-0</f>
      </c>
      <c r="D126" s="230"/>
      <c r="E126" s="132"/>
      <c r="F126" s="135"/>
      <c r="G126" s="147">
        <f t="shared" si="53"/>
        <v>0</v>
      </c>
      <c r="H126" s="148"/>
      <c r="I126" s="143"/>
      <c r="J126" s="145">
        <v>2107.54</v>
      </c>
      <c r="K126" s="145">
        <v>2620</v>
      </c>
      <c r="L126" s="143"/>
      <c r="M126" s="145">
        <v>185.43</v>
      </c>
      <c r="N126" s="143"/>
      <c r="O126" s="143"/>
      <c r="P126" s="143"/>
      <c r="Q126" s="143"/>
      <c r="R126" s="143">
        <v>276.85</v>
      </c>
      <c r="S126" s="143"/>
      <c r="T126" s="143"/>
      <c r="U126" s="103">
        <f t="shared" si="62"/>
        <v>0</v>
      </c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03">
        <f t="shared" si="55"/>
        <v>0</v>
      </c>
      <c r="AK126" s="134">
        <v>28824.83</v>
      </c>
      <c r="AL126" s="134">
        <v>2376.64</v>
      </c>
      <c r="AM126" s="136"/>
      <c r="AN126" s="105">
        <f t="shared" si="56"/>
        <v>0</v>
      </c>
      <c r="AO126" s="121">
        <v>107.55</v>
      </c>
      <c r="AP126" s="99"/>
      <c r="AQ126" s="99"/>
      <c r="AR126" s="124"/>
      <c r="AS126" s="224">
        <f t="shared" si="57"/>
        <v>0</v>
      </c>
      <c r="AT126" s="1659">
        <v>37277.5</v>
      </c>
      <c r="AU126" s="1545"/>
      <c r="AV126" s="1546"/>
      <c r="AW126" s="1546"/>
      <c r="AX126" s="1548"/>
      <c r="AY126" s="1548"/>
      <c r="AZ126" s="1548"/>
      <c r="BA126" s="1659">
        <v>6066.1</v>
      </c>
      <c r="BB126" s="1655"/>
      <c r="BC126" s="1656"/>
      <c r="BD126" s="1656"/>
      <c r="BE126" s="1654"/>
      <c r="BF126" s="1656"/>
      <c r="BG126" s="222">
        <f t="shared" si="58"/>
        <v>0</v>
      </c>
      <c r="BH126" s="140">
        <f t="shared" si="59"/>
        <v>0</v>
      </c>
      <c r="BI126" s="132"/>
      <c r="BJ126" s="140">
        <f t="shared" si="60"/>
        <v>0</v>
      </c>
      <c r="BK126" s="141"/>
      <c r="BL126" s="141"/>
      <c r="BM126" s="141"/>
      <c r="BN126" s="141"/>
      <c r="BO126" s="141"/>
      <c r="BP126" s="130">
        <f t="shared" si="61"/>
        <v>0</v>
      </c>
      <c r="BQ126" s="132"/>
    </row>
    <row r="127" ht="14.25" customHeight="1">
      <c r="A127" s="132"/>
      <c r="B127" s="237">
        <v>46133</v>
      </c>
      <c r="C127" s="136">
        <f>80416.56-0-0</f>
      </c>
      <c r="D127" s="230"/>
      <c r="E127" s="132"/>
      <c r="F127" s="135"/>
      <c r="G127" s="147">
        <f t="shared" si="53"/>
        <v>0</v>
      </c>
      <c r="H127" s="151">
        <v>3061.03</v>
      </c>
      <c r="I127" s="143"/>
      <c r="J127" s="145">
        <v>2980.06</v>
      </c>
      <c r="K127" s="145">
        <v>770.09</v>
      </c>
      <c r="L127" s="143"/>
      <c r="M127" s="145">
        <v>180.35</v>
      </c>
      <c r="N127" s="143"/>
      <c r="O127" s="143"/>
      <c r="P127" s="143"/>
      <c r="Q127" s="143"/>
      <c r="R127" s="145">
        <v>176.01</v>
      </c>
      <c r="S127" s="143"/>
      <c r="T127" s="143"/>
      <c r="U127" s="103">
        <f t="shared" si="62"/>
        <v>0</v>
      </c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03">
        <f t="shared" si="55"/>
        <v>0</v>
      </c>
      <c r="AK127" s="134">
        <v>21087.13</v>
      </c>
      <c r="AL127" s="134">
        <v>3071.43</v>
      </c>
      <c r="AM127" s="136"/>
      <c r="AN127" s="105">
        <f t="shared" si="56"/>
        <v>0</v>
      </c>
      <c r="AO127" s="121">
        <v>58.2</v>
      </c>
      <c r="AP127" s="99"/>
      <c r="AQ127" s="99"/>
      <c r="AR127" s="256">
        <v>20</v>
      </c>
      <c r="AS127" s="224">
        <f t="shared" si="57"/>
        <v>0</v>
      </c>
      <c r="AT127" s="1659">
        <v>42350.4</v>
      </c>
      <c r="AU127" s="1545"/>
      <c r="AV127" s="1546"/>
      <c r="AW127" s="1546"/>
      <c r="AX127" s="1548"/>
      <c r="AY127" s="1548"/>
      <c r="AZ127" s="1548"/>
      <c r="BA127" s="1659">
        <v>6656.7</v>
      </c>
      <c r="BB127" s="1655"/>
      <c r="BC127" s="1656"/>
      <c r="BD127" s="1656"/>
      <c r="BE127" s="1654"/>
      <c r="BF127" s="1656"/>
      <c r="BG127" s="222">
        <f t="shared" si="58"/>
        <v>0</v>
      </c>
      <c r="BH127" s="140">
        <f t="shared" si="59"/>
        <v>0</v>
      </c>
      <c r="BI127" s="132"/>
      <c r="BJ127" s="140">
        <f t="shared" si="60"/>
        <v>0</v>
      </c>
      <c r="BK127" s="141"/>
      <c r="BL127" s="141"/>
      <c r="BM127" s="141"/>
      <c r="BN127" s="141"/>
      <c r="BO127" s="141"/>
      <c r="BP127" s="130">
        <f t="shared" si="61"/>
        <v>0</v>
      </c>
      <c r="BQ127" s="132"/>
    </row>
    <row r="128" ht="14.25" customHeight="1">
      <c r="A128" s="132"/>
      <c r="B128" s="237">
        <v>46134</v>
      </c>
      <c r="C128" s="136">
        <f>85544.69-0-0</f>
      </c>
      <c r="D128" s="230"/>
      <c r="E128" s="132"/>
      <c r="F128" s="135"/>
      <c r="G128" s="147">
        <f t="shared" si="53"/>
        <v>0</v>
      </c>
      <c r="H128" s="151">
        <v>2005.86</v>
      </c>
      <c r="I128" s="143"/>
      <c r="J128" s="145">
        <v>1014.74</v>
      </c>
      <c r="K128" s="145">
        <v>1547.82</v>
      </c>
      <c r="L128" s="143"/>
      <c r="M128" s="143"/>
      <c r="N128" s="145">
        <v>1631.17</v>
      </c>
      <c r="O128" s="143"/>
      <c r="P128" s="143"/>
      <c r="Q128" s="143"/>
      <c r="R128" s="143">
        <v>712.69</v>
      </c>
      <c r="S128" s="143"/>
      <c r="T128" s="143"/>
      <c r="U128" s="103">
        <f t="shared" si="62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03">
        <f t="shared" si="55"/>
        <v>0</v>
      </c>
      <c r="AK128" s="134">
        <v>22827.56</v>
      </c>
      <c r="AL128" s="134">
        <v>2614.4</v>
      </c>
      <c r="AM128" s="136"/>
      <c r="AN128" s="105">
        <f t="shared" si="56"/>
        <v>0</v>
      </c>
      <c r="AO128" s="121">
        <v>73.02</v>
      </c>
      <c r="AP128" s="99"/>
      <c r="AQ128" s="99"/>
      <c r="AR128" s="124"/>
      <c r="AS128" s="224">
        <f t="shared" si="57"/>
        <v>0</v>
      </c>
      <c r="AT128" s="1582">
        <v>47689.7</v>
      </c>
      <c r="AU128" s="1545"/>
      <c r="AV128" s="1546"/>
      <c r="AW128" s="1546"/>
      <c r="AX128" s="1548"/>
      <c r="AY128" s="1548"/>
      <c r="AZ128" s="1548"/>
      <c r="BA128" s="1582">
        <v>5428</v>
      </c>
      <c r="BB128" s="1655"/>
      <c r="BC128" s="1656"/>
      <c r="BD128" s="1656"/>
      <c r="BE128" s="1654"/>
      <c r="BF128" s="1656"/>
      <c r="BG128" s="222">
        <f t="shared" si="58"/>
        <v>0</v>
      </c>
      <c r="BH128" s="140">
        <f t="shared" si="59"/>
        <v>0</v>
      </c>
      <c r="BI128" s="132"/>
      <c r="BJ128" s="140">
        <f t="shared" si="60"/>
        <v>0</v>
      </c>
      <c r="BK128" s="141"/>
      <c r="BL128" s="141"/>
      <c r="BM128" s="141"/>
      <c r="BN128" s="141"/>
      <c r="BO128" s="141"/>
      <c r="BP128" s="130">
        <f t="shared" si="61"/>
        <v>0</v>
      </c>
      <c r="BQ128" s="132"/>
    </row>
    <row r="129" ht="14.25" customHeight="1">
      <c r="A129" s="132"/>
      <c r="B129" s="237">
        <v>46135</v>
      </c>
      <c r="C129" s="136">
        <f>86514.71-0-0</f>
      </c>
      <c r="D129" s="230"/>
      <c r="E129" s="132"/>
      <c r="F129" s="135"/>
      <c r="G129" s="147">
        <f t="shared" si="53"/>
        <v>0</v>
      </c>
      <c r="H129" s="151">
        <v>6243.08</v>
      </c>
      <c r="I129" s="143"/>
      <c r="J129" s="145">
        <v>2435.42</v>
      </c>
      <c r="K129" s="145">
        <v>875.67</v>
      </c>
      <c r="L129" s="143"/>
      <c r="M129" s="145">
        <v>595.07</v>
      </c>
      <c r="N129" s="143"/>
      <c r="O129" s="143"/>
      <c r="P129" s="143"/>
      <c r="Q129" s="143"/>
      <c r="R129" s="143">
        <v>380.17</v>
      </c>
      <c r="S129" s="143"/>
      <c r="T129" s="143"/>
      <c r="U129" s="103">
        <f t="shared" si="62"/>
        <v>0</v>
      </c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03">
        <f t="shared" si="55"/>
        <v>0</v>
      </c>
      <c r="AK129" s="134">
        <v>25817.09</v>
      </c>
      <c r="AL129" s="134">
        <v>3502.14</v>
      </c>
      <c r="AM129" s="136"/>
      <c r="AN129" s="105">
        <f t="shared" si="56"/>
        <v>0</v>
      </c>
      <c r="AO129" s="121">
        <v>78.99</v>
      </c>
      <c r="AP129" s="99"/>
      <c r="AQ129" s="99"/>
      <c r="AR129" s="124">
        <v>3.5</v>
      </c>
      <c r="AS129" s="224">
        <f t="shared" si="57"/>
        <v>0</v>
      </c>
      <c r="AT129" s="1582">
        <v>40324.9</v>
      </c>
      <c r="AU129" s="1545"/>
      <c r="AV129" s="1546"/>
      <c r="AW129" s="1546"/>
      <c r="AX129" s="1548"/>
      <c r="AY129" s="1548"/>
      <c r="AZ129" s="1548"/>
      <c r="BA129" s="1582">
        <v>6258.7</v>
      </c>
      <c r="BB129" s="1655"/>
      <c r="BC129" s="1656"/>
      <c r="BD129" s="1656"/>
      <c r="BE129" s="1654"/>
      <c r="BF129" s="1656"/>
      <c r="BG129" s="222">
        <f t="shared" si="58"/>
        <v>0</v>
      </c>
      <c r="BH129" s="140">
        <f t="shared" si="59"/>
        <v>0</v>
      </c>
      <c r="BI129" s="132"/>
      <c r="BJ129" s="140">
        <f t="shared" si="60"/>
        <v>0</v>
      </c>
      <c r="BK129" s="141"/>
      <c r="BL129" s="141"/>
      <c r="BM129" s="141"/>
      <c r="BN129" s="141"/>
      <c r="BO129" s="141"/>
      <c r="BP129" s="130">
        <f t="shared" si="61"/>
        <v>0</v>
      </c>
      <c r="BQ129" s="132"/>
    </row>
    <row r="130" ht="14.25" customHeight="1">
      <c r="A130" s="132"/>
      <c r="B130" s="237">
        <v>46136</v>
      </c>
      <c r="C130" s="136">
        <f>80250.06-0-0</f>
      </c>
      <c r="D130" s="230"/>
      <c r="E130" s="132"/>
      <c r="F130" s="135"/>
      <c r="G130" s="147">
        <f t="shared" si="53"/>
        <v>0</v>
      </c>
      <c r="H130" s="148"/>
      <c r="I130" s="143"/>
      <c r="J130" s="145">
        <v>3476.04</v>
      </c>
      <c r="K130" s="143"/>
      <c r="L130" s="143"/>
      <c r="M130" s="145">
        <v>1643.67</v>
      </c>
      <c r="N130" s="143"/>
      <c r="O130" s="143"/>
      <c r="P130" s="143"/>
      <c r="Q130" s="143"/>
      <c r="R130" s="143"/>
      <c r="S130" s="143"/>
      <c r="T130" s="143"/>
      <c r="U130" s="103">
        <f t="shared" si="62"/>
        <v>0</v>
      </c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03">
        <f t="shared" si="55"/>
        <v>0</v>
      </c>
      <c r="AK130" s="134">
        <v>24792.79</v>
      </c>
      <c r="AL130" s="134">
        <v>3431.7</v>
      </c>
      <c r="AM130" s="136"/>
      <c r="AN130" s="105">
        <f t="shared" si="56"/>
        <v>0</v>
      </c>
      <c r="AO130" s="121">
        <v>56.51</v>
      </c>
      <c r="AP130" s="99"/>
      <c r="AQ130" s="99"/>
      <c r="AR130" s="124"/>
      <c r="AS130" s="224">
        <f t="shared" si="57"/>
        <v>0</v>
      </c>
      <c r="AT130" s="1625">
        <v>39389</v>
      </c>
      <c r="AU130" s="1545"/>
      <c r="AV130" s="1546"/>
      <c r="AW130" s="1546"/>
      <c r="AX130" s="1548"/>
      <c r="AY130" s="1548"/>
      <c r="AZ130" s="1548"/>
      <c r="BA130" s="1631">
        <v>5984.9</v>
      </c>
      <c r="BB130" s="1655"/>
      <c r="BC130" s="1656"/>
      <c r="BD130" s="1656"/>
      <c r="BE130" s="1654"/>
      <c r="BF130" s="1656"/>
      <c r="BG130" s="222">
        <f t="shared" si="58"/>
        <v>0</v>
      </c>
      <c r="BH130" s="140">
        <f t="shared" si="59"/>
        <v>0</v>
      </c>
      <c r="BI130" s="132"/>
      <c r="BJ130" s="140">
        <f t="shared" si="60"/>
        <v>0</v>
      </c>
      <c r="BK130" s="141"/>
      <c r="BL130" s="141"/>
      <c r="BM130" s="150"/>
      <c r="BN130" s="141">
        <v>1476.2</v>
      </c>
      <c r="BO130" s="141"/>
      <c r="BP130" s="130">
        <f t="shared" si="61"/>
        <v>0</v>
      </c>
      <c r="BQ130" s="132"/>
    </row>
    <row r="131" ht="14.25" customHeight="1">
      <c r="A131" s="132"/>
      <c r="B131" s="237">
        <v>46137</v>
      </c>
      <c r="C131" s="136">
        <f>79130.58-0-0</f>
      </c>
      <c r="D131" s="230"/>
      <c r="E131" s="132"/>
      <c r="F131" s="135"/>
      <c r="G131" s="147">
        <f t="shared" si="53"/>
        <v>0</v>
      </c>
      <c r="H131" s="151">
        <v>5658.6</v>
      </c>
      <c r="I131" s="143"/>
      <c r="J131" s="143"/>
      <c r="K131" s="143"/>
      <c r="L131" s="143"/>
      <c r="M131" s="145">
        <v>1088.83</v>
      </c>
      <c r="N131" s="145">
        <v>1267.37</v>
      </c>
      <c r="O131" s="143"/>
      <c r="P131" s="143"/>
      <c r="Q131" s="143"/>
      <c r="R131" s="145">
        <v>132.93</v>
      </c>
      <c r="S131" s="143"/>
      <c r="T131" s="143"/>
      <c r="U131" s="103">
        <f t="shared" si="62"/>
        <v>0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03">
        <f t="shared" si="55"/>
        <v>0</v>
      </c>
      <c r="AK131" s="134">
        <v>23237.49</v>
      </c>
      <c r="AL131" s="134">
        <v>3655.93</v>
      </c>
      <c r="AM131" s="136"/>
      <c r="AN131" s="105">
        <f t="shared" si="56"/>
        <v>0</v>
      </c>
      <c r="AO131" s="121">
        <v>12.62</v>
      </c>
      <c r="AP131" s="99"/>
      <c r="AQ131" s="99"/>
      <c r="AR131" s="256">
        <v>10</v>
      </c>
      <c r="AS131" s="224">
        <f t="shared" si="57"/>
        <v>0</v>
      </c>
      <c r="AT131" s="1625">
        <v>37408.3</v>
      </c>
      <c r="AU131" s="1545"/>
      <c r="AV131" s="1546"/>
      <c r="AW131" s="1546"/>
      <c r="AX131" s="1548"/>
      <c r="AY131" s="1548"/>
      <c r="AZ131" s="1548"/>
      <c r="BA131" s="1631">
        <v>6658.6</v>
      </c>
      <c r="BB131" s="1655"/>
      <c r="BC131" s="1656"/>
      <c r="BD131" s="1656"/>
      <c r="BE131" s="1654"/>
      <c r="BF131" s="1656"/>
      <c r="BG131" s="222">
        <f t="shared" si="58"/>
        <v>0</v>
      </c>
      <c r="BH131" s="140">
        <f t="shared" si="59"/>
        <v>0</v>
      </c>
      <c r="BI131" s="132"/>
      <c r="BJ131" s="140">
        <f t="shared" si="60"/>
        <v>0</v>
      </c>
      <c r="BK131" s="141"/>
      <c r="BL131" s="141"/>
      <c r="BM131" s="141"/>
      <c r="BN131" s="141"/>
      <c r="BO131" s="141"/>
      <c r="BP131" s="130">
        <f t="shared" si="61"/>
        <v>0</v>
      </c>
      <c r="BQ131" s="132"/>
    </row>
    <row r="132" ht="14.25" customHeight="1">
      <c r="A132" s="132"/>
      <c r="B132" s="237">
        <v>46138</v>
      </c>
      <c r="C132" s="136">
        <f>83338.13-0-0</f>
      </c>
      <c r="D132" s="230"/>
      <c r="E132" s="132"/>
      <c r="F132" s="135"/>
      <c r="G132" s="147">
        <f t="shared" si="53"/>
        <v>0</v>
      </c>
      <c r="H132" s="148"/>
      <c r="I132" s="143"/>
      <c r="J132" s="145">
        <v>950.4</v>
      </c>
      <c r="K132" s="145">
        <v>1387.75</v>
      </c>
      <c r="L132" s="143"/>
      <c r="M132" s="143"/>
      <c r="N132" s="143"/>
      <c r="O132" s="143"/>
      <c r="P132" s="143"/>
      <c r="Q132" s="143"/>
      <c r="R132" s="143">
        <v>486.07</v>
      </c>
      <c r="S132" s="143"/>
      <c r="T132" s="143"/>
      <c r="U132" s="103">
        <f t="shared" si="62"/>
        <v>0</v>
      </c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03">
        <f t="shared" si="55"/>
        <v>0</v>
      </c>
      <c r="AK132" s="134">
        <v>33998.03</v>
      </c>
      <c r="AL132" s="134">
        <v>3058.26</v>
      </c>
      <c r="AM132" s="136"/>
      <c r="AN132" s="105">
        <f t="shared" si="56"/>
        <v>0</v>
      </c>
      <c r="AO132" s="121">
        <v>84.7</v>
      </c>
      <c r="AP132" s="99"/>
      <c r="AQ132" s="99"/>
      <c r="AR132" s="124"/>
      <c r="AS132" s="224">
        <f t="shared" si="57"/>
        <v>0</v>
      </c>
      <c r="AT132" s="1625">
        <v>36291.1</v>
      </c>
      <c r="AU132" s="1545"/>
      <c r="AV132" s="1546"/>
      <c r="AW132" s="1546"/>
      <c r="AX132" s="1548"/>
      <c r="AY132" s="1548"/>
      <c r="AZ132" s="1548"/>
      <c r="BA132" s="1631">
        <v>7082</v>
      </c>
      <c r="BB132" s="1655"/>
      <c r="BC132" s="1656"/>
      <c r="BD132" s="1656"/>
      <c r="BE132" s="1654"/>
      <c r="BF132" s="1656"/>
      <c r="BG132" s="222">
        <f t="shared" si="58"/>
        <v>0</v>
      </c>
      <c r="BH132" s="140">
        <f t="shared" si="59"/>
        <v>0</v>
      </c>
      <c r="BI132" s="132"/>
      <c r="BJ132" s="140">
        <f t="shared" si="60"/>
        <v>0</v>
      </c>
      <c r="BK132" s="141"/>
      <c r="BL132" s="141"/>
      <c r="BM132" s="141"/>
      <c r="BN132" s="141"/>
      <c r="BO132" s="141"/>
      <c r="BP132" s="130">
        <f t="shared" si="61"/>
        <v>0</v>
      </c>
      <c r="BQ132" s="132"/>
    </row>
    <row r="133" ht="14.25" customHeight="1">
      <c r="A133" s="132"/>
      <c r="B133" s="237">
        <v>46139</v>
      </c>
      <c r="C133" s="136">
        <f>91512.18-0-0</f>
      </c>
      <c r="D133" s="230"/>
      <c r="E133" s="132"/>
      <c r="F133" s="135"/>
      <c r="G133" s="147">
        <f t="shared" si="53"/>
        <v>0</v>
      </c>
      <c r="H133" s="151">
        <v>3178.99</v>
      </c>
      <c r="I133" s="143"/>
      <c r="J133" s="143"/>
      <c r="K133" s="145">
        <v>824.69</v>
      </c>
      <c r="L133" s="143"/>
      <c r="M133" s="143"/>
      <c r="N133" s="143"/>
      <c r="O133" s="143"/>
      <c r="P133" s="143"/>
      <c r="Q133" s="143"/>
      <c r="R133" s="143"/>
      <c r="S133" s="143"/>
      <c r="T133" s="143"/>
      <c r="U133" s="103">
        <f t="shared" si="62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03">
        <f t="shared" si="55"/>
        <v>0</v>
      </c>
      <c r="AK133" s="134">
        <v>33193.77</v>
      </c>
      <c r="AL133" s="134">
        <v>2969.95</v>
      </c>
      <c r="AM133" s="136"/>
      <c r="AN133" s="105">
        <f t="shared" si="56"/>
        <v>0</v>
      </c>
      <c r="AO133" s="121">
        <v>60.57</v>
      </c>
      <c r="AP133" s="99"/>
      <c r="AQ133" s="99"/>
      <c r="AR133" s="124"/>
      <c r="AS133" s="224">
        <f t="shared" si="57"/>
        <v>0</v>
      </c>
      <c r="AT133" s="1636">
        <v>45320.2</v>
      </c>
      <c r="AU133" s="1545"/>
      <c r="AV133" s="1546"/>
      <c r="AW133" s="1546"/>
      <c r="AX133" s="1548"/>
      <c r="AY133" s="1548"/>
      <c r="AZ133" s="1548"/>
      <c r="BA133" s="1636">
        <v>5964.8</v>
      </c>
      <c r="BB133" s="1655"/>
      <c r="BC133" s="1656"/>
      <c r="BD133" s="1656"/>
      <c r="BE133" s="1654"/>
      <c r="BF133" s="1656"/>
      <c r="BG133" s="222">
        <f t="shared" si="58"/>
        <v>0</v>
      </c>
      <c r="BH133" s="140">
        <f t="shared" si="59"/>
        <v>0</v>
      </c>
      <c r="BI133" s="132"/>
      <c r="BJ133" s="140">
        <f t="shared" si="60"/>
        <v>0</v>
      </c>
      <c r="BK133" s="141"/>
      <c r="BL133" s="141"/>
      <c r="BM133" s="141"/>
      <c r="BN133" s="141"/>
      <c r="BO133" s="141"/>
      <c r="BP133" s="130">
        <f t="shared" si="61"/>
        <v>0</v>
      </c>
      <c r="BQ133" s="132"/>
    </row>
    <row r="134" ht="14.25" customHeight="1">
      <c r="A134" s="132"/>
      <c r="B134" s="237">
        <v>46140</v>
      </c>
      <c r="C134" s="136">
        <f>80762.89-0-0</f>
      </c>
      <c r="D134" s="230"/>
      <c r="E134" s="132"/>
      <c r="F134" s="135"/>
      <c r="G134" s="147">
        <f t="shared" si="53"/>
        <v>0</v>
      </c>
      <c r="H134" s="148"/>
      <c r="I134" s="143"/>
      <c r="J134" s="143"/>
      <c r="K134" s="145">
        <v>2122.34</v>
      </c>
      <c r="L134" s="143"/>
      <c r="M134" s="143"/>
      <c r="N134" s="143"/>
      <c r="O134" s="143"/>
      <c r="P134" s="143"/>
      <c r="Q134" s="143"/>
      <c r="R134" s="143">
        <v>2133.09</v>
      </c>
      <c r="S134" s="143"/>
      <c r="T134" s="143"/>
      <c r="U134" s="103">
        <f t="shared" si="62"/>
        <v>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03">
        <f t="shared" si="55"/>
        <v>0</v>
      </c>
      <c r="AK134" s="134">
        <v>28653.31</v>
      </c>
      <c r="AL134" s="134">
        <v>2809.47</v>
      </c>
      <c r="AM134" s="136"/>
      <c r="AN134" s="105">
        <f t="shared" si="56"/>
        <v>0</v>
      </c>
      <c r="AO134" s="121">
        <v>68.27</v>
      </c>
      <c r="AP134" s="99"/>
      <c r="AQ134" s="99"/>
      <c r="AR134" s="124">
        <v>30</v>
      </c>
      <c r="AS134" s="224">
        <f t="shared" si="57"/>
        <v>0</v>
      </c>
      <c r="AT134" s="1636">
        <v>38027.2</v>
      </c>
      <c r="AU134" s="1545"/>
      <c r="AV134" s="1546"/>
      <c r="AW134" s="1546"/>
      <c r="AX134" s="1548"/>
      <c r="AY134" s="1548"/>
      <c r="AZ134" s="1548"/>
      <c r="BA134" s="1636">
        <v>6919.3</v>
      </c>
      <c r="BB134" s="1655"/>
      <c r="BC134" s="1656"/>
      <c r="BD134" s="1656"/>
      <c r="BE134" s="1654"/>
      <c r="BF134" s="1656"/>
      <c r="BG134" s="222">
        <f t="shared" si="58"/>
        <v>0</v>
      </c>
      <c r="BH134" s="140">
        <f t="shared" si="59"/>
        <v>0</v>
      </c>
      <c r="BI134" s="132"/>
      <c r="BJ134" s="140">
        <f t="shared" si="60"/>
        <v>0</v>
      </c>
      <c r="BK134" s="141"/>
      <c r="BL134" s="141"/>
      <c r="BM134" s="150"/>
      <c r="BN134" s="141"/>
      <c r="BO134" s="141"/>
      <c r="BP134" s="130">
        <f t="shared" si="61"/>
        <v>0</v>
      </c>
      <c r="BQ134" s="132"/>
    </row>
    <row r="135" ht="14.25" customHeight="1">
      <c r="A135" s="132"/>
      <c r="B135" s="237">
        <v>46141</v>
      </c>
      <c r="C135" s="136">
        <f>82556.95-0-0</f>
      </c>
      <c r="D135" s="230"/>
      <c r="E135" s="132"/>
      <c r="F135" s="135"/>
      <c r="G135" s="147">
        <f t="shared" si="53"/>
        <v>0</v>
      </c>
      <c r="H135" s="148"/>
      <c r="I135" s="143"/>
      <c r="J135" s="143"/>
      <c r="K135" s="143"/>
      <c r="L135" s="143"/>
      <c r="M135" s="145">
        <v>100.01</v>
      </c>
      <c r="N135" s="145">
        <v>4047.84</v>
      </c>
      <c r="O135" s="143"/>
      <c r="P135" s="143"/>
      <c r="Q135" s="143"/>
      <c r="R135" s="143"/>
      <c r="S135" s="143"/>
      <c r="T135" s="143"/>
      <c r="U135" s="103">
        <f t="shared" si="62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03">
        <f t="shared" si="55"/>
        <v>0</v>
      </c>
      <c r="AK135" s="134">
        <v>23982.58</v>
      </c>
      <c r="AL135" s="134">
        <v>3223.72</v>
      </c>
      <c r="AM135" s="136"/>
      <c r="AN135" s="105">
        <f t="shared" si="56"/>
        <v>0</v>
      </c>
      <c r="AO135" s="121">
        <v>15.67</v>
      </c>
      <c r="AP135" s="99"/>
      <c r="AQ135" s="99"/>
      <c r="AR135" s="124"/>
      <c r="AS135" s="224">
        <f t="shared" si="57"/>
        <v>0</v>
      </c>
      <c r="AT135" s="1626">
        <v>43996</v>
      </c>
      <c r="AU135" s="1545"/>
      <c r="AV135" s="1546"/>
      <c r="AW135" s="1546"/>
      <c r="AX135" s="1548"/>
      <c r="AY135" s="1548"/>
      <c r="AZ135" s="1548"/>
      <c r="BA135" s="1626">
        <v>7190.4</v>
      </c>
      <c r="BB135" s="1655"/>
      <c r="BC135" s="1656"/>
      <c r="BD135" s="1656"/>
      <c r="BE135" s="1654"/>
      <c r="BF135" s="1656"/>
      <c r="BG135" s="222">
        <f t="shared" si="58"/>
        <v>0</v>
      </c>
      <c r="BH135" s="140">
        <f t="shared" si="59"/>
        <v>0</v>
      </c>
      <c r="BI135" s="132"/>
      <c r="BJ135" s="140">
        <f t="shared" si="60"/>
        <v>0</v>
      </c>
      <c r="BK135" s="141"/>
      <c r="BL135" s="141"/>
      <c r="BM135" s="141"/>
      <c r="BN135" s="141"/>
      <c r="BO135" s="141"/>
      <c r="BP135" s="130">
        <f t="shared" si="61"/>
        <v>0</v>
      </c>
      <c r="BQ135" s="132"/>
    </row>
    <row r="136" ht="14.25" customHeight="1">
      <c r="A136" s="132"/>
      <c r="B136" s="237">
        <v>46142</v>
      </c>
      <c r="C136" s="159">
        <f>97816.13-0-0</f>
      </c>
      <c r="D136" s="258"/>
      <c r="E136" s="132"/>
      <c r="F136" s="135"/>
      <c r="G136" s="147">
        <f t="shared" si="53"/>
        <v>0</v>
      </c>
      <c r="H136" s="151">
        <v>983.38</v>
      </c>
      <c r="I136" s="143"/>
      <c r="J136" s="143"/>
      <c r="K136" s="145">
        <v>818.47</v>
      </c>
      <c r="L136" s="143"/>
      <c r="M136" s="145">
        <v>109.25</v>
      </c>
      <c r="N136" s="143"/>
      <c r="O136" s="143"/>
      <c r="P136" s="143"/>
      <c r="Q136" s="143"/>
      <c r="R136" s="143">
        <v>512.8</v>
      </c>
      <c r="S136" s="143"/>
      <c r="T136" s="143"/>
      <c r="U136" s="103">
        <f t="shared" si="62"/>
        <v>0</v>
      </c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03">
        <f t="shared" si="55"/>
        <v>0</v>
      </c>
      <c r="AK136" s="134">
        <v>35994.93</v>
      </c>
      <c r="AL136" s="134">
        <v>3403.28</v>
      </c>
      <c r="AM136" s="136"/>
      <c r="AN136" s="105">
        <f t="shared" si="56"/>
        <v>0</v>
      </c>
      <c r="AO136" s="121">
        <v>94.83</v>
      </c>
      <c r="AP136" s="99"/>
      <c r="AQ136" s="99"/>
      <c r="AR136" s="256">
        <v>4.54</v>
      </c>
      <c r="AS136" s="224">
        <f t="shared" si="57"/>
        <v>0</v>
      </c>
      <c r="AT136" s="1660">
        <v>47548.6</v>
      </c>
      <c r="AU136" s="1556"/>
      <c r="AV136" s="1557"/>
      <c r="AW136" s="1557"/>
      <c r="AX136" s="1548"/>
      <c r="AY136" s="1548"/>
      <c r="AZ136" s="1548"/>
      <c r="BA136" s="1660">
        <v>8346.3</v>
      </c>
      <c r="BB136" s="1655"/>
      <c r="BC136" s="1656"/>
      <c r="BD136" s="1656"/>
      <c r="BE136" s="1654"/>
      <c r="BF136" s="1656"/>
      <c r="BG136" s="222">
        <f t="shared" si="58"/>
        <v>0</v>
      </c>
      <c r="BH136" s="140">
        <f t="shared" si="59"/>
        <v>0</v>
      </c>
      <c r="BI136" s="132"/>
      <c r="BJ136" s="140">
        <f t="shared" si="60"/>
        <v>0</v>
      </c>
      <c r="BK136" s="141"/>
      <c r="BL136" s="141"/>
      <c r="BM136" s="141"/>
      <c r="BN136" s="141"/>
      <c r="BO136" s="141"/>
      <c r="BP136" s="130">
        <f t="shared" si="61"/>
        <v>0</v>
      </c>
      <c r="BQ136" s="132"/>
    </row>
    <row r="137" ht="17.25" customHeight="1">
      <c r="A137" s="3"/>
      <c r="B137" s="260" t="s">
        <v>78</v>
      </c>
      <c r="C137" s="165">
        <f ref="C137:G137" t="shared" si="63">SUM(C107:C136)</f>
        <v>0</v>
      </c>
      <c r="D137" s="165">
        <f t="shared" si="63"/>
        <v>0</v>
      </c>
      <c r="E137" s="166">
        <f t="shared" si="63"/>
        <v>0</v>
      </c>
      <c r="F137" s="166">
        <f t="shared" si="63"/>
        <v>0</v>
      </c>
      <c r="G137" s="166">
        <f t="shared" si="63"/>
        <v>0</v>
      </c>
      <c r="H137" s="166">
        <f>SUMIF(H107:H136,"&gt;0")</f>
        <v>0</v>
      </c>
      <c r="I137" s="166">
        <f ref="I137:V137" t="shared" si="64">SUM(I107:I136)</f>
        <v>0</v>
      </c>
      <c r="J137" s="166">
        <f t="shared" si="64"/>
        <v>0</v>
      </c>
      <c r="K137" s="166">
        <f t="shared" si="64"/>
        <v>0</v>
      </c>
      <c r="L137" s="166">
        <f t="shared" si="64"/>
        <v>0</v>
      </c>
      <c r="M137" s="166">
        <f t="shared" si="64"/>
        <v>0</v>
      </c>
      <c r="N137" s="166">
        <f t="shared" si="64"/>
        <v>0</v>
      </c>
      <c r="O137" s="166">
        <f t="shared" si="64"/>
        <v>0</v>
      </c>
      <c r="P137" s="166">
        <f t="shared" si="64"/>
        <v>0</v>
      </c>
      <c r="Q137" s="166">
        <f t="shared" si="64"/>
        <v>0</v>
      </c>
      <c r="R137" s="166">
        <f t="shared" si="64"/>
        <v>0</v>
      </c>
      <c r="S137" s="166">
        <f t="shared" si="64"/>
        <v>0</v>
      </c>
      <c r="T137" s="166">
        <f t="shared" si="64"/>
        <v>0</v>
      </c>
      <c r="U137" s="166">
        <f t="shared" si="64"/>
        <v>0</v>
      </c>
      <c r="V137" s="166">
        <f t="shared" si="64"/>
        <v>0</v>
      </c>
      <c r="W137" s="166"/>
      <c r="X137" s="166">
        <f ref="X137:AG137" t="shared" si="65">SUM(X107:X136)</f>
        <v>0</v>
      </c>
      <c r="Y137" s="166">
        <f t="shared" si="65"/>
        <v>0</v>
      </c>
      <c r="Z137" s="166">
        <f t="shared" si="65"/>
        <v>0</v>
      </c>
      <c r="AA137" s="166">
        <f t="shared" si="65"/>
        <v>0</v>
      </c>
      <c r="AB137" s="166">
        <f t="shared" si="65"/>
        <v>0</v>
      </c>
      <c r="AC137" s="166">
        <f t="shared" si="65"/>
        <v>0</v>
      </c>
      <c r="AD137" s="166">
        <f t="shared" si="65"/>
        <v>0</v>
      </c>
      <c r="AE137" s="166">
        <f t="shared" si="65"/>
        <v>0</v>
      </c>
      <c r="AF137" s="166">
        <f t="shared" si="65"/>
        <v>0</v>
      </c>
      <c r="AG137" s="166">
        <f t="shared" si="65"/>
        <v>0</v>
      </c>
      <c r="AH137" s="166"/>
      <c r="AI137" s="166">
        <f ref="AI137:AT137" t="shared" si="66">SUM(AI107:AI136)</f>
        <v>0</v>
      </c>
      <c r="AJ137" s="166">
        <f t="shared" si="66"/>
        <v>0</v>
      </c>
      <c r="AK137" s="166">
        <f t="shared" si="66"/>
        <v>0</v>
      </c>
      <c r="AL137" s="166">
        <f t="shared" si="66"/>
        <v>0</v>
      </c>
      <c r="AM137" s="166">
        <f t="shared" si="66"/>
        <v>0</v>
      </c>
      <c r="AN137" s="166">
        <f t="shared" si="66"/>
        <v>0</v>
      </c>
      <c r="AO137" s="166">
        <f t="shared" si="66"/>
        <v>0</v>
      </c>
      <c r="AP137" s="166">
        <f t="shared" si="66"/>
        <v>0</v>
      </c>
      <c r="AQ137" s="166">
        <f t="shared" si="66"/>
        <v>0</v>
      </c>
      <c r="AR137" s="166">
        <f t="shared" si="66"/>
        <v>0</v>
      </c>
      <c r="AS137" s="166">
        <f t="shared" si="66"/>
        <v>0</v>
      </c>
      <c r="AT137" s="165">
        <f t="shared" si="66"/>
        <v>0</v>
      </c>
      <c r="AU137" s="233"/>
      <c r="AV137" s="165">
        <f ref="AV137:BD137" t="shared" si="67">SUM(AV107:AV136)</f>
        <v>0</v>
      </c>
      <c r="AW137" s="165">
        <f t="shared" si="67"/>
        <v>0</v>
      </c>
      <c r="AX137" s="165">
        <f t="shared" si="67"/>
        <v>0</v>
      </c>
      <c r="AY137" s="165">
        <f t="shared" si="67"/>
        <v>0</v>
      </c>
      <c r="AZ137" s="165">
        <f t="shared" si="67"/>
        <v>0</v>
      </c>
      <c r="BA137" s="165">
        <f t="shared" si="67"/>
        <v>0</v>
      </c>
      <c r="BB137" s="166">
        <f t="shared" si="67"/>
        <v>0</v>
      </c>
      <c r="BC137" s="166">
        <f t="shared" si="67"/>
        <v>0</v>
      </c>
      <c r="BD137" s="166">
        <f t="shared" si="67"/>
        <v>0</v>
      </c>
      <c r="BE137" s="261"/>
      <c r="BF137" s="166">
        <f ref="BF137:BH137" t="shared" si="68">SUM(BF107:BF136)</f>
        <v>0</v>
      </c>
      <c r="BG137" s="166">
        <f t="shared" si="68"/>
        <v>0</v>
      </c>
      <c r="BH137" s="166">
        <f t="shared" si="68"/>
        <v>0</v>
      </c>
      <c r="BI137" s="132"/>
      <c r="BJ137" s="166">
        <f ref="BJ137:BP137" t="shared" si="69">SUM(BJ107:BJ136)</f>
        <v>0</v>
      </c>
      <c r="BK137" s="166">
        <f t="shared" si="69"/>
        <v>0</v>
      </c>
      <c r="BL137" s="166">
        <f t="shared" si="69"/>
        <v>0</v>
      </c>
      <c r="BM137" s="166">
        <f t="shared" si="69"/>
        <v>0</v>
      </c>
      <c r="BN137" s="166">
        <f t="shared" si="69"/>
        <v>0</v>
      </c>
      <c r="BO137" s="166">
        <f t="shared" si="69"/>
        <v>0</v>
      </c>
      <c r="BP137" s="166">
        <f t="shared" si="69"/>
        <v>0</v>
      </c>
      <c r="BQ137" s="132"/>
    </row>
    <row r="138" ht="14.25" customHeight="1">
      <c r="A138" s="1"/>
      <c r="B138" s="262" t="s">
        <v>11</v>
      </c>
      <c r="C138" s="3"/>
      <c r="D138" s="3"/>
      <c r="E138" s="3"/>
      <c r="F138" s="3"/>
      <c r="G138" s="4"/>
      <c r="H138" s="263">
        <f ref="H138:R138" t="shared" si="70">SUMIF(H108:H137,"&lt;0")</f>
        <v>0</v>
      </c>
      <c r="I138" s="263">
        <f t="shared" si="70"/>
        <v>0</v>
      </c>
      <c r="J138" s="263">
        <f t="shared" si="70"/>
        <v>0</v>
      </c>
      <c r="K138" s="263">
        <f t="shared" si="70"/>
        <v>0</v>
      </c>
      <c r="L138" s="263">
        <f t="shared" si="70"/>
        <v>0</v>
      </c>
      <c r="M138" s="263">
        <f t="shared" si="70"/>
        <v>0</v>
      </c>
      <c r="N138" s="263">
        <f t="shared" si="70"/>
        <v>0</v>
      </c>
      <c r="O138" s="263">
        <f t="shared" si="70"/>
        <v>0</v>
      </c>
      <c r="P138" s="263">
        <f t="shared" si="70"/>
        <v>0</v>
      </c>
      <c r="Q138" s="263">
        <f t="shared" si="70"/>
        <v>0</v>
      </c>
      <c r="R138" s="263">
        <f t="shared" si="70"/>
        <v>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96"/>
      <c r="AK138" s="3"/>
      <c r="AL138" s="3"/>
      <c r="AM138" s="3"/>
      <c r="AN138" s="4"/>
      <c r="AO138" s="3"/>
      <c r="AP138" s="3"/>
      <c r="AQ138" s="3"/>
      <c r="AR138" s="3"/>
      <c r="AS138" s="3"/>
      <c r="AT138" s="3"/>
      <c r="AU138" s="5"/>
      <c r="AV138" s="3"/>
      <c r="AW138" s="3"/>
      <c r="AX138" s="3"/>
      <c r="AY138" s="3"/>
      <c r="AZ138" s="3"/>
      <c r="BA138" s="123"/>
      <c r="BB138" s="3"/>
      <c r="BC138" s="3"/>
      <c r="BD138" s="3"/>
      <c r="BE138" s="6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132"/>
    </row>
    <row r="139" ht="14.25" customHeight="1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176"/>
      <c r="AK139" s="3"/>
      <c r="AL139" s="3"/>
      <c r="AM139" s="3"/>
      <c r="AN139" s="4"/>
      <c r="AO139" s="3"/>
      <c r="AP139" s="3"/>
      <c r="AQ139" s="3"/>
      <c r="AR139" s="3"/>
      <c r="AS139" s="3"/>
      <c r="AT139" s="3"/>
      <c r="AU139" s="5"/>
      <c r="AV139" s="3"/>
      <c r="AW139" s="5"/>
      <c r="AX139" s="3"/>
      <c r="AY139" s="3"/>
      <c r="AZ139" s="3"/>
      <c r="BA139" s="123"/>
      <c r="BB139" s="3"/>
      <c r="BC139" s="3"/>
      <c r="BD139" s="3"/>
      <c r="BE139" s="6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ht="14.25" customHeight="1">
      <c r="A140" s="132"/>
      <c r="B140" s="264">
        <v>46143</v>
      </c>
      <c r="C140" s="180"/>
      <c r="D140" s="181"/>
      <c r="E140" s="182"/>
      <c r="F140" s="182"/>
      <c r="G140" s="265">
        <f ref="G140:G170" t="shared" si="71">+C140+D140+E140+F140</f>
        <v>0</v>
      </c>
      <c r="H140" s="217"/>
      <c r="I140" s="186"/>
      <c r="J140" s="186"/>
      <c r="K140" s="188"/>
      <c r="L140" s="186"/>
      <c r="M140" s="186"/>
      <c r="N140" s="186"/>
      <c r="O140" s="186"/>
      <c r="P140" s="186"/>
      <c r="Q140" s="186"/>
      <c r="R140" s="186"/>
      <c r="S140" s="186"/>
      <c r="T140" s="186"/>
      <c r="U140" s="103">
        <f ref="U140:U142" t="shared" si="72">SUM(I140:T140)</f>
        <v>0</v>
      </c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03">
        <f ref="AJ140:AJ170" t="shared" si="73">SUM(V140:AI140)</f>
        <v>0</v>
      </c>
      <c r="AK140" s="181"/>
      <c r="AL140" s="181"/>
      <c r="AM140" s="190"/>
      <c r="AN140" s="191">
        <f ref="AN140:AN170" t="shared" si="74">SUM(AK140:AM140)</f>
        <v>0</v>
      </c>
      <c r="AO140" s="188"/>
      <c r="AP140" s="186"/>
      <c r="AQ140" s="186"/>
      <c r="AR140" s="193"/>
      <c r="AS140" s="266">
        <f ref="AS140:AS170" t="shared" si="75">+G140-U140-AJ140-AN140-AO140-AP140-AQ140-AR140</f>
        <v>0</v>
      </c>
      <c r="AT140" s="267"/>
      <c r="AU140" s="268"/>
      <c r="AV140" s="269"/>
      <c r="AW140" s="109"/>
      <c r="AX140" s="109"/>
      <c r="AY140" s="109"/>
      <c r="AZ140" s="270"/>
      <c r="BA140" s="271"/>
      <c r="BB140" s="269"/>
      <c r="BC140" s="109"/>
      <c r="BD140" s="109"/>
      <c r="BE140" s="111"/>
      <c r="BF140" s="109"/>
      <c r="BG140" s="272">
        <f ref="BG140:BG170" t="shared" si="76">SUM(AT140:BF140)-BD140</f>
        <v>0</v>
      </c>
      <c r="BH140" s="195">
        <f ref="BH140:BH170" t="shared" si="77">+AS140-BG140</f>
        <v>0</v>
      </c>
      <c r="BI140" s="132"/>
      <c r="BJ140" s="195">
        <f ref="BJ140:BJ170" t="shared" si="78">SUM(BK140:BO140)</f>
        <v>0</v>
      </c>
      <c r="BK140" s="196"/>
      <c r="BL140" s="196"/>
      <c r="BM140" s="196"/>
      <c r="BN140" s="196"/>
      <c r="BO140" s="196"/>
      <c r="BP140" s="116">
        <f ref="BP140:BP170" t="shared" si="79">+BH140-BJ140</f>
        <v>0</v>
      </c>
      <c r="BQ140" s="132"/>
    </row>
    <row r="141" ht="14.25" customHeight="1">
      <c r="A141" s="132"/>
      <c r="B141" s="264">
        <v>46144</v>
      </c>
      <c r="C141" s="133"/>
      <c r="D141" s="134"/>
      <c r="E141" s="135"/>
      <c r="F141" s="135"/>
      <c r="G141" s="147">
        <f t="shared" si="71"/>
        <v>0</v>
      </c>
      <c r="H141" s="148"/>
      <c r="I141" s="143"/>
      <c r="J141" s="143"/>
      <c r="K141" s="145"/>
      <c r="L141" s="143"/>
      <c r="M141" s="143"/>
      <c r="N141" s="143"/>
      <c r="O141" s="143"/>
      <c r="P141" s="143"/>
      <c r="Q141" s="143"/>
      <c r="R141" s="145"/>
      <c r="S141" s="143"/>
      <c r="T141" s="143"/>
      <c r="U141" s="103">
        <f t="shared" si="72"/>
        <v>0</v>
      </c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03">
        <f t="shared" si="73"/>
        <v>0</v>
      </c>
      <c r="AK141" s="134"/>
      <c r="AL141" s="134"/>
      <c r="AM141" s="136"/>
      <c r="AN141" s="105">
        <f t="shared" si="74"/>
        <v>0</v>
      </c>
      <c r="AO141" s="145"/>
      <c r="AP141" s="143"/>
      <c r="AQ141" s="143"/>
      <c r="AR141" s="146"/>
      <c r="AS141" s="224">
        <f t="shared" si="75"/>
        <v>0</v>
      </c>
      <c r="AT141" s="229"/>
      <c r="AU141" s="273"/>
      <c r="AV141" s="274"/>
      <c r="AW141" s="126"/>
      <c r="AX141" s="126"/>
      <c r="AY141" s="126"/>
      <c r="AZ141" s="275"/>
      <c r="BA141" s="229"/>
      <c r="BB141" s="274"/>
      <c r="BC141" s="126"/>
      <c r="BD141" s="126"/>
      <c r="BE141" s="128"/>
      <c r="BF141" s="126"/>
      <c r="BG141" s="222">
        <f t="shared" si="76"/>
        <v>0</v>
      </c>
      <c r="BH141" s="140">
        <f t="shared" si="77"/>
        <v>0</v>
      </c>
      <c r="BI141" s="132"/>
      <c r="BJ141" s="140">
        <f t="shared" si="78"/>
        <v>0</v>
      </c>
      <c r="BK141" s="141"/>
      <c r="BL141" s="141"/>
      <c r="BM141" s="141"/>
      <c r="BN141" s="141"/>
      <c r="BO141" s="141"/>
      <c r="BP141" s="130">
        <f t="shared" si="79"/>
        <v>0</v>
      </c>
      <c r="BQ141" s="132"/>
    </row>
    <row r="142" ht="14.25" customHeight="1">
      <c r="A142" s="132"/>
      <c r="B142" s="264">
        <v>46145</v>
      </c>
      <c r="C142" s="133"/>
      <c r="D142" s="134"/>
      <c r="E142" s="135"/>
      <c r="F142" s="135"/>
      <c r="G142" s="147">
        <f t="shared" si="71"/>
        <v>0</v>
      </c>
      <c r="H142" s="151"/>
      <c r="I142" s="143"/>
      <c r="J142" s="143"/>
      <c r="K142" s="143"/>
      <c r="L142" s="143"/>
      <c r="M142" s="145"/>
      <c r="N142" s="143"/>
      <c r="O142" s="143"/>
      <c r="P142" s="143"/>
      <c r="Q142" s="143"/>
      <c r="R142" s="145"/>
      <c r="S142" s="143"/>
      <c r="T142" s="143"/>
      <c r="U142" s="103">
        <f t="shared" si="72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03">
        <f t="shared" si="73"/>
        <v>0</v>
      </c>
      <c r="AK142" s="134"/>
      <c r="AL142" s="134"/>
      <c r="AM142" s="136"/>
      <c r="AN142" s="105">
        <f t="shared" si="74"/>
        <v>0</v>
      </c>
      <c r="AO142" s="145"/>
      <c r="AP142" s="143"/>
      <c r="AQ142" s="143"/>
      <c r="AR142" s="146"/>
      <c r="AS142" s="224">
        <f t="shared" si="75"/>
        <v>0</v>
      </c>
      <c r="AT142" s="229"/>
      <c r="AU142" s="273"/>
      <c r="AV142" s="274"/>
      <c r="AW142" s="126"/>
      <c r="AX142" s="126"/>
      <c r="AY142" s="126"/>
      <c r="AZ142" s="275"/>
      <c r="BA142" s="229"/>
      <c r="BB142" s="274"/>
      <c r="BC142" s="126"/>
      <c r="BD142" s="126"/>
      <c r="BE142" s="128"/>
      <c r="BF142" s="126"/>
      <c r="BG142" s="222">
        <f t="shared" si="76"/>
        <v>0</v>
      </c>
      <c r="BH142" s="140">
        <f t="shared" si="77"/>
        <v>0</v>
      </c>
      <c r="BI142" s="132"/>
      <c r="BJ142" s="140">
        <f t="shared" si="78"/>
        <v>0</v>
      </c>
      <c r="BK142" s="141"/>
      <c r="BL142" s="141"/>
      <c r="BM142" s="141"/>
      <c r="BN142" s="141"/>
      <c r="BO142" s="141"/>
      <c r="BP142" s="130">
        <f t="shared" si="79"/>
        <v>0</v>
      </c>
      <c r="BQ142" s="132"/>
    </row>
    <row r="143" ht="14.25" customHeight="1">
      <c r="A143" s="132"/>
      <c r="B143" s="264">
        <v>46146</v>
      </c>
      <c r="C143" s="133"/>
      <c r="D143" s="134"/>
      <c r="E143" s="135"/>
      <c r="F143" s="135"/>
      <c r="G143" s="147">
        <f t="shared" si="71"/>
        <v>0</v>
      </c>
      <c r="H143" s="151"/>
      <c r="I143" s="143"/>
      <c r="J143" s="143"/>
      <c r="K143" s="145"/>
      <c r="L143" s="143"/>
      <c r="M143" s="143"/>
      <c r="N143" s="145"/>
      <c r="O143" s="143"/>
      <c r="P143" s="143"/>
      <c r="Q143" s="143"/>
      <c r="R143" s="145"/>
      <c r="S143" s="143"/>
      <c r="T143" s="143"/>
      <c r="U143" s="103">
        <f ref="U143:U170" t="shared" si="80">SUM(H143:T143)</f>
        <v>0</v>
      </c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03">
        <f t="shared" si="73"/>
        <v>0</v>
      </c>
      <c r="AK143" s="134"/>
      <c r="AL143" s="134"/>
      <c r="AM143" s="136"/>
      <c r="AN143" s="105">
        <f t="shared" si="74"/>
        <v>0</v>
      </c>
      <c r="AO143" s="145"/>
      <c r="AP143" s="143"/>
      <c r="AQ143" s="143"/>
      <c r="AR143" s="146"/>
      <c r="AS143" s="224">
        <f t="shared" si="75"/>
        <v>0</v>
      </c>
      <c r="AT143" s="229"/>
      <c r="AU143" s="273"/>
      <c r="AV143" s="274"/>
      <c r="AW143" s="126"/>
      <c r="AX143" s="126"/>
      <c r="AY143" s="126"/>
      <c r="AZ143" s="275"/>
      <c r="BA143" s="229"/>
      <c r="BB143" s="274"/>
      <c r="BC143" s="126"/>
      <c r="BD143" s="126"/>
      <c r="BE143" s="128"/>
      <c r="BF143" s="126"/>
      <c r="BG143" s="222">
        <f t="shared" si="76"/>
        <v>0</v>
      </c>
      <c r="BH143" s="140">
        <f t="shared" si="77"/>
        <v>0</v>
      </c>
      <c r="BI143" s="132"/>
      <c r="BJ143" s="140">
        <f t="shared" si="78"/>
        <v>0</v>
      </c>
      <c r="BK143" s="141"/>
      <c r="BL143" s="141"/>
      <c r="BM143" s="141"/>
      <c r="BN143" s="141"/>
      <c r="BO143" s="141"/>
      <c r="BP143" s="130">
        <f t="shared" si="79"/>
        <v>0</v>
      </c>
      <c r="BQ143" s="132"/>
    </row>
    <row r="144" ht="14.25" customHeight="1">
      <c r="A144" s="132"/>
      <c r="B144" s="264">
        <v>46147</v>
      </c>
      <c r="C144" s="133"/>
      <c r="D144" s="134"/>
      <c r="E144" s="135"/>
      <c r="F144" s="135"/>
      <c r="G144" s="147">
        <f t="shared" si="71"/>
        <v>0</v>
      </c>
      <c r="H144" s="148"/>
      <c r="I144" s="143"/>
      <c r="J144" s="143"/>
      <c r="K144" s="143"/>
      <c r="L144" s="143"/>
      <c r="M144" s="145"/>
      <c r="N144" s="145"/>
      <c r="O144" s="143"/>
      <c r="P144" s="143"/>
      <c r="Q144" s="143"/>
      <c r="R144" s="145"/>
      <c r="S144" s="143"/>
      <c r="T144" s="143"/>
      <c r="U144" s="103">
        <f t="shared" si="80"/>
        <v>0</v>
      </c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03">
        <f t="shared" si="73"/>
        <v>0</v>
      </c>
      <c r="AK144" s="134"/>
      <c r="AL144" s="134"/>
      <c r="AM144" s="136"/>
      <c r="AN144" s="105">
        <f t="shared" si="74"/>
        <v>0</v>
      </c>
      <c r="AO144" s="145"/>
      <c r="AP144" s="143"/>
      <c r="AQ144" s="143"/>
      <c r="AR144" s="146"/>
      <c r="AS144" s="224">
        <f t="shared" si="75"/>
        <v>0</v>
      </c>
      <c r="AT144" s="229"/>
      <c r="AU144" s="273"/>
      <c r="AV144" s="274"/>
      <c r="AW144" s="126"/>
      <c r="AX144" s="126"/>
      <c r="AY144" s="126"/>
      <c r="AZ144" s="275"/>
      <c r="BA144" s="229"/>
      <c r="BB144" s="274"/>
      <c r="BC144" s="126"/>
      <c r="BD144" s="126"/>
      <c r="BE144" s="128"/>
      <c r="BF144" s="126"/>
      <c r="BG144" s="222">
        <f t="shared" si="76"/>
        <v>0</v>
      </c>
      <c r="BH144" s="140">
        <f t="shared" si="77"/>
        <v>0</v>
      </c>
      <c r="BI144" s="132"/>
      <c r="BJ144" s="140">
        <f t="shared" si="78"/>
        <v>0</v>
      </c>
      <c r="BK144" s="141"/>
      <c r="BL144" s="141"/>
      <c r="BM144" s="141"/>
      <c r="BN144" s="141"/>
      <c r="BO144" s="141"/>
      <c r="BP144" s="130">
        <f t="shared" si="79"/>
        <v>0</v>
      </c>
      <c r="BQ144" s="132"/>
    </row>
    <row r="145" ht="14.25" customHeight="1">
      <c r="A145" s="132"/>
      <c r="B145" s="264">
        <v>46148</v>
      </c>
      <c r="C145" s="133"/>
      <c r="D145" s="134"/>
      <c r="E145" s="135"/>
      <c r="F145" s="135"/>
      <c r="G145" s="147">
        <f t="shared" si="71"/>
        <v>0</v>
      </c>
      <c r="H145" s="151"/>
      <c r="I145" s="143"/>
      <c r="J145" s="143"/>
      <c r="K145" s="145"/>
      <c r="L145" s="143"/>
      <c r="M145" s="143"/>
      <c r="N145" s="143"/>
      <c r="O145" s="143"/>
      <c r="P145" s="143"/>
      <c r="Q145" s="143"/>
      <c r="R145" s="145"/>
      <c r="S145" s="143"/>
      <c r="T145" s="143"/>
      <c r="U145" s="103">
        <f t="shared" si="80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03">
        <f t="shared" si="73"/>
        <v>0</v>
      </c>
      <c r="AK145" s="134"/>
      <c r="AL145" s="134"/>
      <c r="AM145" s="136"/>
      <c r="AN145" s="105">
        <f t="shared" si="74"/>
        <v>0</v>
      </c>
      <c r="AO145" s="145"/>
      <c r="AP145" s="143"/>
      <c r="AQ145" s="143"/>
      <c r="AR145" s="146"/>
      <c r="AS145" s="224">
        <f t="shared" si="75"/>
        <v>0</v>
      </c>
      <c r="AT145" s="229"/>
      <c r="AU145" s="273"/>
      <c r="AV145" s="274"/>
      <c r="AW145" s="126"/>
      <c r="AX145" s="126"/>
      <c r="AY145" s="126"/>
      <c r="AZ145" s="275"/>
      <c r="BA145" s="229"/>
      <c r="BB145" s="274"/>
      <c r="BC145" s="126"/>
      <c r="BD145" s="126"/>
      <c r="BE145" s="128"/>
      <c r="BF145" s="126"/>
      <c r="BG145" s="222">
        <f t="shared" si="76"/>
        <v>0</v>
      </c>
      <c r="BH145" s="140">
        <f t="shared" si="77"/>
        <v>0</v>
      </c>
      <c r="BI145" s="132"/>
      <c r="BJ145" s="140">
        <f t="shared" si="78"/>
        <v>0</v>
      </c>
      <c r="BK145" s="141"/>
      <c r="BL145" s="141"/>
      <c r="BM145" s="141"/>
      <c r="BN145" s="141"/>
      <c r="BO145" s="141"/>
      <c r="BP145" s="130">
        <f t="shared" si="79"/>
        <v>0</v>
      </c>
      <c r="BQ145" s="132"/>
    </row>
    <row r="146" ht="14.25" customHeight="1">
      <c r="A146" s="132"/>
      <c r="B146" s="264">
        <v>46149</v>
      </c>
      <c r="C146" s="133"/>
      <c r="D146" s="132"/>
      <c r="E146" s="135"/>
      <c r="F146" s="135"/>
      <c r="G146" s="147">
        <f t="shared" si="71"/>
        <v>0</v>
      </c>
      <c r="H146" s="148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80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03">
        <f t="shared" si="73"/>
        <v>0</v>
      </c>
      <c r="AK146" s="136"/>
      <c r="AL146" s="136"/>
      <c r="AM146" s="136"/>
      <c r="AN146" s="105">
        <f t="shared" si="74"/>
        <v>0</v>
      </c>
      <c r="AO146" s="143"/>
      <c r="AP146" s="143"/>
      <c r="AQ146" s="143"/>
      <c r="AR146" s="146"/>
      <c r="AS146" s="224">
        <f t="shared" si="75"/>
        <v>0</v>
      </c>
      <c r="AT146" s="126"/>
      <c r="AU146" s="273"/>
      <c r="AV146" s="274"/>
      <c r="AW146" s="126"/>
      <c r="AX146" s="126"/>
      <c r="AY146" s="126"/>
      <c r="AZ146" s="275"/>
      <c r="BA146" s="126"/>
      <c r="BB146" s="274"/>
      <c r="BC146" s="126"/>
      <c r="BD146" s="126"/>
      <c r="BE146" s="128"/>
      <c r="BF146" s="126"/>
      <c r="BG146" s="222">
        <f t="shared" si="76"/>
        <v>0</v>
      </c>
      <c r="BH146" s="140">
        <f t="shared" si="77"/>
        <v>0</v>
      </c>
      <c r="BI146" s="132"/>
      <c r="BJ146" s="140">
        <f t="shared" si="78"/>
        <v>0</v>
      </c>
      <c r="BK146" s="141"/>
      <c r="BL146" s="141"/>
      <c r="BM146" s="141"/>
      <c r="BN146" s="141"/>
      <c r="BO146" s="141"/>
      <c r="BP146" s="130">
        <f t="shared" si="79"/>
        <v>0</v>
      </c>
      <c r="BQ146" s="132"/>
    </row>
    <row r="147" ht="14.25" customHeight="1">
      <c r="A147" s="132"/>
      <c r="B147" s="264">
        <v>46150</v>
      </c>
      <c r="C147" s="133"/>
      <c r="D147" s="136"/>
      <c r="E147" s="135"/>
      <c r="F147" s="135"/>
      <c r="G147" s="147">
        <f t="shared" si="71"/>
        <v>0</v>
      </c>
      <c r="H147" s="148"/>
      <c r="I147" s="143"/>
      <c r="J147" s="143"/>
      <c r="K147" s="143"/>
      <c r="L147" s="143"/>
      <c r="M147" s="143"/>
      <c r="N147" s="143"/>
      <c r="O147" s="143"/>
      <c r="P147" s="143"/>
      <c r="Q147" s="99"/>
      <c r="R147" s="143"/>
      <c r="S147" s="143"/>
      <c r="T147" s="143"/>
      <c r="U147" s="103">
        <f t="shared" si="80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03">
        <f t="shared" si="73"/>
        <v>0</v>
      </c>
      <c r="AK147" s="136"/>
      <c r="AL147" s="136"/>
      <c r="AM147" s="136"/>
      <c r="AN147" s="105">
        <f t="shared" si="74"/>
        <v>0</v>
      </c>
      <c r="AO147" s="143"/>
      <c r="AP147" s="143"/>
      <c r="AQ147" s="143"/>
      <c r="AR147" s="146"/>
      <c r="AS147" s="224">
        <f t="shared" si="75"/>
        <v>0</v>
      </c>
      <c r="AT147" s="126"/>
      <c r="AU147" s="273"/>
      <c r="AV147" s="274"/>
      <c r="AW147" s="126"/>
      <c r="AX147" s="126"/>
      <c r="AY147" s="126"/>
      <c r="AZ147" s="275"/>
      <c r="BA147" s="126"/>
      <c r="BB147" s="274"/>
      <c r="BC147" s="126"/>
      <c r="BD147" s="126"/>
      <c r="BE147" s="128"/>
      <c r="BF147" s="126"/>
      <c r="BG147" s="222">
        <f t="shared" si="76"/>
        <v>0</v>
      </c>
      <c r="BH147" s="140">
        <f t="shared" si="77"/>
        <v>0</v>
      </c>
      <c r="BI147" s="132"/>
      <c r="BJ147" s="140">
        <f t="shared" si="78"/>
        <v>0</v>
      </c>
      <c r="BK147" s="141"/>
      <c r="BL147" s="141"/>
      <c r="BM147" s="141"/>
      <c r="BN147" s="141"/>
      <c r="BO147" s="141"/>
      <c r="BP147" s="130">
        <f t="shared" si="79"/>
        <v>0</v>
      </c>
      <c r="BQ147" s="132"/>
    </row>
    <row r="148" ht="14.25" customHeight="1">
      <c r="A148" s="132"/>
      <c r="B148" s="264">
        <v>46151</v>
      </c>
      <c r="C148" s="133"/>
      <c r="D148" s="136"/>
      <c r="E148" s="135"/>
      <c r="F148" s="135"/>
      <c r="G148" s="147">
        <f t="shared" si="71"/>
        <v>0</v>
      </c>
      <c r="H148" s="148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80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03">
        <f t="shared" si="73"/>
        <v>0</v>
      </c>
      <c r="AK148" s="136"/>
      <c r="AL148" s="136"/>
      <c r="AM148" s="136"/>
      <c r="AN148" s="105">
        <f t="shared" si="74"/>
        <v>0</v>
      </c>
      <c r="AO148" s="143"/>
      <c r="AP148" s="143"/>
      <c r="AQ148" s="143"/>
      <c r="AR148" s="146"/>
      <c r="AS148" s="224">
        <f t="shared" si="75"/>
        <v>0</v>
      </c>
      <c r="AT148" s="126"/>
      <c r="AU148" s="273"/>
      <c r="AV148" s="274"/>
      <c r="AW148" s="126"/>
      <c r="AX148" s="126"/>
      <c r="AY148" s="126"/>
      <c r="AZ148" s="275"/>
      <c r="BA148" s="126"/>
      <c r="BB148" s="274"/>
      <c r="BC148" s="126"/>
      <c r="BD148" s="126"/>
      <c r="BE148" s="128"/>
      <c r="BF148" s="126"/>
      <c r="BG148" s="222">
        <f t="shared" si="76"/>
        <v>0</v>
      </c>
      <c r="BH148" s="140">
        <f t="shared" si="77"/>
        <v>0</v>
      </c>
      <c r="BI148" s="132"/>
      <c r="BJ148" s="140">
        <f t="shared" si="78"/>
        <v>0</v>
      </c>
      <c r="BK148" s="141"/>
      <c r="BL148" s="141"/>
      <c r="BM148" s="141"/>
      <c r="BN148" s="141"/>
      <c r="BO148" s="141"/>
      <c r="BP148" s="130">
        <f t="shared" si="79"/>
        <v>0</v>
      </c>
      <c r="BQ148" s="132"/>
    </row>
    <row r="149" ht="14.25" customHeight="1">
      <c r="A149" s="132"/>
      <c r="B149" s="264">
        <v>46152</v>
      </c>
      <c r="C149" s="133"/>
      <c r="D149" s="136"/>
      <c r="E149" s="135"/>
      <c r="F149" s="135"/>
      <c r="G149" s="147">
        <f t="shared" si="71"/>
        <v>0</v>
      </c>
      <c r="H149" s="148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80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03">
        <f t="shared" si="73"/>
        <v>0</v>
      </c>
      <c r="AK149" s="136"/>
      <c r="AL149" s="136"/>
      <c r="AM149" s="136"/>
      <c r="AN149" s="105">
        <f t="shared" si="74"/>
        <v>0</v>
      </c>
      <c r="AO149" s="143"/>
      <c r="AP149" s="143"/>
      <c r="AQ149" s="143"/>
      <c r="AR149" s="146"/>
      <c r="AS149" s="224">
        <f t="shared" si="75"/>
        <v>0</v>
      </c>
      <c r="AT149" s="126"/>
      <c r="AU149" s="273"/>
      <c r="AV149" s="274"/>
      <c r="AW149" s="126"/>
      <c r="AX149" s="126"/>
      <c r="AY149" s="126"/>
      <c r="AZ149" s="275"/>
      <c r="BA149" s="126"/>
      <c r="BB149" s="274"/>
      <c r="BC149" s="126"/>
      <c r="BD149" s="126"/>
      <c r="BE149" s="128"/>
      <c r="BF149" s="126"/>
      <c r="BG149" s="222">
        <f t="shared" si="76"/>
        <v>0</v>
      </c>
      <c r="BH149" s="140">
        <f t="shared" si="77"/>
        <v>0</v>
      </c>
      <c r="BI149" s="132"/>
      <c r="BJ149" s="140">
        <f t="shared" si="78"/>
        <v>0</v>
      </c>
      <c r="BK149" s="141"/>
      <c r="BL149" s="141"/>
      <c r="BM149" s="141"/>
      <c r="BN149" s="141"/>
      <c r="BO149" s="141"/>
      <c r="BP149" s="130">
        <f t="shared" si="79"/>
        <v>0</v>
      </c>
      <c r="BQ149" s="132"/>
    </row>
    <row r="150" ht="14.25" customHeight="1">
      <c r="A150" s="132"/>
      <c r="B150" s="264">
        <v>46153</v>
      </c>
      <c r="C150" s="133"/>
      <c r="D150" s="136"/>
      <c r="E150" s="135"/>
      <c r="F150" s="135"/>
      <c r="G150" s="147">
        <f t="shared" si="71"/>
        <v>0</v>
      </c>
      <c r="H150" s="148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80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03">
        <f t="shared" si="73"/>
        <v>0</v>
      </c>
      <c r="AK150" s="136"/>
      <c r="AL150" s="136"/>
      <c r="AM150" s="136"/>
      <c r="AN150" s="105">
        <f t="shared" si="74"/>
        <v>0</v>
      </c>
      <c r="AO150" s="143"/>
      <c r="AP150" s="143"/>
      <c r="AQ150" s="143"/>
      <c r="AR150" s="146"/>
      <c r="AS150" s="224">
        <f t="shared" si="75"/>
        <v>0</v>
      </c>
      <c r="AT150" s="126"/>
      <c r="AU150" s="273"/>
      <c r="AV150" s="274"/>
      <c r="AW150" s="126"/>
      <c r="AX150" s="126"/>
      <c r="AY150" s="126"/>
      <c r="AZ150" s="275"/>
      <c r="BA150" s="126"/>
      <c r="BB150" s="274"/>
      <c r="BC150" s="126"/>
      <c r="BD150" s="126"/>
      <c r="BE150" s="128"/>
      <c r="BF150" s="126"/>
      <c r="BG150" s="222">
        <f t="shared" si="76"/>
        <v>0</v>
      </c>
      <c r="BH150" s="140">
        <f t="shared" si="77"/>
        <v>0</v>
      </c>
      <c r="BI150" s="132"/>
      <c r="BJ150" s="140">
        <f t="shared" si="78"/>
        <v>0</v>
      </c>
      <c r="BK150" s="141"/>
      <c r="BL150" s="141"/>
      <c r="BM150" s="141"/>
      <c r="BN150" s="141"/>
      <c r="BO150" s="141"/>
      <c r="BP150" s="130">
        <f t="shared" si="79"/>
        <v>0</v>
      </c>
      <c r="BQ150" s="132"/>
    </row>
    <row r="151" ht="14.25" customHeight="1">
      <c r="A151" s="132"/>
      <c r="B151" s="264">
        <v>46154</v>
      </c>
      <c r="C151" s="133"/>
      <c r="D151" s="136"/>
      <c r="E151" s="135"/>
      <c r="F151" s="135"/>
      <c r="G151" s="147">
        <f t="shared" si="71"/>
        <v>0</v>
      </c>
      <c r="H151" s="148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80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03">
        <f t="shared" si="73"/>
        <v>0</v>
      </c>
      <c r="AK151" s="136"/>
      <c r="AL151" s="136"/>
      <c r="AM151" s="136"/>
      <c r="AN151" s="105">
        <f t="shared" si="74"/>
        <v>0</v>
      </c>
      <c r="AO151" s="143"/>
      <c r="AP151" s="143"/>
      <c r="AQ151" s="143"/>
      <c r="AR151" s="146"/>
      <c r="AS151" s="224">
        <f t="shared" si="75"/>
        <v>0</v>
      </c>
      <c r="AT151" s="126"/>
      <c r="AU151" s="273"/>
      <c r="AV151" s="274"/>
      <c r="AW151" s="126"/>
      <c r="AX151" s="126"/>
      <c r="AY151" s="126"/>
      <c r="AZ151" s="275"/>
      <c r="BA151" s="126"/>
      <c r="BB151" s="274"/>
      <c r="BC151" s="126"/>
      <c r="BD151" s="126"/>
      <c r="BE151" s="128"/>
      <c r="BF151" s="126"/>
      <c r="BG151" s="222">
        <f t="shared" si="76"/>
        <v>0</v>
      </c>
      <c r="BH151" s="140">
        <f t="shared" si="77"/>
        <v>0</v>
      </c>
      <c r="BI151" s="132"/>
      <c r="BJ151" s="140">
        <f t="shared" si="78"/>
        <v>0</v>
      </c>
      <c r="BK151" s="141"/>
      <c r="BL151" s="141"/>
      <c r="BM151" s="141"/>
      <c r="BN151" s="141"/>
      <c r="BO151" s="141"/>
      <c r="BP151" s="130">
        <f t="shared" si="79"/>
        <v>0</v>
      </c>
      <c r="BQ151" s="132"/>
    </row>
    <row r="152" ht="14.25" customHeight="1">
      <c r="A152" s="132"/>
      <c r="B152" s="264">
        <v>46155</v>
      </c>
      <c r="C152" s="133"/>
      <c r="D152" s="136"/>
      <c r="E152" s="135"/>
      <c r="F152" s="135"/>
      <c r="G152" s="147">
        <f t="shared" si="71"/>
        <v>0</v>
      </c>
      <c r="H152" s="148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80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03">
        <f t="shared" si="73"/>
        <v>0</v>
      </c>
      <c r="AK152" s="136"/>
      <c r="AL152" s="136"/>
      <c r="AM152" s="136"/>
      <c r="AN152" s="105">
        <f t="shared" si="74"/>
        <v>0</v>
      </c>
      <c r="AO152" s="143"/>
      <c r="AP152" s="143"/>
      <c r="AQ152" s="143"/>
      <c r="AR152" s="146"/>
      <c r="AS152" s="224">
        <f t="shared" si="75"/>
        <v>0</v>
      </c>
      <c r="AT152" s="126"/>
      <c r="AU152" s="273"/>
      <c r="AV152" s="274"/>
      <c r="AW152" s="126"/>
      <c r="AX152" s="126"/>
      <c r="AY152" s="126"/>
      <c r="AZ152" s="275"/>
      <c r="BA152" s="126"/>
      <c r="BB152" s="274"/>
      <c r="BC152" s="126"/>
      <c r="BD152" s="126"/>
      <c r="BE152" s="128"/>
      <c r="BF152" s="126"/>
      <c r="BG152" s="222">
        <f t="shared" si="76"/>
        <v>0</v>
      </c>
      <c r="BH152" s="140">
        <f t="shared" si="77"/>
        <v>0</v>
      </c>
      <c r="BI152" s="132"/>
      <c r="BJ152" s="140">
        <f t="shared" si="78"/>
        <v>0</v>
      </c>
      <c r="BK152" s="141"/>
      <c r="BL152" s="141"/>
      <c r="BM152" s="141"/>
      <c r="BN152" s="141"/>
      <c r="BO152" s="141"/>
      <c r="BP152" s="130">
        <f t="shared" si="79"/>
        <v>0</v>
      </c>
      <c r="BQ152" s="132"/>
    </row>
    <row r="153" ht="14.25" customHeight="1">
      <c r="A153" s="132"/>
      <c r="B153" s="264">
        <v>46156</v>
      </c>
      <c r="C153" s="133"/>
      <c r="D153" s="136"/>
      <c r="E153" s="135"/>
      <c r="F153" s="135"/>
      <c r="G153" s="147">
        <f t="shared" si="71"/>
        <v>0</v>
      </c>
      <c r="H153" s="148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80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03">
        <f t="shared" si="73"/>
        <v>0</v>
      </c>
      <c r="AK153" s="136"/>
      <c r="AL153" s="136"/>
      <c r="AM153" s="136"/>
      <c r="AN153" s="105">
        <f t="shared" si="74"/>
        <v>0</v>
      </c>
      <c r="AO153" s="143"/>
      <c r="AP153" s="143"/>
      <c r="AQ153" s="143"/>
      <c r="AR153" s="146"/>
      <c r="AS153" s="224">
        <f t="shared" si="75"/>
        <v>0</v>
      </c>
      <c r="AT153" s="126"/>
      <c r="AU153" s="273"/>
      <c r="AV153" s="274"/>
      <c r="AW153" s="126"/>
      <c r="AX153" s="126"/>
      <c r="AY153" s="126"/>
      <c r="AZ153" s="275"/>
      <c r="BA153" s="126"/>
      <c r="BB153" s="274"/>
      <c r="BC153" s="126"/>
      <c r="BD153" s="126"/>
      <c r="BE153" s="128"/>
      <c r="BF153" s="126"/>
      <c r="BG153" s="222">
        <f t="shared" si="76"/>
        <v>0</v>
      </c>
      <c r="BH153" s="140">
        <f t="shared" si="77"/>
        <v>0</v>
      </c>
      <c r="BI153" s="132"/>
      <c r="BJ153" s="140">
        <f t="shared" si="78"/>
        <v>0</v>
      </c>
      <c r="BK153" s="141"/>
      <c r="BL153" s="141"/>
      <c r="BM153" s="141"/>
      <c r="BN153" s="141"/>
      <c r="BO153" s="141"/>
      <c r="BP153" s="130">
        <f t="shared" si="79"/>
        <v>0</v>
      </c>
      <c r="BQ153" s="132"/>
    </row>
    <row r="154" ht="14.25" customHeight="1">
      <c r="A154" s="132"/>
      <c r="B154" s="264">
        <v>46157</v>
      </c>
      <c r="C154" s="133"/>
      <c r="D154" s="136"/>
      <c r="E154" s="135"/>
      <c r="F154" s="135"/>
      <c r="G154" s="147">
        <f t="shared" si="71"/>
        <v>0</v>
      </c>
      <c r="H154" s="148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80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03">
        <f t="shared" si="73"/>
        <v>0</v>
      </c>
      <c r="AK154" s="136"/>
      <c r="AL154" s="136"/>
      <c r="AM154" s="136"/>
      <c r="AN154" s="105">
        <f t="shared" si="74"/>
        <v>0</v>
      </c>
      <c r="AO154" s="143"/>
      <c r="AP154" s="143"/>
      <c r="AQ154" s="143"/>
      <c r="AR154" s="146"/>
      <c r="AS154" s="224">
        <f t="shared" si="75"/>
        <v>0</v>
      </c>
      <c r="AT154" s="126"/>
      <c r="AU154" s="273"/>
      <c r="AV154" s="274"/>
      <c r="AW154" s="126"/>
      <c r="AX154" s="126"/>
      <c r="AY154" s="126"/>
      <c r="AZ154" s="275"/>
      <c r="BA154" s="126"/>
      <c r="BB154" s="274"/>
      <c r="BC154" s="126"/>
      <c r="BD154" s="126"/>
      <c r="BE154" s="128"/>
      <c r="BF154" s="126"/>
      <c r="BG154" s="222">
        <f t="shared" si="76"/>
        <v>0</v>
      </c>
      <c r="BH154" s="140">
        <f t="shared" si="77"/>
        <v>0</v>
      </c>
      <c r="BI154" s="132"/>
      <c r="BJ154" s="140">
        <f t="shared" si="78"/>
        <v>0</v>
      </c>
      <c r="BK154" s="141"/>
      <c r="BL154" s="141"/>
      <c r="BM154" s="141"/>
      <c r="BN154" s="141"/>
      <c r="BO154" s="141"/>
      <c r="BP154" s="130">
        <f t="shared" si="79"/>
        <v>0</v>
      </c>
      <c r="BQ154" s="132"/>
    </row>
    <row r="155" ht="14.25" customHeight="1">
      <c r="A155" s="132"/>
      <c r="B155" s="264">
        <v>46158</v>
      </c>
      <c r="C155" s="133"/>
      <c r="D155" s="136"/>
      <c r="E155" s="135"/>
      <c r="F155" s="135"/>
      <c r="G155" s="147">
        <f t="shared" si="71"/>
        <v>0</v>
      </c>
      <c r="H155" s="148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80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03">
        <f t="shared" si="73"/>
        <v>0</v>
      </c>
      <c r="AK155" s="136"/>
      <c r="AL155" s="136"/>
      <c r="AM155" s="136"/>
      <c r="AN155" s="105">
        <f t="shared" si="74"/>
        <v>0</v>
      </c>
      <c r="AO155" s="143"/>
      <c r="AP155" s="143"/>
      <c r="AQ155" s="143"/>
      <c r="AR155" s="146"/>
      <c r="AS155" s="224">
        <f t="shared" si="75"/>
        <v>0</v>
      </c>
      <c r="AT155" s="126"/>
      <c r="AU155" s="273"/>
      <c r="AV155" s="274"/>
      <c r="AW155" s="126"/>
      <c r="AX155" s="126"/>
      <c r="AY155" s="126"/>
      <c r="AZ155" s="275"/>
      <c r="BA155" s="126"/>
      <c r="BB155" s="274"/>
      <c r="BC155" s="126"/>
      <c r="BD155" s="126"/>
      <c r="BE155" s="128"/>
      <c r="BF155" s="126"/>
      <c r="BG155" s="222">
        <f t="shared" si="76"/>
        <v>0</v>
      </c>
      <c r="BH155" s="140">
        <f t="shared" si="77"/>
        <v>0</v>
      </c>
      <c r="BI155" s="132"/>
      <c r="BJ155" s="140">
        <f t="shared" si="78"/>
        <v>0</v>
      </c>
      <c r="BK155" s="141"/>
      <c r="BL155" s="141"/>
      <c r="BM155" s="141"/>
      <c r="BN155" s="141"/>
      <c r="BO155" s="141"/>
      <c r="BP155" s="130">
        <f t="shared" si="79"/>
        <v>0</v>
      </c>
      <c r="BQ155" s="132"/>
    </row>
    <row r="156" ht="14.25" customHeight="1">
      <c r="A156" s="132"/>
      <c r="B156" s="264">
        <v>46159</v>
      </c>
      <c r="C156" s="133"/>
      <c r="D156" s="136"/>
      <c r="E156" s="135"/>
      <c r="F156" s="135"/>
      <c r="G156" s="147">
        <f t="shared" si="71"/>
        <v>0</v>
      </c>
      <c r="H156" s="148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80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03">
        <f t="shared" si="73"/>
        <v>0</v>
      </c>
      <c r="AK156" s="136"/>
      <c r="AL156" s="132"/>
      <c r="AM156" s="136"/>
      <c r="AN156" s="105">
        <f t="shared" si="74"/>
        <v>0</v>
      </c>
      <c r="AO156" s="143"/>
      <c r="AP156" s="143"/>
      <c r="AQ156" s="143"/>
      <c r="AR156" s="146"/>
      <c r="AS156" s="224">
        <f t="shared" si="75"/>
        <v>0</v>
      </c>
      <c r="AT156" s="126"/>
      <c r="AU156" s="273"/>
      <c r="AV156" s="274"/>
      <c r="AW156" s="126"/>
      <c r="AX156" s="126"/>
      <c r="AY156" s="126"/>
      <c r="AZ156" s="275"/>
      <c r="BA156" s="126"/>
      <c r="BB156" s="274"/>
      <c r="BC156" s="126"/>
      <c r="BD156" s="126"/>
      <c r="BE156" s="128"/>
      <c r="BF156" s="126"/>
      <c r="BG156" s="222">
        <f t="shared" si="76"/>
        <v>0</v>
      </c>
      <c r="BH156" s="140">
        <f t="shared" si="77"/>
        <v>0</v>
      </c>
      <c r="BI156" s="132"/>
      <c r="BJ156" s="140">
        <f t="shared" si="78"/>
        <v>0</v>
      </c>
      <c r="BK156" s="141"/>
      <c r="BL156" s="141"/>
      <c r="BM156" s="141"/>
      <c r="BN156" s="141"/>
      <c r="BO156" s="141"/>
      <c r="BP156" s="130">
        <f t="shared" si="79"/>
        <v>0</v>
      </c>
      <c r="BQ156" s="132"/>
    </row>
    <row r="157" ht="14.25" customHeight="1">
      <c r="A157" s="132"/>
      <c r="B157" s="264">
        <v>46160</v>
      </c>
      <c r="C157" s="133"/>
      <c r="D157" s="136"/>
      <c r="E157" s="135"/>
      <c r="F157" s="135"/>
      <c r="G157" s="147">
        <f t="shared" si="71"/>
        <v>0</v>
      </c>
      <c r="H157" s="148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80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03">
        <f t="shared" si="73"/>
        <v>0</v>
      </c>
      <c r="AK157" s="136"/>
      <c r="AL157" s="132"/>
      <c r="AM157" s="136"/>
      <c r="AN157" s="105">
        <f t="shared" si="74"/>
        <v>0</v>
      </c>
      <c r="AO157" s="143"/>
      <c r="AP157" s="143"/>
      <c r="AQ157" s="143"/>
      <c r="AR157" s="146"/>
      <c r="AS157" s="224">
        <f t="shared" si="75"/>
        <v>0</v>
      </c>
      <c r="AT157" s="126"/>
      <c r="AU157" s="273"/>
      <c r="AV157" s="274"/>
      <c r="AW157" s="126"/>
      <c r="AX157" s="126"/>
      <c r="AY157" s="126"/>
      <c r="AZ157" s="275"/>
      <c r="BA157" s="126"/>
      <c r="BB157" s="274"/>
      <c r="BC157" s="126"/>
      <c r="BD157" s="126"/>
      <c r="BE157" s="128"/>
      <c r="BF157" s="126"/>
      <c r="BG157" s="222">
        <f t="shared" si="76"/>
        <v>0</v>
      </c>
      <c r="BH157" s="140">
        <f t="shared" si="77"/>
        <v>0</v>
      </c>
      <c r="BI157" s="132"/>
      <c r="BJ157" s="140">
        <f t="shared" si="78"/>
        <v>0</v>
      </c>
      <c r="BK157" s="141"/>
      <c r="BL157" s="141"/>
      <c r="BM157" s="141"/>
      <c r="BN157" s="141"/>
      <c r="BO157" s="141"/>
      <c r="BP157" s="130">
        <f t="shared" si="79"/>
        <v>0</v>
      </c>
      <c r="BQ157" s="132"/>
    </row>
    <row r="158" ht="14.25" customHeight="1">
      <c r="A158" s="132"/>
      <c r="B158" s="264">
        <v>46161</v>
      </c>
      <c r="C158" s="133"/>
      <c r="D158" s="136"/>
      <c r="E158" s="135"/>
      <c r="F158" s="135"/>
      <c r="G158" s="147">
        <f t="shared" si="71"/>
        <v>0</v>
      </c>
      <c r="H158" s="148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80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03">
        <f t="shared" si="73"/>
        <v>0</v>
      </c>
      <c r="AK158" s="136"/>
      <c r="AL158" s="136"/>
      <c r="AM158" s="136"/>
      <c r="AN158" s="105">
        <f t="shared" si="74"/>
        <v>0</v>
      </c>
      <c r="AO158" s="143"/>
      <c r="AP158" s="143"/>
      <c r="AQ158" s="143"/>
      <c r="AR158" s="146"/>
      <c r="AS158" s="224">
        <f t="shared" si="75"/>
        <v>0</v>
      </c>
      <c r="AT158" s="126"/>
      <c r="AU158" s="273"/>
      <c r="AV158" s="274"/>
      <c r="AW158" s="126"/>
      <c r="AX158" s="126"/>
      <c r="AY158" s="126"/>
      <c r="AZ158" s="275"/>
      <c r="BA158" s="126"/>
      <c r="BB158" s="274"/>
      <c r="BC158" s="126"/>
      <c r="BD158" s="126"/>
      <c r="BE158" s="128"/>
      <c r="BF158" s="126"/>
      <c r="BG158" s="222">
        <f t="shared" si="76"/>
        <v>0</v>
      </c>
      <c r="BH158" s="140">
        <f t="shared" si="77"/>
        <v>0</v>
      </c>
      <c r="BI158" s="132"/>
      <c r="BJ158" s="140">
        <f t="shared" si="78"/>
        <v>0</v>
      </c>
      <c r="BK158" s="141"/>
      <c r="BL158" s="141"/>
      <c r="BM158" s="141"/>
      <c r="BN158" s="141"/>
      <c r="BO158" s="141"/>
      <c r="BP158" s="130">
        <f t="shared" si="79"/>
        <v>0</v>
      </c>
      <c r="BQ158" s="132"/>
    </row>
    <row r="159" ht="17.25" customHeight="1">
      <c r="A159" s="132"/>
      <c r="B159" s="264">
        <v>46162</v>
      </c>
      <c r="C159" s="133"/>
      <c r="D159" s="136"/>
      <c r="E159" s="135"/>
      <c r="F159" s="135"/>
      <c r="G159" s="147">
        <f t="shared" si="71"/>
        <v>0</v>
      </c>
      <c r="H159" s="148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80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03">
        <f t="shared" si="73"/>
        <v>0</v>
      </c>
      <c r="AK159" s="136"/>
      <c r="AL159" s="136"/>
      <c r="AM159" s="136"/>
      <c r="AN159" s="105">
        <f t="shared" si="74"/>
        <v>0</v>
      </c>
      <c r="AO159" s="143"/>
      <c r="AP159" s="143"/>
      <c r="AQ159" s="143"/>
      <c r="AR159" s="146"/>
      <c r="AS159" s="224">
        <f t="shared" si="75"/>
        <v>0</v>
      </c>
      <c r="AT159" s="126"/>
      <c r="AU159" s="273"/>
      <c r="AV159" s="274"/>
      <c r="AW159" s="126"/>
      <c r="AX159" s="126"/>
      <c r="AY159" s="126"/>
      <c r="AZ159" s="275"/>
      <c r="BA159" s="126"/>
      <c r="BB159" s="274"/>
      <c r="BC159" s="126"/>
      <c r="BD159" s="126"/>
      <c r="BE159" s="128"/>
      <c r="BF159" s="126"/>
      <c r="BG159" s="222">
        <f t="shared" si="76"/>
        <v>0</v>
      </c>
      <c r="BH159" s="140">
        <f t="shared" si="77"/>
        <v>0</v>
      </c>
      <c r="BI159" s="132"/>
      <c r="BJ159" s="140">
        <f t="shared" si="78"/>
        <v>0</v>
      </c>
      <c r="BK159" s="141"/>
      <c r="BL159" s="141"/>
      <c r="BM159" s="141"/>
      <c r="BN159" s="141"/>
      <c r="BO159" s="141"/>
      <c r="BP159" s="130">
        <f t="shared" si="79"/>
        <v>0</v>
      </c>
      <c r="BQ159" s="132"/>
    </row>
    <row r="160" ht="14.25" customHeight="1">
      <c r="A160" s="132"/>
      <c r="B160" s="264">
        <v>46163</v>
      </c>
      <c r="C160" s="133"/>
      <c r="D160" s="136"/>
      <c r="E160" s="135"/>
      <c r="F160" s="135"/>
      <c r="G160" s="147">
        <f t="shared" si="71"/>
        <v>0</v>
      </c>
      <c r="H160" s="148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80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03">
        <f t="shared" si="73"/>
        <v>0</v>
      </c>
      <c r="AK160" s="136"/>
      <c r="AL160" s="136"/>
      <c r="AM160" s="136"/>
      <c r="AN160" s="105">
        <f t="shared" si="74"/>
        <v>0</v>
      </c>
      <c r="AO160" s="143"/>
      <c r="AP160" s="143"/>
      <c r="AQ160" s="143"/>
      <c r="AR160" s="146"/>
      <c r="AS160" s="224">
        <f t="shared" si="75"/>
        <v>0</v>
      </c>
      <c r="AT160" s="126"/>
      <c r="AU160" s="273"/>
      <c r="AV160" s="274"/>
      <c r="AW160" s="126"/>
      <c r="AX160" s="126"/>
      <c r="AY160" s="126"/>
      <c r="AZ160" s="275"/>
      <c r="BA160" s="126"/>
      <c r="BB160" s="274"/>
      <c r="BC160" s="126"/>
      <c r="BD160" s="126"/>
      <c r="BE160" s="128"/>
      <c r="BF160" s="126"/>
      <c r="BG160" s="222">
        <f t="shared" si="76"/>
        <v>0</v>
      </c>
      <c r="BH160" s="140">
        <f t="shared" si="77"/>
        <v>0</v>
      </c>
      <c r="BI160" s="132"/>
      <c r="BJ160" s="140">
        <f t="shared" si="78"/>
        <v>0</v>
      </c>
      <c r="BK160" s="141"/>
      <c r="BL160" s="141"/>
      <c r="BM160" s="141"/>
      <c r="BN160" s="141"/>
      <c r="BO160" s="141"/>
      <c r="BP160" s="130">
        <f t="shared" si="79"/>
        <v>0</v>
      </c>
      <c r="BQ160" s="132"/>
    </row>
    <row r="161" ht="14.25" customHeight="1">
      <c r="A161" s="132"/>
      <c r="B161" s="264">
        <v>46164</v>
      </c>
      <c r="C161" s="133"/>
      <c r="D161" s="136"/>
      <c r="E161" s="135"/>
      <c r="F161" s="135"/>
      <c r="G161" s="147">
        <f t="shared" si="71"/>
        <v>0</v>
      </c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80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03">
        <f t="shared" si="73"/>
        <v>0</v>
      </c>
      <c r="AK161" s="136"/>
      <c r="AL161" s="136"/>
      <c r="AM161" s="136"/>
      <c r="AN161" s="105">
        <f t="shared" si="74"/>
        <v>0</v>
      </c>
      <c r="AO161" s="143"/>
      <c r="AP161" s="143"/>
      <c r="AQ161" s="143"/>
      <c r="AR161" s="146"/>
      <c r="AS161" s="224">
        <f t="shared" si="75"/>
        <v>0</v>
      </c>
      <c r="AT161" s="126"/>
      <c r="AU161" s="273"/>
      <c r="AV161" s="274"/>
      <c r="AW161" s="126"/>
      <c r="AX161" s="126"/>
      <c r="AY161" s="126"/>
      <c r="AZ161" s="275"/>
      <c r="BA161" s="126"/>
      <c r="BB161" s="274"/>
      <c r="BC161" s="126"/>
      <c r="BD161" s="126"/>
      <c r="BE161" s="128"/>
      <c r="BF161" s="126"/>
      <c r="BG161" s="222">
        <f t="shared" si="76"/>
        <v>0</v>
      </c>
      <c r="BH161" s="140">
        <f t="shared" si="77"/>
        <v>0</v>
      </c>
      <c r="BI161" s="132"/>
      <c r="BJ161" s="140">
        <f t="shared" si="78"/>
        <v>0</v>
      </c>
      <c r="BK161" s="141"/>
      <c r="BL161" s="141"/>
      <c r="BM161" s="141"/>
      <c r="BN161" s="141"/>
      <c r="BO161" s="141"/>
      <c r="BP161" s="130">
        <f t="shared" si="79"/>
        <v>0</v>
      </c>
      <c r="BQ161" s="132"/>
    </row>
    <row r="162" ht="14.25" customHeight="1">
      <c r="A162" s="132"/>
      <c r="B162" s="264">
        <v>46165</v>
      </c>
      <c r="C162" s="133"/>
      <c r="D162" s="136"/>
      <c r="E162" s="135"/>
      <c r="F162" s="135"/>
      <c r="G162" s="147">
        <f t="shared" si="71"/>
        <v>0</v>
      </c>
      <c r="H162" s="148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80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03">
        <f t="shared" si="73"/>
        <v>0</v>
      </c>
      <c r="AK162" s="136"/>
      <c r="AL162" s="136"/>
      <c r="AM162" s="136"/>
      <c r="AN162" s="105">
        <f t="shared" si="74"/>
        <v>0</v>
      </c>
      <c r="AO162" s="143"/>
      <c r="AP162" s="143"/>
      <c r="AQ162" s="143"/>
      <c r="AR162" s="146"/>
      <c r="AS162" s="224">
        <f t="shared" si="75"/>
        <v>0</v>
      </c>
      <c r="AT162" s="126"/>
      <c r="AU162" s="273"/>
      <c r="AV162" s="274"/>
      <c r="AW162" s="126"/>
      <c r="AX162" s="126"/>
      <c r="AY162" s="126"/>
      <c r="AZ162" s="275"/>
      <c r="BA162" s="126"/>
      <c r="BB162" s="274"/>
      <c r="BC162" s="126"/>
      <c r="BD162" s="126"/>
      <c r="BE162" s="128"/>
      <c r="BF162" s="126"/>
      <c r="BG162" s="222">
        <f t="shared" si="76"/>
        <v>0</v>
      </c>
      <c r="BH162" s="140">
        <f t="shared" si="77"/>
        <v>0</v>
      </c>
      <c r="BI162" s="132"/>
      <c r="BJ162" s="140">
        <f t="shared" si="78"/>
        <v>0</v>
      </c>
      <c r="BK162" s="141"/>
      <c r="BL162" s="141"/>
      <c r="BM162" s="141"/>
      <c r="BN162" s="141"/>
      <c r="BO162" s="141"/>
      <c r="BP162" s="130">
        <f t="shared" si="79"/>
        <v>0</v>
      </c>
      <c r="BQ162" s="132"/>
    </row>
    <row r="163" ht="14.25" customHeight="1">
      <c r="A163" s="132"/>
      <c r="B163" s="264">
        <v>46166</v>
      </c>
      <c r="C163" s="133"/>
      <c r="D163" s="136"/>
      <c r="E163" s="135"/>
      <c r="F163" s="135"/>
      <c r="G163" s="147">
        <f t="shared" si="71"/>
        <v>0</v>
      </c>
      <c r="H163" s="148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80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03">
        <f t="shared" si="73"/>
        <v>0</v>
      </c>
      <c r="AK163" s="136"/>
      <c r="AL163" s="136"/>
      <c r="AM163" s="136"/>
      <c r="AN163" s="105">
        <f t="shared" si="74"/>
        <v>0</v>
      </c>
      <c r="AO163" s="143"/>
      <c r="AP163" s="143"/>
      <c r="AQ163" s="143"/>
      <c r="AR163" s="146"/>
      <c r="AS163" s="224">
        <f t="shared" si="75"/>
        <v>0</v>
      </c>
      <c r="AT163" s="126"/>
      <c r="AU163" s="273"/>
      <c r="AV163" s="274"/>
      <c r="AW163" s="126"/>
      <c r="AX163" s="126"/>
      <c r="AY163" s="126"/>
      <c r="AZ163" s="275"/>
      <c r="BA163" s="126"/>
      <c r="BB163" s="274"/>
      <c r="BC163" s="126"/>
      <c r="BD163" s="126"/>
      <c r="BE163" s="128"/>
      <c r="BF163" s="126"/>
      <c r="BG163" s="222">
        <f t="shared" si="76"/>
        <v>0</v>
      </c>
      <c r="BH163" s="140">
        <f t="shared" si="77"/>
        <v>0</v>
      </c>
      <c r="BI163" s="132"/>
      <c r="BJ163" s="140">
        <f t="shared" si="78"/>
        <v>0</v>
      </c>
      <c r="BK163" s="141"/>
      <c r="BL163" s="141"/>
      <c r="BM163" s="141"/>
      <c r="BN163" s="141"/>
      <c r="BO163" s="141"/>
      <c r="BP163" s="130">
        <f t="shared" si="79"/>
        <v>0</v>
      </c>
      <c r="BQ163" s="132"/>
    </row>
    <row r="164" ht="14.25" customHeight="1">
      <c r="A164" s="132"/>
      <c r="B164" s="264">
        <v>46167</v>
      </c>
      <c r="C164" s="133"/>
      <c r="D164" s="136"/>
      <c r="E164" s="135"/>
      <c r="F164" s="135"/>
      <c r="G164" s="147">
        <f t="shared" si="71"/>
        <v>0</v>
      </c>
      <c r="H164" s="148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80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03">
        <f t="shared" si="73"/>
        <v>0</v>
      </c>
      <c r="AK164" s="136"/>
      <c r="AL164" s="136"/>
      <c r="AM164" s="136"/>
      <c r="AN164" s="105">
        <f t="shared" si="74"/>
        <v>0</v>
      </c>
      <c r="AO164" s="143"/>
      <c r="AP164" s="143"/>
      <c r="AQ164" s="143"/>
      <c r="AR164" s="146"/>
      <c r="AS164" s="224">
        <f t="shared" si="75"/>
        <v>0</v>
      </c>
      <c r="AT164" s="126"/>
      <c r="AU164" s="273"/>
      <c r="AV164" s="274"/>
      <c r="AW164" s="126"/>
      <c r="AX164" s="126"/>
      <c r="AY164" s="126"/>
      <c r="AZ164" s="275"/>
      <c r="BA164" s="126"/>
      <c r="BB164" s="274"/>
      <c r="BC164" s="126"/>
      <c r="BD164" s="126"/>
      <c r="BE164" s="128"/>
      <c r="BF164" s="126"/>
      <c r="BG164" s="222">
        <f t="shared" si="76"/>
        <v>0</v>
      </c>
      <c r="BH164" s="140">
        <f t="shared" si="77"/>
        <v>0</v>
      </c>
      <c r="BI164" s="132"/>
      <c r="BJ164" s="140">
        <f t="shared" si="78"/>
        <v>0</v>
      </c>
      <c r="BK164" s="141"/>
      <c r="BL164" s="141"/>
      <c r="BM164" s="141"/>
      <c r="BN164" s="141"/>
      <c r="BO164" s="141"/>
      <c r="BP164" s="130">
        <f t="shared" si="79"/>
        <v>0</v>
      </c>
      <c r="BQ164" s="132"/>
    </row>
    <row r="165" ht="14.25" customHeight="1">
      <c r="A165" s="132"/>
      <c r="B165" s="264">
        <v>46168</v>
      </c>
      <c r="C165" s="133"/>
      <c r="D165" s="136"/>
      <c r="E165" s="135"/>
      <c r="F165" s="135"/>
      <c r="G165" s="147">
        <f t="shared" si="71"/>
        <v>0</v>
      </c>
      <c r="H165" s="148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03">
        <f t="shared" si="80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03">
        <f t="shared" si="73"/>
        <v>0</v>
      </c>
      <c r="AK165" s="136"/>
      <c r="AL165" s="136"/>
      <c r="AM165" s="136"/>
      <c r="AN165" s="105">
        <f t="shared" si="74"/>
        <v>0</v>
      </c>
      <c r="AO165" s="143"/>
      <c r="AP165" s="143"/>
      <c r="AQ165" s="143"/>
      <c r="AR165" s="146"/>
      <c r="AS165" s="224">
        <f t="shared" si="75"/>
        <v>0</v>
      </c>
      <c r="AT165" s="126"/>
      <c r="AU165" s="273"/>
      <c r="AV165" s="274"/>
      <c r="AW165" s="126"/>
      <c r="AX165" s="126"/>
      <c r="AY165" s="126"/>
      <c r="AZ165" s="275"/>
      <c r="BA165" s="126"/>
      <c r="BB165" s="274"/>
      <c r="BC165" s="126"/>
      <c r="BD165" s="126"/>
      <c r="BE165" s="128"/>
      <c r="BF165" s="126"/>
      <c r="BG165" s="222">
        <f t="shared" si="76"/>
        <v>0</v>
      </c>
      <c r="BH165" s="140">
        <f t="shared" si="77"/>
        <v>0</v>
      </c>
      <c r="BI165" s="132"/>
      <c r="BJ165" s="140">
        <f t="shared" si="78"/>
        <v>0</v>
      </c>
      <c r="BK165" s="141"/>
      <c r="BL165" s="141"/>
      <c r="BM165" s="141"/>
      <c r="BN165" s="141"/>
      <c r="BO165" s="141"/>
      <c r="BP165" s="130">
        <f t="shared" si="79"/>
        <v>0</v>
      </c>
      <c r="BQ165" s="132"/>
    </row>
    <row r="166" ht="14.25" customHeight="1">
      <c r="A166" s="132"/>
      <c r="B166" s="264">
        <v>46169</v>
      </c>
      <c r="C166" s="133"/>
      <c r="D166" s="136"/>
      <c r="E166" s="135"/>
      <c r="F166" s="135"/>
      <c r="G166" s="147">
        <f t="shared" si="71"/>
        <v>0</v>
      </c>
      <c r="H166" s="148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03">
        <f t="shared" si="80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03">
        <f t="shared" si="73"/>
        <v>0</v>
      </c>
      <c r="AK166" s="136"/>
      <c r="AL166" s="136"/>
      <c r="AM166" s="136"/>
      <c r="AN166" s="105">
        <f t="shared" si="74"/>
        <v>0</v>
      </c>
      <c r="AO166" s="143"/>
      <c r="AP166" s="143"/>
      <c r="AQ166" s="143"/>
      <c r="AR166" s="146"/>
      <c r="AS166" s="224">
        <f t="shared" si="75"/>
        <v>0</v>
      </c>
      <c r="AT166" s="126"/>
      <c r="AU166" s="273"/>
      <c r="AV166" s="274"/>
      <c r="AW166" s="126"/>
      <c r="AX166" s="126"/>
      <c r="AY166" s="126"/>
      <c r="AZ166" s="275"/>
      <c r="BA166" s="126"/>
      <c r="BB166" s="274"/>
      <c r="BC166" s="126"/>
      <c r="BD166" s="126"/>
      <c r="BE166" s="128"/>
      <c r="BF166" s="126"/>
      <c r="BG166" s="222">
        <f t="shared" si="76"/>
        <v>0</v>
      </c>
      <c r="BH166" s="140">
        <f t="shared" si="77"/>
        <v>0</v>
      </c>
      <c r="BI166" s="132"/>
      <c r="BJ166" s="140">
        <f t="shared" si="78"/>
        <v>0</v>
      </c>
      <c r="BK166" s="141"/>
      <c r="BL166" s="141"/>
      <c r="BM166" s="141"/>
      <c r="BN166" s="141"/>
      <c r="BO166" s="141"/>
      <c r="BP166" s="130">
        <f t="shared" si="79"/>
        <v>0</v>
      </c>
      <c r="BQ166" s="132"/>
    </row>
    <row r="167" ht="14.25" customHeight="1">
      <c r="A167" s="132"/>
      <c r="B167" s="264">
        <v>46170</v>
      </c>
      <c r="C167" s="133"/>
      <c r="D167" s="136"/>
      <c r="E167" s="135"/>
      <c r="F167" s="135"/>
      <c r="G167" s="147">
        <f t="shared" si="71"/>
        <v>0</v>
      </c>
      <c r="H167" s="148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80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03">
        <f t="shared" si="73"/>
        <v>0</v>
      </c>
      <c r="AK167" s="136"/>
      <c r="AL167" s="136"/>
      <c r="AM167" s="136"/>
      <c r="AN167" s="105">
        <f t="shared" si="74"/>
        <v>0</v>
      </c>
      <c r="AO167" s="143"/>
      <c r="AP167" s="143"/>
      <c r="AQ167" s="143"/>
      <c r="AR167" s="146"/>
      <c r="AS167" s="224">
        <f t="shared" si="75"/>
        <v>0</v>
      </c>
      <c r="AT167" s="126"/>
      <c r="AU167" s="273"/>
      <c r="AV167" s="274"/>
      <c r="AW167" s="126"/>
      <c r="AX167" s="126"/>
      <c r="AY167" s="126"/>
      <c r="AZ167" s="275"/>
      <c r="BA167" s="126"/>
      <c r="BB167" s="274"/>
      <c r="BC167" s="126"/>
      <c r="BD167" s="126"/>
      <c r="BE167" s="128"/>
      <c r="BF167" s="126"/>
      <c r="BG167" s="222">
        <f t="shared" si="76"/>
        <v>0</v>
      </c>
      <c r="BH167" s="140">
        <f t="shared" si="77"/>
        <v>0</v>
      </c>
      <c r="BI167" s="132"/>
      <c r="BJ167" s="140">
        <f t="shared" si="78"/>
        <v>0</v>
      </c>
      <c r="BK167" s="141"/>
      <c r="BL167" s="141"/>
      <c r="BM167" s="141"/>
      <c r="BN167" s="141"/>
      <c r="BO167" s="141"/>
      <c r="BP167" s="130">
        <f t="shared" si="79"/>
        <v>0</v>
      </c>
      <c r="BQ167" s="132"/>
    </row>
    <row r="168" ht="13.5" customHeight="1">
      <c r="A168" s="132"/>
      <c r="B168" s="264">
        <v>46171</v>
      </c>
      <c r="C168" s="133"/>
      <c r="D168" s="136"/>
      <c r="E168" s="135"/>
      <c r="F168" s="135"/>
      <c r="G168" s="147">
        <f t="shared" si="71"/>
        <v>0</v>
      </c>
      <c r="H168" s="148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80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03">
        <f t="shared" si="73"/>
        <v>0</v>
      </c>
      <c r="AK168" s="136"/>
      <c r="AL168" s="136"/>
      <c r="AM168" s="136"/>
      <c r="AN168" s="105">
        <f t="shared" si="74"/>
        <v>0</v>
      </c>
      <c r="AO168" s="143"/>
      <c r="AP168" s="143"/>
      <c r="AQ168" s="143"/>
      <c r="AR168" s="146"/>
      <c r="AS168" s="224">
        <f t="shared" si="75"/>
        <v>0</v>
      </c>
      <c r="AT168" s="126"/>
      <c r="AU168" s="273"/>
      <c r="AV168" s="274"/>
      <c r="AW168" s="126"/>
      <c r="AX168" s="126"/>
      <c r="AY168" s="126"/>
      <c r="AZ168" s="275"/>
      <c r="BA168" s="126"/>
      <c r="BB168" s="274"/>
      <c r="BC168" s="126"/>
      <c r="BD168" s="126"/>
      <c r="BE168" s="128"/>
      <c r="BF168" s="126"/>
      <c r="BG168" s="222">
        <f t="shared" si="76"/>
        <v>0</v>
      </c>
      <c r="BH168" s="140">
        <f t="shared" si="77"/>
        <v>0</v>
      </c>
      <c r="BI168" s="132"/>
      <c r="BJ168" s="140">
        <f t="shared" si="78"/>
        <v>0</v>
      </c>
      <c r="BK168" s="141"/>
      <c r="BL168" s="141"/>
      <c r="BM168" s="141"/>
      <c r="BN168" s="141"/>
      <c r="BO168" s="141"/>
      <c r="BP168" s="130">
        <f t="shared" si="79"/>
        <v>0</v>
      </c>
      <c r="BQ168" s="132"/>
    </row>
    <row r="169" ht="14.25" customHeight="1">
      <c r="A169" s="3"/>
      <c r="B169" s="264">
        <v>46172</v>
      </c>
      <c r="C169" s="118"/>
      <c r="D169" s="123"/>
      <c r="E169" s="120"/>
      <c r="F169" s="120"/>
      <c r="G169" s="147">
        <f t="shared" si="71"/>
        <v>0</v>
      </c>
      <c r="H169" s="148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03">
        <f t="shared" si="80"/>
        <v>0</v>
      </c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43"/>
      <c r="AI169" s="143"/>
      <c r="AJ169" s="103">
        <f t="shared" si="73"/>
        <v>0</v>
      </c>
      <c r="AK169" s="123"/>
      <c r="AL169" s="123"/>
      <c r="AM169" s="123"/>
      <c r="AN169" s="105">
        <f t="shared" si="74"/>
        <v>0</v>
      </c>
      <c r="AO169" s="143"/>
      <c r="AP169" s="143"/>
      <c r="AQ169" s="143"/>
      <c r="AR169" s="146"/>
      <c r="AS169" s="224">
        <f t="shared" si="75"/>
        <v>0</v>
      </c>
      <c r="AT169" s="225"/>
      <c r="AU169" s="273"/>
      <c r="AV169" s="276"/>
      <c r="AW169" s="225"/>
      <c r="AX169" s="225"/>
      <c r="AY169" s="126"/>
      <c r="AZ169" s="275"/>
      <c r="BA169" s="225"/>
      <c r="BB169" s="276"/>
      <c r="BC169" s="225"/>
      <c r="BD169" s="225"/>
      <c r="BE169" s="128"/>
      <c r="BF169" s="225"/>
      <c r="BG169" s="222">
        <f t="shared" si="76"/>
        <v>0</v>
      </c>
      <c r="BH169" s="113">
        <f t="shared" si="77"/>
        <v>0</v>
      </c>
      <c r="BI169" s="3"/>
      <c r="BJ169" s="113">
        <f t="shared" si="78"/>
        <v>0</v>
      </c>
      <c r="BK169" s="129"/>
      <c r="BL169" s="129"/>
      <c r="BM169" s="129"/>
      <c r="BN169" s="129"/>
      <c r="BO169" s="129"/>
      <c r="BP169" s="130">
        <f t="shared" si="79"/>
        <v>0</v>
      </c>
      <c r="BQ169" s="3"/>
    </row>
    <row r="170" ht="14.25" customHeight="1">
      <c r="A170" s="3"/>
      <c r="B170" s="264">
        <v>46173</v>
      </c>
      <c r="C170" s="277"/>
      <c r="D170" s="278"/>
      <c r="E170" s="279"/>
      <c r="F170" s="279"/>
      <c r="G170" s="147">
        <f t="shared" si="71"/>
        <v>0</v>
      </c>
      <c r="H170" s="148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03">
        <f t="shared" si="80"/>
        <v>0</v>
      </c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57"/>
      <c r="AI170" s="157"/>
      <c r="AJ170" s="103">
        <f t="shared" si="73"/>
        <v>0</v>
      </c>
      <c r="AK170" s="278"/>
      <c r="AL170" s="278"/>
      <c r="AM170" s="278"/>
      <c r="AN170" s="105">
        <f t="shared" si="74"/>
        <v>0</v>
      </c>
      <c r="AO170" s="157"/>
      <c r="AP170" s="157"/>
      <c r="AQ170" s="157"/>
      <c r="AR170" s="160"/>
      <c r="AS170" s="224">
        <f t="shared" si="75"/>
        <v>0</v>
      </c>
      <c r="AT170" s="225"/>
      <c r="AU170" s="273"/>
      <c r="AV170" s="276"/>
      <c r="AW170" s="225"/>
      <c r="AX170" s="225"/>
      <c r="AY170" s="126"/>
      <c r="AZ170" s="275"/>
      <c r="BA170" s="280"/>
      <c r="BB170" s="276"/>
      <c r="BC170" s="225"/>
      <c r="BD170" s="225"/>
      <c r="BE170" s="128"/>
      <c r="BF170" s="225"/>
      <c r="BG170" s="222">
        <f t="shared" si="76"/>
        <v>0</v>
      </c>
      <c r="BH170" s="281">
        <f t="shared" si="77"/>
        <v>0</v>
      </c>
      <c r="BI170" s="3"/>
      <c r="BJ170" s="281">
        <f t="shared" si="78"/>
        <v>0</v>
      </c>
      <c r="BK170" s="282"/>
      <c r="BL170" s="129"/>
      <c r="BM170" s="282"/>
      <c r="BN170" s="282"/>
      <c r="BO170" s="282"/>
      <c r="BP170" s="164">
        <f t="shared" si="79"/>
        <v>0</v>
      </c>
      <c r="BQ170" s="3"/>
    </row>
    <row r="171" ht="14.25" customHeight="1">
      <c r="A171" s="3"/>
      <c r="B171" s="2" t="s">
        <v>79</v>
      </c>
      <c r="C171" s="166">
        <f ref="C171:G171" t="shared" si="81">SUM(C140:C170)</f>
        <v>0</v>
      </c>
      <c r="D171" s="166">
        <f t="shared" si="81"/>
        <v>0</v>
      </c>
      <c r="E171" s="166">
        <f t="shared" si="81"/>
        <v>0</v>
      </c>
      <c r="F171" s="166">
        <f t="shared" si="81"/>
        <v>0</v>
      </c>
      <c r="G171" s="166">
        <f t="shared" si="81"/>
        <v>0</v>
      </c>
      <c r="H171" s="166"/>
      <c r="I171" s="166">
        <f ref="I171:V171" t="shared" si="82">SUM(I140:I170)</f>
        <v>0</v>
      </c>
      <c r="J171" s="166">
        <f t="shared" si="82"/>
        <v>0</v>
      </c>
      <c r="K171" s="166">
        <f t="shared" si="82"/>
        <v>0</v>
      </c>
      <c r="L171" s="166">
        <f t="shared" si="82"/>
        <v>0</v>
      </c>
      <c r="M171" s="166">
        <f t="shared" si="82"/>
        <v>0</v>
      </c>
      <c r="N171" s="166">
        <f t="shared" si="82"/>
        <v>0</v>
      </c>
      <c r="O171" s="166">
        <f t="shared" si="82"/>
        <v>0</v>
      </c>
      <c r="P171" s="166">
        <f t="shared" si="82"/>
        <v>0</v>
      </c>
      <c r="Q171" s="166">
        <f t="shared" si="82"/>
        <v>0</v>
      </c>
      <c r="R171" s="166">
        <f t="shared" si="82"/>
        <v>0</v>
      </c>
      <c r="S171" s="166">
        <f t="shared" si="82"/>
        <v>0</v>
      </c>
      <c r="T171" s="166">
        <f t="shared" si="82"/>
        <v>0</v>
      </c>
      <c r="U171" s="166">
        <f t="shared" si="82"/>
        <v>0</v>
      </c>
      <c r="V171" s="166">
        <f t="shared" si="82"/>
        <v>0</v>
      </c>
      <c r="W171" s="166"/>
      <c r="X171" s="166">
        <f ref="X171:AG171" t="shared" si="83">SUM(X140:X170)</f>
        <v>0</v>
      </c>
      <c r="Y171" s="166">
        <f t="shared" si="83"/>
        <v>0</v>
      </c>
      <c r="Z171" s="166">
        <f t="shared" si="83"/>
        <v>0</v>
      </c>
      <c r="AA171" s="166">
        <f t="shared" si="83"/>
        <v>0</v>
      </c>
      <c r="AB171" s="166">
        <f t="shared" si="83"/>
        <v>0</v>
      </c>
      <c r="AC171" s="166">
        <f t="shared" si="83"/>
        <v>0</v>
      </c>
      <c r="AD171" s="166">
        <f t="shared" si="83"/>
        <v>0</v>
      </c>
      <c r="AE171" s="166">
        <f t="shared" si="83"/>
        <v>0</v>
      </c>
      <c r="AF171" s="166">
        <f t="shared" si="83"/>
        <v>0</v>
      </c>
      <c r="AG171" s="166">
        <f t="shared" si="83"/>
        <v>0</v>
      </c>
      <c r="AH171" s="166"/>
      <c r="AI171" s="166">
        <f ref="AI171:AT171" t="shared" si="84">SUM(AI140:AI170)</f>
        <v>0</v>
      </c>
      <c r="AJ171" s="166">
        <f t="shared" si="84"/>
        <v>0</v>
      </c>
      <c r="AK171" s="166">
        <f t="shared" si="84"/>
        <v>0</v>
      </c>
      <c r="AL171" s="166">
        <f t="shared" si="84"/>
        <v>0</v>
      </c>
      <c r="AM171" s="166">
        <f t="shared" si="84"/>
        <v>0</v>
      </c>
      <c r="AN171" s="166">
        <f t="shared" si="84"/>
        <v>0</v>
      </c>
      <c r="AO171" s="166">
        <f t="shared" si="84"/>
        <v>0</v>
      </c>
      <c r="AP171" s="166">
        <f t="shared" si="84"/>
        <v>0</v>
      </c>
      <c r="AQ171" s="166">
        <f t="shared" si="84"/>
        <v>0</v>
      </c>
      <c r="AR171" s="166">
        <f t="shared" si="84"/>
        <v>0</v>
      </c>
      <c r="AS171" s="167">
        <f t="shared" si="84"/>
        <v>0</v>
      </c>
      <c r="AT171" s="166">
        <f t="shared" si="84"/>
        <v>0</v>
      </c>
      <c r="AU171" s="283"/>
      <c r="AV171" s="284">
        <f ref="AV171:BD171" t="shared" si="85">SUM(AV140:AV170)</f>
        <v>0</v>
      </c>
      <c r="AW171" s="166">
        <f t="shared" si="85"/>
        <v>0</v>
      </c>
      <c r="AX171" s="166">
        <f t="shared" si="85"/>
        <v>0</v>
      </c>
      <c r="AY171" s="166">
        <f t="shared" si="85"/>
        <v>0</v>
      </c>
      <c r="AZ171" s="166">
        <f t="shared" si="85"/>
        <v>0</v>
      </c>
      <c r="BA171" s="165">
        <f t="shared" si="85"/>
        <v>0</v>
      </c>
      <c r="BB171" s="166">
        <f t="shared" si="85"/>
        <v>0</v>
      </c>
      <c r="BC171" s="166">
        <f t="shared" si="85"/>
        <v>0</v>
      </c>
      <c r="BD171" s="166">
        <f t="shared" si="85"/>
        <v>0</v>
      </c>
      <c r="BE171" s="261"/>
      <c r="BF171" s="166">
        <f ref="BF171:BH171" t="shared" si="86">SUM(BF140:BF170)</f>
        <v>0</v>
      </c>
      <c r="BG171" s="166">
        <f t="shared" si="86"/>
        <v>0</v>
      </c>
      <c r="BH171" s="166">
        <f t="shared" si="86"/>
        <v>0</v>
      </c>
      <c r="BI171" s="3"/>
      <c r="BJ171" s="172">
        <f>SUM(BJ140:BJ170)</f>
        <v>0</v>
      </c>
      <c r="BK171" s="165"/>
      <c r="BL171" s="165">
        <f ref="BL171:BM171" t="shared" si="87">SUM(BL140:BL170)</f>
        <v>0</v>
      </c>
      <c r="BM171" s="165">
        <f t="shared" si="87"/>
        <v>0</v>
      </c>
      <c r="BN171" s="165"/>
      <c r="BO171" s="165"/>
      <c r="BP171" s="173"/>
      <c r="BQ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4"/>
      <c r="AO172" s="3"/>
      <c r="AP172" s="3"/>
      <c r="AQ172" s="3"/>
      <c r="AR172" s="3"/>
      <c r="AS172" s="4"/>
      <c r="AT172" s="3"/>
      <c r="AU172" s="5"/>
      <c r="AV172" s="3"/>
      <c r="AW172" s="3"/>
      <c r="AX172" s="3"/>
      <c r="AY172" s="3"/>
      <c r="AZ172" s="3"/>
      <c r="BA172" s="3"/>
      <c r="BB172" s="3"/>
      <c r="BC172" s="3"/>
      <c r="BD172" s="3"/>
      <c r="BE172" s="6"/>
      <c r="BF172" s="3"/>
      <c r="BG172" s="4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ht="14.25" customHeight="1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176"/>
      <c r="AK173" s="3"/>
      <c r="AL173" s="3"/>
      <c r="AM173" s="3"/>
      <c r="AN173" s="4"/>
      <c r="AO173" s="3"/>
      <c r="AP173" s="3"/>
      <c r="AQ173" s="3"/>
      <c r="AR173" s="3"/>
      <c r="AS173" s="177"/>
      <c r="AT173" s="3"/>
      <c r="AU173" s="5"/>
      <c r="AV173" s="3"/>
      <c r="AW173" s="3"/>
      <c r="AX173" s="3"/>
      <c r="AY173" s="4"/>
      <c r="AZ173" s="4"/>
      <c r="BA173" s="4"/>
      <c r="BB173" s="3"/>
      <c r="BC173" s="3"/>
      <c r="BD173" s="3"/>
      <c r="BE173" s="6"/>
      <c r="BF173" s="3"/>
      <c r="BG173" s="4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ht="14.25" customHeight="1">
      <c r="A174" s="3"/>
      <c r="B174" s="215">
        <v>46174</v>
      </c>
      <c r="C174" s="285"/>
      <c r="D174" s="104"/>
      <c r="E174" s="97"/>
      <c r="F174" s="97"/>
      <c r="G174" s="265">
        <f ref="G174:G203" t="shared" si="88">+C174+D174+E174+F174</f>
        <v>0</v>
      </c>
      <c r="H174" s="217"/>
      <c r="I174" s="186"/>
      <c r="J174" s="186"/>
      <c r="K174" s="186"/>
      <c r="L174" s="104"/>
      <c r="M174" s="186"/>
      <c r="N174" s="186"/>
      <c r="O174" s="186"/>
      <c r="P174" s="186"/>
      <c r="Q174" s="186"/>
      <c r="R174" s="186"/>
      <c r="S174" s="186"/>
      <c r="T174" s="186"/>
      <c r="U174" s="103">
        <f ref="U174:U203" t="shared" si="89">SUM(I174:T174)</f>
        <v>0</v>
      </c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03">
        <f ref="AJ174:AJ203" t="shared" si="90">SUM(V174:AI174)</f>
        <v>0</v>
      </c>
      <c r="AK174" s="104"/>
      <c r="AL174" s="104"/>
      <c r="AM174" s="104"/>
      <c r="AN174" s="191">
        <f ref="AN174:AN203" t="shared" si="91">SUM(AK174:AM174)</f>
        <v>0</v>
      </c>
      <c r="AO174" s="186"/>
      <c r="AP174" s="186"/>
      <c r="AQ174" s="186"/>
      <c r="AR174" s="193"/>
      <c r="AS174" s="224">
        <f ref="AS174:AS203" t="shared" si="92">+G174-U174-AJ174-AN174-AO174-AP174-AQ174-AR174</f>
        <v>0</v>
      </c>
      <c r="AT174" s="220"/>
      <c r="AU174" s="268"/>
      <c r="AV174" s="286"/>
      <c r="AW174" s="220"/>
      <c r="AX174" s="220"/>
      <c r="AY174" s="109"/>
      <c r="AZ174" s="270"/>
      <c r="BA174" s="220"/>
      <c r="BB174" s="286"/>
      <c r="BC174" s="220"/>
      <c r="BD174" s="220"/>
      <c r="BE174" s="111"/>
      <c r="BF174" s="220"/>
      <c r="BG174" s="272">
        <f ref="BG174:BG203" t="shared" si="93">SUM(AT174:BF174)-BD174</f>
        <v>0</v>
      </c>
      <c r="BH174" s="114">
        <f ref="BH174:BH203" t="shared" si="94">+AS174-BG174</f>
        <v>0</v>
      </c>
      <c r="BI174" s="3"/>
      <c r="BJ174" s="114">
        <f ref="BJ174:BJ203" t="shared" si="95">SUM(BK174:BO174)</f>
        <v>0</v>
      </c>
      <c r="BK174" s="115"/>
      <c r="BL174" s="115"/>
      <c r="BM174" s="196"/>
      <c r="BN174" s="115"/>
      <c r="BO174" s="287"/>
      <c r="BP174" s="116">
        <f ref="BP174:BP203" t="shared" si="96">+BH174-BJ174</f>
        <v>0</v>
      </c>
      <c r="BQ174" s="3"/>
    </row>
    <row r="175" ht="14.25" customHeight="1">
      <c r="A175" s="3"/>
      <c r="B175" s="215">
        <v>46175</v>
      </c>
      <c r="C175" s="118"/>
      <c r="D175" s="123"/>
      <c r="E175" s="120"/>
      <c r="F175" s="120"/>
      <c r="G175" s="147">
        <f t="shared" si="88"/>
        <v>0</v>
      </c>
      <c r="H175" s="148"/>
      <c r="I175" s="143"/>
      <c r="J175" s="143"/>
      <c r="K175" s="143"/>
      <c r="L175" s="123"/>
      <c r="M175" s="143"/>
      <c r="N175" s="143"/>
      <c r="O175" s="143"/>
      <c r="P175" s="143"/>
      <c r="Q175" s="143"/>
      <c r="R175" s="143"/>
      <c r="S175" s="143"/>
      <c r="T175" s="143"/>
      <c r="U175" s="103">
        <f t="shared" si="89"/>
        <v>0</v>
      </c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03">
        <f t="shared" si="90"/>
        <v>0</v>
      </c>
      <c r="AK175" s="123"/>
      <c r="AL175" s="123"/>
      <c r="AM175" s="123"/>
      <c r="AN175" s="105">
        <f t="shared" si="91"/>
        <v>0</v>
      </c>
      <c r="AO175" s="143"/>
      <c r="AP175" s="143"/>
      <c r="AQ175" s="143"/>
      <c r="AR175" s="146"/>
      <c r="AS175" s="224">
        <f t="shared" si="92"/>
        <v>0</v>
      </c>
      <c r="AT175" s="225"/>
      <c r="AU175" s="273"/>
      <c r="AV175" s="276"/>
      <c r="AW175" s="225"/>
      <c r="AX175" s="225"/>
      <c r="AY175" s="126"/>
      <c r="AZ175" s="275"/>
      <c r="BA175" s="225"/>
      <c r="BB175" s="276"/>
      <c r="BC175" s="225"/>
      <c r="BD175" s="225"/>
      <c r="BE175" s="128"/>
      <c r="BF175" s="225"/>
      <c r="BG175" s="222">
        <f t="shared" si="93"/>
        <v>0</v>
      </c>
      <c r="BH175" s="113">
        <f t="shared" si="94"/>
        <v>0</v>
      </c>
      <c r="BI175" s="3"/>
      <c r="BJ175" s="113">
        <f t="shared" si="95"/>
        <v>0</v>
      </c>
      <c r="BK175" s="129"/>
      <c r="BL175" s="129"/>
      <c r="BM175" s="129"/>
      <c r="BN175" s="129"/>
      <c r="BO175" s="288"/>
      <c r="BP175" s="130">
        <f t="shared" si="96"/>
        <v>0</v>
      </c>
      <c r="BQ175" s="3"/>
    </row>
    <row r="176" ht="14.25" customHeight="1">
      <c r="A176" s="3"/>
      <c r="B176" s="215">
        <v>46176</v>
      </c>
      <c r="C176" s="3"/>
      <c r="D176" s="123"/>
      <c r="E176" s="120"/>
      <c r="F176" s="120"/>
      <c r="G176" s="147">
        <f t="shared" si="88"/>
        <v>0</v>
      </c>
      <c r="H176" s="148"/>
      <c r="I176" s="143"/>
      <c r="J176" s="143"/>
      <c r="K176" s="143"/>
      <c r="L176" s="12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89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03">
        <f t="shared" si="90"/>
        <v>0</v>
      </c>
      <c r="AK176" s="123"/>
      <c r="AL176" s="123"/>
      <c r="AM176" s="123"/>
      <c r="AN176" s="105">
        <f t="shared" si="91"/>
        <v>0</v>
      </c>
      <c r="AO176" s="143"/>
      <c r="AP176" s="143"/>
      <c r="AQ176" s="143"/>
      <c r="AR176" s="146"/>
      <c r="AS176" s="224">
        <f t="shared" si="92"/>
        <v>0</v>
      </c>
      <c r="AT176" s="225"/>
      <c r="AU176" s="273"/>
      <c r="AV176" s="276"/>
      <c r="AW176" s="225"/>
      <c r="AX176" s="225"/>
      <c r="AY176" s="126"/>
      <c r="AZ176" s="275"/>
      <c r="BA176" s="225"/>
      <c r="BB176" s="276"/>
      <c r="BC176" s="225"/>
      <c r="BD176" s="225"/>
      <c r="BE176" s="128"/>
      <c r="BF176" s="225"/>
      <c r="BG176" s="222">
        <f t="shared" si="93"/>
        <v>0</v>
      </c>
      <c r="BH176" s="113">
        <f t="shared" si="94"/>
        <v>0</v>
      </c>
      <c r="BI176" s="3"/>
      <c r="BJ176" s="113">
        <f t="shared" si="95"/>
        <v>0</v>
      </c>
      <c r="BK176" s="129"/>
      <c r="BL176" s="129"/>
      <c r="BM176" s="129"/>
      <c r="BN176" s="129"/>
      <c r="BO176" s="288"/>
      <c r="BP176" s="130">
        <f t="shared" si="96"/>
        <v>0</v>
      </c>
      <c r="BQ176" s="3"/>
    </row>
    <row r="177" ht="14.25" customHeight="1">
      <c r="A177" s="132"/>
      <c r="B177" s="215">
        <v>46177</v>
      </c>
      <c r="C177" s="133"/>
      <c r="D177" s="132"/>
      <c r="E177" s="135"/>
      <c r="F177" s="135"/>
      <c r="G177" s="147">
        <f t="shared" si="88"/>
        <v>0</v>
      </c>
      <c r="H177" s="148"/>
      <c r="I177" s="143"/>
      <c r="J177" s="143"/>
      <c r="K177" s="143"/>
      <c r="L177" s="136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89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03">
        <f t="shared" si="90"/>
        <v>0</v>
      </c>
      <c r="AK177" s="136"/>
      <c r="AL177" s="136"/>
      <c r="AM177" s="136"/>
      <c r="AN177" s="105">
        <f t="shared" si="91"/>
        <v>0</v>
      </c>
      <c r="AO177" s="143"/>
      <c r="AP177" s="143"/>
      <c r="AQ177" s="143"/>
      <c r="AR177" s="146"/>
      <c r="AS177" s="224">
        <f t="shared" si="92"/>
        <v>0</v>
      </c>
      <c r="AT177" s="126"/>
      <c r="AU177" s="273"/>
      <c r="AV177" s="274"/>
      <c r="AW177" s="126"/>
      <c r="AX177" s="126"/>
      <c r="AY177" s="126"/>
      <c r="AZ177" s="275"/>
      <c r="BA177" s="126"/>
      <c r="BB177" s="274"/>
      <c r="BC177" s="126"/>
      <c r="BD177" s="126"/>
      <c r="BE177" s="128"/>
      <c r="BF177" s="126"/>
      <c r="BG177" s="222">
        <f t="shared" si="93"/>
        <v>0</v>
      </c>
      <c r="BH177" s="140">
        <f t="shared" si="94"/>
        <v>0</v>
      </c>
      <c r="BI177" s="132"/>
      <c r="BJ177" s="140">
        <f t="shared" si="95"/>
        <v>0</v>
      </c>
      <c r="BK177" s="141"/>
      <c r="BL177" s="141"/>
      <c r="BM177" s="141"/>
      <c r="BN177" s="141"/>
      <c r="BO177" s="288"/>
      <c r="BP177" s="130">
        <f t="shared" si="96"/>
        <v>0</v>
      </c>
      <c r="BQ177" s="132"/>
    </row>
    <row r="178" ht="14.25" customHeight="1">
      <c r="A178" s="132"/>
      <c r="B178" s="215">
        <v>46178</v>
      </c>
      <c r="C178" s="133"/>
      <c r="D178" s="136"/>
      <c r="E178" s="135"/>
      <c r="F178" s="135"/>
      <c r="G178" s="147">
        <f t="shared" si="88"/>
        <v>0</v>
      </c>
      <c r="H178" s="148"/>
      <c r="I178" s="143"/>
      <c r="J178" s="143"/>
      <c r="K178" s="143"/>
      <c r="L178" s="136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89"/>
        <v>0</v>
      </c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03">
        <f t="shared" si="90"/>
        <v>0</v>
      </c>
      <c r="AK178" s="136"/>
      <c r="AL178" s="136"/>
      <c r="AM178" s="136"/>
      <c r="AN178" s="105">
        <f t="shared" si="91"/>
        <v>0</v>
      </c>
      <c r="AO178" s="143"/>
      <c r="AP178" s="143"/>
      <c r="AQ178" s="143"/>
      <c r="AR178" s="146"/>
      <c r="AS178" s="224">
        <f t="shared" si="92"/>
        <v>0</v>
      </c>
      <c r="AT178" s="126"/>
      <c r="AU178" s="273"/>
      <c r="AV178" s="274"/>
      <c r="AW178" s="126"/>
      <c r="AX178" s="126"/>
      <c r="AY178" s="126"/>
      <c r="AZ178" s="275"/>
      <c r="BA178" s="126"/>
      <c r="BB178" s="274"/>
      <c r="BC178" s="126"/>
      <c r="BD178" s="126"/>
      <c r="BE178" s="128"/>
      <c r="BF178" s="126"/>
      <c r="BG178" s="222">
        <f t="shared" si="93"/>
        <v>0</v>
      </c>
      <c r="BH178" s="140">
        <f t="shared" si="94"/>
        <v>0</v>
      </c>
      <c r="BI178" s="132"/>
      <c r="BJ178" s="140">
        <f t="shared" si="95"/>
        <v>0</v>
      </c>
      <c r="BK178" s="141"/>
      <c r="BL178" s="141"/>
      <c r="BM178" s="141"/>
      <c r="BN178" s="141"/>
      <c r="BO178" s="288"/>
      <c r="BP178" s="130">
        <f t="shared" si="96"/>
        <v>0</v>
      </c>
      <c r="BQ178" s="132"/>
    </row>
    <row r="179" ht="14.25" customHeight="1">
      <c r="A179" s="132"/>
      <c r="B179" s="215">
        <v>46179</v>
      </c>
      <c r="C179" s="133"/>
      <c r="D179" s="136"/>
      <c r="E179" s="135"/>
      <c r="F179" s="135"/>
      <c r="G179" s="147">
        <f t="shared" si="88"/>
        <v>0</v>
      </c>
      <c r="H179" s="148"/>
      <c r="I179" s="143"/>
      <c r="J179" s="143"/>
      <c r="K179" s="143"/>
      <c r="L179" s="136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89"/>
        <v>0</v>
      </c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03">
        <f t="shared" si="90"/>
        <v>0</v>
      </c>
      <c r="AK179" s="136"/>
      <c r="AL179" s="136"/>
      <c r="AM179" s="136"/>
      <c r="AN179" s="105">
        <f t="shared" si="91"/>
        <v>0</v>
      </c>
      <c r="AO179" s="143"/>
      <c r="AP179" s="143"/>
      <c r="AQ179" s="143"/>
      <c r="AR179" s="146"/>
      <c r="AS179" s="224">
        <f t="shared" si="92"/>
        <v>0</v>
      </c>
      <c r="AT179" s="126"/>
      <c r="AU179" s="273"/>
      <c r="AV179" s="274"/>
      <c r="AW179" s="126"/>
      <c r="AX179" s="126"/>
      <c r="AY179" s="126"/>
      <c r="AZ179" s="275"/>
      <c r="BA179" s="126"/>
      <c r="BB179" s="274"/>
      <c r="BC179" s="126"/>
      <c r="BD179" s="126"/>
      <c r="BE179" s="128"/>
      <c r="BF179" s="126"/>
      <c r="BG179" s="222">
        <f t="shared" si="93"/>
        <v>0</v>
      </c>
      <c r="BH179" s="140">
        <f t="shared" si="94"/>
        <v>0</v>
      </c>
      <c r="BI179" s="132"/>
      <c r="BJ179" s="140">
        <f t="shared" si="95"/>
        <v>0</v>
      </c>
      <c r="BK179" s="141"/>
      <c r="BL179" s="141"/>
      <c r="BM179" s="288"/>
      <c r="BN179" s="141"/>
      <c r="BO179" s="288"/>
      <c r="BP179" s="130">
        <f t="shared" si="96"/>
        <v>0</v>
      </c>
      <c r="BQ179" s="132"/>
    </row>
    <row r="180" ht="14.25" customHeight="1">
      <c r="A180" s="132"/>
      <c r="B180" s="215">
        <v>46180</v>
      </c>
      <c r="C180" s="133"/>
      <c r="D180" s="136"/>
      <c r="E180" s="135"/>
      <c r="F180" s="135"/>
      <c r="G180" s="147">
        <f t="shared" si="88"/>
        <v>0</v>
      </c>
      <c r="H180" s="148"/>
      <c r="I180" s="143"/>
      <c r="J180" s="143"/>
      <c r="K180" s="143"/>
      <c r="L180" s="136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89"/>
        <v>0</v>
      </c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03">
        <f t="shared" si="90"/>
        <v>0</v>
      </c>
      <c r="AK180" s="136"/>
      <c r="AL180" s="136"/>
      <c r="AM180" s="136"/>
      <c r="AN180" s="105">
        <f t="shared" si="91"/>
        <v>0</v>
      </c>
      <c r="AO180" s="143"/>
      <c r="AP180" s="143"/>
      <c r="AQ180" s="143"/>
      <c r="AR180" s="146"/>
      <c r="AS180" s="224">
        <f t="shared" si="92"/>
        <v>0</v>
      </c>
      <c r="AT180" s="126"/>
      <c r="AU180" s="273"/>
      <c r="AV180" s="274"/>
      <c r="AW180" s="126"/>
      <c r="AX180" s="126"/>
      <c r="AY180" s="126"/>
      <c r="AZ180" s="275"/>
      <c r="BA180" s="126"/>
      <c r="BB180" s="274"/>
      <c r="BC180" s="126"/>
      <c r="BD180" s="126"/>
      <c r="BE180" s="128"/>
      <c r="BF180" s="126"/>
      <c r="BG180" s="222">
        <f t="shared" si="93"/>
        <v>0</v>
      </c>
      <c r="BH180" s="140">
        <f t="shared" si="94"/>
        <v>0</v>
      </c>
      <c r="BI180" s="132"/>
      <c r="BJ180" s="140">
        <f t="shared" si="95"/>
        <v>0</v>
      </c>
      <c r="BK180" s="141"/>
      <c r="BL180" s="141"/>
      <c r="BM180" s="141"/>
      <c r="BN180" s="141"/>
      <c r="BO180" s="288"/>
      <c r="BP180" s="130">
        <f t="shared" si="96"/>
        <v>0</v>
      </c>
      <c r="BQ180" s="132"/>
    </row>
    <row r="181" ht="14.25" customHeight="1">
      <c r="A181" s="132"/>
      <c r="B181" s="215">
        <v>46181</v>
      </c>
      <c r="C181" s="133"/>
      <c r="D181" s="136"/>
      <c r="E181" s="135"/>
      <c r="F181" s="135"/>
      <c r="G181" s="147">
        <f t="shared" si="88"/>
        <v>0</v>
      </c>
      <c r="H181" s="148"/>
      <c r="I181" s="143"/>
      <c r="J181" s="143"/>
      <c r="K181" s="143"/>
      <c r="L181" s="136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89"/>
        <v>0</v>
      </c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03">
        <f t="shared" si="90"/>
        <v>0</v>
      </c>
      <c r="AK181" s="136"/>
      <c r="AL181" s="136"/>
      <c r="AM181" s="136"/>
      <c r="AN181" s="105">
        <f t="shared" si="91"/>
        <v>0</v>
      </c>
      <c r="AO181" s="143"/>
      <c r="AP181" s="143"/>
      <c r="AQ181" s="143"/>
      <c r="AR181" s="146"/>
      <c r="AS181" s="224">
        <f t="shared" si="92"/>
        <v>0</v>
      </c>
      <c r="AT181" s="126"/>
      <c r="AU181" s="273"/>
      <c r="AV181" s="274"/>
      <c r="AW181" s="126"/>
      <c r="AX181" s="126"/>
      <c r="AY181" s="126"/>
      <c r="AZ181" s="275"/>
      <c r="BA181" s="126"/>
      <c r="BB181" s="274"/>
      <c r="BC181" s="126"/>
      <c r="BD181" s="126"/>
      <c r="BE181" s="128"/>
      <c r="BF181" s="126"/>
      <c r="BG181" s="222">
        <f t="shared" si="93"/>
        <v>0</v>
      </c>
      <c r="BH181" s="140">
        <f t="shared" si="94"/>
        <v>0</v>
      </c>
      <c r="BI181" s="132"/>
      <c r="BJ181" s="140">
        <f t="shared" si="95"/>
        <v>0</v>
      </c>
      <c r="BK181" s="141"/>
      <c r="BL181" s="141"/>
      <c r="BM181" s="141"/>
      <c r="BN181" s="141"/>
      <c r="BO181" s="288"/>
      <c r="BP181" s="130">
        <f t="shared" si="96"/>
        <v>0</v>
      </c>
      <c r="BQ181" s="132"/>
    </row>
    <row r="182" ht="14.25" customHeight="1">
      <c r="A182" s="132"/>
      <c r="B182" s="215">
        <v>46182</v>
      </c>
      <c r="C182" s="133"/>
      <c r="D182" s="136"/>
      <c r="E182" s="135"/>
      <c r="F182" s="135"/>
      <c r="G182" s="147">
        <f t="shared" si="88"/>
        <v>0</v>
      </c>
      <c r="H182" s="148"/>
      <c r="I182" s="143"/>
      <c r="J182" s="143"/>
      <c r="K182" s="143"/>
      <c r="L182" s="136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89"/>
        <v>0</v>
      </c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03">
        <f t="shared" si="90"/>
        <v>0</v>
      </c>
      <c r="AK182" s="136"/>
      <c r="AL182" s="136"/>
      <c r="AM182" s="136"/>
      <c r="AN182" s="105">
        <f t="shared" si="91"/>
        <v>0</v>
      </c>
      <c r="AO182" s="143"/>
      <c r="AP182" s="143"/>
      <c r="AQ182" s="143"/>
      <c r="AR182" s="146"/>
      <c r="AS182" s="224">
        <f t="shared" si="92"/>
        <v>0</v>
      </c>
      <c r="AT182" s="126"/>
      <c r="AU182" s="273"/>
      <c r="AV182" s="274"/>
      <c r="AW182" s="126"/>
      <c r="AX182" s="126"/>
      <c r="AY182" s="126"/>
      <c r="AZ182" s="275"/>
      <c r="BA182" s="126"/>
      <c r="BB182" s="274"/>
      <c r="BC182" s="126"/>
      <c r="BD182" s="126"/>
      <c r="BE182" s="128"/>
      <c r="BF182" s="126"/>
      <c r="BG182" s="222">
        <f t="shared" si="93"/>
        <v>0</v>
      </c>
      <c r="BH182" s="140">
        <f t="shared" si="94"/>
        <v>0</v>
      </c>
      <c r="BI182" s="132"/>
      <c r="BJ182" s="140">
        <f t="shared" si="95"/>
        <v>0</v>
      </c>
      <c r="BK182" s="141"/>
      <c r="BL182" s="141"/>
      <c r="BM182" s="288"/>
      <c r="BN182" s="141"/>
      <c r="BO182" s="288"/>
      <c r="BP182" s="130">
        <f t="shared" si="96"/>
        <v>0</v>
      </c>
      <c r="BQ182" s="132"/>
    </row>
    <row r="183" ht="14.25" customHeight="1">
      <c r="A183" s="132"/>
      <c r="B183" s="215">
        <v>46183</v>
      </c>
      <c r="C183" s="133"/>
      <c r="D183" s="136"/>
      <c r="E183" s="135"/>
      <c r="F183" s="135"/>
      <c r="G183" s="147">
        <f t="shared" si="88"/>
        <v>0</v>
      </c>
      <c r="H183" s="148"/>
      <c r="I183" s="143"/>
      <c r="J183" s="143"/>
      <c r="K183" s="143"/>
      <c r="L183" s="136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89"/>
        <v>0</v>
      </c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03">
        <f t="shared" si="90"/>
        <v>0</v>
      </c>
      <c r="AK183" s="136"/>
      <c r="AL183" s="136"/>
      <c r="AM183" s="136"/>
      <c r="AN183" s="105">
        <f t="shared" si="91"/>
        <v>0</v>
      </c>
      <c r="AO183" s="143"/>
      <c r="AP183" s="143"/>
      <c r="AQ183" s="143"/>
      <c r="AR183" s="146"/>
      <c r="AS183" s="224">
        <f t="shared" si="92"/>
        <v>0</v>
      </c>
      <c r="AT183" s="126"/>
      <c r="AU183" s="273"/>
      <c r="AV183" s="274"/>
      <c r="AW183" s="126"/>
      <c r="AX183" s="126"/>
      <c r="AY183" s="126"/>
      <c r="AZ183" s="275"/>
      <c r="BA183" s="126"/>
      <c r="BB183" s="274"/>
      <c r="BC183" s="126"/>
      <c r="BD183" s="126"/>
      <c r="BE183" s="128"/>
      <c r="BF183" s="126"/>
      <c r="BG183" s="222">
        <f t="shared" si="93"/>
        <v>0</v>
      </c>
      <c r="BH183" s="140">
        <f t="shared" si="94"/>
        <v>0</v>
      </c>
      <c r="BI183" s="132"/>
      <c r="BJ183" s="140">
        <f t="shared" si="95"/>
        <v>0</v>
      </c>
      <c r="BK183" s="141"/>
      <c r="BL183" s="141"/>
      <c r="BM183" s="141"/>
      <c r="BN183" s="141"/>
      <c r="BO183" s="288"/>
      <c r="BP183" s="130">
        <f t="shared" si="96"/>
        <v>0</v>
      </c>
      <c r="BQ183" s="132"/>
    </row>
    <row r="184" ht="14.25" customHeight="1">
      <c r="A184" s="132"/>
      <c r="B184" s="215">
        <v>46184</v>
      </c>
      <c r="C184" s="133"/>
      <c r="D184" s="136"/>
      <c r="E184" s="135"/>
      <c r="F184" s="135"/>
      <c r="G184" s="147">
        <f t="shared" si="88"/>
        <v>0</v>
      </c>
      <c r="H184" s="148"/>
      <c r="I184" s="143"/>
      <c r="J184" s="143"/>
      <c r="K184" s="143"/>
      <c r="L184" s="136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89"/>
        <v>0</v>
      </c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03">
        <f t="shared" si="90"/>
        <v>0</v>
      </c>
      <c r="AK184" s="136"/>
      <c r="AL184" s="136"/>
      <c r="AM184" s="136"/>
      <c r="AN184" s="105">
        <f t="shared" si="91"/>
        <v>0</v>
      </c>
      <c r="AO184" s="143"/>
      <c r="AP184" s="143"/>
      <c r="AQ184" s="143"/>
      <c r="AR184" s="146"/>
      <c r="AS184" s="224">
        <f t="shared" si="92"/>
        <v>0</v>
      </c>
      <c r="AT184" s="126"/>
      <c r="AU184" s="273"/>
      <c r="AV184" s="274"/>
      <c r="AW184" s="126"/>
      <c r="AX184" s="126"/>
      <c r="AY184" s="126"/>
      <c r="AZ184" s="275"/>
      <c r="BA184" s="126"/>
      <c r="BB184" s="274"/>
      <c r="BC184" s="126"/>
      <c r="BD184" s="126"/>
      <c r="BE184" s="128"/>
      <c r="BF184" s="126"/>
      <c r="BG184" s="222">
        <f t="shared" si="93"/>
        <v>0</v>
      </c>
      <c r="BH184" s="140">
        <f t="shared" si="94"/>
        <v>0</v>
      </c>
      <c r="BI184" s="132"/>
      <c r="BJ184" s="140">
        <f t="shared" si="95"/>
        <v>0</v>
      </c>
      <c r="BK184" s="141"/>
      <c r="BL184" s="141"/>
      <c r="BM184" s="141"/>
      <c r="BN184" s="141"/>
      <c r="BO184" s="288"/>
      <c r="BP184" s="130">
        <f t="shared" si="96"/>
        <v>0</v>
      </c>
      <c r="BQ184" s="132"/>
    </row>
    <row r="185" ht="14.25" customHeight="1">
      <c r="A185" s="132"/>
      <c r="B185" s="215">
        <v>46185</v>
      </c>
      <c r="C185" s="133"/>
      <c r="D185" s="136"/>
      <c r="E185" s="135"/>
      <c r="F185" s="135"/>
      <c r="G185" s="147">
        <f t="shared" si="88"/>
        <v>0</v>
      </c>
      <c r="H185" s="148"/>
      <c r="I185" s="143"/>
      <c r="J185" s="143"/>
      <c r="K185" s="143"/>
      <c r="L185" s="136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89"/>
        <v>0</v>
      </c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03">
        <f t="shared" si="90"/>
        <v>0</v>
      </c>
      <c r="AK185" s="136"/>
      <c r="AL185" s="136"/>
      <c r="AM185" s="136"/>
      <c r="AN185" s="105">
        <f t="shared" si="91"/>
        <v>0</v>
      </c>
      <c r="AO185" s="143"/>
      <c r="AP185" s="143"/>
      <c r="AQ185" s="143"/>
      <c r="AR185" s="146"/>
      <c r="AS185" s="224">
        <f t="shared" si="92"/>
        <v>0</v>
      </c>
      <c r="AT185" s="126"/>
      <c r="AU185" s="273"/>
      <c r="AV185" s="274"/>
      <c r="AW185" s="126"/>
      <c r="AX185" s="126"/>
      <c r="AY185" s="126"/>
      <c r="AZ185" s="275"/>
      <c r="BA185" s="126"/>
      <c r="BB185" s="274"/>
      <c r="BC185" s="126"/>
      <c r="BD185" s="126"/>
      <c r="BE185" s="128"/>
      <c r="BF185" s="126"/>
      <c r="BG185" s="222">
        <f t="shared" si="93"/>
        <v>0</v>
      </c>
      <c r="BH185" s="140">
        <f t="shared" si="94"/>
        <v>0</v>
      </c>
      <c r="BI185" s="132"/>
      <c r="BJ185" s="140">
        <f t="shared" si="95"/>
        <v>0</v>
      </c>
      <c r="BK185" s="141"/>
      <c r="BL185" s="141"/>
      <c r="BM185" s="141"/>
      <c r="BN185" s="141"/>
      <c r="BO185" s="288"/>
      <c r="BP185" s="130">
        <f t="shared" si="96"/>
        <v>0</v>
      </c>
      <c r="BQ185" s="132"/>
    </row>
    <row r="186" ht="14.25" customHeight="1">
      <c r="A186" s="3"/>
      <c r="B186" s="215">
        <v>46186</v>
      </c>
      <c r="C186" s="118"/>
      <c r="D186" s="123"/>
      <c r="E186" s="120"/>
      <c r="F186" s="120"/>
      <c r="G186" s="147">
        <f t="shared" si="88"/>
        <v>0</v>
      </c>
      <c r="H186" s="148"/>
      <c r="I186" s="143"/>
      <c r="J186" s="143"/>
      <c r="K186" s="143"/>
      <c r="L186" s="12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89"/>
        <v>0</v>
      </c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03">
        <f t="shared" si="90"/>
        <v>0</v>
      </c>
      <c r="AK186" s="123"/>
      <c r="AL186" s="123"/>
      <c r="AM186" s="123"/>
      <c r="AN186" s="105">
        <f t="shared" si="91"/>
        <v>0</v>
      </c>
      <c r="AO186" s="143"/>
      <c r="AP186" s="143"/>
      <c r="AQ186" s="143"/>
      <c r="AR186" s="146"/>
      <c r="AS186" s="224">
        <f t="shared" si="92"/>
        <v>0</v>
      </c>
      <c r="AT186" s="225"/>
      <c r="AU186" s="273"/>
      <c r="AV186" s="276"/>
      <c r="AW186" s="225"/>
      <c r="AX186" s="225"/>
      <c r="AY186" s="126"/>
      <c r="AZ186" s="275"/>
      <c r="BA186" s="225"/>
      <c r="BB186" s="276"/>
      <c r="BC186" s="225"/>
      <c r="BD186" s="225"/>
      <c r="BE186" s="128"/>
      <c r="BF186" s="225"/>
      <c r="BG186" s="222">
        <f t="shared" si="93"/>
        <v>0</v>
      </c>
      <c r="BH186" s="113">
        <f t="shared" si="94"/>
        <v>0</v>
      </c>
      <c r="BI186" s="3"/>
      <c r="BJ186" s="113">
        <f t="shared" si="95"/>
        <v>0</v>
      </c>
      <c r="BK186" s="129"/>
      <c r="BL186" s="129"/>
      <c r="BM186" s="129"/>
      <c r="BN186" s="129"/>
      <c r="BO186" s="288"/>
      <c r="BP186" s="130">
        <f t="shared" si="96"/>
        <v>0</v>
      </c>
      <c r="BQ186" s="3"/>
    </row>
    <row r="187" ht="14.25" customHeight="1">
      <c r="A187" s="3"/>
      <c r="B187" s="215">
        <v>46187</v>
      </c>
      <c r="C187" s="118"/>
      <c r="D187" s="123"/>
      <c r="E187" s="120"/>
      <c r="F187" s="120"/>
      <c r="G187" s="147">
        <f t="shared" si="88"/>
        <v>0</v>
      </c>
      <c r="H187" s="148"/>
      <c r="I187" s="143"/>
      <c r="J187" s="143"/>
      <c r="K187" s="143"/>
      <c r="L187" s="12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89"/>
        <v>0</v>
      </c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03">
        <f t="shared" si="90"/>
        <v>0</v>
      </c>
      <c r="AK187" s="123"/>
      <c r="AL187" s="123"/>
      <c r="AM187" s="123"/>
      <c r="AN187" s="105">
        <f t="shared" si="91"/>
        <v>0</v>
      </c>
      <c r="AO187" s="143"/>
      <c r="AP187" s="143"/>
      <c r="AQ187" s="143"/>
      <c r="AR187" s="146"/>
      <c r="AS187" s="224">
        <f t="shared" si="92"/>
        <v>0</v>
      </c>
      <c r="AT187" s="225"/>
      <c r="AU187" s="273"/>
      <c r="AV187" s="276"/>
      <c r="AW187" s="225"/>
      <c r="AX187" s="225"/>
      <c r="AY187" s="126"/>
      <c r="AZ187" s="275"/>
      <c r="BA187" s="225"/>
      <c r="BB187" s="276"/>
      <c r="BC187" s="225"/>
      <c r="BD187" s="225"/>
      <c r="BE187" s="128"/>
      <c r="BF187" s="225"/>
      <c r="BG187" s="222">
        <f t="shared" si="93"/>
        <v>0</v>
      </c>
      <c r="BH187" s="113">
        <f t="shared" si="94"/>
        <v>0</v>
      </c>
      <c r="BI187" s="3"/>
      <c r="BJ187" s="113">
        <f t="shared" si="95"/>
        <v>0</v>
      </c>
      <c r="BK187" s="129"/>
      <c r="BL187" s="129"/>
      <c r="BM187" s="129"/>
      <c r="BN187" s="129"/>
      <c r="BO187" s="288"/>
      <c r="BP187" s="130">
        <f t="shared" si="96"/>
        <v>0</v>
      </c>
      <c r="BQ187" s="3"/>
    </row>
    <row r="188" ht="14.25" customHeight="1">
      <c r="A188" s="132"/>
      <c r="B188" s="215">
        <v>46188</v>
      </c>
      <c r="C188" s="133"/>
      <c r="D188" s="136"/>
      <c r="E188" s="135"/>
      <c r="F188" s="135"/>
      <c r="G188" s="147">
        <f t="shared" si="88"/>
        <v>0</v>
      </c>
      <c r="H188" s="148"/>
      <c r="I188" s="143"/>
      <c r="J188" s="143"/>
      <c r="K188" s="143"/>
      <c r="L188" s="136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89"/>
        <v>0</v>
      </c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03">
        <f t="shared" si="90"/>
        <v>0</v>
      </c>
      <c r="AK188" s="136"/>
      <c r="AL188" s="136"/>
      <c r="AM188" s="136"/>
      <c r="AN188" s="105">
        <f t="shared" si="91"/>
        <v>0</v>
      </c>
      <c r="AO188" s="143"/>
      <c r="AP188" s="143"/>
      <c r="AQ188" s="143"/>
      <c r="AR188" s="146"/>
      <c r="AS188" s="224">
        <f t="shared" si="92"/>
        <v>0</v>
      </c>
      <c r="AT188" s="126"/>
      <c r="AU188" s="273"/>
      <c r="AV188" s="274"/>
      <c r="AW188" s="126"/>
      <c r="AX188" s="126"/>
      <c r="AY188" s="126"/>
      <c r="AZ188" s="275"/>
      <c r="BA188" s="126"/>
      <c r="BB188" s="274"/>
      <c r="BC188" s="126"/>
      <c r="BD188" s="126"/>
      <c r="BE188" s="128"/>
      <c r="BF188" s="126"/>
      <c r="BG188" s="222">
        <f t="shared" si="93"/>
        <v>0</v>
      </c>
      <c r="BH188" s="140">
        <f t="shared" si="94"/>
        <v>0</v>
      </c>
      <c r="BI188" s="132"/>
      <c r="BJ188" s="140">
        <f t="shared" si="95"/>
        <v>0</v>
      </c>
      <c r="BK188" s="141"/>
      <c r="BL188" s="141"/>
      <c r="BM188" s="141"/>
      <c r="BN188" s="141"/>
      <c r="BO188" s="288"/>
      <c r="BP188" s="130">
        <f t="shared" si="96"/>
        <v>0</v>
      </c>
      <c r="BQ188" s="132"/>
    </row>
    <row r="189" ht="14.25" customHeight="1">
      <c r="A189" s="132"/>
      <c r="B189" s="215">
        <v>46189</v>
      </c>
      <c r="C189" s="133"/>
      <c r="D189" s="136"/>
      <c r="E189" s="135"/>
      <c r="F189" s="135"/>
      <c r="G189" s="147">
        <f t="shared" si="88"/>
        <v>0</v>
      </c>
      <c r="H189" s="148"/>
      <c r="I189" s="143"/>
      <c r="J189" s="143"/>
      <c r="K189" s="143"/>
      <c r="L189" s="136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89"/>
        <v>0</v>
      </c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03">
        <f t="shared" si="90"/>
        <v>0</v>
      </c>
      <c r="AK189" s="136"/>
      <c r="AL189" s="136"/>
      <c r="AM189" s="136"/>
      <c r="AN189" s="105">
        <f t="shared" si="91"/>
        <v>0</v>
      </c>
      <c r="AO189" s="143"/>
      <c r="AP189" s="143"/>
      <c r="AQ189" s="143"/>
      <c r="AR189" s="146"/>
      <c r="AS189" s="224">
        <f t="shared" si="92"/>
        <v>0</v>
      </c>
      <c r="AT189" s="126"/>
      <c r="AU189" s="289"/>
      <c r="AV189" s="127"/>
      <c r="AW189" s="126"/>
      <c r="AX189" s="274"/>
      <c r="AY189" s="126"/>
      <c r="AZ189" s="275"/>
      <c r="BA189" s="126"/>
      <c r="BB189" s="274"/>
      <c r="BC189" s="126"/>
      <c r="BD189" s="126"/>
      <c r="BE189" s="128"/>
      <c r="BF189" s="126"/>
      <c r="BG189" s="222">
        <f t="shared" si="93"/>
        <v>0</v>
      </c>
      <c r="BH189" s="140">
        <f t="shared" si="94"/>
        <v>0</v>
      </c>
      <c r="BI189" s="132"/>
      <c r="BJ189" s="140">
        <f t="shared" si="95"/>
        <v>0</v>
      </c>
      <c r="BK189" s="141"/>
      <c r="BL189" s="141"/>
      <c r="BM189" s="141"/>
      <c r="BN189" s="290"/>
      <c r="BO189" s="288"/>
      <c r="BP189" s="130">
        <f t="shared" si="96"/>
        <v>0</v>
      </c>
      <c r="BQ189" s="132"/>
    </row>
    <row r="190" ht="14.25" customHeight="1">
      <c r="A190" s="132"/>
      <c r="B190" s="215">
        <v>46190</v>
      </c>
      <c r="C190" s="133"/>
      <c r="D190" s="136"/>
      <c r="E190" s="135"/>
      <c r="F190" s="135"/>
      <c r="G190" s="147">
        <f t="shared" si="88"/>
        <v>0</v>
      </c>
      <c r="H190" s="148"/>
      <c r="I190" s="143"/>
      <c r="J190" s="143"/>
      <c r="K190" s="143"/>
      <c r="L190" s="136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89"/>
        <v>0</v>
      </c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03">
        <f t="shared" si="90"/>
        <v>0</v>
      </c>
      <c r="AK190" s="136"/>
      <c r="AL190" s="136"/>
      <c r="AM190" s="136"/>
      <c r="AN190" s="105">
        <f t="shared" si="91"/>
        <v>0</v>
      </c>
      <c r="AO190" s="143"/>
      <c r="AP190" s="143"/>
      <c r="AQ190" s="143"/>
      <c r="AR190" s="146"/>
      <c r="AS190" s="224">
        <f t="shared" si="92"/>
        <v>0</v>
      </c>
      <c r="AT190" s="126"/>
      <c r="AU190" s="273"/>
      <c r="AV190" s="274"/>
      <c r="AW190" s="126"/>
      <c r="AX190" s="126"/>
      <c r="AY190" s="126"/>
      <c r="AZ190" s="275"/>
      <c r="BA190" s="126"/>
      <c r="BB190" s="274"/>
      <c r="BC190" s="126"/>
      <c r="BD190" s="126"/>
      <c r="BE190" s="128"/>
      <c r="BF190" s="126"/>
      <c r="BG190" s="222">
        <f t="shared" si="93"/>
        <v>0</v>
      </c>
      <c r="BH190" s="140">
        <f t="shared" si="94"/>
        <v>0</v>
      </c>
      <c r="BI190" s="132"/>
      <c r="BJ190" s="140">
        <f t="shared" si="95"/>
        <v>0</v>
      </c>
      <c r="BK190" s="141"/>
      <c r="BL190" s="141"/>
      <c r="BM190" s="141"/>
      <c r="BN190" s="141"/>
      <c r="BO190" s="288"/>
      <c r="BP190" s="130">
        <f t="shared" si="96"/>
        <v>0</v>
      </c>
      <c r="BQ190" s="132"/>
    </row>
    <row r="191" ht="14.25" customHeight="1">
      <c r="A191" s="132"/>
      <c r="B191" s="215">
        <v>46191</v>
      </c>
      <c r="C191" s="133"/>
      <c r="D191" s="136"/>
      <c r="E191" s="135"/>
      <c r="F191" s="135"/>
      <c r="G191" s="147">
        <f t="shared" si="88"/>
        <v>0</v>
      </c>
      <c r="H191" s="148"/>
      <c r="I191" s="143"/>
      <c r="J191" s="143"/>
      <c r="K191" s="143"/>
      <c r="L191" s="136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89"/>
        <v>0</v>
      </c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03">
        <f t="shared" si="90"/>
        <v>0</v>
      </c>
      <c r="AK191" s="136"/>
      <c r="AL191" s="136"/>
      <c r="AM191" s="136"/>
      <c r="AN191" s="105">
        <f t="shared" si="91"/>
        <v>0</v>
      </c>
      <c r="AO191" s="143"/>
      <c r="AP191" s="143"/>
      <c r="AQ191" s="143"/>
      <c r="AR191" s="146"/>
      <c r="AS191" s="224">
        <f t="shared" si="92"/>
        <v>0</v>
      </c>
      <c r="AT191" s="126"/>
      <c r="AU191" s="273"/>
      <c r="AV191" s="274"/>
      <c r="AW191" s="126"/>
      <c r="AX191" s="126"/>
      <c r="AY191" s="126"/>
      <c r="AZ191" s="275"/>
      <c r="BA191" s="126"/>
      <c r="BB191" s="274"/>
      <c r="BC191" s="126"/>
      <c r="BD191" s="126"/>
      <c r="BE191" s="128"/>
      <c r="BF191" s="126"/>
      <c r="BG191" s="222">
        <f t="shared" si="93"/>
        <v>0</v>
      </c>
      <c r="BH191" s="140">
        <f t="shared" si="94"/>
        <v>0</v>
      </c>
      <c r="BI191" s="132"/>
      <c r="BJ191" s="140">
        <f t="shared" si="95"/>
        <v>0</v>
      </c>
      <c r="BK191" s="141"/>
      <c r="BL191" s="141"/>
      <c r="BM191" s="129"/>
      <c r="BN191" s="141"/>
      <c r="BO191" s="288"/>
      <c r="BP191" s="130">
        <f t="shared" si="96"/>
        <v>0</v>
      </c>
      <c r="BQ191" s="132"/>
    </row>
    <row r="192" ht="14.25" customHeight="1">
      <c r="A192" s="132"/>
      <c r="B192" s="215">
        <v>46192</v>
      </c>
      <c r="C192" s="133"/>
      <c r="D192" s="136"/>
      <c r="E192" s="135"/>
      <c r="F192" s="135"/>
      <c r="G192" s="147">
        <f t="shared" si="88"/>
        <v>0</v>
      </c>
      <c r="H192" s="148"/>
      <c r="I192" s="143"/>
      <c r="J192" s="143"/>
      <c r="K192" s="143"/>
      <c r="L192" s="136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89"/>
        <v>0</v>
      </c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03">
        <f t="shared" si="90"/>
        <v>0</v>
      </c>
      <c r="AK192" s="136"/>
      <c r="AL192" s="136"/>
      <c r="AM192" s="136"/>
      <c r="AN192" s="105">
        <f t="shared" si="91"/>
        <v>0</v>
      </c>
      <c r="AO192" s="143"/>
      <c r="AP192" s="143"/>
      <c r="AQ192" s="143"/>
      <c r="AR192" s="146"/>
      <c r="AS192" s="224">
        <f t="shared" si="92"/>
        <v>0</v>
      </c>
      <c r="AT192" s="126"/>
      <c r="AU192" s="273"/>
      <c r="AV192" s="274"/>
      <c r="AW192" s="126"/>
      <c r="AX192" s="126"/>
      <c r="AY192" s="126"/>
      <c r="AZ192" s="275"/>
      <c r="BA192" s="126"/>
      <c r="BB192" s="274"/>
      <c r="BC192" s="126"/>
      <c r="BD192" s="126"/>
      <c r="BE192" s="128"/>
      <c r="BF192" s="126"/>
      <c r="BG192" s="222">
        <f t="shared" si="93"/>
        <v>0</v>
      </c>
      <c r="BH192" s="140">
        <f t="shared" si="94"/>
        <v>0</v>
      </c>
      <c r="BI192" s="132"/>
      <c r="BJ192" s="140">
        <f t="shared" si="95"/>
        <v>0</v>
      </c>
      <c r="BK192" s="141"/>
      <c r="BL192" s="141"/>
      <c r="BM192" s="141"/>
      <c r="BN192" s="141"/>
      <c r="BO192" s="288"/>
      <c r="BP192" s="130">
        <f t="shared" si="96"/>
        <v>0</v>
      </c>
      <c r="BQ192" s="132"/>
    </row>
    <row r="193" ht="14.25" customHeight="1">
      <c r="A193" s="132"/>
      <c r="B193" s="215">
        <v>46193</v>
      </c>
      <c r="C193" s="133"/>
      <c r="D193" s="136"/>
      <c r="E193" s="135"/>
      <c r="F193" s="135"/>
      <c r="G193" s="147">
        <f t="shared" si="88"/>
        <v>0</v>
      </c>
      <c r="H193" s="148"/>
      <c r="I193" s="143"/>
      <c r="J193" s="143"/>
      <c r="K193" s="143"/>
      <c r="L193" s="136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89"/>
        <v>0</v>
      </c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03">
        <f t="shared" si="90"/>
        <v>0</v>
      </c>
      <c r="AK193" s="136"/>
      <c r="AL193" s="136"/>
      <c r="AM193" s="136"/>
      <c r="AN193" s="105">
        <f t="shared" si="91"/>
        <v>0</v>
      </c>
      <c r="AO193" s="143"/>
      <c r="AP193" s="143"/>
      <c r="AQ193" s="143"/>
      <c r="AR193" s="146"/>
      <c r="AS193" s="224">
        <f t="shared" si="92"/>
        <v>0</v>
      </c>
      <c r="AT193" s="126"/>
      <c r="AU193" s="273"/>
      <c r="AV193" s="274"/>
      <c r="AW193" s="126"/>
      <c r="AX193" s="126"/>
      <c r="AY193" s="126"/>
      <c r="AZ193" s="275"/>
      <c r="BA193" s="126"/>
      <c r="BB193" s="274"/>
      <c r="BC193" s="126"/>
      <c r="BD193" s="126"/>
      <c r="BE193" s="128"/>
      <c r="BF193" s="126"/>
      <c r="BG193" s="222">
        <f t="shared" si="93"/>
        <v>0</v>
      </c>
      <c r="BH193" s="140">
        <f t="shared" si="94"/>
        <v>0</v>
      </c>
      <c r="BI193" s="132"/>
      <c r="BJ193" s="140">
        <f t="shared" si="95"/>
        <v>0</v>
      </c>
      <c r="BK193" s="141"/>
      <c r="BL193" s="141"/>
      <c r="BM193" s="129"/>
      <c r="BN193" s="141"/>
      <c r="BO193" s="288"/>
      <c r="BP193" s="130">
        <f t="shared" si="96"/>
        <v>0</v>
      </c>
      <c r="BQ193" s="132"/>
    </row>
    <row r="194" ht="14.25" customHeight="1">
      <c r="A194" s="132"/>
      <c r="B194" s="215">
        <v>46194</v>
      </c>
      <c r="C194" s="136"/>
      <c r="D194" s="136"/>
      <c r="E194" s="135"/>
      <c r="F194" s="135"/>
      <c r="G194" s="147">
        <f t="shared" si="88"/>
        <v>0</v>
      </c>
      <c r="H194" s="148"/>
      <c r="I194" s="143"/>
      <c r="J194" s="143"/>
      <c r="K194" s="143"/>
      <c r="L194" s="136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89"/>
        <v>0</v>
      </c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03">
        <f t="shared" si="90"/>
        <v>0</v>
      </c>
      <c r="AK194" s="136"/>
      <c r="AL194" s="136"/>
      <c r="AM194" s="136"/>
      <c r="AN194" s="105">
        <f t="shared" si="91"/>
        <v>0</v>
      </c>
      <c r="AO194" s="143"/>
      <c r="AP194" s="143"/>
      <c r="AQ194" s="143"/>
      <c r="AR194" s="146"/>
      <c r="AS194" s="224">
        <f t="shared" si="92"/>
        <v>0</v>
      </c>
      <c r="AT194" s="126"/>
      <c r="AU194" s="273"/>
      <c r="AV194" s="274"/>
      <c r="AW194" s="126"/>
      <c r="AX194" s="126"/>
      <c r="AY194" s="126"/>
      <c r="AZ194" s="275"/>
      <c r="BA194" s="126"/>
      <c r="BB194" s="274"/>
      <c r="BC194" s="126"/>
      <c r="BD194" s="126"/>
      <c r="BE194" s="128"/>
      <c r="BF194" s="126"/>
      <c r="BG194" s="222">
        <f t="shared" si="93"/>
        <v>0</v>
      </c>
      <c r="BH194" s="140">
        <f t="shared" si="94"/>
        <v>0</v>
      </c>
      <c r="BI194" s="132"/>
      <c r="BJ194" s="140">
        <f t="shared" si="95"/>
        <v>0</v>
      </c>
      <c r="BK194" s="141"/>
      <c r="BL194" s="141"/>
      <c r="BM194" s="141"/>
      <c r="BN194" s="141"/>
      <c r="BO194" s="288"/>
      <c r="BP194" s="130">
        <f t="shared" si="96"/>
        <v>0</v>
      </c>
      <c r="BQ194" s="132"/>
    </row>
    <row r="195" ht="14.25" customHeight="1">
      <c r="A195" s="132"/>
      <c r="B195" s="215">
        <v>46195</v>
      </c>
      <c r="C195" s="136"/>
      <c r="D195" s="136"/>
      <c r="E195" s="135"/>
      <c r="F195" s="135"/>
      <c r="G195" s="147">
        <f t="shared" si="88"/>
        <v>0</v>
      </c>
      <c r="H195" s="148"/>
      <c r="I195" s="143"/>
      <c r="J195" s="143"/>
      <c r="K195" s="143"/>
      <c r="L195" s="136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89"/>
        <v>0</v>
      </c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03">
        <f t="shared" si="90"/>
        <v>0</v>
      </c>
      <c r="AK195" s="136"/>
      <c r="AL195" s="136"/>
      <c r="AM195" s="136"/>
      <c r="AN195" s="105">
        <f t="shared" si="91"/>
        <v>0</v>
      </c>
      <c r="AO195" s="143"/>
      <c r="AP195" s="143"/>
      <c r="AQ195" s="143"/>
      <c r="AR195" s="146"/>
      <c r="AS195" s="224">
        <f t="shared" si="92"/>
        <v>0</v>
      </c>
      <c r="AT195" s="126"/>
      <c r="AU195" s="273"/>
      <c r="AV195" s="274"/>
      <c r="AW195" s="126"/>
      <c r="AX195" s="126"/>
      <c r="AY195" s="126"/>
      <c r="AZ195" s="275"/>
      <c r="BA195" s="126"/>
      <c r="BB195" s="274"/>
      <c r="BC195" s="126"/>
      <c r="BD195" s="126"/>
      <c r="BE195" s="128"/>
      <c r="BF195" s="126"/>
      <c r="BG195" s="222">
        <f t="shared" si="93"/>
        <v>0</v>
      </c>
      <c r="BH195" s="140">
        <f t="shared" si="94"/>
        <v>0</v>
      </c>
      <c r="BI195" s="132"/>
      <c r="BJ195" s="140">
        <f t="shared" si="95"/>
        <v>0</v>
      </c>
      <c r="BK195" s="141"/>
      <c r="BL195" s="141"/>
      <c r="BM195" s="141"/>
      <c r="BN195" s="141"/>
      <c r="BO195" s="288"/>
      <c r="BP195" s="130">
        <f t="shared" si="96"/>
        <v>0</v>
      </c>
      <c r="BQ195" s="132"/>
    </row>
    <row r="196" ht="14.25" customHeight="1">
      <c r="A196" s="132"/>
      <c r="B196" s="215">
        <v>46196</v>
      </c>
      <c r="C196" s="133"/>
      <c r="D196" s="136"/>
      <c r="E196" s="135"/>
      <c r="F196" s="135"/>
      <c r="G196" s="147">
        <f t="shared" si="88"/>
        <v>0</v>
      </c>
      <c r="H196" s="148"/>
      <c r="I196" s="143"/>
      <c r="J196" s="143"/>
      <c r="K196" s="143"/>
      <c r="L196" s="136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89"/>
        <v>0</v>
      </c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03">
        <f t="shared" si="90"/>
        <v>0</v>
      </c>
      <c r="AK196" s="136"/>
      <c r="AL196" s="136"/>
      <c r="AM196" s="136"/>
      <c r="AN196" s="105">
        <f t="shared" si="91"/>
        <v>0</v>
      </c>
      <c r="AO196" s="143"/>
      <c r="AP196" s="143"/>
      <c r="AQ196" s="143"/>
      <c r="AR196" s="146"/>
      <c r="AS196" s="224">
        <f t="shared" si="92"/>
        <v>0</v>
      </c>
      <c r="AT196" s="126"/>
      <c r="AU196" s="273"/>
      <c r="AV196" s="274"/>
      <c r="AW196" s="126"/>
      <c r="AX196" s="126"/>
      <c r="AY196" s="126"/>
      <c r="AZ196" s="275"/>
      <c r="BA196" s="126"/>
      <c r="BB196" s="274"/>
      <c r="BC196" s="126"/>
      <c r="BD196" s="126"/>
      <c r="BE196" s="128"/>
      <c r="BF196" s="126"/>
      <c r="BG196" s="222">
        <f t="shared" si="93"/>
        <v>0</v>
      </c>
      <c r="BH196" s="140">
        <f t="shared" si="94"/>
        <v>0</v>
      </c>
      <c r="BI196" s="132"/>
      <c r="BJ196" s="140">
        <f t="shared" si="95"/>
        <v>0</v>
      </c>
      <c r="BK196" s="141"/>
      <c r="BL196" s="141"/>
      <c r="BM196" s="129"/>
      <c r="BN196" s="141"/>
      <c r="BO196" s="288"/>
      <c r="BP196" s="130">
        <f t="shared" si="96"/>
        <v>0</v>
      </c>
      <c r="BQ196" s="132"/>
    </row>
    <row r="197" ht="14.25" customHeight="1">
      <c r="A197" s="132"/>
      <c r="B197" s="215">
        <v>46197</v>
      </c>
      <c r="C197" s="133"/>
      <c r="D197" s="136"/>
      <c r="E197" s="135"/>
      <c r="F197" s="135"/>
      <c r="G197" s="147">
        <f t="shared" si="88"/>
        <v>0</v>
      </c>
      <c r="H197" s="148"/>
      <c r="I197" s="143"/>
      <c r="J197" s="143"/>
      <c r="K197" s="143"/>
      <c r="L197" s="136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89"/>
        <v>0</v>
      </c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03">
        <f t="shared" si="90"/>
        <v>0</v>
      </c>
      <c r="AK197" s="136"/>
      <c r="AL197" s="136"/>
      <c r="AM197" s="136"/>
      <c r="AN197" s="105">
        <f t="shared" si="91"/>
        <v>0</v>
      </c>
      <c r="AO197" s="143"/>
      <c r="AP197" s="143"/>
      <c r="AQ197" s="143"/>
      <c r="AR197" s="146"/>
      <c r="AS197" s="224">
        <f t="shared" si="92"/>
        <v>0</v>
      </c>
      <c r="AT197" s="126"/>
      <c r="AU197" s="273"/>
      <c r="AV197" s="274"/>
      <c r="AW197" s="126"/>
      <c r="AX197" s="126"/>
      <c r="AY197" s="126"/>
      <c r="AZ197" s="275"/>
      <c r="BA197" s="126"/>
      <c r="BB197" s="274"/>
      <c r="BC197" s="126"/>
      <c r="BD197" s="126"/>
      <c r="BE197" s="128"/>
      <c r="BF197" s="126"/>
      <c r="BG197" s="222">
        <f t="shared" si="93"/>
        <v>0</v>
      </c>
      <c r="BH197" s="140">
        <f t="shared" si="94"/>
        <v>0</v>
      </c>
      <c r="BI197" s="132"/>
      <c r="BJ197" s="140">
        <f t="shared" si="95"/>
        <v>0</v>
      </c>
      <c r="BK197" s="141"/>
      <c r="BL197" s="141"/>
      <c r="BM197" s="141"/>
      <c r="BN197" s="141"/>
      <c r="BO197" s="288"/>
      <c r="BP197" s="130">
        <f t="shared" si="96"/>
        <v>0</v>
      </c>
      <c r="BQ197" s="132"/>
    </row>
    <row r="198" ht="14.25" customHeight="1">
      <c r="A198" s="132"/>
      <c r="B198" s="215">
        <v>46198</v>
      </c>
      <c r="C198" s="133"/>
      <c r="D198" s="136"/>
      <c r="E198" s="135"/>
      <c r="F198" s="135"/>
      <c r="G198" s="147">
        <f t="shared" si="88"/>
        <v>0</v>
      </c>
      <c r="H198" s="148"/>
      <c r="I198" s="143"/>
      <c r="J198" s="143"/>
      <c r="K198" s="143"/>
      <c r="L198" s="136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89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03">
        <f t="shared" si="90"/>
        <v>0</v>
      </c>
      <c r="AK198" s="136"/>
      <c r="AL198" s="136"/>
      <c r="AM198" s="136"/>
      <c r="AN198" s="105">
        <f t="shared" si="91"/>
        <v>0</v>
      </c>
      <c r="AO198" s="143"/>
      <c r="AP198" s="143"/>
      <c r="AQ198" s="143"/>
      <c r="AR198" s="146"/>
      <c r="AS198" s="224">
        <f t="shared" si="92"/>
        <v>0</v>
      </c>
      <c r="AT198" s="126"/>
      <c r="AU198" s="273"/>
      <c r="AV198" s="274"/>
      <c r="AW198" s="126"/>
      <c r="AX198" s="126"/>
      <c r="AY198" s="126"/>
      <c r="AZ198" s="275"/>
      <c r="BA198" s="126"/>
      <c r="BB198" s="274"/>
      <c r="BC198" s="126"/>
      <c r="BD198" s="126"/>
      <c r="BE198" s="128"/>
      <c r="BF198" s="126"/>
      <c r="BG198" s="222">
        <f t="shared" si="93"/>
        <v>0</v>
      </c>
      <c r="BH198" s="140">
        <f t="shared" si="94"/>
        <v>0</v>
      </c>
      <c r="BI198" s="132"/>
      <c r="BJ198" s="140">
        <f t="shared" si="95"/>
        <v>0</v>
      </c>
      <c r="BK198" s="141"/>
      <c r="BL198" s="141"/>
      <c r="BM198" s="141"/>
      <c r="BN198" s="141"/>
      <c r="BO198" s="288"/>
      <c r="BP198" s="130">
        <f t="shared" si="96"/>
        <v>0</v>
      </c>
      <c r="BQ198" s="132"/>
    </row>
    <row r="199" ht="14.25" customHeight="1">
      <c r="A199" s="132"/>
      <c r="B199" s="215">
        <v>46199</v>
      </c>
      <c r="C199" s="133"/>
      <c r="D199" s="136"/>
      <c r="E199" s="135"/>
      <c r="F199" s="135"/>
      <c r="G199" s="147">
        <f t="shared" si="88"/>
        <v>0</v>
      </c>
      <c r="H199" s="148"/>
      <c r="I199" s="143"/>
      <c r="J199" s="143"/>
      <c r="K199" s="143"/>
      <c r="L199" s="136"/>
      <c r="M199" s="143"/>
      <c r="N199" s="143"/>
      <c r="O199" s="143"/>
      <c r="P199" s="143"/>
      <c r="Q199" s="143"/>
      <c r="R199" s="143"/>
      <c r="S199" s="143"/>
      <c r="T199" s="143"/>
      <c r="U199" s="103">
        <f t="shared" si="89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03">
        <f t="shared" si="90"/>
        <v>0</v>
      </c>
      <c r="AK199" s="136"/>
      <c r="AL199" s="136"/>
      <c r="AM199" s="136"/>
      <c r="AN199" s="105">
        <f t="shared" si="91"/>
        <v>0</v>
      </c>
      <c r="AO199" s="143"/>
      <c r="AP199" s="143"/>
      <c r="AQ199" s="143"/>
      <c r="AR199" s="146"/>
      <c r="AS199" s="224">
        <f t="shared" si="92"/>
        <v>0</v>
      </c>
      <c r="AT199" s="126"/>
      <c r="AU199" s="273"/>
      <c r="AV199" s="274"/>
      <c r="AW199" s="126"/>
      <c r="AX199" s="126"/>
      <c r="AY199" s="126"/>
      <c r="AZ199" s="275"/>
      <c r="BA199" s="126"/>
      <c r="BB199" s="274"/>
      <c r="BC199" s="126"/>
      <c r="BD199" s="126"/>
      <c r="BE199" s="128"/>
      <c r="BF199" s="126"/>
      <c r="BG199" s="222">
        <f t="shared" si="93"/>
        <v>0</v>
      </c>
      <c r="BH199" s="140">
        <f t="shared" si="94"/>
        <v>0</v>
      </c>
      <c r="BI199" s="132"/>
      <c r="BJ199" s="140">
        <f t="shared" si="95"/>
        <v>0</v>
      </c>
      <c r="BK199" s="141"/>
      <c r="BL199" s="141"/>
      <c r="BM199" s="141"/>
      <c r="BN199" s="141"/>
      <c r="BO199" s="288"/>
      <c r="BP199" s="130">
        <f t="shared" si="96"/>
        <v>0</v>
      </c>
      <c r="BQ199" s="132"/>
    </row>
    <row r="200" ht="14.25" customHeight="1">
      <c r="A200" s="132"/>
      <c r="B200" s="215">
        <v>46200</v>
      </c>
      <c r="C200" s="133"/>
      <c r="D200" s="136"/>
      <c r="E200" s="135"/>
      <c r="F200" s="135"/>
      <c r="G200" s="147">
        <f t="shared" si="88"/>
        <v>0</v>
      </c>
      <c r="H200" s="148"/>
      <c r="I200" s="143"/>
      <c r="J200" s="143"/>
      <c r="K200" s="143"/>
      <c r="L200" s="136"/>
      <c r="M200" s="143"/>
      <c r="N200" s="143"/>
      <c r="O200" s="143"/>
      <c r="P200" s="143"/>
      <c r="Q200" s="143"/>
      <c r="R200" s="143"/>
      <c r="S200" s="143"/>
      <c r="T200" s="143"/>
      <c r="U200" s="103">
        <f t="shared" si="89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03">
        <f t="shared" si="90"/>
        <v>0</v>
      </c>
      <c r="AK200" s="136"/>
      <c r="AL200" s="136"/>
      <c r="AM200" s="136"/>
      <c r="AN200" s="105">
        <f t="shared" si="91"/>
        <v>0</v>
      </c>
      <c r="AO200" s="143"/>
      <c r="AP200" s="143"/>
      <c r="AQ200" s="143"/>
      <c r="AR200" s="146"/>
      <c r="AS200" s="224">
        <f t="shared" si="92"/>
        <v>0</v>
      </c>
      <c r="AT200" s="126"/>
      <c r="AU200" s="273"/>
      <c r="AV200" s="274"/>
      <c r="AW200" s="291"/>
      <c r="AX200" s="126"/>
      <c r="AY200" s="126"/>
      <c r="AZ200" s="275"/>
      <c r="BA200" s="126"/>
      <c r="BB200" s="274"/>
      <c r="BC200" s="126"/>
      <c r="BD200" s="126"/>
      <c r="BE200" s="128"/>
      <c r="BF200" s="126"/>
      <c r="BG200" s="222">
        <f t="shared" si="93"/>
        <v>0</v>
      </c>
      <c r="BH200" s="140">
        <f t="shared" si="94"/>
        <v>0</v>
      </c>
      <c r="BI200" s="132"/>
      <c r="BJ200" s="140">
        <f t="shared" si="95"/>
        <v>0</v>
      </c>
      <c r="BK200" s="141"/>
      <c r="BL200" s="141"/>
      <c r="BM200" s="141"/>
      <c r="BN200" s="141"/>
      <c r="BO200" s="288"/>
      <c r="BP200" s="130">
        <f t="shared" si="96"/>
        <v>0</v>
      </c>
      <c r="BQ200" s="132"/>
    </row>
    <row r="201" ht="14.25" customHeight="1">
      <c r="A201" s="132"/>
      <c r="B201" s="215">
        <v>46201</v>
      </c>
      <c r="C201" s="133"/>
      <c r="D201" s="136"/>
      <c r="E201" s="135"/>
      <c r="F201" s="135"/>
      <c r="G201" s="147">
        <f t="shared" si="88"/>
        <v>0</v>
      </c>
      <c r="H201" s="148"/>
      <c r="I201" s="143"/>
      <c r="J201" s="143"/>
      <c r="K201" s="143"/>
      <c r="L201" s="136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89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03">
        <f t="shared" si="90"/>
        <v>0</v>
      </c>
      <c r="AK201" s="136"/>
      <c r="AL201" s="136"/>
      <c r="AM201" s="136"/>
      <c r="AN201" s="105">
        <f t="shared" si="91"/>
        <v>0</v>
      </c>
      <c r="AO201" s="143"/>
      <c r="AP201" s="143"/>
      <c r="AQ201" s="143"/>
      <c r="AR201" s="146"/>
      <c r="AS201" s="224">
        <f t="shared" si="92"/>
        <v>0</v>
      </c>
      <c r="AT201" s="126"/>
      <c r="AU201" s="273"/>
      <c r="AV201" s="274"/>
      <c r="AW201" s="126"/>
      <c r="AX201" s="126"/>
      <c r="AY201" s="126"/>
      <c r="AZ201" s="275"/>
      <c r="BA201" s="126"/>
      <c r="BB201" s="274"/>
      <c r="BC201" s="126"/>
      <c r="BD201" s="126"/>
      <c r="BE201" s="128"/>
      <c r="BF201" s="126"/>
      <c r="BG201" s="222">
        <f t="shared" si="93"/>
        <v>0</v>
      </c>
      <c r="BH201" s="140">
        <f t="shared" si="94"/>
        <v>0</v>
      </c>
      <c r="BI201" s="132"/>
      <c r="BJ201" s="140">
        <f t="shared" si="95"/>
        <v>0</v>
      </c>
      <c r="BK201" s="141"/>
      <c r="BL201" s="141"/>
      <c r="BM201" s="141"/>
      <c r="BN201" s="141"/>
      <c r="BO201" s="288"/>
      <c r="BP201" s="130">
        <f t="shared" si="96"/>
        <v>0</v>
      </c>
      <c r="BQ201" s="132"/>
    </row>
    <row r="202" ht="14.25" customHeight="1">
      <c r="A202" s="132"/>
      <c r="B202" s="215">
        <v>46202</v>
      </c>
      <c r="C202" s="133"/>
      <c r="D202" s="136"/>
      <c r="E202" s="135"/>
      <c r="F202" s="135"/>
      <c r="G202" s="147">
        <f t="shared" si="88"/>
        <v>0</v>
      </c>
      <c r="H202" s="148"/>
      <c r="I202" s="143"/>
      <c r="J202" s="143"/>
      <c r="K202" s="143"/>
      <c r="L202" s="136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89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03">
        <f t="shared" si="90"/>
        <v>0</v>
      </c>
      <c r="AK202" s="136"/>
      <c r="AL202" s="136"/>
      <c r="AM202" s="136"/>
      <c r="AN202" s="105">
        <f t="shared" si="91"/>
        <v>0</v>
      </c>
      <c r="AO202" s="143"/>
      <c r="AP202" s="143"/>
      <c r="AQ202" s="143"/>
      <c r="AR202" s="146"/>
      <c r="AS202" s="224">
        <f t="shared" si="92"/>
        <v>0</v>
      </c>
      <c r="AT202" s="126"/>
      <c r="AU202" s="273"/>
      <c r="AV202" s="274"/>
      <c r="AW202" s="126"/>
      <c r="AX202" s="126"/>
      <c r="AY202" s="126"/>
      <c r="AZ202" s="275"/>
      <c r="BA202" s="126"/>
      <c r="BB202" s="274"/>
      <c r="BC202" s="126"/>
      <c r="BD202" s="126"/>
      <c r="BE202" s="128"/>
      <c r="BF202" s="126"/>
      <c r="BG202" s="222">
        <f t="shared" si="93"/>
        <v>0</v>
      </c>
      <c r="BH202" s="140">
        <f t="shared" si="94"/>
        <v>0</v>
      </c>
      <c r="BI202" s="132"/>
      <c r="BJ202" s="140">
        <f t="shared" si="95"/>
        <v>0</v>
      </c>
      <c r="BK202" s="141"/>
      <c r="BL202" s="141"/>
      <c r="BM202" s="141"/>
      <c r="BN202" s="141"/>
      <c r="BO202" s="288"/>
      <c r="BP202" s="130">
        <f t="shared" si="96"/>
        <v>0</v>
      </c>
      <c r="BQ202" s="132"/>
    </row>
    <row r="203" ht="14.25" customHeight="1">
      <c r="A203" s="132"/>
      <c r="B203" s="215">
        <v>46203</v>
      </c>
      <c r="C203" s="133"/>
      <c r="D203" s="136"/>
      <c r="E203" s="135"/>
      <c r="F203" s="135"/>
      <c r="G203" s="147">
        <f t="shared" si="88"/>
        <v>0</v>
      </c>
      <c r="H203" s="148"/>
      <c r="I203" s="143"/>
      <c r="J203" s="143"/>
      <c r="K203" s="143"/>
      <c r="L203" s="159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89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03">
        <f t="shared" si="90"/>
        <v>0</v>
      </c>
      <c r="AK203" s="136"/>
      <c r="AL203" s="136"/>
      <c r="AM203" s="136"/>
      <c r="AN203" s="105">
        <f t="shared" si="91"/>
        <v>0</v>
      </c>
      <c r="AO203" s="143"/>
      <c r="AP203" s="143"/>
      <c r="AQ203" s="143"/>
      <c r="AR203" s="146"/>
      <c r="AS203" s="224">
        <f t="shared" si="92"/>
        <v>0</v>
      </c>
      <c r="AT203" s="138"/>
      <c r="AU203" s="273"/>
      <c r="AV203" s="274"/>
      <c r="AW203" s="126"/>
      <c r="AX203" s="126"/>
      <c r="AY203" s="126"/>
      <c r="AZ203" s="275"/>
      <c r="BA203" s="138"/>
      <c r="BB203" s="274"/>
      <c r="BC203" s="126"/>
      <c r="BD203" s="126"/>
      <c r="BE203" s="128"/>
      <c r="BF203" s="126"/>
      <c r="BG203" s="222">
        <f t="shared" si="93"/>
        <v>0</v>
      </c>
      <c r="BH203" s="140">
        <f t="shared" si="94"/>
        <v>0</v>
      </c>
      <c r="BI203" s="132"/>
      <c r="BJ203" s="140">
        <f t="shared" si="95"/>
        <v>0</v>
      </c>
      <c r="BK203" s="141"/>
      <c r="BL203" s="141"/>
      <c r="BM203" s="129"/>
      <c r="BN203" s="141"/>
      <c r="BO203" s="288"/>
      <c r="BP203" s="164">
        <f t="shared" si="96"/>
        <v>0</v>
      </c>
      <c r="BQ203" s="132"/>
    </row>
    <row r="204" ht="14.25" customHeight="1">
      <c r="A204" s="3"/>
      <c r="B204" s="2" t="s">
        <v>80</v>
      </c>
      <c r="C204" s="166">
        <f ref="C204:G204" t="shared" si="97">SUM(C174:C203)</f>
        <v>0</v>
      </c>
      <c r="D204" s="166">
        <f t="shared" si="97"/>
        <v>0</v>
      </c>
      <c r="E204" s="166">
        <f t="shared" si="97"/>
        <v>0</v>
      </c>
      <c r="F204" s="166">
        <f t="shared" si="97"/>
        <v>0</v>
      </c>
      <c r="G204" s="166">
        <f t="shared" si="97"/>
        <v>0</v>
      </c>
      <c r="H204" s="166"/>
      <c r="I204" s="166">
        <f ref="I204:AG204" t="shared" si="98">SUM(I174:I203)</f>
        <v>0</v>
      </c>
      <c r="J204" s="166">
        <f t="shared" si="98"/>
        <v>0</v>
      </c>
      <c r="K204" s="166">
        <f t="shared" si="98"/>
        <v>0</v>
      </c>
      <c r="L204" s="166">
        <f t="shared" si="98"/>
        <v>0</v>
      </c>
      <c r="M204" s="166">
        <f t="shared" si="98"/>
        <v>0</v>
      </c>
      <c r="N204" s="166">
        <f t="shared" si="98"/>
        <v>0</v>
      </c>
      <c r="O204" s="166">
        <f t="shared" si="98"/>
        <v>0</v>
      </c>
      <c r="P204" s="166">
        <f t="shared" si="98"/>
        <v>0</v>
      </c>
      <c r="Q204" s="166">
        <f t="shared" si="98"/>
        <v>0</v>
      </c>
      <c r="R204" s="166">
        <f t="shared" si="98"/>
        <v>0</v>
      </c>
      <c r="S204" s="166">
        <f t="shared" si="98"/>
        <v>0</v>
      </c>
      <c r="T204" s="166">
        <f t="shared" si="98"/>
        <v>0</v>
      </c>
      <c r="U204" s="166">
        <f t="shared" si="98"/>
        <v>0</v>
      </c>
      <c r="V204" s="166">
        <f t="shared" si="98"/>
        <v>0</v>
      </c>
      <c r="W204" s="166">
        <f t="shared" si="98"/>
        <v>0</v>
      </c>
      <c r="X204" s="166">
        <f t="shared" si="98"/>
        <v>0</v>
      </c>
      <c r="Y204" s="166">
        <f t="shared" si="98"/>
        <v>0</v>
      </c>
      <c r="Z204" s="166">
        <f t="shared" si="98"/>
        <v>0</v>
      </c>
      <c r="AA204" s="166">
        <f t="shared" si="98"/>
        <v>0</v>
      </c>
      <c r="AB204" s="166">
        <f t="shared" si="98"/>
        <v>0</v>
      </c>
      <c r="AC204" s="166">
        <f t="shared" si="98"/>
        <v>0</v>
      </c>
      <c r="AD204" s="166">
        <f t="shared" si="98"/>
        <v>0</v>
      </c>
      <c r="AE204" s="166">
        <f t="shared" si="98"/>
        <v>0</v>
      </c>
      <c r="AF204" s="166">
        <f t="shared" si="98"/>
        <v>0</v>
      </c>
      <c r="AG204" s="166">
        <f t="shared" si="98"/>
        <v>0</v>
      </c>
      <c r="AH204" s="166"/>
      <c r="AI204" s="166">
        <f ref="AI204:AT204" t="shared" si="99">SUM(AI174:AI203)</f>
        <v>0</v>
      </c>
      <c r="AJ204" s="166">
        <f t="shared" si="99"/>
        <v>0</v>
      </c>
      <c r="AK204" s="166">
        <f t="shared" si="99"/>
        <v>0</v>
      </c>
      <c r="AL204" s="166">
        <f t="shared" si="99"/>
        <v>0</v>
      </c>
      <c r="AM204" s="166">
        <f t="shared" si="99"/>
        <v>0</v>
      </c>
      <c r="AN204" s="166">
        <f t="shared" si="99"/>
        <v>0</v>
      </c>
      <c r="AO204" s="166">
        <f t="shared" si="99"/>
        <v>0</v>
      </c>
      <c r="AP204" s="166">
        <f t="shared" si="99"/>
        <v>0</v>
      </c>
      <c r="AQ204" s="166">
        <f t="shared" si="99"/>
        <v>0</v>
      </c>
      <c r="AR204" s="166">
        <f t="shared" si="99"/>
        <v>0</v>
      </c>
      <c r="AS204" s="166">
        <f t="shared" si="99"/>
        <v>0</v>
      </c>
      <c r="AT204" s="166">
        <f t="shared" si="99"/>
        <v>0</v>
      </c>
      <c r="AU204" s="283"/>
      <c r="AV204" s="166">
        <f ref="AV204:BA204" t="shared" si="100">SUM(AV174:AV203)</f>
        <v>0</v>
      </c>
      <c r="AW204" s="166">
        <f t="shared" si="100"/>
        <v>0</v>
      </c>
      <c r="AX204" s="166">
        <f t="shared" si="100"/>
        <v>0</v>
      </c>
      <c r="AY204" s="166">
        <f t="shared" si="100"/>
        <v>0</v>
      </c>
      <c r="AZ204" s="166">
        <f t="shared" si="100"/>
        <v>0</v>
      </c>
      <c r="BA204" s="166">
        <f t="shared" si="100"/>
        <v>0</v>
      </c>
      <c r="BB204" s="284"/>
      <c r="BC204" s="166"/>
      <c r="BD204" s="166"/>
      <c r="BE204" s="261"/>
      <c r="BF204" s="166"/>
      <c r="BG204" s="166">
        <f ref="BG204:BH204" t="shared" si="101">SUM(BG174:BG203)</f>
        <v>0</v>
      </c>
      <c r="BH204" s="166">
        <f t="shared" si="101"/>
        <v>0</v>
      </c>
      <c r="BI204" s="235"/>
      <c r="BJ204" s="166">
        <f>SUM(BJ174:BJ203)</f>
        <v>0</v>
      </c>
      <c r="BK204" s="166"/>
      <c r="BL204" s="166">
        <f ref="BL204:BM204" t="shared" si="102">SUM(BL174:BL203)</f>
        <v>0</v>
      </c>
      <c r="BM204" s="166">
        <f t="shared" si="102"/>
        <v>0</v>
      </c>
      <c r="BN204" s="166"/>
      <c r="BO204" s="166"/>
      <c r="BP204" s="166">
        <f>SUM(BP174:BP203)</f>
        <v>0</v>
      </c>
      <c r="BQ204" s="3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96"/>
      <c r="AK205" s="3"/>
      <c r="AL205" s="3"/>
      <c r="AM205" s="3"/>
      <c r="AN205" s="4"/>
      <c r="AO205" s="3"/>
      <c r="AP205" s="3"/>
      <c r="AQ205" s="3"/>
      <c r="AR205" s="3"/>
      <c r="AS205" s="3"/>
      <c r="AT205" s="3"/>
      <c r="AU205" s="5"/>
      <c r="AV205" s="3"/>
      <c r="AW205" s="3"/>
      <c r="AX205" s="3"/>
      <c r="AY205" s="3"/>
      <c r="AZ205" s="3"/>
      <c r="BA205" s="96"/>
      <c r="BB205" s="3"/>
      <c r="BC205" s="3"/>
      <c r="BD205" s="3"/>
      <c r="BE205" s="6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ht="14.25" customHeight="1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176"/>
      <c r="AK206" s="3"/>
      <c r="AL206" s="3"/>
      <c r="AM206" s="3"/>
      <c r="AN206" s="4"/>
      <c r="AO206" s="3"/>
      <c r="AP206" s="3"/>
      <c r="AQ206" s="3"/>
      <c r="AR206" s="3"/>
      <c r="AS206" s="3"/>
      <c r="AT206" s="3"/>
      <c r="AU206" s="5"/>
      <c r="AV206" s="3"/>
      <c r="AW206" s="3"/>
      <c r="AX206" s="3"/>
      <c r="AY206" s="3"/>
      <c r="AZ206" s="3"/>
      <c r="BA206" s="3"/>
      <c r="BB206" s="3"/>
      <c r="BC206" s="3"/>
      <c r="BD206" s="3"/>
      <c r="BE206" s="6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ht="14.25" customHeight="1">
      <c r="A207" s="3"/>
      <c r="B207" s="215">
        <v>46204</v>
      </c>
      <c r="C207" s="285"/>
      <c r="D207" s="104"/>
      <c r="E207" s="97"/>
      <c r="F207" s="97"/>
      <c r="G207" s="265">
        <f ref="G207:G237" t="shared" si="103">+C207+D207+E207+F207</f>
        <v>0</v>
      </c>
      <c r="H207" s="21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03">
        <f ref="U207:U237" t="shared" si="104">SUM(I207:T207)</f>
        <v>0</v>
      </c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03">
        <f ref="AJ207:AJ237" t="shared" si="105">SUM(V207:AI207)</f>
        <v>0</v>
      </c>
      <c r="AK207" s="104"/>
      <c r="AL207" s="104"/>
      <c r="AM207" s="104"/>
      <c r="AN207" s="191">
        <f ref="AN207:AN237" t="shared" si="106">SUM(AK207:AM207)</f>
        <v>0</v>
      </c>
      <c r="AO207" s="186"/>
      <c r="AP207" s="186"/>
      <c r="AQ207" s="186"/>
      <c r="AR207" s="193"/>
      <c r="AS207" s="266">
        <f ref="AS207:AS237" t="shared" si="107">+G207-U207-AJ207-AN207-AO207-AP207-AQ207-AR207</f>
        <v>0</v>
      </c>
      <c r="AT207" s="220"/>
      <c r="AU207" s="108"/>
      <c r="AV207" s="220"/>
      <c r="AW207" s="220"/>
      <c r="AX207" s="220"/>
      <c r="AY207" s="109"/>
      <c r="AZ207" s="270"/>
      <c r="BA207" s="220"/>
      <c r="BB207" s="286"/>
      <c r="BC207" s="220"/>
      <c r="BD207" s="220"/>
      <c r="BE207" s="111"/>
      <c r="BF207" s="220"/>
      <c r="BG207" s="292">
        <f ref="BG207:BG237" t="shared" si="108">SUM(AT207:BF207)-BD207</f>
        <v>0</v>
      </c>
      <c r="BH207" s="114">
        <f ref="BH207:BH237" t="shared" si="109">+AS207-BG207</f>
        <v>0</v>
      </c>
      <c r="BI207" s="3"/>
      <c r="BJ207" s="114">
        <f ref="BJ207:BJ237" t="shared" si="110">SUM(BK207:BO207)</f>
        <v>0</v>
      </c>
      <c r="BK207" s="115"/>
      <c r="BL207" s="115"/>
      <c r="BM207" s="115"/>
      <c r="BN207" s="115"/>
      <c r="BO207" s="115"/>
      <c r="BP207" s="116">
        <f ref="BP207:BP237" t="shared" si="111">+BH207-BJ207</f>
        <v>0</v>
      </c>
      <c r="BQ207" s="3"/>
    </row>
    <row r="208" ht="14.25" customHeight="1">
      <c r="A208" s="3"/>
      <c r="B208" s="215">
        <v>46205</v>
      </c>
      <c r="C208" s="118"/>
      <c r="D208" s="123"/>
      <c r="E208" s="120"/>
      <c r="F208" s="120"/>
      <c r="G208" s="147">
        <f t="shared" si="103"/>
        <v>0</v>
      </c>
      <c r="H208" s="148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03">
        <f t="shared" si="104"/>
        <v>0</v>
      </c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03">
        <f t="shared" si="105"/>
        <v>0</v>
      </c>
      <c r="AK208" s="123"/>
      <c r="AL208" s="123"/>
      <c r="AM208" s="123"/>
      <c r="AN208" s="105">
        <f t="shared" si="106"/>
        <v>0</v>
      </c>
      <c r="AO208" s="143"/>
      <c r="AP208" s="143"/>
      <c r="AQ208" s="143"/>
      <c r="AR208" s="146"/>
      <c r="AS208" s="224">
        <f t="shared" si="107"/>
        <v>0</v>
      </c>
      <c r="AT208" s="225"/>
      <c r="AU208" s="273"/>
      <c r="AV208" s="276"/>
      <c r="AW208" s="225"/>
      <c r="AX208" s="225"/>
      <c r="AY208" s="126"/>
      <c r="AZ208" s="275"/>
      <c r="BA208" s="225"/>
      <c r="BB208" s="276"/>
      <c r="BC208" s="225"/>
      <c r="BD208" s="225"/>
      <c r="BE208" s="128"/>
      <c r="BF208" s="225"/>
      <c r="BG208" s="222">
        <f t="shared" si="108"/>
        <v>0</v>
      </c>
      <c r="BH208" s="113">
        <f t="shared" si="109"/>
        <v>0</v>
      </c>
      <c r="BI208" s="3"/>
      <c r="BJ208" s="113">
        <f t="shared" si="110"/>
        <v>0</v>
      </c>
      <c r="BK208" s="129"/>
      <c r="BL208" s="129"/>
      <c r="BM208" s="129"/>
      <c r="BN208" s="129"/>
      <c r="BO208" s="129"/>
      <c r="BP208" s="130">
        <f t="shared" si="111"/>
        <v>0</v>
      </c>
      <c r="BQ208" s="3"/>
    </row>
    <row r="209" ht="14.25" customHeight="1">
      <c r="A209" s="3"/>
      <c r="B209" s="215">
        <v>46206</v>
      </c>
      <c r="C209" s="118"/>
      <c r="D209" s="123"/>
      <c r="E209" s="120"/>
      <c r="F209" s="120"/>
      <c r="G209" s="147">
        <f t="shared" si="103"/>
        <v>0</v>
      </c>
      <c r="H209" s="148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104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03">
        <f t="shared" si="105"/>
        <v>0</v>
      </c>
      <c r="AK209" s="123"/>
      <c r="AL209" s="123"/>
      <c r="AM209" s="123"/>
      <c r="AN209" s="105">
        <f t="shared" si="106"/>
        <v>0</v>
      </c>
      <c r="AO209" s="143"/>
      <c r="AP209" s="143"/>
      <c r="AQ209" s="143"/>
      <c r="AR209" s="146"/>
      <c r="AS209" s="224">
        <f t="shared" si="107"/>
        <v>0</v>
      </c>
      <c r="AT209" s="225"/>
      <c r="AU209" s="273"/>
      <c r="AV209" s="276"/>
      <c r="AW209" s="225"/>
      <c r="AX209" s="225"/>
      <c r="AY209" s="126"/>
      <c r="AZ209" s="275"/>
      <c r="BA209" s="225"/>
      <c r="BB209" s="276"/>
      <c r="BC209" s="225"/>
      <c r="BD209" s="225"/>
      <c r="BE209" s="128"/>
      <c r="BF209" s="225"/>
      <c r="BG209" s="222">
        <f t="shared" si="108"/>
        <v>0</v>
      </c>
      <c r="BH209" s="113">
        <f t="shared" si="109"/>
        <v>0</v>
      </c>
      <c r="BI209" s="3"/>
      <c r="BJ209" s="113">
        <f t="shared" si="110"/>
        <v>0</v>
      </c>
      <c r="BK209" s="129"/>
      <c r="BL209" s="129"/>
      <c r="BM209" s="129"/>
      <c r="BN209" s="129"/>
      <c r="BO209" s="129"/>
      <c r="BP209" s="130">
        <f t="shared" si="111"/>
        <v>0</v>
      </c>
      <c r="BQ209" s="3"/>
    </row>
    <row r="210" ht="14.25" customHeight="1">
      <c r="A210" s="3"/>
      <c r="B210" s="215">
        <v>46207</v>
      </c>
      <c r="C210" s="118"/>
      <c r="D210" s="123"/>
      <c r="E210" s="120"/>
      <c r="F210" s="120"/>
      <c r="G210" s="147">
        <f t="shared" si="103"/>
        <v>0</v>
      </c>
      <c r="H210" s="148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104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03">
        <f t="shared" si="105"/>
        <v>0</v>
      </c>
      <c r="AK210" s="123"/>
      <c r="AL210" s="123"/>
      <c r="AM210" s="123"/>
      <c r="AN210" s="105">
        <f t="shared" si="106"/>
        <v>0</v>
      </c>
      <c r="AO210" s="143"/>
      <c r="AP210" s="143"/>
      <c r="AQ210" s="143"/>
      <c r="AR210" s="146"/>
      <c r="AS210" s="224">
        <f t="shared" si="107"/>
        <v>0</v>
      </c>
      <c r="AT210" s="225"/>
      <c r="AU210" s="273"/>
      <c r="AV210" s="276"/>
      <c r="AW210" s="225"/>
      <c r="AX210" s="225"/>
      <c r="AY210" s="126"/>
      <c r="AZ210" s="275"/>
      <c r="BA210" s="225"/>
      <c r="BB210" s="276"/>
      <c r="BC210" s="225"/>
      <c r="BD210" s="225"/>
      <c r="BE210" s="128"/>
      <c r="BF210" s="225"/>
      <c r="BG210" s="222">
        <f t="shared" si="108"/>
        <v>0</v>
      </c>
      <c r="BH210" s="113">
        <f t="shared" si="109"/>
        <v>0</v>
      </c>
      <c r="BI210" s="3"/>
      <c r="BJ210" s="113">
        <f t="shared" si="110"/>
        <v>0</v>
      </c>
      <c r="BK210" s="129"/>
      <c r="BL210" s="129"/>
      <c r="BM210" s="129"/>
      <c r="BN210" s="129"/>
      <c r="BO210" s="129"/>
      <c r="BP210" s="130">
        <f t="shared" si="111"/>
        <v>0</v>
      </c>
      <c r="BQ210" s="3"/>
    </row>
    <row r="211" ht="14.25" customHeight="1">
      <c r="A211" s="3"/>
      <c r="B211" s="215">
        <v>46208</v>
      </c>
      <c r="C211" s="118"/>
      <c r="D211" s="123"/>
      <c r="E211" s="120"/>
      <c r="F211" s="120"/>
      <c r="G211" s="147">
        <f t="shared" si="103"/>
        <v>0</v>
      </c>
      <c r="H211" s="148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104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03">
        <f t="shared" si="105"/>
        <v>0</v>
      </c>
      <c r="AK211" s="123"/>
      <c r="AL211" s="123"/>
      <c r="AM211" s="123"/>
      <c r="AN211" s="105">
        <f t="shared" si="106"/>
        <v>0</v>
      </c>
      <c r="AO211" s="143"/>
      <c r="AP211" s="143"/>
      <c r="AQ211" s="143"/>
      <c r="AR211" s="146"/>
      <c r="AS211" s="224">
        <f t="shared" si="107"/>
        <v>0</v>
      </c>
      <c r="AT211" s="225"/>
      <c r="AU211" s="273"/>
      <c r="AV211" s="276"/>
      <c r="AW211" s="225"/>
      <c r="AX211" s="225"/>
      <c r="AY211" s="126"/>
      <c r="AZ211" s="275"/>
      <c r="BA211" s="225"/>
      <c r="BB211" s="276"/>
      <c r="BC211" s="225"/>
      <c r="BD211" s="225"/>
      <c r="BE211" s="128"/>
      <c r="BF211" s="225"/>
      <c r="BG211" s="222">
        <f t="shared" si="108"/>
        <v>0</v>
      </c>
      <c r="BH211" s="113">
        <f t="shared" si="109"/>
        <v>0</v>
      </c>
      <c r="BI211" s="3"/>
      <c r="BJ211" s="113">
        <f t="shared" si="110"/>
        <v>0</v>
      </c>
      <c r="BK211" s="129"/>
      <c r="BL211" s="129"/>
      <c r="BM211" s="129"/>
      <c r="BN211" s="129"/>
      <c r="BO211" s="129"/>
      <c r="BP211" s="130">
        <f t="shared" si="111"/>
        <v>0</v>
      </c>
      <c r="BQ211" s="3"/>
    </row>
    <row r="212" ht="14.25" customHeight="1">
      <c r="A212" s="3"/>
      <c r="B212" s="215">
        <v>46209</v>
      </c>
      <c r="C212" s="118"/>
      <c r="D212" s="123"/>
      <c r="E212" s="120"/>
      <c r="F212" s="120"/>
      <c r="G212" s="147">
        <f t="shared" si="103"/>
        <v>0</v>
      </c>
      <c r="H212" s="148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104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03">
        <f t="shared" si="105"/>
        <v>0</v>
      </c>
      <c r="AK212" s="123"/>
      <c r="AL212" s="123"/>
      <c r="AM212" s="123"/>
      <c r="AN212" s="105">
        <f t="shared" si="106"/>
        <v>0</v>
      </c>
      <c r="AO212" s="99"/>
      <c r="AP212" s="143"/>
      <c r="AQ212" s="143"/>
      <c r="AR212" s="146"/>
      <c r="AS212" s="224">
        <f t="shared" si="107"/>
        <v>0</v>
      </c>
      <c r="AT212" s="225"/>
      <c r="AU212" s="273"/>
      <c r="AV212" s="276"/>
      <c r="AW212" s="225"/>
      <c r="AX212" s="225"/>
      <c r="AY212" s="126"/>
      <c r="AZ212" s="275"/>
      <c r="BA212" s="225"/>
      <c r="BB212" s="276"/>
      <c r="BC212" s="225"/>
      <c r="BD212" s="225"/>
      <c r="BE212" s="128"/>
      <c r="BF212" s="225"/>
      <c r="BG212" s="222">
        <f t="shared" si="108"/>
        <v>0</v>
      </c>
      <c r="BH212" s="113">
        <f t="shared" si="109"/>
        <v>0</v>
      </c>
      <c r="BI212" s="3"/>
      <c r="BJ212" s="113">
        <f t="shared" si="110"/>
        <v>0</v>
      </c>
      <c r="BK212" s="129"/>
      <c r="BL212" s="129"/>
      <c r="BM212" s="129"/>
      <c r="BN212" s="129"/>
      <c r="BO212" s="129"/>
      <c r="BP212" s="130">
        <f t="shared" si="111"/>
        <v>0</v>
      </c>
      <c r="BQ212" s="3"/>
    </row>
    <row r="213" ht="14.25" customHeight="1">
      <c r="A213" s="132"/>
      <c r="B213" s="215">
        <v>46210</v>
      </c>
      <c r="C213" s="133"/>
      <c r="D213" s="136"/>
      <c r="E213" s="135"/>
      <c r="F213" s="135"/>
      <c r="G213" s="147">
        <f t="shared" si="103"/>
        <v>0</v>
      </c>
      <c r="H213" s="148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104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03">
        <f t="shared" si="105"/>
        <v>0</v>
      </c>
      <c r="AK213" s="136"/>
      <c r="AL213" s="136"/>
      <c r="AM213" s="136"/>
      <c r="AN213" s="105">
        <f t="shared" si="106"/>
        <v>0</v>
      </c>
      <c r="AO213" s="143"/>
      <c r="AP213" s="143"/>
      <c r="AQ213" s="143"/>
      <c r="AR213" s="146"/>
      <c r="AS213" s="224">
        <f t="shared" si="107"/>
        <v>0</v>
      </c>
      <c r="AT213" s="126"/>
      <c r="AU213" s="273"/>
      <c r="AV213" s="274"/>
      <c r="AW213" s="126"/>
      <c r="AX213" s="126"/>
      <c r="AY213" s="126"/>
      <c r="AZ213" s="275"/>
      <c r="BA213" s="126"/>
      <c r="BB213" s="274"/>
      <c r="BC213" s="126"/>
      <c r="BD213" s="126"/>
      <c r="BE213" s="128"/>
      <c r="BF213" s="126"/>
      <c r="BG213" s="222">
        <f t="shared" si="108"/>
        <v>0</v>
      </c>
      <c r="BH213" s="140">
        <f t="shared" si="109"/>
        <v>0</v>
      </c>
      <c r="BI213" s="132"/>
      <c r="BJ213" s="140">
        <f t="shared" si="110"/>
        <v>0</v>
      </c>
      <c r="BK213" s="141"/>
      <c r="BL213" s="141"/>
      <c r="BM213" s="141"/>
      <c r="BN213" s="141"/>
      <c r="BO213" s="141"/>
      <c r="BP213" s="130">
        <f t="shared" si="111"/>
        <v>0</v>
      </c>
      <c r="BQ213" s="132"/>
    </row>
    <row r="214" ht="14.25" customHeight="1">
      <c r="A214" s="132"/>
      <c r="B214" s="215">
        <v>46211</v>
      </c>
      <c r="C214" s="133"/>
      <c r="D214" s="136"/>
      <c r="E214" s="135"/>
      <c r="F214" s="135"/>
      <c r="G214" s="147">
        <f t="shared" si="103"/>
        <v>0</v>
      </c>
      <c r="H214" s="148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104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03">
        <f t="shared" si="105"/>
        <v>0</v>
      </c>
      <c r="AK214" s="136"/>
      <c r="AL214" s="136"/>
      <c r="AM214" s="136"/>
      <c r="AN214" s="105">
        <f t="shared" si="106"/>
        <v>0</v>
      </c>
      <c r="AO214" s="143"/>
      <c r="AP214" s="143"/>
      <c r="AQ214" s="143"/>
      <c r="AR214" s="146"/>
      <c r="AS214" s="224">
        <f t="shared" si="107"/>
        <v>0</v>
      </c>
      <c r="AT214" s="126"/>
      <c r="AU214" s="273"/>
      <c r="AV214" s="274"/>
      <c r="AW214" s="126"/>
      <c r="AX214" s="126"/>
      <c r="AY214" s="126"/>
      <c r="AZ214" s="275"/>
      <c r="BA214" s="126"/>
      <c r="BB214" s="274"/>
      <c r="BC214" s="126"/>
      <c r="BD214" s="126"/>
      <c r="BE214" s="128"/>
      <c r="BF214" s="126"/>
      <c r="BG214" s="222">
        <f t="shared" si="108"/>
        <v>0</v>
      </c>
      <c r="BH214" s="140">
        <f t="shared" si="109"/>
        <v>0</v>
      </c>
      <c r="BI214" s="132"/>
      <c r="BJ214" s="140">
        <f t="shared" si="110"/>
        <v>0</v>
      </c>
      <c r="BK214" s="141"/>
      <c r="BL214" s="141"/>
      <c r="BM214" s="141"/>
      <c r="BN214" s="141"/>
      <c r="BO214" s="141"/>
      <c r="BP214" s="130">
        <f t="shared" si="111"/>
        <v>0</v>
      </c>
      <c r="BQ214" s="132"/>
    </row>
    <row r="215" ht="14.25" customHeight="1">
      <c r="A215" s="132"/>
      <c r="B215" s="215">
        <v>46212</v>
      </c>
      <c r="C215" s="133"/>
      <c r="D215" s="136"/>
      <c r="E215" s="135"/>
      <c r="F215" s="135"/>
      <c r="G215" s="147">
        <f t="shared" si="103"/>
        <v>0</v>
      </c>
      <c r="H215" s="148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03">
        <f t="shared" si="104"/>
        <v>0</v>
      </c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03">
        <f t="shared" si="105"/>
        <v>0</v>
      </c>
      <c r="AK215" s="136"/>
      <c r="AL215" s="136"/>
      <c r="AM215" s="136"/>
      <c r="AN215" s="105">
        <f t="shared" si="106"/>
        <v>0</v>
      </c>
      <c r="AO215" s="143"/>
      <c r="AP215" s="143"/>
      <c r="AQ215" s="143"/>
      <c r="AR215" s="146"/>
      <c r="AS215" s="224">
        <f t="shared" si="107"/>
        <v>0</v>
      </c>
      <c r="AT215" s="126"/>
      <c r="AU215" s="273"/>
      <c r="AV215" s="274"/>
      <c r="AW215" s="126"/>
      <c r="AX215" s="126"/>
      <c r="AY215" s="126"/>
      <c r="AZ215" s="275"/>
      <c r="BA215" s="126"/>
      <c r="BB215" s="274"/>
      <c r="BC215" s="126"/>
      <c r="BD215" s="126"/>
      <c r="BE215" s="128"/>
      <c r="BF215" s="126"/>
      <c r="BG215" s="222">
        <f t="shared" si="108"/>
        <v>0</v>
      </c>
      <c r="BH215" s="140">
        <f t="shared" si="109"/>
        <v>0</v>
      </c>
      <c r="BI215" s="132"/>
      <c r="BJ215" s="140">
        <f t="shared" si="110"/>
        <v>0</v>
      </c>
      <c r="BK215" s="141"/>
      <c r="BL215" s="141"/>
      <c r="BM215" s="141"/>
      <c r="BN215" s="141"/>
      <c r="BO215" s="141"/>
      <c r="BP215" s="130">
        <f t="shared" si="111"/>
        <v>0</v>
      </c>
      <c r="BQ215" s="132"/>
    </row>
    <row r="216" ht="14.25" customHeight="1">
      <c r="A216" s="132"/>
      <c r="B216" s="215">
        <v>46213</v>
      </c>
      <c r="C216" s="133"/>
      <c r="D216" s="136"/>
      <c r="E216" s="135"/>
      <c r="F216" s="135"/>
      <c r="G216" s="147">
        <f t="shared" si="103"/>
        <v>0</v>
      </c>
      <c r="H216" s="148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03">
        <f t="shared" si="104"/>
        <v>0</v>
      </c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03">
        <f t="shared" si="105"/>
        <v>0</v>
      </c>
      <c r="AK216" s="136"/>
      <c r="AL216" s="136"/>
      <c r="AM216" s="136"/>
      <c r="AN216" s="105">
        <f t="shared" si="106"/>
        <v>0</v>
      </c>
      <c r="AO216" s="143"/>
      <c r="AP216" s="143"/>
      <c r="AQ216" s="143"/>
      <c r="AR216" s="146"/>
      <c r="AS216" s="224">
        <f t="shared" si="107"/>
        <v>0</v>
      </c>
      <c r="AT216" s="126"/>
      <c r="AU216" s="273"/>
      <c r="AV216" s="274"/>
      <c r="AW216" s="126"/>
      <c r="AX216" s="126"/>
      <c r="AY216" s="126"/>
      <c r="AZ216" s="275"/>
      <c r="BA216" s="126"/>
      <c r="BB216" s="274"/>
      <c r="BC216" s="126"/>
      <c r="BD216" s="126"/>
      <c r="BE216" s="128"/>
      <c r="BF216" s="126"/>
      <c r="BG216" s="222">
        <f t="shared" si="108"/>
        <v>0</v>
      </c>
      <c r="BH216" s="140">
        <f t="shared" si="109"/>
        <v>0</v>
      </c>
      <c r="BI216" s="132"/>
      <c r="BJ216" s="140">
        <f t="shared" si="110"/>
        <v>0</v>
      </c>
      <c r="BK216" s="141"/>
      <c r="BL216" s="141"/>
      <c r="BM216" s="141"/>
      <c r="BN216" s="141"/>
      <c r="BO216" s="141"/>
      <c r="BP216" s="130">
        <f t="shared" si="111"/>
        <v>0</v>
      </c>
      <c r="BQ216" s="132"/>
    </row>
    <row r="217" ht="14.25" customHeight="1">
      <c r="A217" s="132"/>
      <c r="B217" s="215">
        <v>46214</v>
      </c>
      <c r="C217" s="133"/>
      <c r="D217" s="136"/>
      <c r="E217" s="135"/>
      <c r="F217" s="135"/>
      <c r="G217" s="147">
        <f t="shared" si="103"/>
        <v>0</v>
      </c>
      <c r="H217" s="148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104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03">
        <f t="shared" si="105"/>
        <v>0</v>
      </c>
      <c r="AK217" s="136"/>
      <c r="AL217" s="136"/>
      <c r="AM217" s="136"/>
      <c r="AN217" s="105">
        <f t="shared" si="106"/>
        <v>0</v>
      </c>
      <c r="AO217" s="143"/>
      <c r="AP217" s="143"/>
      <c r="AQ217" s="143"/>
      <c r="AR217" s="146"/>
      <c r="AS217" s="224">
        <f t="shared" si="107"/>
        <v>0</v>
      </c>
      <c r="AT217" s="126"/>
      <c r="AU217" s="273"/>
      <c r="AV217" s="274"/>
      <c r="AW217" s="293"/>
      <c r="AX217" s="126"/>
      <c r="AY217" s="126"/>
      <c r="AZ217" s="275"/>
      <c r="BA217" s="126"/>
      <c r="BB217" s="274"/>
      <c r="BC217" s="126"/>
      <c r="BD217" s="126"/>
      <c r="BE217" s="128"/>
      <c r="BF217" s="126"/>
      <c r="BG217" s="222">
        <f t="shared" si="108"/>
        <v>0</v>
      </c>
      <c r="BH217" s="140">
        <f t="shared" si="109"/>
        <v>0</v>
      </c>
      <c r="BI217" s="132"/>
      <c r="BJ217" s="140">
        <f t="shared" si="110"/>
        <v>0</v>
      </c>
      <c r="BK217" s="141"/>
      <c r="BL217" s="141"/>
      <c r="BM217" s="141"/>
      <c r="BN217" s="141"/>
      <c r="BO217" s="141"/>
      <c r="BP217" s="130">
        <f t="shared" si="111"/>
        <v>0</v>
      </c>
      <c r="BQ217" s="132"/>
    </row>
    <row r="218" ht="14.25" customHeight="1">
      <c r="A218" s="132"/>
      <c r="B218" s="215">
        <v>46215</v>
      </c>
      <c r="C218" s="133"/>
      <c r="D218" s="136"/>
      <c r="E218" s="135"/>
      <c r="F218" s="135"/>
      <c r="G218" s="147">
        <f t="shared" si="103"/>
        <v>0</v>
      </c>
      <c r="H218" s="148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104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03">
        <f t="shared" si="105"/>
        <v>0</v>
      </c>
      <c r="AK218" s="136"/>
      <c r="AL218" s="136"/>
      <c r="AM218" s="136"/>
      <c r="AN218" s="105">
        <f t="shared" si="106"/>
        <v>0</v>
      </c>
      <c r="AO218" s="143"/>
      <c r="AP218" s="143"/>
      <c r="AQ218" s="143"/>
      <c r="AR218" s="146"/>
      <c r="AS218" s="224">
        <f t="shared" si="107"/>
        <v>0</v>
      </c>
      <c r="AT218" s="126"/>
      <c r="AU218" s="273"/>
      <c r="AV218" s="274"/>
      <c r="AW218" s="126"/>
      <c r="AX218" s="126"/>
      <c r="AY218" s="126"/>
      <c r="AZ218" s="275"/>
      <c r="BA218" s="126"/>
      <c r="BB218" s="274"/>
      <c r="BC218" s="126"/>
      <c r="BD218" s="126"/>
      <c r="BE218" s="128"/>
      <c r="BF218" s="126"/>
      <c r="BG218" s="222">
        <f t="shared" si="108"/>
        <v>0</v>
      </c>
      <c r="BH218" s="140">
        <f t="shared" si="109"/>
        <v>0</v>
      </c>
      <c r="BI218" s="132"/>
      <c r="BJ218" s="140">
        <f t="shared" si="110"/>
        <v>0</v>
      </c>
      <c r="BK218" s="141"/>
      <c r="BL218" s="141"/>
      <c r="BM218" s="141"/>
      <c r="BN218" s="141"/>
      <c r="BO218" s="141"/>
      <c r="BP218" s="130">
        <f t="shared" si="111"/>
        <v>0</v>
      </c>
      <c r="BQ218" s="132"/>
    </row>
    <row r="219" ht="14.25" customHeight="1">
      <c r="A219" s="3"/>
      <c r="B219" s="215">
        <v>46216</v>
      </c>
      <c r="C219" s="118"/>
      <c r="D219" s="123"/>
      <c r="E219" s="120"/>
      <c r="F219" s="120"/>
      <c r="G219" s="147">
        <f t="shared" si="103"/>
        <v>0</v>
      </c>
      <c r="H219" s="148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104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03">
        <f t="shared" si="105"/>
        <v>0</v>
      </c>
      <c r="AK219" s="123"/>
      <c r="AL219" s="123"/>
      <c r="AM219" s="123"/>
      <c r="AN219" s="105">
        <f t="shared" si="106"/>
        <v>0</v>
      </c>
      <c r="AO219" s="143"/>
      <c r="AP219" s="143"/>
      <c r="AQ219" s="143"/>
      <c r="AR219" s="146"/>
      <c r="AS219" s="224">
        <f t="shared" si="107"/>
        <v>0</v>
      </c>
      <c r="AT219" s="225"/>
      <c r="AU219" s="273"/>
      <c r="AV219" s="276"/>
      <c r="AW219" s="225"/>
      <c r="AX219" s="225"/>
      <c r="AY219" s="126"/>
      <c r="AZ219" s="275"/>
      <c r="BA219" s="225"/>
      <c r="BB219" s="276"/>
      <c r="BC219" s="225"/>
      <c r="BD219" s="225"/>
      <c r="BE219" s="128"/>
      <c r="BF219" s="225"/>
      <c r="BG219" s="222">
        <f t="shared" si="108"/>
        <v>0</v>
      </c>
      <c r="BH219" s="113">
        <f t="shared" si="109"/>
        <v>0</v>
      </c>
      <c r="BI219" s="3"/>
      <c r="BJ219" s="113">
        <f t="shared" si="110"/>
        <v>0</v>
      </c>
      <c r="BK219" s="129"/>
      <c r="BL219" s="129"/>
      <c r="BM219" s="129"/>
      <c r="BN219" s="129"/>
      <c r="BO219" s="129"/>
      <c r="BP219" s="130">
        <f t="shared" si="111"/>
        <v>0</v>
      </c>
      <c r="BQ219" s="3"/>
    </row>
    <row r="220" ht="14.25" customHeight="1">
      <c r="A220" s="3"/>
      <c r="B220" s="215">
        <v>46217</v>
      </c>
      <c r="C220" s="118"/>
      <c r="D220" s="123"/>
      <c r="E220" s="120"/>
      <c r="F220" s="120"/>
      <c r="G220" s="147">
        <f t="shared" si="103"/>
        <v>0</v>
      </c>
      <c r="H220" s="148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104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03">
        <f t="shared" si="105"/>
        <v>0</v>
      </c>
      <c r="AK220" s="123"/>
      <c r="AL220" s="123"/>
      <c r="AM220" s="123"/>
      <c r="AN220" s="105">
        <f t="shared" si="106"/>
        <v>0</v>
      </c>
      <c r="AO220" s="143"/>
      <c r="AP220" s="143"/>
      <c r="AQ220" s="143"/>
      <c r="AR220" s="146"/>
      <c r="AS220" s="224">
        <f t="shared" si="107"/>
        <v>0</v>
      </c>
      <c r="AT220" s="225"/>
      <c r="AU220" s="273"/>
      <c r="AV220" s="276"/>
      <c r="AW220" s="225"/>
      <c r="AX220" s="225"/>
      <c r="AY220" s="126"/>
      <c r="AZ220" s="275"/>
      <c r="BA220" s="225"/>
      <c r="BB220" s="276"/>
      <c r="BC220" s="225"/>
      <c r="BD220" s="225"/>
      <c r="BE220" s="128"/>
      <c r="BF220" s="225"/>
      <c r="BG220" s="222">
        <f t="shared" si="108"/>
        <v>0</v>
      </c>
      <c r="BH220" s="113">
        <f t="shared" si="109"/>
        <v>0</v>
      </c>
      <c r="BI220" s="3"/>
      <c r="BJ220" s="113">
        <f t="shared" si="110"/>
        <v>0</v>
      </c>
      <c r="BK220" s="129"/>
      <c r="BL220" s="129"/>
      <c r="BM220" s="129"/>
      <c r="BN220" s="129"/>
      <c r="BO220" s="129"/>
      <c r="BP220" s="130">
        <f t="shared" si="111"/>
        <v>0</v>
      </c>
      <c r="BQ220" s="3"/>
    </row>
    <row r="221" ht="14.25" customHeight="1">
      <c r="A221" s="3"/>
      <c r="B221" s="215">
        <v>46218</v>
      </c>
      <c r="C221" s="118"/>
      <c r="D221" s="123"/>
      <c r="E221" s="120"/>
      <c r="F221" s="120"/>
      <c r="G221" s="147">
        <f t="shared" si="103"/>
        <v>0</v>
      </c>
      <c r="H221" s="148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104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03">
        <f t="shared" si="105"/>
        <v>0</v>
      </c>
      <c r="AK221" s="123"/>
      <c r="AL221" s="123"/>
      <c r="AM221" s="123"/>
      <c r="AN221" s="105">
        <f t="shared" si="106"/>
        <v>0</v>
      </c>
      <c r="AO221" s="143"/>
      <c r="AP221" s="143"/>
      <c r="AQ221" s="143"/>
      <c r="AR221" s="146"/>
      <c r="AS221" s="224">
        <f t="shared" si="107"/>
        <v>0</v>
      </c>
      <c r="AT221" s="225"/>
      <c r="AU221" s="273"/>
      <c r="AV221" s="276"/>
      <c r="AW221" s="225"/>
      <c r="AX221" s="225"/>
      <c r="AY221" s="126"/>
      <c r="AZ221" s="275"/>
      <c r="BA221" s="225"/>
      <c r="BB221" s="276"/>
      <c r="BC221" s="225"/>
      <c r="BD221" s="225"/>
      <c r="BE221" s="128"/>
      <c r="BF221" s="225"/>
      <c r="BG221" s="222">
        <f t="shared" si="108"/>
        <v>0</v>
      </c>
      <c r="BH221" s="113">
        <f t="shared" si="109"/>
        <v>0</v>
      </c>
      <c r="BI221" s="3"/>
      <c r="BJ221" s="113">
        <f t="shared" si="110"/>
        <v>0</v>
      </c>
      <c r="BK221" s="129"/>
      <c r="BL221" s="129"/>
      <c r="BM221" s="129"/>
      <c r="BN221" s="129"/>
      <c r="BO221" s="129"/>
      <c r="BP221" s="130">
        <f t="shared" si="111"/>
        <v>0</v>
      </c>
      <c r="BQ221" s="3"/>
    </row>
    <row r="222" ht="14.25" customHeight="1">
      <c r="A222" s="3"/>
      <c r="B222" s="215">
        <v>46219</v>
      </c>
      <c r="C222" s="118"/>
      <c r="D222" s="123"/>
      <c r="E222" s="120"/>
      <c r="F222" s="120"/>
      <c r="G222" s="147">
        <f t="shared" si="103"/>
        <v>0</v>
      </c>
      <c r="H222" s="148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104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03">
        <f t="shared" si="105"/>
        <v>0</v>
      </c>
      <c r="AK222" s="123"/>
      <c r="AL222" s="123"/>
      <c r="AM222" s="123"/>
      <c r="AN222" s="105">
        <f t="shared" si="106"/>
        <v>0</v>
      </c>
      <c r="AO222" s="143"/>
      <c r="AP222" s="143"/>
      <c r="AQ222" s="143"/>
      <c r="AR222" s="146"/>
      <c r="AS222" s="224">
        <f t="shared" si="107"/>
        <v>0</v>
      </c>
      <c r="AT222" s="225"/>
      <c r="AU222" s="273"/>
      <c r="AV222" s="276"/>
      <c r="AW222" s="225"/>
      <c r="AX222" s="225"/>
      <c r="AY222" s="126"/>
      <c r="AZ222" s="275"/>
      <c r="BA222" s="225"/>
      <c r="BB222" s="276"/>
      <c r="BC222" s="225"/>
      <c r="BD222" s="225"/>
      <c r="BE222" s="128"/>
      <c r="BF222" s="225"/>
      <c r="BG222" s="222">
        <f t="shared" si="108"/>
        <v>0</v>
      </c>
      <c r="BH222" s="113">
        <f t="shared" si="109"/>
        <v>0</v>
      </c>
      <c r="BI222" s="3"/>
      <c r="BJ222" s="113">
        <f t="shared" si="110"/>
        <v>0</v>
      </c>
      <c r="BK222" s="129"/>
      <c r="BL222" s="129"/>
      <c r="BM222" s="129"/>
      <c r="BN222" s="129"/>
      <c r="BO222" s="129"/>
      <c r="BP222" s="130">
        <f t="shared" si="111"/>
        <v>0</v>
      </c>
      <c r="BQ222" s="3"/>
    </row>
    <row r="223" ht="14.25" customHeight="1">
      <c r="A223" s="3"/>
      <c r="B223" s="215">
        <v>46220</v>
      </c>
      <c r="C223" s="118"/>
      <c r="D223" s="123"/>
      <c r="E223" s="120"/>
      <c r="F223" s="120"/>
      <c r="G223" s="147">
        <f t="shared" si="103"/>
        <v>0</v>
      </c>
      <c r="H223" s="148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104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03">
        <f t="shared" si="105"/>
        <v>0</v>
      </c>
      <c r="AK223" s="123"/>
      <c r="AL223" s="123"/>
      <c r="AM223" s="123"/>
      <c r="AN223" s="105">
        <f t="shared" si="106"/>
        <v>0</v>
      </c>
      <c r="AO223" s="143"/>
      <c r="AP223" s="143"/>
      <c r="AQ223" s="143"/>
      <c r="AR223" s="146"/>
      <c r="AS223" s="224">
        <f t="shared" si="107"/>
        <v>0</v>
      </c>
      <c r="AT223" s="225"/>
      <c r="AU223" s="273"/>
      <c r="AV223" s="276"/>
      <c r="AW223" s="225"/>
      <c r="AX223" s="225"/>
      <c r="AY223" s="126"/>
      <c r="AZ223" s="275"/>
      <c r="BA223" s="225"/>
      <c r="BB223" s="276"/>
      <c r="BC223" s="225"/>
      <c r="BD223" s="225"/>
      <c r="BE223" s="128"/>
      <c r="BF223" s="225"/>
      <c r="BG223" s="222">
        <f t="shared" si="108"/>
        <v>0</v>
      </c>
      <c r="BH223" s="113">
        <f t="shared" si="109"/>
        <v>0</v>
      </c>
      <c r="BI223" s="3"/>
      <c r="BJ223" s="113">
        <f t="shared" si="110"/>
        <v>0</v>
      </c>
      <c r="BK223" s="129"/>
      <c r="BL223" s="129"/>
      <c r="BM223" s="129"/>
      <c r="BN223" s="129"/>
      <c r="BO223" s="129"/>
      <c r="BP223" s="130">
        <f t="shared" si="111"/>
        <v>0</v>
      </c>
      <c r="BQ223" s="3"/>
    </row>
    <row r="224" ht="14.25" customHeight="1">
      <c r="A224" s="132"/>
      <c r="B224" s="215">
        <v>46221</v>
      </c>
      <c r="C224" s="133"/>
      <c r="D224" s="136"/>
      <c r="E224" s="135"/>
      <c r="F224" s="135"/>
      <c r="G224" s="147">
        <f t="shared" si="103"/>
        <v>0</v>
      </c>
      <c r="H224" s="148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104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03">
        <f t="shared" si="105"/>
        <v>0</v>
      </c>
      <c r="AK224" s="136"/>
      <c r="AL224" s="136"/>
      <c r="AM224" s="136"/>
      <c r="AN224" s="105">
        <f t="shared" si="106"/>
        <v>0</v>
      </c>
      <c r="AO224" s="143"/>
      <c r="AP224" s="143"/>
      <c r="AQ224" s="143"/>
      <c r="AR224" s="146"/>
      <c r="AS224" s="224">
        <f t="shared" si="107"/>
        <v>0</v>
      </c>
      <c r="AT224" s="126"/>
      <c r="AU224" s="273"/>
      <c r="AV224" s="274"/>
      <c r="AW224" s="126"/>
      <c r="AX224" s="126"/>
      <c r="AY224" s="126"/>
      <c r="AZ224" s="275"/>
      <c r="BA224" s="126"/>
      <c r="BB224" s="274"/>
      <c r="BC224" s="126"/>
      <c r="BD224" s="126"/>
      <c r="BE224" s="128"/>
      <c r="BF224" s="126"/>
      <c r="BG224" s="222">
        <f t="shared" si="108"/>
        <v>0</v>
      </c>
      <c r="BH224" s="140">
        <f t="shared" si="109"/>
        <v>0</v>
      </c>
      <c r="BI224" s="132"/>
      <c r="BJ224" s="140">
        <f t="shared" si="110"/>
        <v>0</v>
      </c>
      <c r="BK224" s="141"/>
      <c r="BL224" s="141"/>
      <c r="BM224" s="141"/>
      <c r="BN224" s="141"/>
      <c r="BO224" s="141"/>
      <c r="BP224" s="130">
        <f t="shared" si="111"/>
        <v>0</v>
      </c>
      <c r="BQ224" s="132"/>
    </row>
    <row r="225" ht="14.25" customHeight="1">
      <c r="A225" s="132"/>
      <c r="B225" s="215">
        <v>46222</v>
      </c>
      <c r="C225" s="133"/>
      <c r="D225" s="136"/>
      <c r="E225" s="135"/>
      <c r="F225" s="135"/>
      <c r="G225" s="147">
        <f t="shared" si="103"/>
        <v>0</v>
      </c>
      <c r="H225" s="148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104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03">
        <f t="shared" si="105"/>
        <v>0</v>
      </c>
      <c r="AK225" s="136"/>
      <c r="AL225" s="136"/>
      <c r="AM225" s="136"/>
      <c r="AN225" s="105">
        <f t="shared" si="106"/>
        <v>0</v>
      </c>
      <c r="AO225" s="143"/>
      <c r="AP225" s="143"/>
      <c r="AQ225" s="143"/>
      <c r="AR225" s="146"/>
      <c r="AS225" s="224">
        <f t="shared" si="107"/>
        <v>0</v>
      </c>
      <c r="AT225" s="126"/>
      <c r="AU225" s="273"/>
      <c r="AV225" s="274"/>
      <c r="AW225" s="126"/>
      <c r="AX225" s="126"/>
      <c r="AY225" s="126"/>
      <c r="AZ225" s="275"/>
      <c r="BA225" s="126"/>
      <c r="BB225" s="274"/>
      <c r="BC225" s="126"/>
      <c r="BD225" s="126"/>
      <c r="BE225" s="128"/>
      <c r="BF225" s="126"/>
      <c r="BG225" s="222">
        <f t="shared" si="108"/>
        <v>0</v>
      </c>
      <c r="BH225" s="140">
        <f t="shared" si="109"/>
        <v>0</v>
      </c>
      <c r="BI225" s="132"/>
      <c r="BJ225" s="140">
        <f t="shared" si="110"/>
        <v>0</v>
      </c>
      <c r="BK225" s="141"/>
      <c r="BL225" s="141"/>
      <c r="BM225" s="141"/>
      <c r="BN225" s="141"/>
      <c r="BO225" s="141"/>
      <c r="BP225" s="130">
        <f t="shared" si="111"/>
        <v>0</v>
      </c>
      <c r="BQ225" s="132"/>
    </row>
    <row r="226" ht="14.25" customHeight="1">
      <c r="A226" s="132"/>
      <c r="B226" s="215">
        <v>46223</v>
      </c>
      <c r="C226" s="133"/>
      <c r="D226" s="136"/>
      <c r="E226" s="135"/>
      <c r="F226" s="135"/>
      <c r="G226" s="147">
        <f t="shared" si="103"/>
        <v>0</v>
      </c>
      <c r="H226" s="148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104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03">
        <f t="shared" si="105"/>
        <v>0</v>
      </c>
      <c r="AK226" s="136"/>
      <c r="AL226" s="136"/>
      <c r="AM226" s="136"/>
      <c r="AN226" s="105">
        <f t="shared" si="106"/>
        <v>0</v>
      </c>
      <c r="AO226" s="143"/>
      <c r="AP226" s="143"/>
      <c r="AQ226" s="143"/>
      <c r="AR226" s="146"/>
      <c r="AS226" s="224">
        <f t="shared" si="107"/>
        <v>0</v>
      </c>
      <c r="AT226" s="126"/>
      <c r="AU226" s="273"/>
      <c r="AV226" s="274"/>
      <c r="AW226" s="126"/>
      <c r="AX226" s="126"/>
      <c r="AY226" s="126"/>
      <c r="AZ226" s="275"/>
      <c r="BA226" s="126"/>
      <c r="BB226" s="274"/>
      <c r="BC226" s="126"/>
      <c r="BD226" s="126"/>
      <c r="BE226" s="128"/>
      <c r="BF226" s="126"/>
      <c r="BG226" s="222">
        <f t="shared" si="108"/>
        <v>0</v>
      </c>
      <c r="BH226" s="140">
        <f t="shared" si="109"/>
        <v>0</v>
      </c>
      <c r="BI226" s="132"/>
      <c r="BJ226" s="140">
        <f t="shared" si="110"/>
        <v>0</v>
      </c>
      <c r="BK226" s="141"/>
      <c r="BL226" s="141"/>
      <c r="BM226" s="141"/>
      <c r="BN226" s="141"/>
      <c r="BO226" s="141"/>
      <c r="BP226" s="130">
        <f t="shared" si="111"/>
        <v>0</v>
      </c>
      <c r="BQ226" s="132"/>
    </row>
    <row r="227" ht="14.25" customHeight="1">
      <c r="A227" s="132"/>
      <c r="B227" s="215">
        <v>46224</v>
      </c>
      <c r="C227" s="133"/>
      <c r="D227" s="136"/>
      <c r="E227" s="135"/>
      <c r="F227" s="135"/>
      <c r="G227" s="147">
        <f t="shared" si="103"/>
        <v>0</v>
      </c>
      <c r="H227" s="148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104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03">
        <f t="shared" si="105"/>
        <v>0</v>
      </c>
      <c r="AK227" s="136"/>
      <c r="AL227" s="136"/>
      <c r="AM227" s="136"/>
      <c r="AN227" s="105">
        <f t="shared" si="106"/>
        <v>0</v>
      </c>
      <c r="AO227" s="143"/>
      <c r="AP227" s="143"/>
      <c r="AQ227" s="143"/>
      <c r="AR227" s="146"/>
      <c r="AS227" s="224">
        <f t="shared" si="107"/>
        <v>0</v>
      </c>
      <c r="AT227" s="126"/>
      <c r="AU227" s="273"/>
      <c r="AV227" s="274"/>
      <c r="AW227" s="126"/>
      <c r="AX227" s="126"/>
      <c r="AY227" s="126"/>
      <c r="AZ227" s="275"/>
      <c r="BA227" s="126"/>
      <c r="BB227" s="274"/>
      <c r="BC227" s="126"/>
      <c r="BD227" s="126"/>
      <c r="BE227" s="128"/>
      <c r="BF227" s="126"/>
      <c r="BG227" s="222">
        <f t="shared" si="108"/>
        <v>0</v>
      </c>
      <c r="BH227" s="140">
        <f t="shared" si="109"/>
        <v>0</v>
      </c>
      <c r="BI227" s="132"/>
      <c r="BJ227" s="140">
        <f t="shared" si="110"/>
        <v>0</v>
      </c>
      <c r="BK227" s="141"/>
      <c r="BL227" s="141"/>
      <c r="BM227" s="141"/>
      <c r="BN227" s="141"/>
      <c r="BO227" s="141"/>
      <c r="BP227" s="130">
        <f t="shared" si="111"/>
        <v>0</v>
      </c>
      <c r="BQ227" s="132"/>
    </row>
    <row r="228" ht="14.25" customHeight="1">
      <c r="A228" s="132"/>
      <c r="B228" s="215">
        <v>46225</v>
      </c>
      <c r="C228" s="133"/>
      <c r="D228" s="136"/>
      <c r="E228" s="135"/>
      <c r="F228" s="135"/>
      <c r="G228" s="147">
        <f t="shared" si="103"/>
        <v>0</v>
      </c>
      <c r="H228" s="148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104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03">
        <f t="shared" si="105"/>
        <v>0</v>
      </c>
      <c r="AK228" s="136"/>
      <c r="AL228" s="136"/>
      <c r="AM228" s="136"/>
      <c r="AN228" s="105">
        <f t="shared" si="106"/>
        <v>0</v>
      </c>
      <c r="AO228" s="143"/>
      <c r="AP228" s="143"/>
      <c r="AQ228" s="143"/>
      <c r="AR228" s="146"/>
      <c r="AS228" s="224">
        <f t="shared" si="107"/>
        <v>0</v>
      </c>
      <c r="AT228" s="126"/>
      <c r="AU228" s="273"/>
      <c r="AV228" s="274"/>
      <c r="AW228" s="126"/>
      <c r="AX228" s="126"/>
      <c r="AY228" s="126"/>
      <c r="AZ228" s="275"/>
      <c r="BA228" s="126"/>
      <c r="BB228" s="274"/>
      <c r="BC228" s="126"/>
      <c r="BD228" s="126"/>
      <c r="BE228" s="128"/>
      <c r="BF228" s="126"/>
      <c r="BG228" s="222">
        <f t="shared" si="108"/>
        <v>0</v>
      </c>
      <c r="BH228" s="140">
        <f t="shared" si="109"/>
        <v>0</v>
      </c>
      <c r="BI228" s="132"/>
      <c r="BJ228" s="140">
        <f t="shared" si="110"/>
        <v>0</v>
      </c>
      <c r="BK228" s="141"/>
      <c r="BL228" s="141"/>
      <c r="BM228" s="141"/>
      <c r="BN228" s="141"/>
      <c r="BO228" s="141"/>
      <c r="BP228" s="130">
        <f t="shared" si="111"/>
        <v>0</v>
      </c>
      <c r="BQ228" s="132"/>
    </row>
    <row r="229" ht="14.25" customHeight="1">
      <c r="A229" s="132"/>
      <c r="B229" s="215">
        <v>46226</v>
      </c>
      <c r="C229" s="133"/>
      <c r="D229" s="136"/>
      <c r="E229" s="135"/>
      <c r="F229" s="135"/>
      <c r="G229" s="147">
        <f t="shared" si="103"/>
        <v>0</v>
      </c>
      <c r="H229" s="148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104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03">
        <f t="shared" si="105"/>
        <v>0</v>
      </c>
      <c r="AK229" s="136"/>
      <c r="AL229" s="136"/>
      <c r="AM229" s="136"/>
      <c r="AN229" s="105">
        <f t="shared" si="106"/>
        <v>0</v>
      </c>
      <c r="AO229" s="143"/>
      <c r="AP229" s="143"/>
      <c r="AQ229" s="143"/>
      <c r="AR229" s="146"/>
      <c r="AS229" s="224">
        <f t="shared" si="107"/>
        <v>0</v>
      </c>
      <c r="AT229" s="126"/>
      <c r="AU229" s="273"/>
      <c r="AV229" s="274"/>
      <c r="AW229" s="126"/>
      <c r="AX229" s="126"/>
      <c r="AY229" s="126"/>
      <c r="AZ229" s="275"/>
      <c r="BA229" s="126"/>
      <c r="BB229" s="274"/>
      <c r="BC229" s="126"/>
      <c r="BD229" s="126"/>
      <c r="BE229" s="128"/>
      <c r="BF229" s="126"/>
      <c r="BG229" s="222">
        <f t="shared" si="108"/>
        <v>0</v>
      </c>
      <c r="BH229" s="140">
        <f t="shared" si="109"/>
        <v>0</v>
      </c>
      <c r="BI229" s="132"/>
      <c r="BJ229" s="140">
        <f t="shared" si="110"/>
        <v>0</v>
      </c>
      <c r="BK229" s="141"/>
      <c r="BL229" s="141"/>
      <c r="BM229" s="141"/>
      <c r="BN229" s="141"/>
      <c r="BO229" s="141"/>
      <c r="BP229" s="130">
        <f t="shared" si="111"/>
        <v>0</v>
      </c>
      <c r="BQ229" s="132"/>
    </row>
    <row r="230" ht="14.25" customHeight="1">
      <c r="A230" s="132"/>
      <c r="B230" s="215">
        <v>46227</v>
      </c>
      <c r="C230" s="133"/>
      <c r="D230" s="136"/>
      <c r="E230" s="135"/>
      <c r="F230" s="135"/>
      <c r="G230" s="147">
        <f t="shared" si="103"/>
        <v>0</v>
      </c>
      <c r="H230" s="148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104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03">
        <f t="shared" si="105"/>
        <v>0</v>
      </c>
      <c r="AK230" s="136"/>
      <c r="AL230" s="136"/>
      <c r="AM230" s="136"/>
      <c r="AN230" s="105">
        <f t="shared" si="106"/>
        <v>0</v>
      </c>
      <c r="AO230" s="143"/>
      <c r="AP230" s="143"/>
      <c r="AQ230" s="143"/>
      <c r="AR230" s="146"/>
      <c r="AS230" s="224">
        <f t="shared" si="107"/>
        <v>0</v>
      </c>
      <c r="AT230" s="126"/>
      <c r="AU230" s="273"/>
      <c r="AV230" s="274"/>
      <c r="AW230" s="126"/>
      <c r="AX230" s="126"/>
      <c r="AY230" s="126"/>
      <c r="AZ230" s="275"/>
      <c r="BA230" s="126"/>
      <c r="BB230" s="274"/>
      <c r="BC230" s="126"/>
      <c r="BD230" s="126"/>
      <c r="BE230" s="128"/>
      <c r="BF230" s="126"/>
      <c r="BG230" s="222">
        <f t="shared" si="108"/>
        <v>0</v>
      </c>
      <c r="BH230" s="140">
        <f t="shared" si="109"/>
        <v>0</v>
      </c>
      <c r="BI230" s="132"/>
      <c r="BJ230" s="140">
        <f t="shared" si="110"/>
        <v>0</v>
      </c>
      <c r="BK230" s="141"/>
      <c r="BL230" s="141"/>
      <c r="BM230" s="141"/>
      <c r="BN230" s="141"/>
      <c r="BO230" s="141"/>
      <c r="BP230" s="130">
        <f t="shared" si="111"/>
        <v>0</v>
      </c>
      <c r="BQ230" s="132"/>
    </row>
    <row r="231" ht="14.25" customHeight="1">
      <c r="A231" s="132"/>
      <c r="B231" s="215">
        <v>46228</v>
      </c>
      <c r="C231" s="133"/>
      <c r="D231" s="136"/>
      <c r="E231" s="135"/>
      <c r="F231" s="135"/>
      <c r="G231" s="147">
        <f t="shared" si="103"/>
        <v>0</v>
      </c>
      <c r="H231" s="148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104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03">
        <f t="shared" si="105"/>
        <v>0</v>
      </c>
      <c r="AK231" s="136"/>
      <c r="AL231" s="136"/>
      <c r="AM231" s="136"/>
      <c r="AN231" s="105">
        <f t="shared" si="106"/>
        <v>0</v>
      </c>
      <c r="AO231" s="143"/>
      <c r="AP231" s="143"/>
      <c r="AQ231" s="143"/>
      <c r="AR231" s="146"/>
      <c r="AS231" s="224">
        <f t="shared" si="107"/>
        <v>0</v>
      </c>
      <c r="AT231" s="126"/>
      <c r="AU231" s="273"/>
      <c r="AV231" s="274"/>
      <c r="AW231" s="126"/>
      <c r="AX231" s="126"/>
      <c r="AY231" s="126"/>
      <c r="AZ231" s="275"/>
      <c r="BA231" s="126"/>
      <c r="BB231" s="274"/>
      <c r="BC231" s="126"/>
      <c r="BD231" s="126"/>
      <c r="BE231" s="128"/>
      <c r="BF231" s="126"/>
      <c r="BG231" s="222">
        <f t="shared" si="108"/>
        <v>0</v>
      </c>
      <c r="BH231" s="140">
        <f t="shared" si="109"/>
        <v>0</v>
      </c>
      <c r="BI231" s="132"/>
      <c r="BJ231" s="140">
        <f t="shared" si="110"/>
        <v>0</v>
      </c>
      <c r="BK231" s="141"/>
      <c r="BL231" s="141"/>
      <c r="BM231" s="141"/>
      <c r="BN231" s="141"/>
      <c r="BO231" s="141"/>
      <c r="BP231" s="130">
        <f t="shared" si="111"/>
        <v>0</v>
      </c>
      <c r="BQ231" s="132"/>
    </row>
    <row r="232" ht="14.25" customHeight="1">
      <c r="A232" s="132"/>
      <c r="B232" s="215">
        <v>46229</v>
      </c>
      <c r="C232" s="133"/>
      <c r="D232" s="136"/>
      <c r="E232" s="135"/>
      <c r="F232" s="135"/>
      <c r="G232" s="147">
        <f t="shared" si="103"/>
        <v>0</v>
      </c>
      <c r="H232" s="148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03">
        <f t="shared" si="104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03">
        <f t="shared" si="105"/>
        <v>0</v>
      </c>
      <c r="AK232" s="136"/>
      <c r="AL232" s="136"/>
      <c r="AM232" s="136"/>
      <c r="AN232" s="105">
        <f t="shared" si="106"/>
        <v>0</v>
      </c>
      <c r="AO232" s="143"/>
      <c r="AP232" s="143"/>
      <c r="AQ232" s="143"/>
      <c r="AR232" s="146"/>
      <c r="AS232" s="224">
        <f t="shared" si="107"/>
        <v>0</v>
      </c>
      <c r="AT232" s="126"/>
      <c r="AU232" s="273"/>
      <c r="AV232" s="274"/>
      <c r="AW232" s="126"/>
      <c r="AX232" s="126"/>
      <c r="AY232" s="126"/>
      <c r="AZ232" s="275"/>
      <c r="BA232" s="126"/>
      <c r="BB232" s="274"/>
      <c r="BC232" s="126"/>
      <c r="BD232" s="126"/>
      <c r="BE232" s="128"/>
      <c r="BF232" s="126"/>
      <c r="BG232" s="222">
        <f t="shared" si="108"/>
        <v>0</v>
      </c>
      <c r="BH232" s="140">
        <f t="shared" si="109"/>
        <v>0</v>
      </c>
      <c r="BI232" s="132"/>
      <c r="BJ232" s="140">
        <f t="shared" si="110"/>
        <v>0</v>
      </c>
      <c r="BK232" s="141"/>
      <c r="BL232" s="141"/>
      <c r="BM232" s="141"/>
      <c r="BN232" s="141"/>
      <c r="BO232" s="141"/>
      <c r="BP232" s="130">
        <f t="shared" si="111"/>
        <v>0</v>
      </c>
      <c r="BQ232" s="132"/>
    </row>
    <row r="233" ht="14.25" customHeight="1">
      <c r="A233" s="132"/>
      <c r="B233" s="215">
        <v>46230</v>
      </c>
      <c r="C233" s="133"/>
      <c r="D233" s="136"/>
      <c r="E233" s="135"/>
      <c r="F233" s="135"/>
      <c r="G233" s="147">
        <f t="shared" si="103"/>
        <v>0</v>
      </c>
      <c r="H233" s="148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03">
        <f t="shared" si="104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03">
        <f t="shared" si="105"/>
        <v>0</v>
      </c>
      <c r="AK233" s="136"/>
      <c r="AL233" s="136"/>
      <c r="AM233" s="136"/>
      <c r="AN233" s="105">
        <f t="shared" si="106"/>
        <v>0</v>
      </c>
      <c r="AO233" s="143"/>
      <c r="AP233" s="143"/>
      <c r="AQ233" s="143"/>
      <c r="AR233" s="146"/>
      <c r="AS233" s="224">
        <f t="shared" si="107"/>
        <v>0</v>
      </c>
      <c r="AT233" s="126"/>
      <c r="AU233" s="273"/>
      <c r="AV233" s="274"/>
      <c r="AW233" s="126"/>
      <c r="AX233" s="126"/>
      <c r="AY233" s="126"/>
      <c r="AZ233" s="275"/>
      <c r="BA233" s="126"/>
      <c r="BB233" s="274"/>
      <c r="BC233" s="126"/>
      <c r="BD233" s="126"/>
      <c r="BE233" s="128"/>
      <c r="BF233" s="126"/>
      <c r="BG233" s="222">
        <f t="shared" si="108"/>
        <v>0</v>
      </c>
      <c r="BH233" s="140">
        <f t="shared" si="109"/>
        <v>0</v>
      </c>
      <c r="BI233" s="132"/>
      <c r="BJ233" s="140">
        <f t="shared" si="110"/>
        <v>0</v>
      </c>
      <c r="BK233" s="141"/>
      <c r="BL233" s="141"/>
      <c r="BM233" s="141"/>
      <c r="BN233" s="141"/>
      <c r="BO233" s="141"/>
      <c r="BP233" s="130">
        <f t="shared" si="111"/>
        <v>0</v>
      </c>
      <c r="BQ233" s="132"/>
    </row>
    <row r="234" ht="14.25" customHeight="1">
      <c r="A234" s="132"/>
      <c r="B234" s="215">
        <v>46231</v>
      </c>
      <c r="C234" s="133"/>
      <c r="D234" s="136"/>
      <c r="E234" s="135"/>
      <c r="F234" s="135"/>
      <c r="G234" s="147">
        <f t="shared" si="103"/>
        <v>0</v>
      </c>
      <c r="H234" s="148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104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03">
        <f t="shared" si="105"/>
        <v>0</v>
      </c>
      <c r="AK234" s="136"/>
      <c r="AL234" s="136"/>
      <c r="AM234" s="136"/>
      <c r="AN234" s="105">
        <f t="shared" si="106"/>
        <v>0</v>
      </c>
      <c r="AO234" s="143"/>
      <c r="AP234" s="143"/>
      <c r="AQ234" s="143"/>
      <c r="AR234" s="146"/>
      <c r="AS234" s="224">
        <f t="shared" si="107"/>
        <v>0</v>
      </c>
      <c r="AT234" s="126"/>
      <c r="AU234" s="273"/>
      <c r="AV234" s="274"/>
      <c r="AW234" s="126"/>
      <c r="AX234" s="126"/>
      <c r="AY234" s="126"/>
      <c r="AZ234" s="275"/>
      <c r="BA234" s="126"/>
      <c r="BB234" s="274"/>
      <c r="BC234" s="126"/>
      <c r="BD234" s="126"/>
      <c r="BE234" s="128"/>
      <c r="BF234" s="126"/>
      <c r="BG234" s="222">
        <f t="shared" si="108"/>
        <v>0</v>
      </c>
      <c r="BH234" s="140">
        <f t="shared" si="109"/>
        <v>0</v>
      </c>
      <c r="BI234" s="132"/>
      <c r="BJ234" s="140">
        <f t="shared" si="110"/>
        <v>0</v>
      </c>
      <c r="BK234" s="141"/>
      <c r="BL234" s="141"/>
      <c r="BM234" s="141"/>
      <c r="BN234" s="141"/>
      <c r="BO234" s="141"/>
      <c r="BP234" s="130">
        <f t="shared" si="111"/>
        <v>0</v>
      </c>
      <c r="BQ234" s="132"/>
    </row>
    <row r="235" ht="14.25" customHeight="1">
      <c r="A235" s="132"/>
      <c r="B235" s="215">
        <v>46232</v>
      </c>
      <c r="C235" s="133"/>
      <c r="D235" s="136"/>
      <c r="E235" s="135"/>
      <c r="F235" s="135"/>
      <c r="G235" s="147">
        <f t="shared" si="103"/>
        <v>0</v>
      </c>
      <c r="H235" s="148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104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03">
        <f t="shared" si="105"/>
        <v>0</v>
      </c>
      <c r="AK235" s="136"/>
      <c r="AL235" s="136"/>
      <c r="AM235" s="136"/>
      <c r="AN235" s="105">
        <f t="shared" si="106"/>
        <v>0</v>
      </c>
      <c r="AO235" s="143"/>
      <c r="AP235" s="143"/>
      <c r="AQ235" s="143"/>
      <c r="AR235" s="146"/>
      <c r="AS235" s="224">
        <f t="shared" si="107"/>
        <v>0</v>
      </c>
      <c r="AT235" s="126"/>
      <c r="AU235" s="273"/>
      <c r="AV235" s="274"/>
      <c r="AW235" s="126"/>
      <c r="AX235" s="126"/>
      <c r="AY235" s="126"/>
      <c r="AZ235" s="275"/>
      <c r="BA235" s="126"/>
      <c r="BB235" s="274"/>
      <c r="BC235" s="126"/>
      <c r="BD235" s="126"/>
      <c r="BE235" s="128"/>
      <c r="BF235" s="126"/>
      <c r="BG235" s="222">
        <f t="shared" si="108"/>
        <v>0</v>
      </c>
      <c r="BH235" s="140">
        <f t="shared" si="109"/>
        <v>0</v>
      </c>
      <c r="BI235" s="132"/>
      <c r="BJ235" s="140">
        <f t="shared" si="110"/>
        <v>0</v>
      </c>
      <c r="BK235" s="141"/>
      <c r="BL235" s="141"/>
      <c r="BM235" s="141"/>
      <c r="BN235" s="141"/>
      <c r="BO235" s="141"/>
      <c r="BP235" s="130">
        <f t="shared" si="111"/>
        <v>0</v>
      </c>
      <c r="BQ235" s="132"/>
    </row>
    <row r="236" ht="14.25" customHeight="1">
      <c r="A236" s="132"/>
      <c r="B236" s="215">
        <v>46233</v>
      </c>
      <c r="C236" s="133"/>
      <c r="D236" s="136"/>
      <c r="E236" s="135"/>
      <c r="F236" s="135"/>
      <c r="G236" s="147">
        <f t="shared" si="103"/>
        <v>0</v>
      </c>
      <c r="H236" s="148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104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03">
        <f t="shared" si="105"/>
        <v>0</v>
      </c>
      <c r="AK236" s="136"/>
      <c r="AL236" s="136"/>
      <c r="AM236" s="136"/>
      <c r="AN236" s="105">
        <f t="shared" si="106"/>
        <v>0</v>
      </c>
      <c r="AO236" s="143"/>
      <c r="AP236" s="143"/>
      <c r="AQ236" s="143"/>
      <c r="AR236" s="146"/>
      <c r="AS236" s="224">
        <f t="shared" si="107"/>
        <v>0</v>
      </c>
      <c r="AT236" s="126"/>
      <c r="AU236" s="273"/>
      <c r="AV236" s="274"/>
      <c r="AW236" s="294"/>
      <c r="AX236" s="126"/>
      <c r="AY236" s="126"/>
      <c r="AZ236" s="275"/>
      <c r="BA236" s="126"/>
      <c r="BB236" s="274"/>
      <c r="BC236" s="126"/>
      <c r="BD236" s="126"/>
      <c r="BE236" s="128"/>
      <c r="BF236" s="126"/>
      <c r="BG236" s="222">
        <f t="shared" si="108"/>
        <v>0</v>
      </c>
      <c r="BH236" s="140">
        <f t="shared" si="109"/>
        <v>0</v>
      </c>
      <c r="BI236" s="132"/>
      <c r="BJ236" s="140">
        <f t="shared" si="110"/>
        <v>0</v>
      </c>
      <c r="BK236" s="141"/>
      <c r="BL236" s="141"/>
      <c r="BM236" s="141"/>
      <c r="BN236" s="141"/>
      <c r="BO236" s="141"/>
      <c r="BP236" s="130">
        <f t="shared" si="111"/>
        <v>0</v>
      </c>
      <c r="BQ236" s="132"/>
    </row>
    <row r="237" ht="14.25" customHeight="1">
      <c r="A237" s="132"/>
      <c r="B237" s="215">
        <v>46234</v>
      </c>
      <c r="C237" s="153"/>
      <c r="D237" s="159"/>
      <c r="E237" s="156"/>
      <c r="F237" s="156"/>
      <c r="G237" s="147">
        <f t="shared" si="103"/>
        <v>0</v>
      </c>
      <c r="H237" s="148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03">
        <f t="shared" si="104"/>
        <v>0</v>
      </c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03">
        <f t="shared" si="105"/>
        <v>0</v>
      </c>
      <c r="AK237" s="159"/>
      <c r="AL237" s="159"/>
      <c r="AM237" s="159"/>
      <c r="AN237" s="105">
        <f t="shared" si="106"/>
        <v>0</v>
      </c>
      <c r="AO237" s="157"/>
      <c r="AP237" s="157"/>
      <c r="AQ237" s="157"/>
      <c r="AR237" s="160"/>
      <c r="AS237" s="224">
        <f t="shared" si="107"/>
        <v>0</v>
      </c>
      <c r="AT237" s="138"/>
      <c r="AU237" s="295"/>
      <c r="AV237" s="296"/>
      <c r="AW237" s="138"/>
      <c r="AX237" s="138"/>
      <c r="AY237" s="138"/>
      <c r="AZ237" s="297"/>
      <c r="BA237" s="138"/>
      <c r="BB237" s="296"/>
      <c r="BC237" s="138"/>
      <c r="BD237" s="138"/>
      <c r="BE237" s="139"/>
      <c r="BF237" s="138"/>
      <c r="BG237" s="222">
        <f t="shared" si="108"/>
        <v>0</v>
      </c>
      <c r="BH237" s="162">
        <f t="shared" si="109"/>
        <v>0</v>
      </c>
      <c r="BI237" s="132"/>
      <c r="BJ237" s="162">
        <f t="shared" si="110"/>
        <v>0</v>
      </c>
      <c r="BK237" s="163"/>
      <c r="BL237" s="141"/>
      <c r="BM237" s="163"/>
      <c r="BN237" s="163"/>
      <c r="BO237" s="163"/>
      <c r="BP237" s="164">
        <f t="shared" si="111"/>
        <v>0</v>
      </c>
      <c r="BQ237" s="132"/>
    </row>
    <row r="238" ht="14.25" customHeight="1">
      <c r="A238" s="3"/>
      <c r="B238" s="2" t="s">
        <v>81</v>
      </c>
      <c r="C238" s="166">
        <f ref="C238:G238" t="shared" si="112">SUM(C207:C237)</f>
        <v>0</v>
      </c>
      <c r="D238" s="166">
        <f t="shared" si="112"/>
        <v>0</v>
      </c>
      <c r="E238" s="166">
        <f t="shared" si="112"/>
        <v>0</v>
      </c>
      <c r="F238" s="166">
        <f t="shared" si="112"/>
        <v>0</v>
      </c>
      <c r="G238" s="166">
        <f t="shared" si="112"/>
        <v>0</v>
      </c>
      <c r="H238" s="166"/>
      <c r="I238" s="166">
        <f ref="I238:V238" t="shared" si="113">SUM(I207:I237)</f>
        <v>0</v>
      </c>
      <c r="J238" s="166">
        <f t="shared" si="113"/>
        <v>0</v>
      </c>
      <c r="K238" s="166">
        <f t="shared" si="113"/>
        <v>0</v>
      </c>
      <c r="L238" s="166">
        <f t="shared" si="113"/>
        <v>0</v>
      </c>
      <c r="M238" s="166">
        <f t="shared" si="113"/>
        <v>0</v>
      </c>
      <c r="N238" s="166">
        <f t="shared" si="113"/>
        <v>0</v>
      </c>
      <c r="O238" s="166">
        <f t="shared" si="113"/>
        <v>0</v>
      </c>
      <c r="P238" s="166">
        <f t="shared" si="113"/>
        <v>0</v>
      </c>
      <c r="Q238" s="166">
        <f t="shared" si="113"/>
        <v>0</v>
      </c>
      <c r="R238" s="166">
        <f t="shared" si="113"/>
        <v>0</v>
      </c>
      <c r="S238" s="166">
        <f t="shared" si="113"/>
        <v>0</v>
      </c>
      <c r="T238" s="166">
        <f t="shared" si="113"/>
        <v>0</v>
      </c>
      <c r="U238" s="166">
        <f t="shared" si="113"/>
        <v>0</v>
      </c>
      <c r="V238" s="166">
        <f t="shared" si="113"/>
        <v>0</v>
      </c>
      <c r="W238" s="166"/>
      <c r="X238" s="166">
        <f ref="X238:AG238" t="shared" si="114">SUM(X207:X237)</f>
        <v>0</v>
      </c>
      <c r="Y238" s="166">
        <f t="shared" si="114"/>
        <v>0</v>
      </c>
      <c r="Z238" s="166">
        <f t="shared" si="114"/>
        <v>0</v>
      </c>
      <c r="AA238" s="166">
        <f t="shared" si="114"/>
        <v>0</v>
      </c>
      <c r="AB238" s="166">
        <f t="shared" si="114"/>
        <v>0</v>
      </c>
      <c r="AC238" s="166">
        <f t="shared" si="114"/>
        <v>0</v>
      </c>
      <c r="AD238" s="166">
        <f t="shared" si="114"/>
        <v>0</v>
      </c>
      <c r="AE238" s="166">
        <f t="shared" si="114"/>
        <v>0</v>
      </c>
      <c r="AF238" s="166">
        <f t="shared" si="114"/>
        <v>0</v>
      </c>
      <c r="AG238" s="166">
        <f t="shared" si="114"/>
        <v>0</v>
      </c>
      <c r="AH238" s="166"/>
      <c r="AI238" s="166">
        <f ref="AI238:AT238" t="shared" si="115">SUM(AI207:AI237)</f>
        <v>0</v>
      </c>
      <c r="AJ238" s="166">
        <f t="shared" si="115"/>
        <v>0</v>
      </c>
      <c r="AK238" s="166">
        <f t="shared" si="115"/>
        <v>0</v>
      </c>
      <c r="AL238" s="166">
        <f t="shared" si="115"/>
        <v>0</v>
      </c>
      <c r="AM238" s="166">
        <f t="shared" si="115"/>
        <v>0</v>
      </c>
      <c r="AN238" s="166">
        <f t="shared" si="115"/>
        <v>0</v>
      </c>
      <c r="AO238" s="166">
        <f t="shared" si="115"/>
        <v>0</v>
      </c>
      <c r="AP238" s="166">
        <f t="shared" si="115"/>
        <v>0</v>
      </c>
      <c r="AQ238" s="166">
        <f t="shared" si="115"/>
        <v>0</v>
      </c>
      <c r="AR238" s="166">
        <f t="shared" si="115"/>
        <v>0</v>
      </c>
      <c r="AS238" s="166">
        <f t="shared" si="115"/>
        <v>0</v>
      </c>
      <c r="AT238" s="165">
        <f t="shared" si="115"/>
        <v>0</v>
      </c>
      <c r="AU238" s="233"/>
      <c r="AV238" s="166">
        <f ref="AV238:BD238" t="shared" si="116">SUM(AV207:AV237)</f>
        <v>0</v>
      </c>
      <c r="AW238" s="166">
        <f t="shared" si="116"/>
        <v>0</v>
      </c>
      <c r="AX238" s="166">
        <f t="shared" si="116"/>
        <v>0</v>
      </c>
      <c r="AY238" s="166">
        <f t="shared" si="116"/>
        <v>0</v>
      </c>
      <c r="AZ238" s="166">
        <f t="shared" si="116"/>
        <v>0</v>
      </c>
      <c r="BA238" s="165">
        <f t="shared" si="116"/>
        <v>0</v>
      </c>
      <c r="BB238" s="166">
        <f t="shared" si="116"/>
        <v>0</v>
      </c>
      <c r="BC238" s="166">
        <f t="shared" si="116"/>
        <v>0</v>
      </c>
      <c r="BD238" s="166">
        <f t="shared" si="116"/>
        <v>0</v>
      </c>
      <c r="BE238" s="261"/>
      <c r="BF238" s="166">
        <f ref="BF238:BJ238" t="shared" si="117">SUM(BF207:BF237)</f>
        <v>0</v>
      </c>
      <c r="BG238" s="166">
        <f t="shared" si="117"/>
        <v>0</v>
      </c>
      <c r="BH238" s="166">
        <f t="shared" si="117"/>
        <v>0</v>
      </c>
      <c r="BI238" s="166">
        <f t="shared" si="117"/>
        <v>0</v>
      </c>
      <c r="BJ238" s="166">
        <f t="shared" si="117"/>
        <v>0</v>
      </c>
      <c r="BK238" s="166"/>
      <c r="BL238" s="166"/>
      <c r="BM238" s="166"/>
      <c r="BN238" s="166"/>
      <c r="BO238" s="166"/>
      <c r="BP238" s="166">
        <f>SUM(BP207:BP237)</f>
        <v>0</v>
      </c>
      <c r="BQ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4"/>
      <c r="AO239" s="3"/>
      <c r="AP239" s="3"/>
      <c r="AQ239" s="3"/>
      <c r="AR239" s="3"/>
      <c r="AS239" s="4"/>
      <c r="AT239" s="3"/>
      <c r="AU239" s="5"/>
      <c r="AV239" s="3"/>
      <c r="AW239" s="3"/>
      <c r="AX239" s="3"/>
      <c r="AY239" s="3"/>
      <c r="AZ239" s="3"/>
      <c r="BA239" s="3"/>
      <c r="BB239" s="3"/>
      <c r="BC239" s="3"/>
      <c r="BD239" s="3"/>
      <c r="BE239" s="6"/>
      <c r="BF239" s="3"/>
      <c r="BG239" s="4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ht="14.25" customHeight="1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176"/>
      <c r="AK240" s="3"/>
      <c r="AL240" s="3"/>
      <c r="AM240" s="3"/>
      <c r="AN240" s="4"/>
      <c r="AO240" s="3"/>
      <c r="AP240" s="3"/>
      <c r="AQ240" s="3"/>
      <c r="AR240" s="3"/>
      <c r="AS240" s="177"/>
      <c r="AT240" s="3"/>
      <c r="AU240" s="5"/>
      <c r="AV240" s="3"/>
      <c r="AW240" s="3"/>
      <c r="AX240" s="3"/>
      <c r="AY240" s="3"/>
      <c r="AZ240" s="3"/>
      <c r="BA240" s="3"/>
      <c r="BB240" s="3"/>
      <c r="BC240" s="3"/>
      <c r="BD240" s="3"/>
      <c r="BE240" s="6"/>
      <c r="BF240" s="3"/>
      <c r="BG240" s="177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ht="14.25" customHeight="1">
      <c r="A241" s="3"/>
      <c r="B241" s="215">
        <v>46235</v>
      </c>
      <c r="C241" s="94"/>
      <c r="D241" s="104"/>
      <c r="E241" s="97"/>
      <c r="F241" s="97"/>
      <c r="G241" s="265">
        <f ref="G241:G271" t="shared" si="118">+C241+D241+E241+F241</f>
        <v>0</v>
      </c>
      <c r="H241" s="21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89">
        <f ref="U241:U271" t="shared" si="119">SUM(I241:T241)</f>
        <v>0</v>
      </c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03">
        <f ref="AJ241:AJ271" t="shared" si="120">SUM(V241:AI241)</f>
        <v>0</v>
      </c>
      <c r="AK241" s="104"/>
      <c r="AL241" s="104"/>
      <c r="AM241" s="104"/>
      <c r="AN241" s="191">
        <f ref="AN241:AN271" t="shared" si="121">SUM(AK241:AM241)</f>
        <v>0</v>
      </c>
      <c r="AO241" s="186"/>
      <c r="AP241" s="186"/>
      <c r="AQ241" s="186"/>
      <c r="AR241" s="193"/>
      <c r="AS241" s="224">
        <f ref="AS241:AS271" t="shared" si="122">+G241-U241-AJ241-AN241-AO241-AP241-AQ241-AR241</f>
        <v>0</v>
      </c>
      <c r="AT241" s="220"/>
      <c r="AU241" s="268"/>
      <c r="AV241" s="286"/>
      <c r="AW241" s="220"/>
      <c r="AX241" s="220"/>
      <c r="AY241" s="109"/>
      <c r="AZ241" s="270"/>
      <c r="BA241" s="220"/>
      <c r="BB241" s="286"/>
      <c r="BC241" s="220"/>
      <c r="BD241" s="220"/>
      <c r="BE241" s="111"/>
      <c r="BF241" s="220"/>
      <c r="BG241" s="222">
        <f ref="BG241:BG271" t="shared" si="123">SUM(AT241:BF241)-BD241</f>
        <v>0</v>
      </c>
      <c r="BH241" s="114">
        <f ref="BH241:BH271" t="shared" si="124">+AS241-BG241</f>
        <v>0</v>
      </c>
      <c r="BI241" s="3"/>
      <c r="BJ241" s="114">
        <f ref="BJ241:BJ271" t="shared" si="125">SUM(BK241:BO241)</f>
        <v>0</v>
      </c>
      <c r="BK241" s="115"/>
      <c r="BL241" s="115"/>
      <c r="BM241" s="115"/>
      <c r="BN241" s="115"/>
      <c r="BO241" s="115"/>
      <c r="BP241" s="116">
        <f ref="BP241:BP271" t="shared" si="126">+BH241-BJ241</f>
        <v>0</v>
      </c>
      <c r="BQ241" s="3"/>
    </row>
    <row r="242" ht="14.25" customHeight="1">
      <c r="A242" s="3"/>
      <c r="B242" s="215">
        <v>46236</v>
      </c>
      <c r="C242" s="118"/>
      <c r="D242" s="123"/>
      <c r="E242" s="120"/>
      <c r="F242" s="120"/>
      <c r="G242" s="147">
        <f t="shared" si="118"/>
        <v>0</v>
      </c>
      <c r="H242" s="148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03">
        <f t="shared" si="119"/>
        <v>0</v>
      </c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03">
        <f t="shared" si="120"/>
        <v>0</v>
      </c>
      <c r="AK242" s="123"/>
      <c r="AL242" s="123"/>
      <c r="AM242" s="123"/>
      <c r="AN242" s="105">
        <f t="shared" si="121"/>
        <v>0</v>
      </c>
      <c r="AO242" s="143"/>
      <c r="AP242" s="143"/>
      <c r="AQ242" s="143"/>
      <c r="AR242" s="146"/>
      <c r="AS242" s="224">
        <f t="shared" si="122"/>
        <v>0</v>
      </c>
      <c r="AT242" s="225"/>
      <c r="AU242" s="273"/>
      <c r="AV242" s="276"/>
      <c r="AW242" s="225"/>
      <c r="AX242" s="225"/>
      <c r="AY242" s="126"/>
      <c r="AZ242" s="275"/>
      <c r="BA242" s="225"/>
      <c r="BB242" s="276"/>
      <c r="BC242" s="225"/>
      <c r="BD242" s="225"/>
      <c r="BE242" s="128"/>
      <c r="BF242" s="225"/>
      <c r="BG242" s="222">
        <f t="shared" si="123"/>
        <v>0</v>
      </c>
      <c r="BH242" s="113">
        <f t="shared" si="124"/>
        <v>0</v>
      </c>
      <c r="BI242" s="3"/>
      <c r="BJ242" s="113">
        <f t="shared" si="125"/>
        <v>0</v>
      </c>
      <c r="BK242" s="129"/>
      <c r="BL242" s="129"/>
      <c r="BM242" s="129"/>
      <c r="BN242" s="129"/>
      <c r="BO242" s="129"/>
      <c r="BP242" s="130">
        <f t="shared" si="126"/>
        <v>0</v>
      </c>
      <c r="BQ242" s="3"/>
    </row>
    <row r="243" ht="14.25" customHeight="1">
      <c r="A243" s="3"/>
      <c r="B243" s="215">
        <v>46237</v>
      </c>
      <c r="C243" s="118"/>
      <c r="D243" s="123"/>
      <c r="E243" s="120"/>
      <c r="F243" s="120"/>
      <c r="G243" s="147">
        <f t="shared" si="118"/>
        <v>0</v>
      </c>
      <c r="H243" s="148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119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03">
        <f t="shared" si="120"/>
        <v>0</v>
      </c>
      <c r="AK243" s="123"/>
      <c r="AL243" s="123"/>
      <c r="AM243" s="123"/>
      <c r="AN243" s="105">
        <f t="shared" si="121"/>
        <v>0</v>
      </c>
      <c r="AO243" s="143"/>
      <c r="AP243" s="144"/>
      <c r="AQ243" s="143"/>
      <c r="AR243" s="146"/>
      <c r="AS243" s="224">
        <f t="shared" si="122"/>
        <v>0</v>
      </c>
      <c r="AT243" s="225"/>
      <c r="AU243" s="273"/>
      <c r="AV243" s="276"/>
      <c r="AW243" s="225"/>
      <c r="AX243" s="225"/>
      <c r="AY243" s="126"/>
      <c r="AZ243" s="275"/>
      <c r="BA243" s="225"/>
      <c r="BB243" s="276"/>
      <c r="BC243" s="225"/>
      <c r="BD243" s="276"/>
      <c r="BE243" s="298"/>
      <c r="BF243" s="225"/>
      <c r="BG243" s="222">
        <f t="shared" si="123"/>
        <v>0</v>
      </c>
      <c r="BH243" s="113">
        <f t="shared" si="124"/>
        <v>0</v>
      </c>
      <c r="BI243" s="3"/>
      <c r="BJ243" s="113">
        <f t="shared" si="125"/>
        <v>0</v>
      </c>
      <c r="BK243" s="129"/>
      <c r="BL243" s="129"/>
      <c r="BM243" s="129"/>
      <c r="BN243" s="129"/>
      <c r="BO243" s="129"/>
      <c r="BP243" s="130">
        <f t="shared" si="126"/>
        <v>0</v>
      </c>
      <c r="BQ243" s="3"/>
    </row>
    <row r="244" ht="14.25" customHeight="1">
      <c r="A244" s="3"/>
      <c r="B244" s="215">
        <v>46238</v>
      </c>
      <c r="C244" s="118"/>
      <c r="D244" s="123"/>
      <c r="E244" s="120"/>
      <c r="F244" s="120"/>
      <c r="G244" s="147">
        <f t="shared" si="118"/>
        <v>0</v>
      </c>
      <c r="H244" s="148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119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03">
        <f t="shared" si="120"/>
        <v>0</v>
      </c>
      <c r="AK244" s="123"/>
      <c r="AL244" s="123"/>
      <c r="AM244" s="123"/>
      <c r="AN244" s="105">
        <f t="shared" si="121"/>
        <v>0</v>
      </c>
      <c r="AO244" s="143"/>
      <c r="AP244" s="144"/>
      <c r="AQ244" s="143"/>
      <c r="AR244" s="146"/>
      <c r="AS244" s="224">
        <f t="shared" si="122"/>
        <v>0</v>
      </c>
      <c r="AT244" s="225"/>
      <c r="AU244" s="273"/>
      <c r="AV244" s="276"/>
      <c r="AW244" s="225"/>
      <c r="AX244" s="225"/>
      <c r="AY244" s="126"/>
      <c r="AZ244" s="275"/>
      <c r="BA244" s="126"/>
      <c r="BB244" s="276"/>
      <c r="BC244" s="225"/>
      <c r="BD244" s="225"/>
      <c r="BE244" s="128"/>
      <c r="BF244" s="225"/>
      <c r="BG244" s="222">
        <f t="shared" si="123"/>
        <v>0</v>
      </c>
      <c r="BH244" s="113">
        <f t="shared" si="124"/>
        <v>0</v>
      </c>
      <c r="BI244" s="3"/>
      <c r="BJ244" s="113">
        <f t="shared" si="125"/>
        <v>0</v>
      </c>
      <c r="BK244" s="129"/>
      <c r="BL244" s="129"/>
      <c r="BM244" s="129"/>
      <c r="BN244" s="129"/>
      <c r="BO244" s="129"/>
      <c r="BP244" s="130">
        <f t="shared" si="126"/>
        <v>0</v>
      </c>
      <c r="BQ244" s="3"/>
    </row>
    <row r="245" ht="14.25" customHeight="1">
      <c r="A245" s="3"/>
      <c r="B245" s="215">
        <v>46239</v>
      </c>
      <c r="C245" s="118"/>
      <c r="D245" s="123"/>
      <c r="E245" s="120"/>
      <c r="F245" s="120"/>
      <c r="G245" s="147">
        <f t="shared" si="118"/>
        <v>0</v>
      </c>
      <c r="H245" s="148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119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03">
        <f t="shared" si="120"/>
        <v>0</v>
      </c>
      <c r="AK245" s="123"/>
      <c r="AL245" s="123"/>
      <c r="AM245" s="123"/>
      <c r="AN245" s="105">
        <f t="shared" si="121"/>
        <v>0</v>
      </c>
      <c r="AO245" s="143"/>
      <c r="AP245" s="144"/>
      <c r="AQ245" s="143"/>
      <c r="AR245" s="146"/>
      <c r="AS245" s="224">
        <f t="shared" si="122"/>
        <v>0</v>
      </c>
      <c r="AT245" s="225"/>
      <c r="AU245" s="273"/>
      <c r="AV245" s="276"/>
      <c r="AW245" s="225"/>
      <c r="AX245" s="225"/>
      <c r="AY245" s="126"/>
      <c r="AZ245" s="275"/>
      <c r="BA245" s="225"/>
      <c r="BB245" s="276"/>
      <c r="BC245" s="225"/>
      <c r="BD245" s="225"/>
      <c r="BE245" s="128"/>
      <c r="BF245" s="225"/>
      <c r="BG245" s="222">
        <f t="shared" si="123"/>
        <v>0</v>
      </c>
      <c r="BH245" s="113">
        <f t="shared" si="124"/>
        <v>0</v>
      </c>
      <c r="BI245" s="3"/>
      <c r="BJ245" s="113">
        <f t="shared" si="125"/>
        <v>0</v>
      </c>
      <c r="BK245" s="129"/>
      <c r="BL245" s="129"/>
      <c r="BM245" s="129"/>
      <c r="BN245" s="129"/>
      <c r="BO245" s="129"/>
      <c r="BP245" s="130">
        <f t="shared" si="126"/>
        <v>0</v>
      </c>
      <c r="BQ245" s="3"/>
    </row>
    <row r="246" ht="14.25" customHeight="1">
      <c r="A246" s="3"/>
      <c r="B246" s="215">
        <v>46240</v>
      </c>
      <c r="C246" s="118"/>
      <c r="D246" s="123"/>
      <c r="E246" s="120"/>
      <c r="F246" s="120"/>
      <c r="G246" s="147">
        <f t="shared" si="118"/>
        <v>0</v>
      </c>
      <c r="H246" s="148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119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03">
        <f t="shared" si="120"/>
        <v>0</v>
      </c>
      <c r="AK246" s="123"/>
      <c r="AL246" s="123"/>
      <c r="AM246" s="123"/>
      <c r="AN246" s="105">
        <f t="shared" si="121"/>
        <v>0</v>
      </c>
      <c r="AO246" s="143"/>
      <c r="AP246" s="144"/>
      <c r="AQ246" s="143"/>
      <c r="AR246" s="146"/>
      <c r="AS246" s="224">
        <f t="shared" si="122"/>
        <v>0</v>
      </c>
      <c r="AT246" s="225"/>
      <c r="AU246" s="273"/>
      <c r="AV246" s="276"/>
      <c r="AW246" s="225"/>
      <c r="AX246" s="225"/>
      <c r="AY246" s="126"/>
      <c r="AZ246" s="275"/>
      <c r="BA246" s="225"/>
      <c r="BB246" s="276"/>
      <c r="BC246" s="225"/>
      <c r="BD246" s="225"/>
      <c r="BE246" s="128"/>
      <c r="BF246" s="225"/>
      <c r="BG246" s="222">
        <f t="shared" si="123"/>
        <v>0</v>
      </c>
      <c r="BH246" s="113">
        <f t="shared" si="124"/>
        <v>0</v>
      </c>
      <c r="BI246" s="3"/>
      <c r="BJ246" s="113">
        <f t="shared" si="125"/>
        <v>0</v>
      </c>
      <c r="BK246" s="129"/>
      <c r="BL246" s="129"/>
      <c r="BM246" s="129"/>
      <c r="BN246" s="129"/>
      <c r="BO246" s="129"/>
      <c r="BP246" s="130">
        <f t="shared" si="126"/>
        <v>0</v>
      </c>
      <c r="BQ246" s="3"/>
    </row>
    <row r="247" ht="14.25" customHeight="1">
      <c r="A247" s="3"/>
      <c r="B247" s="215">
        <v>46241</v>
      </c>
      <c r="C247" s="118"/>
      <c r="D247" s="123"/>
      <c r="E247" s="120"/>
      <c r="F247" s="120"/>
      <c r="G247" s="147">
        <f t="shared" si="118"/>
        <v>0</v>
      </c>
      <c r="H247" s="148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119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03">
        <f t="shared" si="120"/>
        <v>0</v>
      </c>
      <c r="AK247" s="123"/>
      <c r="AL247" s="123"/>
      <c r="AM247" s="123"/>
      <c r="AN247" s="105">
        <f t="shared" si="121"/>
        <v>0</v>
      </c>
      <c r="AO247" s="143"/>
      <c r="AP247" s="144"/>
      <c r="AQ247" s="143"/>
      <c r="AR247" s="146"/>
      <c r="AS247" s="224">
        <f t="shared" si="122"/>
        <v>0</v>
      </c>
      <c r="AT247" s="225"/>
      <c r="AU247" s="273"/>
      <c r="AV247" s="276"/>
      <c r="AW247" s="225"/>
      <c r="AX247" s="225"/>
      <c r="AY247" s="126"/>
      <c r="AZ247" s="275"/>
      <c r="BA247" s="225"/>
      <c r="BB247" s="276"/>
      <c r="BC247" s="225"/>
      <c r="BD247" s="225"/>
      <c r="BE247" s="128"/>
      <c r="BF247" s="225"/>
      <c r="BG247" s="222">
        <f t="shared" si="123"/>
        <v>0</v>
      </c>
      <c r="BH247" s="113">
        <f t="shared" si="124"/>
        <v>0</v>
      </c>
      <c r="BI247" s="3"/>
      <c r="BJ247" s="113">
        <f t="shared" si="125"/>
        <v>0</v>
      </c>
      <c r="BK247" s="129"/>
      <c r="BL247" s="129"/>
      <c r="BM247" s="129"/>
      <c r="BN247" s="129"/>
      <c r="BO247" s="129"/>
      <c r="BP247" s="130">
        <f t="shared" si="126"/>
        <v>0</v>
      </c>
      <c r="BQ247" s="3"/>
    </row>
    <row r="248" ht="14.25" customHeight="1">
      <c r="A248" s="3"/>
      <c r="B248" s="215">
        <v>46242</v>
      </c>
      <c r="C248" s="118"/>
      <c r="D248" s="123"/>
      <c r="E248" s="120"/>
      <c r="F248" s="120"/>
      <c r="G248" s="147">
        <f t="shared" si="118"/>
        <v>0</v>
      </c>
      <c r="H248" s="148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119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03">
        <f t="shared" si="120"/>
        <v>0</v>
      </c>
      <c r="AK248" s="123"/>
      <c r="AL248" s="123"/>
      <c r="AM248" s="123"/>
      <c r="AN248" s="105">
        <f t="shared" si="121"/>
        <v>0</v>
      </c>
      <c r="AO248" s="143"/>
      <c r="AP248" s="144"/>
      <c r="AQ248" s="143"/>
      <c r="AR248" s="146"/>
      <c r="AS248" s="224">
        <f t="shared" si="122"/>
        <v>0</v>
      </c>
      <c r="AT248" s="225"/>
      <c r="AU248" s="273"/>
      <c r="AV248" s="276"/>
      <c r="AW248" s="225"/>
      <c r="AX248" s="225"/>
      <c r="AY248" s="126"/>
      <c r="AZ248" s="275"/>
      <c r="BA248" s="225"/>
      <c r="BB248" s="276"/>
      <c r="BC248" s="225"/>
      <c r="BD248" s="225"/>
      <c r="BE248" s="128"/>
      <c r="BF248" s="225"/>
      <c r="BG248" s="222">
        <f t="shared" si="123"/>
        <v>0</v>
      </c>
      <c r="BH248" s="113">
        <f t="shared" si="124"/>
        <v>0</v>
      </c>
      <c r="BI248" s="3"/>
      <c r="BJ248" s="113">
        <f t="shared" si="125"/>
        <v>0</v>
      </c>
      <c r="BK248" s="129"/>
      <c r="BL248" s="129"/>
      <c r="BM248" s="129"/>
      <c r="BN248" s="129"/>
      <c r="BO248" s="129"/>
      <c r="BP248" s="130">
        <f t="shared" si="126"/>
        <v>0</v>
      </c>
      <c r="BQ248" s="3"/>
    </row>
    <row r="249" ht="14.25" customHeight="1">
      <c r="A249" s="3"/>
      <c r="B249" s="215">
        <v>46243</v>
      </c>
      <c r="C249" s="118"/>
      <c r="D249" s="123"/>
      <c r="E249" s="120"/>
      <c r="F249" s="120"/>
      <c r="G249" s="147">
        <f t="shared" si="118"/>
        <v>0</v>
      </c>
      <c r="H249" s="148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119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03">
        <f t="shared" si="120"/>
        <v>0</v>
      </c>
      <c r="AK249" s="123"/>
      <c r="AL249" s="123"/>
      <c r="AM249" s="123"/>
      <c r="AN249" s="105">
        <f t="shared" si="121"/>
        <v>0</v>
      </c>
      <c r="AO249" s="143"/>
      <c r="AP249" s="144"/>
      <c r="AQ249" s="143"/>
      <c r="AR249" s="146"/>
      <c r="AS249" s="224">
        <f t="shared" si="122"/>
        <v>0</v>
      </c>
      <c r="AT249" s="225"/>
      <c r="AU249" s="273"/>
      <c r="AV249" s="276"/>
      <c r="AW249" s="225"/>
      <c r="AX249" s="225"/>
      <c r="AY249" s="126"/>
      <c r="AZ249" s="275"/>
      <c r="BA249" s="225"/>
      <c r="BB249" s="276"/>
      <c r="BC249" s="225"/>
      <c r="BD249" s="225"/>
      <c r="BE249" s="128"/>
      <c r="BF249" s="225"/>
      <c r="BG249" s="222">
        <f t="shared" si="123"/>
        <v>0</v>
      </c>
      <c r="BH249" s="113">
        <f t="shared" si="124"/>
        <v>0</v>
      </c>
      <c r="BI249" s="3"/>
      <c r="BJ249" s="113">
        <f t="shared" si="125"/>
        <v>0</v>
      </c>
      <c r="BK249" s="129"/>
      <c r="BL249" s="129"/>
      <c r="BM249" s="129"/>
      <c r="BN249" s="129"/>
      <c r="BO249" s="129"/>
      <c r="BP249" s="130">
        <f t="shared" si="126"/>
        <v>0</v>
      </c>
      <c r="BQ249" s="3"/>
    </row>
    <row r="250" ht="14.25" customHeight="1">
      <c r="A250" s="3"/>
      <c r="B250" s="215">
        <v>46244</v>
      </c>
      <c r="C250" s="118"/>
      <c r="D250" s="123"/>
      <c r="E250" s="120"/>
      <c r="F250" s="120"/>
      <c r="G250" s="147">
        <f t="shared" si="118"/>
        <v>0</v>
      </c>
      <c r="H250" s="148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119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03">
        <f t="shared" si="120"/>
        <v>0</v>
      </c>
      <c r="AK250" s="123"/>
      <c r="AL250" s="123"/>
      <c r="AM250" s="123"/>
      <c r="AN250" s="105">
        <f t="shared" si="121"/>
        <v>0</v>
      </c>
      <c r="AO250" s="143"/>
      <c r="AP250" s="144"/>
      <c r="AQ250" s="143"/>
      <c r="AR250" s="146"/>
      <c r="AS250" s="224">
        <f t="shared" si="122"/>
        <v>0</v>
      </c>
      <c r="AT250" s="225"/>
      <c r="AU250" s="273"/>
      <c r="AV250" s="276"/>
      <c r="AW250" s="225"/>
      <c r="AX250" s="225"/>
      <c r="AY250" s="126"/>
      <c r="AZ250" s="275"/>
      <c r="BA250" s="225"/>
      <c r="BB250" s="276"/>
      <c r="BC250" s="225"/>
      <c r="BD250" s="225"/>
      <c r="BE250" s="128"/>
      <c r="BF250" s="225"/>
      <c r="BG250" s="222">
        <f t="shared" si="123"/>
        <v>0</v>
      </c>
      <c r="BH250" s="113">
        <f t="shared" si="124"/>
        <v>0</v>
      </c>
      <c r="BI250" s="3"/>
      <c r="BJ250" s="113">
        <f t="shared" si="125"/>
        <v>0</v>
      </c>
      <c r="BK250" s="129"/>
      <c r="BL250" s="129"/>
      <c r="BM250" s="129"/>
      <c r="BN250" s="129"/>
      <c r="BO250" s="129"/>
      <c r="BP250" s="130">
        <f t="shared" si="126"/>
        <v>0</v>
      </c>
      <c r="BQ250" s="3"/>
    </row>
    <row r="251" ht="14.25" customHeight="1">
      <c r="A251" s="3"/>
      <c r="B251" s="215">
        <v>46245</v>
      </c>
      <c r="C251" s="118"/>
      <c r="D251" s="123"/>
      <c r="E251" s="120"/>
      <c r="F251" s="120"/>
      <c r="G251" s="147">
        <f t="shared" si="118"/>
        <v>0</v>
      </c>
      <c r="H251" s="148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119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03">
        <f t="shared" si="120"/>
        <v>0</v>
      </c>
      <c r="AK251" s="123"/>
      <c r="AL251" s="123"/>
      <c r="AM251" s="123"/>
      <c r="AN251" s="105">
        <f t="shared" si="121"/>
        <v>0</v>
      </c>
      <c r="AO251" s="143"/>
      <c r="AP251" s="144"/>
      <c r="AQ251" s="143"/>
      <c r="AR251" s="146"/>
      <c r="AS251" s="224">
        <f t="shared" si="122"/>
        <v>0</v>
      </c>
      <c r="AT251" s="225"/>
      <c r="AU251" s="273"/>
      <c r="AV251" s="276"/>
      <c r="AW251" s="225"/>
      <c r="AX251" s="225"/>
      <c r="AY251" s="126"/>
      <c r="AZ251" s="275"/>
      <c r="BA251" s="225"/>
      <c r="BB251" s="276"/>
      <c r="BC251" s="225"/>
      <c r="BD251" s="225"/>
      <c r="BE251" s="128"/>
      <c r="BF251" s="225"/>
      <c r="BG251" s="222">
        <f t="shared" si="123"/>
        <v>0</v>
      </c>
      <c r="BH251" s="113">
        <f t="shared" si="124"/>
        <v>0</v>
      </c>
      <c r="BI251" s="3"/>
      <c r="BJ251" s="113">
        <f t="shared" si="125"/>
        <v>0</v>
      </c>
      <c r="BK251" s="129"/>
      <c r="BL251" s="129"/>
      <c r="BM251" s="129"/>
      <c r="BN251" s="129"/>
      <c r="BO251" s="129"/>
      <c r="BP251" s="130">
        <f t="shared" si="126"/>
        <v>0</v>
      </c>
      <c r="BQ251" s="3"/>
    </row>
    <row r="252" ht="14.25" customHeight="1">
      <c r="A252" s="132"/>
      <c r="B252" s="215">
        <v>46246</v>
      </c>
      <c r="C252" s="133"/>
      <c r="D252" s="136"/>
      <c r="E252" s="135"/>
      <c r="F252" s="135"/>
      <c r="G252" s="147">
        <f t="shared" si="118"/>
        <v>0</v>
      </c>
      <c r="H252" s="148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119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03">
        <f t="shared" si="120"/>
        <v>0</v>
      </c>
      <c r="AK252" s="136"/>
      <c r="AL252" s="136"/>
      <c r="AM252" s="136"/>
      <c r="AN252" s="105">
        <f t="shared" si="121"/>
        <v>0</v>
      </c>
      <c r="AO252" s="143"/>
      <c r="AP252" s="144"/>
      <c r="AQ252" s="143"/>
      <c r="AR252" s="146"/>
      <c r="AS252" s="224">
        <f t="shared" si="122"/>
        <v>0</v>
      </c>
      <c r="AT252" s="126"/>
      <c r="AU252" s="273"/>
      <c r="AV252" s="274"/>
      <c r="AW252" s="126"/>
      <c r="AX252" s="126"/>
      <c r="AY252" s="126"/>
      <c r="AZ252" s="275"/>
      <c r="BA252" s="126"/>
      <c r="BB252" s="274"/>
      <c r="BC252" s="126"/>
      <c r="BD252" s="126"/>
      <c r="BE252" s="128"/>
      <c r="BF252" s="126"/>
      <c r="BG252" s="222">
        <f t="shared" si="123"/>
        <v>0</v>
      </c>
      <c r="BH252" s="140">
        <f t="shared" si="124"/>
        <v>0</v>
      </c>
      <c r="BI252" s="132"/>
      <c r="BJ252" s="140">
        <f t="shared" si="125"/>
        <v>0</v>
      </c>
      <c r="BK252" s="141"/>
      <c r="BL252" s="141"/>
      <c r="BM252" s="141"/>
      <c r="BN252" s="141"/>
      <c r="BO252" s="141"/>
      <c r="BP252" s="130">
        <f t="shared" si="126"/>
        <v>0</v>
      </c>
      <c r="BQ252" s="132"/>
    </row>
    <row r="253" ht="14.25" customHeight="1">
      <c r="A253" s="132"/>
      <c r="B253" s="215">
        <v>46247</v>
      </c>
      <c r="C253" s="133"/>
      <c r="D253" s="136"/>
      <c r="E253" s="135"/>
      <c r="F253" s="135"/>
      <c r="G253" s="147">
        <f t="shared" si="118"/>
        <v>0</v>
      </c>
      <c r="H253" s="148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119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03">
        <f t="shared" si="120"/>
        <v>0</v>
      </c>
      <c r="AK253" s="136"/>
      <c r="AL253" s="136"/>
      <c r="AM253" s="136"/>
      <c r="AN253" s="105">
        <f t="shared" si="121"/>
        <v>0</v>
      </c>
      <c r="AO253" s="136"/>
      <c r="AP253" s="132"/>
      <c r="AQ253" s="143"/>
      <c r="AR253" s="146"/>
      <c r="AS253" s="224">
        <f t="shared" si="122"/>
        <v>0</v>
      </c>
      <c r="AT253" s="126"/>
      <c r="AU253" s="273"/>
      <c r="AV253" s="274"/>
      <c r="AW253" s="126"/>
      <c r="AX253" s="126"/>
      <c r="AY253" s="126"/>
      <c r="AZ253" s="275"/>
      <c r="BA253" s="126"/>
      <c r="BB253" s="274"/>
      <c r="BC253" s="126"/>
      <c r="BD253" s="126"/>
      <c r="BE253" s="128"/>
      <c r="BF253" s="126"/>
      <c r="BG253" s="222">
        <f t="shared" si="123"/>
        <v>0</v>
      </c>
      <c r="BH253" s="140">
        <f t="shared" si="124"/>
        <v>0</v>
      </c>
      <c r="BI253" s="132"/>
      <c r="BJ253" s="140">
        <f t="shared" si="125"/>
        <v>0</v>
      </c>
      <c r="BK253" s="141"/>
      <c r="BL253" s="141"/>
      <c r="BM253" s="141"/>
      <c r="BN253" s="141"/>
      <c r="BO253" s="141"/>
      <c r="BP253" s="130">
        <f t="shared" si="126"/>
        <v>0</v>
      </c>
      <c r="BQ253" s="132"/>
    </row>
    <row r="254" ht="14.25" customHeight="1">
      <c r="A254" s="132"/>
      <c r="B254" s="215">
        <v>46248</v>
      </c>
      <c r="C254" s="133"/>
      <c r="D254" s="136"/>
      <c r="E254" s="135"/>
      <c r="F254" s="135"/>
      <c r="G254" s="147">
        <f t="shared" si="118"/>
        <v>0</v>
      </c>
      <c r="H254" s="148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119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03">
        <f t="shared" si="120"/>
        <v>0</v>
      </c>
      <c r="AK254" s="136"/>
      <c r="AL254" s="136"/>
      <c r="AM254" s="136"/>
      <c r="AN254" s="105">
        <f t="shared" si="121"/>
        <v>0</v>
      </c>
      <c r="AO254" s="143"/>
      <c r="AP254" s="144"/>
      <c r="AQ254" s="143"/>
      <c r="AR254" s="146"/>
      <c r="AS254" s="224">
        <f t="shared" si="122"/>
        <v>0</v>
      </c>
      <c r="AT254" s="126"/>
      <c r="AU254" s="273"/>
      <c r="AV254" s="274"/>
      <c r="AW254" s="126"/>
      <c r="AX254" s="126"/>
      <c r="AY254" s="126"/>
      <c r="AZ254" s="275"/>
      <c r="BA254" s="126"/>
      <c r="BB254" s="274"/>
      <c r="BC254" s="126"/>
      <c r="BD254" s="126"/>
      <c r="BE254" s="128"/>
      <c r="BF254" s="126"/>
      <c r="BG254" s="222">
        <f t="shared" si="123"/>
        <v>0</v>
      </c>
      <c r="BH254" s="140">
        <f t="shared" si="124"/>
        <v>0</v>
      </c>
      <c r="BI254" s="132"/>
      <c r="BJ254" s="140">
        <f t="shared" si="125"/>
        <v>0</v>
      </c>
      <c r="BK254" s="141"/>
      <c r="BL254" s="141"/>
      <c r="BM254" s="141"/>
      <c r="BN254" s="141"/>
      <c r="BO254" s="141"/>
      <c r="BP254" s="130">
        <f t="shared" si="126"/>
        <v>0</v>
      </c>
      <c r="BQ254" s="132"/>
    </row>
    <row r="255" ht="14.25" customHeight="1">
      <c r="A255" s="132"/>
      <c r="B255" s="215">
        <v>46249</v>
      </c>
      <c r="C255" s="133"/>
      <c r="D255" s="136"/>
      <c r="E255" s="135"/>
      <c r="F255" s="135"/>
      <c r="G255" s="147">
        <f t="shared" si="118"/>
        <v>0</v>
      </c>
      <c r="H255" s="148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119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03">
        <f t="shared" si="120"/>
        <v>0</v>
      </c>
      <c r="AK255" s="136"/>
      <c r="AL255" s="136"/>
      <c r="AM255" s="136"/>
      <c r="AN255" s="105">
        <f t="shared" si="121"/>
        <v>0</v>
      </c>
      <c r="AO255" s="143"/>
      <c r="AP255" s="144"/>
      <c r="AQ255" s="143"/>
      <c r="AR255" s="146"/>
      <c r="AS255" s="224">
        <f t="shared" si="122"/>
        <v>0</v>
      </c>
      <c r="AT255" s="126"/>
      <c r="AU255" s="273"/>
      <c r="AV255" s="274"/>
      <c r="AW255" s="126"/>
      <c r="AX255" s="126"/>
      <c r="AY255" s="126"/>
      <c r="AZ255" s="275"/>
      <c r="BA255" s="126"/>
      <c r="BB255" s="274"/>
      <c r="BC255" s="126"/>
      <c r="BD255" s="126"/>
      <c r="BE255" s="128"/>
      <c r="BF255" s="126"/>
      <c r="BG255" s="222">
        <f t="shared" si="123"/>
        <v>0</v>
      </c>
      <c r="BH255" s="140">
        <f t="shared" si="124"/>
        <v>0</v>
      </c>
      <c r="BI255" s="132"/>
      <c r="BJ255" s="140">
        <f t="shared" si="125"/>
        <v>0</v>
      </c>
      <c r="BK255" s="141"/>
      <c r="BL255" s="141"/>
      <c r="BM255" s="141"/>
      <c r="BN255" s="141"/>
      <c r="BO255" s="141"/>
      <c r="BP255" s="130">
        <f t="shared" si="126"/>
        <v>0</v>
      </c>
      <c r="BQ255" s="132"/>
    </row>
    <row r="256" ht="14.25" customHeight="1">
      <c r="A256" s="132"/>
      <c r="B256" s="215">
        <v>46250</v>
      </c>
      <c r="C256" s="133"/>
      <c r="D256" s="136"/>
      <c r="E256" s="135"/>
      <c r="F256" s="135"/>
      <c r="G256" s="147">
        <f t="shared" si="118"/>
        <v>0</v>
      </c>
      <c r="H256" s="148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119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03">
        <f t="shared" si="120"/>
        <v>0</v>
      </c>
      <c r="AK256" s="136"/>
      <c r="AL256" s="136"/>
      <c r="AM256" s="136"/>
      <c r="AN256" s="105">
        <f t="shared" si="121"/>
        <v>0</v>
      </c>
      <c r="AO256" s="136"/>
      <c r="AP256" s="143"/>
      <c r="AQ256" s="143"/>
      <c r="AR256" s="146"/>
      <c r="AS256" s="224">
        <f t="shared" si="122"/>
        <v>0</v>
      </c>
      <c r="AT256" s="126"/>
      <c r="AU256" s="273"/>
      <c r="AV256" s="274"/>
      <c r="AW256" s="126"/>
      <c r="AX256" s="126"/>
      <c r="AY256" s="126"/>
      <c r="AZ256" s="275"/>
      <c r="BA256" s="126"/>
      <c r="BB256" s="274"/>
      <c r="BC256" s="126"/>
      <c r="BD256" s="126"/>
      <c r="BE256" s="128"/>
      <c r="BF256" s="126"/>
      <c r="BG256" s="222">
        <f t="shared" si="123"/>
        <v>0</v>
      </c>
      <c r="BH256" s="140">
        <f t="shared" si="124"/>
        <v>0</v>
      </c>
      <c r="BI256" s="132"/>
      <c r="BJ256" s="140">
        <f t="shared" si="125"/>
        <v>0</v>
      </c>
      <c r="BK256" s="141"/>
      <c r="BL256" s="141"/>
      <c r="BM256" s="141"/>
      <c r="BN256" s="141"/>
      <c r="BO256" s="141"/>
      <c r="BP256" s="130">
        <f t="shared" si="126"/>
        <v>0</v>
      </c>
      <c r="BQ256" s="132"/>
    </row>
    <row r="257" ht="14.25" customHeight="1">
      <c r="A257" s="132"/>
      <c r="B257" s="215">
        <v>46251</v>
      </c>
      <c r="C257" s="133"/>
      <c r="D257" s="136"/>
      <c r="E257" s="135"/>
      <c r="F257" s="135"/>
      <c r="G257" s="147">
        <f t="shared" si="118"/>
        <v>0</v>
      </c>
      <c r="H257" s="148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119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03">
        <f t="shared" si="120"/>
        <v>0</v>
      </c>
      <c r="AK257" s="136"/>
      <c r="AL257" s="136"/>
      <c r="AM257" s="136"/>
      <c r="AN257" s="105">
        <f t="shared" si="121"/>
        <v>0</v>
      </c>
      <c r="AO257" s="143"/>
      <c r="AP257" s="143"/>
      <c r="AQ257" s="143"/>
      <c r="AR257" s="146"/>
      <c r="AS257" s="224">
        <f t="shared" si="122"/>
        <v>0</v>
      </c>
      <c r="AT257" s="126"/>
      <c r="AU257" s="273"/>
      <c r="AV257" s="274"/>
      <c r="AW257" s="126"/>
      <c r="AX257" s="126"/>
      <c r="AY257" s="126"/>
      <c r="AZ257" s="275"/>
      <c r="BA257" s="126"/>
      <c r="BB257" s="274"/>
      <c r="BC257" s="126"/>
      <c r="BD257" s="126"/>
      <c r="BE257" s="128"/>
      <c r="BF257" s="126"/>
      <c r="BG257" s="222">
        <f t="shared" si="123"/>
        <v>0</v>
      </c>
      <c r="BH257" s="140">
        <f t="shared" si="124"/>
        <v>0</v>
      </c>
      <c r="BI257" s="132"/>
      <c r="BJ257" s="140">
        <f t="shared" si="125"/>
        <v>0</v>
      </c>
      <c r="BK257" s="141"/>
      <c r="BL257" s="141"/>
      <c r="BM257" s="141"/>
      <c r="BN257" s="141"/>
      <c r="BO257" s="141"/>
      <c r="BP257" s="130">
        <f t="shared" si="126"/>
        <v>0</v>
      </c>
      <c r="BQ257" s="132"/>
    </row>
    <row r="258" ht="14.25" customHeight="1">
      <c r="A258" s="132"/>
      <c r="B258" s="215">
        <v>46252</v>
      </c>
      <c r="C258" s="133"/>
      <c r="D258" s="136"/>
      <c r="E258" s="135"/>
      <c r="F258" s="135"/>
      <c r="G258" s="147">
        <f t="shared" si="118"/>
        <v>0</v>
      </c>
      <c r="H258" s="148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119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03">
        <f t="shared" si="120"/>
        <v>0</v>
      </c>
      <c r="AK258" s="136"/>
      <c r="AL258" s="136"/>
      <c r="AM258" s="136"/>
      <c r="AN258" s="105">
        <f t="shared" si="121"/>
        <v>0</v>
      </c>
      <c r="AO258" s="143"/>
      <c r="AP258" s="143"/>
      <c r="AQ258" s="143"/>
      <c r="AR258" s="146"/>
      <c r="AS258" s="224">
        <f t="shared" si="122"/>
        <v>0</v>
      </c>
      <c r="AT258" s="126"/>
      <c r="AU258" s="273"/>
      <c r="AV258" s="274"/>
      <c r="AW258" s="126"/>
      <c r="AX258" s="126"/>
      <c r="AY258" s="126"/>
      <c r="AZ258" s="275"/>
      <c r="BA258" s="126"/>
      <c r="BB258" s="274"/>
      <c r="BC258" s="126"/>
      <c r="BD258" s="126"/>
      <c r="BE258" s="128"/>
      <c r="BF258" s="126"/>
      <c r="BG258" s="222">
        <f t="shared" si="123"/>
        <v>0</v>
      </c>
      <c r="BH258" s="140">
        <f t="shared" si="124"/>
        <v>0</v>
      </c>
      <c r="BI258" s="132"/>
      <c r="BJ258" s="140">
        <f t="shared" si="125"/>
        <v>0</v>
      </c>
      <c r="BK258" s="141"/>
      <c r="BL258" s="141"/>
      <c r="BM258" s="141"/>
      <c r="BN258" s="141"/>
      <c r="BO258" s="141"/>
      <c r="BP258" s="130">
        <f t="shared" si="126"/>
        <v>0</v>
      </c>
      <c r="BQ258" s="132"/>
    </row>
    <row r="259" ht="14.25" customHeight="1">
      <c r="A259" s="132"/>
      <c r="B259" s="215">
        <v>46253</v>
      </c>
      <c r="C259" s="133"/>
      <c r="D259" s="136"/>
      <c r="E259" s="135"/>
      <c r="F259" s="135"/>
      <c r="G259" s="147">
        <f t="shared" si="118"/>
        <v>0</v>
      </c>
      <c r="H259" s="148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119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03">
        <f t="shared" si="120"/>
        <v>0</v>
      </c>
      <c r="AK259" s="136"/>
      <c r="AL259" s="136"/>
      <c r="AM259" s="136"/>
      <c r="AN259" s="105">
        <f t="shared" si="121"/>
        <v>0</v>
      </c>
      <c r="AO259" s="143"/>
      <c r="AP259" s="143"/>
      <c r="AQ259" s="143"/>
      <c r="AR259" s="146"/>
      <c r="AS259" s="224">
        <f t="shared" si="122"/>
        <v>0</v>
      </c>
      <c r="AT259" s="126"/>
      <c r="AU259" s="273"/>
      <c r="AV259" s="274"/>
      <c r="AW259" s="126"/>
      <c r="AX259" s="126"/>
      <c r="AY259" s="126"/>
      <c r="AZ259" s="275"/>
      <c r="BA259" s="126"/>
      <c r="BB259" s="274"/>
      <c r="BC259" s="126"/>
      <c r="BD259" s="126"/>
      <c r="BE259" s="128"/>
      <c r="BF259" s="126"/>
      <c r="BG259" s="222">
        <f t="shared" si="123"/>
        <v>0</v>
      </c>
      <c r="BH259" s="140">
        <f t="shared" si="124"/>
        <v>0</v>
      </c>
      <c r="BI259" s="132"/>
      <c r="BJ259" s="140">
        <f t="shared" si="125"/>
        <v>0</v>
      </c>
      <c r="BK259" s="141"/>
      <c r="BL259" s="141"/>
      <c r="BM259" s="141"/>
      <c r="BN259" s="141"/>
      <c r="BO259" s="141"/>
      <c r="BP259" s="130">
        <f t="shared" si="126"/>
        <v>0</v>
      </c>
      <c r="BQ259" s="132"/>
    </row>
    <row r="260" ht="14.25" customHeight="1">
      <c r="A260" s="132"/>
      <c r="B260" s="215">
        <v>46254</v>
      </c>
      <c r="C260" s="133"/>
      <c r="D260" s="136"/>
      <c r="E260" s="135"/>
      <c r="F260" s="135"/>
      <c r="G260" s="147">
        <f t="shared" si="118"/>
        <v>0</v>
      </c>
      <c r="H260" s="148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119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03">
        <f t="shared" si="120"/>
        <v>0</v>
      </c>
      <c r="AK260" s="136"/>
      <c r="AL260" s="136"/>
      <c r="AM260" s="136"/>
      <c r="AN260" s="105">
        <f t="shared" si="121"/>
        <v>0</v>
      </c>
      <c r="AO260" s="143"/>
      <c r="AP260" s="143"/>
      <c r="AQ260" s="143"/>
      <c r="AR260" s="146"/>
      <c r="AS260" s="224">
        <f t="shared" si="122"/>
        <v>0</v>
      </c>
      <c r="AT260" s="126"/>
      <c r="AU260" s="273"/>
      <c r="AV260" s="274"/>
      <c r="AW260" s="126"/>
      <c r="AX260" s="126"/>
      <c r="AY260" s="126"/>
      <c r="AZ260" s="275"/>
      <c r="BA260" s="126"/>
      <c r="BB260" s="274"/>
      <c r="BC260" s="126"/>
      <c r="BD260" s="126"/>
      <c r="BE260" s="128"/>
      <c r="BF260" s="126"/>
      <c r="BG260" s="222">
        <f t="shared" si="123"/>
        <v>0</v>
      </c>
      <c r="BH260" s="140">
        <f t="shared" si="124"/>
        <v>0</v>
      </c>
      <c r="BI260" s="132"/>
      <c r="BJ260" s="140">
        <f t="shared" si="125"/>
        <v>0</v>
      </c>
      <c r="BK260" s="141"/>
      <c r="BL260" s="141"/>
      <c r="BM260" s="141"/>
      <c r="BN260" s="141"/>
      <c r="BO260" s="141"/>
      <c r="BP260" s="130">
        <f t="shared" si="126"/>
        <v>0</v>
      </c>
      <c r="BQ260" s="132"/>
    </row>
    <row r="261" ht="14.25" customHeight="1">
      <c r="A261" s="132"/>
      <c r="B261" s="215">
        <v>46255</v>
      </c>
      <c r="C261" s="133"/>
      <c r="D261" s="136"/>
      <c r="E261" s="135"/>
      <c r="F261" s="135"/>
      <c r="G261" s="147">
        <f t="shared" si="118"/>
        <v>0</v>
      </c>
      <c r="H261" s="148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119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03">
        <f t="shared" si="120"/>
        <v>0</v>
      </c>
      <c r="AK261" s="136"/>
      <c r="AL261" s="136"/>
      <c r="AM261" s="136"/>
      <c r="AN261" s="105">
        <f t="shared" si="121"/>
        <v>0</v>
      </c>
      <c r="AO261" s="143"/>
      <c r="AP261" s="143"/>
      <c r="AQ261" s="143"/>
      <c r="AR261" s="146"/>
      <c r="AS261" s="224">
        <f t="shared" si="122"/>
        <v>0</v>
      </c>
      <c r="AT261" s="126"/>
      <c r="AU261" s="273"/>
      <c r="AV261" s="274"/>
      <c r="AW261" s="126"/>
      <c r="AX261" s="126"/>
      <c r="AY261" s="126"/>
      <c r="AZ261" s="275"/>
      <c r="BA261" s="126"/>
      <c r="BB261" s="274"/>
      <c r="BC261" s="126"/>
      <c r="BD261" s="126"/>
      <c r="BE261" s="128"/>
      <c r="BF261" s="126"/>
      <c r="BG261" s="222">
        <f t="shared" si="123"/>
        <v>0</v>
      </c>
      <c r="BH261" s="140">
        <f t="shared" si="124"/>
        <v>0</v>
      </c>
      <c r="BI261" s="132"/>
      <c r="BJ261" s="140">
        <f t="shared" si="125"/>
        <v>0</v>
      </c>
      <c r="BK261" s="141"/>
      <c r="BL261" s="141"/>
      <c r="BM261" s="141"/>
      <c r="BN261" s="141"/>
      <c r="BO261" s="141"/>
      <c r="BP261" s="130">
        <f t="shared" si="126"/>
        <v>0</v>
      </c>
      <c r="BQ261" s="132"/>
    </row>
    <row r="262" ht="14.25" customHeight="1">
      <c r="A262" s="132"/>
      <c r="B262" s="215">
        <v>46256</v>
      </c>
      <c r="C262" s="133"/>
      <c r="D262" s="136"/>
      <c r="E262" s="135"/>
      <c r="F262" s="135"/>
      <c r="G262" s="147">
        <f t="shared" si="118"/>
        <v>0</v>
      </c>
      <c r="H262" s="148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119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03">
        <f t="shared" si="120"/>
        <v>0</v>
      </c>
      <c r="AK262" s="136"/>
      <c r="AL262" s="136"/>
      <c r="AM262" s="136"/>
      <c r="AN262" s="105">
        <f t="shared" si="121"/>
        <v>0</v>
      </c>
      <c r="AO262" s="143"/>
      <c r="AP262" s="143"/>
      <c r="AQ262" s="143"/>
      <c r="AR262" s="146"/>
      <c r="AS262" s="224">
        <f t="shared" si="122"/>
        <v>0</v>
      </c>
      <c r="AT262" s="126"/>
      <c r="AU262" s="273"/>
      <c r="AV262" s="274"/>
      <c r="AW262" s="126"/>
      <c r="AX262" s="126"/>
      <c r="AY262" s="126"/>
      <c r="AZ262" s="275"/>
      <c r="BA262" s="126"/>
      <c r="BB262" s="274"/>
      <c r="BC262" s="126"/>
      <c r="BD262" s="126"/>
      <c r="BE262" s="128"/>
      <c r="BF262" s="126"/>
      <c r="BG262" s="222">
        <f t="shared" si="123"/>
        <v>0</v>
      </c>
      <c r="BH262" s="140">
        <f t="shared" si="124"/>
        <v>0</v>
      </c>
      <c r="BI262" s="132"/>
      <c r="BJ262" s="140">
        <f t="shared" si="125"/>
        <v>0</v>
      </c>
      <c r="BK262" s="141"/>
      <c r="BL262" s="141"/>
      <c r="BM262" s="141"/>
      <c r="BN262" s="141"/>
      <c r="BO262" s="141"/>
      <c r="BP262" s="130">
        <f t="shared" si="126"/>
        <v>0</v>
      </c>
      <c r="BQ262" s="132"/>
    </row>
    <row r="263" ht="14.25" customHeight="1">
      <c r="A263" s="3"/>
      <c r="B263" s="215">
        <v>46257</v>
      </c>
      <c r="C263" s="133"/>
      <c r="D263" s="136"/>
      <c r="E263" s="120"/>
      <c r="F263" s="120"/>
      <c r="G263" s="147">
        <f t="shared" si="118"/>
        <v>0</v>
      </c>
      <c r="H263" s="148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119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03">
        <f t="shared" si="120"/>
        <v>0</v>
      </c>
      <c r="AK263" s="136"/>
      <c r="AL263" s="136"/>
      <c r="AM263" s="123"/>
      <c r="AN263" s="105">
        <f t="shared" si="121"/>
        <v>0</v>
      </c>
      <c r="AO263" s="143"/>
      <c r="AP263" s="143"/>
      <c r="AQ263" s="143"/>
      <c r="AR263" s="146"/>
      <c r="AS263" s="224">
        <f t="shared" si="122"/>
        <v>0</v>
      </c>
      <c r="AT263" s="225"/>
      <c r="AU263" s="273"/>
      <c r="AV263" s="276"/>
      <c r="AW263" s="126"/>
      <c r="AX263" s="225"/>
      <c r="AY263" s="126"/>
      <c r="AZ263" s="275"/>
      <c r="BA263" s="225"/>
      <c r="BB263" s="276"/>
      <c r="BC263" s="225"/>
      <c r="BD263" s="225"/>
      <c r="BE263" s="128"/>
      <c r="BF263" s="225"/>
      <c r="BG263" s="222">
        <f t="shared" si="123"/>
        <v>0</v>
      </c>
      <c r="BH263" s="113">
        <f t="shared" si="124"/>
        <v>0</v>
      </c>
      <c r="BI263" s="3"/>
      <c r="BJ263" s="113">
        <f t="shared" si="125"/>
        <v>0</v>
      </c>
      <c r="BK263" s="129"/>
      <c r="BL263" s="129"/>
      <c r="BM263" s="141"/>
      <c r="BN263" s="129"/>
      <c r="BO263" s="129"/>
      <c r="BP263" s="130">
        <f t="shared" si="126"/>
        <v>0</v>
      </c>
      <c r="BQ263" s="3"/>
    </row>
    <row r="264" ht="14.25" customHeight="1">
      <c r="A264" s="132"/>
      <c r="B264" s="215">
        <v>46258</v>
      </c>
      <c r="C264" s="133"/>
      <c r="D264" s="136"/>
      <c r="E264" s="135"/>
      <c r="F264" s="135"/>
      <c r="G264" s="147">
        <f t="shared" si="118"/>
        <v>0</v>
      </c>
      <c r="H264" s="148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119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03">
        <f t="shared" si="120"/>
        <v>0</v>
      </c>
      <c r="AK264" s="136"/>
      <c r="AL264" s="136"/>
      <c r="AM264" s="136"/>
      <c r="AN264" s="105">
        <f t="shared" si="121"/>
        <v>0</v>
      </c>
      <c r="AO264" s="143"/>
      <c r="AP264" s="143"/>
      <c r="AQ264" s="143"/>
      <c r="AR264" s="146"/>
      <c r="AS264" s="224">
        <f t="shared" si="122"/>
        <v>0</v>
      </c>
      <c r="AT264" s="126"/>
      <c r="AU264" s="273"/>
      <c r="AV264" s="274"/>
      <c r="AW264" s="126"/>
      <c r="AX264" s="126"/>
      <c r="AY264" s="126"/>
      <c r="AZ264" s="275"/>
      <c r="BA264" s="126"/>
      <c r="BB264" s="274"/>
      <c r="BC264" s="126"/>
      <c r="BD264" s="126"/>
      <c r="BE264" s="128"/>
      <c r="BF264" s="126"/>
      <c r="BG264" s="222">
        <f t="shared" si="123"/>
        <v>0</v>
      </c>
      <c r="BH264" s="140">
        <f t="shared" si="124"/>
        <v>0</v>
      </c>
      <c r="BI264" s="132"/>
      <c r="BJ264" s="140">
        <f t="shared" si="125"/>
        <v>0</v>
      </c>
      <c r="BK264" s="141"/>
      <c r="BL264" s="141"/>
      <c r="BM264" s="141"/>
      <c r="BN264" s="141"/>
      <c r="BO264" s="141"/>
      <c r="BP264" s="130">
        <f t="shared" si="126"/>
        <v>0</v>
      </c>
      <c r="BQ264" s="132"/>
    </row>
    <row r="265" ht="14.25" customHeight="1">
      <c r="A265" s="132"/>
      <c r="B265" s="215">
        <v>46259</v>
      </c>
      <c r="C265" s="133"/>
      <c r="D265" s="136"/>
      <c r="E265" s="135"/>
      <c r="F265" s="135"/>
      <c r="G265" s="147">
        <f t="shared" si="118"/>
        <v>0</v>
      </c>
      <c r="H265" s="148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119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03">
        <f t="shared" si="120"/>
        <v>0</v>
      </c>
      <c r="AK265" s="136"/>
      <c r="AL265" s="136"/>
      <c r="AM265" s="136"/>
      <c r="AN265" s="105">
        <f t="shared" si="121"/>
        <v>0</v>
      </c>
      <c r="AO265" s="143"/>
      <c r="AP265" s="143"/>
      <c r="AQ265" s="143"/>
      <c r="AR265" s="146"/>
      <c r="AS265" s="224">
        <f t="shared" si="122"/>
        <v>0</v>
      </c>
      <c r="AT265" s="126"/>
      <c r="AU265" s="273"/>
      <c r="AV265" s="274"/>
      <c r="AW265" s="126"/>
      <c r="AX265" s="126"/>
      <c r="AY265" s="126"/>
      <c r="AZ265" s="275"/>
      <c r="BA265" s="126"/>
      <c r="BB265" s="274"/>
      <c r="BC265" s="126"/>
      <c r="BD265" s="126"/>
      <c r="BE265" s="128"/>
      <c r="BF265" s="126"/>
      <c r="BG265" s="222">
        <f t="shared" si="123"/>
        <v>0</v>
      </c>
      <c r="BH265" s="140">
        <f t="shared" si="124"/>
        <v>0</v>
      </c>
      <c r="BI265" s="132"/>
      <c r="BJ265" s="140">
        <f t="shared" si="125"/>
        <v>0</v>
      </c>
      <c r="BK265" s="141"/>
      <c r="BL265" s="141"/>
      <c r="BM265" s="141"/>
      <c r="BN265" s="141"/>
      <c r="BO265" s="141"/>
      <c r="BP265" s="130">
        <f t="shared" si="126"/>
        <v>0</v>
      </c>
      <c r="BQ265" s="132"/>
    </row>
    <row r="266" ht="14.25" customHeight="1">
      <c r="A266" s="132"/>
      <c r="B266" s="215">
        <v>46260</v>
      </c>
      <c r="C266" s="133"/>
      <c r="D266" s="136"/>
      <c r="E266" s="135"/>
      <c r="F266" s="135"/>
      <c r="G266" s="147">
        <f t="shared" si="118"/>
        <v>0</v>
      </c>
      <c r="H266" s="148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03">
        <f t="shared" si="119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03">
        <f t="shared" si="120"/>
        <v>0</v>
      </c>
      <c r="AK266" s="136"/>
      <c r="AL266" s="136"/>
      <c r="AM266" s="136"/>
      <c r="AN266" s="105">
        <f t="shared" si="121"/>
        <v>0</v>
      </c>
      <c r="AO266" s="143"/>
      <c r="AP266" s="143"/>
      <c r="AQ266" s="143"/>
      <c r="AR266" s="146"/>
      <c r="AS266" s="224">
        <f t="shared" si="122"/>
        <v>0</v>
      </c>
      <c r="AT266" s="126"/>
      <c r="AU266" s="273"/>
      <c r="AV266" s="274"/>
      <c r="AW266" s="126"/>
      <c r="AX266" s="126"/>
      <c r="AY266" s="126"/>
      <c r="AZ266" s="275"/>
      <c r="BA266" s="126"/>
      <c r="BB266" s="274"/>
      <c r="BC266" s="126"/>
      <c r="BD266" s="126"/>
      <c r="BE266" s="128"/>
      <c r="BF266" s="126"/>
      <c r="BG266" s="222">
        <f t="shared" si="123"/>
        <v>0</v>
      </c>
      <c r="BH266" s="140">
        <f t="shared" si="124"/>
        <v>0</v>
      </c>
      <c r="BI266" s="132"/>
      <c r="BJ266" s="140">
        <f t="shared" si="125"/>
        <v>0</v>
      </c>
      <c r="BK266" s="141"/>
      <c r="BL266" s="141"/>
      <c r="BM266" s="141"/>
      <c r="BN266" s="141"/>
      <c r="BO266" s="141"/>
      <c r="BP266" s="130">
        <f t="shared" si="126"/>
        <v>0</v>
      </c>
      <c r="BQ266" s="132"/>
    </row>
    <row r="267" ht="14.25" customHeight="1">
      <c r="A267" s="132"/>
      <c r="B267" s="215">
        <v>46261</v>
      </c>
      <c r="C267" s="133"/>
      <c r="D267" s="136"/>
      <c r="E267" s="135"/>
      <c r="F267" s="135"/>
      <c r="G267" s="147">
        <f t="shared" si="118"/>
        <v>0</v>
      </c>
      <c r="H267" s="148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03">
        <f t="shared" si="119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03">
        <f t="shared" si="120"/>
        <v>0</v>
      </c>
      <c r="AK267" s="136"/>
      <c r="AL267" s="136"/>
      <c r="AM267" s="136"/>
      <c r="AN267" s="105">
        <f t="shared" si="121"/>
        <v>0</v>
      </c>
      <c r="AO267" s="143"/>
      <c r="AP267" s="143"/>
      <c r="AQ267" s="143"/>
      <c r="AR267" s="146"/>
      <c r="AS267" s="224">
        <f t="shared" si="122"/>
        <v>0</v>
      </c>
      <c r="AT267" s="126"/>
      <c r="AU267" s="273"/>
      <c r="AV267" s="274"/>
      <c r="AW267" s="126"/>
      <c r="AX267" s="126"/>
      <c r="AY267" s="126"/>
      <c r="AZ267" s="275"/>
      <c r="BA267" s="126"/>
      <c r="BB267" s="274"/>
      <c r="BC267" s="126"/>
      <c r="BD267" s="126"/>
      <c r="BE267" s="128"/>
      <c r="BF267" s="126"/>
      <c r="BG267" s="222">
        <f t="shared" si="123"/>
        <v>0</v>
      </c>
      <c r="BH267" s="140">
        <f t="shared" si="124"/>
        <v>0</v>
      </c>
      <c r="BI267" s="132"/>
      <c r="BJ267" s="140">
        <f t="shared" si="125"/>
        <v>0</v>
      </c>
      <c r="BK267" s="141"/>
      <c r="BL267" s="141"/>
      <c r="BM267" s="141"/>
      <c r="BN267" s="141"/>
      <c r="BO267" s="141"/>
      <c r="BP267" s="130">
        <f t="shared" si="126"/>
        <v>0</v>
      </c>
      <c r="BQ267" s="132"/>
    </row>
    <row r="268" ht="14.25" customHeight="1">
      <c r="A268" s="132"/>
      <c r="B268" s="215">
        <v>46262</v>
      </c>
      <c r="C268" s="133"/>
      <c r="D268" s="136"/>
      <c r="E268" s="135"/>
      <c r="F268" s="135"/>
      <c r="G268" s="147">
        <f t="shared" si="118"/>
        <v>0</v>
      </c>
      <c r="H268" s="148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119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03">
        <f t="shared" si="120"/>
        <v>0</v>
      </c>
      <c r="AK268" s="136"/>
      <c r="AL268" s="136"/>
      <c r="AM268" s="136"/>
      <c r="AN268" s="105">
        <f t="shared" si="121"/>
        <v>0</v>
      </c>
      <c r="AO268" s="143"/>
      <c r="AP268" s="143"/>
      <c r="AQ268" s="143"/>
      <c r="AR268" s="146"/>
      <c r="AS268" s="224">
        <f t="shared" si="122"/>
        <v>0</v>
      </c>
      <c r="AT268" s="126"/>
      <c r="AU268" s="273"/>
      <c r="AV268" s="274"/>
      <c r="AW268" s="126"/>
      <c r="AX268" s="126"/>
      <c r="AY268" s="126"/>
      <c r="AZ268" s="275"/>
      <c r="BA268" s="126"/>
      <c r="BB268" s="274"/>
      <c r="BC268" s="126"/>
      <c r="BD268" s="126"/>
      <c r="BE268" s="128"/>
      <c r="BF268" s="126"/>
      <c r="BG268" s="222">
        <f t="shared" si="123"/>
        <v>0</v>
      </c>
      <c r="BH268" s="140">
        <f t="shared" si="124"/>
        <v>0</v>
      </c>
      <c r="BI268" s="132"/>
      <c r="BJ268" s="140">
        <f t="shared" si="125"/>
        <v>0</v>
      </c>
      <c r="BK268" s="141"/>
      <c r="BL268" s="141"/>
      <c r="BM268" s="141"/>
      <c r="BN268" s="141"/>
      <c r="BO268" s="141"/>
      <c r="BP268" s="130">
        <f t="shared" si="126"/>
        <v>0</v>
      </c>
      <c r="BQ268" s="132"/>
    </row>
    <row r="269" ht="14.25" customHeight="1">
      <c r="A269" s="132"/>
      <c r="B269" s="215">
        <v>46263</v>
      </c>
      <c r="C269" s="133"/>
      <c r="D269" s="136"/>
      <c r="E269" s="135"/>
      <c r="F269" s="135"/>
      <c r="G269" s="147">
        <f t="shared" si="118"/>
        <v>0</v>
      </c>
      <c r="H269" s="148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119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03">
        <f t="shared" si="120"/>
        <v>0</v>
      </c>
      <c r="AK269" s="136"/>
      <c r="AL269" s="136"/>
      <c r="AM269" s="136"/>
      <c r="AN269" s="105">
        <f t="shared" si="121"/>
        <v>0</v>
      </c>
      <c r="AO269" s="143"/>
      <c r="AP269" s="143"/>
      <c r="AQ269" s="143"/>
      <c r="AR269" s="146"/>
      <c r="AS269" s="224">
        <f t="shared" si="122"/>
        <v>0</v>
      </c>
      <c r="AT269" s="126"/>
      <c r="AU269" s="273"/>
      <c r="AV269" s="274"/>
      <c r="AW269" s="126"/>
      <c r="AX269" s="126"/>
      <c r="AY269" s="126"/>
      <c r="AZ269" s="275"/>
      <c r="BA269" s="126"/>
      <c r="BB269" s="274"/>
      <c r="BC269" s="126"/>
      <c r="BD269" s="126"/>
      <c r="BE269" s="128"/>
      <c r="BF269" s="126"/>
      <c r="BG269" s="222">
        <f t="shared" si="123"/>
        <v>0</v>
      </c>
      <c r="BH269" s="140">
        <f t="shared" si="124"/>
        <v>0</v>
      </c>
      <c r="BI269" s="132"/>
      <c r="BJ269" s="140">
        <f t="shared" si="125"/>
        <v>0</v>
      </c>
      <c r="BK269" s="141"/>
      <c r="BL269" s="141"/>
      <c r="BM269" s="141"/>
      <c r="BN269" s="141"/>
      <c r="BO269" s="141"/>
      <c r="BP269" s="130">
        <f t="shared" si="126"/>
        <v>0</v>
      </c>
      <c r="BQ269" s="132"/>
    </row>
    <row r="270" ht="14.25" customHeight="1">
      <c r="A270" s="132"/>
      <c r="B270" s="215">
        <v>46264</v>
      </c>
      <c r="C270" s="133"/>
      <c r="D270" s="136"/>
      <c r="E270" s="135"/>
      <c r="F270" s="135"/>
      <c r="G270" s="147">
        <f t="shared" si="118"/>
        <v>0</v>
      </c>
      <c r="H270" s="148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119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03">
        <f t="shared" si="120"/>
        <v>0</v>
      </c>
      <c r="AK270" s="136"/>
      <c r="AL270" s="136"/>
      <c r="AM270" s="136"/>
      <c r="AN270" s="105">
        <f t="shared" si="121"/>
        <v>0</v>
      </c>
      <c r="AO270" s="143"/>
      <c r="AP270" s="143"/>
      <c r="AQ270" s="143"/>
      <c r="AR270" s="146"/>
      <c r="AS270" s="224">
        <f t="shared" si="122"/>
        <v>0</v>
      </c>
      <c r="AT270" s="126"/>
      <c r="AU270" s="273"/>
      <c r="AV270" s="274"/>
      <c r="AW270" s="126"/>
      <c r="AX270" s="126"/>
      <c r="AY270" s="126"/>
      <c r="AZ270" s="275"/>
      <c r="BA270" s="126"/>
      <c r="BB270" s="274"/>
      <c r="BC270" s="126"/>
      <c r="BD270" s="126"/>
      <c r="BE270" s="128"/>
      <c r="BF270" s="126"/>
      <c r="BG270" s="222">
        <f t="shared" si="123"/>
        <v>0</v>
      </c>
      <c r="BH270" s="140">
        <f t="shared" si="124"/>
        <v>0</v>
      </c>
      <c r="BI270" s="132"/>
      <c r="BJ270" s="140">
        <f t="shared" si="125"/>
        <v>0</v>
      </c>
      <c r="BK270" s="141"/>
      <c r="BL270" s="141"/>
      <c r="BM270" s="141"/>
      <c r="BN270" s="141"/>
      <c r="BO270" s="141"/>
      <c r="BP270" s="130">
        <f t="shared" si="126"/>
        <v>0</v>
      </c>
      <c r="BQ270" s="132"/>
    </row>
    <row r="271" ht="14.25" customHeight="1">
      <c r="A271" s="132"/>
      <c r="B271" s="215">
        <v>46265</v>
      </c>
      <c r="C271" s="153"/>
      <c r="D271" s="159"/>
      <c r="E271" s="156"/>
      <c r="F271" s="156"/>
      <c r="G271" s="147">
        <f t="shared" si="118"/>
        <v>0</v>
      </c>
      <c r="H271" s="148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03">
        <f t="shared" si="119"/>
        <v>0</v>
      </c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03">
        <f t="shared" si="120"/>
        <v>0</v>
      </c>
      <c r="AK271" s="159"/>
      <c r="AL271" s="159"/>
      <c r="AM271" s="159"/>
      <c r="AN271" s="105">
        <f t="shared" si="121"/>
        <v>0</v>
      </c>
      <c r="AO271" s="157"/>
      <c r="AP271" s="157"/>
      <c r="AQ271" s="157"/>
      <c r="AR271" s="160"/>
      <c r="AS271" s="224">
        <f t="shared" si="122"/>
        <v>0</v>
      </c>
      <c r="AT271" s="138"/>
      <c r="AU271" s="295"/>
      <c r="AV271" s="296"/>
      <c r="AW271" s="138"/>
      <c r="AX271" s="138"/>
      <c r="AY271" s="138"/>
      <c r="AZ271" s="297"/>
      <c r="BA271" s="138"/>
      <c r="BB271" s="296"/>
      <c r="BC271" s="138"/>
      <c r="BD271" s="138"/>
      <c r="BE271" s="139"/>
      <c r="BF271" s="138"/>
      <c r="BG271" s="222">
        <f t="shared" si="123"/>
        <v>0</v>
      </c>
      <c r="BH271" s="162">
        <f t="shared" si="124"/>
        <v>0</v>
      </c>
      <c r="BI271" s="132"/>
      <c r="BJ271" s="162">
        <f t="shared" si="125"/>
        <v>0</v>
      </c>
      <c r="BK271" s="163"/>
      <c r="BL271" s="141"/>
      <c r="BM271" s="163"/>
      <c r="BN271" s="163"/>
      <c r="BO271" s="163"/>
      <c r="BP271" s="164">
        <f t="shared" si="126"/>
        <v>0</v>
      </c>
      <c r="BQ271" s="132"/>
    </row>
    <row r="272" ht="14.25" customHeight="1">
      <c r="A272" s="3"/>
      <c r="B272" s="2" t="s">
        <v>82</v>
      </c>
      <c r="C272" s="166">
        <f ref="C272:G272" t="shared" si="127">SUM(C241:C271)</f>
        <v>0</v>
      </c>
      <c r="D272" s="166">
        <f t="shared" si="127"/>
        <v>0</v>
      </c>
      <c r="E272" s="166">
        <f t="shared" si="127"/>
        <v>0</v>
      </c>
      <c r="F272" s="166">
        <f t="shared" si="127"/>
        <v>0</v>
      </c>
      <c r="G272" s="166">
        <f t="shared" si="127"/>
        <v>0</v>
      </c>
      <c r="H272" s="166"/>
      <c r="I272" s="166">
        <f ref="I272:AG272" t="shared" si="128">SUM(I241:I271)</f>
        <v>0</v>
      </c>
      <c r="J272" s="166">
        <f t="shared" si="128"/>
        <v>0</v>
      </c>
      <c r="K272" s="166">
        <f t="shared" si="128"/>
        <v>0</v>
      </c>
      <c r="L272" s="166">
        <f t="shared" si="128"/>
        <v>0</v>
      </c>
      <c r="M272" s="166">
        <f t="shared" si="128"/>
        <v>0</v>
      </c>
      <c r="N272" s="166">
        <f t="shared" si="128"/>
        <v>0</v>
      </c>
      <c r="O272" s="166">
        <f t="shared" si="128"/>
        <v>0</v>
      </c>
      <c r="P272" s="166">
        <f t="shared" si="128"/>
        <v>0</v>
      </c>
      <c r="Q272" s="166">
        <f t="shared" si="128"/>
        <v>0</v>
      </c>
      <c r="R272" s="166">
        <f t="shared" si="128"/>
        <v>0</v>
      </c>
      <c r="S272" s="166">
        <f t="shared" si="128"/>
        <v>0</v>
      </c>
      <c r="T272" s="166">
        <f t="shared" si="128"/>
        <v>0</v>
      </c>
      <c r="U272" s="166">
        <f t="shared" si="128"/>
        <v>0</v>
      </c>
      <c r="V272" s="166">
        <f t="shared" si="128"/>
        <v>0</v>
      </c>
      <c r="W272" s="166">
        <f t="shared" si="128"/>
        <v>0</v>
      </c>
      <c r="X272" s="166">
        <f t="shared" si="128"/>
        <v>0</v>
      </c>
      <c r="Y272" s="166">
        <f t="shared" si="128"/>
        <v>0</v>
      </c>
      <c r="Z272" s="166">
        <f t="shared" si="128"/>
        <v>0</v>
      </c>
      <c r="AA272" s="166">
        <f t="shared" si="128"/>
        <v>0</v>
      </c>
      <c r="AB272" s="166">
        <f t="shared" si="128"/>
        <v>0</v>
      </c>
      <c r="AC272" s="166">
        <f t="shared" si="128"/>
        <v>0</v>
      </c>
      <c r="AD272" s="166">
        <f t="shared" si="128"/>
        <v>0</v>
      </c>
      <c r="AE272" s="166">
        <f t="shared" si="128"/>
        <v>0</v>
      </c>
      <c r="AF272" s="166">
        <f t="shared" si="128"/>
        <v>0</v>
      </c>
      <c r="AG272" s="166">
        <f t="shared" si="128"/>
        <v>0</v>
      </c>
      <c r="AH272" s="166"/>
      <c r="AI272" s="166">
        <f ref="AI272:AO272" t="shared" si="129">SUM(AI241:AI271)</f>
        <v>0</v>
      </c>
      <c r="AJ272" s="166">
        <f t="shared" si="129"/>
        <v>0</v>
      </c>
      <c r="AK272" s="166">
        <f t="shared" si="129"/>
        <v>0</v>
      </c>
      <c r="AL272" s="166">
        <f t="shared" si="129"/>
        <v>0</v>
      </c>
      <c r="AM272" s="166">
        <f t="shared" si="129"/>
        <v>0</v>
      </c>
      <c r="AN272" s="166">
        <f t="shared" si="129"/>
        <v>0</v>
      </c>
      <c r="AO272" s="166">
        <f t="shared" si="129"/>
        <v>0</v>
      </c>
      <c r="AP272" s="166"/>
      <c r="AQ272" s="166"/>
      <c r="AR272" s="166"/>
      <c r="AS272" s="166">
        <f ref="AS272:AT272" t="shared" si="130">SUM(AS241:AS271)</f>
        <v>0</v>
      </c>
      <c r="AT272" s="166">
        <f t="shared" si="130"/>
        <v>0</v>
      </c>
      <c r="AU272" s="283"/>
      <c r="AV272" s="166">
        <f ref="AV272:BA272" t="shared" si="131">SUM(AV241:AV271)</f>
        <v>0</v>
      </c>
      <c r="AW272" s="166">
        <f t="shared" si="131"/>
        <v>0</v>
      </c>
      <c r="AX272" s="166">
        <f t="shared" si="131"/>
        <v>0</v>
      </c>
      <c r="AY272" s="166">
        <f t="shared" si="131"/>
        <v>0</v>
      </c>
      <c r="AZ272" s="166">
        <f t="shared" si="131"/>
        <v>0</v>
      </c>
      <c r="BA272" s="166">
        <f t="shared" si="131"/>
        <v>0</v>
      </c>
      <c r="BB272" s="166"/>
      <c r="BC272" s="166"/>
      <c r="BD272" s="166"/>
      <c r="BE272" s="261"/>
      <c r="BF272" s="166"/>
      <c r="BG272" s="166">
        <f ref="BG272:BH272" t="shared" si="132">SUM(BG241:BG271)</f>
        <v>0</v>
      </c>
      <c r="BH272" s="166">
        <f t="shared" si="132"/>
        <v>0</v>
      </c>
      <c r="BI272" s="3"/>
      <c r="BJ272" s="172">
        <f>SUM(BJ241:BJ271)</f>
        <v>0</v>
      </c>
      <c r="BK272" s="165"/>
      <c r="BL272" s="166"/>
      <c r="BM272" s="165"/>
      <c r="BN272" s="165"/>
      <c r="BO272" s="165"/>
      <c r="BP272" s="165">
        <f>SUM(BP241:BP271)</f>
        <v>0</v>
      </c>
      <c r="BQ272" s="3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4"/>
      <c r="AO273" s="3"/>
      <c r="AP273" s="3"/>
      <c r="AQ273" s="3"/>
      <c r="AR273" s="3"/>
      <c r="AS273" s="3"/>
      <c r="AT273" s="3"/>
      <c r="AU273" s="5"/>
      <c r="AV273" s="3"/>
      <c r="AW273" s="3"/>
      <c r="AX273" s="3"/>
      <c r="AY273" s="3"/>
      <c r="AZ273" s="3"/>
      <c r="BA273" s="3"/>
      <c r="BB273" s="3"/>
      <c r="BC273" s="3"/>
      <c r="BD273" s="3"/>
      <c r="BE273" s="6"/>
      <c r="BF273" s="3"/>
      <c r="BG273" s="4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ht="14.25" customHeight="1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176"/>
      <c r="AK274" s="3"/>
      <c r="AL274" s="3"/>
      <c r="AM274" s="3"/>
      <c r="AN274" s="4"/>
      <c r="AO274" s="3"/>
      <c r="AP274" s="3"/>
      <c r="AQ274" s="3"/>
      <c r="AR274" s="3"/>
      <c r="AS274" s="3"/>
      <c r="AT274" s="3"/>
      <c r="AU274" s="5"/>
      <c r="AV274" s="3"/>
      <c r="AW274" s="3"/>
      <c r="AX274" s="3"/>
      <c r="AY274" s="3"/>
      <c r="AZ274" s="3"/>
      <c r="BA274" s="3"/>
      <c r="BB274" s="3"/>
      <c r="BC274" s="3"/>
      <c r="BD274" s="176"/>
      <c r="BE274" s="6"/>
      <c r="BF274" s="3"/>
      <c r="BG274" s="177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ht="14.25" customHeight="1">
      <c r="A275" s="3"/>
      <c r="B275" s="215">
        <v>46266</v>
      </c>
      <c r="C275" s="94"/>
      <c r="D275" s="104"/>
      <c r="E275" s="97"/>
      <c r="F275" s="97"/>
      <c r="G275" s="216">
        <f ref="G275:G304" t="shared" si="133">+C275+D275+E275+F275</f>
        <v>0</v>
      </c>
      <c r="H275" s="21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03">
        <f ref="U275:U304" t="shared" si="134">SUM(H275:T275)</f>
        <v>0</v>
      </c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300">
        <f ref="AJ275:AJ304" t="shared" si="135">SUM(V275:AI275)</f>
        <v>0</v>
      </c>
      <c r="AK275" s="104"/>
      <c r="AL275" s="104"/>
      <c r="AM275" s="94"/>
      <c r="AN275" s="191">
        <f ref="AN275:AN304" t="shared" si="136">SUM(AK275:AM275)</f>
        <v>0</v>
      </c>
      <c r="AO275" s="186"/>
      <c r="AP275" s="186"/>
      <c r="AQ275" s="186"/>
      <c r="AR275" s="193"/>
      <c r="AS275" s="266">
        <f ref="AS275:AS304" t="shared" si="137">+G275-U275-AJ275-AN275-AO275-AP275-AQ275-AR275</f>
        <v>0</v>
      </c>
      <c r="AT275" s="276"/>
      <c r="AU275" s="273"/>
      <c r="AV275" s="276"/>
      <c r="AW275" s="276"/>
      <c r="AX275" s="221"/>
      <c r="AY275" s="127"/>
      <c r="AZ275" s="274"/>
      <c r="BA275" s="276"/>
      <c r="BB275" s="276"/>
      <c r="BC275" s="286"/>
      <c r="BD275" s="220"/>
      <c r="BE275" s="111"/>
      <c r="BF275" s="220"/>
      <c r="BG275" s="222">
        <f ref="BG275:BG304" t="shared" si="138">SUM(AT275:BF275)-BD275</f>
        <v>0</v>
      </c>
      <c r="BH275" s="114">
        <f ref="BH275:BH304" t="shared" si="139">+AS275-BG275</f>
        <v>0</v>
      </c>
      <c r="BI275" s="3"/>
      <c r="BJ275" s="114">
        <f ref="BJ275:BJ304" t="shared" si="140">SUM(BK275:BO275)</f>
        <v>0</v>
      </c>
      <c r="BK275" s="115"/>
      <c r="BL275" s="115"/>
      <c r="BM275" s="115"/>
      <c r="BN275" s="115"/>
      <c r="BO275" s="115"/>
      <c r="BP275" s="116">
        <f ref="BP275:BP304" t="shared" si="141">+BH275-BJ275</f>
        <v>0</v>
      </c>
      <c r="BQ275" s="3"/>
    </row>
    <row r="276" ht="14.25" customHeight="1">
      <c r="A276" s="3"/>
      <c r="B276" s="215">
        <v>46267</v>
      </c>
      <c r="C276" s="118"/>
      <c r="D276" s="123"/>
      <c r="E276" s="120"/>
      <c r="F276" s="120"/>
      <c r="G276" s="147">
        <f t="shared" si="133"/>
        <v>0</v>
      </c>
      <c r="H276" s="148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03">
        <f t="shared" si="134"/>
        <v>0</v>
      </c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03">
        <f t="shared" si="135"/>
        <v>0</v>
      </c>
      <c r="AK276" s="123"/>
      <c r="AL276" s="123"/>
      <c r="AM276" s="123"/>
      <c r="AN276" s="105">
        <f t="shared" si="136"/>
        <v>0</v>
      </c>
      <c r="AO276" s="143"/>
      <c r="AP276" s="143"/>
      <c r="AQ276" s="143"/>
      <c r="AR276" s="146"/>
      <c r="AS276" s="224">
        <f t="shared" si="137"/>
        <v>0</v>
      </c>
      <c r="AT276" s="276"/>
      <c r="AU276" s="273"/>
      <c r="AV276" s="276"/>
      <c r="AW276" s="276"/>
      <c r="AX276" s="221"/>
      <c r="AY276" s="127"/>
      <c r="AZ276" s="274"/>
      <c r="BA276" s="276"/>
      <c r="BB276" s="276"/>
      <c r="BC276" s="276"/>
      <c r="BD276" s="225"/>
      <c r="BE276" s="128"/>
      <c r="BF276" s="225"/>
      <c r="BG276" s="222">
        <f t="shared" si="138"/>
        <v>0</v>
      </c>
      <c r="BH276" s="113">
        <f t="shared" si="139"/>
        <v>0</v>
      </c>
      <c r="BI276" s="3"/>
      <c r="BJ276" s="113">
        <f t="shared" si="140"/>
        <v>0</v>
      </c>
      <c r="BK276" s="129"/>
      <c r="BL276" s="129"/>
      <c r="BM276" s="129"/>
      <c r="BN276" s="129"/>
      <c r="BO276" s="129"/>
      <c r="BP276" s="130">
        <f t="shared" si="141"/>
        <v>0</v>
      </c>
      <c r="BQ276" s="3"/>
    </row>
    <row r="277" ht="14.25" customHeight="1">
      <c r="A277" s="3"/>
      <c r="B277" s="215">
        <v>46268</v>
      </c>
      <c r="C277" s="118"/>
      <c r="D277" s="123"/>
      <c r="E277" s="120"/>
      <c r="F277" s="120"/>
      <c r="G277" s="147">
        <f t="shared" si="133"/>
        <v>0</v>
      </c>
      <c r="H277" s="148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34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03">
        <f t="shared" si="135"/>
        <v>0</v>
      </c>
      <c r="AK277" s="123"/>
      <c r="AL277" s="123"/>
      <c r="AM277" s="123"/>
      <c r="AN277" s="105">
        <f t="shared" si="136"/>
        <v>0</v>
      </c>
      <c r="AO277" s="143"/>
      <c r="AP277" s="143"/>
      <c r="AQ277" s="143"/>
      <c r="AR277" s="146"/>
      <c r="AS277" s="224">
        <f t="shared" si="137"/>
        <v>0</v>
      </c>
      <c r="AT277" s="276"/>
      <c r="AU277" s="273"/>
      <c r="AV277" s="276"/>
      <c r="AW277" s="276"/>
      <c r="AX277" s="221"/>
      <c r="AY277" s="127"/>
      <c r="AZ277" s="274"/>
      <c r="BA277" s="276"/>
      <c r="BB277" s="276"/>
      <c r="BC277" s="276"/>
      <c r="BD277" s="225"/>
      <c r="BE277" s="128"/>
      <c r="BF277" s="225"/>
      <c r="BG277" s="222">
        <f t="shared" si="138"/>
        <v>0</v>
      </c>
      <c r="BH277" s="113">
        <f t="shared" si="139"/>
        <v>0</v>
      </c>
      <c r="BI277" s="3"/>
      <c r="BJ277" s="113">
        <f t="shared" si="140"/>
        <v>0</v>
      </c>
      <c r="BK277" s="129"/>
      <c r="BL277" s="129"/>
      <c r="BM277" s="129"/>
      <c r="BN277" s="129"/>
      <c r="BO277" s="129"/>
      <c r="BP277" s="130">
        <f t="shared" si="141"/>
        <v>0</v>
      </c>
      <c r="BQ277" s="3"/>
    </row>
    <row r="278" ht="14.25" customHeight="1">
      <c r="A278" s="3"/>
      <c r="B278" s="215">
        <v>46269</v>
      </c>
      <c r="C278" s="123"/>
      <c r="D278" s="123"/>
      <c r="E278" s="3"/>
      <c r="F278" s="120"/>
      <c r="G278" s="147">
        <f t="shared" si="133"/>
        <v>0</v>
      </c>
      <c r="H278" s="148"/>
      <c r="I278" s="143"/>
      <c r="J278" s="143"/>
      <c r="K278" s="143"/>
      <c r="L278" s="143"/>
      <c r="M278" s="146"/>
      <c r="N278" s="143"/>
      <c r="O278" s="144"/>
      <c r="P278" s="143"/>
      <c r="Q278" s="143"/>
      <c r="R278" s="143"/>
      <c r="S278" s="143"/>
      <c r="T278" s="143"/>
      <c r="U278" s="103">
        <f t="shared" si="134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300">
        <f t="shared" si="135"/>
        <v>0</v>
      </c>
      <c r="AK278" s="123"/>
      <c r="AL278" s="123"/>
      <c r="AM278" s="118"/>
      <c r="AN278" s="105">
        <f t="shared" si="136"/>
        <v>0</v>
      </c>
      <c r="AO278" s="143"/>
      <c r="AP278" s="143"/>
      <c r="AQ278" s="143"/>
      <c r="AR278" s="146"/>
      <c r="AS278" s="224">
        <f t="shared" si="137"/>
        <v>0</v>
      </c>
      <c r="AT278" s="276"/>
      <c r="AU278" s="273"/>
      <c r="AV278" s="276"/>
      <c r="AW278" s="276"/>
      <c r="AX278" s="221"/>
      <c r="AY278" s="127"/>
      <c r="AZ278" s="274"/>
      <c r="BA278" s="276"/>
      <c r="BB278" s="276"/>
      <c r="BC278" s="276"/>
      <c r="BD278" s="225"/>
      <c r="BE278" s="128"/>
      <c r="BF278" s="225"/>
      <c r="BG278" s="222">
        <f t="shared" si="138"/>
        <v>0</v>
      </c>
      <c r="BH278" s="113">
        <f t="shared" si="139"/>
        <v>0</v>
      </c>
      <c r="BI278" s="3"/>
      <c r="BJ278" s="113">
        <f t="shared" si="140"/>
        <v>0</v>
      </c>
      <c r="BK278" s="129"/>
      <c r="BL278" s="129"/>
      <c r="BM278" s="129"/>
      <c r="BN278" s="129"/>
      <c r="BO278" s="129"/>
      <c r="BP278" s="130">
        <f t="shared" si="141"/>
        <v>0</v>
      </c>
      <c r="BQ278" s="3"/>
    </row>
    <row r="279" ht="14.25" customHeight="1">
      <c r="A279" s="3"/>
      <c r="B279" s="215">
        <v>46270</v>
      </c>
      <c r="C279" s="118"/>
      <c r="D279" s="123"/>
      <c r="E279" s="120"/>
      <c r="F279" s="120"/>
      <c r="G279" s="147">
        <f t="shared" si="133"/>
        <v>0</v>
      </c>
      <c r="H279" s="148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34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03">
        <f t="shared" si="135"/>
        <v>0</v>
      </c>
      <c r="AK279" s="123"/>
      <c r="AL279" s="123"/>
      <c r="AM279" s="123"/>
      <c r="AN279" s="105">
        <f t="shared" si="136"/>
        <v>0</v>
      </c>
      <c r="AO279" s="143"/>
      <c r="AP279" s="143"/>
      <c r="AQ279" s="143"/>
      <c r="AR279" s="146"/>
      <c r="AS279" s="224">
        <f t="shared" si="137"/>
        <v>0</v>
      </c>
      <c r="AT279" s="276"/>
      <c r="AU279" s="273"/>
      <c r="AV279" s="276"/>
      <c r="AW279" s="276"/>
      <c r="AX279" s="221"/>
      <c r="AY279" s="127"/>
      <c r="AZ279" s="274"/>
      <c r="BA279" s="276"/>
      <c r="BB279" s="276"/>
      <c r="BC279" s="276"/>
      <c r="BD279" s="225"/>
      <c r="BE279" s="128"/>
      <c r="BF279" s="225"/>
      <c r="BG279" s="222">
        <f t="shared" si="138"/>
        <v>0</v>
      </c>
      <c r="BH279" s="113">
        <f t="shared" si="139"/>
        <v>0</v>
      </c>
      <c r="BI279" s="3"/>
      <c r="BJ279" s="113">
        <f t="shared" si="140"/>
        <v>0</v>
      </c>
      <c r="BK279" s="129"/>
      <c r="BL279" s="129"/>
      <c r="BM279" s="129"/>
      <c r="BN279" s="129"/>
      <c r="BO279" s="129"/>
      <c r="BP279" s="130">
        <f t="shared" si="141"/>
        <v>0</v>
      </c>
      <c r="BQ279" s="3"/>
    </row>
    <row r="280" ht="14.25" customHeight="1">
      <c r="A280" s="3"/>
      <c r="B280" s="215">
        <v>46271</v>
      </c>
      <c r="C280" s="118"/>
      <c r="D280" s="123"/>
      <c r="E280" s="120"/>
      <c r="F280" s="120"/>
      <c r="G280" s="147">
        <f t="shared" si="133"/>
        <v>0</v>
      </c>
      <c r="H280" s="148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34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03">
        <f t="shared" si="135"/>
        <v>0</v>
      </c>
      <c r="AK280" s="123"/>
      <c r="AL280" s="123"/>
      <c r="AM280" s="123"/>
      <c r="AN280" s="105">
        <f t="shared" si="136"/>
        <v>0</v>
      </c>
      <c r="AO280" s="143"/>
      <c r="AP280" s="143"/>
      <c r="AQ280" s="143"/>
      <c r="AR280" s="146"/>
      <c r="AS280" s="224">
        <f t="shared" si="137"/>
        <v>0</v>
      </c>
      <c r="AT280" s="276"/>
      <c r="AU280" s="273"/>
      <c r="AV280" s="276"/>
      <c r="AW280" s="276"/>
      <c r="AX280" s="221"/>
      <c r="AY280" s="127"/>
      <c r="AZ280" s="274"/>
      <c r="BA280" s="276"/>
      <c r="BB280" s="276"/>
      <c r="BC280" s="276"/>
      <c r="BD280" s="225"/>
      <c r="BE280" s="128"/>
      <c r="BF280" s="225"/>
      <c r="BG280" s="222">
        <f t="shared" si="138"/>
        <v>0</v>
      </c>
      <c r="BH280" s="113">
        <f t="shared" si="139"/>
        <v>0</v>
      </c>
      <c r="BI280" s="3"/>
      <c r="BJ280" s="113">
        <f t="shared" si="140"/>
        <v>0</v>
      </c>
      <c r="BK280" s="129"/>
      <c r="BL280" s="129"/>
      <c r="BM280" s="129"/>
      <c r="BN280" s="129"/>
      <c r="BO280" s="129"/>
      <c r="BP280" s="130">
        <f t="shared" si="141"/>
        <v>0</v>
      </c>
      <c r="BQ280" s="3"/>
    </row>
    <row r="281" ht="14.25" customHeight="1">
      <c r="A281" s="3"/>
      <c r="B281" s="215">
        <v>46272</v>
      </c>
      <c r="C281" s="118"/>
      <c r="D281" s="123"/>
      <c r="E281" s="120"/>
      <c r="F281" s="120"/>
      <c r="G281" s="147">
        <f t="shared" si="133"/>
        <v>0</v>
      </c>
      <c r="H281" s="148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34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03">
        <f t="shared" si="135"/>
        <v>0</v>
      </c>
      <c r="AK281" s="123"/>
      <c r="AL281" s="123"/>
      <c r="AM281" s="123"/>
      <c r="AN281" s="105">
        <f t="shared" si="136"/>
        <v>0</v>
      </c>
      <c r="AO281" s="143"/>
      <c r="AP281" s="143"/>
      <c r="AQ281" s="143"/>
      <c r="AR281" s="146"/>
      <c r="AS281" s="224">
        <f t="shared" si="137"/>
        <v>0</v>
      </c>
      <c r="AT281" s="276"/>
      <c r="AU281" s="273"/>
      <c r="AV281" s="276"/>
      <c r="AW281" s="276"/>
      <c r="AX281" s="221"/>
      <c r="AY281" s="127"/>
      <c r="AZ281" s="274"/>
      <c r="BA281" s="276"/>
      <c r="BB281" s="276"/>
      <c r="BC281" s="276"/>
      <c r="BD281" s="225"/>
      <c r="BE281" s="128"/>
      <c r="BF281" s="225"/>
      <c r="BG281" s="222">
        <f t="shared" si="138"/>
        <v>0</v>
      </c>
      <c r="BH281" s="113">
        <f t="shared" si="139"/>
        <v>0</v>
      </c>
      <c r="BI281" s="3"/>
      <c r="BJ281" s="113">
        <f t="shared" si="140"/>
        <v>0</v>
      </c>
      <c r="BK281" s="129"/>
      <c r="BL281" s="129"/>
      <c r="BM281" s="129"/>
      <c r="BN281" s="129"/>
      <c r="BO281" s="129"/>
      <c r="BP281" s="130">
        <f t="shared" si="141"/>
        <v>0</v>
      </c>
      <c r="BQ281" s="3"/>
    </row>
    <row r="282" ht="14.25" customHeight="1">
      <c r="A282" s="3"/>
      <c r="B282" s="215">
        <v>46273</v>
      </c>
      <c r="C282" s="118"/>
      <c r="D282" s="123"/>
      <c r="E282" s="120"/>
      <c r="F282" s="120"/>
      <c r="G282" s="147">
        <f t="shared" si="133"/>
        <v>0</v>
      </c>
      <c r="H282" s="148"/>
      <c r="I282" s="143"/>
      <c r="J282" s="143"/>
      <c r="K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34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03">
        <f t="shared" si="135"/>
        <v>0</v>
      </c>
      <c r="AK282" s="123"/>
      <c r="AL282" s="123"/>
      <c r="AM282" s="123"/>
      <c r="AN282" s="105">
        <f t="shared" si="136"/>
        <v>0</v>
      </c>
      <c r="AO282" s="143"/>
      <c r="AP282" s="143"/>
      <c r="AQ282" s="143"/>
      <c r="AR282" s="146"/>
      <c r="AS282" s="224">
        <f t="shared" si="137"/>
        <v>0</v>
      </c>
      <c r="AT282" s="276"/>
      <c r="AU282" s="273"/>
      <c r="AV282" s="276"/>
      <c r="AW282" s="276"/>
      <c r="AX282" s="221"/>
      <c r="AY282" s="127"/>
      <c r="AZ282" s="274"/>
      <c r="BA282" s="276"/>
      <c r="BB282" s="276"/>
      <c r="BC282" s="276"/>
      <c r="BD282" s="225"/>
      <c r="BE282" s="128"/>
      <c r="BF282" s="225"/>
      <c r="BG282" s="222">
        <f t="shared" si="138"/>
        <v>0</v>
      </c>
      <c r="BH282" s="113">
        <f t="shared" si="139"/>
        <v>0</v>
      </c>
      <c r="BI282" s="3"/>
      <c r="BJ282" s="113">
        <f t="shared" si="140"/>
        <v>0</v>
      </c>
      <c r="BK282" s="129"/>
      <c r="BL282" s="129"/>
      <c r="BM282" s="129"/>
      <c r="BN282" s="129"/>
      <c r="BO282" s="129"/>
      <c r="BP282" s="130">
        <f t="shared" si="141"/>
        <v>0</v>
      </c>
      <c r="BQ282" s="3"/>
    </row>
    <row r="283" ht="14.25" customHeight="1">
      <c r="A283" s="132"/>
      <c r="B283" s="215">
        <v>46274</v>
      </c>
      <c r="C283" s="133"/>
      <c r="D283" s="136"/>
      <c r="E283" s="135"/>
      <c r="F283" s="135"/>
      <c r="G283" s="147">
        <f t="shared" si="133"/>
        <v>0</v>
      </c>
      <c r="H283" s="148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34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03">
        <f t="shared" si="135"/>
        <v>0</v>
      </c>
      <c r="AK283" s="136"/>
      <c r="AL283" s="136"/>
      <c r="AM283" s="136"/>
      <c r="AN283" s="105">
        <f t="shared" si="136"/>
        <v>0</v>
      </c>
      <c r="AO283" s="143"/>
      <c r="AP283" s="143"/>
      <c r="AQ283" s="143"/>
      <c r="AR283" s="146"/>
      <c r="AS283" s="224">
        <f t="shared" si="137"/>
        <v>0</v>
      </c>
      <c r="AT283" s="274"/>
      <c r="AU283" s="273"/>
      <c r="AV283" s="274"/>
      <c r="AW283" s="274"/>
      <c r="AX283" s="127"/>
      <c r="AY283" s="127"/>
      <c r="AZ283" s="274"/>
      <c r="BA283" s="274"/>
      <c r="BB283" s="274"/>
      <c r="BC283" s="274"/>
      <c r="BD283" s="126"/>
      <c r="BE283" s="128"/>
      <c r="BF283" s="126"/>
      <c r="BG283" s="222">
        <f t="shared" si="138"/>
        <v>0</v>
      </c>
      <c r="BH283" s="140">
        <f t="shared" si="139"/>
        <v>0</v>
      </c>
      <c r="BI283" s="132"/>
      <c r="BJ283" s="140">
        <f t="shared" si="140"/>
        <v>0</v>
      </c>
      <c r="BK283" s="141"/>
      <c r="BL283" s="141"/>
      <c r="BM283" s="141"/>
      <c r="BN283" s="141"/>
      <c r="BO283" s="141"/>
      <c r="BP283" s="130">
        <f t="shared" si="141"/>
        <v>0</v>
      </c>
      <c r="BQ283" s="132"/>
    </row>
    <row r="284" ht="14.25" customHeight="1">
      <c r="A284" s="132"/>
      <c r="B284" s="215">
        <v>46275</v>
      </c>
      <c r="C284" s="133"/>
      <c r="D284" s="136"/>
      <c r="E284" s="135"/>
      <c r="F284" s="135"/>
      <c r="G284" s="147">
        <f t="shared" si="133"/>
        <v>0</v>
      </c>
      <c r="H284" s="148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34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03">
        <f t="shared" si="135"/>
        <v>0</v>
      </c>
      <c r="AK284" s="136"/>
      <c r="AL284" s="136"/>
      <c r="AM284" s="136"/>
      <c r="AN284" s="105">
        <f t="shared" si="136"/>
        <v>0</v>
      </c>
      <c r="AO284" s="143"/>
      <c r="AP284" s="143"/>
      <c r="AQ284" s="143"/>
      <c r="AR284" s="146"/>
      <c r="AS284" s="224">
        <f t="shared" si="137"/>
        <v>0</v>
      </c>
      <c r="AT284" s="274"/>
      <c r="AU284" s="273"/>
      <c r="AV284" s="274"/>
      <c r="AW284" s="274"/>
      <c r="AX284" s="127"/>
      <c r="AY284" s="127"/>
      <c r="AZ284" s="274"/>
      <c r="BA284" s="274"/>
      <c r="BB284" s="274"/>
      <c r="BC284" s="274"/>
      <c r="BD284" s="126"/>
      <c r="BE284" s="128"/>
      <c r="BF284" s="126"/>
      <c r="BG284" s="222">
        <f t="shared" si="138"/>
        <v>0</v>
      </c>
      <c r="BH284" s="140">
        <f t="shared" si="139"/>
        <v>0</v>
      </c>
      <c r="BI284" s="132"/>
      <c r="BJ284" s="140">
        <f t="shared" si="140"/>
        <v>0</v>
      </c>
      <c r="BK284" s="141"/>
      <c r="BL284" s="141"/>
      <c r="BM284" s="141"/>
      <c r="BN284" s="141"/>
      <c r="BO284" s="141"/>
      <c r="BP284" s="130">
        <f t="shared" si="141"/>
        <v>0</v>
      </c>
      <c r="BQ284" s="132"/>
    </row>
    <row r="285" ht="14.25" customHeight="1">
      <c r="A285" s="132"/>
      <c r="B285" s="215">
        <v>46276</v>
      </c>
      <c r="C285" s="133"/>
      <c r="D285" s="136"/>
      <c r="E285" s="135"/>
      <c r="F285" s="135"/>
      <c r="G285" s="147">
        <f t="shared" si="133"/>
        <v>0</v>
      </c>
      <c r="H285" s="148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34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03">
        <f t="shared" si="135"/>
        <v>0</v>
      </c>
      <c r="AK285" s="136"/>
      <c r="AL285" s="136"/>
      <c r="AM285" s="136"/>
      <c r="AN285" s="105">
        <f t="shared" si="136"/>
        <v>0</v>
      </c>
      <c r="AO285" s="143"/>
      <c r="AP285" s="143"/>
      <c r="AQ285" s="143"/>
      <c r="AR285" s="146"/>
      <c r="AS285" s="224">
        <f t="shared" si="137"/>
        <v>0</v>
      </c>
      <c r="AT285" s="274"/>
      <c r="AU285" s="273"/>
      <c r="AV285" s="274"/>
      <c r="AW285" s="274"/>
      <c r="AX285" s="127"/>
      <c r="AY285" s="127"/>
      <c r="AZ285" s="274"/>
      <c r="BA285" s="274"/>
      <c r="BB285" s="274"/>
      <c r="BC285" s="274"/>
      <c r="BD285" s="126"/>
      <c r="BE285" s="128"/>
      <c r="BF285" s="126"/>
      <c r="BG285" s="222">
        <f t="shared" si="138"/>
        <v>0</v>
      </c>
      <c r="BH285" s="140">
        <f t="shared" si="139"/>
        <v>0</v>
      </c>
      <c r="BI285" s="132"/>
      <c r="BJ285" s="140">
        <f t="shared" si="140"/>
        <v>0</v>
      </c>
      <c r="BK285" s="141"/>
      <c r="BL285" s="141"/>
      <c r="BM285" s="141"/>
      <c r="BN285" s="141"/>
      <c r="BO285" s="141"/>
      <c r="BP285" s="130">
        <f t="shared" si="141"/>
        <v>0</v>
      </c>
      <c r="BQ285" s="132"/>
    </row>
    <row r="286" ht="14.25" customHeight="1">
      <c r="A286" s="132"/>
      <c r="B286" s="215">
        <v>46277</v>
      </c>
      <c r="C286" s="133"/>
      <c r="D286" s="136"/>
      <c r="E286" s="135"/>
      <c r="F286" s="135"/>
      <c r="G286" s="147">
        <f t="shared" si="133"/>
        <v>0</v>
      </c>
      <c r="H286" s="148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34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03">
        <f t="shared" si="135"/>
        <v>0</v>
      </c>
      <c r="AK286" s="136"/>
      <c r="AL286" s="132"/>
      <c r="AM286" s="136"/>
      <c r="AN286" s="105">
        <f t="shared" si="136"/>
        <v>0</v>
      </c>
      <c r="AO286" s="143"/>
      <c r="AP286" s="143"/>
      <c r="AQ286" s="143"/>
      <c r="AR286" s="146"/>
      <c r="AS286" s="224">
        <f t="shared" si="137"/>
        <v>0</v>
      </c>
      <c r="AT286" s="274"/>
      <c r="AU286" s="273"/>
      <c r="AV286" s="274"/>
      <c r="AW286" s="274"/>
      <c r="AX286" s="127"/>
      <c r="AY286" s="127"/>
      <c r="AZ286" s="274"/>
      <c r="BA286" s="274"/>
      <c r="BB286" s="274"/>
      <c r="BC286" s="274"/>
      <c r="BD286" s="126"/>
      <c r="BE286" s="128"/>
      <c r="BF286" s="126"/>
      <c r="BG286" s="222">
        <f t="shared" si="138"/>
        <v>0</v>
      </c>
      <c r="BH286" s="140">
        <f t="shared" si="139"/>
        <v>0</v>
      </c>
      <c r="BI286" s="132"/>
      <c r="BJ286" s="140">
        <f t="shared" si="140"/>
        <v>0</v>
      </c>
      <c r="BK286" s="141"/>
      <c r="BL286" s="141"/>
      <c r="BM286" s="141"/>
      <c r="BN286" s="141"/>
      <c r="BO286" s="141"/>
      <c r="BP286" s="130">
        <f t="shared" si="141"/>
        <v>0</v>
      </c>
      <c r="BQ286" s="132"/>
    </row>
    <row r="287" ht="14.25" customHeight="1">
      <c r="A287" s="132"/>
      <c r="B287" s="215">
        <v>46278</v>
      </c>
      <c r="C287" s="133"/>
      <c r="D287" s="136"/>
      <c r="E287" s="135"/>
      <c r="F287" s="135"/>
      <c r="G287" s="147">
        <f t="shared" si="133"/>
        <v>0</v>
      </c>
      <c r="H287" s="148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34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03">
        <f t="shared" si="135"/>
        <v>0</v>
      </c>
      <c r="AK287" s="136"/>
      <c r="AL287" s="136"/>
      <c r="AM287" s="136"/>
      <c r="AN287" s="105">
        <f t="shared" si="136"/>
        <v>0</v>
      </c>
      <c r="AO287" s="143"/>
      <c r="AP287" s="143"/>
      <c r="AQ287" s="143"/>
      <c r="AR287" s="146"/>
      <c r="AS287" s="224">
        <f t="shared" si="137"/>
        <v>0</v>
      </c>
      <c r="AT287" s="274"/>
      <c r="AU287" s="273"/>
      <c r="AV287" s="274"/>
      <c r="AW287" s="274"/>
      <c r="AX287" s="127"/>
      <c r="AY287" s="127"/>
      <c r="AZ287" s="274"/>
      <c r="BA287" s="274"/>
      <c r="BB287" s="274"/>
      <c r="BC287" s="274"/>
      <c r="BD287" s="126"/>
      <c r="BE287" s="128"/>
      <c r="BF287" s="126"/>
      <c r="BG287" s="222">
        <f t="shared" si="138"/>
        <v>0</v>
      </c>
      <c r="BH287" s="140">
        <f t="shared" si="139"/>
        <v>0</v>
      </c>
      <c r="BI287" s="132"/>
      <c r="BJ287" s="140">
        <f t="shared" si="140"/>
        <v>0</v>
      </c>
      <c r="BK287" s="141"/>
      <c r="BL287" s="141"/>
      <c r="BM287" s="129"/>
      <c r="BN287" s="141"/>
      <c r="BO287" s="141"/>
      <c r="BP287" s="130">
        <f t="shared" si="141"/>
        <v>0</v>
      </c>
      <c r="BQ287" s="132"/>
    </row>
    <row r="288" ht="14.25" customHeight="1">
      <c r="A288" s="132"/>
      <c r="B288" s="215">
        <v>46279</v>
      </c>
      <c r="C288" s="133"/>
      <c r="D288" s="136"/>
      <c r="E288" s="135"/>
      <c r="F288" s="135"/>
      <c r="G288" s="147">
        <f t="shared" si="133"/>
        <v>0</v>
      </c>
      <c r="H288" s="148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34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03">
        <f t="shared" si="135"/>
        <v>0</v>
      </c>
      <c r="AK288" s="136"/>
      <c r="AL288" s="136"/>
      <c r="AM288" s="136"/>
      <c r="AN288" s="105">
        <f t="shared" si="136"/>
        <v>0</v>
      </c>
      <c r="AO288" s="143"/>
      <c r="AP288" s="143"/>
      <c r="AQ288" s="143"/>
      <c r="AR288" s="146"/>
      <c r="AS288" s="224">
        <f t="shared" si="137"/>
        <v>0</v>
      </c>
      <c r="AT288" s="274"/>
      <c r="AU288" s="273"/>
      <c r="AV288" s="274"/>
      <c r="AW288" s="274"/>
      <c r="AX288" s="127"/>
      <c r="AY288" s="127"/>
      <c r="AZ288" s="274"/>
      <c r="BA288" s="274"/>
      <c r="BB288" s="274"/>
      <c r="BC288" s="274"/>
      <c r="BD288" s="126"/>
      <c r="BE288" s="128"/>
      <c r="BF288" s="126"/>
      <c r="BG288" s="222">
        <f t="shared" si="138"/>
        <v>0</v>
      </c>
      <c r="BH288" s="140">
        <f t="shared" si="139"/>
        <v>0</v>
      </c>
      <c r="BI288" s="132"/>
      <c r="BJ288" s="140">
        <f t="shared" si="140"/>
        <v>0</v>
      </c>
      <c r="BK288" s="141"/>
      <c r="BL288" s="141"/>
      <c r="BM288" s="141"/>
      <c r="BN288" s="141"/>
      <c r="BO288" s="141"/>
      <c r="BP288" s="130">
        <f t="shared" si="141"/>
        <v>0</v>
      </c>
      <c r="BQ288" s="132"/>
    </row>
    <row r="289" ht="14.25" customHeight="1">
      <c r="A289" s="132"/>
      <c r="B289" s="215">
        <v>46280</v>
      </c>
      <c r="C289" s="133"/>
      <c r="D289" s="136"/>
      <c r="E289" s="135"/>
      <c r="F289" s="135"/>
      <c r="G289" s="147">
        <f t="shared" si="133"/>
        <v>0</v>
      </c>
      <c r="H289" s="148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34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03">
        <f t="shared" si="135"/>
        <v>0</v>
      </c>
      <c r="AK289" s="136"/>
      <c r="AL289" s="136"/>
      <c r="AM289" s="136"/>
      <c r="AN289" s="105">
        <f t="shared" si="136"/>
        <v>0</v>
      </c>
      <c r="AO289" s="143"/>
      <c r="AP289" s="143"/>
      <c r="AQ289" s="143"/>
      <c r="AR289" s="146"/>
      <c r="AS289" s="224">
        <f t="shared" si="137"/>
        <v>0</v>
      </c>
      <c r="AT289" s="274"/>
      <c r="AU289" s="273"/>
      <c r="AV289" s="274"/>
      <c r="AW289" s="274"/>
      <c r="AX289" s="127"/>
      <c r="AY289" s="127"/>
      <c r="AZ289" s="274"/>
      <c r="BA289" s="274"/>
      <c r="BB289" s="274"/>
      <c r="BC289" s="274"/>
      <c r="BD289" s="126"/>
      <c r="BE289" s="128"/>
      <c r="BF289" s="126"/>
      <c r="BG289" s="222">
        <f t="shared" si="138"/>
        <v>0</v>
      </c>
      <c r="BH289" s="140">
        <f t="shared" si="139"/>
        <v>0</v>
      </c>
      <c r="BI289" s="132"/>
      <c r="BJ289" s="140">
        <f t="shared" si="140"/>
        <v>0</v>
      </c>
      <c r="BK289" s="141"/>
      <c r="BL289" s="141"/>
      <c r="BM289" s="141"/>
      <c r="BN289" s="141"/>
      <c r="BO289" s="141"/>
      <c r="BP289" s="130">
        <f t="shared" si="141"/>
        <v>0</v>
      </c>
      <c r="BQ289" s="132"/>
    </row>
    <row r="290" ht="14.25" customHeight="1">
      <c r="A290" s="132"/>
      <c r="B290" s="215">
        <v>46281</v>
      </c>
      <c r="C290" s="133"/>
      <c r="D290" s="136"/>
      <c r="E290" s="135"/>
      <c r="F290" s="135"/>
      <c r="G290" s="147">
        <f t="shared" si="133"/>
        <v>0</v>
      </c>
      <c r="H290" s="148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03">
        <f t="shared" si="134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03">
        <f t="shared" si="135"/>
        <v>0</v>
      </c>
      <c r="AK290" s="136"/>
      <c r="AL290" s="136"/>
      <c r="AM290" s="136"/>
      <c r="AN290" s="105">
        <f t="shared" si="136"/>
        <v>0</v>
      </c>
      <c r="AO290" s="143"/>
      <c r="AP290" s="143"/>
      <c r="AQ290" s="143"/>
      <c r="AR290" s="146"/>
      <c r="AS290" s="224">
        <f t="shared" si="137"/>
        <v>0</v>
      </c>
      <c r="AT290" s="274"/>
      <c r="AU290" s="273"/>
      <c r="AV290" s="274"/>
      <c r="AW290" s="274"/>
      <c r="AX290" s="127"/>
      <c r="AY290" s="127"/>
      <c r="AZ290" s="274"/>
      <c r="BA290" s="274"/>
      <c r="BB290" s="274"/>
      <c r="BC290" s="274"/>
      <c r="BD290" s="126"/>
      <c r="BE290" s="128"/>
      <c r="BF290" s="126"/>
      <c r="BG290" s="222">
        <f t="shared" si="138"/>
        <v>0</v>
      </c>
      <c r="BH290" s="140">
        <f t="shared" si="139"/>
        <v>0</v>
      </c>
      <c r="BI290" s="132"/>
      <c r="BJ290" s="140">
        <f t="shared" si="140"/>
        <v>0</v>
      </c>
      <c r="BK290" s="141"/>
      <c r="BL290" s="141"/>
      <c r="BM290" s="141"/>
      <c r="BN290" s="141"/>
      <c r="BO290" s="141"/>
      <c r="BP290" s="130">
        <f t="shared" si="141"/>
        <v>0</v>
      </c>
      <c r="BQ290" s="132"/>
    </row>
    <row r="291" ht="14.25" customHeight="1">
      <c r="A291" s="132"/>
      <c r="B291" s="215">
        <v>46282</v>
      </c>
      <c r="C291" s="133"/>
      <c r="D291" s="136"/>
      <c r="E291" s="135"/>
      <c r="F291" s="135"/>
      <c r="G291" s="147">
        <f t="shared" si="133"/>
        <v>0</v>
      </c>
      <c r="H291" s="148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03">
        <f t="shared" si="134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03">
        <f t="shared" si="135"/>
        <v>0</v>
      </c>
      <c r="AK291" s="136"/>
      <c r="AL291" s="136"/>
      <c r="AM291" s="136"/>
      <c r="AN291" s="105">
        <f t="shared" si="136"/>
        <v>0</v>
      </c>
      <c r="AO291" s="143"/>
      <c r="AP291" s="143"/>
      <c r="AQ291" s="143"/>
      <c r="AR291" s="146"/>
      <c r="AS291" s="224">
        <f t="shared" si="137"/>
        <v>0</v>
      </c>
      <c r="AT291" s="274"/>
      <c r="AU291" s="273"/>
      <c r="AV291" s="274"/>
      <c r="AW291" s="274"/>
      <c r="AX291" s="127"/>
      <c r="AY291" s="127"/>
      <c r="AZ291" s="274"/>
      <c r="BA291" s="274"/>
      <c r="BB291" s="274"/>
      <c r="BC291" s="274"/>
      <c r="BD291" s="126"/>
      <c r="BE291" s="128"/>
      <c r="BF291" s="126"/>
      <c r="BG291" s="222">
        <f t="shared" si="138"/>
        <v>0</v>
      </c>
      <c r="BH291" s="140">
        <f t="shared" si="139"/>
        <v>0</v>
      </c>
      <c r="BI291" s="132"/>
      <c r="BJ291" s="140">
        <f t="shared" si="140"/>
        <v>0</v>
      </c>
      <c r="BK291" s="141"/>
      <c r="BL291" s="141"/>
      <c r="BM291" s="141"/>
      <c r="BN291" s="141"/>
      <c r="BO291" s="141"/>
      <c r="BP291" s="130">
        <f t="shared" si="141"/>
        <v>0</v>
      </c>
      <c r="BQ291" s="132"/>
    </row>
    <row r="292" ht="14.25" customHeight="1">
      <c r="A292" s="132"/>
      <c r="B292" s="215">
        <v>46283</v>
      </c>
      <c r="C292" s="133"/>
      <c r="D292" s="136"/>
      <c r="E292" s="135"/>
      <c r="F292" s="135"/>
      <c r="G292" s="147">
        <f t="shared" si="133"/>
        <v>0</v>
      </c>
      <c r="H292" s="148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03">
        <f t="shared" si="134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03">
        <f t="shared" si="135"/>
        <v>0</v>
      </c>
      <c r="AK292" s="136"/>
      <c r="AL292" s="136"/>
      <c r="AM292" s="136"/>
      <c r="AN292" s="105">
        <f t="shared" si="136"/>
        <v>0</v>
      </c>
      <c r="AO292" s="143"/>
      <c r="AP292" s="143"/>
      <c r="AQ292" s="143"/>
      <c r="AR292" s="146"/>
      <c r="AS292" s="224">
        <f t="shared" si="137"/>
        <v>0</v>
      </c>
      <c r="AT292" s="274"/>
      <c r="AU292" s="273"/>
      <c r="AV292" s="274"/>
      <c r="AW292" s="274"/>
      <c r="AX292" s="127"/>
      <c r="AY292" s="127"/>
      <c r="AZ292" s="274"/>
      <c r="BA292" s="274"/>
      <c r="BB292" s="274"/>
      <c r="BC292" s="274"/>
      <c r="BD292" s="126"/>
      <c r="BE292" s="128"/>
      <c r="BF292" s="126"/>
      <c r="BG292" s="222">
        <f t="shared" si="138"/>
        <v>0</v>
      </c>
      <c r="BH292" s="140">
        <f t="shared" si="139"/>
        <v>0</v>
      </c>
      <c r="BI292" s="132"/>
      <c r="BJ292" s="140">
        <f t="shared" si="140"/>
        <v>0</v>
      </c>
      <c r="BK292" s="141"/>
      <c r="BL292" s="141"/>
      <c r="BM292" s="129"/>
      <c r="BN292" s="141"/>
      <c r="BO292" s="141"/>
      <c r="BP292" s="130">
        <f t="shared" si="141"/>
        <v>0</v>
      </c>
      <c r="BQ292" s="132"/>
    </row>
    <row r="293" ht="14.25" customHeight="1">
      <c r="A293" s="132"/>
      <c r="B293" s="215">
        <v>46284</v>
      </c>
      <c r="C293" s="133"/>
      <c r="D293" s="136"/>
      <c r="E293" s="135"/>
      <c r="F293" s="135"/>
      <c r="G293" s="147">
        <f t="shared" si="133"/>
        <v>0</v>
      </c>
      <c r="H293" s="148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03">
        <f t="shared" si="134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03">
        <f t="shared" si="135"/>
        <v>0</v>
      </c>
      <c r="AK293" s="136"/>
      <c r="AL293" s="136"/>
      <c r="AM293" s="136"/>
      <c r="AN293" s="105">
        <f t="shared" si="136"/>
        <v>0</v>
      </c>
      <c r="AO293" s="143"/>
      <c r="AP293" s="143"/>
      <c r="AQ293" s="143"/>
      <c r="AR293" s="146"/>
      <c r="AS293" s="224">
        <f t="shared" si="137"/>
        <v>0</v>
      </c>
      <c r="AT293" s="274"/>
      <c r="AU293" s="273"/>
      <c r="AV293" s="274"/>
      <c r="AW293" s="274"/>
      <c r="AX293" s="127"/>
      <c r="AY293" s="127"/>
      <c r="AZ293" s="274"/>
      <c r="BA293" s="274"/>
      <c r="BB293" s="274"/>
      <c r="BC293" s="274"/>
      <c r="BD293" s="126"/>
      <c r="BE293" s="128"/>
      <c r="BF293" s="126"/>
      <c r="BG293" s="222">
        <f t="shared" si="138"/>
        <v>0</v>
      </c>
      <c r="BH293" s="140">
        <f t="shared" si="139"/>
        <v>0</v>
      </c>
      <c r="BI293" s="132"/>
      <c r="BJ293" s="140">
        <f t="shared" si="140"/>
        <v>0</v>
      </c>
      <c r="BK293" s="141"/>
      <c r="BL293" s="141"/>
      <c r="BM293" s="141"/>
      <c r="BN293" s="141"/>
      <c r="BO293" s="141"/>
      <c r="BP293" s="130">
        <f t="shared" si="141"/>
        <v>0</v>
      </c>
      <c r="BQ293" s="132"/>
    </row>
    <row r="294" ht="14.25" customHeight="1">
      <c r="A294" s="132"/>
      <c r="B294" s="215">
        <v>46285</v>
      </c>
      <c r="C294" s="133"/>
      <c r="D294" s="136"/>
      <c r="E294" s="135"/>
      <c r="F294" s="135"/>
      <c r="G294" s="147">
        <f t="shared" si="133"/>
        <v>0</v>
      </c>
      <c r="H294" s="148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03">
        <f t="shared" si="134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03">
        <f t="shared" si="135"/>
        <v>0</v>
      </c>
      <c r="AK294" s="136"/>
      <c r="AL294" s="136"/>
      <c r="AM294" s="136"/>
      <c r="AN294" s="105">
        <f t="shared" si="136"/>
        <v>0</v>
      </c>
      <c r="AO294" s="143"/>
      <c r="AP294" s="143"/>
      <c r="AQ294" s="143"/>
      <c r="AR294" s="146"/>
      <c r="AS294" s="224">
        <f t="shared" si="137"/>
        <v>0</v>
      </c>
      <c r="AT294" s="274"/>
      <c r="AU294" s="273"/>
      <c r="AV294" s="274"/>
      <c r="AW294" s="274"/>
      <c r="AX294" s="127"/>
      <c r="AY294" s="127"/>
      <c r="AZ294" s="274"/>
      <c r="BA294" s="274"/>
      <c r="BB294" s="274"/>
      <c r="BC294" s="274"/>
      <c r="BD294" s="126"/>
      <c r="BE294" s="128"/>
      <c r="BF294" s="126"/>
      <c r="BG294" s="222">
        <f t="shared" si="138"/>
        <v>0</v>
      </c>
      <c r="BH294" s="140">
        <f t="shared" si="139"/>
        <v>0</v>
      </c>
      <c r="BI294" s="132"/>
      <c r="BJ294" s="140">
        <f t="shared" si="140"/>
        <v>0</v>
      </c>
      <c r="BK294" s="141"/>
      <c r="BL294" s="141"/>
      <c r="BM294" s="141"/>
      <c r="BN294" s="141"/>
      <c r="BO294" s="141"/>
      <c r="BP294" s="130">
        <f t="shared" si="141"/>
        <v>0</v>
      </c>
      <c r="BQ294" s="132"/>
    </row>
    <row r="295" ht="14.25" customHeight="1">
      <c r="A295" s="132"/>
      <c r="B295" s="215">
        <v>46286</v>
      </c>
      <c r="C295" s="133"/>
      <c r="D295" s="136"/>
      <c r="E295" s="135"/>
      <c r="F295" s="135"/>
      <c r="G295" s="147">
        <f t="shared" si="133"/>
        <v>0</v>
      </c>
      <c r="H295" s="148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03">
        <f t="shared" si="134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03">
        <f t="shared" si="135"/>
        <v>0</v>
      </c>
      <c r="AK295" s="136"/>
      <c r="AL295" s="136"/>
      <c r="AM295" s="136"/>
      <c r="AN295" s="105">
        <f t="shared" si="136"/>
        <v>0</v>
      </c>
      <c r="AO295" s="143"/>
      <c r="AP295" s="143"/>
      <c r="AQ295" s="143"/>
      <c r="AR295" s="146"/>
      <c r="AS295" s="224">
        <f t="shared" si="137"/>
        <v>0</v>
      </c>
      <c r="AT295" s="274"/>
      <c r="AU295" s="273"/>
      <c r="AV295" s="274"/>
      <c r="AW295" s="274"/>
      <c r="AX295" s="127"/>
      <c r="AY295" s="127"/>
      <c r="AZ295" s="274"/>
      <c r="BA295" s="274"/>
      <c r="BB295" s="274"/>
      <c r="BC295" s="274"/>
      <c r="BD295" s="126"/>
      <c r="BE295" s="128"/>
      <c r="BF295" s="126"/>
      <c r="BG295" s="222">
        <f t="shared" si="138"/>
        <v>0</v>
      </c>
      <c r="BH295" s="140">
        <f t="shared" si="139"/>
        <v>0</v>
      </c>
      <c r="BI295" s="132"/>
      <c r="BJ295" s="140">
        <f t="shared" si="140"/>
        <v>0</v>
      </c>
      <c r="BK295" s="141"/>
      <c r="BL295" s="141"/>
      <c r="BM295" s="141"/>
      <c r="BN295" s="141"/>
      <c r="BO295" s="141"/>
      <c r="BP295" s="130">
        <f t="shared" si="141"/>
        <v>0</v>
      </c>
      <c r="BQ295" s="132"/>
    </row>
    <row r="296" ht="14.25" customHeight="1">
      <c r="A296" s="132"/>
      <c r="B296" s="215">
        <v>46287</v>
      </c>
      <c r="C296" s="133"/>
      <c r="D296" s="136"/>
      <c r="E296" s="135"/>
      <c r="F296" s="135"/>
      <c r="G296" s="147">
        <f t="shared" si="133"/>
        <v>0</v>
      </c>
      <c r="H296" s="148"/>
      <c r="I296" s="143"/>
      <c r="J296" s="301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03">
        <f t="shared" si="134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03">
        <f t="shared" si="135"/>
        <v>0</v>
      </c>
      <c r="AK296" s="136"/>
      <c r="AL296" s="136"/>
      <c r="AM296" s="136"/>
      <c r="AN296" s="105">
        <f t="shared" si="136"/>
        <v>0</v>
      </c>
      <c r="AO296" s="143"/>
      <c r="AP296" s="143"/>
      <c r="AQ296" s="143"/>
      <c r="AR296" s="146"/>
      <c r="AS296" s="224">
        <f t="shared" si="137"/>
        <v>0</v>
      </c>
      <c r="AT296" s="274"/>
      <c r="AU296" s="273"/>
      <c r="AV296" s="274"/>
      <c r="AW296" s="274"/>
      <c r="AX296" s="127"/>
      <c r="AY296" s="127"/>
      <c r="AZ296" s="274"/>
      <c r="BA296" s="274"/>
      <c r="BB296" s="274"/>
      <c r="BC296" s="274"/>
      <c r="BD296" s="126"/>
      <c r="BE296" s="128"/>
      <c r="BF296" s="126"/>
      <c r="BG296" s="222">
        <f t="shared" si="138"/>
        <v>0</v>
      </c>
      <c r="BH296" s="140">
        <f t="shared" si="139"/>
        <v>0</v>
      </c>
      <c r="BI296" s="132"/>
      <c r="BJ296" s="140">
        <f t="shared" si="140"/>
        <v>0</v>
      </c>
      <c r="BK296" s="141"/>
      <c r="BL296" s="141"/>
      <c r="BM296" s="141"/>
      <c r="BN296" s="141"/>
      <c r="BO296" s="141"/>
      <c r="BP296" s="130">
        <f t="shared" si="141"/>
        <v>0</v>
      </c>
      <c r="BQ296" s="132"/>
    </row>
    <row r="297" ht="14.25" customHeight="1">
      <c r="A297" s="132"/>
      <c r="B297" s="215">
        <v>46288</v>
      </c>
      <c r="C297" s="133"/>
      <c r="D297" s="136"/>
      <c r="E297" s="135"/>
      <c r="F297" s="135"/>
      <c r="G297" s="147">
        <f t="shared" si="133"/>
        <v>0</v>
      </c>
      <c r="H297" s="148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34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03">
        <f t="shared" si="135"/>
        <v>0</v>
      </c>
      <c r="AK297" s="136"/>
      <c r="AL297" s="136"/>
      <c r="AM297" s="136"/>
      <c r="AN297" s="105">
        <f t="shared" si="136"/>
        <v>0</v>
      </c>
      <c r="AO297" s="143"/>
      <c r="AP297" s="143"/>
      <c r="AQ297" s="143"/>
      <c r="AR297" s="146"/>
      <c r="AS297" s="224">
        <f t="shared" si="137"/>
        <v>0</v>
      </c>
      <c r="AT297" s="274"/>
      <c r="AU297" s="273"/>
      <c r="AV297" s="274"/>
      <c r="AW297" s="274"/>
      <c r="AX297" s="127"/>
      <c r="AY297" s="127"/>
      <c r="AZ297" s="274"/>
      <c r="BA297" s="274"/>
      <c r="BB297" s="274"/>
      <c r="BC297" s="274"/>
      <c r="BD297" s="126"/>
      <c r="BE297" s="128"/>
      <c r="BF297" s="126"/>
      <c r="BG297" s="222">
        <f t="shared" si="138"/>
        <v>0</v>
      </c>
      <c r="BH297" s="140">
        <f t="shared" si="139"/>
        <v>0</v>
      </c>
      <c r="BI297" s="132"/>
      <c r="BJ297" s="140">
        <f t="shared" si="140"/>
        <v>0</v>
      </c>
      <c r="BK297" s="141"/>
      <c r="BL297" s="141"/>
      <c r="BM297" s="141"/>
      <c r="BN297" s="141"/>
      <c r="BO297" s="141"/>
      <c r="BP297" s="130">
        <f t="shared" si="141"/>
        <v>0</v>
      </c>
      <c r="BQ297" s="132"/>
    </row>
    <row r="298" ht="14.25" customHeight="1">
      <c r="A298" s="132"/>
      <c r="B298" s="215">
        <v>46289</v>
      </c>
      <c r="C298" s="133"/>
      <c r="D298" s="136"/>
      <c r="E298" s="135"/>
      <c r="F298" s="135"/>
      <c r="G298" s="147">
        <f t="shared" si="133"/>
        <v>0</v>
      </c>
      <c r="H298" s="148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34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03">
        <f t="shared" si="135"/>
        <v>0</v>
      </c>
      <c r="AK298" s="136"/>
      <c r="AL298" s="132"/>
      <c r="AM298" s="136"/>
      <c r="AN298" s="105">
        <f t="shared" si="136"/>
        <v>0</v>
      </c>
      <c r="AO298" s="143"/>
      <c r="AP298" s="143"/>
      <c r="AQ298" s="143"/>
      <c r="AR298" s="146"/>
      <c r="AS298" s="224">
        <f t="shared" si="137"/>
        <v>0</v>
      </c>
      <c r="AT298" s="274"/>
      <c r="AU298" s="273"/>
      <c r="AV298" s="274"/>
      <c r="AW298" s="274"/>
      <c r="AX298" s="127"/>
      <c r="AY298" s="127"/>
      <c r="AZ298" s="274"/>
      <c r="BA298" s="274"/>
      <c r="BB298" s="274"/>
      <c r="BC298" s="274"/>
      <c r="BD298" s="126"/>
      <c r="BE298" s="128"/>
      <c r="BF298" s="126"/>
      <c r="BG298" s="222">
        <f t="shared" si="138"/>
        <v>0</v>
      </c>
      <c r="BH298" s="140">
        <f t="shared" si="139"/>
        <v>0</v>
      </c>
      <c r="BI298" s="132"/>
      <c r="BJ298" s="140">
        <f t="shared" si="140"/>
        <v>0</v>
      </c>
      <c r="BK298" s="141"/>
      <c r="BL298" s="141"/>
      <c r="BM298" s="141"/>
      <c r="BN298" s="141"/>
      <c r="BO298" s="141"/>
      <c r="BP298" s="130">
        <f t="shared" si="141"/>
        <v>0</v>
      </c>
      <c r="BQ298" s="132"/>
    </row>
    <row r="299" ht="14.25" customHeight="1">
      <c r="A299" s="132"/>
      <c r="B299" s="215">
        <v>46290</v>
      </c>
      <c r="C299" s="133"/>
      <c r="D299" s="136"/>
      <c r="E299" s="135"/>
      <c r="F299" s="135"/>
      <c r="G299" s="147">
        <f t="shared" si="133"/>
        <v>0</v>
      </c>
      <c r="H299" s="148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34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03">
        <f t="shared" si="135"/>
        <v>0</v>
      </c>
      <c r="AK299" s="136"/>
      <c r="AL299" s="136"/>
      <c r="AM299" s="136"/>
      <c r="AN299" s="105">
        <f t="shared" si="136"/>
        <v>0</v>
      </c>
      <c r="AO299" s="143"/>
      <c r="AP299" s="143"/>
      <c r="AQ299" s="143"/>
      <c r="AR299" s="146"/>
      <c r="AS299" s="224">
        <f t="shared" si="137"/>
        <v>0</v>
      </c>
      <c r="AT299" s="274"/>
      <c r="AU299" s="273"/>
      <c r="AV299" s="274"/>
      <c r="AW299" s="274"/>
      <c r="AX299" s="127"/>
      <c r="AY299" s="127"/>
      <c r="AZ299" s="274"/>
      <c r="BA299" s="274"/>
      <c r="BB299" s="274"/>
      <c r="BC299" s="274"/>
      <c r="BD299" s="126"/>
      <c r="BE299" s="128"/>
      <c r="BF299" s="126"/>
      <c r="BG299" s="222">
        <f t="shared" si="138"/>
        <v>0</v>
      </c>
      <c r="BH299" s="140">
        <f t="shared" si="139"/>
        <v>0</v>
      </c>
      <c r="BI299" s="132"/>
      <c r="BJ299" s="140">
        <f t="shared" si="140"/>
        <v>0</v>
      </c>
      <c r="BK299" s="141"/>
      <c r="BL299" s="141"/>
      <c r="BM299" s="141"/>
      <c r="BN299" s="141"/>
      <c r="BO299" s="141"/>
      <c r="BP299" s="130">
        <f t="shared" si="141"/>
        <v>0</v>
      </c>
      <c r="BQ299" s="132"/>
    </row>
    <row r="300" ht="14.25" customHeight="1">
      <c r="A300" s="132"/>
      <c r="B300" s="215">
        <v>46291</v>
      </c>
      <c r="C300" s="133"/>
      <c r="D300" s="136"/>
      <c r="E300" s="135"/>
      <c r="F300" s="135"/>
      <c r="G300" s="147">
        <f t="shared" si="133"/>
        <v>0</v>
      </c>
      <c r="H300" s="148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03">
        <f t="shared" si="134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03">
        <f t="shared" si="135"/>
        <v>0</v>
      </c>
      <c r="AK300" s="136"/>
      <c r="AL300" s="136"/>
      <c r="AM300" s="136"/>
      <c r="AN300" s="105">
        <f t="shared" si="136"/>
        <v>0</v>
      </c>
      <c r="AO300" s="143"/>
      <c r="AP300" s="143"/>
      <c r="AQ300" s="143"/>
      <c r="AR300" s="146"/>
      <c r="AS300" s="224">
        <f t="shared" si="137"/>
        <v>0</v>
      </c>
      <c r="AT300" s="274"/>
      <c r="AU300" s="273"/>
      <c r="AV300" s="274"/>
      <c r="AW300" s="274"/>
      <c r="AX300" s="127"/>
      <c r="AY300" s="127"/>
      <c r="AZ300" s="274"/>
      <c r="BA300" s="274"/>
      <c r="BB300" s="274"/>
      <c r="BC300" s="274"/>
      <c r="BD300" s="126"/>
      <c r="BE300" s="128"/>
      <c r="BF300" s="126"/>
      <c r="BG300" s="222">
        <f t="shared" si="138"/>
        <v>0</v>
      </c>
      <c r="BH300" s="140">
        <f t="shared" si="139"/>
        <v>0</v>
      </c>
      <c r="BI300" s="132"/>
      <c r="BJ300" s="140">
        <f t="shared" si="140"/>
        <v>0</v>
      </c>
      <c r="BK300" s="141"/>
      <c r="BL300" s="141"/>
      <c r="BM300" s="141"/>
      <c r="BN300" s="141"/>
      <c r="BO300" s="141"/>
      <c r="BP300" s="130">
        <f t="shared" si="141"/>
        <v>0</v>
      </c>
      <c r="BQ300" s="132"/>
    </row>
    <row r="301" ht="14.25" customHeight="1">
      <c r="A301" s="132"/>
      <c r="B301" s="215">
        <v>46292</v>
      </c>
      <c r="C301" s="133"/>
      <c r="D301" s="136"/>
      <c r="E301" s="135"/>
      <c r="F301" s="135"/>
      <c r="G301" s="147">
        <f t="shared" si="133"/>
        <v>0</v>
      </c>
      <c r="H301" s="148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03">
        <f t="shared" si="134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03">
        <f t="shared" si="135"/>
        <v>0</v>
      </c>
      <c r="AK301" s="136"/>
      <c r="AL301" s="136"/>
      <c r="AM301" s="136"/>
      <c r="AN301" s="105">
        <f t="shared" si="136"/>
        <v>0</v>
      </c>
      <c r="AO301" s="143"/>
      <c r="AP301" s="143"/>
      <c r="AQ301" s="143"/>
      <c r="AR301" s="146"/>
      <c r="AS301" s="224">
        <f t="shared" si="137"/>
        <v>0</v>
      </c>
      <c r="AT301" s="274"/>
      <c r="AU301" s="273"/>
      <c r="AV301" s="274"/>
      <c r="AW301" s="274"/>
      <c r="AX301" s="127"/>
      <c r="AY301" s="127"/>
      <c r="AZ301" s="274"/>
      <c r="BA301" s="274"/>
      <c r="BB301" s="274"/>
      <c r="BC301" s="274"/>
      <c r="BD301" s="126"/>
      <c r="BE301" s="128"/>
      <c r="BF301" s="126"/>
      <c r="BG301" s="222">
        <f t="shared" si="138"/>
        <v>0</v>
      </c>
      <c r="BH301" s="140">
        <f t="shared" si="139"/>
        <v>0</v>
      </c>
      <c r="BI301" s="132"/>
      <c r="BJ301" s="140">
        <f t="shared" si="140"/>
        <v>0</v>
      </c>
      <c r="BK301" s="141"/>
      <c r="BL301" s="141"/>
      <c r="BM301" s="141"/>
      <c r="BN301" s="141"/>
      <c r="BO301" s="141"/>
      <c r="BP301" s="130">
        <f t="shared" si="141"/>
        <v>0</v>
      </c>
      <c r="BQ301" s="132"/>
    </row>
    <row r="302" ht="14.25" customHeight="1">
      <c r="A302" s="132"/>
      <c r="B302" s="215">
        <v>46293</v>
      </c>
      <c r="C302" s="133"/>
      <c r="D302" s="136"/>
      <c r="E302" s="135"/>
      <c r="F302" s="135"/>
      <c r="G302" s="147">
        <f t="shared" si="133"/>
        <v>0</v>
      </c>
      <c r="H302" s="148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34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03">
        <f t="shared" si="135"/>
        <v>0</v>
      </c>
      <c r="AK302" s="136"/>
      <c r="AL302" s="136"/>
      <c r="AM302" s="136"/>
      <c r="AN302" s="105">
        <f t="shared" si="136"/>
        <v>0</v>
      </c>
      <c r="AO302" s="143"/>
      <c r="AP302" s="143"/>
      <c r="AQ302" s="143"/>
      <c r="AR302" s="146"/>
      <c r="AS302" s="224">
        <f t="shared" si="137"/>
        <v>0</v>
      </c>
      <c r="AT302" s="274"/>
      <c r="AU302" s="273"/>
      <c r="AV302" s="274"/>
      <c r="AW302" s="274"/>
      <c r="AX302" s="127"/>
      <c r="AY302" s="127"/>
      <c r="AZ302" s="274"/>
      <c r="BA302" s="274"/>
      <c r="BB302" s="274"/>
      <c r="BC302" s="274"/>
      <c r="BD302" s="126"/>
      <c r="BE302" s="128"/>
      <c r="BF302" s="126"/>
      <c r="BG302" s="222">
        <f t="shared" si="138"/>
        <v>0</v>
      </c>
      <c r="BH302" s="140">
        <f t="shared" si="139"/>
        <v>0</v>
      </c>
      <c r="BI302" s="132"/>
      <c r="BJ302" s="140">
        <f t="shared" si="140"/>
        <v>0</v>
      </c>
      <c r="BK302" s="141"/>
      <c r="BL302" s="141"/>
      <c r="BM302" s="141"/>
      <c r="BN302" s="141"/>
      <c r="BO302" s="141"/>
      <c r="BP302" s="130">
        <f t="shared" si="141"/>
        <v>0</v>
      </c>
      <c r="BQ302" s="132"/>
    </row>
    <row r="303" ht="14.25" customHeight="1">
      <c r="A303" s="3"/>
      <c r="B303" s="215">
        <v>46294</v>
      </c>
      <c r="C303" s="118"/>
      <c r="D303" s="123"/>
      <c r="E303" s="120"/>
      <c r="F303" s="120"/>
      <c r="G303" s="147">
        <f t="shared" si="133"/>
        <v>0</v>
      </c>
      <c r="H303" s="148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34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03">
        <f t="shared" si="135"/>
        <v>0</v>
      </c>
      <c r="AK303" s="123"/>
      <c r="AL303" s="123"/>
      <c r="AM303" s="123"/>
      <c r="AN303" s="105">
        <f t="shared" si="136"/>
        <v>0</v>
      </c>
      <c r="AO303" s="143"/>
      <c r="AP303" s="143"/>
      <c r="AQ303" s="143"/>
      <c r="AR303" s="146"/>
      <c r="AS303" s="224">
        <f t="shared" si="137"/>
        <v>0</v>
      </c>
      <c r="AT303" s="276"/>
      <c r="AU303" s="273"/>
      <c r="AV303" s="276"/>
      <c r="AW303" s="276"/>
      <c r="AX303" s="221"/>
      <c r="AY303" s="127"/>
      <c r="AZ303" s="274"/>
      <c r="BA303" s="276"/>
      <c r="BB303" s="276"/>
      <c r="BC303" s="276"/>
      <c r="BD303" s="225"/>
      <c r="BE303" s="128"/>
      <c r="BF303" s="225"/>
      <c r="BG303" s="222">
        <f t="shared" si="138"/>
        <v>0</v>
      </c>
      <c r="BH303" s="113">
        <f t="shared" si="139"/>
        <v>0</v>
      </c>
      <c r="BI303" s="3"/>
      <c r="BJ303" s="113">
        <f t="shared" si="140"/>
        <v>0</v>
      </c>
      <c r="BK303" s="129"/>
      <c r="BL303" s="129"/>
      <c r="BM303" s="129"/>
      <c r="BN303" s="129"/>
      <c r="BO303" s="129"/>
      <c r="BP303" s="130">
        <f t="shared" si="141"/>
        <v>0</v>
      </c>
      <c r="BQ303" s="3"/>
    </row>
    <row r="304" ht="14.25" customHeight="1">
      <c r="A304" s="3"/>
      <c r="B304" s="215">
        <v>46295</v>
      </c>
      <c r="C304" s="118"/>
      <c r="D304" s="123"/>
      <c r="E304" s="120"/>
      <c r="F304" s="120"/>
      <c r="G304" s="147">
        <f t="shared" si="133"/>
        <v>0</v>
      </c>
      <c r="H304" s="148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34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03">
        <f t="shared" si="135"/>
        <v>0</v>
      </c>
      <c r="AK304" s="123"/>
      <c r="AL304" s="123"/>
      <c r="AM304" s="123"/>
      <c r="AN304" s="105">
        <f t="shared" si="136"/>
        <v>0</v>
      </c>
      <c r="AO304" s="143"/>
      <c r="AP304" s="143"/>
      <c r="AQ304" s="143"/>
      <c r="AR304" s="146"/>
      <c r="AS304" s="224">
        <f t="shared" si="137"/>
        <v>0</v>
      </c>
      <c r="AT304" s="276"/>
      <c r="AU304" s="273"/>
      <c r="AV304" s="276"/>
      <c r="AW304" s="276"/>
      <c r="AX304" s="221"/>
      <c r="AY304" s="127"/>
      <c r="AZ304" s="274"/>
      <c r="BA304" s="276"/>
      <c r="BB304" s="276"/>
      <c r="BC304" s="276"/>
      <c r="BD304" s="225"/>
      <c r="BE304" s="128"/>
      <c r="BF304" s="225"/>
      <c r="BG304" s="222">
        <f t="shared" si="138"/>
        <v>0</v>
      </c>
      <c r="BH304" s="113">
        <f t="shared" si="139"/>
        <v>0</v>
      </c>
      <c r="BI304" s="3"/>
      <c r="BJ304" s="113">
        <f t="shared" si="140"/>
        <v>0</v>
      </c>
      <c r="BK304" s="129"/>
      <c r="BL304" s="129"/>
      <c r="BM304" s="129"/>
      <c r="BN304" s="129"/>
      <c r="BO304" s="129"/>
      <c r="BP304" s="130">
        <f t="shared" si="141"/>
        <v>0</v>
      </c>
      <c r="BQ304" s="3"/>
    </row>
    <row r="305" ht="14.25" customHeight="1">
      <c r="A305" s="3"/>
      <c r="B305" s="2" t="s">
        <v>83</v>
      </c>
      <c r="C305" s="166">
        <f ref="C305:AG305" t="shared" si="142">SUM(C275:C304)</f>
        <v>0</v>
      </c>
      <c r="D305" s="166">
        <f t="shared" si="142"/>
        <v>0</v>
      </c>
      <c r="E305" s="166">
        <f t="shared" si="142"/>
        <v>0</v>
      </c>
      <c r="F305" s="166">
        <f t="shared" si="142"/>
        <v>0</v>
      </c>
      <c r="G305" s="166">
        <f t="shared" si="142"/>
        <v>0</v>
      </c>
      <c r="H305" s="166">
        <f t="shared" si="142"/>
        <v>0</v>
      </c>
      <c r="I305" s="166">
        <f t="shared" si="142"/>
        <v>0</v>
      </c>
      <c r="J305" s="166">
        <f t="shared" si="142"/>
        <v>0</v>
      </c>
      <c r="K305" s="166">
        <f t="shared" si="142"/>
        <v>0</v>
      </c>
      <c r="L305" s="166">
        <f t="shared" si="142"/>
        <v>0</v>
      </c>
      <c r="M305" s="166">
        <f t="shared" si="142"/>
        <v>0</v>
      </c>
      <c r="N305" s="166">
        <f t="shared" si="142"/>
        <v>0</v>
      </c>
      <c r="O305" s="166">
        <f t="shared" si="142"/>
        <v>0</v>
      </c>
      <c r="P305" s="166">
        <f t="shared" si="142"/>
        <v>0</v>
      </c>
      <c r="Q305" s="166">
        <f t="shared" si="142"/>
        <v>0</v>
      </c>
      <c r="R305" s="166">
        <f t="shared" si="142"/>
        <v>0</v>
      </c>
      <c r="S305" s="166">
        <f t="shared" si="142"/>
        <v>0</v>
      </c>
      <c r="T305" s="166">
        <f t="shared" si="142"/>
        <v>0</v>
      </c>
      <c r="U305" s="166">
        <f t="shared" si="142"/>
        <v>0</v>
      </c>
      <c r="V305" s="166">
        <f t="shared" si="142"/>
        <v>0</v>
      </c>
      <c r="W305" s="166">
        <f t="shared" si="142"/>
        <v>0</v>
      </c>
      <c r="X305" s="166">
        <f t="shared" si="142"/>
        <v>0</v>
      </c>
      <c r="Y305" s="166">
        <f t="shared" si="142"/>
        <v>0</v>
      </c>
      <c r="Z305" s="166">
        <f t="shared" si="142"/>
        <v>0</v>
      </c>
      <c r="AA305" s="166">
        <f t="shared" si="142"/>
        <v>0</v>
      </c>
      <c r="AB305" s="166">
        <f t="shared" si="142"/>
        <v>0</v>
      </c>
      <c r="AC305" s="166">
        <f t="shared" si="142"/>
        <v>0</v>
      </c>
      <c r="AD305" s="166">
        <f t="shared" si="142"/>
        <v>0</v>
      </c>
      <c r="AE305" s="166">
        <f t="shared" si="142"/>
        <v>0</v>
      </c>
      <c r="AF305" s="166">
        <f t="shared" si="142"/>
        <v>0</v>
      </c>
      <c r="AG305" s="166">
        <f t="shared" si="142"/>
        <v>0</v>
      </c>
      <c r="AH305" s="166"/>
      <c r="AI305" s="166">
        <f ref="AI305:AT305" t="shared" si="143">SUM(AI275:AI304)</f>
        <v>0</v>
      </c>
      <c r="AJ305" s="166">
        <f t="shared" si="143"/>
        <v>0</v>
      </c>
      <c r="AK305" s="166">
        <f t="shared" si="143"/>
        <v>0</v>
      </c>
      <c r="AL305" s="166">
        <f t="shared" si="143"/>
        <v>0</v>
      </c>
      <c r="AM305" s="166">
        <f t="shared" si="143"/>
        <v>0</v>
      </c>
      <c r="AN305" s="166">
        <f t="shared" si="143"/>
        <v>0</v>
      </c>
      <c r="AO305" s="166">
        <f t="shared" si="143"/>
        <v>0</v>
      </c>
      <c r="AP305" s="166">
        <f t="shared" si="143"/>
        <v>0</v>
      </c>
      <c r="AQ305" s="166">
        <f t="shared" si="143"/>
        <v>0</v>
      </c>
      <c r="AR305" s="166">
        <f t="shared" si="143"/>
        <v>0</v>
      </c>
      <c r="AS305" s="166">
        <f t="shared" si="143"/>
        <v>0</v>
      </c>
      <c r="AT305" s="165">
        <f t="shared" si="143"/>
        <v>0</v>
      </c>
      <c r="AU305" s="233"/>
      <c r="AV305" s="165">
        <f ref="AV305:BD305" t="shared" si="144">SUM(AV275:AV304)</f>
        <v>0</v>
      </c>
      <c r="AW305" s="165">
        <f t="shared" si="144"/>
        <v>0</v>
      </c>
      <c r="AX305" s="165">
        <f t="shared" si="144"/>
        <v>0</v>
      </c>
      <c r="AY305" s="165">
        <f t="shared" si="144"/>
        <v>0</v>
      </c>
      <c r="AZ305" s="165">
        <f t="shared" si="144"/>
        <v>0</v>
      </c>
      <c r="BA305" s="165">
        <f t="shared" si="144"/>
        <v>0</v>
      </c>
      <c r="BB305" s="165">
        <f t="shared" si="144"/>
        <v>0</v>
      </c>
      <c r="BC305" s="166">
        <f t="shared" si="144"/>
        <v>0</v>
      </c>
      <c r="BD305" s="166">
        <f t="shared" si="144"/>
        <v>0</v>
      </c>
      <c r="BE305" s="261"/>
      <c r="BF305" s="166">
        <f ref="BF305:BH305" t="shared" si="145">SUM(BF275:BF304)</f>
        <v>0</v>
      </c>
      <c r="BG305" s="166">
        <f t="shared" si="145"/>
        <v>0</v>
      </c>
      <c r="BH305" s="166">
        <f t="shared" si="145"/>
        <v>0</v>
      </c>
      <c r="BI305" s="3"/>
      <c r="BJ305" s="172">
        <f>SUM(BJ275:BJ304)</f>
        <v>0</v>
      </c>
      <c r="BK305" s="166"/>
      <c r="BL305" s="166"/>
      <c r="BM305" s="166"/>
      <c r="BN305" s="166"/>
      <c r="BO305" s="166"/>
      <c r="BP305" s="166">
        <f>SUM(BP275:BP304)</f>
        <v>0</v>
      </c>
      <c r="BQ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4"/>
      <c r="AO306" s="3"/>
      <c r="AP306" s="3"/>
      <c r="AQ306" s="3"/>
      <c r="AR306" s="3"/>
      <c r="AS306" s="3"/>
      <c r="AT306" s="3"/>
      <c r="AU306" s="5"/>
      <c r="AV306" s="3"/>
      <c r="AW306" s="3"/>
      <c r="AX306" s="3"/>
      <c r="AY306" s="3"/>
      <c r="AZ306" s="3"/>
      <c r="BA306" s="3"/>
      <c r="BB306" s="3"/>
      <c r="BC306" s="3"/>
      <c r="BD306" s="3"/>
      <c r="BE306" s="6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ht="14.25" customHeight="1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176"/>
      <c r="AK307" s="176"/>
      <c r="AL307" s="3"/>
      <c r="AM307" s="3"/>
      <c r="AN307" s="4"/>
      <c r="AO307" s="3"/>
      <c r="AP307" s="3"/>
      <c r="AQ307" s="3"/>
      <c r="AR307" s="3"/>
      <c r="AS307" s="3"/>
      <c r="AT307" s="3"/>
      <c r="AU307" s="5"/>
      <c r="AV307" s="3"/>
      <c r="AW307" s="3"/>
      <c r="AX307" s="3"/>
      <c r="AY307" s="3"/>
      <c r="AZ307" s="3"/>
      <c r="BA307" s="3"/>
      <c r="BB307" s="3"/>
      <c r="BC307" s="3"/>
      <c r="BD307" s="3"/>
      <c r="BE307" s="6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ht="14.25" customHeight="1">
      <c r="A308" s="3"/>
      <c r="B308" s="215">
        <v>46296</v>
      </c>
      <c r="C308" s="94"/>
      <c r="D308" s="104"/>
      <c r="E308" s="97"/>
      <c r="F308" s="97"/>
      <c r="G308" s="265">
        <f ref="G308:G338" t="shared" si="146">+C308+D308+E308+F308</f>
        <v>0</v>
      </c>
      <c r="H308" s="21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03">
        <f ref="U308:U338" t="shared" si="147">SUM(I308:T308)</f>
        <v>0</v>
      </c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03">
        <f ref="AJ308:AJ338" t="shared" si="148">SUM(V308:AI308)</f>
        <v>0</v>
      </c>
      <c r="AK308" s="104"/>
      <c r="AL308" s="104"/>
      <c r="AM308" s="104"/>
      <c r="AN308" s="191">
        <f ref="AN308:AN338" t="shared" si="149">SUM(AK308:AM308)</f>
        <v>0</v>
      </c>
      <c r="AO308" s="186"/>
      <c r="AP308" s="186"/>
      <c r="AQ308" s="186"/>
      <c r="AR308" s="193"/>
      <c r="AS308" s="219">
        <f ref="AS308:AS336" t="shared" si="150">+G308-U308-AJ308-AN308-AO308-AP308-AQ308-AR308</f>
        <v>0</v>
      </c>
      <c r="AT308" s="276"/>
      <c r="AU308" s="273"/>
      <c r="AV308" s="276"/>
      <c r="AW308" s="276"/>
      <c r="AX308" s="221"/>
      <c r="AY308" s="127"/>
      <c r="AZ308" s="274"/>
      <c r="BA308" s="276"/>
      <c r="BB308" s="276"/>
      <c r="BC308" s="286"/>
      <c r="BD308" s="220"/>
      <c r="BE308" s="111"/>
      <c r="BF308" s="220"/>
      <c r="BG308" s="292">
        <f ref="BG308:BG338" t="shared" si="151">SUM(AT308:BF308)-BD308</f>
        <v>0</v>
      </c>
      <c r="BH308" s="114">
        <f ref="BH308:BH338" t="shared" si="152">+AS308-BG308</f>
        <v>0</v>
      </c>
      <c r="BI308" s="3"/>
      <c r="BJ308" s="114">
        <f ref="BJ308:BJ338" t="shared" si="153">SUM(BK308:BO308)</f>
        <v>0</v>
      </c>
      <c r="BK308" s="115"/>
      <c r="BL308" s="115"/>
      <c r="BM308" s="115"/>
      <c r="BN308" s="115"/>
      <c r="BO308" s="115"/>
      <c r="BP308" s="116">
        <f ref="BP308:BP338" t="shared" si="154">+BH308-BJ308</f>
        <v>0</v>
      </c>
      <c r="BQ308" s="3"/>
    </row>
    <row r="309" ht="14.25" customHeight="1">
      <c r="A309" s="3"/>
      <c r="B309" s="215">
        <v>46297</v>
      </c>
      <c r="C309" s="118"/>
      <c r="D309" s="123"/>
      <c r="E309" s="120"/>
      <c r="F309" s="120"/>
      <c r="G309" s="147">
        <f t="shared" si="146"/>
        <v>0</v>
      </c>
      <c r="H309" s="148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47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03">
        <f t="shared" si="148"/>
        <v>0</v>
      </c>
      <c r="AK309" s="123"/>
      <c r="AL309" s="123"/>
      <c r="AM309" s="123"/>
      <c r="AN309" s="105">
        <f t="shared" si="149"/>
        <v>0</v>
      </c>
      <c r="AO309" s="143"/>
      <c r="AP309" s="143"/>
      <c r="AQ309" s="143"/>
      <c r="AR309" s="146"/>
      <c r="AS309" s="224">
        <f t="shared" si="150"/>
        <v>0</v>
      </c>
      <c r="AT309" s="276"/>
      <c r="AU309" s="273"/>
      <c r="AV309" s="276"/>
      <c r="AW309" s="276"/>
      <c r="AX309" s="221"/>
      <c r="AY309" s="127"/>
      <c r="AZ309" s="274"/>
      <c r="BA309" s="276"/>
      <c r="BB309" s="276"/>
      <c r="BC309" s="276"/>
      <c r="BD309" s="225"/>
      <c r="BE309" s="128"/>
      <c r="BF309" s="225"/>
      <c r="BG309" s="222">
        <f t="shared" si="151"/>
        <v>0</v>
      </c>
      <c r="BH309" s="113">
        <f t="shared" si="152"/>
        <v>0</v>
      </c>
      <c r="BI309" s="3"/>
      <c r="BJ309" s="113">
        <f t="shared" si="153"/>
        <v>0</v>
      </c>
      <c r="BK309" s="129"/>
      <c r="BL309" s="129"/>
      <c r="BM309" s="129"/>
      <c r="BN309" s="129"/>
      <c r="BO309" s="129"/>
      <c r="BP309" s="130">
        <f t="shared" si="154"/>
        <v>0</v>
      </c>
      <c r="BQ309" s="3"/>
    </row>
    <row r="310" ht="14.25" customHeight="1">
      <c r="A310" s="3"/>
      <c r="B310" s="215">
        <v>46298</v>
      </c>
      <c r="C310" s="118"/>
      <c r="D310" s="123"/>
      <c r="E310" s="120"/>
      <c r="F310" s="120"/>
      <c r="G310" s="147">
        <f t="shared" si="146"/>
        <v>0</v>
      </c>
      <c r="H310" s="148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47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03">
        <f t="shared" si="148"/>
        <v>0</v>
      </c>
      <c r="AK310" s="123"/>
      <c r="AL310" s="123"/>
      <c r="AM310" s="123"/>
      <c r="AN310" s="105">
        <f t="shared" si="149"/>
        <v>0</v>
      </c>
      <c r="AO310" s="143"/>
      <c r="AP310" s="143"/>
      <c r="AQ310" s="143"/>
      <c r="AR310" s="146"/>
      <c r="AS310" s="224">
        <f t="shared" si="150"/>
        <v>0</v>
      </c>
      <c r="AT310" s="276"/>
      <c r="AU310" s="273"/>
      <c r="AV310" s="276"/>
      <c r="AW310" s="276"/>
      <c r="AX310" s="221"/>
      <c r="AY310" s="127"/>
      <c r="AZ310" s="274"/>
      <c r="BA310" s="276"/>
      <c r="BB310" s="276"/>
      <c r="BC310" s="276"/>
      <c r="BD310" s="225"/>
      <c r="BE310" s="128"/>
      <c r="BF310" s="225"/>
      <c r="BG310" s="222">
        <f t="shared" si="151"/>
        <v>0</v>
      </c>
      <c r="BH310" s="113">
        <f t="shared" si="152"/>
        <v>0</v>
      </c>
      <c r="BI310" s="3"/>
      <c r="BJ310" s="113">
        <f t="shared" si="153"/>
        <v>0</v>
      </c>
      <c r="BK310" s="129"/>
      <c r="BL310" s="129"/>
      <c r="BM310" s="129"/>
      <c r="BN310" s="129"/>
      <c r="BO310" s="129"/>
      <c r="BP310" s="130">
        <f t="shared" si="154"/>
        <v>0</v>
      </c>
      <c r="BQ310" s="3"/>
    </row>
    <row r="311" ht="14.25" customHeight="1">
      <c r="A311" s="3"/>
      <c r="B311" s="215">
        <v>46299</v>
      </c>
      <c r="C311" s="118"/>
      <c r="D311" s="123"/>
      <c r="E311" s="120"/>
      <c r="F311" s="120"/>
      <c r="G311" s="147">
        <f t="shared" si="146"/>
        <v>0</v>
      </c>
      <c r="H311" s="148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47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03">
        <f t="shared" si="148"/>
        <v>0</v>
      </c>
      <c r="AK311" s="123"/>
      <c r="AL311" s="123"/>
      <c r="AM311" s="123"/>
      <c r="AN311" s="105">
        <f t="shared" si="149"/>
        <v>0</v>
      </c>
      <c r="AO311" s="143"/>
      <c r="AP311" s="143"/>
      <c r="AQ311" s="143"/>
      <c r="AR311" s="146"/>
      <c r="AS311" s="224">
        <f t="shared" si="150"/>
        <v>0</v>
      </c>
      <c r="AT311" s="276"/>
      <c r="AU311" s="273"/>
      <c r="AV311" s="276"/>
      <c r="AW311" s="276"/>
      <c r="AX311" s="221"/>
      <c r="AY311" s="127"/>
      <c r="AZ311" s="274"/>
      <c r="BA311" s="276"/>
      <c r="BB311" s="276"/>
      <c r="BC311" s="276"/>
      <c r="BD311" s="225"/>
      <c r="BE311" s="128"/>
      <c r="BF311" s="225"/>
      <c r="BG311" s="222">
        <f t="shared" si="151"/>
        <v>0</v>
      </c>
      <c r="BH311" s="113">
        <f t="shared" si="152"/>
        <v>0</v>
      </c>
      <c r="BI311" s="3"/>
      <c r="BJ311" s="113">
        <f t="shared" si="153"/>
        <v>0</v>
      </c>
      <c r="BK311" s="129"/>
      <c r="BL311" s="129"/>
      <c r="BM311" s="129"/>
      <c r="BN311" s="129"/>
      <c r="BO311" s="129"/>
      <c r="BP311" s="130">
        <f t="shared" si="154"/>
        <v>0</v>
      </c>
      <c r="BQ311" s="3"/>
    </row>
    <row r="312" ht="14.25" customHeight="1">
      <c r="A312" s="3"/>
      <c r="B312" s="215">
        <v>46300</v>
      </c>
      <c r="C312" s="118"/>
      <c r="D312" s="123"/>
      <c r="E312" s="120"/>
      <c r="F312" s="120"/>
      <c r="G312" s="147">
        <f t="shared" si="146"/>
        <v>0</v>
      </c>
      <c r="H312" s="148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47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03">
        <f t="shared" si="148"/>
        <v>0</v>
      </c>
      <c r="AK312" s="123"/>
      <c r="AL312" s="123"/>
      <c r="AM312" s="123"/>
      <c r="AN312" s="105">
        <f t="shared" si="149"/>
        <v>0</v>
      </c>
      <c r="AO312" s="143"/>
      <c r="AP312" s="143"/>
      <c r="AQ312" s="143"/>
      <c r="AR312" s="146"/>
      <c r="AS312" s="224">
        <f t="shared" si="150"/>
        <v>0</v>
      </c>
      <c r="AT312" s="276"/>
      <c r="AU312" s="273"/>
      <c r="AV312" s="276"/>
      <c r="AW312" s="276"/>
      <c r="AX312" s="221"/>
      <c r="AY312" s="127"/>
      <c r="AZ312" s="274"/>
      <c r="BA312" s="276"/>
      <c r="BB312" s="276"/>
      <c r="BC312" s="276"/>
      <c r="BD312" s="225"/>
      <c r="BE312" s="128"/>
      <c r="BF312" s="225"/>
      <c r="BG312" s="222">
        <f t="shared" si="151"/>
        <v>0</v>
      </c>
      <c r="BH312" s="113">
        <f t="shared" si="152"/>
        <v>0</v>
      </c>
      <c r="BI312" s="3"/>
      <c r="BJ312" s="113">
        <f t="shared" si="153"/>
        <v>0</v>
      </c>
      <c r="BK312" s="129"/>
      <c r="BL312" s="129"/>
      <c r="BM312" s="129"/>
      <c r="BN312" s="129"/>
      <c r="BO312" s="129"/>
      <c r="BP312" s="130">
        <f t="shared" si="154"/>
        <v>0</v>
      </c>
      <c r="BQ312" s="3"/>
    </row>
    <row r="313" ht="14.25" customHeight="1">
      <c r="A313" s="3"/>
      <c r="B313" s="215">
        <v>46301</v>
      </c>
      <c r="C313" s="118"/>
      <c r="D313" s="123"/>
      <c r="E313" s="120"/>
      <c r="F313" s="120"/>
      <c r="G313" s="147">
        <f t="shared" si="146"/>
        <v>0</v>
      </c>
      <c r="H313" s="173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103">
        <f t="shared" si="147"/>
        <v>0</v>
      </c>
      <c r="V313" s="99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03">
        <f t="shared" si="148"/>
        <v>0</v>
      </c>
      <c r="AK313" s="123"/>
      <c r="AL313" s="123"/>
      <c r="AM313" s="123"/>
      <c r="AN313" s="105">
        <f t="shared" si="149"/>
        <v>0</v>
      </c>
      <c r="AO313" s="143"/>
      <c r="AP313" s="143"/>
      <c r="AQ313" s="143"/>
      <c r="AR313" s="146"/>
      <c r="AS313" s="224">
        <f t="shared" si="150"/>
        <v>0</v>
      </c>
      <c r="AT313" s="276"/>
      <c r="AU313" s="273"/>
      <c r="AV313" s="276"/>
      <c r="AW313" s="276"/>
      <c r="AX313" s="221"/>
      <c r="AY313" s="127"/>
      <c r="AZ313" s="274"/>
      <c r="BA313" s="276"/>
      <c r="BB313" s="276"/>
      <c r="BC313" s="276"/>
      <c r="BD313" s="225"/>
      <c r="BE313" s="128"/>
      <c r="BF313" s="225"/>
      <c r="BG313" s="222">
        <f t="shared" si="151"/>
        <v>0</v>
      </c>
      <c r="BH313" s="113">
        <f t="shared" si="152"/>
        <v>0</v>
      </c>
      <c r="BI313" s="3"/>
      <c r="BJ313" s="113">
        <f t="shared" si="153"/>
        <v>0</v>
      </c>
      <c r="BK313" s="129"/>
      <c r="BL313" s="129"/>
      <c r="BM313" s="129"/>
      <c r="BN313" s="129"/>
      <c r="BO313" s="129"/>
      <c r="BP313" s="130">
        <f t="shared" si="154"/>
        <v>0</v>
      </c>
      <c r="BQ313" s="3"/>
    </row>
    <row r="314" ht="14.25" customHeight="1">
      <c r="A314" s="3"/>
      <c r="B314" s="215">
        <v>46302</v>
      </c>
      <c r="C314" s="118"/>
      <c r="D314" s="123"/>
      <c r="E314" s="120"/>
      <c r="F314" s="120"/>
      <c r="G314" s="147">
        <f t="shared" si="146"/>
        <v>0</v>
      </c>
      <c r="H314" s="173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103">
        <f t="shared" si="147"/>
        <v>0</v>
      </c>
      <c r="V314" s="99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03">
        <f t="shared" si="148"/>
        <v>0</v>
      </c>
      <c r="AK314" s="123"/>
      <c r="AL314" s="123"/>
      <c r="AM314" s="123"/>
      <c r="AN314" s="105">
        <f t="shared" si="149"/>
        <v>0</v>
      </c>
      <c r="AO314" s="143"/>
      <c r="AP314" s="143"/>
      <c r="AQ314" s="143"/>
      <c r="AR314" s="146"/>
      <c r="AS314" s="224">
        <f t="shared" si="150"/>
        <v>0</v>
      </c>
      <c r="AT314" s="276"/>
      <c r="AU314" s="273"/>
      <c r="AV314" s="276"/>
      <c r="AW314" s="276"/>
      <c r="AX314" s="221"/>
      <c r="AY314" s="127"/>
      <c r="AZ314" s="274"/>
      <c r="BA314" s="276"/>
      <c r="BB314" s="276"/>
      <c r="BC314" s="276"/>
      <c r="BD314" s="225"/>
      <c r="BE314" s="128"/>
      <c r="BF314" s="225"/>
      <c r="BG314" s="222">
        <f t="shared" si="151"/>
        <v>0</v>
      </c>
      <c r="BH314" s="113">
        <f t="shared" si="152"/>
        <v>0</v>
      </c>
      <c r="BI314" s="3"/>
      <c r="BJ314" s="113">
        <f t="shared" si="153"/>
        <v>0</v>
      </c>
      <c r="BK314" s="129"/>
      <c r="BL314" s="129"/>
      <c r="BM314" s="129"/>
      <c r="BN314" s="129"/>
      <c r="BO314" s="129"/>
      <c r="BP314" s="130">
        <f t="shared" si="154"/>
        <v>0</v>
      </c>
      <c r="BQ314" s="3"/>
    </row>
    <row r="315" ht="14.25" customHeight="1">
      <c r="A315" s="3"/>
      <c r="B315" s="215">
        <v>46303</v>
      </c>
      <c r="C315" s="118"/>
      <c r="D315" s="123"/>
      <c r="E315" s="120"/>
      <c r="F315" s="120"/>
      <c r="G315" s="147">
        <f t="shared" si="146"/>
        <v>0</v>
      </c>
      <c r="H315" s="173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103">
        <f t="shared" si="147"/>
        <v>0</v>
      </c>
      <c r="V315" s="99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03">
        <f t="shared" si="148"/>
        <v>0</v>
      </c>
      <c r="AK315" s="123"/>
      <c r="AL315" s="123"/>
      <c r="AM315" s="123"/>
      <c r="AN315" s="105">
        <f t="shared" si="149"/>
        <v>0</v>
      </c>
      <c r="AO315" s="143"/>
      <c r="AP315" s="143"/>
      <c r="AQ315" s="143"/>
      <c r="AR315" s="146"/>
      <c r="AS315" s="224">
        <f t="shared" si="150"/>
        <v>0</v>
      </c>
      <c r="AT315" s="276"/>
      <c r="AU315" s="273"/>
      <c r="AV315" s="276"/>
      <c r="AW315" s="276"/>
      <c r="AX315" s="221"/>
      <c r="AY315" s="127"/>
      <c r="AZ315" s="274"/>
      <c r="BA315" s="276"/>
      <c r="BB315" s="276"/>
      <c r="BC315" s="276"/>
      <c r="BD315" s="225"/>
      <c r="BE315" s="128"/>
      <c r="BF315" s="225"/>
      <c r="BG315" s="222">
        <f t="shared" si="151"/>
        <v>0</v>
      </c>
      <c r="BH315" s="113">
        <f t="shared" si="152"/>
        <v>0</v>
      </c>
      <c r="BI315" s="3"/>
      <c r="BJ315" s="113">
        <f t="shared" si="153"/>
        <v>0</v>
      </c>
      <c r="BK315" s="129"/>
      <c r="BL315" s="129"/>
      <c r="BM315" s="129"/>
      <c r="BN315" s="129"/>
      <c r="BO315" s="129"/>
      <c r="BP315" s="130">
        <f t="shared" si="154"/>
        <v>0</v>
      </c>
      <c r="BQ315" s="3"/>
    </row>
    <row r="316" ht="15.75" customHeight="1">
      <c r="A316" s="3"/>
      <c r="B316" s="215">
        <v>46304</v>
      </c>
      <c r="C316" s="118"/>
      <c r="D316" s="123"/>
      <c r="E316" s="120"/>
      <c r="F316" s="120"/>
      <c r="G316" s="147">
        <f t="shared" si="146"/>
        <v>0</v>
      </c>
      <c r="H316" s="148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47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03">
        <f t="shared" si="148"/>
        <v>0</v>
      </c>
      <c r="AK316" s="123"/>
      <c r="AL316" s="123"/>
      <c r="AM316" s="123"/>
      <c r="AN316" s="105">
        <f t="shared" si="149"/>
        <v>0</v>
      </c>
      <c r="AO316" s="143"/>
      <c r="AP316" s="143"/>
      <c r="AQ316" s="143"/>
      <c r="AR316" s="146"/>
      <c r="AS316" s="224">
        <f t="shared" si="150"/>
        <v>0</v>
      </c>
      <c r="AT316" s="276"/>
      <c r="AU316" s="273"/>
      <c r="AV316" s="276"/>
      <c r="AW316" s="276"/>
      <c r="AX316" s="221"/>
      <c r="AY316" s="127"/>
      <c r="AZ316" s="274"/>
      <c r="BA316" s="276"/>
      <c r="BB316" s="276"/>
      <c r="BC316" s="276"/>
      <c r="BD316" s="225"/>
      <c r="BE316" s="128"/>
      <c r="BF316" s="225"/>
      <c r="BG316" s="222">
        <f t="shared" si="151"/>
        <v>0</v>
      </c>
      <c r="BH316" s="113">
        <f t="shared" si="152"/>
        <v>0</v>
      </c>
      <c r="BI316" s="3"/>
      <c r="BJ316" s="113">
        <f t="shared" si="153"/>
        <v>0</v>
      </c>
      <c r="BK316" s="129"/>
      <c r="BL316" s="129"/>
      <c r="BM316" s="129"/>
      <c r="BN316" s="129"/>
      <c r="BO316" s="129"/>
      <c r="BP316" s="130">
        <f t="shared" si="154"/>
        <v>0</v>
      </c>
      <c r="BQ316" s="3"/>
    </row>
    <row r="317" ht="14.25" customHeight="1">
      <c r="A317" s="132"/>
      <c r="B317" s="215">
        <v>46305</v>
      </c>
      <c r="C317" s="133"/>
      <c r="D317" s="136"/>
      <c r="E317" s="135"/>
      <c r="F317" s="135"/>
      <c r="G317" s="147">
        <f t="shared" si="146"/>
        <v>0</v>
      </c>
      <c r="H317" s="148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47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03">
        <f t="shared" si="148"/>
        <v>0</v>
      </c>
      <c r="AK317" s="136"/>
      <c r="AL317" s="136"/>
      <c r="AM317" s="136"/>
      <c r="AN317" s="105">
        <f t="shared" si="149"/>
        <v>0</v>
      </c>
      <c r="AO317" s="143"/>
      <c r="AP317" s="143"/>
      <c r="AQ317" s="143"/>
      <c r="AR317" s="146"/>
      <c r="AS317" s="224">
        <f t="shared" si="150"/>
        <v>0</v>
      </c>
      <c r="AT317" s="274"/>
      <c r="AU317" s="273"/>
      <c r="AV317" s="274"/>
      <c r="AW317" s="274"/>
      <c r="AX317" s="127"/>
      <c r="AY317" s="127"/>
      <c r="AZ317" s="274"/>
      <c r="BA317" s="276"/>
      <c r="BB317" s="274"/>
      <c r="BC317" s="274"/>
      <c r="BD317" s="126"/>
      <c r="BE317" s="128"/>
      <c r="BF317" s="126"/>
      <c r="BG317" s="222">
        <f t="shared" si="151"/>
        <v>0</v>
      </c>
      <c r="BH317" s="140">
        <f t="shared" si="152"/>
        <v>0</v>
      </c>
      <c r="BI317" s="132"/>
      <c r="BJ317" s="140">
        <f t="shared" si="153"/>
        <v>0</v>
      </c>
      <c r="BK317" s="141"/>
      <c r="BL317" s="141"/>
      <c r="BM317" s="141"/>
      <c r="BN317" s="141"/>
      <c r="BO317" s="141"/>
      <c r="BP317" s="130">
        <f t="shared" si="154"/>
        <v>0</v>
      </c>
      <c r="BQ317" s="132"/>
    </row>
    <row r="318" ht="14.25" customHeight="1">
      <c r="A318" s="132"/>
      <c r="B318" s="215">
        <v>46306</v>
      </c>
      <c r="C318" s="133"/>
      <c r="D318" s="136"/>
      <c r="E318" s="135"/>
      <c r="F318" s="135"/>
      <c r="G318" s="147">
        <f t="shared" si="146"/>
        <v>0</v>
      </c>
      <c r="H318" s="148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47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03">
        <f t="shared" si="148"/>
        <v>0</v>
      </c>
      <c r="AK318" s="136"/>
      <c r="AL318" s="136"/>
      <c r="AM318" s="136"/>
      <c r="AN318" s="105">
        <f t="shared" si="149"/>
        <v>0</v>
      </c>
      <c r="AO318" s="143"/>
      <c r="AP318" s="143"/>
      <c r="AQ318" s="143"/>
      <c r="AR318" s="146"/>
      <c r="AS318" s="224">
        <f t="shared" si="150"/>
        <v>0</v>
      </c>
      <c r="AT318" s="274"/>
      <c r="AU318" s="273"/>
      <c r="AV318" s="274"/>
      <c r="AW318" s="274"/>
      <c r="AX318" s="127"/>
      <c r="AY318" s="127"/>
      <c r="AZ318" s="274"/>
      <c r="BA318" s="274"/>
      <c r="BB318" s="274"/>
      <c r="BC318" s="274"/>
      <c r="BD318" s="126"/>
      <c r="BE318" s="128"/>
      <c r="BF318" s="126"/>
      <c r="BG318" s="222">
        <f t="shared" si="151"/>
        <v>0</v>
      </c>
      <c r="BH318" s="140">
        <f t="shared" si="152"/>
        <v>0</v>
      </c>
      <c r="BI318" s="132"/>
      <c r="BJ318" s="140">
        <f t="shared" si="153"/>
        <v>0</v>
      </c>
      <c r="BK318" s="141"/>
      <c r="BL318" s="141"/>
      <c r="BM318" s="141"/>
      <c r="BN318" s="141"/>
      <c r="BO318" s="141"/>
      <c r="BP318" s="130">
        <f t="shared" si="154"/>
        <v>0</v>
      </c>
      <c r="BQ318" s="132"/>
    </row>
    <row r="319" ht="14.25" customHeight="1">
      <c r="A319" s="132"/>
      <c r="B319" s="215">
        <v>46307</v>
      </c>
      <c r="C319" s="133"/>
      <c r="D319" s="136"/>
      <c r="E319" s="135"/>
      <c r="F319" s="135"/>
      <c r="G319" s="147">
        <f t="shared" si="146"/>
        <v>0</v>
      </c>
      <c r="H319" s="148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47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03">
        <f t="shared" si="148"/>
        <v>0</v>
      </c>
      <c r="AK319" s="136"/>
      <c r="AL319" s="136"/>
      <c r="AM319" s="136"/>
      <c r="AN319" s="105">
        <f t="shared" si="149"/>
        <v>0</v>
      </c>
      <c r="AO319" s="143"/>
      <c r="AP319" s="143"/>
      <c r="AQ319" s="143"/>
      <c r="AR319" s="146"/>
      <c r="AS319" s="224">
        <f t="shared" si="150"/>
        <v>0</v>
      </c>
      <c r="AT319" s="274"/>
      <c r="AU319" s="273"/>
      <c r="AV319" s="274"/>
      <c r="AW319" s="274"/>
      <c r="AX319" s="127"/>
      <c r="AY319" s="127"/>
      <c r="AZ319" s="274"/>
      <c r="BA319" s="274"/>
      <c r="BB319" s="274"/>
      <c r="BC319" s="274"/>
      <c r="BD319" s="126"/>
      <c r="BE319" s="128"/>
      <c r="BF319" s="126"/>
      <c r="BG319" s="222">
        <f t="shared" si="151"/>
        <v>0</v>
      </c>
      <c r="BH319" s="140">
        <f t="shared" si="152"/>
        <v>0</v>
      </c>
      <c r="BI319" s="132"/>
      <c r="BJ319" s="140">
        <f t="shared" si="153"/>
        <v>0</v>
      </c>
      <c r="BK319" s="141"/>
      <c r="BL319" s="141"/>
      <c r="BM319" s="141"/>
      <c r="BN319" s="141"/>
      <c r="BO319" s="141"/>
      <c r="BP319" s="130">
        <f t="shared" si="154"/>
        <v>0</v>
      </c>
      <c r="BQ319" s="132"/>
    </row>
    <row r="320" ht="14.25" customHeight="1">
      <c r="A320" s="132"/>
      <c r="B320" s="215">
        <v>46308</v>
      </c>
      <c r="C320" s="133"/>
      <c r="D320" s="136"/>
      <c r="E320" s="135"/>
      <c r="F320" s="135"/>
      <c r="G320" s="147">
        <f t="shared" si="146"/>
        <v>0</v>
      </c>
      <c r="H320" s="148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47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03">
        <f t="shared" si="148"/>
        <v>0</v>
      </c>
      <c r="AK320" s="136"/>
      <c r="AL320" s="136"/>
      <c r="AM320" s="136"/>
      <c r="AN320" s="105">
        <f t="shared" si="149"/>
        <v>0</v>
      </c>
      <c r="AO320" s="143"/>
      <c r="AP320" s="143"/>
      <c r="AQ320" s="143"/>
      <c r="AR320" s="146"/>
      <c r="AS320" s="224">
        <f t="shared" si="150"/>
        <v>0</v>
      </c>
      <c r="AT320" s="274"/>
      <c r="AU320" s="273"/>
      <c r="AV320" s="274"/>
      <c r="AW320" s="274"/>
      <c r="AX320" s="127"/>
      <c r="AY320" s="127"/>
      <c r="AZ320" s="274"/>
      <c r="BA320" s="274"/>
      <c r="BB320" s="274"/>
      <c r="BC320" s="274"/>
      <c r="BD320" s="126"/>
      <c r="BE320" s="128"/>
      <c r="BF320" s="126"/>
      <c r="BG320" s="222">
        <f t="shared" si="151"/>
        <v>0</v>
      </c>
      <c r="BH320" s="140">
        <f t="shared" si="152"/>
        <v>0</v>
      </c>
      <c r="BI320" s="132"/>
      <c r="BJ320" s="140">
        <f t="shared" si="153"/>
        <v>0</v>
      </c>
      <c r="BK320" s="141"/>
      <c r="BL320" s="141"/>
      <c r="BM320" s="141"/>
      <c r="BN320" s="141"/>
      <c r="BO320" s="141"/>
      <c r="BP320" s="130">
        <f t="shared" si="154"/>
        <v>0</v>
      </c>
      <c r="BQ320" s="132"/>
    </row>
    <row r="321" ht="14.25" customHeight="1">
      <c r="A321" s="132"/>
      <c r="B321" s="215">
        <v>46309</v>
      </c>
      <c r="C321" s="133"/>
      <c r="D321" s="136"/>
      <c r="E321" s="135"/>
      <c r="F321" s="135"/>
      <c r="G321" s="147">
        <f t="shared" si="146"/>
        <v>0</v>
      </c>
      <c r="H321" s="148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47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03">
        <f t="shared" si="148"/>
        <v>0</v>
      </c>
      <c r="AK321" s="136"/>
      <c r="AL321" s="136"/>
      <c r="AM321" s="136"/>
      <c r="AN321" s="105">
        <f t="shared" si="149"/>
        <v>0</v>
      </c>
      <c r="AO321" s="143"/>
      <c r="AP321" s="143"/>
      <c r="AQ321" s="143"/>
      <c r="AR321" s="146"/>
      <c r="AS321" s="224">
        <f t="shared" si="150"/>
        <v>0</v>
      </c>
      <c r="AT321" s="274"/>
      <c r="AU321" s="273"/>
      <c r="AV321" s="274"/>
      <c r="AW321" s="274"/>
      <c r="AX321" s="127"/>
      <c r="AY321" s="127"/>
      <c r="AZ321" s="274"/>
      <c r="BA321" s="274"/>
      <c r="BB321" s="274"/>
      <c r="BC321" s="274"/>
      <c r="BD321" s="126"/>
      <c r="BE321" s="128"/>
      <c r="BF321" s="126"/>
      <c r="BG321" s="222">
        <f t="shared" si="151"/>
        <v>0</v>
      </c>
      <c r="BH321" s="140">
        <f t="shared" si="152"/>
        <v>0</v>
      </c>
      <c r="BI321" s="132"/>
      <c r="BJ321" s="140">
        <f t="shared" si="153"/>
        <v>0</v>
      </c>
      <c r="BK321" s="141"/>
      <c r="BL321" s="141"/>
      <c r="BM321" s="141"/>
      <c r="BN321" s="141"/>
      <c r="BO321" s="141"/>
      <c r="BP321" s="130">
        <f t="shared" si="154"/>
        <v>0</v>
      </c>
      <c r="BQ321" s="132"/>
    </row>
    <row r="322" ht="14.25" customHeight="1">
      <c r="A322" s="132"/>
      <c r="B322" s="215">
        <v>46310</v>
      </c>
      <c r="C322" s="133"/>
      <c r="D322" s="136"/>
      <c r="E322" s="135"/>
      <c r="F322" s="135"/>
      <c r="G322" s="147">
        <f t="shared" si="146"/>
        <v>0</v>
      </c>
      <c r="H322" s="148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47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03">
        <f t="shared" si="148"/>
        <v>0</v>
      </c>
      <c r="AK322" s="136"/>
      <c r="AL322" s="136"/>
      <c r="AM322" s="136"/>
      <c r="AN322" s="105">
        <f t="shared" si="149"/>
        <v>0</v>
      </c>
      <c r="AO322" s="143"/>
      <c r="AP322" s="143"/>
      <c r="AQ322" s="143"/>
      <c r="AR322" s="146"/>
      <c r="AS322" s="224">
        <f t="shared" si="150"/>
        <v>0</v>
      </c>
      <c r="AT322" s="274"/>
      <c r="AU322" s="273"/>
      <c r="AV322" s="274"/>
      <c r="AW322" s="274"/>
      <c r="AX322" s="127"/>
      <c r="AY322" s="127"/>
      <c r="AZ322" s="274"/>
      <c r="BA322" s="274"/>
      <c r="BB322" s="274"/>
      <c r="BC322" s="274"/>
      <c r="BD322" s="126"/>
      <c r="BE322" s="128"/>
      <c r="BF322" s="126"/>
      <c r="BG322" s="222">
        <f t="shared" si="151"/>
        <v>0</v>
      </c>
      <c r="BH322" s="140">
        <f t="shared" si="152"/>
        <v>0</v>
      </c>
      <c r="BI322" s="132"/>
      <c r="BJ322" s="140">
        <f t="shared" si="153"/>
        <v>0</v>
      </c>
      <c r="BK322" s="141"/>
      <c r="BL322" s="141"/>
      <c r="BM322" s="141"/>
      <c r="BN322" s="141"/>
      <c r="BO322" s="141"/>
      <c r="BP322" s="130">
        <f t="shared" si="154"/>
        <v>0</v>
      </c>
      <c r="BQ322" s="132"/>
    </row>
    <row r="323" ht="14.25" customHeight="1">
      <c r="A323" s="132"/>
      <c r="B323" s="215">
        <v>46311</v>
      </c>
      <c r="C323" s="133"/>
      <c r="D323" s="136"/>
      <c r="E323" s="135"/>
      <c r="F323" s="135"/>
      <c r="G323" s="147">
        <f t="shared" si="146"/>
        <v>0</v>
      </c>
      <c r="H323" s="148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47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03">
        <f t="shared" si="148"/>
        <v>0</v>
      </c>
      <c r="AK323" s="136"/>
      <c r="AL323" s="136"/>
      <c r="AM323" s="136"/>
      <c r="AN323" s="105">
        <f t="shared" si="149"/>
        <v>0</v>
      </c>
      <c r="AO323" s="143"/>
      <c r="AP323" s="143"/>
      <c r="AQ323" s="143"/>
      <c r="AR323" s="146"/>
      <c r="AS323" s="224">
        <f t="shared" si="150"/>
        <v>0</v>
      </c>
      <c r="AT323" s="274"/>
      <c r="AU323" s="302"/>
      <c r="AV323" s="303"/>
      <c r="AW323" s="274"/>
      <c r="AX323" s="127"/>
      <c r="AY323" s="127"/>
      <c r="AZ323" s="274"/>
      <c r="BA323" s="274"/>
      <c r="BB323" s="274"/>
      <c r="BC323" s="274"/>
      <c r="BD323" s="126"/>
      <c r="BE323" s="128"/>
      <c r="BF323" s="126"/>
      <c r="BG323" s="222">
        <f t="shared" si="151"/>
        <v>0</v>
      </c>
      <c r="BH323" s="140">
        <f t="shared" si="152"/>
        <v>0</v>
      </c>
      <c r="BI323" s="132"/>
      <c r="BJ323" s="140">
        <f t="shared" si="153"/>
        <v>0</v>
      </c>
      <c r="BK323" s="141"/>
      <c r="BL323" s="141"/>
      <c r="BM323" s="141"/>
      <c r="BN323" s="141"/>
      <c r="BO323" s="141"/>
      <c r="BP323" s="130">
        <f t="shared" si="154"/>
        <v>0</v>
      </c>
      <c r="BQ323" s="132"/>
    </row>
    <row r="324" ht="14.25" customHeight="1">
      <c r="A324" s="132"/>
      <c r="B324" s="215">
        <v>46312</v>
      </c>
      <c r="C324" s="133"/>
      <c r="D324" s="136"/>
      <c r="E324" s="135"/>
      <c r="F324" s="135"/>
      <c r="G324" s="147">
        <f t="shared" si="146"/>
        <v>0</v>
      </c>
      <c r="H324" s="148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47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03">
        <f t="shared" si="148"/>
        <v>0</v>
      </c>
      <c r="AK324" s="136"/>
      <c r="AL324" s="136"/>
      <c r="AM324" s="136"/>
      <c r="AN324" s="105">
        <f t="shared" si="149"/>
        <v>0</v>
      </c>
      <c r="AO324" s="143"/>
      <c r="AP324" s="143"/>
      <c r="AQ324" s="143"/>
      <c r="AR324" s="146"/>
      <c r="AS324" s="224">
        <f t="shared" si="150"/>
        <v>0</v>
      </c>
      <c r="AT324" s="274"/>
      <c r="AU324" s="273"/>
      <c r="AV324" s="274"/>
      <c r="AW324" s="274"/>
      <c r="AX324" s="127"/>
      <c r="AY324" s="127"/>
      <c r="AZ324" s="274"/>
      <c r="BA324" s="274"/>
      <c r="BB324" s="274"/>
      <c r="BC324" s="274"/>
      <c r="BD324" s="126"/>
      <c r="BE324" s="128"/>
      <c r="BF324" s="126"/>
      <c r="BG324" s="222">
        <f t="shared" si="151"/>
        <v>0</v>
      </c>
      <c r="BH324" s="140">
        <f t="shared" si="152"/>
        <v>0</v>
      </c>
      <c r="BI324" s="132"/>
      <c r="BJ324" s="140">
        <f t="shared" si="153"/>
        <v>0</v>
      </c>
      <c r="BK324" s="141"/>
      <c r="BL324" s="141"/>
      <c r="BM324" s="141"/>
      <c r="BN324" s="141"/>
      <c r="BO324" s="141"/>
      <c r="BP324" s="130">
        <f t="shared" si="154"/>
        <v>0</v>
      </c>
      <c r="BQ324" s="132"/>
    </row>
    <row r="325" ht="14.25" customHeight="1">
      <c r="A325" s="132"/>
      <c r="B325" s="215">
        <v>46313</v>
      </c>
      <c r="C325" s="133"/>
      <c r="D325" s="136"/>
      <c r="E325" s="135"/>
      <c r="F325" s="135"/>
      <c r="G325" s="147">
        <f t="shared" si="146"/>
        <v>0</v>
      </c>
      <c r="H325" s="148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47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03">
        <f t="shared" si="148"/>
        <v>0</v>
      </c>
      <c r="AK325" s="136"/>
      <c r="AL325" s="136"/>
      <c r="AM325" s="136"/>
      <c r="AN325" s="105">
        <f t="shared" si="149"/>
        <v>0</v>
      </c>
      <c r="AO325" s="143"/>
      <c r="AP325" s="143"/>
      <c r="AQ325" s="143"/>
      <c r="AR325" s="146"/>
      <c r="AS325" s="224">
        <f t="shared" si="150"/>
        <v>0</v>
      </c>
      <c r="AT325" s="274"/>
      <c r="AU325" s="273"/>
      <c r="AV325" s="274"/>
      <c r="AW325" s="274"/>
      <c r="AX325" s="127"/>
      <c r="AY325" s="127"/>
      <c r="AZ325" s="274"/>
      <c r="BA325" s="274"/>
      <c r="BB325" s="274"/>
      <c r="BC325" s="274"/>
      <c r="BD325" s="126"/>
      <c r="BE325" s="128"/>
      <c r="BF325" s="126"/>
      <c r="BG325" s="222">
        <f t="shared" si="151"/>
        <v>0</v>
      </c>
      <c r="BH325" s="140">
        <f t="shared" si="152"/>
        <v>0</v>
      </c>
      <c r="BI325" s="132"/>
      <c r="BJ325" s="140">
        <f t="shared" si="153"/>
        <v>0</v>
      </c>
      <c r="BK325" s="141"/>
      <c r="BL325" s="141"/>
      <c r="BM325" s="141"/>
      <c r="BN325" s="141"/>
      <c r="BO325" s="141"/>
      <c r="BP325" s="130">
        <f t="shared" si="154"/>
        <v>0</v>
      </c>
      <c r="BQ325" s="132"/>
    </row>
    <row r="326" ht="14.25" customHeight="1">
      <c r="A326" s="132"/>
      <c r="B326" s="215">
        <v>46314</v>
      </c>
      <c r="C326" s="133"/>
      <c r="D326" s="136"/>
      <c r="E326" s="135"/>
      <c r="F326" s="135"/>
      <c r="G326" s="147">
        <f t="shared" si="146"/>
        <v>0</v>
      </c>
      <c r="H326" s="148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47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03">
        <f t="shared" si="148"/>
        <v>0</v>
      </c>
      <c r="AK326" s="136"/>
      <c r="AL326" s="136"/>
      <c r="AM326" s="136"/>
      <c r="AN326" s="105">
        <f t="shared" si="149"/>
        <v>0</v>
      </c>
      <c r="AO326" s="143"/>
      <c r="AP326" s="143"/>
      <c r="AQ326" s="143"/>
      <c r="AR326" s="146"/>
      <c r="AS326" s="224">
        <f t="shared" si="150"/>
        <v>0</v>
      </c>
      <c r="AT326" s="274"/>
      <c r="AU326" s="273"/>
      <c r="AV326" s="274"/>
      <c r="AW326" s="274"/>
      <c r="AX326" s="127"/>
      <c r="AY326" s="127"/>
      <c r="AZ326" s="274"/>
      <c r="BA326" s="274"/>
      <c r="BB326" s="274"/>
      <c r="BC326" s="274"/>
      <c r="BD326" s="126"/>
      <c r="BE326" s="128"/>
      <c r="BF326" s="126"/>
      <c r="BG326" s="222">
        <f t="shared" si="151"/>
        <v>0</v>
      </c>
      <c r="BH326" s="140">
        <f t="shared" si="152"/>
        <v>0</v>
      </c>
      <c r="BI326" s="132"/>
      <c r="BJ326" s="140">
        <f t="shared" si="153"/>
        <v>0</v>
      </c>
      <c r="BK326" s="141"/>
      <c r="BL326" s="141"/>
      <c r="BM326" s="141"/>
      <c r="BN326" s="141"/>
      <c r="BO326" s="141"/>
      <c r="BP326" s="130">
        <f t="shared" si="154"/>
        <v>0</v>
      </c>
      <c r="BQ326" s="132"/>
    </row>
    <row r="327" ht="14.25" customHeight="1">
      <c r="A327" s="132"/>
      <c r="B327" s="215">
        <v>46315</v>
      </c>
      <c r="C327" s="133"/>
      <c r="D327" s="136"/>
      <c r="E327" s="135"/>
      <c r="F327" s="135"/>
      <c r="G327" s="147">
        <f t="shared" si="146"/>
        <v>0</v>
      </c>
      <c r="H327" s="148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47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03">
        <f t="shared" si="148"/>
        <v>0</v>
      </c>
      <c r="AK327" s="136"/>
      <c r="AL327" s="136"/>
      <c r="AM327" s="136"/>
      <c r="AN327" s="105">
        <f t="shared" si="149"/>
        <v>0</v>
      </c>
      <c r="AO327" s="143"/>
      <c r="AP327" s="143"/>
      <c r="AQ327" s="143"/>
      <c r="AR327" s="146"/>
      <c r="AS327" s="224">
        <f t="shared" si="150"/>
        <v>0</v>
      </c>
      <c r="AT327" s="274"/>
      <c r="AU327" s="273"/>
      <c r="AV327" s="274"/>
      <c r="AW327" s="274"/>
      <c r="AX327" s="127"/>
      <c r="AY327" s="127"/>
      <c r="AZ327" s="274"/>
      <c r="BA327" s="274"/>
      <c r="BB327" s="274"/>
      <c r="BC327" s="274"/>
      <c r="BD327" s="126"/>
      <c r="BE327" s="128"/>
      <c r="BF327" s="126"/>
      <c r="BG327" s="222">
        <f t="shared" si="151"/>
        <v>0</v>
      </c>
      <c r="BH327" s="140">
        <f t="shared" si="152"/>
        <v>0</v>
      </c>
      <c r="BI327" s="132"/>
      <c r="BJ327" s="140">
        <f t="shared" si="153"/>
        <v>0</v>
      </c>
      <c r="BK327" s="141"/>
      <c r="BL327" s="141"/>
      <c r="BM327" s="141"/>
      <c r="BN327" s="141"/>
      <c r="BO327" s="141"/>
      <c r="BP327" s="130">
        <f t="shared" si="154"/>
        <v>0</v>
      </c>
      <c r="BQ327" s="132"/>
    </row>
    <row r="328" ht="14.25" customHeight="1">
      <c r="A328" s="132"/>
      <c r="B328" s="215">
        <v>46316</v>
      </c>
      <c r="C328" s="133"/>
      <c r="D328" s="136"/>
      <c r="E328" s="135"/>
      <c r="F328" s="135"/>
      <c r="G328" s="147">
        <f t="shared" si="146"/>
        <v>0</v>
      </c>
      <c r="H328" s="148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47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03">
        <f t="shared" si="148"/>
        <v>0</v>
      </c>
      <c r="AK328" s="136"/>
      <c r="AL328" s="136"/>
      <c r="AM328" s="136"/>
      <c r="AN328" s="105">
        <f t="shared" si="149"/>
        <v>0</v>
      </c>
      <c r="AO328" s="143"/>
      <c r="AP328" s="143"/>
      <c r="AQ328" s="143"/>
      <c r="AR328" s="146"/>
      <c r="AS328" s="224">
        <f t="shared" si="150"/>
        <v>0</v>
      </c>
      <c r="AT328" s="274"/>
      <c r="AU328" s="273"/>
      <c r="AV328" s="274"/>
      <c r="AW328" s="274"/>
      <c r="AX328" s="127"/>
      <c r="AY328" s="127"/>
      <c r="AZ328" s="274"/>
      <c r="BA328" s="274"/>
      <c r="BB328" s="274"/>
      <c r="BC328" s="274"/>
      <c r="BD328" s="126"/>
      <c r="BE328" s="128"/>
      <c r="BF328" s="126"/>
      <c r="BG328" s="222">
        <f t="shared" si="151"/>
        <v>0</v>
      </c>
      <c r="BH328" s="140">
        <f t="shared" si="152"/>
        <v>0</v>
      </c>
      <c r="BI328" s="132"/>
      <c r="BJ328" s="140">
        <f t="shared" si="153"/>
        <v>0</v>
      </c>
      <c r="BK328" s="141"/>
      <c r="BL328" s="141"/>
      <c r="BM328" s="141"/>
      <c r="BN328" s="141"/>
      <c r="BO328" s="141"/>
      <c r="BP328" s="130">
        <f t="shared" si="154"/>
        <v>0</v>
      </c>
      <c r="BQ328" s="132"/>
    </row>
    <row r="329" ht="14.25" customHeight="1">
      <c r="A329" s="132"/>
      <c r="B329" s="215">
        <v>46317</v>
      </c>
      <c r="C329" s="133"/>
      <c r="D329" s="136"/>
      <c r="E329" s="135"/>
      <c r="F329" s="135"/>
      <c r="G329" s="147">
        <f t="shared" si="146"/>
        <v>0</v>
      </c>
      <c r="H329" s="148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47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03">
        <f t="shared" si="148"/>
        <v>0</v>
      </c>
      <c r="AK329" s="136"/>
      <c r="AL329" s="136"/>
      <c r="AM329" s="136"/>
      <c r="AN329" s="105">
        <f t="shared" si="149"/>
        <v>0</v>
      </c>
      <c r="AO329" s="143"/>
      <c r="AP329" s="143"/>
      <c r="AQ329" s="143"/>
      <c r="AR329" s="146"/>
      <c r="AS329" s="224">
        <f t="shared" si="150"/>
        <v>0</v>
      </c>
      <c r="AT329" s="274"/>
      <c r="AU329" s="273"/>
      <c r="AV329" s="274"/>
      <c r="AW329" s="274"/>
      <c r="AX329" s="127"/>
      <c r="AY329" s="127"/>
      <c r="AZ329" s="274"/>
      <c r="BA329" s="274"/>
      <c r="BB329" s="274"/>
      <c r="BC329" s="274"/>
      <c r="BD329" s="126"/>
      <c r="BE329" s="128"/>
      <c r="BF329" s="126"/>
      <c r="BG329" s="222">
        <f t="shared" si="151"/>
        <v>0</v>
      </c>
      <c r="BH329" s="140">
        <f t="shared" si="152"/>
        <v>0</v>
      </c>
      <c r="BI329" s="132"/>
      <c r="BJ329" s="140">
        <f t="shared" si="153"/>
        <v>0</v>
      </c>
      <c r="BK329" s="141"/>
      <c r="BL329" s="141"/>
      <c r="BM329" s="141"/>
      <c r="BN329" s="141"/>
      <c r="BO329" s="141"/>
      <c r="BP329" s="130">
        <f t="shared" si="154"/>
        <v>0</v>
      </c>
      <c r="BQ329" s="132"/>
    </row>
    <row r="330" ht="14.25" customHeight="1">
      <c r="A330" s="132"/>
      <c r="B330" s="215">
        <v>46318</v>
      </c>
      <c r="C330" s="133"/>
      <c r="D330" s="136"/>
      <c r="E330" s="135"/>
      <c r="F330" s="135"/>
      <c r="G330" s="147">
        <f t="shared" si="146"/>
        <v>0</v>
      </c>
      <c r="H330" s="148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47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03">
        <f t="shared" si="148"/>
        <v>0</v>
      </c>
      <c r="AK330" s="136"/>
      <c r="AL330" s="136"/>
      <c r="AM330" s="136"/>
      <c r="AN330" s="105">
        <f t="shared" si="149"/>
        <v>0</v>
      </c>
      <c r="AO330" s="143"/>
      <c r="AP330" s="143"/>
      <c r="AQ330" s="143"/>
      <c r="AR330" s="146"/>
      <c r="AS330" s="224">
        <f t="shared" si="150"/>
        <v>0</v>
      </c>
      <c r="AT330" s="274"/>
      <c r="AU330" s="273"/>
      <c r="AV330" s="274"/>
      <c r="AW330" s="274"/>
      <c r="AX330" s="127"/>
      <c r="AY330" s="127"/>
      <c r="AZ330" s="274"/>
      <c r="BA330" s="274"/>
      <c r="BB330" s="274"/>
      <c r="BC330" s="274"/>
      <c r="BD330" s="126"/>
      <c r="BE330" s="128"/>
      <c r="BF330" s="126"/>
      <c r="BG330" s="222">
        <f t="shared" si="151"/>
        <v>0</v>
      </c>
      <c r="BH330" s="140">
        <f t="shared" si="152"/>
        <v>0</v>
      </c>
      <c r="BI330" s="132"/>
      <c r="BJ330" s="140">
        <f t="shared" si="153"/>
        <v>0</v>
      </c>
      <c r="BK330" s="141"/>
      <c r="BL330" s="141"/>
      <c r="BM330" s="141"/>
      <c r="BN330" s="141"/>
      <c r="BO330" s="141"/>
      <c r="BP330" s="130">
        <f t="shared" si="154"/>
        <v>0</v>
      </c>
      <c r="BQ330" s="132"/>
    </row>
    <row r="331" ht="14.25" customHeight="1">
      <c r="A331" s="132"/>
      <c r="B331" s="215">
        <v>46319</v>
      </c>
      <c r="C331" s="133"/>
      <c r="D331" s="136"/>
      <c r="E331" s="135"/>
      <c r="F331" s="135"/>
      <c r="G331" s="147">
        <f t="shared" si="146"/>
        <v>0</v>
      </c>
      <c r="H331" s="148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47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03">
        <f t="shared" si="148"/>
        <v>0</v>
      </c>
      <c r="AK331" s="136"/>
      <c r="AL331" s="136"/>
      <c r="AM331" s="136"/>
      <c r="AN331" s="105">
        <f t="shared" si="149"/>
        <v>0</v>
      </c>
      <c r="AO331" s="143"/>
      <c r="AP331" s="143"/>
      <c r="AQ331" s="143"/>
      <c r="AR331" s="146"/>
      <c r="AS331" s="224">
        <f t="shared" si="150"/>
        <v>0</v>
      </c>
      <c r="AT331" s="274"/>
      <c r="AU331" s="273"/>
      <c r="AV331" s="274"/>
      <c r="AW331" s="274"/>
      <c r="AX331" s="127"/>
      <c r="AY331" s="127"/>
      <c r="AZ331" s="274"/>
      <c r="BA331" s="274"/>
      <c r="BB331" s="274"/>
      <c r="BC331" s="274"/>
      <c r="BD331" s="126"/>
      <c r="BE331" s="128"/>
      <c r="BF331" s="126"/>
      <c r="BG331" s="222">
        <f t="shared" si="151"/>
        <v>0</v>
      </c>
      <c r="BH331" s="140">
        <f t="shared" si="152"/>
        <v>0</v>
      </c>
      <c r="BI331" s="132"/>
      <c r="BJ331" s="140">
        <f t="shared" si="153"/>
        <v>0</v>
      </c>
      <c r="BK331" s="141"/>
      <c r="BL331" s="141"/>
      <c r="BM331" s="141"/>
      <c r="BN331" s="141"/>
      <c r="BO331" s="141"/>
      <c r="BP331" s="130">
        <f t="shared" si="154"/>
        <v>0</v>
      </c>
      <c r="BQ331" s="132"/>
    </row>
    <row r="332" ht="14.25" customHeight="1">
      <c r="A332" s="132"/>
      <c r="B332" s="215">
        <v>46320</v>
      </c>
      <c r="C332" s="133"/>
      <c r="D332" s="136"/>
      <c r="E332" s="135"/>
      <c r="F332" s="135"/>
      <c r="G332" s="147">
        <f t="shared" si="146"/>
        <v>0</v>
      </c>
      <c r="H332" s="148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47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03">
        <f t="shared" si="148"/>
        <v>0</v>
      </c>
      <c r="AK332" s="136"/>
      <c r="AL332" s="136"/>
      <c r="AM332" s="136"/>
      <c r="AN332" s="105">
        <f t="shared" si="149"/>
        <v>0</v>
      </c>
      <c r="AO332" s="143"/>
      <c r="AP332" s="143"/>
      <c r="AQ332" s="143"/>
      <c r="AR332" s="146"/>
      <c r="AS332" s="224">
        <f t="shared" si="150"/>
        <v>0</v>
      </c>
      <c r="AT332" s="274"/>
      <c r="AU332" s="273"/>
      <c r="AV332" s="274"/>
      <c r="AW332" s="274"/>
      <c r="AX332" s="127"/>
      <c r="AY332" s="127"/>
      <c r="AZ332" s="274"/>
      <c r="BA332" s="274"/>
      <c r="BB332" s="274"/>
      <c r="BC332" s="274"/>
      <c r="BD332" s="126"/>
      <c r="BE332" s="128"/>
      <c r="BF332" s="126"/>
      <c r="BG332" s="222">
        <f t="shared" si="151"/>
        <v>0</v>
      </c>
      <c r="BH332" s="140">
        <f t="shared" si="152"/>
        <v>0</v>
      </c>
      <c r="BI332" s="132"/>
      <c r="BJ332" s="140">
        <f t="shared" si="153"/>
        <v>0</v>
      </c>
      <c r="BK332" s="141"/>
      <c r="BL332" s="141"/>
      <c r="BM332" s="141"/>
      <c r="BN332" s="141"/>
      <c r="BO332" s="141"/>
      <c r="BP332" s="130">
        <f t="shared" si="154"/>
        <v>0</v>
      </c>
      <c r="BQ332" s="132"/>
    </row>
    <row r="333" ht="14.25" customHeight="1">
      <c r="A333" s="132"/>
      <c r="B333" s="215">
        <v>46321</v>
      </c>
      <c r="C333" s="133"/>
      <c r="D333" s="136"/>
      <c r="E333" s="135"/>
      <c r="F333" s="135"/>
      <c r="G333" s="147">
        <f t="shared" si="146"/>
        <v>0</v>
      </c>
      <c r="H333" s="148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47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03">
        <f t="shared" si="148"/>
        <v>0</v>
      </c>
      <c r="AK333" s="136"/>
      <c r="AL333" s="136"/>
      <c r="AM333" s="136"/>
      <c r="AN333" s="105">
        <f t="shared" si="149"/>
        <v>0</v>
      </c>
      <c r="AO333" s="143"/>
      <c r="AP333" s="143"/>
      <c r="AQ333" s="143"/>
      <c r="AR333" s="146"/>
      <c r="AS333" s="224">
        <f t="shared" si="150"/>
        <v>0</v>
      </c>
      <c r="AT333" s="274"/>
      <c r="AU333" s="273"/>
      <c r="AV333" s="274"/>
      <c r="AW333" s="274"/>
      <c r="AX333" s="127"/>
      <c r="AY333" s="127"/>
      <c r="AZ333" s="274"/>
      <c r="BA333" s="274"/>
      <c r="BB333" s="274"/>
      <c r="BC333" s="274"/>
      <c r="BD333" s="126"/>
      <c r="BE333" s="128"/>
      <c r="BF333" s="126"/>
      <c r="BG333" s="222">
        <f t="shared" si="151"/>
        <v>0</v>
      </c>
      <c r="BH333" s="140">
        <f t="shared" si="152"/>
        <v>0</v>
      </c>
      <c r="BI333" s="132"/>
      <c r="BJ333" s="140">
        <f t="shared" si="153"/>
        <v>0</v>
      </c>
      <c r="BK333" s="141"/>
      <c r="BL333" s="141"/>
      <c r="BM333" s="141"/>
      <c r="BN333" s="141"/>
      <c r="BO333" s="141"/>
      <c r="BP333" s="130">
        <f t="shared" si="154"/>
        <v>0</v>
      </c>
      <c r="BQ333" s="132"/>
    </row>
    <row r="334" ht="14.25" customHeight="1">
      <c r="A334" s="132"/>
      <c r="B334" s="215">
        <v>46322</v>
      </c>
      <c r="C334" s="133"/>
      <c r="D334" s="136"/>
      <c r="E334" s="135"/>
      <c r="F334" s="135"/>
      <c r="G334" s="147">
        <f t="shared" si="146"/>
        <v>0</v>
      </c>
      <c r="H334" s="148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47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03">
        <f t="shared" si="148"/>
        <v>0</v>
      </c>
      <c r="AK334" s="136"/>
      <c r="AL334" s="136"/>
      <c r="AM334" s="136"/>
      <c r="AN334" s="105">
        <f t="shared" si="149"/>
        <v>0</v>
      </c>
      <c r="AO334" s="143"/>
      <c r="AP334" s="143"/>
      <c r="AQ334" s="143"/>
      <c r="AR334" s="146"/>
      <c r="AS334" s="224">
        <f t="shared" si="150"/>
        <v>0</v>
      </c>
      <c r="AT334" s="274"/>
      <c r="AU334" s="273"/>
      <c r="AV334" s="274"/>
      <c r="AW334" s="304"/>
      <c r="AX334" s="127"/>
      <c r="AY334" s="127"/>
      <c r="AZ334" s="274"/>
      <c r="BA334" s="274"/>
      <c r="BB334" s="274"/>
      <c r="BC334" s="274"/>
      <c r="BD334" s="126"/>
      <c r="BE334" s="128"/>
      <c r="BF334" s="126"/>
      <c r="BG334" s="222">
        <f t="shared" si="151"/>
        <v>0</v>
      </c>
      <c r="BH334" s="140">
        <f t="shared" si="152"/>
        <v>0</v>
      </c>
      <c r="BI334" s="132"/>
      <c r="BJ334" s="140">
        <f t="shared" si="153"/>
        <v>0</v>
      </c>
      <c r="BK334" s="141"/>
      <c r="BL334" s="141"/>
      <c r="BM334" s="141"/>
      <c r="BN334" s="141"/>
      <c r="BO334" s="141"/>
      <c r="BP334" s="130">
        <f t="shared" si="154"/>
        <v>0</v>
      </c>
      <c r="BQ334" s="132"/>
    </row>
    <row r="335" ht="14.25" customHeight="1">
      <c r="A335" s="132"/>
      <c r="B335" s="215">
        <v>46323</v>
      </c>
      <c r="C335" s="133"/>
      <c r="D335" s="136"/>
      <c r="E335" s="135"/>
      <c r="F335" s="135"/>
      <c r="G335" s="147">
        <f t="shared" si="146"/>
        <v>0</v>
      </c>
      <c r="H335" s="148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47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03">
        <f t="shared" si="148"/>
        <v>0</v>
      </c>
      <c r="AK335" s="136"/>
      <c r="AL335" s="136"/>
      <c r="AM335" s="136"/>
      <c r="AN335" s="105">
        <f t="shared" si="149"/>
        <v>0</v>
      </c>
      <c r="AO335" s="143"/>
      <c r="AP335" s="143"/>
      <c r="AQ335" s="143"/>
      <c r="AR335" s="146"/>
      <c r="AS335" s="224">
        <f t="shared" si="150"/>
        <v>0</v>
      </c>
      <c r="AT335" s="274"/>
      <c r="AU335" s="273"/>
      <c r="AV335" s="274"/>
      <c r="AW335" s="304"/>
      <c r="AX335" s="127"/>
      <c r="AY335" s="127"/>
      <c r="AZ335" s="274"/>
      <c r="BA335" s="274"/>
      <c r="BB335" s="274"/>
      <c r="BC335" s="274"/>
      <c r="BD335" s="126"/>
      <c r="BE335" s="128"/>
      <c r="BF335" s="126"/>
      <c r="BG335" s="222">
        <f t="shared" si="151"/>
        <v>0</v>
      </c>
      <c r="BH335" s="140">
        <f t="shared" si="152"/>
        <v>0</v>
      </c>
      <c r="BI335" s="132"/>
      <c r="BJ335" s="140">
        <f t="shared" si="153"/>
        <v>0</v>
      </c>
      <c r="BK335" s="141"/>
      <c r="BL335" s="141"/>
      <c r="BM335" s="141"/>
      <c r="BN335" s="141"/>
      <c r="BO335" s="141"/>
      <c r="BP335" s="130">
        <f t="shared" si="154"/>
        <v>0</v>
      </c>
      <c r="BQ335" s="132"/>
    </row>
    <row r="336" ht="14.25" customHeight="1">
      <c r="A336" s="132"/>
      <c r="B336" s="215">
        <v>46324</v>
      </c>
      <c r="C336" s="133"/>
      <c r="D336" s="136"/>
      <c r="E336" s="135"/>
      <c r="F336" s="135"/>
      <c r="G336" s="147">
        <f t="shared" si="146"/>
        <v>0</v>
      </c>
      <c r="H336" s="148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47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03">
        <f t="shared" si="148"/>
        <v>0</v>
      </c>
      <c r="AK336" s="136"/>
      <c r="AL336" s="136"/>
      <c r="AM336" s="136"/>
      <c r="AN336" s="105">
        <f t="shared" si="149"/>
        <v>0</v>
      </c>
      <c r="AO336" s="143"/>
      <c r="AP336" s="143"/>
      <c r="AQ336" s="143"/>
      <c r="AR336" s="146"/>
      <c r="AS336" s="224">
        <f t="shared" si="150"/>
        <v>0</v>
      </c>
      <c r="AT336" s="274"/>
      <c r="AU336" s="273"/>
      <c r="AV336" s="274"/>
      <c r="AW336" s="274"/>
      <c r="AX336" s="127"/>
      <c r="AY336" s="127"/>
      <c r="AZ336" s="274"/>
      <c r="BA336" s="274"/>
      <c r="BB336" s="274"/>
      <c r="BC336" s="274"/>
      <c r="BD336" s="126"/>
      <c r="BE336" s="128"/>
      <c r="BF336" s="126"/>
      <c r="BG336" s="222">
        <f t="shared" si="151"/>
        <v>0</v>
      </c>
      <c r="BH336" s="140">
        <f t="shared" si="152"/>
        <v>0</v>
      </c>
      <c r="BI336" s="132"/>
      <c r="BJ336" s="140">
        <f t="shared" si="153"/>
        <v>0</v>
      </c>
      <c r="BK336" s="141"/>
      <c r="BL336" s="141"/>
      <c r="BM336" s="141"/>
      <c r="BN336" s="141"/>
      <c r="BO336" s="141"/>
      <c r="BP336" s="130">
        <f t="shared" si="154"/>
        <v>0</v>
      </c>
      <c r="BQ336" s="132"/>
    </row>
    <row r="337" ht="14.25" customHeight="1">
      <c r="A337" s="132"/>
      <c r="B337" s="215">
        <v>46325</v>
      </c>
      <c r="C337" s="133"/>
      <c r="D337" s="136"/>
      <c r="E337" s="135"/>
      <c r="F337" s="135"/>
      <c r="G337" s="147">
        <f t="shared" si="146"/>
        <v>0</v>
      </c>
      <c r="H337" s="148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47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03">
        <f t="shared" si="148"/>
        <v>0</v>
      </c>
      <c r="AK337" s="136"/>
      <c r="AL337" s="136"/>
      <c r="AM337" s="136"/>
      <c r="AN337" s="105">
        <f t="shared" si="149"/>
        <v>0</v>
      </c>
      <c r="AO337" s="143"/>
      <c r="AQ337" s="143"/>
      <c r="AR337" s="146"/>
      <c r="AS337" s="224">
        <f>+G337-U337-AJ337-AN337-AO337-AP336-AQ337-AR337</f>
        <v>0</v>
      </c>
      <c r="AT337" s="274"/>
      <c r="AU337" s="273"/>
      <c r="AV337" s="274"/>
      <c r="AW337" s="274"/>
      <c r="AX337" s="127"/>
      <c r="AY337" s="127"/>
      <c r="AZ337" s="274"/>
      <c r="BA337" s="274"/>
      <c r="BB337" s="274"/>
      <c r="BC337" s="274"/>
      <c r="BD337" s="126"/>
      <c r="BE337" s="128"/>
      <c r="BF337" s="126"/>
      <c r="BG337" s="222">
        <f t="shared" si="151"/>
        <v>0</v>
      </c>
      <c r="BH337" s="140">
        <f t="shared" si="152"/>
        <v>0</v>
      </c>
      <c r="BI337" s="132"/>
      <c r="BJ337" s="140">
        <f t="shared" si="153"/>
        <v>0</v>
      </c>
      <c r="BK337" s="141"/>
      <c r="BL337" s="141"/>
      <c r="BM337" s="141"/>
      <c r="BN337" s="141"/>
      <c r="BO337" s="141"/>
      <c r="BP337" s="130">
        <f t="shared" si="154"/>
        <v>0</v>
      </c>
      <c r="BQ337" s="132"/>
    </row>
    <row r="338" ht="14.25" customHeight="1">
      <c r="A338" s="3"/>
      <c r="B338" s="215">
        <v>46326</v>
      </c>
      <c r="C338" s="277"/>
      <c r="D338" s="278"/>
      <c r="E338" s="279"/>
      <c r="F338" s="279"/>
      <c r="G338" s="147">
        <f t="shared" si="146"/>
        <v>0</v>
      </c>
      <c r="H338" s="148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03">
        <f t="shared" si="147"/>
        <v>0</v>
      </c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03">
        <f t="shared" si="148"/>
        <v>0</v>
      </c>
      <c r="AK338" s="278"/>
      <c r="AL338" s="278"/>
      <c r="AM338" s="278"/>
      <c r="AN338" s="105">
        <f t="shared" si="149"/>
        <v>0</v>
      </c>
      <c r="AO338" s="157"/>
      <c r="AP338" s="157"/>
      <c r="AQ338" s="157"/>
      <c r="AR338" s="160"/>
      <c r="AS338" s="224">
        <f>+G338-U338-AJ338-AN338-AO338-AP338-AQ338-AR338</f>
        <v>0</v>
      </c>
      <c r="AT338" s="276"/>
      <c r="AU338" s="273"/>
      <c r="AV338" s="276"/>
      <c r="AW338" s="276"/>
      <c r="AX338" s="221"/>
      <c r="AY338" s="127"/>
      <c r="AZ338" s="274"/>
      <c r="BA338" s="276"/>
      <c r="BB338" s="276"/>
      <c r="BC338" s="276"/>
      <c r="BD338" s="225"/>
      <c r="BE338" s="128"/>
      <c r="BF338" s="225"/>
      <c r="BG338" s="222">
        <f t="shared" si="151"/>
        <v>0</v>
      </c>
      <c r="BH338" s="281">
        <f t="shared" si="152"/>
        <v>0</v>
      </c>
      <c r="BI338" s="3"/>
      <c r="BJ338" s="281">
        <f t="shared" si="153"/>
        <v>0</v>
      </c>
      <c r="BK338" s="282"/>
      <c r="BL338" s="129"/>
      <c r="BM338" s="282"/>
      <c r="BN338" s="282"/>
      <c r="BO338" s="282"/>
      <c r="BP338" s="164">
        <f t="shared" si="154"/>
        <v>0</v>
      </c>
      <c r="BQ338" s="3"/>
    </row>
    <row r="339" ht="14.25" customHeight="1">
      <c r="A339" s="3"/>
      <c r="B339" s="2" t="s">
        <v>84</v>
      </c>
      <c r="C339" s="166">
        <f ref="C339:AL339" t="shared" si="155">SUM(C308:C338)</f>
        <v>0</v>
      </c>
      <c r="D339" s="166">
        <f t="shared" si="155"/>
        <v>0</v>
      </c>
      <c r="E339" s="166">
        <f t="shared" si="155"/>
        <v>0</v>
      </c>
      <c r="F339" s="166">
        <f t="shared" si="155"/>
        <v>0</v>
      </c>
      <c r="G339" s="166">
        <f t="shared" si="155"/>
        <v>0</v>
      </c>
      <c r="H339" s="166">
        <f t="shared" si="155"/>
        <v>0</v>
      </c>
      <c r="I339" s="166">
        <f t="shared" si="155"/>
        <v>0</v>
      </c>
      <c r="J339" s="166">
        <f t="shared" si="155"/>
        <v>0</v>
      </c>
      <c r="K339" s="166">
        <f t="shared" si="155"/>
        <v>0</v>
      </c>
      <c r="L339" s="166">
        <f t="shared" si="155"/>
        <v>0</v>
      </c>
      <c r="M339" s="166">
        <f t="shared" si="155"/>
        <v>0</v>
      </c>
      <c r="N339" s="166">
        <f t="shared" si="155"/>
        <v>0</v>
      </c>
      <c r="O339" s="166">
        <f t="shared" si="155"/>
        <v>0</v>
      </c>
      <c r="P339" s="166">
        <f t="shared" si="155"/>
        <v>0</v>
      </c>
      <c r="Q339" s="166">
        <f t="shared" si="155"/>
        <v>0</v>
      </c>
      <c r="R339" s="166">
        <f t="shared" si="155"/>
        <v>0</v>
      </c>
      <c r="S339" s="166">
        <f t="shared" si="155"/>
        <v>0</v>
      </c>
      <c r="T339" s="166">
        <f t="shared" si="155"/>
        <v>0</v>
      </c>
      <c r="U339" s="166">
        <f t="shared" si="155"/>
        <v>0</v>
      </c>
      <c r="V339" s="166">
        <f t="shared" si="155"/>
        <v>0</v>
      </c>
      <c r="W339" s="166">
        <f t="shared" si="155"/>
        <v>0</v>
      </c>
      <c r="X339" s="166">
        <f t="shared" si="155"/>
        <v>0</v>
      </c>
      <c r="Y339" s="166">
        <f t="shared" si="155"/>
        <v>0</v>
      </c>
      <c r="Z339" s="166">
        <f t="shared" si="155"/>
        <v>0</v>
      </c>
      <c r="AA339" s="166">
        <f t="shared" si="155"/>
        <v>0</v>
      </c>
      <c r="AB339" s="166">
        <f t="shared" si="155"/>
        <v>0</v>
      </c>
      <c r="AC339" s="166">
        <f t="shared" si="155"/>
        <v>0</v>
      </c>
      <c r="AD339" s="166">
        <f t="shared" si="155"/>
        <v>0</v>
      </c>
      <c r="AE339" s="166">
        <f t="shared" si="155"/>
        <v>0</v>
      </c>
      <c r="AF339" s="166">
        <f t="shared" si="155"/>
        <v>0</v>
      </c>
      <c r="AG339" s="166">
        <f t="shared" si="155"/>
        <v>0</v>
      </c>
      <c r="AH339" s="166">
        <f t="shared" si="155"/>
        <v>0</v>
      </c>
      <c r="AI339" s="166">
        <f t="shared" si="155"/>
        <v>0</v>
      </c>
      <c r="AJ339" s="166">
        <f t="shared" si="155"/>
        <v>0</v>
      </c>
      <c r="AK339" s="166">
        <f t="shared" si="155"/>
        <v>0</v>
      </c>
      <c r="AL339" s="166">
        <f t="shared" si="155"/>
        <v>0</v>
      </c>
      <c r="AM339" s="166"/>
      <c r="AN339" s="166">
        <f ref="AN339:AO339" t="shared" si="156">SUM(AN308:AN338)</f>
        <v>0</v>
      </c>
      <c r="AO339" s="166">
        <f t="shared" si="156"/>
        <v>0</v>
      </c>
      <c r="AP339" s="166"/>
      <c r="AQ339" s="166"/>
      <c r="AR339" s="166"/>
      <c r="AS339" s="166">
        <f ref="AS339:BH339" t="shared" si="157">SUM(AS308:AS338)</f>
        <v>0</v>
      </c>
      <c r="AT339" s="166">
        <f t="shared" si="157"/>
        <v>0</v>
      </c>
      <c r="AU339" s="166">
        <f t="shared" si="157"/>
        <v>0</v>
      </c>
      <c r="AV339" s="166">
        <f t="shared" si="157"/>
        <v>0</v>
      </c>
      <c r="AW339" s="166">
        <f t="shared" si="157"/>
        <v>0</v>
      </c>
      <c r="AX339" s="166">
        <f t="shared" si="157"/>
        <v>0</v>
      </c>
      <c r="AY339" s="166">
        <f t="shared" si="157"/>
        <v>0</v>
      </c>
      <c r="AZ339" s="166">
        <f t="shared" si="157"/>
        <v>0</v>
      </c>
      <c r="BA339" s="166">
        <f t="shared" si="157"/>
        <v>0</v>
      </c>
      <c r="BB339" s="166">
        <f t="shared" si="157"/>
        <v>0</v>
      </c>
      <c r="BC339" s="166">
        <f t="shared" si="157"/>
        <v>0</v>
      </c>
      <c r="BD339" s="166">
        <f t="shared" si="157"/>
        <v>0</v>
      </c>
      <c r="BE339" s="166">
        <f t="shared" si="157"/>
        <v>0</v>
      </c>
      <c r="BF339" s="166">
        <f t="shared" si="157"/>
        <v>0</v>
      </c>
      <c r="BG339" s="166">
        <f t="shared" si="157"/>
        <v>0</v>
      </c>
      <c r="BH339" s="166">
        <f t="shared" si="157"/>
        <v>0</v>
      </c>
      <c r="BI339" s="3"/>
      <c r="BJ339" s="172">
        <f>SUM(BJ308:BJ338)</f>
        <v>0</v>
      </c>
      <c r="BK339" s="165"/>
      <c r="BL339" s="166">
        <f ref="BL339:BN339" t="shared" si="158">SUM(BL308:BL338)</f>
        <v>0</v>
      </c>
      <c r="BM339" s="166">
        <f t="shared" si="158"/>
        <v>0</v>
      </c>
      <c r="BN339" s="166">
        <f t="shared" si="158"/>
        <v>0</v>
      </c>
      <c r="BO339" s="165"/>
      <c r="BP339" s="165">
        <f>SUM(BP308:BP338)</f>
        <v>0</v>
      </c>
      <c r="BQ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4"/>
      <c r="AO340" s="3"/>
      <c r="AP340" s="3"/>
      <c r="AQ340" s="3"/>
      <c r="AR340" s="3"/>
      <c r="AS340" s="3"/>
      <c r="AT340" s="3"/>
      <c r="AU340" s="5"/>
      <c r="AV340" s="3"/>
      <c r="AW340" s="3"/>
      <c r="AX340" s="3"/>
      <c r="AY340" s="3"/>
      <c r="AZ340" s="3"/>
      <c r="BA340" s="3"/>
      <c r="BB340" s="3"/>
      <c r="BC340" s="3"/>
      <c r="BD340" s="3"/>
      <c r="BE340" s="6"/>
      <c r="BF340" s="3"/>
      <c r="BG340" s="4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ht="14.25" customHeight="1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176"/>
      <c r="AK341" s="3"/>
      <c r="AL341" s="3"/>
      <c r="AM341" s="3"/>
      <c r="AN341" s="4"/>
      <c r="AO341" s="3"/>
      <c r="AP341" s="3"/>
      <c r="AQ341" s="3"/>
      <c r="AR341" s="3"/>
      <c r="AS341" s="3"/>
      <c r="AT341" s="3"/>
      <c r="AU341" s="5"/>
      <c r="AV341" s="3"/>
      <c r="AW341" s="3"/>
      <c r="AX341" s="3"/>
      <c r="AY341" s="3"/>
      <c r="AZ341" s="3"/>
      <c r="BA341" s="3"/>
      <c r="BB341" s="3"/>
      <c r="BC341" s="3"/>
      <c r="BD341" s="3"/>
      <c r="BE341" s="6"/>
      <c r="BF341" s="3"/>
      <c r="BG341" s="305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ht="14.25" customHeight="1">
      <c r="A342" s="3"/>
      <c r="B342" s="306">
        <v>46327</v>
      </c>
      <c r="C342" s="94"/>
      <c r="D342" s="104"/>
      <c r="E342" s="97"/>
      <c r="F342" s="97"/>
      <c r="G342" s="307">
        <f ref="G342:G371" t="shared" si="159">+C342+D342+E342+F342</f>
        <v>0</v>
      </c>
      <c r="H342" s="21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03">
        <f ref="U342:U368" t="shared" si="160">SUM(I342:T342)</f>
        <v>0</v>
      </c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03">
        <f ref="AJ342:AJ371" t="shared" si="161">SUM(V342:AI342)</f>
        <v>0</v>
      </c>
      <c r="AK342" s="104"/>
      <c r="AL342" s="104"/>
      <c r="AM342" s="104"/>
      <c r="AN342" s="191">
        <f ref="AN342:AN371" t="shared" si="162">SUM(AK342:AM342)</f>
        <v>0</v>
      </c>
      <c r="AO342" s="186"/>
      <c r="AP342" s="186"/>
      <c r="AQ342" s="186"/>
      <c r="AR342" s="193"/>
      <c r="AS342" s="219">
        <f ref="AS342:AS371" t="shared" si="163">+G342-U342-AJ342-AN342-AO342-AP342-AQ342-AR342</f>
        <v>0</v>
      </c>
      <c r="AT342" s="220"/>
      <c r="AU342" s="108"/>
      <c r="AV342" s="220"/>
      <c r="AW342" s="220"/>
      <c r="AX342" s="221"/>
      <c r="AY342" s="127"/>
      <c r="AZ342" s="127"/>
      <c r="BA342" s="220"/>
      <c r="BB342" s="221"/>
      <c r="BC342" s="221"/>
      <c r="BD342" s="221"/>
      <c r="BE342" s="111"/>
      <c r="BF342" s="220"/>
      <c r="BG342" s="222">
        <f ref="BG342:BG371" t="shared" si="164">SUM(AT342:BF342)-BD342</f>
        <v>0</v>
      </c>
      <c r="BH342" s="114">
        <f ref="BH342:BH371" t="shared" si="165">+AS342-BG342</f>
        <v>0</v>
      </c>
      <c r="BI342" s="3"/>
      <c r="BJ342" s="114">
        <f ref="BJ342:BJ371" t="shared" si="166">SUM(BK342:BO342)</f>
        <v>0</v>
      </c>
      <c r="BK342" s="115"/>
      <c r="BL342" s="115"/>
      <c r="BM342" s="115"/>
      <c r="BN342" s="115"/>
      <c r="BO342" s="115"/>
      <c r="BP342" s="116">
        <f ref="BP342:BP371" t="shared" si="167">+BH342-BJ342</f>
        <v>0</v>
      </c>
      <c r="BQ342" s="3"/>
    </row>
    <row r="343" ht="14.25" customHeight="1">
      <c r="A343" s="3"/>
      <c r="B343" s="306">
        <v>46328</v>
      </c>
      <c r="C343" s="118"/>
      <c r="D343" s="123"/>
      <c r="E343" s="120"/>
      <c r="F343" s="120"/>
      <c r="G343" s="147">
        <f t="shared" si="159"/>
        <v>0</v>
      </c>
      <c r="H343" s="148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60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03">
        <f t="shared" si="161"/>
        <v>0</v>
      </c>
      <c r="AK343" s="123"/>
      <c r="AL343" s="123"/>
      <c r="AM343" s="123"/>
      <c r="AN343" s="105">
        <f t="shared" si="162"/>
        <v>0</v>
      </c>
      <c r="AO343" s="143"/>
      <c r="AP343" s="143"/>
      <c r="AQ343" s="143"/>
      <c r="AR343" s="146"/>
      <c r="AS343" s="224">
        <f t="shared" si="163"/>
        <v>0</v>
      </c>
      <c r="AT343" s="225"/>
      <c r="AU343" s="125"/>
      <c r="AV343" s="225"/>
      <c r="AW343" s="225"/>
      <c r="AX343" s="221"/>
      <c r="AY343" s="127"/>
      <c r="AZ343" s="127"/>
      <c r="BA343" s="225"/>
      <c r="BB343" s="221"/>
      <c r="BC343" s="221"/>
      <c r="BD343" s="221"/>
      <c r="BE343" s="128"/>
      <c r="BF343" s="225"/>
      <c r="BG343" s="222">
        <f t="shared" si="164"/>
        <v>0</v>
      </c>
      <c r="BH343" s="113">
        <f t="shared" si="165"/>
        <v>0</v>
      </c>
      <c r="BI343" s="3"/>
      <c r="BJ343" s="113">
        <f t="shared" si="166"/>
        <v>0</v>
      </c>
      <c r="BK343" s="129"/>
      <c r="BL343" s="129"/>
      <c r="BM343" s="129"/>
      <c r="BN343" s="129"/>
      <c r="BO343" s="129"/>
      <c r="BP343" s="308">
        <f t="shared" si="167"/>
        <v>0</v>
      </c>
      <c r="BQ343" s="3"/>
    </row>
    <row r="344" ht="14.25" customHeight="1">
      <c r="A344" s="3"/>
      <c r="B344" s="306">
        <v>46329</v>
      </c>
      <c r="C344" s="94"/>
      <c r="D344" s="104"/>
      <c r="E344" s="120"/>
      <c r="F344" s="120"/>
      <c r="G344" s="147">
        <f t="shared" si="159"/>
        <v>0</v>
      </c>
      <c r="H344" s="148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60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03">
        <f t="shared" si="161"/>
        <v>0</v>
      </c>
      <c r="AK344" s="104"/>
      <c r="AL344" s="104"/>
      <c r="AM344" s="123"/>
      <c r="AN344" s="105">
        <f t="shared" si="162"/>
        <v>0</v>
      </c>
      <c r="AO344" s="123"/>
      <c r="AP344" s="143"/>
      <c r="AQ344" s="143"/>
      <c r="AR344" s="146"/>
      <c r="AS344" s="224">
        <f t="shared" si="163"/>
        <v>0</v>
      </c>
      <c r="AT344" s="225"/>
      <c r="AU344" s="125"/>
      <c r="AV344" s="225"/>
      <c r="AW344" s="225"/>
      <c r="AX344" s="221"/>
      <c r="AY344" s="127"/>
      <c r="AZ344" s="127"/>
      <c r="BA344" s="225"/>
      <c r="BB344" s="221"/>
      <c r="BC344" s="221"/>
      <c r="BD344" s="221"/>
      <c r="BE344" s="128"/>
      <c r="BF344" s="225"/>
      <c r="BG344" s="222">
        <f t="shared" si="164"/>
        <v>0</v>
      </c>
      <c r="BH344" s="113">
        <f t="shared" si="165"/>
        <v>0</v>
      </c>
      <c r="BI344" s="3"/>
      <c r="BJ344" s="113">
        <f t="shared" si="166"/>
        <v>0</v>
      </c>
      <c r="BK344" s="129"/>
      <c r="BL344" s="129"/>
      <c r="BM344" s="129"/>
      <c r="BN344" s="129"/>
      <c r="BO344" s="129"/>
      <c r="BP344" s="130">
        <f t="shared" si="167"/>
        <v>0</v>
      </c>
      <c r="BQ344" s="3"/>
    </row>
    <row r="345" ht="14.25" customHeight="1">
      <c r="A345" s="132"/>
      <c r="B345" s="306">
        <v>46330</v>
      </c>
      <c r="C345" s="133"/>
      <c r="D345" s="136"/>
      <c r="E345" s="135"/>
      <c r="F345" s="135"/>
      <c r="G345" s="147">
        <f t="shared" si="159"/>
        <v>0</v>
      </c>
      <c r="H345" s="148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60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03">
        <f t="shared" si="161"/>
        <v>0</v>
      </c>
      <c r="AK345" s="136"/>
      <c r="AL345" s="136"/>
      <c r="AM345" s="136"/>
      <c r="AN345" s="105">
        <f t="shared" si="162"/>
        <v>0</v>
      </c>
      <c r="AO345" s="143"/>
      <c r="AP345" s="143"/>
      <c r="AQ345" s="143"/>
      <c r="AR345" s="146"/>
      <c r="AS345" s="224">
        <f t="shared" si="163"/>
        <v>0</v>
      </c>
      <c r="AT345" s="126"/>
      <c r="AU345" s="125"/>
      <c r="AV345" s="126"/>
      <c r="AW345" s="126"/>
      <c r="AX345" s="127"/>
      <c r="AY345" s="127"/>
      <c r="AZ345" s="127"/>
      <c r="BA345" s="126"/>
      <c r="BB345" s="127"/>
      <c r="BC345" s="127"/>
      <c r="BD345" s="127"/>
      <c r="BE345" s="128"/>
      <c r="BF345" s="126"/>
      <c r="BG345" s="222">
        <f t="shared" si="164"/>
        <v>0</v>
      </c>
      <c r="BH345" s="140">
        <f t="shared" si="165"/>
        <v>0</v>
      </c>
      <c r="BI345" s="132"/>
      <c r="BJ345" s="140">
        <f t="shared" si="166"/>
        <v>0</v>
      </c>
      <c r="BK345" s="141"/>
      <c r="BL345" s="141"/>
      <c r="BM345" s="141"/>
      <c r="BN345" s="141"/>
      <c r="BO345" s="141"/>
      <c r="BP345" s="130">
        <f t="shared" si="167"/>
        <v>0</v>
      </c>
      <c r="BQ345" s="132"/>
    </row>
    <row r="346" ht="14.25" customHeight="1">
      <c r="A346" s="132"/>
      <c r="B346" s="306">
        <v>46331</v>
      </c>
      <c r="C346" s="133"/>
      <c r="D346" s="136"/>
      <c r="E346" s="135"/>
      <c r="F346" s="135"/>
      <c r="G346" s="147">
        <f t="shared" si="159"/>
        <v>0</v>
      </c>
      <c r="H346" s="148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60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03">
        <f t="shared" si="161"/>
        <v>0</v>
      </c>
      <c r="AK346" s="136"/>
      <c r="AL346" s="136"/>
      <c r="AM346" s="136"/>
      <c r="AN346" s="105">
        <f t="shared" si="162"/>
        <v>0</v>
      </c>
      <c r="AO346" s="143"/>
      <c r="AP346" s="143"/>
      <c r="AQ346" s="143"/>
      <c r="AR346" s="146"/>
      <c r="AS346" s="224">
        <f t="shared" si="163"/>
        <v>0</v>
      </c>
      <c r="AT346" s="126"/>
      <c r="AU346" s="125"/>
      <c r="AV346" s="126"/>
      <c r="AW346" s="126"/>
      <c r="AX346" s="127"/>
      <c r="AY346" s="127"/>
      <c r="AZ346" s="127"/>
      <c r="BA346" s="126"/>
      <c r="BB346" s="127"/>
      <c r="BC346" s="127"/>
      <c r="BD346" s="127"/>
      <c r="BE346" s="128"/>
      <c r="BF346" s="126"/>
      <c r="BG346" s="222">
        <f t="shared" si="164"/>
        <v>0</v>
      </c>
      <c r="BH346" s="140">
        <f t="shared" si="165"/>
        <v>0</v>
      </c>
      <c r="BI346" s="132"/>
      <c r="BJ346" s="140">
        <f t="shared" si="166"/>
        <v>0</v>
      </c>
      <c r="BK346" s="141"/>
      <c r="BL346" s="141"/>
      <c r="BM346" s="141"/>
      <c r="BN346" s="141"/>
      <c r="BO346" s="141"/>
      <c r="BP346" s="130">
        <f t="shared" si="167"/>
        <v>0</v>
      </c>
      <c r="BQ346" s="132"/>
    </row>
    <row r="347" ht="14.25" customHeight="1">
      <c r="A347" s="132"/>
      <c r="B347" s="306">
        <v>46332</v>
      </c>
      <c r="C347" s="133"/>
      <c r="D347" s="136"/>
      <c r="E347" s="135"/>
      <c r="F347" s="135"/>
      <c r="G347" s="147">
        <f t="shared" si="159"/>
        <v>0</v>
      </c>
      <c r="H347" s="148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60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03">
        <f t="shared" si="161"/>
        <v>0</v>
      </c>
      <c r="AK347" s="136"/>
      <c r="AL347" s="136"/>
      <c r="AM347" s="136"/>
      <c r="AN347" s="105">
        <f t="shared" si="162"/>
        <v>0</v>
      </c>
      <c r="AO347" s="143"/>
      <c r="AP347" s="143"/>
      <c r="AQ347" s="143"/>
      <c r="AR347" s="146"/>
      <c r="AS347" s="224">
        <f t="shared" si="163"/>
        <v>0</v>
      </c>
      <c r="AT347" s="126"/>
      <c r="AU347" s="125"/>
      <c r="AV347" s="126"/>
      <c r="AW347" s="126"/>
      <c r="AX347" s="127"/>
      <c r="AY347" s="127"/>
      <c r="AZ347" s="127"/>
      <c r="BA347" s="126"/>
      <c r="BB347" s="127"/>
      <c r="BC347" s="127"/>
      <c r="BD347" s="127"/>
      <c r="BE347" s="128"/>
      <c r="BF347" s="126"/>
      <c r="BG347" s="222">
        <f t="shared" si="164"/>
        <v>0</v>
      </c>
      <c r="BH347" s="140">
        <f t="shared" si="165"/>
        <v>0</v>
      </c>
      <c r="BI347" s="132"/>
      <c r="BJ347" s="140">
        <f t="shared" si="166"/>
        <v>0</v>
      </c>
      <c r="BK347" s="141"/>
      <c r="BL347" s="141"/>
      <c r="BM347" s="141"/>
      <c r="BN347" s="141"/>
      <c r="BO347" s="141"/>
      <c r="BP347" s="130">
        <f t="shared" si="167"/>
        <v>0</v>
      </c>
      <c r="BQ347" s="132"/>
    </row>
    <row r="348" ht="14.25" customHeight="1">
      <c r="A348" s="132"/>
      <c r="B348" s="306">
        <v>46333</v>
      </c>
      <c r="C348" s="133"/>
      <c r="D348" s="136"/>
      <c r="E348" s="135"/>
      <c r="F348" s="135"/>
      <c r="G348" s="147">
        <f t="shared" si="159"/>
        <v>0</v>
      </c>
      <c r="H348" s="148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60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03">
        <f t="shared" si="161"/>
        <v>0</v>
      </c>
      <c r="AK348" s="136"/>
      <c r="AL348" s="136"/>
      <c r="AM348" s="136"/>
      <c r="AN348" s="105">
        <f t="shared" si="162"/>
        <v>0</v>
      </c>
      <c r="AO348" s="143"/>
      <c r="AP348" s="143"/>
      <c r="AQ348" s="143"/>
      <c r="AR348" s="146"/>
      <c r="AS348" s="224">
        <f t="shared" si="163"/>
        <v>0</v>
      </c>
      <c r="AT348" s="126"/>
      <c r="AU348" s="125"/>
      <c r="AV348" s="126"/>
      <c r="AW348" s="126"/>
      <c r="AX348" s="127"/>
      <c r="AY348" s="127"/>
      <c r="AZ348" s="127"/>
      <c r="BA348" s="126"/>
      <c r="BB348" s="127"/>
      <c r="BC348" s="127"/>
      <c r="BD348" s="127"/>
      <c r="BE348" s="128"/>
      <c r="BF348" s="126"/>
      <c r="BG348" s="222">
        <f t="shared" si="164"/>
        <v>0</v>
      </c>
      <c r="BH348" s="140">
        <f t="shared" si="165"/>
        <v>0</v>
      </c>
      <c r="BI348" s="132"/>
      <c r="BJ348" s="140">
        <f t="shared" si="166"/>
        <v>0</v>
      </c>
      <c r="BK348" s="141"/>
      <c r="BL348" s="141"/>
      <c r="BM348" s="141"/>
      <c r="BN348" s="141"/>
      <c r="BO348" s="141"/>
      <c r="BP348" s="130">
        <f t="shared" si="167"/>
        <v>0</v>
      </c>
      <c r="BQ348" s="132"/>
    </row>
    <row r="349" ht="14.25" customHeight="1">
      <c r="A349" s="132"/>
      <c r="B349" s="306">
        <v>46334</v>
      </c>
      <c r="C349" s="133"/>
      <c r="D349" s="136"/>
      <c r="E349" s="135"/>
      <c r="F349" s="135"/>
      <c r="G349" s="147">
        <f t="shared" si="159"/>
        <v>0</v>
      </c>
      <c r="H349" s="148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60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03">
        <f t="shared" si="161"/>
        <v>0</v>
      </c>
      <c r="AK349" s="136"/>
      <c r="AL349" s="136"/>
      <c r="AM349" s="136"/>
      <c r="AN349" s="105">
        <f t="shared" si="162"/>
        <v>0</v>
      </c>
      <c r="AO349" s="143"/>
      <c r="AP349" s="143"/>
      <c r="AQ349" s="143"/>
      <c r="AR349" s="146"/>
      <c r="AS349" s="224">
        <f t="shared" si="163"/>
        <v>0</v>
      </c>
      <c r="AT349" s="126"/>
      <c r="AU349" s="125"/>
      <c r="AV349" s="126"/>
      <c r="AW349" s="126"/>
      <c r="AX349" s="127"/>
      <c r="AY349" s="127"/>
      <c r="AZ349" s="127"/>
      <c r="BA349" s="126"/>
      <c r="BB349" s="127"/>
      <c r="BC349" s="127"/>
      <c r="BD349" s="127"/>
      <c r="BE349" s="128"/>
      <c r="BF349" s="126"/>
      <c r="BG349" s="222">
        <f t="shared" si="164"/>
        <v>0</v>
      </c>
      <c r="BH349" s="140">
        <f t="shared" si="165"/>
        <v>0</v>
      </c>
      <c r="BI349" s="132"/>
      <c r="BJ349" s="140">
        <f t="shared" si="166"/>
        <v>0</v>
      </c>
      <c r="BK349" s="141"/>
      <c r="BL349" s="141"/>
      <c r="BM349" s="129"/>
      <c r="BN349" s="141"/>
      <c r="BO349" s="141"/>
      <c r="BP349" s="130">
        <f t="shared" si="167"/>
        <v>0</v>
      </c>
      <c r="BQ349" s="132"/>
    </row>
    <row r="350" ht="14.25" customHeight="1">
      <c r="A350" s="132"/>
      <c r="B350" s="306">
        <v>46335</v>
      </c>
      <c r="C350" s="133"/>
      <c r="D350" s="136"/>
      <c r="E350" s="135"/>
      <c r="F350" s="135"/>
      <c r="G350" s="147">
        <f t="shared" si="159"/>
        <v>0</v>
      </c>
      <c r="H350" s="148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60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03">
        <f t="shared" si="161"/>
        <v>0</v>
      </c>
      <c r="AK350" s="136"/>
      <c r="AL350" s="136"/>
      <c r="AM350" s="136"/>
      <c r="AN350" s="105">
        <f t="shared" si="162"/>
        <v>0</v>
      </c>
      <c r="AO350" s="143"/>
      <c r="AP350" s="143"/>
      <c r="AQ350" s="143"/>
      <c r="AR350" s="146"/>
      <c r="AS350" s="224">
        <f t="shared" si="163"/>
        <v>0</v>
      </c>
      <c r="AT350" s="126"/>
      <c r="AU350" s="125"/>
      <c r="AV350" s="126"/>
      <c r="AW350" s="126"/>
      <c r="AX350" s="127"/>
      <c r="AY350" s="127"/>
      <c r="AZ350" s="127"/>
      <c r="BA350" s="126"/>
      <c r="BB350" s="127"/>
      <c r="BC350" s="127"/>
      <c r="BD350" s="127"/>
      <c r="BE350" s="128"/>
      <c r="BF350" s="126"/>
      <c r="BG350" s="222">
        <f t="shared" si="164"/>
        <v>0</v>
      </c>
      <c r="BH350" s="140">
        <f t="shared" si="165"/>
        <v>0</v>
      </c>
      <c r="BI350" s="132"/>
      <c r="BJ350" s="140">
        <f t="shared" si="166"/>
        <v>0</v>
      </c>
      <c r="BK350" s="141"/>
      <c r="BL350" s="141"/>
      <c r="BM350" s="141"/>
      <c r="BN350" s="141"/>
      <c r="BO350" s="141"/>
      <c r="BP350" s="130">
        <f t="shared" si="167"/>
        <v>0</v>
      </c>
      <c r="BQ350" s="132"/>
    </row>
    <row r="351" ht="14.25" customHeight="1">
      <c r="A351" s="132"/>
      <c r="B351" s="306">
        <v>46336</v>
      </c>
      <c r="C351" s="133"/>
      <c r="D351" s="136"/>
      <c r="E351" s="135"/>
      <c r="F351" s="135"/>
      <c r="G351" s="147">
        <f t="shared" si="159"/>
        <v>0</v>
      </c>
      <c r="H351" s="148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60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03">
        <f t="shared" si="161"/>
        <v>0</v>
      </c>
      <c r="AK351" s="136"/>
      <c r="AL351" s="136"/>
      <c r="AM351" s="136"/>
      <c r="AN351" s="105">
        <f t="shared" si="162"/>
        <v>0</v>
      </c>
      <c r="AO351" s="143"/>
      <c r="AP351" s="143"/>
      <c r="AQ351" s="143"/>
      <c r="AR351" s="146"/>
      <c r="AS351" s="224">
        <f t="shared" si="163"/>
        <v>0</v>
      </c>
      <c r="AT351" s="126"/>
      <c r="AU351" s="125"/>
      <c r="AV351" s="126"/>
      <c r="AW351" s="126"/>
      <c r="AX351" s="127"/>
      <c r="AY351" s="127"/>
      <c r="AZ351" s="127"/>
      <c r="BA351" s="126"/>
      <c r="BB351" s="127"/>
      <c r="BC351" s="127"/>
      <c r="BD351" s="127"/>
      <c r="BE351" s="128"/>
      <c r="BF351" s="126"/>
      <c r="BG351" s="222">
        <f t="shared" si="164"/>
        <v>0</v>
      </c>
      <c r="BH351" s="140">
        <f t="shared" si="165"/>
        <v>0</v>
      </c>
      <c r="BI351" s="132"/>
      <c r="BJ351" s="140">
        <f t="shared" si="166"/>
        <v>0</v>
      </c>
      <c r="BK351" s="141"/>
      <c r="BL351" s="141"/>
      <c r="BM351" s="141"/>
      <c r="BN351" s="141"/>
      <c r="BO351" s="141"/>
      <c r="BP351" s="130">
        <f t="shared" si="167"/>
        <v>0</v>
      </c>
      <c r="BQ351" s="132"/>
    </row>
    <row r="352" ht="14.25" customHeight="1">
      <c r="A352" s="132"/>
      <c r="B352" s="306">
        <v>46337</v>
      </c>
      <c r="C352" s="133"/>
      <c r="D352" s="136"/>
      <c r="E352" s="135"/>
      <c r="F352" s="135"/>
      <c r="G352" s="147">
        <f t="shared" si="159"/>
        <v>0</v>
      </c>
      <c r="H352" s="148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60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03">
        <f t="shared" si="161"/>
        <v>0</v>
      </c>
      <c r="AK352" s="136"/>
      <c r="AL352" s="136"/>
      <c r="AM352" s="136"/>
      <c r="AN352" s="105">
        <f t="shared" si="162"/>
        <v>0</v>
      </c>
      <c r="AO352" s="143"/>
      <c r="AP352" s="143"/>
      <c r="AQ352" s="143"/>
      <c r="AR352" s="146"/>
      <c r="AS352" s="224">
        <f t="shared" si="163"/>
        <v>0</v>
      </c>
      <c r="AT352" s="126"/>
      <c r="AU352" s="125"/>
      <c r="AV352" s="126"/>
      <c r="AW352" s="126"/>
      <c r="AX352" s="127"/>
      <c r="AY352" s="127"/>
      <c r="AZ352" s="127"/>
      <c r="BA352" s="126"/>
      <c r="BB352" s="127"/>
      <c r="BC352" s="127"/>
      <c r="BD352" s="127"/>
      <c r="BE352" s="128"/>
      <c r="BF352" s="126"/>
      <c r="BG352" s="222">
        <f t="shared" si="164"/>
        <v>0</v>
      </c>
      <c r="BH352" s="140">
        <f t="shared" si="165"/>
        <v>0</v>
      </c>
      <c r="BI352" s="132"/>
      <c r="BJ352" s="140">
        <f t="shared" si="166"/>
        <v>0</v>
      </c>
      <c r="BK352" s="141"/>
      <c r="BL352" s="141"/>
      <c r="BM352" s="141"/>
      <c r="BN352" s="141"/>
      <c r="BO352" s="141"/>
      <c r="BP352" s="130">
        <f t="shared" si="167"/>
        <v>0</v>
      </c>
      <c r="BQ352" s="132"/>
    </row>
    <row r="353" ht="14.25" customHeight="1">
      <c r="A353" s="132"/>
      <c r="B353" s="306">
        <v>46338</v>
      </c>
      <c r="C353" s="133"/>
      <c r="D353" s="136"/>
      <c r="E353" s="135"/>
      <c r="F353" s="135"/>
      <c r="G353" s="147">
        <f t="shared" si="159"/>
        <v>0</v>
      </c>
      <c r="H353" s="148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60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03">
        <f t="shared" si="161"/>
        <v>0</v>
      </c>
      <c r="AK353" s="136"/>
      <c r="AL353" s="136"/>
      <c r="AM353" s="136"/>
      <c r="AN353" s="105">
        <f t="shared" si="162"/>
        <v>0</v>
      </c>
      <c r="AO353" s="143"/>
      <c r="AP353" s="143"/>
      <c r="AQ353" s="143"/>
      <c r="AR353" s="146"/>
      <c r="AS353" s="224">
        <f t="shared" si="163"/>
        <v>0</v>
      </c>
      <c r="AT353" s="126"/>
      <c r="AU353" s="125"/>
      <c r="AV353" s="126"/>
      <c r="AW353" s="126"/>
      <c r="AX353" s="127"/>
      <c r="AY353" s="127"/>
      <c r="AZ353" s="127"/>
      <c r="BA353" s="126"/>
      <c r="BB353" s="127"/>
      <c r="BC353" s="127"/>
      <c r="BD353" s="127"/>
      <c r="BE353" s="128"/>
      <c r="BF353" s="126"/>
      <c r="BG353" s="222">
        <f t="shared" si="164"/>
        <v>0</v>
      </c>
      <c r="BH353" s="140">
        <f t="shared" si="165"/>
        <v>0</v>
      </c>
      <c r="BI353" s="132"/>
      <c r="BJ353" s="140">
        <f t="shared" si="166"/>
        <v>0</v>
      </c>
      <c r="BK353" s="141"/>
      <c r="BL353" s="141"/>
      <c r="BM353" s="141"/>
      <c r="BN353" s="141"/>
      <c r="BO353" s="141"/>
      <c r="BP353" s="130">
        <f t="shared" si="167"/>
        <v>0</v>
      </c>
      <c r="BQ353" s="132"/>
    </row>
    <row r="354" ht="14.25" customHeight="1">
      <c r="A354" s="132"/>
      <c r="B354" s="306">
        <v>46339</v>
      </c>
      <c r="C354" s="133"/>
      <c r="D354" s="136"/>
      <c r="E354" s="135"/>
      <c r="F354" s="135"/>
      <c r="G354" s="147">
        <f t="shared" si="159"/>
        <v>0</v>
      </c>
      <c r="H354" s="148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60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03">
        <f t="shared" si="161"/>
        <v>0</v>
      </c>
      <c r="AK354" s="136"/>
      <c r="AL354" s="136"/>
      <c r="AM354" s="136"/>
      <c r="AN354" s="105">
        <f t="shared" si="162"/>
        <v>0</v>
      </c>
      <c r="AO354" s="143"/>
      <c r="AP354" s="143"/>
      <c r="AQ354" s="143"/>
      <c r="AR354" s="146"/>
      <c r="AS354" s="224">
        <f t="shared" si="163"/>
        <v>0</v>
      </c>
      <c r="AT354" s="126"/>
      <c r="AU354" s="125"/>
      <c r="AV354" s="126"/>
      <c r="AW354" s="126"/>
      <c r="AX354" s="127"/>
      <c r="AY354" s="127"/>
      <c r="AZ354" s="127"/>
      <c r="BA354" s="126"/>
      <c r="BB354" s="127"/>
      <c r="BC354" s="127"/>
      <c r="BD354" s="127"/>
      <c r="BE354" s="128"/>
      <c r="BF354" s="126"/>
      <c r="BG354" s="222">
        <f t="shared" si="164"/>
        <v>0</v>
      </c>
      <c r="BH354" s="140">
        <f t="shared" si="165"/>
        <v>0</v>
      </c>
      <c r="BI354" s="132"/>
      <c r="BJ354" s="140">
        <f t="shared" si="166"/>
        <v>0</v>
      </c>
      <c r="BK354" s="141"/>
      <c r="BL354" s="141"/>
      <c r="BM354" s="141"/>
      <c r="BN354" s="141"/>
      <c r="BO354" s="141"/>
      <c r="BP354" s="130">
        <f t="shared" si="167"/>
        <v>0</v>
      </c>
      <c r="BQ354" s="132"/>
    </row>
    <row r="355" ht="14.25" customHeight="1">
      <c r="A355" s="132"/>
      <c r="B355" s="306">
        <v>46340</v>
      </c>
      <c r="C355" s="133"/>
      <c r="D355" s="136"/>
      <c r="E355" s="135"/>
      <c r="F355" s="135"/>
      <c r="G355" s="147">
        <f t="shared" si="159"/>
        <v>0</v>
      </c>
      <c r="H355" s="148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60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03">
        <f t="shared" si="161"/>
        <v>0</v>
      </c>
      <c r="AK355" s="136"/>
      <c r="AL355" s="136"/>
      <c r="AM355" s="136"/>
      <c r="AN355" s="105">
        <f t="shared" si="162"/>
        <v>0</v>
      </c>
      <c r="AO355" s="143"/>
      <c r="AP355" s="143"/>
      <c r="AQ355" s="143"/>
      <c r="AR355" s="146"/>
      <c r="AS355" s="224">
        <f t="shared" si="163"/>
        <v>0</v>
      </c>
      <c r="AT355" s="225"/>
      <c r="AU355" s="125"/>
      <c r="AV355" s="225"/>
      <c r="AW355" s="225"/>
      <c r="AX355" s="221"/>
      <c r="AY355" s="127"/>
      <c r="AZ355" s="127"/>
      <c r="BA355" s="225"/>
      <c r="BB355" s="221"/>
      <c r="BC355" s="221"/>
      <c r="BD355" s="221"/>
      <c r="BE355" s="128"/>
      <c r="BF355" s="225"/>
      <c r="BG355" s="222">
        <f t="shared" si="164"/>
        <v>0</v>
      </c>
      <c r="BH355" s="140">
        <f t="shared" si="165"/>
        <v>0</v>
      </c>
      <c r="BI355" s="132"/>
      <c r="BJ355" s="140">
        <f t="shared" si="166"/>
        <v>0</v>
      </c>
      <c r="BK355" s="141"/>
      <c r="BL355" s="141"/>
      <c r="BM355" s="141"/>
      <c r="BN355" s="141"/>
      <c r="BO355" s="141"/>
      <c r="BP355" s="130">
        <f t="shared" si="167"/>
        <v>0</v>
      </c>
      <c r="BQ355" s="132"/>
    </row>
    <row r="356" ht="14.25" customHeight="1">
      <c r="A356" s="132"/>
      <c r="B356" s="306">
        <v>46341</v>
      </c>
      <c r="C356" s="133"/>
      <c r="D356" s="136"/>
      <c r="E356" s="135"/>
      <c r="F356" s="135"/>
      <c r="G356" s="147">
        <f t="shared" si="159"/>
        <v>0</v>
      </c>
      <c r="H356" s="148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60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03">
        <f t="shared" si="161"/>
        <v>0</v>
      </c>
      <c r="AK356" s="136"/>
      <c r="AL356" s="136"/>
      <c r="AM356" s="136"/>
      <c r="AN356" s="105">
        <f t="shared" si="162"/>
        <v>0</v>
      </c>
      <c r="AO356" s="143"/>
      <c r="AP356" s="143"/>
      <c r="AQ356" s="143"/>
      <c r="AR356" s="146"/>
      <c r="AS356" s="224">
        <f t="shared" si="163"/>
        <v>0</v>
      </c>
      <c r="AT356" s="126"/>
      <c r="AU356" s="125"/>
      <c r="AV356" s="126"/>
      <c r="AW356" s="126"/>
      <c r="AX356" s="127"/>
      <c r="AY356" s="127"/>
      <c r="AZ356" s="127"/>
      <c r="BA356" s="126"/>
      <c r="BB356" s="127"/>
      <c r="BC356" s="127"/>
      <c r="BD356" s="127"/>
      <c r="BE356" s="128"/>
      <c r="BF356" s="126"/>
      <c r="BG356" s="222">
        <f t="shared" si="164"/>
        <v>0</v>
      </c>
      <c r="BH356" s="140">
        <f t="shared" si="165"/>
        <v>0</v>
      </c>
      <c r="BI356" s="132"/>
      <c r="BJ356" s="140">
        <f t="shared" si="166"/>
        <v>0</v>
      </c>
      <c r="BK356" s="141"/>
      <c r="BL356" s="141"/>
      <c r="BM356" s="141"/>
      <c r="BN356" s="141"/>
      <c r="BO356" s="141"/>
      <c r="BP356" s="130">
        <f t="shared" si="167"/>
        <v>0</v>
      </c>
      <c r="BQ356" s="132"/>
    </row>
    <row r="357" ht="14.25" customHeight="1">
      <c r="A357" s="132"/>
      <c r="B357" s="306">
        <v>46342</v>
      </c>
      <c r="C357" s="133"/>
      <c r="D357" s="136"/>
      <c r="E357" s="135"/>
      <c r="F357" s="135"/>
      <c r="G357" s="147">
        <f t="shared" si="159"/>
        <v>0</v>
      </c>
      <c r="H357" s="148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60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03">
        <f t="shared" si="161"/>
        <v>0</v>
      </c>
      <c r="AK357" s="136"/>
      <c r="AL357" s="136"/>
      <c r="AM357" s="136"/>
      <c r="AN357" s="105">
        <f t="shared" si="162"/>
        <v>0</v>
      </c>
      <c r="AO357" s="143"/>
      <c r="AP357" s="143"/>
      <c r="AQ357" s="143"/>
      <c r="AR357" s="146"/>
      <c r="AS357" s="224">
        <f t="shared" si="163"/>
        <v>0</v>
      </c>
      <c r="AT357" s="126"/>
      <c r="AU357" s="125"/>
      <c r="AV357" s="126"/>
      <c r="AW357" s="126"/>
      <c r="AX357" s="127"/>
      <c r="AY357" s="127"/>
      <c r="AZ357" s="127"/>
      <c r="BA357" s="126"/>
      <c r="BB357" s="127"/>
      <c r="BC357" s="127"/>
      <c r="BD357" s="127"/>
      <c r="BE357" s="128"/>
      <c r="BF357" s="126"/>
      <c r="BG357" s="222">
        <f t="shared" si="164"/>
        <v>0</v>
      </c>
      <c r="BH357" s="140">
        <f t="shared" si="165"/>
        <v>0</v>
      </c>
      <c r="BI357" s="132"/>
      <c r="BJ357" s="140">
        <f t="shared" si="166"/>
        <v>0</v>
      </c>
      <c r="BK357" s="141"/>
      <c r="BL357" s="141"/>
      <c r="BM357" s="129"/>
      <c r="BN357" s="141"/>
      <c r="BO357" s="141"/>
      <c r="BP357" s="130">
        <f t="shared" si="167"/>
        <v>0</v>
      </c>
      <c r="BQ357" s="132"/>
    </row>
    <row r="358" ht="14.25" customHeight="1">
      <c r="A358" s="132"/>
      <c r="B358" s="306">
        <v>46343</v>
      </c>
      <c r="C358" s="133"/>
      <c r="D358" s="136"/>
      <c r="E358" s="135"/>
      <c r="F358" s="135"/>
      <c r="G358" s="147">
        <f t="shared" si="159"/>
        <v>0</v>
      </c>
      <c r="H358" s="148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60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03">
        <f t="shared" si="161"/>
        <v>0</v>
      </c>
      <c r="AK358" s="136"/>
      <c r="AL358" s="136"/>
      <c r="AM358" s="136"/>
      <c r="AN358" s="105">
        <f t="shared" si="162"/>
        <v>0</v>
      </c>
      <c r="AO358" s="143"/>
      <c r="AP358" s="143"/>
      <c r="AQ358" s="143"/>
      <c r="AR358" s="146"/>
      <c r="AS358" s="224">
        <f t="shared" si="163"/>
        <v>0</v>
      </c>
      <c r="AT358" s="126"/>
      <c r="AU358" s="125"/>
      <c r="AV358" s="126"/>
      <c r="AW358" s="126"/>
      <c r="AX358" s="127"/>
      <c r="AY358" s="127"/>
      <c r="AZ358" s="127"/>
      <c r="BA358" s="126"/>
      <c r="BB358" s="127"/>
      <c r="BC358" s="127"/>
      <c r="BD358" s="127"/>
      <c r="BE358" s="128"/>
      <c r="BF358" s="126"/>
      <c r="BG358" s="222">
        <f t="shared" si="164"/>
        <v>0</v>
      </c>
      <c r="BH358" s="140">
        <f t="shared" si="165"/>
        <v>0</v>
      </c>
      <c r="BI358" s="132"/>
      <c r="BJ358" s="140">
        <f t="shared" si="166"/>
        <v>0</v>
      </c>
      <c r="BK358" s="141"/>
      <c r="BL358" s="141"/>
      <c r="BM358" s="141"/>
      <c r="BN358" s="141"/>
      <c r="BO358" s="141"/>
      <c r="BP358" s="130">
        <f t="shared" si="167"/>
        <v>0</v>
      </c>
      <c r="BQ358" s="132"/>
    </row>
    <row r="359" ht="14.25" customHeight="1">
      <c r="A359" s="132"/>
      <c r="B359" s="306">
        <v>46344</v>
      </c>
      <c r="C359" s="133"/>
      <c r="D359" s="136"/>
      <c r="E359" s="135"/>
      <c r="F359" s="135"/>
      <c r="G359" s="147">
        <f t="shared" si="159"/>
        <v>0</v>
      </c>
      <c r="H359" s="148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60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03">
        <f t="shared" si="161"/>
        <v>0</v>
      </c>
      <c r="AK359" s="136"/>
      <c r="AL359" s="136"/>
      <c r="AM359" s="136"/>
      <c r="AN359" s="105">
        <f t="shared" si="162"/>
        <v>0</v>
      </c>
      <c r="AO359" s="143"/>
      <c r="AP359" s="143"/>
      <c r="AQ359" s="143"/>
      <c r="AR359" s="146"/>
      <c r="AS359" s="224">
        <f t="shared" si="163"/>
        <v>0</v>
      </c>
      <c r="AT359" s="126"/>
      <c r="AU359" s="125"/>
      <c r="AV359" s="126"/>
      <c r="AW359" s="126"/>
      <c r="AX359" s="127"/>
      <c r="AY359" s="127"/>
      <c r="AZ359" s="127"/>
      <c r="BA359" s="126"/>
      <c r="BB359" s="127"/>
      <c r="BC359" s="127"/>
      <c r="BD359" s="127"/>
      <c r="BE359" s="128"/>
      <c r="BF359" s="126"/>
      <c r="BG359" s="222">
        <f t="shared" si="164"/>
        <v>0</v>
      </c>
      <c r="BH359" s="140">
        <f t="shared" si="165"/>
        <v>0</v>
      </c>
      <c r="BI359" s="132"/>
      <c r="BJ359" s="140">
        <f t="shared" si="166"/>
        <v>0</v>
      </c>
      <c r="BK359" s="141"/>
      <c r="BL359" s="141"/>
      <c r="BM359" s="141"/>
      <c r="BN359" s="141"/>
      <c r="BO359" s="141"/>
      <c r="BP359" s="130">
        <f t="shared" si="167"/>
        <v>0</v>
      </c>
      <c r="BQ359" s="132"/>
    </row>
    <row r="360" ht="14.25" customHeight="1">
      <c r="A360" s="132"/>
      <c r="B360" s="306">
        <v>46345</v>
      </c>
      <c r="C360" s="133"/>
      <c r="D360" s="136"/>
      <c r="E360" s="135"/>
      <c r="F360" s="135"/>
      <c r="G360" s="147">
        <f t="shared" si="159"/>
        <v>0</v>
      </c>
      <c r="H360" s="148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60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03">
        <f t="shared" si="161"/>
        <v>0</v>
      </c>
      <c r="AK360" s="136"/>
      <c r="AL360" s="136"/>
      <c r="AM360" s="136"/>
      <c r="AN360" s="105">
        <f t="shared" si="162"/>
        <v>0</v>
      </c>
      <c r="AO360" s="143"/>
      <c r="AP360" s="143"/>
      <c r="AQ360" s="143"/>
      <c r="AR360" s="146"/>
      <c r="AS360" s="224">
        <f t="shared" si="163"/>
        <v>0</v>
      </c>
      <c r="AT360" s="126"/>
      <c r="AU360" s="125"/>
      <c r="AV360" s="126"/>
      <c r="AW360" s="126"/>
      <c r="AX360" s="127"/>
      <c r="AY360" s="127"/>
      <c r="AZ360" s="127"/>
      <c r="BA360" s="126"/>
      <c r="BB360" s="127"/>
      <c r="BC360" s="127"/>
      <c r="BD360" s="127"/>
      <c r="BE360" s="128"/>
      <c r="BF360" s="126"/>
      <c r="BG360" s="222">
        <f t="shared" si="164"/>
        <v>0</v>
      </c>
      <c r="BH360" s="140">
        <f t="shared" si="165"/>
        <v>0</v>
      </c>
      <c r="BI360" s="132"/>
      <c r="BJ360" s="140">
        <f t="shared" si="166"/>
        <v>0</v>
      </c>
      <c r="BK360" s="141"/>
      <c r="BL360" s="141"/>
      <c r="BM360" s="141"/>
      <c r="BN360" s="141"/>
      <c r="BO360" s="141"/>
      <c r="BP360" s="130">
        <f t="shared" si="167"/>
        <v>0</v>
      </c>
      <c r="BQ360" s="132"/>
    </row>
    <row r="361" ht="14.25" customHeight="1">
      <c r="A361" s="132"/>
      <c r="B361" s="306">
        <v>46346</v>
      </c>
      <c r="C361" s="133"/>
      <c r="D361" s="136"/>
      <c r="E361" s="135"/>
      <c r="F361" s="135"/>
      <c r="G361" s="147">
        <f t="shared" si="159"/>
        <v>0</v>
      </c>
      <c r="H361" s="148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60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03">
        <f t="shared" si="161"/>
        <v>0</v>
      </c>
      <c r="AK361" s="136"/>
      <c r="AL361" s="136"/>
      <c r="AM361" s="136"/>
      <c r="AN361" s="105">
        <f t="shared" si="162"/>
        <v>0</v>
      </c>
      <c r="AO361" s="143"/>
      <c r="AP361" s="143"/>
      <c r="AQ361" s="143"/>
      <c r="AR361" s="146"/>
      <c r="AS361" s="224">
        <f t="shared" si="163"/>
        <v>0</v>
      </c>
      <c r="AT361" s="126"/>
      <c r="AU361" s="125"/>
      <c r="AV361" s="126"/>
      <c r="AW361" s="126"/>
      <c r="AX361" s="127"/>
      <c r="AY361" s="127"/>
      <c r="AZ361" s="127"/>
      <c r="BA361" s="126"/>
      <c r="BB361" s="127"/>
      <c r="BC361" s="127"/>
      <c r="BD361" s="127"/>
      <c r="BE361" s="128"/>
      <c r="BF361" s="126"/>
      <c r="BG361" s="222">
        <f t="shared" si="164"/>
        <v>0</v>
      </c>
      <c r="BH361" s="140">
        <f t="shared" si="165"/>
        <v>0</v>
      </c>
      <c r="BI361" s="132"/>
      <c r="BJ361" s="140">
        <f t="shared" si="166"/>
        <v>0</v>
      </c>
      <c r="BK361" s="141"/>
      <c r="BL361" s="141"/>
      <c r="BM361" s="129"/>
      <c r="BN361" s="141"/>
      <c r="BO361" s="141"/>
      <c r="BP361" s="130">
        <f t="shared" si="167"/>
        <v>0</v>
      </c>
      <c r="BQ361" s="132"/>
    </row>
    <row r="362" ht="14.25" customHeight="1">
      <c r="A362" s="132"/>
      <c r="B362" s="306">
        <v>46347</v>
      </c>
      <c r="C362" s="133"/>
      <c r="D362" s="136"/>
      <c r="E362" s="135"/>
      <c r="F362" s="135"/>
      <c r="G362" s="147">
        <f t="shared" si="159"/>
        <v>0</v>
      </c>
      <c r="H362" s="148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60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03">
        <f t="shared" si="161"/>
        <v>0</v>
      </c>
      <c r="AK362" s="136"/>
      <c r="AL362" s="136"/>
      <c r="AM362" s="136"/>
      <c r="AN362" s="105">
        <f t="shared" si="162"/>
        <v>0</v>
      </c>
      <c r="AO362" s="143"/>
      <c r="AP362" s="143"/>
      <c r="AQ362" s="143"/>
      <c r="AR362" s="146"/>
      <c r="AS362" s="224">
        <f t="shared" si="163"/>
        <v>0</v>
      </c>
      <c r="AT362" s="126"/>
      <c r="AU362" s="125"/>
      <c r="AV362" s="126"/>
      <c r="AW362" s="126"/>
      <c r="AX362" s="127"/>
      <c r="AY362" s="127"/>
      <c r="AZ362" s="127"/>
      <c r="BA362" s="126"/>
      <c r="BB362" s="127"/>
      <c r="BC362" s="127"/>
      <c r="BD362" s="127"/>
      <c r="BE362" s="128"/>
      <c r="BF362" s="126"/>
      <c r="BG362" s="222">
        <f t="shared" si="164"/>
        <v>0</v>
      </c>
      <c r="BH362" s="140">
        <f t="shared" si="165"/>
        <v>0</v>
      </c>
      <c r="BI362" s="132"/>
      <c r="BJ362" s="140">
        <f t="shared" si="166"/>
        <v>0</v>
      </c>
      <c r="BK362" s="141"/>
      <c r="BL362" s="141"/>
      <c r="BM362" s="141"/>
      <c r="BN362" s="141"/>
      <c r="BO362" s="141"/>
      <c r="BP362" s="130">
        <f t="shared" si="167"/>
        <v>0</v>
      </c>
      <c r="BQ362" s="132"/>
    </row>
    <row r="363" ht="14.25" customHeight="1">
      <c r="A363" s="132"/>
      <c r="B363" s="306">
        <v>46348</v>
      </c>
      <c r="C363" s="133"/>
      <c r="D363" s="136"/>
      <c r="E363" s="135"/>
      <c r="F363" s="135"/>
      <c r="G363" s="147">
        <f t="shared" si="159"/>
        <v>0</v>
      </c>
      <c r="H363" s="148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60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03">
        <f t="shared" si="161"/>
        <v>0</v>
      </c>
      <c r="AK363" s="136"/>
      <c r="AL363" s="136"/>
      <c r="AM363" s="136"/>
      <c r="AN363" s="105">
        <f t="shared" si="162"/>
        <v>0</v>
      </c>
      <c r="AO363" s="143"/>
      <c r="AP363" s="143"/>
      <c r="AQ363" s="143"/>
      <c r="AR363" s="146"/>
      <c r="AS363" s="224">
        <f t="shared" si="163"/>
        <v>0</v>
      </c>
      <c r="AT363" s="126"/>
      <c r="AU363" s="125"/>
      <c r="AV363" s="126"/>
      <c r="AW363" s="126"/>
      <c r="AX363" s="127"/>
      <c r="AY363" s="127"/>
      <c r="AZ363" s="127"/>
      <c r="BA363" s="126"/>
      <c r="BB363" s="127"/>
      <c r="BC363" s="127"/>
      <c r="BD363" s="127"/>
      <c r="BE363" s="128"/>
      <c r="BF363" s="126"/>
      <c r="BG363" s="222">
        <f t="shared" si="164"/>
        <v>0</v>
      </c>
      <c r="BH363" s="140">
        <f t="shared" si="165"/>
        <v>0</v>
      </c>
      <c r="BI363" s="132"/>
      <c r="BJ363" s="140">
        <f t="shared" si="166"/>
        <v>0</v>
      </c>
      <c r="BK363" s="141"/>
      <c r="BL363" s="141"/>
      <c r="BM363" s="141"/>
      <c r="BN363" s="141"/>
      <c r="BO363" s="141"/>
      <c r="BP363" s="308">
        <f t="shared" si="167"/>
        <v>0</v>
      </c>
      <c r="BQ363" s="132"/>
    </row>
    <row r="364" ht="14.25" customHeight="1">
      <c r="A364" s="132"/>
      <c r="B364" s="306">
        <v>46349</v>
      </c>
      <c r="C364" s="133"/>
      <c r="D364" s="136"/>
      <c r="E364" s="135"/>
      <c r="F364" s="135"/>
      <c r="G364" s="147">
        <f t="shared" si="159"/>
        <v>0</v>
      </c>
      <c r="H364" s="148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60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03">
        <f t="shared" si="161"/>
        <v>0</v>
      </c>
      <c r="AK364" s="136"/>
      <c r="AL364" s="136"/>
      <c r="AM364" s="136"/>
      <c r="AN364" s="105">
        <f t="shared" si="162"/>
        <v>0</v>
      </c>
      <c r="AO364" s="143"/>
      <c r="AP364" s="143"/>
      <c r="AQ364" s="143"/>
      <c r="AR364" s="146"/>
      <c r="AS364" s="224">
        <f t="shared" si="163"/>
        <v>0</v>
      </c>
      <c r="AT364" s="126"/>
      <c r="AU364" s="125"/>
      <c r="AV364" s="126"/>
      <c r="AW364" s="126"/>
      <c r="AX364" s="127"/>
      <c r="AY364" s="127"/>
      <c r="AZ364" s="127"/>
      <c r="BA364" s="126"/>
      <c r="BB364" s="127"/>
      <c r="BC364" s="127"/>
      <c r="BD364" s="127"/>
      <c r="BE364" s="128"/>
      <c r="BF364" s="126"/>
      <c r="BG364" s="222">
        <f t="shared" si="164"/>
        <v>0</v>
      </c>
      <c r="BH364" s="140">
        <f t="shared" si="165"/>
        <v>0</v>
      </c>
      <c r="BI364" s="132"/>
      <c r="BJ364" s="140">
        <f t="shared" si="166"/>
        <v>0</v>
      </c>
      <c r="BK364" s="141"/>
      <c r="BL364" s="141"/>
      <c r="BM364" s="141"/>
      <c r="BN364" s="141"/>
      <c r="BO364" s="141"/>
      <c r="BP364" s="130">
        <f t="shared" si="167"/>
        <v>0</v>
      </c>
      <c r="BQ364" s="132"/>
    </row>
    <row r="365" ht="14.25" customHeight="1">
      <c r="A365" s="132"/>
      <c r="B365" s="306">
        <v>46350</v>
      </c>
      <c r="C365" s="133"/>
      <c r="D365" s="136"/>
      <c r="E365" s="135"/>
      <c r="F365" s="135"/>
      <c r="G365" s="147">
        <f t="shared" si="159"/>
        <v>0</v>
      </c>
      <c r="H365" s="148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60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03">
        <f t="shared" si="161"/>
        <v>0</v>
      </c>
      <c r="AK365" s="136"/>
      <c r="AL365" s="136"/>
      <c r="AM365" s="136"/>
      <c r="AN365" s="105">
        <f t="shared" si="162"/>
        <v>0</v>
      </c>
      <c r="AO365" s="143"/>
      <c r="AP365" s="143"/>
      <c r="AQ365" s="143"/>
      <c r="AR365" s="146"/>
      <c r="AS365" s="224">
        <f t="shared" si="163"/>
        <v>0</v>
      </c>
      <c r="AT365" s="126"/>
      <c r="AU365" s="125"/>
      <c r="AV365" s="126"/>
      <c r="AW365" s="126"/>
      <c r="AX365" s="127"/>
      <c r="AY365" s="127"/>
      <c r="AZ365" s="127"/>
      <c r="BA365" s="126"/>
      <c r="BB365" s="127"/>
      <c r="BC365" s="127"/>
      <c r="BD365" s="127"/>
      <c r="BE365" s="128"/>
      <c r="BF365" s="126"/>
      <c r="BG365" s="222">
        <f t="shared" si="164"/>
        <v>0</v>
      </c>
      <c r="BH365" s="140">
        <f t="shared" si="165"/>
        <v>0</v>
      </c>
      <c r="BI365" s="132"/>
      <c r="BJ365" s="140">
        <f t="shared" si="166"/>
        <v>0</v>
      </c>
      <c r="BK365" s="141"/>
      <c r="BL365" s="141"/>
      <c r="BM365" s="141"/>
      <c r="BN365" s="141"/>
      <c r="BO365" s="141"/>
      <c r="BP365" s="130">
        <f t="shared" si="167"/>
        <v>0</v>
      </c>
      <c r="BQ365" s="132"/>
    </row>
    <row r="366" ht="14.25" customHeight="1">
      <c r="A366" s="132"/>
      <c r="B366" s="306">
        <v>46351</v>
      </c>
      <c r="C366" s="133"/>
      <c r="D366" s="136"/>
      <c r="E366" s="135"/>
      <c r="F366" s="135"/>
      <c r="G366" s="147">
        <f t="shared" si="159"/>
        <v>0</v>
      </c>
      <c r="H366" s="148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60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03">
        <f t="shared" si="161"/>
        <v>0</v>
      </c>
      <c r="AK366" s="136"/>
      <c r="AL366" s="136"/>
      <c r="AM366" s="136"/>
      <c r="AN366" s="105">
        <f t="shared" si="162"/>
        <v>0</v>
      </c>
      <c r="AO366" s="143"/>
      <c r="AP366" s="143"/>
      <c r="AQ366" s="143"/>
      <c r="AR366" s="146"/>
      <c r="AS366" s="224">
        <f t="shared" si="163"/>
        <v>0</v>
      </c>
      <c r="AT366" s="126"/>
      <c r="AU366" s="125"/>
      <c r="AV366" s="126"/>
      <c r="AW366" s="126"/>
      <c r="AX366" s="127"/>
      <c r="AY366" s="127"/>
      <c r="AZ366" s="127"/>
      <c r="BA366" s="126"/>
      <c r="BB366" s="127"/>
      <c r="BC366" s="127"/>
      <c r="BD366" s="127"/>
      <c r="BE366" s="128"/>
      <c r="BF366" s="126"/>
      <c r="BG366" s="222">
        <f t="shared" si="164"/>
        <v>0</v>
      </c>
      <c r="BH366" s="140">
        <f t="shared" si="165"/>
        <v>0</v>
      </c>
      <c r="BI366" s="132"/>
      <c r="BJ366" s="140">
        <f t="shared" si="166"/>
        <v>0</v>
      </c>
      <c r="BK366" s="141"/>
      <c r="BL366" s="141"/>
      <c r="BM366" s="141"/>
      <c r="BN366" s="141"/>
      <c r="BO366" s="141"/>
      <c r="BP366" s="130">
        <f t="shared" si="167"/>
        <v>0</v>
      </c>
      <c r="BQ366" s="132"/>
    </row>
    <row r="367" ht="14.25" customHeight="1">
      <c r="A367" s="132"/>
      <c r="B367" s="306">
        <v>46352</v>
      </c>
      <c r="C367" s="133"/>
      <c r="D367" s="136"/>
      <c r="E367" s="135"/>
      <c r="F367" s="135"/>
      <c r="G367" s="147">
        <f t="shared" si="159"/>
        <v>0</v>
      </c>
      <c r="H367" s="148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60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03">
        <f t="shared" si="161"/>
        <v>0</v>
      </c>
      <c r="AK367" s="136"/>
      <c r="AL367" s="136"/>
      <c r="AM367" s="136"/>
      <c r="AN367" s="105">
        <f t="shared" si="162"/>
        <v>0</v>
      </c>
      <c r="AO367" s="143"/>
      <c r="AP367" s="143"/>
      <c r="AQ367" s="143"/>
      <c r="AR367" s="146"/>
      <c r="AS367" s="224">
        <f t="shared" si="163"/>
        <v>0</v>
      </c>
      <c r="AT367" s="126"/>
      <c r="AU367" s="125"/>
      <c r="AV367" s="126"/>
      <c r="AW367" s="126"/>
      <c r="AX367" s="127"/>
      <c r="AY367" s="127"/>
      <c r="AZ367" s="127"/>
      <c r="BA367" s="126"/>
      <c r="BB367" s="127"/>
      <c r="BC367" s="127"/>
      <c r="BD367" s="127"/>
      <c r="BE367" s="128"/>
      <c r="BF367" s="126"/>
      <c r="BG367" s="222">
        <f t="shared" si="164"/>
        <v>0</v>
      </c>
      <c r="BH367" s="140">
        <f t="shared" si="165"/>
        <v>0</v>
      </c>
      <c r="BI367" s="132"/>
      <c r="BJ367" s="140">
        <f t="shared" si="166"/>
        <v>0</v>
      </c>
      <c r="BK367" s="141"/>
      <c r="BL367" s="141"/>
      <c r="BM367" s="141"/>
      <c r="BN367" s="141"/>
      <c r="BO367" s="141"/>
      <c r="BP367" s="130">
        <f t="shared" si="167"/>
        <v>0</v>
      </c>
      <c r="BQ367" s="132"/>
    </row>
    <row r="368" ht="14.25" customHeight="1">
      <c r="A368" s="132"/>
      <c r="B368" s="306">
        <v>46353</v>
      </c>
      <c r="C368" s="133"/>
      <c r="D368" s="136"/>
      <c r="E368" s="135"/>
      <c r="F368" s="135"/>
      <c r="G368" s="147">
        <f t="shared" si="159"/>
        <v>0</v>
      </c>
      <c r="H368" s="148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60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03">
        <f t="shared" si="161"/>
        <v>0</v>
      </c>
      <c r="AK368" s="136"/>
      <c r="AL368" s="136"/>
      <c r="AM368" s="136"/>
      <c r="AN368" s="105">
        <f t="shared" si="162"/>
        <v>0</v>
      </c>
      <c r="AO368" s="143"/>
      <c r="AP368" s="143"/>
      <c r="AQ368" s="143"/>
      <c r="AR368" s="146"/>
      <c r="AS368" s="224">
        <f t="shared" si="163"/>
        <v>0</v>
      </c>
      <c r="AT368" s="126"/>
      <c r="AU368" s="125"/>
      <c r="AV368" s="126"/>
      <c r="AW368" s="126"/>
      <c r="AX368" s="127"/>
      <c r="AY368" s="127"/>
      <c r="AZ368" s="127"/>
      <c r="BA368" s="126"/>
      <c r="BB368" s="127"/>
      <c r="BC368" s="127"/>
      <c r="BD368" s="127"/>
      <c r="BE368" s="128"/>
      <c r="BF368" s="126"/>
      <c r="BG368" s="222">
        <f t="shared" si="164"/>
        <v>0</v>
      </c>
      <c r="BH368" s="140">
        <f t="shared" si="165"/>
        <v>0</v>
      </c>
      <c r="BI368" s="132"/>
      <c r="BJ368" s="140">
        <f t="shared" si="166"/>
        <v>0</v>
      </c>
      <c r="BK368" s="141"/>
      <c r="BL368" s="141"/>
      <c r="BM368" s="141"/>
      <c r="BN368" s="141"/>
      <c r="BO368" s="141"/>
      <c r="BP368" s="130">
        <f t="shared" si="167"/>
        <v>0</v>
      </c>
      <c r="BQ368" s="132"/>
    </row>
    <row r="369" ht="14.25" customHeight="1">
      <c r="A369" s="132"/>
      <c r="B369" s="306">
        <v>46354</v>
      </c>
      <c r="C369" s="133"/>
      <c r="D369" s="136"/>
      <c r="E369" s="135"/>
      <c r="F369" s="135"/>
      <c r="G369" s="147">
        <f t="shared" si="159"/>
        <v>0</v>
      </c>
      <c r="H369" s="148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ref="U369:U371" t="shared" si="168">SUM(H369:T369)</f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03">
        <f t="shared" si="161"/>
        <v>0</v>
      </c>
      <c r="AK369" s="136"/>
      <c r="AL369" s="136"/>
      <c r="AM369" s="136"/>
      <c r="AN369" s="105">
        <f t="shared" si="162"/>
        <v>0</v>
      </c>
      <c r="AO369" s="143"/>
      <c r="AP369" s="143"/>
      <c r="AQ369" s="143"/>
      <c r="AR369" s="146"/>
      <c r="AS369" s="224">
        <f t="shared" si="163"/>
        <v>0</v>
      </c>
      <c r="AT369" s="126"/>
      <c r="AU369" s="125"/>
      <c r="AV369" s="126"/>
      <c r="AW369" s="126"/>
      <c r="AX369" s="127"/>
      <c r="AY369" s="127"/>
      <c r="AZ369" s="127"/>
      <c r="BA369" s="126"/>
      <c r="BB369" s="127"/>
      <c r="BC369" s="127"/>
      <c r="BD369" s="127"/>
      <c r="BE369" s="128"/>
      <c r="BF369" s="126"/>
      <c r="BG369" s="222">
        <f t="shared" si="164"/>
        <v>0</v>
      </c>
      <c r="BH369" s="140">
        <f t="shared" si="165"/>
        <v>0</v>
      </c>
      <c r="BI369" s="132"/>
      <c r="BJ369" s="140">
        <f t="shared" si="166"/>
        <v>0</v>
      </c>
      <c r="BK369" s="141"/>
      <c r="BL369" s="141"/>
      <c r="BM369" s="141"/>
      <c r="BN369" s="141"/>
      <c r="BO369" s="141"/>
      <c r="BP369" s="130">
        <f t="shared" si="167"/>
        <v>0</v>
      </c>
      <c r="BQ369" s="132"/>
    </row>
    <row r="370" ht="14.25" customHeight="1">
      <c r="A370" s="132"/>
      <c r="B370" s="306">
        <v>46355</v>
      </c>
      <c r="C370" s="133"/>
      <c r="D370" s="136"/>
      <c r="E370" s="135"/>
      <c r="F370" s="135"/>
      <c r="G370" s="147">
        <f t="shared" si="159"/>
        <v>0</v>
      </c>
      <c r="H370" s="148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68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03">
        <f t="shared" si="161"/>
        <v>0</v>
      </c>
      <c r="AK370" s="136"/>
      <c r="AL370" s="136"/>
      <c r="AM370" s="136"/>
      <c r="AN370" s="105">
        <f t="shared" si="162"/>
        <v>0</v>
      </c>
      <c r="AO370" s="143"/>
      <c r="AP370" s="143"/>
      <c r="AQ370" s="143"/>
      <c r="AR370" s="146"/>
      <c r="AS370" s="224">
        <f t="shared" si="163"/>
        <v>0</v>
      </c>
      <c r="AT370" s="126"/>
      <c r="AU370" s="125"/>
      <c r="AV370" s="126"/>
      <c r="AW370" s="126"/>
      <c r="AX370" s="127"/>
      <c r="AY370" s="127"/>
      <c r="AZ370" s="127"/>
      <c r="BA370" s="126"/>
      <c r="BB370" s="127"/>
      <c r="BC370" s="127"/>
      <c r="BD370" s="127"/>
      <c r="BE370" s="128"/>
      <c r="BF370" s="126"/>
      <c r="BG370" s="222">
        <f t="shared" si="164"/>
        <v>0</v>
      </c>
      <c r="BH370" s="140">
        <f t="shared" si="165"/>
        <v>0</v>
      </c>
      <c r="BI370" s="132"/>
      <c r="BJ370" s="140">
        <f t="shared" si="166"/>
        <v>0</v>
      </c>
      <c r="BK370" s="141"/>
      <c r="BL370" s="141"/>
      <c r="BM370" s="141"/>
      <c r="BN370" s="141"/>
      <c r="BO370" s="141"/>
      <c r="BP370" s="130">
        <f t="shared" si="167"/>
        <v>0</v>
      </c>
      <c r="BQ370" s="132"/>
    </row>
    <row r="371" ht="14.25" customHeight="1">
      <c r="A371" s="132"/>
      <c r="B371" s="306">
        <v>46356</v>
      </c>
      <c r="C371" s="133"/>
      <c r="D371" s="136"/>
      <c r="E371" s="135"/>
      <c r="F371" s="135"/>
      <c r="G371" s="147">
        <f t="shared" si="159"/>
        <v>0</v>
      </c>
      <c r="H371" s="148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68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03">
        <f t="shared" si="161"/>
        <v>0</v>
      </c>
      <c r="AK371" s="136"/>
      <c r="AL371" s="136"/>
      <c r="AM371" s="136"/>
      <c r="AN371" s="105">
        <f t="shared" si="162"/>
        <v>0</v>
      </c>
      <c r="AO371" s="143"/>
      <c r="AP371" s="143"/>
      <c r="AQ371" s="143"/>
      <c r="AR371" s="146"/>
      <c r="AS371" s="224">
        <f t="shared" si="163"/>
        <v>0</v>
      </c>
      <c r="AT371" s="138"/>
      <c r="AU371" s="137"/>
      <c r="AV371" s="138"/>
      <c r="AW371" s="138"/>
      <c r="AX371" s="127"/>
      <c r="AY371" s="127"/>
      <c r="AZ371" s="127"/>
      <c r="BA371" s="138"/>
      <c r="BB371" s="127"/>
      <c r="BC371" s="127"/>
      <c r="BD371" s="127"/>
      <c r="BE371" s="139"/>
      <c r="BF371" s="138"/>
      <c r="BG371" s="222">
        <f t="shared" si="164"/>
        <v>0</v>
      </c>
      <c r="BH371" s="140">
        <f t="shared" si="165"/>
        <v>0</v>
      </c>
      <c r="BI371" s="132"/>
      <c r="BJ371" s="140">
        <f t="shared" si="166"/>
        <v>0</v>
      </c>
      <c r="BK371" s="141"/>
      <c r="BL371" s="141"/>
      <c r="BM371" s="141"/>
      <c r="BN371" s="141"/>
      <c r="BO371" s="141"/>
      <c r="BP371" s="130">
        <f t="shared" si="167"/>
        <v>0</v>
      </c>
      <c r="BQ371" s="132"/>
    </row>
    <row r="372" ht="14.25" customHeight="1">
      <c r="A372" s="3"/>
      <c r="B372" s="2" t="s">
        <v>85</v>
      </c>
      <c r="C372" s="166">
        <f ref="C372:AG372" t="shared" si="169">SUM(C342:C371)</f>
        <v>0</v>
      </c>
      <c r="D372" s="166">
        <f t="shared" si="169"/>
        <v>0</v>
      </c>
      <c r="E372" s="166">
        <f t="shared" si="169"/>
        <v>0</v>
      </c>
      <c r="F372" s="166">
        <f t="shared" si="169"/>
        <v>0</v>
      </c>
      <c r="G372" s="166">
        <f t="shared" si="169"/>
        <v>0</v>
      </c>
      <c r="H372" s="166">
        <f t="shared" si="169"/>
        <v>0</v>
      </c>
      <c r="I372" s="166">
        <f t="shared" si="169"/>
        <v>0</v>
      </c>
      <c r="J372" s="166">
        <f t="shared" si="169"/>
        <v>0</v>
      </c>
      <c r="K372" s="166">
        <f t="shared" si="169"/>
        <v>0</v>
      </c>
      <c r="L372" s="166">
        <f t="shared" si="169"/>
        <v>0</v>
      </c>
      <c r="M372" s="166">
        <f t="shared" si="169"/>
        <v>0</v>
      </c>
      <c r="N372" s="166">
        <f t="shared" si="169"/>
        <v>0</v>
      </c>
      <c r="O372" s="166">
        <f t="shared" si="169"/>
        <v>0</v>
      </c>
      <c r="P372" s="166">
        <f t="shared" si="169"/>
        <v>0</v>
      </c>
      <c r="Q372" s="166">
        <f t="shared" si="169"/>
        <v>0</v>
      </c>
      <c r="R372" s="166">
        <f t="shared" si="169"/>
        <v>0</v>
      </c>
      <c r="S372" s="166">
        <f t="shared" si="169"/>
        <v>0</v>
      </c>
      <c r="T372" s="166">
        <f t="shared" si="169"/>
        <v>0</v>
      </c>
      <c r="U372" s="166">
        <f t="shared" si="169"/>
        <v>0</v>
      </c>
      <c r="V372" s="166">
        <f t="shared" si="169"/>
        <v>0</v>
      </c>
      <c r="W372" s="166">
        <f t="shared" si="169"/>
        <v>0</v>
      </c>
      <c r="X372" s="166">
        <f t="shared" si="169"/>
        <v>0</v>
      </c>
      <c r="Y372" s="166">
        <f t="shared" si="169"/>
        <v>0</v>
      </c>
      <c r="Z372" s="166">
        <f t="shared" si="169"/>
        <v>0</v>
      </c>
      <c r="AA372" s="166">
        <f t="shared" si="169"/>
        <v>0</v>
      </c>
      <c r="AB372" s="166">
        <f t="shared" si="169"/>
        <v>0</v>
      </c>
      <c r="AC372" s="166">
        <f t="shared" si="169"/>
        <v>0</v>
      </c>
      <c r="AD372" s="166">
        <f t="shared" si="169"/>
        <v>0</v>
      </c>
      <c r="AE372" s="166">
        <f t="shared" si="169"/>
        <v>0</v>
      </c>
      <c r="AF372" s="166">
        <f t="shared" si="169"/>
        <v>0</v>
      </c>
      <c r="AG372" s="166">
        <f t="shared" si="169"/>
        <v>0</v>
      </c>
      <c r="AH372" s="166"/>
      <c r="AI372" s="166">
        <f ref="AI372:BJ372" t="shared" si="170">SUM(AI342:AI371)</f>
        <v>0</v>
      </c>
      <c r="AJ372" s="166">
        <f t="shared" si="170"/>
        <v>0</v>
      </c>
      <c r="AK372" s="166">
        <f t="shared" si="170"/>
        <v>0</v>
      </c>
      <c r="AL372" s="166">
        <f t="shared" si="170"/>
        <v>0</v>
      </c>
      <c r="AM372" s="166">
        <f t="shared" si="170"/>
        <v>0</v>
      </c>
      <c r="AN372" s="166">
        <f t="shared" si="170"/>
        <v>0</v>
      </c>
      <c r="AO372" s="166">
        <f t="shared" si="170"/>
        <v>0</v>
      </c>
      <c r="AP372" s="166">
        <f t="shared" si="170"/>
        <v>0</v>
      </c>
      <c r="AQ372" s="166">
        <f t="shared" si="170"/>
        <v>0</v>
      </c>
      <c r="AR372" s="166">
        <f t="shared" si="170"/>
        <v>0</v>
      </c>
      <c r="AS372" s="166">
        <f t="shared" si="170"/>
        <v>0</v>
      </c>
      <c r="AT372" s="165">
        <f t="shared" si="170"/>
        <v>0</v>
      </c>
      <c r="AU372" s="165">
        <f t="shared" si="170"/>
        <v>0</v>
      </c>
      <c r="AV372" s="165">
        <f t="shared" si="170"/>
        <v>0</v>
      </c>
      <c r="AW372" s="165">
        <f t="shared" si="170"/>
        <v>0</v>
      </c>
      <c r="AX372" s="165">
        <f t="shared" si="170"/>
        <v>0</v>
      </c>
      <c r="AY372" s="165">
        <f t="shared" si="170"/>
        <v>0</v>
      </c>
      <c r="AZ372" s="165">
        <f t="shared" si="170"/>
        <v>0</v>
      </c>
      <c r="BA372" s="165">
        <f t="shared" si="170"/>
        <v>0</v>
      </c>
      <c r="BB372" s="165">
        <f t="shared" si="170"/>
        <v>0</v>
      </c>
      <c r="BC372" s="165">
        <f t="shared" si="170"/>
        <v>0</v>
      </c>
      <c r="BD372" s="165">
        <f t="shared" si="170"/>
        <v>0</v>
      </c>
      <c r="BE372" s="165">
        <f t="shared" si="170"/>
        <v>0</v>
      </c>
      <c r="BF372" s="165">
        <f t="shared" si="170"/>
        <v>0</v>
      </c>
      <c r="BG372" s="166">
        <f t="shared" si="170"/>
        <v>0</v>
      </c>
      <c r="BH372" s="166">
        <f t="shared" si="170"/>
        <v>0</v>
      </c>
      <c r="BI372" s="166">
        <f t="shared" si="170"/>
        <v>0</v>
      </c>
      <c r="BJ372" s="166">
        <f t="shared" si="170"/>
        <v>0</v>
      </c>
      <c r="BK372" s="166"/>
      <c r="BL372" s="166">
        <f ref="BL372:BQ372" t="shared" si="171">SUM(BL342:BL371)</f>
        <v>0</v>
      </c>
      <c r="BM372" s="166">
        <f t="shared" si="171"/>
        <v>0</v>
      </c>
      <c r="BN372" s="166">
        <f t="shared" si="171"/>
        <v>0</v>
      </c>
      <c r="BO372" s="166">
        <f t="shared" si="171"/>
        <v>0</v>
      </c>
      <c r="BP372" s="166">
        <f t="shared" si="171"/>
        <v>0</v>
      </c>
      <c r="BQ372" s="166">
        <f t="shared" si="171"/>
        <v>0</v>
      </c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4"/>
      <c r="AO373" s="3"/>
      <c r="AP373" s="3"/>
      <c r="AQ373" s="3"/>
      <c r="AR373" s="3"/>
      <c r="AS373" s="3"/>
      <c r="AT373" s="3"/>
      <c r="AU373" s="5"/>
      <c r="AV373" s="3"/>
      <c r="AW373" s="3"/>
      <c r="AX373" s="3"/>
      <c r="AY373" s="3"/>
      <c r="AZ373" s="3"/>
      <c r="BA373" s="3"/>
      <c r="BB373" s="3"/>
      <c r="BC373" s="3"/>
      <c r="BD373" s="3"/>
      <c r="BE373" s="6"/>
      <c r="BF373" s="3"/>
      <c r="BG373" s="4"/>
      <c r="BH373" s="3"/>
      <c r="BI373" s="235"/>
      <c r="BJ373" s="3"/>
      <c r="BK373" s="3"/>
      <c r="BL373" s="3"/>
      <c r="BM373" s="3"/>
      <c r="BN373" s="3"/>
      <c r="BO373" s="3"/>
      <c r="BP373" s="3"/>
      <c r="BQ373" s="3"/>
    </row>
    <row r="374" ht="14.25" customHeight="1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176"/>
      <c r="AK374" s="176"/>
      <c r="AL374" s="176"/>
      <c r="AM374" s="3"/>
      <c r="AN374" s="4"/>
      <c r="AO374" s="3"/>
      <c r="AP374" s="3"/>
      <c r="AQ374" s="3"/>
      <c r="AR374" s="3"/>
      <c r="AS374" s="3"/>
      <c r="AT374" s="3"/>
      <c r="AU374" s="5"/>
      <c r="AV374" s="3"/>
      <c r="AW374" s="3"/>
      <c r="AX374" s="3"/>
      <c r="AY374" s="3"/>
      <c r="AZ374" s="3"/>
      <c r="BA374" s="3"/>
      <c r="BB374" s="3"/>
      <c r="BC374" s="3"/>
      <c r="BD374" s="3"/>
      <c r="BE374" s="6"/>
      <c r="BF374" s="3"/>
      <c r="BG374" s="4"/>
      <c r="BH374" s="3"/>
      <c r="BI374" s="235"/>
      <c r="BJ374" s="3"/>
      <c r="BK374" s="3"/>
      <c r="BL374" s="3"/>
      <c r="BM374" s="3"/>
      <c r="BN374" s="3"/>
      <c r="BO374" s="3"/>
      <c r="BP374" s="3"/>
      <c r="BQ374" s="3"/>
    </row>
    <row r="375" ht="14.25" customHeight="1">
      <c r="A375" s="3"/>
      <c r="B375" s="215">
        <v>46357</v>
      </c>
      <c r="C375" s="94"/>
      <c r="D375" s="104"/>
      <c r="E375" s="97"/>
      <c r="F375" s="97"/>
      <c r="G375" s="265">
        <f ref="G375:G405" t="shared" si="172">+C375+D375+E375+F375</f>
        <v>0</v>
      </c>
      <c r="H375" s="21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03">
        <f ref="U375:U399" t="shared" si="173">SUM(I375:T375)</f>
        <v>0</v>
      </c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03">
        <f ref="AJ375:AJ405" t="shared" si="174">SUM(V375:AI375)</f>
        <v>0</v>
      </c>
      <c r="AK375" s="123"/>
      <c r="AL375" s="123"/>
      <c r="AM375" s="104"/>
      <c r="AN375" s="191">
        <f ref="AN375:AN405" t="shared" si="175">SUM(AK375:AM375)</f>
        <v>0</v>
      </c>
      <c r="AO375" s="186"/>
      <c r="AP375" s="186"/>
      <c r="AQ375" s="186"/>
      <c r="AR375" s="193"/>
      <c r="AS375" s="266">
        <f ref="AS375:AS405" t="shared" si="176">+G375-U375-AJ375-AN375-AO375-AP375-AQ375-AR375</f>
        <v>0</v>
      </c>
      <c r="AT375" s="220"/>
      <c r="AU375" s="108"/>
      <c r="AV375" s="220"/>
      <c r="AW375" s="220"/>
      <c r="AX375" s="221"/>
      <c r="AY375" s="127"/>
      <c r="AZ375" s="127"/>
      <c r="BA375" s="220"/>
      <c r="BB375" s="221"/>
      <c r="BC375" s="221"/>
      <c r="BD375" s="221"/>
      <c r="BE375" s="111"/>
      <c r="BF375" s="220"/>
      <c r="BG375" s="272">
        <f ref="BG375:BG405" t="shared" si="177">SUM(AT375:BF375)-BD375</f>
        <v>0</v>
      </c>
      <c r="BH375" s="114">
        <f ref="BH375:BH405" t="shared" si="178">+AS375-BG375</f>
        <v>0</v>
      </c>
      <c r="BI375" s="3"/>
      <c r="BJ375" s="114">
        <f ref="BJ375:BJ405" t="shared" si="179">SUM(BK375:BO375)</f>
        <v>0</v>
      </c>
      <c r="BK375" s="115"/>
      <c r="BL375" s="115"/>
      <c r="BM375" s="115"/>
      <c r="BN375" s="115"/>
      <c r="BO375" s="115"/>
      <c r="BP375" s="116">
        <f ref="BP375:BP405" t="shared" si="180">+BH375-BJ375</f>
        <v>0</v>
      </c>
      <c r="BQ375" s="3"/>
    </row>
    <row r="376" ht="14.25" customHeight="1">
      <c r="A376" s="3"/>
      <c r="B376" s="215">
        <v>46358</v>
      </c>
      <c r="C376" s="118"/>
      <c r="D376" s="123"/>
      <c r="E376" s="120"/>
      <c r="F376" s="120"/>
      <c r="G376" s="147">
        <f t="shared" si="172"/>
        <v>0</v>
      </c>
      <c r="H376" s="148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73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03">
        <f t="shared" si="174"/>
        <v>0</v>
      </c>
      <c r="AK376" s="123"/>
      <c r="AL376" s="123"/>
      <c r="AM376" s="123"/>
      <c r="AN376" s="105">
        <f t="shared" si="175"/>
        <v>0</v>
      </c>
      <c r="AO376" s="143"/>
      <c r="AP376" s="143"/>
      <c r="AQ376" s="143"/>
      <c r="AR376" s="146"/>
      <c r="AS376" s="224">
        <f t="shared" si="176"/>
        <v>0</v>
      </c>
      <c r="AT376" s="225"/>
      <c r="AU376" s="125"/>
      <c r="AV376" s="225"/>
      <c r="AW376" s="225"/>
      <c r="AX376" s="221"/>
      <c r="AY376" s="127"/>
      <c r="AZ376" s="127"/>
      <c r="BA376" s="225"/>
      <c r="BB376" s="221"/>
      <c r="BC376" s="221"/>
      <c r="BD376" s="221"/>
      <c r="BE376" s="128"/>
      <c r="BF376" s="225"/>
      <c r="BG376" s="222">
        <f t="shared" si="177"/>
        <v>0</v>
      </c>
      <c r="BH376" s="113">
        <f t="shared" si="178"/>
        <v>0</v>
      </c>
      <c r="BI376" s="3"/>
      <c r="BJ376" s="113">
        <f t="shared" si="179"/>
        <v>400</v>
      </c>
      <c r="BK376" s="129"/>
      <c r="BL376" s="129"/>
      <c r="BM376" s="129"/>
      <c r="BN376" s="129">
        <v>400</v>
      </c>
      <c r="BO376" s="129"/>
      <c r="BP376" s="130">
        <f t="shared" si="180"/>
        <v>-400</v>
      </c>
      <c r="BQ376" s="3"/>
    </row>
    <row r="377" ht="14.25" customHeight="1">
      <c r="A377" s="3"/>
      <c r="B377" s="215">
        <v>46359</v>
      </c>
      <c r="C377" s="118"/>
      <c r="D377" s="123"/>
      <c r="E377" s="120"/>
      <c r="F377" s="120"/>
      <c r="G377" s="147">
        <f t="shared" si="172"/>
        <v>0</v>
      </c>
      <c r="H377" s="148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73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03">
        <f t="shared" si="174"/>
        <v>0</v>
      </c>
      <c r="AK377" s="123"/>
      <c r="AL377" s="123"/>
      <c r="AM377" s="123"/>
      <c r="AN377" s="105">
        <f t="shared" si="175"/>
        <v>0</v>
      </c>
      <c r="AO377" s="143"/>
      <c r="AP377" s="143"/>
      <c r="AQ377" s="143"/>
      <c r="AR377" s="146"/>
      <c r="AS377" s="224">
        <f t="shared" si="176"/>
        <v>0</v>
      </c>
      <c r="AT377" s="225"/>
      <c r="AU377" s="125"/>
      <c r="AV377" s="225"/>
      <c r="AW377" s="225"/>
      <c r="AX377" s="221"/>
      <c r="AY377" s="127"/>
      <c r="AZ377" s="127"/>
      <c r="BA377" s="225"/>
      <c r="BB377" s="221"/>
      <c r="BC377" s="221"/>
      <c r="BD377" s="221"/>
      <c r="BE377" s="128"/>
      <c r="BF377" s="225"/>
      <c r="BG377" s="222">
        <f t="shared" si="177"/>
        <v>0</v>
      </c>
      <c r="BH377" s="113">
        <f t="shared" si="178"/>
        <v>0</v>
      </c>
      <c r="BI377" s="3"/>
      <c r="BJ377" s="113">
        <f t="shared" si="179"/>
        <v>0</v>
      </c>
      <c r="BK377" s="129"/>
      <c r="BL377" s="129"/>
      <c r="BM377" s="129"/>
      <c r="BN377" s="129"/>
      <c r="BO377" s="129"/>
      <c r="BP377" s="130">
        <f t="shared" si="180"/>
        <v>0</v>
      </c>
      <c r="BQ377" s="3"/>
    </row>
    <row r="378" ht="14.25" customHeight="1">
      <c r="A378" s="3"/>
      <c r="B378" s="215">
        <v>46360</v>
      </c>
      <c r="C378" s="118"/>
      <c r="D378" s="123"/>
      <c r="E378" s="120"/>
      <c r="F378" s="120"/>
      <c r="G378" s="147">
        <f t="shared" si="172"/>
        <v>0</v>
      </c>
      <c r="H378" s="148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73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03">
        <f t="shared" si="174"/>
        <v>0</v>
      </c>
      <c r="AK378" s="123"/>
      <c r="AL378" s="123"/>
      <c r="AM378" s="123"/>
      <c r="AN378" s="105">
        <f t="shared" si="175"/>
        <v>0</v>
      </c>
      <c r="AO378" s="143"/>
      <c r="AP378" s="143"/>
      <c r="AQ378" s="143"/>
      <c r="AR378" s="146"/>
      <c r="AS378" s="224">
        <f t="shared" si="176"/>
        <v>0</v>
      </c>
      <c r="AT378" s="225"/>
      <c r="AU378" s="125"/>
      <c r="AV378" s="225"/>
      <c r="AW378" s="225"/>
      <c r="AX378" s="221"/>
      <c r="AY378" s="127"/>
      <c r="AZ378" s="127"/>
      <c r="BA378" s="225"/>
      <c r="BB378" s="221"/>
      <c r="BC378" s="221"/>
      <c r="BD378" s="221"/>
      <c r="BE378" s="128"/>
      <c r="BF378" s="225"/>
      <c r="BG378" s="222">
        <f t="shared" si="177"/>
        <v>0</v>
      </c>
      <c r="BH378" s="113">
        <f t="shared" si="178"/>
        <v>0</v>
      </c>
      <c r="BI378" s="3"/>
      <c r="BJ378" s="113">
        <f t="shared" si="179"/>
        <v>0</v>
      </c>
      <c r="BK378" s="129"/>
      <c r="BL378" s="129"/>
      <c r="BM378" s="129"/>
      <c r="BN378" s="129"/>
      <c r="BO378" s="129"/>
      <c r="BP378" s="130">
        <f t="shared" si="180"/>
        <v>0</v>
      </c>
      <c r="BQ378" s="3"/>
    </row>
    <row r="379" ht="14.25" customHeight="1">
      <c r="A379" s="3"/>
      <c r="B379" s="215">
        <v>46361</v>
      </c>
      <c r="C379" s="118"/>
      <c r="D379" s="123"/>
      <c r="E379" s="120"/>
      <c r="F379" s="120"/>
      <c r="G379" s="147">
        <f t="shared" si="172"/>
        <v>0</v>
      </c>
      <c r="H379" s="148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73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03">
        <f t="shared" si="174"/>
        <v>0</v>
      </c>
      <c r="AK379" s="123"/>
      <c r="AL379" s="123"/>
      <c r="AM379" s="123"/>
      <c r="AN379" s="105">
        <f t="shared" si="175"/>
        <v>0</v>
      </c>
      <c r="AO379" s="143"/>
      <c r="AP379" s="143"/>
      <c r="AQ379" s="143"/>
      <c r="AR379" s="146"/>
      <c r="AS379" s="224">
        <f t="shared" si="176"/>
        <v>0</v>
      </c>
      <c r="AT379" s="225"/>
      <c r="AU379" s="125"/>
      <c r="AV379" s="225"/>
      <c r="AW379" s="225"/>
      <c r="AX379" s="221"/>
      <c r="AY379" s="127"/>
      <c r="AZ379" s="127"/>
      <c r="BA379" s="225"/>
      <c r="BB379" s="221"/>
      <c r="BC379" s="221"/>
      <c r="BD379" s="221"/>
      <c r="BE379" s="128"/>
      <c r="BF379" s="225"/>
      <c r="BG379" s="222">
        <f t="shared" si="177"/>
        <v>0</v>
      </c>
      <c r="BH379" s="113">
        <f t="shared" si="178"/>
        <v>0</v>
      </c>
      <c r="BI379" s="3"/>
      <c r="BJ379" s="113">
        <f t="shared" si="179"/>
        <v>0</v>
      </c>
      <c r="BK379" s="129"/>
      <c r="BL379" s="129"/>
      <c r="BM379" s="129"/>
      <c r="BN379" s="129"/>
      <c r="BO379" s="129"/>
      <c r="BP379" s="130">
        <f t="shared" si="180"/>
        <v>0</v>
      </c>
      <c r="BQ379" s="3"/>
    </row>
    <row r="380" ht="14.25" customHeight="1">
      <c r="A380" s="132"/>
      <c r="B380" s="215">
        <v>46362</v>
      </c>
      <c r="C380" s="133"/>
      <c r="D380" s="136"/>
      <c r="E380" s="135"/>
      <c r="F380" s="135"/>
      <c r="G380" s="147">
        <f t="shared" si="172"/>
        <v>0</v>
      </c>
      <c r="H380" s="148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73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03">
        <f t="shared" si="174"/>
        <v>0</v>
      </c>
      <c r="AK380" s="136"/>
      <c r="AL380" s="136"/>
      <c r="AM380" s="136"/>
      <c r="AN380" s="105">
        <f t="shared" si="175"/>
        <v>0</v>
      </c>
      <c r="AO380" s="143"/>
      <c r="AP380" s="143"/>
      <c r="AQ380" s="143"/>
      <c r="AR380" s="146"/>
      <c r="AS380" s="224">
        <f t="shared" si="176"/>
        <v>0</v>
      </c>
      <c r="AT380" s="126"/>
      <c r="AU380" s="125"/>
      <c r="AV380" s="294"/>
      <c r="AW380" s="126"/>
      <c r="AX380" s="127"/>
      <c r="AY380" s="127"/>
      <c r="AZ380" s="127"/>
      <c r="BA380" s="126"/>
      <c r="BB380" s="127"/>
      <c r="BC380" s="127"/>
      <c r="BD380" s="127"/>
      <c r="BE380" s="128"/>
      <c r="BF380" s="126"/>
      <c r="BG380" s="222">
        <f t="shared" si="177"/>
        <v>0</v>
      </c>
      <c r="BH380" s="140">
        <f t="shared" si="178"/>
        <v>0</v>
      </c>
      <c r="BI380" s="132"/>
      <c r="BJ380" s="140">
        <f t="shared" si="179"/>
        <v>0</v>
      </c>
      <c r="BK380" s="141"/>
      <c r="BL380" s="141"/>
      <c r="BM380" s="141"/>
      <c r="BN380" s="141"/>
      <c r="BO380" s="141"/>
      <c r="BP380" s="130">
        <f t="shared" si="180"/>
        <v>0</v>
      </c>
      <c r="BQ380" s="132"/>
    </row>
    <row r="381" ht="14.25" customHeight="1">
      <c r="A381" s="132"/>
      <c r="B381" s="215">
        <v>46363</v>
      </c>
      <c r="C381" s="133"/>
      <c r="D381" s="136"/>
      <c r="E381" s="135"/>
      <c r="F381" s="135"/>
      <c r="G381" s="147">
        <f t="shared" si="172"/>
        <v>0</v>
      </c>
      <c r="H381" s="148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73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03">
        <f t="shared" si="174"/>
        <v>0</v>
      </c>
      <c r="AK381" s="136"/>
      <c r="AL381" s="136"/>
      <c r="AM381" s="136"/>
      <c r="AN381" s="105">
        <f t="shared" si="175"/>
        <v>0</v>
      </c>
      <c r="AO381" s="143"/>
      <c r="AP381" s="143"/>
      <c r="AQ381" s="143"/>
      <c r="AR381" s="146"/>
      <c r="AS381" s="224">
        <f t="shared" si="176"/>
        <v>0</v>
      </c>
      <c r="AT381" s="126"/>
      <c r="AU381" s="125"/>
      <c r="AV381" s="126"/>
      <c r="AW381" s="126"/>
      <c r="AX381" s="127"/>
      <c r="AY381" s="127"/>
      <c r="AZ381" s="127"/>
      <c r="BA381" s="126"/>
      <c r="BB381" s="127"/>
      <c r="BC381" s="127"/>
      <c r="BD381" s="127"/>
      <c r="BE381" s="128"/>
      <c r="BF381" s="126"/>
      <c r="BG381" s="222">
        <f t="shared" si="177"/>
        <v>0</v>
      </c>
      <c r="BH381" s="140">
        <f t="shared" si="178"/>
        <v>0</v>
      </c>
      <c r="BI381" s="132"/>
      <c r="BJ381" s="140">
        <f t="shared" si="179"/>
        <v>0</v>
      </c>
      <c r="BK381" s="141"/>
      <c r="BL381" s="141"/>
      <c r="BM381" s="141"/>
      <c r="BN381" s="141"/>
      <c r="BO381" s="141"/>
      <c r="BP381" s="130">
        <f t="shared" si="180"/>
        <v>0</v>
      </c>
      <c r="BQ381" s="132"/>
    </row>
    <row r="382" ht="14.25" customHeight="1">
      <c r="A382" s="132"/>
      <c r="B382" s="215">
        <v>46364</v>
      </c>
      <c r="C382" s="133"/>
      <c r="D382" s="136"/>
      <c r="E382" s="135"/>
      <c r="F382" s="135"/>
      <c r="G382" s="147">
        <f t="shared" si="172"/>
        <v>0</v>
      </c>
      <c r="H382" s="148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73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03">
        <f t="shared" si="174"/>
        <v>0</v>
      </c>
      <c r="AK382" s="136"/>
      <c r="AL382" s="136"/>
      <c r="AM382" s="136"/>
      <c r="AN382" s="105">
        <f t="shared" si="175"/>
        <v>0</v>
      </c>
      <c r="AO382" s="143"/>
      <c r="AP382" s="143"/>
      <c r="AQ382" s="143"/>
      <c r="AR382" s="146"/>
      <c r="AS382" s="224">
        <f t="shared" si="176"/>
        <v>0</v>
      </c>
      <c r="AT382" s="126"/>
      <c r="AU382" s="125"/>
      <c r="AV382" s="126"/>
      <c r="AW382" s="126"/>
      <c r="AX382" s="127"/>
      <c r="AY382" s="127"/>
      <c r="AZ382" s="127"/>
      <c r="BA382" s="126"/>
      <c r="BB382" s="127"/>
      <c r="BC382" s="127"/>
      <c r="BD382" s="127"/>
      <c r="BE382" s="128"/>
      <c r="BF382" s="126"/>
      <c r="BG382" s="222">
        <f t="shared" si="177"/>
        <v>0</v>
      </c>
      <c r="BH382" s="140">
        <f t="shared" si="178"/>
        <v>0</v>
      </c>
      <c r="BI382" s="132"/>
      <c r="BJ382" s="140">
        <f t="shared" si="179"/>
        <v>0</v>
      </c>
      <c r="BK382" s="141"/>
      <c r="BL382" s="141"/>
      <c r="BM382" s="141"/>
      <c r="BN382" s="141"/>
      <c r="BO382" s="141"/>
      <c r="BP382" s="130">
        <f t="shared" si="180"/>
        <v>0</v>
      </c>
      <c r="BQ382" s="132"/>
    </row>
    <row r="383" ht="14.25" customHeight="1">
      <c r="A383" s="132"/>
      <c r="B383" s="215">
        <v>46365</v>
      </c>
      <c r="C383" s="133"/>
      <c r="D383" s="136"/>
      <c r="E383" s="135"/>
      <c r="F383" s="135"/>
      <c r="G383" s="147">
        <f t="shared" si="172"/>
        <v>0</v>
      </c>
      <c r="H383" s="148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73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03">
        <f t="shared" si="174"/>
        <v>0</v>
      </c>
      <c r="AK383" s="136"/>
      <c r="AL383" s="136"/>
      <c r="AM383" s="136"/>
      <c r="AN383" s="105">
        <f t="shared" si="175"/>
        <v>0</v>
      </c>
      <c r="AO383" s="143"/>
      <c r="AP383" s="143"/>
      <c r="AQ383" s="143"/>
      <c r="AR383" s="146"/>
      <c r="AS383" s="224">
        <f t="shared" si="176"/>
        <v>0</v>
      </c>
      <c r="AT383" s="126"/>
      <c r="AU383" s="125"/>
      <c r="AV383" s="126"/>
      <c r="AW383" s="126"/>
      <c r="AX383" s="127"/>
      <c r="AY383" s="127"/>
      <c r="AZ383" s="127"/>
      <c r="BA383" s="126"/>
      <c r="BB383" s="127"/>
      <c r="BC383" s="127"/>
      <c r="BD383" s="127"/>
      <c r="BE383" s="128"/>
      <c r="BF383" s="126"/>
      <c r="BG383" s="222">
        <f t="shared" si="177"/>
        <v>0</v>
      </c>
      <c r="BH383" s="140">
        <f t="shared" si="178"/>
        <v>0</v>
      </c>
      <c r="BI383" s="132"/>
      <c r="BJ383" s="140">
        <f t="shared" si="179"/>
        <v>0</v>
      </c>
      <c r="BK383" s="141"/>
      <c r="BL383" s="141"/>
      <c r="BM383" s="141"/>
      <c r="BN383" s="141"/>
      <c r="BO383" s="141"/>
      <c r="BP383" s="130">
        <f t="shared" si="180"/>
        <v>0</v>
      </c>
      <c r="BQ383" s="132"/>
    </row>
    <row r="384" ht="14.25" customHeight="1">
      <c r="A384" s="132"/>
      <c r="B384" s="215">
        <v>46366</v>
      </c>
      <c r="C384" s="133"/>
      <c r="D384" s="136"/>
      <c r="E384" s="135"/>
      <c r="F384" s="135"/>
      <c r="G384" s="147">
        <f t="shared" si="172"/>
        <v>0</v>
      </c>
      <c r="H384" s="148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73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03">
        <f t="shared" si="174"/>
        <v>0</v>
      </c>
      <c r="AK384" s="136"/>
      <c r="AL384" s="136"/>
      <c r="AM384" s="136"/>
      <c r="AN384" s="105">
        <f t="shared" si="175"/>
        <v>0</v>
      </c>
      <c r="AO384" s="143"/>
      <c r="AP384" s="143"/>
      <c r="AQ384" s="143"/>
      <c r="AR384" s="146"/>
      <c r="AS384" s="224">
        <f t="shared" si="176"/>
        <v>0</v>
      </c>
      <c r="AT384" s="126"/>
      <c r="AU384" s="125"/>
      <c r="AV384" s="126"/>
      <c r="AW384" s="126"/>
      <c r="AX384" s="127"/>
      <c r="AY384" s="127"/>
      <c r="AZ384" s="127"/>
      <c r="BA384" s="126"/>
      <c r="BB384" s="127"/>
      <c r="BC384" s="127"/>
      <c r="BD384" s="127"/>
      <c r="BE384" s="128"/>
      <c r="BF384" s="126"/>
      <c r="BG384" s="222">
        <f t="shared" si="177"/>
        <v>0</v>
      </c>
      <c r="BH384" s="140">
        <f t="shared" si="178"/>
        <v>0</v>
      </c>
      <c r="BI384" s="132"/>
      <c r="BJ384" s="140">
        <f t="shared" si="179"/>
        <v>0</v>
      </c>
      <c r="BK384" s="141"/>
      <c r="BL384" s="141"/>
      <c r="BM384" s="141"/>
      <c r="BN384" s="141"/>
      <c r="BO384" s="141"/>
      <c r="BP384" s="130">
        <f t="shared" si="180"/>
        <v>0</v>
      </c>
      <c r="BQ384" s="132"/>
    </row>
    <row r="385" ht="14.25" customHeight="1">
      <c r="A385" s="132"/>
      <c r="B385" s="215">
        <v>46367</v>
      </c>
      <c r="C385" s="133"/>
      <c r="D385" s="136"/>
      <c r="E385" s="135"/>
      <c r="F385" s="135"/>
      <c r="G385" s="147">
        <f t="shared" si="172"/>
        <v>0</v>
      </c>
      <c r="H385" s="148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73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03">
        <f t="shared" si="174"/>
        <v>0</v>
      </c>
      <c r="AK385" s="136"/>
      <c r="AL385" s="136"/>
      <c r="AM385" s="136"/>
      <c r="AN385" s="105">
        <f t="shared" si="175"/>
        <v>0</v>
      </c>
      <c r="AO385" s="143"/>
      <c r="AP385" s="143"/>
      <c r="AQ385" s="143"/>
      <c r="AR385" s="146"/>
      <c r="AS385" s="224">
        <f t="shared" si="176"/>
        <v>0</v>
      </c>
      <c r="AT385" s="126"/>
      <c r="AU385" s="125"/>
      <c r="AV385" s="126"/>
      <c r="AW385" s="126"/>
      <c r="AX385" s="127"/>
      <c r="AY385" s="127"/>
      <c r="AZ385" s="127"/>
      <c r="BA385" s="126"/>
      <c r="BB385" s="127"/>
      <c r="BC385" s="127"/>
      <c r="BD385" s="127"/>
      <c r="BE385" s="128"/>
      <c r="BF385" s="126"/>
      <c r="BG385" s="222">
        <f t="shared" si="177"/>
        <v>0</v>
      </c>
      <c r="BH385" s="140">
        <f t="shared" si="178"/>
        <v>0</v>
      </c>
      <c r="BI385" s="132"/>
      <c r="BJ385" s="140">
        <f t="shared" si="179"/>
        <v>0</v>
      </c>
      <c r="BK385" s="141"/>
      <c r="BL385" s="141"/>
      <c r="BM385" s="141"/>
      <c r="BN385" s="141"/>
      <c r="BO385" s="141"/>
      <c r="BP385" s="130">
        <f t="shared" si="180"/>
        <v>0</v>
      </c>
      <c r="BQ385" s="132"/>
    </row>
    <row r="386" ht="14.25" customHeight="1">
      <c r="A386" s="132"/>
      <c r="B386" s="215">
        <v>46368</v>
      </c>
      <c r="C386" s="133"/>
      <c r="D386" s="136"/>
      <c r="E386" s="135"/>
      <c r="F386" s="135"/>
      <c r="G386" s="147">
        <f t="shared" si="172"/>
        <v>0</v>
      </c>
      <c r="H386" s="148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73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03">
        <f t="shared" si="174"/>
        <v>0</v>
      </c>
      <c r="AK386" s="136"/>
      <c r="AL386" s="136"/>
      <c r="AM386" s="136"/>
      <c r="AN386" s="105">
        <f t="shared" si="175"/>
        <v>0</v>
      </c>
      <c r="AO386" s="143"/>
      <c r="AP386" s="143"/>
      <c r="AQ386" s="143"/>
      <c r="AR386" s="146"/>
      <c r="AS386" s="224">
        <f t="shared" si="176"/>
        <v>0</v>
      </c>
      <c r="AT386" s="126"/>
      <c r="AU386" s="125"/>
      <c r="AV386" s="126"/>
      <c r="AW386" s="126"/>
      <c r="AX386" s="127"/>
      <c r="AY386" s="127"/>
      <c r="AZ386" s="127"/>
      <c r="BA386" s="126"/>
      <c r="BB386" s="127"/>
      <c r="BC386" s="127"/>
      <c r="BD386" s="127"/>
      <c r="BE386" s="128"/>
      <c r="BF386" s="126"/>
      <c r="BG386" s="222">
        <f t="shared" si="177"/>
        <v>0</v>
      </c>
      <c r="BH386" s="140">
        <f t="shared" si="178"/>
        <v>0</v>
      </c>
      <c r="BI386" s="132"/>
      <c r="BJ386" s="140">
        <f t="shared" si="179"/>
        <v>0</v>
      </c>
      <c r="BK386" s="141"/>
      <c r="BL386" s="141"/>
      <c r="BM386" s="141"/>
      <c r="BN386" s="141"/>
      <c r="BO386" s="141"/>
      <c r="BP386" s="130">
        <f t="shared" si="180"/>
        <v>0</v>
      </c>
      <c r="BQ386" s="132"/>
    </row>
    <row r="387" ht="14.25" customHeight="1">
      <c r="A387" s="132"/>
      <c r="B387" s="215">
        <v>46369</v>
      </c>
      <c r="C387" s="133"/>
      <c r="D387" s="136"/>
      <c r="E387" s="135"/>
      <c r="F387" s="135"/>
      <c r="G387" s="147">
        <f t="shared" si="172"/>
        <v>0</v>
      </c>
      <c r="H387" s="148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73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03">
        <f t="shared" si="174"/>
        <v>0</v>
      </c>
      <c r="AK387" s="136"/>
      <c r="AL387" s="136"/>
      <c r="AM387" s="136"/>
      <c r="AN387" s="105">
        <f t="shared" si="175"/>
        <v>0</v>
      </c>
      <c r="AO387" s="143"/>
      <c r="AP387" s="143"/>
      <c r="AQ387" s="143"/>
      <c r="AR387" s="146"/>
      <c r="AS387" s="224">
        <f t="shared" si="176"/>
        <v>0</v>
      </c>
      <c r="AT387" s="126"/>
      <c r="AU387" s="125"/>
      <c r="AV387" s="126"/>
      <c r="AW387" s="126"/>
      <c r="AX387" s="127"/>
      <c r="AY387" s="127"/>
      <c r="AZ387" s="127"/>
      <c r="BA387" s="126"/>
      <c r="BB387" s="127"/>
      <c r="BC387" s="127"/>
      <c r="BD387" s="127"/>
      <c r="BE387" s="128"/>
      <c r="BF387" s="126"/>
      <c r="BG387" s="222">
        <f t="shared" si="177"/>
        <v>0</v>
      </c>
      <c r="BH387" s="140">
        <f t="shared" si="178"/>
        <v>0</v>
      </c>
      <c r="BI387" s="132"/>
      <c r="BJ387" s="140">
        <f t="shared" si="179"/>
        <v>0</v>
      </c>
      <c r="BK387" s="141"/>
      <c r="BL387" s="141"/>
      <c r="BM387" s="141"/>
      <c r="BN387" s="141"/>
      <c r="BO387" s="141"/>
      <c r="BP387" s="130">
        <f t="shared" si="180"/>
        <v>0</v>
      </c>
      <c r="BQ387" s="132"/>
    </row>
    <row r="388" ht="14.25" customHeight="1">
      <c r="A388" s="132"/>
      <c r="B388" s="215">
        <v>46370</v>
      </c>
      <c r="C388" s="133"/>
      <c r="D388" s="136"/>
      <c r="E388" s="135"/>
      <c r="F388" s="135"/>
      <c r="G388" s="147">
        <f t="shared" si="172"/>
        <v>0</v>
      </c>
      <c r="H388" s="148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73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03">
        <f t="shared" si="174"/>
        <v>0</v>
      </c>
      <c r="AK388" s="136"/>
      <c r="AL388" s="136"/>
      <c r="AM388" s="136"/>
      <c r="AN388" s="105">
        <f t="shared" si="175"/>
        <v>0</v>
      </c>
      <c r="AO388" s="143"/>
      <c r="AP388" s="143"/>
      <c r="AQ388" s="143"/>
      <c r="AR388" s="146"/>
      <c r="AS388" s="224">
        <f t="shared" si="176"/>
        <v>0</v>
      </c>
      <c r="AT388" s="126"/>
      <c r="AU388" s="125"/>
      <c r="AV388" s="126"/>
      <c r="AW388" s="126"/>
      <c r="AX388" s="127"/>
      <c r="AY388" s="127"/>
      <c r="AZ388" s="127"/>
      <c r="BA388" s="126"/>
      <c r="BB388" s="127"/>
      <c r="BC388" s="127"/>
      <c r="BD388" s="127"/>
      <c r="BE388" s="128"/>
      <c r="BF388" s="126"/>
      <c r="BG388" s="222">
        <f t="shared" si="177"/>
        <v>0</v>
      </c>
      <c r="BH388" s="140">
        <f t="shared" si="178"/>
        <v>0</v>
      </c>
      <c r="BI388" s="132"/>
      <c r="BJ388" s="140">
        <f t="shared" si="179"/>
        <v>0</v>
      </c>
      <c r="BK388" s="141"/>
      <c r="BL388" s="309"/>
      <c r="BM388" s="310"/>
      <c r="BN388" s="152"/>
      <c r="BO388" s="141"/>
      <c r="BP388" s="130">
        <f t="shared" si="180"/>
        <v>0</v>
      </c>
      <c r="BQ388" s="132"/>
    </row>
    <row r="389" ht="14.25" customHeight="1">
      <c r="A389" s="132"/>
      <c r="B389" s="215">
        <v>46371</v>
      </c>
      <c r="C389" s="133"/>
      <c r="D389" s="136"/>
      <c r="E389" s="135"/>
      <c r="F389" s="135"/>
      <c r="G389" s="147">
        <f t="shared" si="172"/>
        <v>0</v>
      </c>
      <c r="H389" s="148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73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03">
        <f t="shared" si="174"/>
        <v>0</v>
      </c>
      <c r="AK389" s="136"/>
      <c r="AL389" s="136"/>
      <c r="AM389" s="136"/>
      <c r="AN389" s="105">
        <f t="shared" si="175"/>
        <v>0</v>
      </c>
      <c r="AO389" s="143"/>
      <c r="AP389" s="143"/>
      <c r="AQ389" s="143"/>
      <c r="AR389" s="146"/>
      <c r="AS389" s="224">
        <f t="shared" si="176"/>
        <v>0</v>
      </c>
      <c r="AT389" s="126"/>
      <c r="AU389" s="125"/>
      <c r="AV389" s="126"/>
      <c r="AW389" s="126"/>
      <c r="AX389" s="127"/>
      <c r="AY389" s="127"/>
      <c r="AZ389" s="127"/>
      <c r="BA389" s="126"/>
      <c r="BB389" s="127"/>
      <c r="BC389" s="127"/>
      <c r="BD389" s="127"/>
      <c r="BE389" s="128"/>
      <c r="BF389" s="126"/>
      <c r="BG389" s="222">
        <f t="shared" si="177"/>
        <v>0</v>
      </c>
      <c r="BH389" s="140">
        <f t="shared" si="178"/>
        <v>0</v>
      </c>
      <c r="BI389" s="132"/>
      <c r="BJ389" s="140">
        <f t="shared" si="179"/>
        <v>0</v>
      </c>
      <c r="BK389" s="141"/>
      <c r="BL389" s="141"/>
      <c r="BM389" s="141"/>
      <c r="BN389" s="141"/>
      <c r="BO389" s="141"/>
      <c r="BP389" s="130">
        <f t="shared" si="180"/>
        <v>0</v>
      </c>
      <c r="BQ389" s="132"/>
    </row>
    <row r="390" ht="14.25" customHeight="1">
      <c r="A390" s="132"/>
      <c r="B390" s="215">
        <v>46372</v>
      </c>
      <c r="C390" s="133"/>
      <c r="D390" s="136"/>
      <c r="E390" s="135"/>
      <c r="F390" s="135"/>
      <c r="G390" s="147">
        <f t="shared" si="172"/>
        <v>0</v>
      </c>
      <c r="H390" s="148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73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03">
        <f t="shared" si="174"/>
        <v>0</v>
      </c>
      <c r="AK390" s="136"/>
      <c r="AL390" s="136"/>
      <c r="AM390" s="136"/>
      <c r="AN390" s="105">
        <f t="shared" si="175"/>
        <v>0</v>
      </c>
      <c r="AO390" s="143"/>
      <c r="AP390" s="143"/>
      <c r="AQ390" s="143"/>
      <c r="AR390" s="146"/>
      <c r="AS390" s="224">
        <f t="shared" si="176"/>
        <v>0</v>
      </c>
      <c r="AT390" s="126"/>
      <c r="AU390" s="125"/>
      <c r="AV390" s="126"/>
      <c r="AW390" s="126"/>
      <c r="AX390" s="127"/>
      <c r="AY390" s="127"/>
      <c r="AZ390" s="127"/>
      <c r="BA390" s="126"/>
      <c r="BB390" s="127"/>
      <c r="BC390" s="127"/>
      <c r="BD390" s="127"/>
      <c r="BE390" s="128"/>
      <c r="BF390" s="126"/>
      <c r="BG390" s="222">
        <f t="shared" si="177"/>
        <v>0</v>
      </c>
      <c r="BH390" s="140">
        <f t="shared" si="178"/>
        <v>0</v>
      </c>
      <c r="BI390" s="132"/>
      <c r="BJ390" s="140">
        <f t="shared" si="179"/>
        <v>0</v>
      </c>
      <c r="BK390" s="141"/>
      <c r="BL390" s="141"/>
      <c r="BM390" s="141"/>
      <c r="BN390" s="141"/>
      <c r="BO390" s="141"/>
      <c r="BP390" s="130">
        <f t="shared" si="180"/>
        <v>0</v>
      </c>
      <c r="BQ390" s="132"/>
    </row>
    <row r="391" ht="15" customHeight="1">
      <c r="A391" s="132"/>
      <c r="B391" s="215">
        <v>46373</v>
      </c>
      <c r="C391" s="133"/>
      <c r="D391" s="136"/>
      <c r="E391" s="135"/>
      <c r="F391" s="135"/>
      <c r="G391" s="147">
        <f t="shared" si="172"/>
        <v>0</v>
      </c>
      <c r="H391" s="148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73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03">
        <f t="shared" si="174"/>
        <v>0</v>
      </c>
      <c r="AK391" s="136"/>
      <c r="AL391" s="136"/>
      <c r="AM391" s="136"/>
      <c r="AN391" s="105">
        <f t="shared" si="175"/>
        <v>0</v>
      </c>
      <c r="AO391" s="143"/>
      <c r="AP391" s="143"/>
      <c r="AQ391" s="143"/>
      <c r="AR391" s="146"/>
      <c r="AS391" s="224">
        <f t="shared" si="176"/>
        <v>0</v>
      </c>
      <c r="AT391" s="126"/>
      <c r="AU391" s="125"/>
      <c r="AV391" s="126"/>
      <c r="AW391" s="126"/>
      <c r="AX391" s="127"/>
      <c r="AY391" s="127"/>
      <c r="AZ391" s="127"/>
      <c r="BA391" s="126"/>
      <c r="BB391" s="127"/>
      <c r="BC391" s="127"/>
      <c r="BD391" s="127"/>
      <c r="BE391" s="128"/>
      <c r="BF391" s="126"/>
      <c r="BG391" s="222">
        <f t="shared" si="177"/>
        <v>0</v>
      </c>
      <c r="BH391" s="140">
        <f t="shared" si="178"/>
        <v>0</v>
      </c>
      <c r="BI391" s="132"/>
      <c r="BJ391" s="140">
        <f t="shared" si="179"/>
        <v>0</v>
      </c>
      <c r="BK391" s="141"/>
      <c r="BL391" s="141"/>
      <c r="BM391" s="141"/>
      <c r="BN391" s="141"/>
      <c r="BO391" s="141"/>
      <c r="BP391" s="130">
        <f t="shared" si="180"/>
        <v>0</v>
      </c>
      <c r="BQ391" s="132"/>
    </row>
    <row r="392" ht="14.25" customHeight="1">
      <c r="A392" s="132"/>
      <c r="B392" s="215">
        <v>46374</v>
      </c>
      <c r="C392" s="133"/>
      <c r="D392" s="136"/>
      <c r="E392" s="135"/>
      <c r="F392" s="135"/>
      <c r="G392" s="147">
        <f t="shared" si="172"/>
        <v>0</v>
      </c>
      <c r="H392" s="148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73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03">
        <f t="shared" si="174"/>
        <v>0</v>
      </c>
      <c r="AK392" s="136"/>
      <c r="AL392" s="136"/>
      <c r="AM392" s="136"/>
      <c r="AN392" s="105">
        <f t="shared" si="175"/>
        <v>0</v>
      </c>
      <c r="AO392" s="143"/>
      <c r="AP392" s="143"/>
      <c r="AQ392" s="143"/>
      <c r="AR392" s="146"/>
      <c r="AS392" s="224">
        <f t="shared" si="176"/>
        <v>0</v>
      </c>
      <c r="AT392" s="126"/>
      <c r="AU392" s="125"/>
      <c r="AV392" s="126"/>
      <c r="AW392" s="126"/>
      <c r="AX392" s="127"/>
      <c r="AY392" s="127"/>
      <c r="AZ392" s="127"/>
      <c r="BA392" s="126"/>
      <c r="BB392" s="127"/>
      <c r="BC392" s="127"/>
      <c r="BD392" s="127"/>
      <c r="BE392" s="128"/>
      <c r="BF392" s="126"/>
      <c r="BG392" s="222">
        <f t="shared" si="177"/>
        <v>0</v>
      </c>
      <c r="BH392" s="140">
        <f t="shared" si="178"/>
        <v>0</v>
      </c>
      <c r="BI392" s="132"/>
      <c r="BJ392" s="140">
        <f t="shared" si="179"/>
        <v>0</v>
      </c>
      <c r="BK392" s="141"/>
      <c r="BL392" s="141"/>
      <c r="BM392" s="141"/>
      <c r="BN392" s="141"/>
      <c r="BO392" s="141"/>
      <c r="BP392" s="130">
        <f t="shared" si="180"/>
        <v>0</v>
      </c>
      <c r="BQ392" s="132"/>
    </row>
    <row r="393" ht="14.25" customHeight="1">
      <c r="A393" s="132"/>
      <c r="B393" s="215">
        <v>46375</v>
      </c>
      <c r="C393" s="133"/>
      <c r="D393" s="136"/>
      <c r="E393" s="135"/>
      <c r="F393" s="135"/>
      <c r="G393" s="147">
        <f t="shared" si="172"/>
        <v>0</v>
      </c>
      <c r="H393" s="148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73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03">
        <f t="shared" si="174"/>
        <v>0</v>
      </c>
      <c r="AK393" s="136"/>
      <c r="AL393" s="136"/>
      <c r="AM393" s="136"/>
      <c r="AN393" s="105">
        <f t="shared" si="175"/>
        <v>0</v>
      </c>
      <c r="AO393" s="143"/>
      <c r="AP393" s="143"/>
      <c r="AQ393" s="143"/>
      <c r="AR393" s="146"/>
      <c r="AS393" s="224">
        <f t="shared" si="176"/>
        <v>0</v>
      </c>
      <c r="AT393" s="126"/>
      <c r="AU393" s="125"/>
      <c r="AV393" s="126"/>
      <c r="AW393" s="126"/>
      <c r="AX393" s="127"/>
      <c r="AY393" s="127"/>
      <c r="AZ393" s="127"/>
      <c r="BA393" s="126"/>
      <c r="BB393" s="127"/>
      <c r="BC393" s="127"/>
      <c r="BD393" s="127"/>
      <c r="BE393" s="128"/>
      <c r="BF393" s="126"/>
      <c r="BG393" s="222">
        <f t="shared" si="177"/>
        <v>0</v>
      </c>
      <c r="BH393" s="140">
        <f t="shared" si="178"/>
        <v>0</v>
      </c>
      <c r="BI393" s="132"/>
      <c r="BJ393" s="140">
        <f t="shared" si="179"/>
        <v>0</v>
      </c>
      <c r="BK393" s="141"/>
      <c r="BL393" s="141"/>
      <c r="BM393" s="141"/>
      <c r="BN393" s="141"/>
      <c r="BO393" s="141"/>
      <c r="BP393" s="130">
        <f t="shared" si="180"/>
        <v>0</v>
      </c>
      <c r="BQ393" s="132"/>
    </row>
    <row r="394" ht="14.25" customHeight="1">
      <c r="A394" s="132"/>
      <c r="B394" s="215">
        <v>46376</v>
      </c>
      <c r="C394" s="133"/>
      <c r="D394" s="136"/>
      <c r="E394" s="135"/>
      <c r="F394" s="135"/>
      <c r="G394" s="147">
        <f t="shared" si="172"/>
        <v>0</v>
      </c>
      <c r="H394" s="148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73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03">
        <f t="shared" si="174"/>
        <v>0</v>
      </c>
      <c r="AK394" s="136"/>
      <c r="AL394" s="136"/>
      <c r="AM394" s="136"/>
      <c r="AN394" s="105">
        <f t="shared" si="175"/>
        <v>0</v>
      </c>
      <c r="AO394" s="143"/>
      <c r="AP394" s="143"/>
      <c r="AQ394" s="143"/>
      <c r="AR394" s="146"/>
      <c r="AS394" s="224">
        <f t="shared" si="176"/>
        <v>0</v>
      </c>
      <c r="AT394" s="126"/>
      <c r="AU394" s="125"/>
      <c r="AV394" s="126"/>
      <c r="AW394" s="126"/>
      <c r="AX394" s="127"/>
      <c r="AY394" s="127"/>
      <c r="AZ394" s="127"/>
      <c r="BA394" s="126"/>
      <c r="BB394" s="127"/>
      <c r="BC394" s="127"/>
      <c r="BD394" s="127"/>
      <c r="BE394" s="128"/>
      <c r="BF394" s="126"/>
      <c r="BG394" s="222">
        <f t="shared" si="177"/>
        <v>0</v>
      </c>
      <c r="BH394" s="140">
        <f t="shared" si="178"/>
        <v>0</v>
      </c>
      <c r="BI394" s="132"/>
      <c r="BJ394" s="140">
        <f t="shared" si="179"/>
        <v>0</v>
      </c>
      <c r="BK394" s="141"/>
      <c r="BL394" s="141"/>
      <c r="BM394" s="141"/>
      <c r="BN394" s="141"/>
      <c r="BO394" s="141"/>
      <c r="BP394" s="130">
        <f t="shared" si="180"/>
        <v>0</v>
      </c>
      <c r="BQ394" s="132"/>
    </row>
    <row r="395" ht="14.25" customHeight="1">
      <c r="A395" s="132"/>
      <c r="B395" s="215">
        <v>46377</v>
      </c>
      <c r="C395" s="133"/>
      <c r="D395" s="136"/>
      <c r="E395" s="135"/>
      <c r="F395" s="135"/>
      <c r="G395" s="147">
        <f t="shared" si="172"/>
        <v>0</v>
      </c>
      <c r="H395" s="148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73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03">
        <f t="shared" si="174"/>
        <v>0</v>
      </c>
      <c r="AK395" s="136"/>
      <c r="AL395" s="136"/>
      <c r="AM395" s="136"/>
      <c r="AN395" s="105">
        <f t="shared" si="175"/>
        <v>0</v>
      </c>
      <c r="AO395" s="143"/>
      <c r="AP395" s="143"/>
      <c r="AQ395" s="143"/>
      <c r="AR395" s="146"/>
      <c r="AS395" s="224">
        <f t="shared" si="176"/>
        <v>0</v>
      </c>
      <c r="AT395" s="126"/>
      <c r="AU395" s="125"/>
      <c r="AV395" s="126"/>
      <c r="AW395" s="126"/>
      <c r="AX395" s="127"/>
      <c r="AY395" s="127"/>
      <c r="AZ395" s="127"/>
      <c r="BA395" s="126"/>
      <c r="BB395" s="127"/>
      <c r="BC395" s="127"/>
      <c r="BD395" s="127"/>
      <c r="BE395" s="128"/>
      <c r="BF395" s="126"/>
      <c r="BG395" s="222">
        <f t="shared" si="177"/>
        <v>0</v>
      </c>
      <c r="BH395" s="140">
        <f t="shared" si="178"/>
        <v>0</v>
      </c>
      <c r="BI395" s="132"/>
      <c r="BJ395" s="140">
        <f t="shared" si="179"/>
        <v>0</v>
      </c>
      <c r="BK395" s="141"/>
      <c r="BL395" s="141"/>
      <c r="BM395" s="141"/>
      <c r="BN395" s="141"/>
      <c r="BO395" s="141"/>
      <c r="BP395" s="130">
        <f t="shared" si="180"/>
        <v>0</v>
      </c>
      <c r="BQ395" s="132"/>
    </row>
    <row r="396" ht="14.25" customHeight="1">
      <c r="A396" s="132"/>
      <c r="B396" s="215">
        <v>46378</v>
      </c>
      <c r="C396" s="133"/>
      <c r="D396" s="136"/>
      <c r="E396" s="135"/>
      <c r="F396" s="135"/>
      <c r="G396" s="147">
        <f t="shared" si="172"/>
        <v>0</v>
      </c>
      <c r="H396" s="148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73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03">
        <f t="shared" si="174"/>
        <v>0</v>
      </c>
      <c r="AK396" s="136"/>
      <c r="AL396" s="136"/>
      <c r="AM396" s="136"/>
      <c r="AN396" s="105">
        <f t="shared" si="175"/>
        <v>0</v>
      </c>
      <c r="AO396" s="143"/>
      <c r="AP396" s="143"/>
      <c r="AQ396" s="143"/>
      <c r="AR396" s="146"/>
      <c r="AS396" s="224">
        <f t="shared" si="176"/>
        <v>0</v>
      </c>
      <c r="AT396" s="126"/>
      <c r="AU396" s="125"/>
      <c r="AV396" s="126"/>
      <c r="AW396" s="126"/>
      <c r="AX396" s="127"/>
      <c r="AY396" s="127"/>
      <c r="AZ396" s="127"/>
      <c r="BA396" s="126"/>
      <c r="BB396" s="127"/>
      <c r="BC396" s="127"/>
      <c r="BD396" s="127"/>
      <c r="BE396" s="128"/>
      <c r="BF396" s="126"/>
      <c r="BG396" s="222">
        <f t="shared" si="177"/>
        <v>0</v>
      </c>
      <c r="BH396" s="140">
        <f t="shared" si="178"/>
        <v>0</v>
      </c>
      <c r="BI396" s="132"/>
      <c r="BJ396" s="140">
        <f t="shared" si="179"/>
        <v>0</v>
      </c>
      <c r="BK396" s="141"/>
      <c r="BL396" s="141"/>
      <c r="BM396" s="141"/>
      <c r="BN396" s="141"/>
      <c r="BO396" s="141"/>
      <c r="BP396" s="130">
        <f t="shared" si="180"/>
        <v>0</v>
      </c>
      <c r="BQ396" s="132"/>
    </row>
    <row r="397" ht="14.25" customHeight="1">
      <c r="A397" s="132"/>
      <c r="B397" s="215">
        <v>46379</v>
      </c>
      <c r="C397" s="133"/>
      <c r="D397" s="136"/>
      <c r="E397" s="135"/>
      <c r="F397" s="135"/>
      <c r="G397" s="147">
        <f t="shared" si="172"/>
        <v>0</v>
      </c>
      <c r="H397" s="148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73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03">
        <f t="shared" si="174"/>
        <v>0</v>
      </c>
      <c r="AK397" s="136"/>
      <c r="AL397" s="136"/>
      <c r="AM397" s="136"/>
      <c r="AN397" s="105">
        <f t="shared" si="175"/>
        <v>0</v>
      </c>
      <c r="AO397" s="143"/>
      <c r="AP397" s="143"/>
      <c r="AQ397" s="143"/>
      <c r="AR397" s="146"/>
      <c r="AS397" s="224">
        <f t="shared" si="176"/>
        <v>0</v>
      </c>
      <c r="AT397" s="126"/>
      <c r="AU397" s="125"/>
      <c r="AV397" s="126"/>
      <c r="AW397" s="126"/>
      <c r="AX397" s="127"/>
      <c r="AY397" s="127"/>
      <c r="AZ397" s="127"/>
      <c r="BA397" s="126"/>
      <c r="BB397" s="127"/>
      <c r="BC397" s="127"/>
      <c r="BD397" s="127"/>
      <c r="BE397" s="128"/>
      <c r="BF397" s="126"/>
      <c r="BG397" s="222">
        <f t="shared" si="177"/>
        <v>0</v>
      </c>
      <c r="BH397" s="140">
        <f t="shared" si="178"/>
        <v>0</v>
      </c>
      <c r="BI397" s="132"/>
      <c r="BJ397" s="140">
        <f t="shared" si="179"/>
        <v>0</v>
      </c>
      <c r="BK397" s="141"/>
      <c r="BL397" s="141"/>
      <c r="BM397" s="141"/>
      <c r="BN397" s="141"/>
      <c r="BO397" s="141"/>
      <c r="BP397" s="130">
        <f t="shared" si="180"/>
        <v>0</v>
      </c>
      <c r="BQ397" s="132"/>
    </row>
    <row r="398" ht="14.25" customHeight="1">
      <c r="A398" s="132"/>
      <c r="B398" s="215">
        <v>46380</v>
      </c>
      <c r="C398" s="133"/>
      <c r="D398" s="136"/>
      <c r="E398" s="135"/>
      <c r="F398" s="135"/>
      <c r="G398" s="147">
        <f t="shared" si="172"/>
        <v>0</v>
      </c>
      <c r="H398" s="148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73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03">
        <f t="shared" si="174"/>
        <v>0</v>
      </c>
      <c r="AK398" s="136"/>
      <c r="AL398" s="136"/>
      <c r="AM398" s="136"/>
      <c r="AN398" s="105">
        <f t="shared" si="175"/>
        <v>0</v>
      </c>
      <c r="AO398" s="143"/>
      <c r="AP398" s="143"/>
      <c r="AQ398" s="143"/>
      <c r="AR398" s="146"/>
      <c r="AS398" s="224">
        <f t="shared" si="176"/>
        <v>0</v>
      </c>
      <c r="AT398" s="126"/>
      <c r="AU398" s="125"/>
      <c r="AV398" s="126"/>
      <c r="AW398" s="126"/>
      <c r="AX398" s="127"/>
      <c r="AY398" s="127"/>
      <c r="AZ398" s="127"/>
      <c r="BA398" s="126"/>
      <c r="BB398" s="127"/>
      <c r="BC398" s="127"/>
      <c r="BD398" s="127"/>
      <c r="BE398" s="128"/>
      <c r="BF398" s="126"/>
      <c r="BG398" s="222">
        <f t="shared" si="177"/>
        <v>0</v>
      </c>
      <c r="BH398" s="140">
        <f t="shared" si="178"/>
        <v>0</v>
      </c>
      <c r="BI398" s="132"/>
      <c r="BJ398" s="140">
        <f t="shared" si="179"/>
        <v>0</v>
      </c>
      <c r="BK398" s="141"/>
      <c r="BL398" s="141"/>
      <c r="BM398" s="141"/>
      <c r="BN398" s="141"/>
      <c r="BO398" s="141"/>
      <c r="BP398" s="130">
        <f t="shared" si="180"/>
        <v>0</v>
      </c>
      <c r="BQ398" s="132"/>
    </row>
    <row r="399" ht="14.25" customHeight="1">
      <c r="A399" s="132"/>
      <c r="B399" s="215">
        <v>46381</v>
      </c>
      <c r="C399" s="133"/>
      <c r="D399" s="136"/>
      <c r="E399" s="135"/>
      <c r="F399" s="135"/>
      <c r="G399" s="147">
        <f t="shared" si="172"/>
        <v>0</v>
      </c>
      <c r="H399" s="148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73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03">
        <f t="shared" si="174"/>
        <v>0</v>
      </c>
      <c r="AK399" s="136"/>
      <c r="AL399" s="136"/>
      <c r="AM399" s="136"/>
      <c r="AN399" s="105">
        <f t="shared" si="175"/>
        <v>0</v>
      </c>
      <c r="AO399" s="143"/>
      <c r="AP399" s="143"/>
      <c r="AQ399" s="143"/>
      <c r="AR399" s="146"/>
      <c r="AS399" s="224">
        <f t="shared" si="176"/>
        <v>0</v>
      </c>
      <c r="AT399" s="126"/>
      <c r="AU399" s="125"/>
      <c r="AV399" s="126"/>
      <c r="AW399" s="126"/>
      <c r="AX399" s="127"/>
      <c r="AY399" s="127"/>
      <c r="AZ399" s="127"/>
      <c r="BA399" s="126"/>
      <c r="BB399" s="127"/>
      <c r="BC399" s="127"/>
      <c r="BD399" s="127"/>
      <c r="BE399" s="128"/>
      <c r="BF399" s="126"/>
      <c r="BG399" s="222">
        <f t="shared" si="177"/>
        <v>0</v>
      </c>
      <c r="BH399" s="140">
        <f t="shared" si="178"/>
        <v>0</v>
      </c>
      <c r="BI399" s="132"/>
      <c r="BJ399" s="140">
        <f t="shared" si="179"/>
        <v>0</v>
      </c>
      <c r="BK399" s="141"/>
      <c r="BL399" s="141"/>
      <c r="BM399" s="141"/>
      <c r="BN399" s="141"/>
      <c r="BO399" s="141"/>
      <c r="BP399" s="130">
        <f t="shared" si="180"/>
        <v>0</v>
      </c>
      <c r="BQ399" s="132"/>
    </row>
    <row r="400" ht="14.25" customHeight="1">
      <c r="A400" s="132"/>
      <c r="B400" s="215">
        <v>46382</v>
      </c>
      <c r="C400" s="133"/>
      <c r="D400" s="136"/>
      <c r="E400" s="135"/>
      <c r="F400" s="135"/>
      <c r="G400" s="147">
        <f t="shared" si="172"/>
        <v>0</v>
      </c>
      <c r="H400" s="148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>SUM(H400:T400)</f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03">
        <f t="shared" si="174"/>
        <v>0</v>
      </c>
      <c r="AK400" s="136"/>
      <c r="AL400" s="136"/>
      <c r="AM400" s="136"/>
      <c r="AN400" s="105">
        <f t="shared" si="175"/>
        <v>0</v>
      </c>
      <c r="AO400" s="143"/>
      <c r="AP400" s="143"/>
      <c r="AQ400" s="143"/>
      <c r="AR400" s="146"/>
      <c r="AS400" s="224">
        <f t="shared" si="176"/>
        <v>0</v>
      </c>
      <c r="AT400" s="126"/>
      <c r="AU400" s="125"/>
      <c r="AV400" s="126"/>
      <c r="AW400" s="126"/>
      <c r="AX400" s="127"/>
      <c r="AY400" s="127"/>
      <c r="AZ400" s="127"/>
      <c r="BA400" s="126"/>
      <c r="BB400" s="127"/>
      <c r="BC400" s="127"/>
      <c r="BD400" s="127"/>
      <c r="BE400" s="128"/>
      <c r="BF400" s="126"/>
      <c r="BG400" s="222">
        <f t="shared" si="177"/>
        <v>0</v>
      </c>
      <c r="BH400" s="140">
        <f t="shared" si="178"/>
        <v>0</v>
      </c>
      <c r="BI400" s="132"/>
      <c r="BJ400" s="140">
        <f t="shared" si="179"/>
        <v>0</v>
      </c>
      <c r="BK400" s="141"/>
      <c r="BL400" s="141"/>
      <c r="BM400" s="141"/>
      <c r="BN400" s="141"/>
      <c r="BO400" s="141"/>
      <c r="BP400" s="130">
        <f t="shared" si="180"/>
        <v>0</v>
      </c>
      <c r="BQ400" s="132"/>
    </row>
    <row r="401" ht="14.25" customHeight="1">
      <c r="A401" s="132"/>
      <c r="B401" s="215">
        <v>46383</v>
      </c>
      <c r="C401" s="133"/>
      <c r="D401" s="136"/>
      <c r="E401" s="135"/>
      <c r="F401" s="135"/>
      <c r="G401" s="147">
        <f t="shared" si="172"/>
        <v>0</v>
      </c>
      <c r="H401" s="148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ref="U401:U402" t="shared" si="181">SUM(I401:T401)</f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03">
        <f t="shared" si="174"/>
        <v>0</v>
      </c>
      <c r="AK401" s="136"/>
      <c r="AL401" s="136"/>
      <c r="AM401" s="136"/>
      <c r="AN401" s="105">
        <f t="shared" si="175"/>
        <v>0</v>
      </c>
      <c r="AO401" s="143"/>
      <c r="AP401" s="143"/>
      <c r="AQ401" s="143"/>
      <c r="AR401" s="146"/>
      <c r="AS401" s="224">
        <f t="shared" si="176"/>
        <v>0</v>
      </c>
      <c r="AT401" s="126"/>
      <c r="AU401" s="125"/>
      <c r="AV401" s="126"/>
      <c r="AW401" s="126"/>
      <c r="AX401" s="127"/>
      <c r="AY401" s="127"/>
      <c r="AZ401" s="127"/>
      <c r="BA401" s="126"/>
      <c r="BB401" s="127"/>
      <c r="BC401" s="127"/>
      <c r="BD401" s="127"/>
      <c r="BE401" s="128"/>
      <c r="BF401" s="126"/>
      <c r="BG401" s="222">
        <f t="shared" si="177"/>
        <v>0</v>
      </c>
      <c r="BH401" s="140">
        <f t="shared" si="178"/>
        <v>0</v>
      </c>
      <c r="BI401" s="132"/>
      <c r="BJ401" s="140">
        <f t="shared" si="179"/>
        <v>0</v>
      </c>
      <c r="BK401" s="141"/>
      <c r="BL401" s="141"/>
      <c r="BM401" s="141"/>
      <c r="BN401" s="141"/>
      <c r="BO401" s="141"/>
      <c r="BP401" s="130">
        <f t="shared" si="180"/>
        <v>0</v>
      </c>
      <c r="BQ401" s="132"/>
    </row>
    <row r="402" ht="14.25" customHeight="1">
      <c r="A402" s="132"/>
      <c r="B402" s="215">
        <v>46384</v>
      </c>
      <c r="C402" s="133"/>
      <c r="D402" s="136"/>
      <c r="E402" s="135"/>
      <c r="F402" s="135"/>
      <c r="G402" s="147">
        <f t="shared" si="172"/>
        <v>0</v>
      </c>
      <c r="H402" s="148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81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03">
        <f t="shared" si="174"/>
        <v>0</v>
      </c>
      <c r="AK402" s="136"/>
      <c r="AL402" s="136"/>
      <c r="AM402" s="136"/>
      <c r="AN402" s="105">
        <f t="shared" si="175"/>
        <v>0</v>
      </c>
      <c r="AO402" s="143"/>
      <c r="AP402" s="143"/>
      <c r="AQ402" s="143"/>
      <c r="AR402" s="146"/>
      <c r="AS402" s="224">
        <f t="shared" si="176"/>
        <v>0</v>
      </c>
      <c r="AT402" s="126"/>
      <c r="AU402" s="125"/>
      <c r="AV402" s="126"/>
      <c r="AW402" s="126"/>
      <c r="AX402" s="127"/>
      <c r="AY402" s="127"/>
      <c r="AZ402" s="127"/>
      <c r="BA402" s="126"/>
      <c r="BB402" s="127"/>
      <c r="BC402" s="127"/>
      <c r="BD402" s="127"/>
      <c r="BE402" s="128"/>
      <c r="BF402" s="126"/>
      <c r="BG402" s="222">
        <f t="shared" si="177"/>
        <v>0</v>
      </c>
      <c r="BH402" s="140">
        <f t="shared" si="178"/>
        <v>0</v>
      </c>
      <c r="BI402" s="132"/>
      <c r="BJ402" s="140">
        <f t="shared" si="179"/>
        <v>0</v>
      </c>
      <c r="BK402" s="141"/>
      <c r="BL402" s="141"/>
      <c r="BM402" s="141"/>
      <c r="BN402" s="141"/>
      <c r="BO402" s="141"/>
      <c r="BP402" s="130">
        <f t="shared" si="180"/>
        <v>0</v>
      </c>
      <c r="BQ402" s="132"/>
    </row>
    <row r="403" ht="14.25" customHeight="1">
      <c r="A403" s="132"/>
      <c r="B403" s="215">
        <v>46385</v>
      </c>
      <c r="C403" s="133"/>
      <c r="D403" s="136"/>
      <c r="E403" s="135"/>
      <c r="F403" s="135"/>
      <c r="G403" s="147">
        <f t="shared" si="172"/>
        <v>0</v>
      </c>
      <c r="H403" s="148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>SUM(H403:T403)</f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03">
        <f t="shared" si="174"/>
        <v>0</v>
      </c>
      <c r="AK403" s="136"/>
      <c r="AL403" s="136"/>
      <c r="AM403" s="136"/>
      <c r="AN403" s="105">
        <f t="shared" si="175"/>
        <v>0</v>
      </c>
      <c r="AO403" s="143"/>
      <c r="AP403" s="143"/>
      <c r="AQ403" s="143"/>
      <c r="AR403" s="146"/>
      <c r="AS403" s="224">
        <f t="shared" si="176"/>
        <v>0</v>
      </c>
      <c r="AT403" s="126"/>
      <c r="AU403" s="125"/>
      <c r="AV403" s="126"/>
      <c r="AW403" s="126"/>
      <c r="AX403" s="127"/>
      <c r="AY403" s="127"/>
      <c r="AZ403" s="127"/>
      <c r="BA403" s="126"/>
      <c r="BB403" s="127"/>
      <c r="BC403" s="127"/>
      <c r="BD403" s="127"/>
      <c r="BE403" s="128"/>
      <c r="BF403" s="126"/>
      <c r="BG403" s="222">
        <f t="shared" si="177"/>
        <v>0</v>
      </c>
      <c r="BH403" s="140">
        <f t="shared" si="178"/>
        <v>0</v>
      </c>
      <c r="BI403" s="132"/>
      <c r="BJ403" s="140">
        <f t="shared" si="179"/>
        <v>0</v>
      </c>
      <c r="BK403" s="141"/>
      <c r="BL403" s="141"/>
      <c r="BM403" s="141"/>
      <c r="BN403" s="141"/>
      <c r="BO403" s="141"/>
      <c r="BP403" s="130">
        <f t="shared" si="180"/>
        <v>0</v>
      </c>
      <c r="BQ403" s="132"/>
    </row>
    <row r="404" ht="16.5" customHeight="1">
      <c r="A404" s="132"/>
      <c r="B404" s="215">
        <v>46386</v>
      </c>
      <c r="C404" s="133"/>
      <c r="D404" s="136"/>
      <c r="E404" s="135"/>
      <c r="F404" s="135"/>
      <c r="G404" s="147">
        <f t="shared" si="172"/>
        <v>0</v>
      </c>
      <c r="H404" s="148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ref="U404:U405" t="shared" si="182">SUM(I404:T404)</f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03">
        <f t="shared" si="174"/>
        <v>0</v>
      </c>
      <c r="AK404" s="136"/>
      <c r="AL404" s="136"/>
      <c r="AM404" s="136"/>
      <c r="AN404" s="105">
        <f t="shared" si="175"/>
        <v>0</v>
      </c>
      <c r="AO404" s="143"/>
      <c r="AP404" s="143"/>
      <c r="AQ404" s="143"/>
      <c r="AR404" s="146"/>
      <c r="AS404" s="224">
        <f t="shared" si="176"/>
        <v>0</v>
      </c>
      <c r="AT404" s="126"/>
      <c r="AU404" s="125"/>
      <c r="AV404" s="126"/>
      <c r="AW404" s="126"/>
      <c r="AX404" s="127"/>
      <c r="AY404" s="127"/>
      <c r="AZ404" s="127"/>
      <c r="BA404" s="126"/>
      <c r="BB404" s="127"/>
      <c r="BC404" s="127"/>
      <c r="BD404" s="127"/>
      <c r="BE404" s="128"/>
      <c r="BF404" s="126"/>
      <c r="BG404" s="222">
        <f t="shared" si="177"/>
        <v>0</v>
      </c>
      <c r="BH404" s="140">
        <f t="shared" si="178"/>
        <v>0</v>
      </c>
      <c r="BI404" s="132"/>
      <c r="BJ404" s="140">
        <f t="shared" si="179"/>
        <v>0</v>
      </c>
      <c r="BK404" s="141"/>
      <c r="BL404" s="141"/>
      <c r="BM404" s="141"/>
      <c r="BN404" s="141"/>
      <c r="BO404" s="141"/>
      <c r="BP404" s="130">
        <f t="shared" si="180"/>
        <v>0</v>
      </c>
      <c r="BQ404" s="132"/>
    </row>
    <row r="405" ht="14.25" customHeight="1">
      <c r="A405" s="132"/>
      <c r="B405" s="215">
        <v>46387</v>
      </c>
      <c r="C405" s="159"/>
      <c r="D405" s="159"/>
      <c r="E405" s="156"/>
      <c r="F405" s="156"/>
      <c r="G405" s="147">
        <f t="shared" si="172"/>
        <v>0</v>
      </c>
      <c r="H405" s="148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03">
        <f t="shared" si="182"/>
        <v>0</v>
      </c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03">
        <f t="shared" si="174"/>
        <v>0</v>
      </c>
      <c r="AK405" s="136"/>
      <c r="AL405" s="136"/>
      <c r="AM405" s="159"/>
      <c r="AN405" s="105">
        <f t="shared" si="175"/>
        <v>0</v>
      </c>
      <c r="AO405" s="157"/>
      <c r="AP405" s="157"/>
      <c r="AQ405" s="157"/>
      <c r="AR405" s="146"/>
      <c r="AS405" s="224">
        <f t="shared" si="176"/>
        <v>0</v>
      </c>
      <c r="AT405" s="138"/>
      <c r="AU405" s="137"/>
      <c r="AV405" s="138"/>
      <c r="AW405" s="138"/>
      <c r="AX405" s="127"/>
      <c r="AY405" s="127"/>
      <c r="AZ405" s="127"/>
      <c r="BA405" s="138"/>
      <c r="BB405" s="127"/>
      <c r="BC405" s="127"/>
      <c r="BD405" s="127"/>
      <c r="BE405" s="139"/>
      <c r="BF405" s="138"/>
      <c r="BG405" s="222">
        <f t="shared" si="177"/>
        <v>0</v>
      </c>
      <c r="BH405" s="162">
        <f t="shared" si="178"/>
        <v>0</v>
      </c>
      <c r="BI405" s="132"/>
      <c r="BJ405" s="162">
        <f t="shared" si="179"/>
        <v>0</v>
      </c>
      <c r="BK405" s="163"/>
      <c r="BL405" s="141"/>
      <c r="BM405" s="163"/>
      <c r="BN405" s="163"/>
      <c r="BO405" s="163"/>
      <c r="BP405" s="164">
        <f t="shared" si="180"/>
        <v>0</v>
      </c>
      <c r="BQ405" s="132"/>
    </row>
    <row r="406" ht="14.25" customHeight="1">
      <c r="A406" s="3"/>
      <c r="B406" s="2" t="s">
        <v>86</v>
      </c>
      <c r="C406" s="166">
        <f ref="C406:V406" t="shared" si="183">SUM(C375:C405)</f>
        <v>0</v>
      </c>
      <c r="D406" s="166">
        <f t="shared" si="183"/>
        <v>0</v>
      </c>
      <c r="E406" s="166">
        <f t="shared" si="183"/>
        <v>0</v>
      </c>
      <c r="F406" s="166">
        <f t="shared" si="183"/>
        <v>0</v>
      </c>
      <c r="G406" s="166">
        <f t="shared" si="183"/>
        <v>0</v>
      </c>
      <c r="H406" s="166">
        <f t="shared" si="183"/>
        <v>0</v>
      </c>
      <c r="I406" s="166">
        <f t="shared" si="183"/>
        <v>0</v>
      </c>
      <c r="J406" s="166">
        <f t="shared" si="183"/>
        <v>0</v>
      </c>
      <c r="K406" s="166">
        <f t="shared" si="183"/>
        <v>0</v>
      </c>
      <c r="L406" s="166">
        <f t="shared" si="183"/>
        <v>0</v>
      </c>
      <c r="M406" s="166">
        <f t="shared" si="183"/>
        <v>0</v>
      </c>
      <c r="N406" s="166">
        <f t="shared" si="183"/>
        <v>0</v>
      </c>
      <c r="O406" s="166">
        <f t="shared" si="183"/>
        <v>0</v>
      </c>
      <c r="P406" s="166">
        <f t="shared" si="183"/>
        <v>0</v>
      </c>
      <c r="Q406" s="166">
        <f t="shared" si="183"/>
        <v>0</v>
      </c>
      <c r="R406" s="166">
        <f t="shared" si="183"/>
        <v>0</v>
      </c>
      <c r="S406" s="166">
        <f t="shared" si="183"/>
        <v>0</v>
      </c>
      <c r="T406" s="166">
        <f t="shared" si="183"/>
        <v>0</v>
      </c>
      <c r="U406" s="166">
        <f t="shared" si="183"/>
        <v>0</v>
      </c>
      <c r="V406" s="166">
        <f t="shared" si="183"/>
        <v>0</v>
      </c>
      <c r="W406" s="166"/>
      <c r="X406" s="166">
        <f ref="X406:AG406" t="shared" si="184">SUM(X375:X405)</f>
        <v>0</v>
      </c>
      <c r="Y406" s="166">
        <f t="shared" si="184"/>
        <v>0</v>
      </c>
      <c r="Z406" s="166">
        <f t="shared" si="184"/>
        <v>0</v>
      </c>
      <c r="AA406" s="166">
        <f t="shared" si="184"/>
        <v>0</v>
      </c>
      <c r="AB406" s="166">
        <f t="shared" si="184"/>
        <v>0</v>
      </c>
      <c r="AC406" s="166">
        <f t="shared" si="184"/>
        <v>0</v>
      </c>
      <c r="AD406" s="166">
        <f t="shared" si="184"/>
        <v>0</v>
      </c>
      <c r="AE406" s="166">
        <f t="shared" si="184"/>
        <v>0</v>
      </c>
      <c r="AF406" s="166">
        <f t="shared" si="184"/>
        <v>0</v>
      </c>
      <c r="AG406" s="166">
        <f t="shared" si="184"/>
        <v>0</v>
      </c>
      <c r="AH406" s="166"/>
      <c r="AI406" s="166">
        <f ref="AI406:AT406" t="shared" si="185">SUM(AI375:AI405)</f>
        <v>0</v>
      </c>
      <c r="AJ406" s="166">
        <f t="shared" si="185"/>
        <v>0</v>
      </c>
      <c r="AK406" s="166">
        <f t="shared" si="185"/>
        <v>0</v>
      </c>
      <c r="AL406" s="166">
        <f t="shared" si="185"/>
        <v>0</v>
      </c>
      <c r="AM406" s="166">
        <f t="shared" si="185"/>
        <v>0</v>
      </c>
      <c r="AN406" s="166">
        <f t="shared" si="185"/>
        <v>0</v>
      </c>
      <c r="AO406" s="166">
        <f t="shared" si="185"/>
        <v>0</v>
      </c>
      <c r="AP406" s="166">
        <f t="shared" si="185"/>
        <v>0</v>
      </c>
      <c r="AQ406" s="166">
        <f t="shared" si="185"/>
        <v>0</v>
      </c>
      <c r="AR406" s="166">
        <f t="shared" si="185"/>
        <v>0</v>
      </c>
      <c r="AS406" s="166">
        <f t="shared" si="185"/>
        <v>0</v>
      </c>
      <c r="AT406" s="165">
        <f t="shared" si="185"/>
        <v>0</v>
      </c>
      <c r="AU406" s="233"/>
      <c r="AV406" s="165">
        <f ref="AV406:BD406" t="shared" si="186">SUM(AV375:AV405)</f>
        <v>0</v>
      </c>
      <c r="AW406" s="165">
        <f t="shared" si="186"/>
        <v>0</v>
      </c>
      <c r="AX406" s="165">
        <f t="shared" si="186"/>
        <v>0</v>
      </c>
      <c r="AY406" s="165">
        <f t="shared" si="186"/>
        <v>0</v>
      </c>
      <c r="AZ406" s="165">
        <f t="shared" si="186"/>
        <v>0</v>
      </c>
      <c r="BA406" s="165">
        <f t="shared" si="186"/>
        <v>0</v>
      </c>
      <c r="BB406" s="165">
        <f t="shared" si="186"/>
        <v>0</v>
      </c>
      <c r="BC406" s="165">
        <f t="shared" si="186"/>
        <v>0</v>
      </c>
      <c r="BD406" s="165">
        <f t="shared" si="186"/>
        <v>0</v>
      </c>
      <c r="BE406" s="234"/>
      <c r="BF406" s="165">
        <f ref="BF406:BH406" t="shared" si="187">SUM(BF375:BF405)</f>
        <v>0</v>
      </c>
      <c r="BG406" s="166">
        <f t="shared" si="187"/>
        <v>0</v>
      </c>
      <c r="BH406" s="166">
        <f t="shared" si="187"/>
        <v>0</v>
      </c>
      <c r="BI406" s="132"/>
      <c r="BJ406" s="166">
        <f ref="BJ406:BP406" t="shared" si="188">SUM(BJ375:BJ405)</f>
        <v>400</v>
      </c>
      <c r="BK406" s="166">
        <f t="shared" si="188"/>
        <v>0</v>
      </c>
      <c r="BL406" s="166">
        <f t="shared" si="188"/>
        <v>0</v>
      </c>
      <c r="BM406" s="166">
        <f t="shared" si="188"/>
        <v>0</v>
      </c>
      <c r="BN406" s="166">
        <f t="shared" si="188"/>
        <v>400</v>
      </c>
      <c r="BO406" s="166">
        <f t="shared" si="188"/>
        <v>0</v>
      </c>
      <c r="BP406" s="166">
        <f t="shared" si="188"/>
        <v>-400</v>
      </c>
      <c r="BQ406" s="132"/>
    </row>
  </sheetData>
  <mergeCells>
    <mergeCell ref="B2:K2"/>
    <mergeCell ref="B3:K3"/>
  </mergeCells>
  <conditionalFormatting sqref="BA362:BA364">
    <cfRule type="notContainsBlanks" dxfId="7" priority="1">
      <formula>LEN(TRIM(BA362))&gt;0</formula>
    </cfRule>
  </conditionalFormatting>
  <pageMargins left="0.7" right="0.7" top="0.75" bottom="0.75" header="0" footer="0"/>
  <pageSetup orientation="portrait"/>
  <headerFooter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5623"/>
  </sheetPr>
  <dimension ref="A1:CC406"/>
  <sheetViews>
    <sheetView zoomScale="40" zoomScaleNormal="40" workbookViewId="0">
      <pane xSplit="2" ySplit="5" topLeftCell="AM6" activePane="bottomRight" state="frozen"/>
      <selection pane="topRight" activeCell="C1" sqref="C1"/>
      <selection pane="bottomLeft" activeCell="A6" sqref="A6"/>
      <selection pane="bottomRight" activeCell="BF153" sqref="BF153"/>
    </sheetView>
  </sheetViews>
  <sheetFormatPr baseColWidth="10" defaultColWidth="14.42578125" defaultRowHeight="15" customHeight="1" x14ac:dyDescent="0.25"/>
  <cols>
    <col min="1" max="1" width="2.5703125" customWidth="1"/>
    <col min="2" max="2" width="15.5703125" customWidth="1"/>
    <col min="3" max="4" width="15" customWidth="1"/>
    <col min="5" max="5" hidden="1" width="12.28515625" customWidth="1"/>
    <col min="6" max="6" hidden="1" width="13.28515625" customWidth="1"/>
    <col min="7" max="7" width="18.7109375" customWidth="1"/>
    <col min="8" max="9" width="17" customWidth="1"/>
    <col min="10" max="10" width="18.42578125" customWidth="1"/>
    <col min="11" max="11" width="13.5703125" customWidth="1"/>
    <col min="12" max="13" width="17.85546875" customWidth="1"/>
    <col min="14" max="14" width="13.85546875" customWidth="1"/>
    <col min="15" max="15" width="23.28515625" customWidth="1"/>
    <col min="16" max="16" width="17.5703125" customWidth="1"/>
    <col min="17" max="17" width="20" customWidth="1"/>
    <col min="18" max="18" width="12.85546875" customWidth="1"/>
    <col min="19" max="19" width="23.85546875" customWidth="1"/>
    <col min="20" max="21" width="14" customWidth="1"/>
    <col min="22" max="22" width="22.28515625" customWidth="1"/>
    <col min="23" max="23" width="16" customWidth="1"/>
    <col min="24" max="24" width="8.85546875" customWidth="1"/>
    <col min="25" max="25" width="11" customWidth="1"/>
    <col min="26" max="26" width="12.7109375" customWidth="1"/>
    <col min="27" max="27" width="9.85546875" customWidth="1"/>
    <col min="28" max="28" width="15" customWidth="1"/>
    <col min="29" max="29" width="22.85546875" customWidth="1"/>
    <col min="30" max="30" hidden="1" width="33.42578125" customWidth="1"/>
    <col min="31" max="31" width="21.7109375" customWidth="1"/>
    <col min="32" max="32" width="25.28515625" customWidth="1"/>
    <col min="33" max="33" width="22.140625" customWidth="1"/>
    <col min="34" max="34" width="22.5703125" customWidth="1"/>
    <col min="35" max="35" width="15" customWidth="1"/>
    <col min="36" max="36" width="18.85546875" customWidth="1"/>
    <col min="37" max="37" width="19.7109375" customWidth="1"/>
    <col min="38" max="38" width="19.85546875" customWidth="1"/>
    <col min="39" max="39" width="15" customWidth="1"/>
    <col min="40" max="40" width="19.42578125" customWidth="1"/>
    <col min="41" max="41" width="19" customWidth="1"/>
    <col min="42" max="42" width="15" customWidth="1"/>
    <col min="43" max="43" width="12.7109375" customWidth="1"/>
    <col min="44" max="48" width="15" customWidth="1"/>
    <col min="49" max="50" hidden="1" width="15" customWidth="1"/>
    <col min="51" max="51" width="11.42578125" customWidth="1"/>
    <col min="52" max="52" width="15" customWidth="1"/>
    <col min="53" max="53" width="15.85546875" customWidth="1"/>
    <col min="54" max="54" width="15.28515625" customWidth="1"/>
    <col min="55" max="55" hidden="1" width="16.7109375" customWidth="1"/>
    <col min="56" max="57" hidden="1" width="15" customWidth="1"/>
    <col min="58" max="58" width="13.85546875" customWidth="1"/>
    <col min="59" max="61" hidden="1" width="15" customWidth="1"/>
    <col min="62" max="63" width="15" customWidth="1"/>
    <col min="64" max="64" width="16.42578125" customWidth="1"/>
    <col min="65" max="67" width="11.28515625" customWidth="1"/>
    <col min="68" max="68" hidden="1" width="12.140625" customWidth="1"/>
    <col min="69" max="69" hidden="1" width="10.28515625" customWidth="1"/>
    <col min="70" max="70" hidden="1" width="12.42578125" customWidth="1"/>
    <col min="71" max="71" hidden="1" width="12" customWidth="1"/>
    <col min="72" max="72" hidden="1" width="10.7109375" customWidth="1"/>
    <col min="73" max="73" hidden="1" width="13.85546875" customWidth="1"/>
    <col min="74" max="74" hidden="1" width="13.42578125" customWidth="1"/>
    <col min="75" max="75" width="13.42578125" customWidth="1"/>
    <col min="76" max="76" width="12.140625" customWidth="1"/>
    <col min="77" max="80" width="11.28515625" customWidth="1"/>
    <col min="81" max="81" width="6.140625" customWidth="1"/>
  </cols>
  <sheetData>
    <row r="1" ht="13.5" customHeight="1">
      <c r="A1" s="7"/>
      <c r="B1" s="13" t="s">
        <v>1</v>
      </c>
      <c r="C1" s="7"/>
      <c r="D1" s="7"/>
      <c r="E1" s="7"/>
      <c r="F1" s="7"/>
      <c r="G1" s="7"/>
      <c r="H1" s="8"/>
      <c r="I1" s="8"/>
      <c r="J1" s="311"/>
      <c r="K1" s="7"/>
      <c r="L1" s="7"/>
      <c r="M1" s="7"/>
      <c r="N1" s="7"/>
      <c r="O1" s="7"/>
      <c r="P1" s="10"/>
      <c r="Q1" s="10"/>
      <c r="R1" s="7"/>
      <c r="S1" s="8"/>
      <c r="T1" s="8"/>
      <c r="U1" s="8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9"/>
      <c r="AU1" s="9"/>
      <c r="AV1" s="9"/>
      <c r="AW1" s="9"/>
      <c r="AX1" s="9"/>
      <c r="AY1" s="9"/>
      <c r="AZ1" s="9"/>
      <c r="BA1" s="10"/>
      <c r="BB1" s="312"/>
      <c r="BC1" s="7"/>
      <c r="BD1" s="9"/>
      <c r="BE1" s="9"/>
      <c r="BF1" s="7"/>
      <c r="BG1" s="7"/>
      <c r="BH1" s="7"/>
      <c r="BI1" s="7"/>
      <c r="BJ1" s="7"/>
      <c r="BK1" s="9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ht="14.25" customHeight="1">
      <c r="A2" s="313"/>
      <c r="B2" s="314"/>
      <c r="C2" s="315" t="s">
        <v>87</v>
      </c>
      <c r="D2" s="313"/>
      <c r="E2" s="313"/>
      <c r="F2" s="313"/>
      <c r="G2" s="313"/>
      <c r="H2" s="316"/>
      <c r="I2" s="316"/>
      <c r="J2" s="317"/>
      <c r="K2" s="316"/>
      <c r="L2" s="316"/>
      <c r="M2" s="316"/>
      <c r="N2" s="313"/>
      <c r="O2" s="313"/>
      <c r="P2" s="318"/>
      <c r="Q2" s="318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"/>
      <c r="AU2" s="3"/>
      <c r="AV2" s="3"/>
      <c r="AW2" s="3"/>
      <c r="AX2" s="3"/>
      <c r="AY2" s="3"/>
      <c r="AZ2" s="3"/>
      <c r="BA2" s="1"/>
      <c r="BB2" s="3"/>
      <c r="BC2" s="3"/>
      <c r="BD2" s="3"/>
      <c r="BE2" s="3"/>
      <c r="BF2" s="313"/>
      <c r="BG2" s="313"/>
      <c r="BH2" s="313"/>
      <c r="BI2" s="313"/>
      <c r="BJ2" s="313"/>
      <c r="BK2" s="3"/>
      <c r="BL2" s="313"/>
      <c r="BM2" s="313"/>
      <c r="BN2" s="313" t="s">
        <v>3</v>
      </c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  <c r="BZ2" s="313"/>
      <c r="CA2" s="313"/>
      <c r="CB2" s="313"/>
      <c r="CC2" s="313"/>
    </row>
    <row r="3" ht="12" customHeight="1">
      <c r="A3" s="22"/>
      <c r="B3" s="319"/>
      <c r="C3" s="22"/>
      <c r="D3" s="22"/>
      <c r="E3" s="22"/>
      <c r="F3" s="22"/>
      <c r="G3" s="31"/>
      <c r="H3" s="24"/>
      <c r="I3" s="24"/>
      <c r="J3" s="320"/>
      <c r="K3" s="24"/>
      <c r="L3" s="24"/>
      <c r="M3" s="24"/>
      <c r="N3" s="24"/>
      <c r="O3" s="24"/>
      <c r="P3" s="321"/>
      <c r="Q3" s="321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5" t="s">
        <v>4</v>
      </c>
      <c r="AQ3" s="22"/>
      <c r="AR3" s="22"/>
      <c r="AS3" s="22"/>
      <c r="AT3" s="26" t="s">
        <v>5</v>
      </c>
      <c r="AU3" s="24"/>
      <c r="AV3" s="24"/>
      <c r="AW3" s="24"/>
      <c r="AX3" s="24"/>
      <c r="AY3" s="24"/>
      <c r="AZ3" s="27"/>
      <c r="BA3" s="322"/>
      <c r="BB3" s="323"/>
      <c r="BC3" s="27"/>
      <c r="BD3" s="27"/>
      <c r="BE3" s="27"/>
      <c r="BF3" s="324"/>
      <c r="BG3" s="27"/>
      <c r="BH3" s="27"/>
      <c r="BI3" s="27"/>
      <c r="BJ3" s="27"/>
      <c r="BK3" s="27"/>
      <c r="BL3" s="27"/>
      <c r="BM3" s="27"/>
      <c r="BN3" s="27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7"/>
      <c r="CC3" s="22"/>
    </row>
    <row r="4" ht="9" customHeight="1">
      <c r="A4" s="323"/>
      <c r="B4" s="34" t="s">
        <v>6</v>
      </c>
      <c r="C4" s="326" t="s">
        <v>7</v>
      </c>
      <c r="D4" s="326" t="s">
        <v>7</v>
      </c>
      <c r="E4" s="327" t="s">
        <v>8</v>
      </c>
      <c r="F4" s="328" t="s">
        <v>9</v>
      </c>
      <c r="G4" s="329" t="s">
        <v>8</v>
      </c>
      <c r="H4" s="1924" t="s">
        <v>88</v>
      </c>
      <c r="I4" s="330" t="s">
        <v>10</v>
      </c>
      <c r="J4" s="331" t="s">
        <v>10</v>
      </c>
      <c r="K4" s="332" t="s">
        <v>10</v>
      </c>
      <c r="L4" s="332" t="s">
        <v>10</v>
      </c>
      <c r="M4" s="332"/>
      <c r="N4" s="332" t="s">
        <v>10</v>
      </c>
      <c r="O4" s="332" t="s">
        <v>10</v>
      </c>
      <c r="P4" s="332" t="s">
        <v>10</v>
      </c>
      <c r="Q4" s="332" t="s">
        <v>10</v>
      </c>
      <c r="R4" s="332" t="s">
        <v>10</v>
      </c>
      <c r="S4" s="332" t="s">
        <v>10</v>
      </c>
      <c r="T4" s="332"/>
      <c r="U4" s="332" t="s">
        <v>10</v>
      </c>
      <c r="V4" s="332" t="s">
        <v>10</v>
      </c>
      <c r="W4" s="332" t="s">
        <v>10</v>
      </c>
      <c r="X4" s="332" t="s">
        <v>10</v>
      </c>
      <c r="Y4" s="332" t="s">
        <v>10</v>
      </c>
      <c r="Z4" s="332" t="s">
        <v>10</v>
      </c>
      <c r="AA4" s="332" t="s">
        <v>10</v>
      </c>
      <c r="AB4" s="25" t="s">
        <v>11</v>
      </c>
      <c r="AC4" s="25" t="s">
        <v>12</v>
      </c>
      <c r="AD4" s="25" t="s">
        <v>12</v>
      </c>
      <c r="AE4" s="25" t="s">
        <v>12</v>
      </c>
      <c r="AF4" s="25" t="s">
        <v>12</v>
      </c>
      <c r="AG4" s="25" t="s">
        <v>12</v>
      </c>
      <c r="AH4" s="25" t="s">
        <v>12</v>
      </c>
      <c r="AI4" s="25" t="s">
        <v>12</v>
      </c>
      <c r="AJ4" s="25" t="s">
        <v>12</v>
      </c>
      <c r="AK4" s="25" t="s">
        <v>12</v>
      </c>
      <c r="AL4" s="25" t="s">
        <v>12</v>
      </c>
      <c r="AM4" s="25" t="s">
        <v>10</v>
      </c>
      <c r="AN4" s="333" t="s">
        <v>12</v>
      </c>
      <c r="AO4" s="333" t="s">
        <v>12</v>
      </c>
      <c r="AP4" s="25" t="s">
        <v>12</v>
      </c>
      <c r="AQ4" s="334" t="s">
        <v>13</v>
      </c>
      <c r="AR4" s="335" t="s">
        <v>13</v>
      </c>
      <c r="AS4" s="335" t="s">
        <v>13</v>
      </c>
      <c r="AT4" s="26" t="s">
        <v>14</v>
      </c>
      <c r="AU4" s="336" t="s">
        <v>15</v>
      </c>
      <c r="AV4" s="336" t="s">
        <v>15</v>
      </c>
      <c r="AW4" s="337" t="s">
        <v>15</v>
      </c>
      <c r="AX4" s="337" t="s">
        <v>15</v>
      </c>
      <c r="AY4" s="338" t="s">
        <v>16</v>
      </c>
      <c r="AZ4" s="339" t="s">
        <v>4</v>
      </c>
      <c r="BA4" s="340" t="s">
        <v>17</v>
      </c>
      <c r="BB4" s="341" t="s">
        <v>19</v>
      </c>
      <c r="BC4" s="26" t="s">
        <v>20</v>
      </c>
      <c r="BD4" s="26" t="s">
        <v>20</v>
      </c>
      <c r="BE4" s="26" t="s">
        <v>20</v>
      </c>
      <c r="BF4" s="340" t="s">
        <v>20</v>
      </c>
      <c r="BG4" s="342" t="s">
        <v>20</v>
      </c>
      <c r="BH4" s="342" t="s">
        <v>21</v>
      </c>
      <c r="BI4" s="26" t="s">
        <v>22</v>
      </c>
      <c r="BJ4" s="26" t="s">
        <v>24</v>
      </c>
      <c r="BK4" s="343" t="s">
        <v>5</v>
      </c>
      <c r="BL4" s="344" t="s">
        <v>25</v>
      </c>
      <c r="BM4" s="323"/>
      <c r="BN4" s="344" t="s">
        <v>4</v>
      </c>
      <c r="BO4" s="26" t="s">
        <v>26</v>
      </c>
      <c r="BP4" s="26" t="s">
        <v>89</v>
      </c>
      <c r="BQ4" s="26" t="s">
        <v>90</v>
      </c>
      <c r="BR4" s="26" t="s">
        <v>91</v>
      </c>
      <c r="BS4" s="26" t="s">
        <v>92</v>
      </c>
      <c r="BT4" s="26" t="s">
        <v>93</v>
      </c>
      <c r="BU4" s="26" t="s">
        <v>94</v>
      </c>
      <c r="BV4" s="26" t="s">
        <v>95</v>
      </c>
      <c r="BW4" s="26" t="s">
        <v>95</v>
      </c>
      <c r="BX4" s="26" t="s">
        <v>27</v>
      </c>
      <c r="BY4" s="26" t="s">
        <v>28</v>
      </c>
      <c r="BZ4" s="26" t="s">
        <v>28</v>
      </c>
      <c r="CA4" s="26" t="s">
        <v>28</v>
      </c>
      <c r="CB4" s="345" t="s">
        <v>29</v>
      </c>
      <c r="CC4" s="323"/>
    </row>
    <row r="5" ht="17.25" customHeight="1">
      <c r="A5" s="323"/>
      <c r="B5" s="63"/>
      <c r="C5" s="347" t="s">
        <v>30</v>
      </c>
      <c r="D5" s="347" t="s">
        <v>31</v>
      </c>
      <c r="E5" s="348" t="s">
        <v>32</v>
      </c>
      <c r="F5" s="349" t="s">
        <v>33</v>
      </c>
      <c r="G5" s="350" t="s">
        <v>34</v>
      </c>
      <c r="H5" s="1925"/>
      <c r="I5" s="351" t="s">
        <v>96</v>
      </c>
      <c r="J5" s="352" t="s">
        <v>97</v>
      </c>
      <c r="K5" s="351" t="s">
        <v>45</v>
      </c>
      <c r="L5" s="351" t="s">
        <v>98</v>
      </c>
      <c r="M5" s="353" t="s">
        <v>99</v>
      </c>
      <c r="N5" s="351" t="s">
        <v>35</v>
      </c>
      <c r="O5" s="351" t="s">
        <v>100</v>
      </c>
      <c r="P5" s="351" t="s">
        <v>101</v>
      </c>
      <c r="Q5" s="351" t="s">
        <v>102</v>
      </c>
      <c r="R5" s="351" t="s">
        <v>103</v>
      </c>
      <c r="S5" s="351" t="s">
        <v>104</v>
      </c>
      <c r="T5" s="354" t="s">
        <v>105</v>
      </c>
      <c r="U5" s="354" t="s">
        <v>106</v>
      </c>
      <c r="V5" s="354" t="s">
        <v>107</v>
      </c>
      <c r="W5" s="355" t="s">
        <v>108</v>
      </c>
      <c r="X5" s="356" t="s">
        <v>109</v>
      </c>
      <c r="Y5" s="356" t="s">
        <v>110</v>
      </c>
      <c r="Z5" s="356" t="s">
        <v>111</v>
      </c>
      <c r="AA5" s="356" t="s">
        <v>112</v>
      </c>
      <c r="AB5" s="357" t="s">
        <v>48</v>
      </c>
      <c r="AC5" s="358" t="s">
        <v>113</v>
      </c>
      <c r="AD5" s="359" t="s">
        <v>114</v>
      </c>
      <c r="AE5" s="360" t="s">
        <v>115</v>
      </c>
      <c r="AF5" s="361" t="s">
        <v>116</v>
      </c>
      <c r="AG5" s="361" t="s">
        <v>117</v>
      </c>
      <c r="AH5" s="360" t="s">
        <v>118</v>
      </c>
      <c r="AI5" s="360" t="s">
        <v>119</v>
      </c>
      <c r="AJ5" s="360" t="s">
        <v>120</v>
      </c>
      <c r="AK5" s="360" t="s">
        <v>121</v>
      </c>
      <c r="AL5" s="362" t="s">
        <v>122</v>
      </c>
      <c r="AM5" s="361" t="s">
        <v>123</v>
      </c>
      <c r="AN5" s="360" t="s">
        <v>105</v>
      </c>
      <c r="AO5" s="361" t="s">
        <v>124</v>
      </c>
      <c r="AP5" s="357" t="s">
        <v>30</v>
      </c>
      <c r="AQ5" s="363" t="s">
        <v>30</v>
      </c>
      <c r="AR5" s="364" t="s">
        <v>31</v>
      </c>
      <c r="AS5" s="364" t="s">
        <v>32</v>
      </c>
      <c r="AT5" s="365" t="s">
        <v>34</v>
      </c>
      <c r="AU5" s="366" t="s">
        <v>30</v>
      </c>
      <c r="AV5" s="366" t="s">
        <v>31</v>
      </c>
      <c r="AW5" s="367" t="s">
        <v>31</v>
      </c>
      <c r="AX5" s="367" t="s">
        <v>32</v>
      </c>
      <c r="AY5" s="368" t="s">
        <v>60</v>
      </c>
      <c r="AZ5" s="369" t="s">
        <v>61</v>
      </c>
      <c r="BA5" s="370" t="s">
        <v>62</v>
      </c>
      <c r="BB5" s="371" t="s">
        <v>65</v>
      </c>
      <c r="BC5" s="90" t="s">
        <v>65</v>
      </c>
      <c r="BD5" s="365" t="s">
        <v>67</v>
      </c>
      <c r="BE5" s="365" t="s">
        <v>68</v>
      </c>
      <c r="BF5" s="370" t="s">
        <v>31</v>
      </c>
      <c r="BG5" s="372" t="s">
        <v>64</v>
      </c>
      <c r="BH5" s="372" t="s">
        <v>32</v>
      </c>
      <c r="BI5" s="365"/>
      <c r="BJ5" s="365" t="s">
        <v>69</v>
      </c>
      <c r="BK5" s="373" t="s">
        <v>70</v>
      </c>
      <c r="BL5" s="374" t="s">
        <v>71</v>
      </c>
      <c r="BM5" s="323"/>
      <c r="BN5" s="374" t="s">
        <v>72</v>
      </c>
      <c r="BO5" s="365"/>
      <c r="BP5" s="365" t="s">
        <v>125</v>
      </c>
      <c r="BQ5" s="365"/>
      <c r="BR5" s="365" t="s">
        <v>126</v>
      </c>
      <c r="BS5" s="365" t="s">
        <v>127</v>
      </c>
      <c r="BT5" s="365" t="s">
        <v>128</v>
      </c>
      <c r="BU5" s="365" t="s">
        <v>129</v>
      </c>
      <c r="BV5" s="365" t="s">
        <v>130</v>
      </c>
      <c r="BW5" s="365" t="s">
        <v>131</v>
      </c>
      <c r="BX5" s="365" t="s">
        <v>73</v>
      </c>
      <c r="BY5" s="375" t="s">
        <v>72</v>
      </c>
      <c r="BZ5" s="365" t="s">
        <v>75</v>
      </c>
      <c r="CA5" s="365" t="s">
        <v>52</v>
      </c>
      <c r="CB5" s="376"/>
      <c r="CC5" s="323"/>
    </row>
    <row r="6" ht="14.25" customHeight="1">
      <c r="A6" s="3"/>
      <c r="B6" s="215">
        <v>46023</v>
      </c>
      <c r="C6" s="228">
        <f>32943.76-D6-0</f>
      </c>
      <c r="D6" s="119"/>
      <c r="E6" s="120"/>
      <c r="F6" s="120"/>
      <c r="G6" s="378">
        <f ref="G6:G36" t="shared" si="0">+C6+D6+E6+F6</f>
        <v>0</v>
      </c>
      <c r="H6" s="379"/>
      <c r="I6" s="380"/>
      <c r="J6" s="379"/>
      <c r="K6" s="381"/>
      <c r="L6" s="381"/>
      <c r="M6" s="381"/>
      <c r="N6" s="379"/>
      <c r="O6" s="379"/>
      <c r="P6" s="379"/>
      <c r="Q6" s="382">
        <v>317.85</v>
      </c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83">
        <f ref="AB6:AB36" t="shared" si="1">SUM(I6:AA6)</f>
        <v>0</v>
      </c>
      <c r="AC6" s="136"/>
      <c r="AD6" s="136"/>
      <c r="AE6" s="136"/>
      <c r="AF6" s="136"/>
      <c r="AG6" s="136"/>
      <c r="AH6" s="136"/>
      <c r="AI6" s="136"/>
      <c r="AJ6" s="140"/>
      <c r="AK6" s="140"/>
      <c r="AL6" s="140"/>
      <c r="AM6" s="140"/>
      <c r="AN6" s="140"/>
      <c r="AO6" s="140"/>
      <c r="AP6" s="384">
        <f ref="AP6:AP36" t="shared" si="2">SUM(AC6:AO6)</f>
        <v>0</v>
      </c>
      <c r="AQ6" s="134">
        <v>17005.66</v>
      </c>
      <c r="AR6" s="123"/>
      <c r="AS6" s="123"/>
      <c r="AT6" s="385">
        <f ref="AT6:AT36" t="shared" si="3">SUM(AQ6:AS6)</f>
        <v>0</v>
      </c>
      <c r="AU6" s="386"/>
      <c r="AV6" s="386"/>
      <c r="AW6" s="140"/>
      <c r="AX6" s="140"/>
      <c r="AY6" s="140"/>
      <c r="AZ6" s="387">
        <f ref="AZ6:AZ36" t="shared" si="4">+G6-AB6-AP6-AT6-AU6-AW6-AX6-AY6</f>
        <v>0</v>
      </c>
      <c r="BA6" s="1661">
        <v>15621</v>
      </c>
      <c r="BB6" s="1662"/>
      <c r="BC6" s="1663"/>
      <c r="BD6" s="1663"/>
      <c r="BE6" s="1664"/>
      <c r="BF6" s="1590"/>
      <c r="BG6" s="1665"/>
      <c r="BH6" s="1666"/>
      <c r="BI6" s="1666"/>
      <c r="BJ6" s="1666"/>
      <c r="BK6" s="389">
        <f ref="BK6:BK36" t="shared" si="5">SUM(BA6:BJ6)-BI6</f>
        <v>0</v>
      </c>
      <c r="BL6" s="113">
        <f ref="BL6:BL36" t="shared" si="6">+AZ6-BK6</f>
        <v>0</v>
      </c>
      <c r="BN6" s="113">
        <f ref="BN6:BN36" t="shared" si="7">SUM(BO6:CA6)</f>
        <v>0</v>
      </c>
      <c r="BO6" s="129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5"/>
      <c r="CA6" s="115"/>
      <c r="CB6" s="390">
        <f ref="CB6:CB36" t="shared" si="8">+BL6-BN6</f>
        <v>0</v>
      </c>
      <c r="CC6" s="391"/>
    </row>
    <row r="7" ht="14.25" customHeight="1">
      <c r="A7" s="3"/>
      <c r="B7" s="215">
        <v>46024</v>
      </c>
      <c r="C7" s="228">
        <f>57006.73-D7-0</f>
      </c>
      <c r="D7" s="119"/>
      <c r="E7" s="120"/>
      <c r="F7" s="120"/>
      <c r="G7" s="378">
        <f t="shared" si="0"/>
        <v>0</v>
      </c>
      <c r="H7" s="379"/>
      <c r="I7" s="379"/>
      <c r="J7" s="381"/>
      <c r="K7" s="379">
        <v>1849.71</v>
      </c>
      <c r="L7" s="379"/>
      <c r="M7" s="379">
        <v>1803.07</v>
      </c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83">
        <f t="shared" si="1"/>
        <v>0</v>
      </c>
      <c r="AC7" s="134">
        <v>250.96</v>
      </c>
      <c r="AD7" s="136"/>
      <c r="AE7" s="134">
        <v>270.02</v>
      </c>
      <c r="AF7" s="136"/>
      <c r="AG7" s="136"/>
      <c r="AH7" s="136"/>
      <c r="AI7" s="140"/>
      <c r="AJ7" s="140"/>
      <c r="AK7" s="140"/>
      <c r="AL7" s="140"/>
      <c r="AM7" s="140"/>
      <c r="AN7" s="140"/>
      <c r="AO7" s="140"/>
      <c r="AP7" s="384">
        <f t="shared" si="2"/>
        <v>0</v>
      </c>
      <c r="AQ7" s="119">
        <v>29385.19</v>
      </c>
      <c r="AR7" s="123"/>
      <c r="AS7" s="123"/>
      <c r="AT7" s="385">
        <f t="shared" si="3"/>
        <v>0</v>
      </c>
      <c r="AU7" s="201">
        <v>105.74</v>
      </c>
      <c r="AV7" s="140"/>
      <c r="AW7" s="140"/>
      <c r="AX7" s="140"/>
      <c r="AY7" s="392"/>
      <c r="AZ7" s="387">
        <f t="shared" si="4"/>
        <v>0</v>
      </c>
      <c r="BA7" s="1667">
        <v>15027.5</v>
      </c>
      <c r="BB7" s="1668">
        <v>7542.97</v>
      </c>
      <c r="BC7" s="1669"/>
      <c r="BD7" s="1669"/>
      <c r="BE7" s="1670"/>
      <c r="BF7" s="1595"/>
      <c r="BG7" s="1671"/>
      <c r="BH7" s="1672"/>
      <c r="BI7" s="1672"/>
      <c r="BJ7" s="1672"/>
      <c r="BK7" s="389">
        <f t="shared" si="5"/>
        <v>0</v>
      </c>
      <c r="BL7" s="113">
        <f t="shared" si="6"/>
        <v>0</v>
      </c>
      <c r="BM7" s="3"/>
      <c r="BN7" s="113">
        <f t="shared" si="7"/>
        <v>0</v>
      </c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31"/>
      <c r="BZ7" s="129">
        <v>771.9</v>
      </c>
      <c r="CA7" s="129"/>
      <c r="CB7" s="390">
        <f t="shared" si="8"/>
        <v>0</v>
      </c>
      <c r="CC7" s="3"/>
    </row>
    <row r="8" ht="14.25" customHeight="1">
      <c r="A8" s="3"/>
      <c r="B8" s="215">
        <v>46025</v>
      </c>
      <c r="C8" s="228">
        <f>51702.54-D8-0</f>
      </c>
      <c r="D8" s="119"/>
      <c r="E8" s="120"/>
      <c r="F8" s="120"/>
      <c r="G8" s="378">
        <f t="shared" si="0"/>
        <v>0</v>
      </c>
      <c r="H8" s="379"/>
      <c r="I8" s="379"/>
      <c r="J8" s="381"/>
      <c r="K8" s="379">
        <v>1113.08</v>
      </c>
      <c r="L8" s="379"/>
      <c r="M8" s="379"/>
      <c r="N8" s="379"/>
      <c r="O8" s="379"/>
      <c r="P8" s="379"/>
      <c r="Q8" s="382">
        <v>7540.3</v>
      </c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83">
        <f t="shared" si="1"/>
        <v>0</v>
      </c>
      <c r="AC8" s="134">
        <v>685.92</v>
      </c>
      <c r="AD8" s="136"/>
      <c r="AE8" s="136"/>
      <c r="AF8" s="136"/>
      <c r="AG8" s="136"/>
      <c r="AH8" s="136"/>
      <c r="AI8" s="140"/>
      <c r="AJ8" s="140"/>
      <c r="AK8" s="140"/>
      <c r="AL8" s="140"/>
      <c r="AM8" s="140"/>
      <c r="AN8" s="140"/>
      <c r="AO8" s="140"/>
      <c r="AP8" s="384">
        <f t="shared" si="2"/>
        <v>0</v>
      </c>
      <c r="AQ8" s="119">
        <v>27980.68</v>
      </c>
      <c r="AR8" s="123"/>
      <c r="AS8" s="123"/>
      <c r="AT8" s="385">
        <f t="shared" si="3"/>
        <v>0</v>
      </c>
      <c r="AU8" s="201">
        <v>7.41</v>
      </c>
      <c r="AV8" s="140"/>
      <c r="AW8" s="140"/>
      <c r="AX8" s="140"/>
      <c r="AY8" s="392"/>
      <c r="AZ8" s="387">
        <f t="shared" si="4"/>
        <v>0</v>
      </c>
      <c r="BA8" s="1667">
        <v>14337.1</v>
      </c>
      <c r="BB8" s="1668"/>
      <c r="BC8" s="1669"/>
      <c r="BD8" s="1669"/>
      <c r="BE8" s="1670"/>
      <c r="BF8" s="1595"/>
      <c r="BG8" s="1671"/>
      <c r="BH8" s="1672"/>
      <c r="BI8" s="1672"/>
      <c r="BJ8" s="1672"/>
      <c r="BK8" s="389">
        <f t="shared" si="5"/>
        <v>0</v>
      </c>
      <c r="BL8" s="113">
        <f t="shared" si="6"/>
        <v>0</v>
      </c>
      <c r="BM8" s="3"/>
      <c r="BN8" s="113">
        <f t="shared" si="7"/>
        <v>0</v>
      </c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31"/>
      <c r="BZ8" s="129">
        <v>28.5</v>
      </c>
      <c r="CA8" s="129"/>
      <c r="CB8" s="390">
        <f t="shared" si="8"/>
        <v>0</v>
      </c>
      <c r="CC8" s="3"/>
    </row>
    <row r="9" ht="14.25" customHeight="1">
      <c r="A9" s="3"/>
      <c r="B9" s="215">
        <v>46026</v>
      </c>
      <c r="C9" s="228">
        <f>38312.13-D9-0</f>
      </c>
      <c r="D9" s="119"/>
      <c r="E9" s="120"/>
      <c r="F9" s="120"/>
      <c r="G9" s="378">
        <f t="shared" si="0"/>
        <v>0</v>
      </c>
      <c r="H9" s="379"/>
      <c r="I9" s="379"/>
      <c r="J9" s="381"/>
      <c r="K9" s="382">
        <v>122.54</v>
      </c>
      <c r="L9" s="379"/>
      <c r="M9" s="382">
        <v>146.49</v>
      </c>
      <c r="N9" s="379"/>
      <c r="O9" s="379"/>
      <c r="P9" s="379"/>
      <c r="Q9" s="382">
        <v>149.09</v>
      </c>
      <c r="R9" s="379"/>
      <c r="S9" s="379"/>
      <c r="T9" s="379"/>
      <c r="U9" s="379"/>
      <c r="V9" s="379"/>
      <c r="W9" s="379"/>
      <c r="X9" s="379"/>
      <c r="Y9" s="379"/>
      <c r="Z9" s="379"/>
      <c r="AA9" s="379"/>
      <c r="AB9" s="383">
        <f t="shared" si="1"/>
        <v>0</v>
      </c>
      <c r="AC9" s="136"/>
      <c r="AD9" s="136"/>
      <c r="AE9" s="136"/>
      <c r="AF9" s="136"/>
      <c r="AG9" s="136"/>
      <c r="AH9" s="136"/>
      <c r="AI9" s="140"/>
      <c r="AJ9" s="140"/>
      <c r="AK9" s="140"/>
      <c r="AL9" s="140"/>
      <c r="AM9" s="140"/>
      <c r="AN9" s="140"/>
      <c r="AO9" s="140"/>
      <c r="AP9" s="384">
        <f t="shared" si="2"/>
        <v>0</v>
      </c>
      <c r="AQ9" s="119">
        <v>20248.32</v>
      </c>
      <c r="AR9" s="123"/>
      <c r="AS9" s="123"/>
      <c r="AT9" s="385">
        <f t="shared" si="3"/>
        <v>0</v>
      </c>
      <c r="AU9" s="201">
        <v>69.13</v>
      </c>
      <c r="AV9" s="140"/>
      <c r="AW9" s="140"/>
      <c r="AX9" s="140"/>
      <c r="AY9" s="392"/>
      <c r="AZ9" s="387">
        <f t="shared" si="4"/>
        <v>0</v>
      </c>
      <c r="BA9" s="1667">
        <v>13091.9</v>
      </c>
      <c r="BB9" s="1673">
        <v>4484.7</v>
      </c>
      <c r="BC9" s="1669"/>
      <c r="BD9" s="1669"/>
      <c r="BE9" s="1670"/>
      <c r="BF9" s="1595"/>
      <c r="BG9" s="1671"/>
      <c r="BH9" s="1672"/>
      <c r="BI9" s="1672"/>
      <c r="BJ9" s="1672"/>
      <c r="BK9" s="389">
        <f t="shared" si="5"/>
        <v>0</v>
      </c>
      <c r="BL9" s="113">
        <f t="shared" si="6"/>
        <v>0</v>
      </c>
      <c r="BM9" s="3"/>
      <c r="BN9" s="113">
        <f t="shared" si="7"/>
        <v>0</v>
      </c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390">
        <f t="shared" si="8"/>
        <v>0</v>
      </c>
      <c r="CC9" s="3"/>
    </row>
    <row r="10" ht="14.25" customHeight="1">
      <c r="A10" s="3"/>
      <c r="B10" s="215">
        <v>46027</v>
      </c>
      <c r="C10" s="228">
        <f>55210.23-D10-0</f>
      </c>
      <c r="D10" s="119"/>
      <c r="E10" s="120"/>
      <c r="F10" s="120"/>
      <c r="G10" s="378">
        <f t="shared" si="0"/>
        <v>0</v>
      </c>
      <c r="H10" s="379"/>
      <c r="I10" s="379"/>
      <c r="J10" s="381"/>
      <c r="K10" s="382">
        <v>482.98</v>
      </c>
      <c r="L10" s="379"/>
      <c r="M10" s="379"/>
      <c r="N10" s="379"/>
      <c r="O10" s="379"/>
      <c r="P10" s="379"/>
      <c r="Q10" s="379">
        <v>684.53</v>
      </c>
      <c r="R10" s="379"/>
      <c r="S10" s="379"/>
      <c r="T10" s="379"/>
      <c r="U10" s="379"/>
      <c r="V10" s="379"/>
      <c r="W10" s="379"/>
      <c r="X10" s="379"/>
      <c r="Y10" s="379"/>
      <c r="Z10" s="379"/>
      <c r="AA10" s="379"/>
      <c r="AB10" s="383">
        <f t="shared" si="1"/>
        <v>0</v>
      </c>
      <c r="AC10" s="136"/>
      <c r="AD10" s="136"/>
      <c r="AE10" s="136"/>
      <c r="AF10" s="136"/>
      <c r="AG10" s="136"/>
      <c r="AH10" s="134">
        <v>147.26</v>
      </c>
      <c r="AI10" s="140"/>
      <c r="AJ10" s="140"/>
      <c r="AK10" s="140"/>
      <c r="AL10" s="140"/>
      <c r="AM10" s="140"/>
      <c r="AN10" s="140"/>
      <c r="AO10" s="140"/>
      <c r="AP10" s="384">
        <f t="shared" si="2"/>
        <v>0</v>
      </c>
      <c r="AQ10" s="119">
        <v>25284.65</v>
      </c>
      <c r="AR10" s="123"/>
      <c r="AS10" s="123"/>
      <c r="AT10" s="385">
        <f t="shared" si="3"/>
        <v>0</v>
      </c>
      <c r="AU10" s="201">
        <v>157.4</v>
      </c>
      <c r="AV10" s="140"/>
      <c r="AW10" s="140"/>
      <c r="AX10" s="140"/>
      <c r="AY10" s="392"/>
      <c r="AZ10" s="387">
        <f t="shared" si="4"/>
        <v>0</v>
      </c>
      <c r="BA10" s="1667">
        <v>24169.3</v>
      </c>
      <c r="BB10" s="1668">
        <v>4284.1</v>
      </c>
      <c r="BC10" s="1656"/>
      <c r="BD10" s="1656"/>
      <c r="BE10" s="1674"/>
      <c r="BF10" s="1595"/>
      <c r="BG10" s="1671"/>
      <c r="BH10" s="1672"/>
      <c r="BI10" s="1672"/>
      <c r="BJ10" s="1672"/>
      <c r="BK10" s="389">
        <f t="shared" si="5"/>
        <v>0</v>
      </c>
      <c r="BL10" s="113">
        <f t="shared" si="6"/>
        <v>0</v>
      </c>
      <c r="BM10" s="3"/>
      <c r="BN10" s="113">
        <f t="shared" si="7"/>
        <v>0</v>
      </c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390">
        <f t="shared" si="8"/>
        <v>0</v>
      </c>
      <c r="CC10" s="3"/>
    </row>
    <row r="11" ht="14.25" customHeight="1">
      <c r="A11" s="3"/>
      <c r="B11" s="215">
        <v>46028</v>
      </c>
      <c r="C11" s="228">
        <f>56082.67-D11-0</f>
      </c>
      <c r="D11" s="119"/>
      <c r="E11" s="120"/>
      <c r="F11" s="120"/>
      <c r="G11" s="378">
        <f t="shared" si="0"/>
        <v>0</v>
      </c>
      <c r="H11" s="379"/>
      <c r="I11" s="395"/>
      <c r="J11" s="381"/>
      <c r="K11" s="379">
        <v>1082.16</v>
      </c>
      <c r="L11" s="379"/>
      <c r="M11" s="379">
        <v>1414.38</v>
      </c>
      <c r="N11" s="379"/>
      <c r="O11" s="379"/>
      <c r="P11" s="382">
        <v>371.75</v>
      </c>
      <c r="Q11" s="382">
        <v>15622.43</v>
      </c>
      <c r="R11" s="379"/>
      <c r="S11" s="379"/>
      <c r="T11" s="379"/>
      <c r="U11" s="379"/>
      <c r="V11" s="379"/>
      <c r="W11" s="379"/>
      <c r="X11" s="379"/>
      <c r="Y11" s="379"/>
      <c r="Z11" s="379"/>
      <c r="AA11" s="379"/>
      <c r="AB11" s="383">
        <f t="shared" si="1"/>
        <v>0</v>
      </c>
      <c r="AC11" s="136"/>
      <c r="AD11" s="136"/>
      <c r="AE11" s="136"/>
      <c r="AF11" s="136"/>
      <c r="AG11" s="136"/>
      <c r="AH11" s="136"/>
      <c r="AI11" s="140"/>
      <c r="AJ11" s="140"/>
      <c r="AK11" s="140"/>
      <c r="AL11" s="140"/>
      <c r="AM11" s="140"/>
      <c r="AN11" s="140"/>
      <c r="AO11" s="140"/>
      <c r="AP11" s="384">
        <f t="shared" si="2"/>
        <v>0</v>
      </c>
      <c r="AQ11" s="119">
        <v>17637.89</v>
      </c>
      <c r="AR11" s="123"/>
      <c r="AS11" s="123"/>
      <c r="AT11" s="385">
        <f t="shared" si="3"/>
        <v>0</v>
      </c>
      <c r="AU11" s="201">
        <v>26.02</v>
      </c>
      <c r="AV11" s="140"/>
      <c r="AW11" s="140"/>
      <c r="AX11" s="140"/>
      <c r="AY11" s="392"/>
      <c r="AZ11" s="387">
        <f t="shared" si="4"/>
        <v>0</v>
      </c>
      <c r="BA11" s="1667">
        <v>17560.7</v>
      </c>
      <c r="BB11" s="1668">
        <v>1978.27</v>
      </c>
      <c r="BC11" s="1656"/>
      <c r="BD11" s="1656"/>
      <c r="BE11" s="1674"/>
      <c r="BF11" s="1595"/>
      <c r="BG11" s="1671"/>
      <c r="BH11" s="1672"/>
      <c r="BI11" s="1672"/>
      <c r="BJ11" s="1672"/>
      <c r="BK11" s="389">
        <f t="shared" si="5"/>
        <v>0</v>
      </c>
      <c r="BL11" s="113">
        <f t="shared" si="6"/>
        <v>0</v>
      </c>
      <c r="BM11" s="3"/>
      <c r="BN11" s="113">
        <f t="shared" si="7"/>
        <v>0</v>
      </c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31"/>
      <c r="BZ11" s="129">
        <v>390</v>
      </c>
      <c r="CA11" s="129"/>
      <c r="CB11" s="390">
        <f t="shared" si="8"/>
        <v>0</v>
      </c>
      <c r="CC11" s="3"/>
    </row>
    <row r="12" ht="14.25" customHeight="1">
      <c r="A12" s="132"/>
      <c r="B12" s="215">
        <v>46029</v>
      </c>
      <c r="C12" s="133">
        <f>55694.11-D12-0</f>
      </c>
      <c r="D12" s="134"/>
      <c r="E12" s="135"/>
      <c r="F12" s="135"/>
      <c r="G12" s="378">
        <f t="shared" si="0"/>
        <v>0</v>
      </c>
      <c r="H12" s="379"/>
      <c r="I12" s="395"/>
      <c r="J12" s="381"/>
      <c r="K12" s="382">
        <v>908.1</v>
      </c>
      <c r="L12" s="379"/>
      <c r="M12" s="382">
        <v>65.95</v>
      </c>
      <c r="N12" s="379"/>
      <c r="O12" s="379"/>
      <c r="P12" s="379"/>
      <c r="Q12" s="379">
        <v>1177</v>
      </c>
      <c r="R12" s="379"/>
      <c r="S12" s="379"/>
      <c r="T12" s="379"/>
      <c r="U12" s="379"/>
      <c r="V12" s="379"/>
      <c r="W12" s="379"/>
      <c r="X12" s="379"/>
      <c r="Y12" s="379"/>
      <c r="Z12" s="379"/>
      <c r="AA12" s="379"/>
      <c r="AB12" s="383">
        <f t="shared" si="1"/>
        <v>0</v>
      </c>
      <c r="AC12" s="134">
        <v>242.56</v>
      </c>
      <c r="AD12" s="136"/>
      <c r="AE12" s="136"/>
      <c r="AF12" s="136"/>
      <c r="AG12" s="136"/>
      <c r="AH12" s="134">
        <v>170.02</v>
      </c>
      <c r="AI12" s="140"/>
      <c r="AJ12" s="140"/>
      <c r="AK12" s="140"/>
      <c r="AL12" s="140"/>
      <c r="AM12" s="140"/>
      <c r="AN12" s="140"/>
      <c r="AO12" s="140"/>
      <c r="AP12" s="384">
        <f t="shared" si="2"/>
        <v>0</v>
      </c>
      <c r="AQ12" s="134">
        <v>39826.08</v>
      </c>
      <c r="AR12" s="136"/>
      <c r="AS12" s="136"/>
      <c r="AT12" s="385">
        <f t="shared" si="3"/>
        <v>0</v>
      </c>
      <c r="AU12" s="201">
        <v>3.63</v>
      </c>
      <c r="AV12" s="140"/>
      <c r="AW12" s="140"/>
      <c r="AX12" s="140"/>
      <c r="AY12" s="392"/>
      <c r="AZ12" s="387">
        <f t="shared" si="4"/>
        <v>0</v>
      </c>
      <c r="BA12" s="1667">
        <v>13300.7</v>
      </c>
      <c r="BB12" s="1668"/>
      <c r="BC12" s="1656"/>
      <c r="BD12" s="1656"/>
      <c r="BE12" s="1674"/>
      <c r="BF12" s="1595"/>
      <c r="BG12" s="1671"/>
      <c r="BH12" s="1672"/>
      <c r="BI12" s="1672"/>
      <c r="BJ12" s="1672"/>
      <c r="BK12" s="389">
        <f t="shared" si="5"/>
        <v>0</v>
      </c>
      <c r="BL12" s="140">
        <f t="shared" si="6"/>
        <v>0</v>
      </c>
      <c r="BM12" s="132"/>
      <c r="BN12" s="140">
        <f t="shared" si="7"/>
        <v>0</v>
      </c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41"/>
      <c r="CA12" s="141"/>
      <c r="CB12" s="390">
        <f t="shared" si="8"/>
        <v>0</v>
      </c>
      <c r="CC12" s="132"/>
    </row>
    <row r="13" ht="14.25" customHeight="1">
      <c r="A13" s="132"/>
      <c r="B13" s="215">
        <v>46030</v>
      </c>
      <c r="C13" s="230">
        <f>43162.70-D13-0</f>
      </c>
      <c r="D13" s="134"/>
      <c r="E13" s="135"/>
      <c r="F13" s="135"/>
      <c r="G13" s="378">
        <f t="shared" si="0"/>
        <v>0</v>
      </c>
      <c r="H13" s="379"/>
      <c r="I13" s="395"/>
      <c r="J13" s="381"/>
      <c r="K13" s="379">
        <v>526.38</v>
      </c>
      <c r="L13" s="379"/>
      <c r="M13" s="379">
        <v>1469.6</v>
      </c>
      <c r="N13" s="379"/>
      <c r="O13" s="379"/>
      <c r="P13" s="379">
        <v>2324.51</v>
      </c>
      <c r="Q13" s="379">
        <v>359.87</v>
      </c>
      <c r="R13" s="379"/>
      <c r="S13" s="379"/>
      <c r="T13" s="379"/>
      <c r="U13" s="379"/>
      <c r="V13" s="379"/>
      <c r="W13" s="379"/>
      <c r="X13" s="379"/>
      <c r="Y13" s="379"/>
      <c r="Z13" s="379"/>
      <c r="AA13" s="379"/>
      <c r="AB13" s="383">
        <f t="shared" si="1"/>
        <v>0</v>
      </c>
      <c r="AC13" s="136"/>
      <c r="AD13" s="136"/>
      <c r="AE13" s="136"/>
      <c r="AF13" s="136"/>
      <c r="AG13" s="136"/>
      <c r="AH13" s="134">
        <v>105</v>
      </c>
      <c r="AI13" s="140"/>
      <c r="AJ13" s="140"/>
      <c r="AK13" s="140"/>
      <c r="AL13" s="140"/>
      <c r="AM13" s="140"/>
      <c r="AN13" s="140"/>
      <c r="AO13" s="140"/>
      <c r="AP13" s="384">
        <f t="shared" si="2"/>
        <v>0</v>
      </c>
      <c r="AQ13" s="134">
        <v>16213.77</v>
      </c>
      <c r="AR13" s="136"/>
      <c r="AS13" s="136"/>
      <c r="AT13" s="385">
        <f t="shared" si="3"/>
        <v>0</v>
      </c>
      <c r="AU13" s="201">
        <v>3.03</v>
      </c>
      <c r="AV13" s="140"/>
      <c r="AW13" s="140"/>
      <c r="AX13" s="140"/>
      <c r="AY13" s="392"/>
      <c r="AZ13" s="387">
        <f t="shared" si="4"/>
        <v>0</v>
      </c>
      <c r="BA13" s="1667">
        <v>14802.1</v>
      </c>
      <c r="BB13" s="1668">
        <v>7235</v>
      </c>
      <c r="BC13" s="1656"/>
      <c r="BD13" s="1656"/>
      <c r="BE13" s="1674"/>
      <c r="BF13" s="1595"/>
      <c r="BG13" s="1671"/>
      <c r="BH13" s="1672"/>
      <c r="BI13" s="1672"/>
      <c r="BJ13" s="1672"/>
      <c r="BK13" s="389">
        <f t="shared" si="5"/>
        <v>0</v>
      </c>
      <c r="BL13" s="140">
        <f t="shared" si="6"/>
        <v>0</v>
      </c>
      <c r="BM13" s="132"/>
      <c r="BN13" s="140">
        <f t="shared" si="7"/>
        <v>0</v>
      </c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50"/>
      <c r="BZ13" s="141">
        <v>123</v>
      </c>
      <c r="CA13" s="141"/>
      <c r="CB13" s="390">
        <f t="shared" si="8"/>
        <v>0</v>
      </c>
      <c r="CC13" s="132"/>
    </row>
    <row r="14" ht="14.25" customHeight="1">
      <c r="A14" s="132"/>
      <c r="B14" s="215">
        <v>46031</v>
      </c>
      <c r="C14" s="230">
        <f>50748.09-D14-0</f>
      </c>
      <c r="D14" s="134"/>
      <c r="E14" s="135"/>
      <c r="F14" s="135"/>
      <c r="G14" s="378">
        <f t="shared" si="0"/>
        <v>0</v>
      </c>
      <c r="H14" s="379"/>
      <c r="I14" s="395"/>
      <c r="J14" s="396"/>
      <c r="K14" s="397">
        <v>211.04</v>
      </c>
      <c r="L14" s="379"/>
      <c r="M14" s="382">
        <v>2068.5</v>
      </c>
      <c r="N14" s="379"/>
      <c r="O14" s="379"/>
      <c r="P14" s="382">
        <v>153.04</v>
      </c>
      <c r="Q14" s="379">
        <v>5026.56</v>
      </c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83">
        <f t="shared" si="1"/>
        <v>0</v>
      </c>
      <c r="AC14" s="136"/>
      <c r="AD14" s="136"/>
      <c r="AE14" s="136"/>
      <c r="AF14" s="136"/>
      <c r="AG14" s="136"/>
      <c r="AH14" s="136"/>
      <c r="AI14" s="140"/>
      <c r="AJ14" s="140"/>
      <c r="AK14" s="140"/>
      <c r="AL14" s="140"/>
      <c r="AM14" s="140"/>
      <c r="AN14" s="140"/>
      <c r="AO14" s="140"/>
      <c r="AP14" s="384">
        <f t="shared" si="2"/>
        <v>0</v>
      </c>
      <c r="AQ14" s="134">
        <v>24024.71</v>
      </c>
      <c r="AR14" s="136"/>
      <c r="AS14" s="136"/>
      <c r="AT14" s="385">
        <f t="shared" si="3"/>
        <v>0</v>
      </c>
      <c r="AU14" s="201">
        <v>101.3</v>
      </c>
      <c r="AV14" s="140"/>
      <c r="AW14" s="140"/>
      <c r="AX14" s="140"/>
      <c r="AY14" s="392"/>
      <c r="AZ14" s="387">
        <f t="shared" si="4"/>
        <v>0</v>
      </c>
      <c r="BA14" s="1667">
        <v>11195.3</v>
      </c>
      <c r="BB14" s="1668">
        <v>7967.73</v>
      </c>
      <c r="BC14" s="1656"/>
      <c r="BD14" s="1656"/>
      <c r="BE14" s="1674"/>
      <c r="BF14" s="1595"/>
      <c r="BG14" s="1671"/>
      <c r="BH14" s="1672"/>
      <c r="BI14" s="1672"/>
      <c r="BJ14" s="1672"/>
      <c r="BK14" s="389">
        <f t="shared" si="5"/>
        <v>0</v>
      </c>
      <c r="BL14" s="140">
        <f t="shared" si="6"/>
        <v>0</v>
      </c>
      <c r="BM14" s="132"/>
      <c r="BN14" s="140">
        <f t="shared" si="7"/>
        <v>0</v>
      </c>
      <c r="BO14" s="141"/>
      <c r="BP14" s="141"/>
      <c r="BQ14" s="141"/>
      <c r="BR14" s="141"/>
      <c r="BS14" s="141"/>
      <c r="BT14" s="141"/>
      <c r="BU14" s="141"/>
      <c r="BV14" s="141"/>
      <c r="BW14" s="141"/>
      <c r="BX14" s="141"/>
      <c r="BY14" s="141"/>
      <c r="BZ14" s="141"/>
      <c r="CA14" s="141"/>
      <c r="CB14" s="390">
        <f t="shared" si="8"/>
        <v>0</v>
      </c>
      <c r="CC14" s="132"/>
    </row>
    <row r="15" ht="14.25" customHeight="1">
      <c r="A15" s="132"/>
      <c r="B15" s="215">
        <v>46032</v>
      </c>
      <c r="C15" s="230">
        <f>44174.96-D15-0</f>
      </c>
      <c r="D15" s="134"/>
      <c r="E15" s="135"/>
      <c r="F15" s="135"/>
      <c r="G15" s="378">
        <f t="shared" si="0"/>
        <v>0</v>
      </c>
      <c r="H15" s="379"/>
      <c r="I15" s="395"/>
      <c r="J15" s="381"/>
      <c r="K15" s="379">
        <v>468.85</v>
      </c>
      <c r="L15" s="379"/>
      <c r="M15" s="379"/>
      <c r="N15" s="379"/>
      <c r="O15" s="379"/>
      <c r="P15" s="382">
        <v>247.03</v>
      </c>
      <c r="Q15" s="382">
        <v>3160.95</v>
      </c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83">
        <f t="shared" si="1"/>
        <v>0</v>
      </c>
      <c r="AC15" s="134">
        <v>685.92</v>
      </c>
      <c r="AD15" s="136"/>
      <c r="AE15" s="136"/>
      <c r="AF15" s="136"/>
      <c r="AG15" s="136"/>
      <c r="AH15" s="136"/>
      <c r="AI15" s="140"/>
      <c r="AJ15" s="140"/>
      <c r="AK15" s="140"/>
      <c r="AL15" s="140"/>
      <c r="AM15" s="140"/>
      <c r="AN15" s="140"/>
      <c r="AO15" s="140"/>
      <c r="AP15" s="384">
        <f t="shared" si="2"/>
        <v>0</v>
      </c>
      <c r="AQ15" s="134">
        <v>25063.19</v>
      </c>
      <c r="AR15" s="136"/>
      <c r="AS15" s="136"/>
      <c r="AT15" s="385">
        <f t="shared" si="3"/>
        <v>0</v>
      </c>
      <c r="AU15" s="201">
        <v>43.07</v>
      </c>
      <c r="AV15" s="140"/>
      <c r="AW15" s="140"/>
      <c r="AX15" s="140"/>
      <c r="AY15" s="392"/>
      <c r="AZ15" s="387">
        <f t="shared" si="4"/>
        <v>0</v>
      </c>
      <c r="BA15" s="1667">
        <v>14506.1</v>
      </c>
      <c r="BB15" s="1668"/>
      <c r="BC15" s="1656"/>
      <c r="BD15" s="1656"/>
      <c r="BE15" s="1674"/>
      <c r="BF15" s="1595"/>
      <c r="BG15" s="1671"/>
      <c r="BH15" s="1672"/>
      <c r="BI15" s="1672"/>
      <c r="BJ15" s="1672"/>
      <c r="BK15" s="389">
        <f t="shared" si="5"/>
        <v>0</v>
      </c>
      <c r="BL15" s="140">
        <f t="shared" si="6"/>
        <v>0</v>
      </c>
      <c r="BM15" s="132"/>
      <c r="BN15" s="140">
        <f t="shared" si="7"/>
        <v>0</v>
      </c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41"/>
      <c r="CA15" s="141"/>
      <c r="CB15" s="390">
        <f t="shared" si="8"/>
        <v>0</v>
      </c>
      <c r="CC15" s="132"/>
    </row>
    <row r="16" ht="14.25" customHeight="1">
      <c r="A16" s="132"/>
      <c r="B16" s="215">
        <v>46033</v>
      </c>
      <c r="C16" s="230">
        <f>44456.29-D16-0</f>
      </c>
      <c r="D16" s="134"/>
      <c r="E16" s="135"/>
      <c r="F16" s="135"/>
      <c r="G16" s="378">
        <f t="shared" si="0"/>
        <v>0</v>
      </c>
      <c r="H16" s="379"/>
      <c r="I16" s="395"/>
      <c r="J16" s="381"/>
      <c r="K16" s="382">
        <v>2027.71</v>
      </c>
      <c r="L16" s="379"/>
      <c r="M16" s="379"/>
      <c r="N16" s="379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83">
        <f t="shared" si="1"/>
        <v>0</v>
      </c>
      <c r="AC16" s="134">
        <v>261.5</v>
      </c>
      <c r="AD16" s="136"/>
      <c r="AE16" s="136"/>
      <c r="AF16" s="136"/>
      <c r="AG16" s="136"/>
      <c r="AH16" s="136"/>
      <c r="AI16" s="140"/>
      <c r="AJ16" s="140"/>
      <c r="AK16" s="140"/>
      <c r="AL16" s="140"/>
      <c r="AM16" s="140"/>
      <c r="AN16" s="140"/>
      <c r="AO16" s="140"/>
      <c r="AP16" s="384">
        <f t="shared" si="2"/>
        <v>0</v>
      </c>
      <c r="AQ16" s="134">
        <v>29115.01</v>
      </c>
      <c r="AR16" s="136"/>
      <c r="AS16" s="136"/>
      <c r="AT16" s="385">
        <f t="shared" si="3"/>
        <v>0</v>
      </c>
      <c r="AU16" s="201">
        <v>1.08</v>
      </c>
      <c r="AV16" s="140"/>
      <c r="AW16" s="140"/>
      <c r="AX16" s="140"/>
      <c r="AY16" s="392"/>
      <c r="AZ16" s="387">
        <f t="shared" si="4"/>
        <v>0</v>
      </c>
      <c r="BA16" s="1667">
        <v>13050.7</v>
      </c>
      <c r="BB16" s="1675"/>
      <c r="BC16" s="1656"/>
      <c r="BD16" s="1656"/>
      <c r="BE16" s="1674"/>
      <c r="BF16" s="1595"/>
      <c r="BG16" s="1671"/>
      <c r="BH16" s="1672"/>
      <c r="BI16" s="1672"/>
      <c r="BJ16" s="1672"/>
      <c r="BK16" s="389">
        <f t="shared" si="5"/>
        <v>0</v>
      </c>
      <c r="BL16" s="140">
        <f t="shared" si="6"/>
        <v>0</v>
      </c>
      <c r="BM16" s="132"/>
      <c r="BN16" s="140">
        <f t="shared" si="7"/>
        <v>0</v>
      </c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41"/>
      <c r="CA16" s="141"/>
      <c r="CB16" s="390">
        <f t="shared" si="8"/>
        <v>0</v>
      </c>
      <c r="CC16" s="132"/>
    </row>
    <row r="17" ht="14.25" customHeight="1">
      <c r="A17" s="132"/>
      <c r="B17" s="215">
        <v>46034</v>
      </c>
      <c r="C17" s="230">
        <f>42527.36-D17-0</f>
      </c>
      <c r="D17" s="134"/>
      <c r="E17" s="135"/>
      <c r="F17" s="135"/>
      <c r="G17" s="378">
        <f t="shared" si="0"/>
        <v>0</v>
      </c>
      <c r="H17" s="379"/>
      <c r="I17" s="395"/>
      <c r="J17" s="381"/>
      <c r="K17" s="379"/>
      <c r="L17" s="379"/>
      <c r="M17" s="382">
        <v>92.8</v>
      </c>
      <c r="N17" s="379"/>
      <c r="O17" s="379"/>
      <c r="P17" s="382">
        <v>1559.04</v>
      </c>
      <c r="Q17" s="379">
        <v>1037.11</v>
      </c>
      <c r="R17" s="379"/>
      <c r="S17" s="379"/>
      <c r="T17" s="379"/>
      <c r="U17" s="379"/>
      <c r="V17" s="379"/>
      <c r="W17" s="379"/>
      <c r="X17" s="379"/>
      <c r="Y17" s="379"/>
      <c r="Z17" s="379"/>
      <c r="AA17" s="379"/>
      <c r="AB17" s="383">
        <f t="shared" si="1"/>
        <v>0</v>
      </c>
      <c r="AC17" s="136"/>
      <c r="AD17" s="136"/>
      <c r="AE17" s="136"/>
      <c r="AF17" s="136"/>
      <c r="AG17" s="136"/>
      <c r="AH17" s="134">
        <v>100.03</v>
      </c>
      <c r="AI17" s="140"/>
      <c r="AJ17" s="140"/>
      <c r="AK17" s="140"/>
      <c r="AL17" s="140"/>
      <c r="AM17" s="140"/>
      <c r="AN17" s="140"/>
      <c r="AO17" s="140"/>
      <c r="AP17" s="384">
        <f t="shared" si="2"/>
        <v>0</v>
      </c>
      <c r="AQ17" s="134">
        <v>24140.74</v>
      </c>
      <c r="AR17" s="136"/>
      <c r="AS17" s="136"/>
      <c r="AT17" s="385">
        <f t="shared" si="3"/>
        <v>0</v>
      </c>
      <c r="AU17" s="201">
        <v>5.07</v>
      </c>
      <c r="AV17" s="140"/>
      <c r="AW17" s="140"/>
      <c r="AX17" s="140"/>
      <c r="AY17" s="392"/>
      <c r="AZ17" s="387">
        <f t="shared" si="4"/>
        <v>0</v>
      </c>
      <c r="BA17" s="1667">
        <v>15592.3</v>
      </c>
      <c r="BB17" s="1676"/>
      <c r="BC17" s="1656"/>
      <c r="BD17" s="1656"/>
      <c r="BE17" s="1674"/>
      <c r="BF17" s="1595"/>
      <c r="BG17" s="1671"/>
      <c r="BH17" s="1672"/>
      <c r="BI17" s="1672"/>
      <c r="BJ17" s="1672"/>
      <c r="BK17" s="389">
        <f t="shared" si="5"/>
        <v>0</v>
      </c>
      <c r="BL17" s="140">
        <f t="shared" si="6"/>
        <v>0</v>
      </c>
      <c r="BM17" s="132"/>
      <c r="BN17" s="140">
        <f t="shared" si="7"/>
        <v>0</v>
      </c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41"/>
      <c r="CA17" s="141"/>
      <c r="CB17" s="390">
        <f t="shared" si="8"/>
        <v>0</v>
      </c>
      <c r="CC17" s="132"/>
    </row>
    <row r="18" ht="14.25" customHeight="1">
      <c r="A18" s="132"/>
      <c r="B18" s="215">
        <v>46035</v>
      </c>
      <c r="C18" s="230">
        <f>19061.40-D18-0</f>
      </c>
      <c r="D18" s="134"/>
      <c r="E18" s="135"/>
      <c r="F18" s="135"/>
      <c r="G18" s="378">
        <f t="shared" si="0"/>
        <v>0</v>
      </c>
      <c r="H18" s="379"/>
      <c r="I18" s="395"/>
      <c r="J18" s="381"/>
      <c r="K18" s="382">
        <v>103.28</v>
      </c>
      <c r="L18" s="379"/>
      <c r="M18" s="379"/>
      <c r="N18" s="379"/>
      <c r="O18" s="379"/>
      <c r="P18" s="379"/>
      <c r="Q18" s="379"/>
      <c r="R18" s="379"/>
      <c r="S18" s="379"/>
      <c r="T18" s="379"/>
      <c r="U18" s="379"/>
      <c r="V18" s="379"/>
      <c r="W18" s="379"/>
      <c r="X18" s="379"/>
      <c r="Y18" s="379"/>
      <c r="Z18" s="379"/>
      <c r="AA18" s="379"/>
      <c r="AB18" s="383">
        <f t="shared" si="1"/>
        <v>0</v>
      </c>
      <c r="AC18" s="136"/>
      <c r="AD18" s="136"/>
      <c r="AE18" s="136"/>
      <c r="AF18" s="136"/>
      <c r="AG18" s="136"/>
      <c r="AH18" s="136"/>
      <c r="AI18" s="140"/>
      <c r="AJ18" s="140"/>
      <c r="AK18" s="140"/>
      <c r="AL18" s="140"/>
      <c r="AM18" s="140"/>
      <c r="AN18" s="140"/>
      <c r="AO18" s="140"/>
      <c r="AP18" s="384">
        <f t="shared" si="2"/>
        <v>0</v>
      </c>
      <c r="AQ18" s="134">
        <v>9887.59</v>
      </c>
      <c r="AR18" s="136"/>
      <c r="AS18" s="136"/>
      <c r="AT18" s="385">
        <f t="shared" si="3"/>
        <v>0</v>
      </c>
      <c r="AU18" s="201">
        <v>8.66</v>
      </c>
      <c r="AV18" s="140"/>
      <c r="AW18" s="140"/>
      <c r="AX18" s="140"/>
      <c r="AY18" s="392"/>
      <c r="AZ18" s="387">
        <f t="shared" si="4"/>
        <v>0</v>
      </c>
      <c r="BA18" s="1677">
        <v>8903.3</v>
      </c>
      <c r="BB18" s="1675"/>
      <c r="BC18" s="1656"/>
      <c r="BD18" s="1656"/>
      <c r="BE18" s="1674"/>
      <c r="BF18" s="1595"/>
      <c r="BG18" s="1671"/>
      <c r="BH18" s="1672"/>
      <c r="BI18" s="1672"/>
      <c r="BJ18" s="1672"/>
      <c r="BK18" s="389">
        <f t="shared" si="5"/>
        <v>0</v>
      </c>
      <c r="BL18" s="140">
        <f t="shared" si="6"/>
        <v>0</v>
      </c>
      <c r="BM18" s="132"/>
      <c r="BN18" s="140">
        <f t="shared" si="7"/>
        <v>0</v>
      </c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50"/>
      <c r="BZ18" s="141">
        <v>158.59</v>
      </c>
      <c r="CA18" s="141"/>
      <c r="CB18" s="390">
        <f t="shared" si="8"/>
        <v>0</v>
      </c>
      <c r="CC18" s="132"/>
    </row>
    <row r="19" ht="14.25" customHeight="1">
      <c r="A19" s="132"/>
      <c r="B19" s="215">
        <v>46036</v>
      </c>
      <c r="C19" s="230">
        <f>22733.85-D19-0</f>
      </c>
      <c r="D19" s="134"/>
      <c r="E19" s="135"/>
      <c r="F19" s="135"/>
      <c r="G19" s="378">
        <f t="shared" si="0"/>
        <v>0</v>
      </c>
      <c r="H19" s="379"/>
      <c r="I19" s="395"/>
      <c r="J19" s="381"/>
      <c r="K19" s="379">
        <v>441.33</v>
      </c>
      <c r="L19" s="379"/>
      <c r="M19" s="379"/>
      <c r="N19" s="379"/>
      <c r="O19" s="379"/>
      <c r="P19" s="382">
        <v>173.33</v>
      </c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83">
        <f t="shared" si="1"/>
        <v>0</v>
      </c>
      <c r="AC19" s="136"/>
      <c r="AD19" s="136"/>
      <c r="AE19" s="136"/>
      <c r="AF19" s="136"/>
      <c r="AG19" s="136"/>
      <c r="AH19" s="134">
        <v>170.25</v>
      </c>
      <c r="AI19" s="140"/>
      <c r="AJ19" s="140"/>
      <c r="AK19" s="140"/>
      <c r="AL19" s="140"/>
      <c r="AM19" s="140"/>
      <c r="AN19" s="140"/>
      <c r="AO19" s="140"/>
      <c r="AP19" s="384">
        <f t="shared" si="2"/>
        <v>0</v>
      </c>
      <c r="AQ19" s="134">
        <v>11876.69</v>
      </c>
      <c r="AR19" s="136"/>
      <c r="AS19" s="136"/>
      <c r="AT19" s="385">
        <f t="shared" si="3"/>
        <v>0</v>
      </c>
      <c r="AU19" s="201">
        <v>4.34</v>
      </c>
      <c r="AV19" s="140"/>
      <c r="AW19" s="140"/>
      <c r="AX19" s="140"/>
      <c r="AY19" s="392"/>
      <c r="AZ19" s="387">
        <f t="shared" si="4"/>
        <v>0</v>
      </c>
      <c r="BA19" s="1677">
        <v>8668.7</v>
      </c>
      <c r="BB19" s="1668"/>
      <c r="BC19" s="1656"/>
      <c r="BD19" s="1656"/>
      <c r="BE19" s="1674"/>
      <c r="BF19" s="1595"/>
      <c r="BG19" s="1671"/>
      <c r="BH19" s="1672"/>
      <c r="BI19" s="1672"/>
      <c r="BJ19" s="1672"/>
      <c r="BK19" s="389">
        <f t="shared" si="5"/>
        <v>0</v>
      </c>
      <c r="BL19" s="140">
        <f t="shared" si="6"/>
        <v>0</v>
      </c>
      <c r="BM19" s="132"/>
      <c r="BN19" s="140">
        <f t="shared" si="7"/>
        <v>0</v>
      </c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50"/>
      <c r="BZ19" s="141">
        <v>1399.27</v>
      </c>
      <c r="CA19" s="141"/>
      <c r="CB19" s="390">
        <f t="shared" si="8"/>
        <v>0</v>
      </c>
      <c r="CC19" s="132"/>
    </row>
    <row r="20" ht="14.25" customHeight="1">
      <c r="A20" s="132"/>
      <c r="B20" s="215">
        <v>46037</v>
      </c>
      <c r="C20" s="230">
        <f>28297.07-D20-0</f>
      </c>
      <c r="D20" s="134"/>
      <c r="E20" s="135"/>
      <c r="F20" s="135"/>
      <c r="G20" s="378">
        <f t="shared" si="0"/>
        <v>0</v>
      </c>
      <c r="H20" s="379"/>
      <c r="I20" s="395"/>
      <c r="J20" s="381"/>
      <c r="K20" s="382">
        <v>894.97</v>
      </c>
      <c r="L20" s="379"/>
      <c r="M20" s="379"/>
      <c r="N20" s="379"/>
      <c r="O20" s="379"/>
      <c r="P20" s="379"/>
      <c r="Q20" s="379"/>
      <c r="R20" s="379"/>
      <c r="S20" s="379"/>
      <c r="T20" s="379"/>
      <c r="U20" s="379"/>
      <c r="V20" s="379"/>
      <c r="W20" s="379"/>
      <c r="X20" s="379"/>
      <c r="Y20" s="379"/>
      <c r="Z20" s="379"/>
      <c r="AA20" s="379"/>
      <c r="AB20" s="383">
        <f t="shared" si="1"/>
        <v>0</v>
      </c>
      <c r="AC20" s="134">
        <v>262.41</v>
      </c>
      <c r="AD20" s="136"/>
      <c r="AE20" s="136"/>
      <c r="AF20" s="136"/>
      <c r="AG20" s="136"/>
      <c r="AH20" s="134">
        <v>96.02</v>
      </c>
      <c r="AI20" s="140"/>
      <c r="AJ20" s="140"/>
      <c r="AK20" s="140"/>
      <c r="AL20" s="140"/>
      <c r="AM20" s="140"/>
      <c r="AN20" s="140"/>
      <c r="AO20" s="140"/>
      <c r="AP20" s="384">
        <f t="shared" si="2"/>
        <v>0</v>
      </c>
      <c r="AQ20" s="134">
        <v>14929.88</v>
      </c>
      <c r="AR20" s="136"/>
      <c r="AS20" s="136"/>
      <c r="AT20" s="385">
        <f t="shared" si="3"/>
        <v>0</v>
      </c>
      <c r="AU20" s="201">
        <v>1.81</v>
      </c>
      <c r="AV20" s="140"/>
      <c r="AW20" s="140"/>
      <c r="AX20" s="140"/>
      <c r="AY20" s="392"/>
      <c r="AZ20" s="387">
        <f t="shared" si="4"/>
        <v>0</v>
      </c>
      <c r="BA20" s="1677"/>
      <c r="BB20" s="1668"/>
      <c r="BC20" s="1656"/>
      <c r="BD20" s="1656"/>
      <c r="BE20" s="1674"/>
      <c r="BF20" s="1595"/>
      <c r="BG20" s="1671"/>
      <c r="BH20" s="1672"/>
      <c r="BI20" s="1672"/>
      <c r="BJ20" s="1672"/>
      <c r="BK20" s="389">
        <f t="shared" si="5"/>
        <v>0</v>
      </c>
      <c r="BL20" s="140">
        <f t="shared" si="6"/>
        <v>0</v>
      </c>
      <c r="BM20" s="132"/>
      <c r="BN20" s="140">
        <f t="shared" si="7"/>
        <v>0</v>
      </c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390">
        <f t="shared" si="8"/>
        <v>0</v>
      </c>
      <c r="CC20" s="132"/>
    </row>
    <row r="21" ht="15" customHeight="1">
      <c r="A21" s="132"/>
      <c r="B21" s="215">
        <v>46038</v>
      </c>
      <c r="C21" s="230">
        <f>35808.53-D21-0</f>
      </c>
      <c r="D21" s="134"/>
      <c r="E21" s="135"/>
      <c r="F21" s="135"/>
      <c r="G21" s="378">
        <f t="shared" si="0"/>
        <v>0</v>
      </c>
      <c r="H21" s="379"/>
      <c r="I21" s="395"/>
      <c r="J21" s="381"/>
      <c r="K21" s="382">
        <v>105.69</v>
      </c>
      <c r="L21" s="379"/>
      <c r="M21" s="379">
        <v>384.36</v>
      </c>
      <c r="N21" s="379"/>
      <c r="O21" s="379"/>
      <c r="P21" s="382">
        <v>120.01</v>
      </c>
      <c r="Q21" s="379">
        <v>566.36</v>
      </c>
      <c r="R21" s="379"/>
      <c r="S21" s="379"/>
      <c r="T21" s="379"/>
      <c r="U21" s="379"/>
      <c r="V21" s="379"/>
      <c r="W21" s="379"/>
      <c r="X21" s="379"/>
      <c r="Y21" s="379"/>
      <c r="Z21" s="379"/>
      <c r="AA21" s="379"/>
      <c r="AB21" s="383">
        <f t="shared" si="1"/>
        <v>0</v>
      </c>
      <c r="AC21" s="136"/>
      <c r="AD21" s="136"/>
      <c r="AE21" s="134">
        <v>330.09</v>
      </c>
      <c r="AF21" s="136"/>
      <c r="AG21" s="136"/>
      <c r="AH21" s="136"/>
      <c r="AI21" s="140"/>
      <c r="AJ21" s="140"/>
      <c r="AK21" s="140"/>
      <c r="AL21" s="140"/>
      <c r="AM21" s="140"/>
      <c r="AN21" s="140"/>
      <c r="AO21" s="140"/>
      <c r="AP21" s="384">
        <f t="shared" si="2"/>
        <v>0</v>
      </c>
      <c r="AQ21" s="134">
        <v>20684.53</v>
      </c>
      <c r="AR21" s="136"/>
      <c r="AS21" s="136"/>
      <c r="AT21" s="385">
        <f t="shared" si="3"/>
        <v>0</v>
      </c>
      <c r="AU21" s="201">
        <v>12.91</v>
      </c>
      <c r="AV21" s="140"/>
      <c r="AW21" s="140"/>
      <c r="AX21" s="140"/>
      <c r="AY21" s="392"/>
      <c r="AZ21" s="387">
        <f t="shared" si="4"/>
        <v>0</v>
      </c>
      <c r="BA21" s="1677">
        <v>13553.1</v>
      </c>
      <c r="BB21" s="1675"/>
      <c r="BC21" s="1656"/>
      <c r="BD21" s="1656"/>
      <c r="BE21" s="1674"/>
      <c r="BF21" s="1595"/>
      <c r="BG21" s="1671"/>
      <c r="BH21" s="1672"/>
      <c r="BI21" s="1672"/>
      <c r="BJ21" s="1672"/>
      <c r="BK21" s="389">
        <f t="shared" si="5"/>
        <v>0</v>
      </c>
      <c r="BL21" s="140">
        <f t="shared" si="6"/>
        <v>0</v>
      </c>
      <c r="BM21" s="132"/>
      <c r="BN21" s="140">
        <f t="shared" si="7"/>
        <v>0</v>
      </c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41"/>
      <c r="CA21" s="141"/>
      <c r="CB21" s="390">
        <f t="shared" si="8"/>
        <v>0</v>
      </c>
      <c r="CC21" s="132"/>
    </row>
    <row r="22" ht="15.75" customHeight="1">
      <c r="A22" s="132"/>
      <c r="B22" s="215">
        <v>46039</v>
      </c>
      <c r="C22" s="230">
        <f>41875.93-D22-0</f>
      </c>
      <c r="D22" s="134"/>
      <c r="E22" s="135"/>
      <c r="F22" s="135"/>
      <c r="G22" s="378">
        <f t="shared" si="0"/>
        <v>0</v>
      </c>
      <c r="H22" s="379"/>
      <c r="I22" s="395"/>
      <c r="J22" s="381"/>
      <c r="K22" s="379"/>
      <c r="L22" s="379"/>
      <c r="M22" s="379"/>
      <c r="N22" s="379"/>
      <c r="O22" s="379"/>
      <c r="P22" s="379"/>
      <c r="Q22" s="382">
        <v>233.35</v>
      </c>
      <c r="R22" s="379"/>
      <c r="S22" s="379"/>
      <c r="T22" s="379"/>
      <c r="U22" s="379"/>
      <c r="V22" s="379"/>
      <c r="W22" s="379"/>
      <c r="X22" s="379"/>
      <c r="Y22" s="379"/>
      <c r="Z22" s="379"/>
      <c r="AA22" s="379"/>
      <c r="AB22" s="383">
        <f t="shared" si="1"/>
        <v>0</v>
      </c>
      <c r="AC22" s="136"/>
      <c r="AD22" s="136"/>
      <c r="AE22" s="136"/>
      <c r="AF22" s="136"/>
      <c r="AG22" s="136"/>
      <c r="AH22" s="136"/>
      <c r="AI22" s="140"/>
      <c r="AJ22" s="140"/>
      <c r="AK22" s="140"/>
      <c r="AL22" s="140"/>
      <c r="AM22" s="140"/>
      <c r="AN22" s="140"/>
      <c r="AO22" s="140"/>
      <c r="AP22" s="384">
        <f t="shared" si="2"/>
        <v>0</v>
      </c>
      <c r="AQ22" s="134">
        <v>26562.49</v>
      </c>
      <c r="AR22" s="136"/>
      <c r="AS22" s="136"/>
      <c r="AT22" s="385">
        <f t="shared" si="3"/>
        <v>0</v>
      </c>
      <c r="AU22" s="201">
        <v>3.63</v>
      </c>
      <c r="AV22" s="140"/>
      <c r="AW22" s="140"/>
      <c r="AX22" s="140"/>
      <c r="AY22" s="392"/>
      <c r="AZ22" s="387">
        <f t="shared" si="4"/>
        <v>0</v>
      </c>
      <c r="BA22" s="1677">
        <v>13395</v>
      </c>
      <c r="BB22" s="1675"/>
      <c r="BC22" s="1656"/>
      <c r="BD22" s="1656"/>
      <c r="BE22" s="1674"/>
      <c r="BF22" s="1595"/>
      <c r="BG22" s="1671"/>
      <c r="BH22" s="1672"/>
      <c r="BI22" s="1672"/>
      <c r="BJ22" s="1672"/>
      <c r="BK22" s="389">
        <f t="shared" si="5"/>
        <v>0</v>
      </c>
      <c r="BL22" s="140">
        <f t="shared" si="6"/>
        <v>0</v>
      </c>
      <c r="BM22" s="132"/>
      <c r="BN22" s="140">
        <f t="shared" si="7"/>
        <v>0</v>
      </c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50"/>
      <c r="BZ22" s="141">
        <v>1681.6</v>
      </c>
      <c r="CA22" s="141"/>
      <c r="CB22" s="390">
        <f t="shared" si="8"/>
        <v>0</v>
      </c>
      <c r="CC22" s="132"/>
    </row>
    <row r="23" ht="14.25" customHeight="1">
      <c r="A23" s="132"/>
      <c r="B23" s="215">
        <v>46040</v>
      </c>
      <c r="C23" s="230">
        <f>42355.85-D23-0</f>
      </c>
      <c r="D23" s="134"/>
      <c r="E23" s="135"/>
      <c r="F23" s="135"/>
      <c r="G23" s="378">
        <f t="shared" si="0"/>
        <v>0</v>
      </c>
      <c r="H23" s="379"/>
      <c r="I23" s="395"/>
      <c r="J23" s="381"/>
      <c r="K23" s="382">
        <v>281.62</v>
      </c>
      <c r="L23" s="379"/>
      <c r="M23" s="379"/>
      <c r="N23" s="379"/>
      <c r="O23" s="379"/>
      <c r="P23" s="379"/>
      <c r="Q23" s="379"/>
      <c r="R23" s="379"/>
      <c r="S23" s="379"/>
      <c r="T23" s="379"/>
      <c r="U23" s="379"/>
      <c r="V23" s="379"/>
      <c r="W23" s="379"/>
      <c r="X23" s="379"/>
      <c r="Y23" s="379"/>
      <c r="Z23" s="379"/>
      <c r="AA23" s="379"/>
      <c r="AB23" s="383">
        <f t="shared" si="1"/>
        <v>0</v>
      </c>
      <c r="AC23" s="136"/>
      <c r="AD23" s="136"/>
      <c r="AE23" s="136"/>
      <c r="AF23" s="136"/>
      <c r="AG23" s="136"/>
      <c r="AH23" s="136"/>
      <c r="AI23" s="140"/>
      <c r="AJ23" s="140"/>
      <c r="AK23" s="140"/>
      <c r="AL23" s="140"/>
      <c r="AM23" s="140"/>
      <c r="AN23" s="140"/>
      <c r="AO23" s="140"/>
      <c r="AP23" s="384">
        <f t="shared" si="2"/>
        <v>0</v>
      </c>
      <c r="AQ23" s="134">
        <v>30715.75</v>
      </c>
      <c r="AR23" s="136"/>
      <c r="AS23" s="136"/>
      <c r="AT23" s="385">
        <f t="shared" si="3"/>
        <v>0</v>
      </c>
      <c r="AU23" s="201"/>
      <c r="AV23" s="140"/>
      <c r="AW23" s="140"/>
      <c r="AX23" s="140"/>
      <c r="AY23" s="392"/>
      <c r="AZ23" s="387">
        <f t="shared" si="4"/>
        <v>0</v>
      </c>
      <c r="BA23" s="1677">
        <v>11237.2</v>
      </c>
      <c r="BB23" s="1668"/>
      <c r="BC23" s="1656"/>
      <c r="BD23" s="1656"/>
      <c r="BE23" s="1674"/>
      <c r="BF23" s="1595"/>
      <c r="BG23" s="1671"/>
      <c r="BH23" s="1672"/>
      <c r="BI23" s="1672"/>
      <c r="BJ23" s="1672"/>
      <c r="BK23" s="389">
        <f t="shared" si="5"/>
        <v>0</v>
      </c>
      <c r="BL23" s="140">
        <f t="shared" si="6"/>
        <v>0</v>
      </c>
      <c r="BM23" s="132"/>
      <c r="BN23" s="140">
        <f t="shared" si="7"/>
        <v>0</v>
      </c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41"/>
      <c r="CA23" s="141"/>
      <c r="CB23" s="390">
        <f t="shared" si="8"/>
        <v>0</v>
      </c>
      <c r="CC23" s="132"/>
    </row>
    <row r="24" ht="14.25" customHeight="1">
      <c r="A24" s="132"/>
      <c r="B24" s="215">
        <v>46041</v>
      </c>
      <c r="C24" s="230">
        <f>39289.84-D24-0</f>
      </c>
      <c r="D24" s="134"/>
      <c r="E24" s="135"/>
      <c r="F24" s="135"/>
      <c r="G24" s="378">
        <f t="shared" si="0"/>
        <v>0</v>
      </c>
      <c r="H24" s="379"/>
      <c r="I24" s="395"/>
      <c r="J24" s="381"/>
      <c r="K24" s="382">
        <v>13.63</v>
      </c>
      <c r="L24" s="379"/>
      <c r="M24" s="382">
        <v>114.44</v>
      </c>
      <c r="N24" s="379"/>
      <c r="O24" s="379"/>
      <c r="P24" s="382">
        <v>146.04</v>
      </c>
      <c r="Q24" s="379">
        <v>673.41</v>
      </c>
      <c r="R24" s="379"/>
      <c r="S24" s="379"/>
      <c r="T24" s="379"/>
      <c r="U24" s="379"/>
      <c r="V24" s="379"/>
      <c r="W24" s="379"/>
      <c r="X24" s="379"/>
      <c r="Y24" s="379"/>
      <c r="Z24" s="379"/>
      <c r="AA24" s="379"/>
      <c r="AB24" s="383">
        <f t="shared" si="1"/>
        <v>0</v>
      </c>
      <c r="AC24" s="134">
        <v>514.47</v>
      </c>
      <c r="AD24" s="136"/>
      <c r="AE24" s="136"/>
      <c r="AF24" s="136"/>
      <c r="AG24" s="136"/>
      <c r="AH24" s="136"/>
      <c r="AI24" s="140"/>
      <c r="AJ24" s="140"/>
      <c r="AK24" s="140"/>
      <c r="AL24" s="140"/>
      <c r="AM24" s="140"/>
      <c r="AN24" s="140"/>
      <c r="AO24" s="140"/>
      <c r="AP24" s="384">
        <f t="shared" si="2"/>
        <v>0</v>
      </c>
      <c r="AQ24" s="134">
        <v>20381.54</v>
      </c>
      <c r="AR24" s="136"/>
      <c r="AS24" s="136"/>
      <c r="AT24" s="385">
        <f t="shared" si="3"/>
        <v>0</v>
      </c>
      <c r="AU24" s="201">
        <v>9.03</v>
      </c>
      <c r="AV24" s="140"/>
      <c r="AW24" s="140"/>
      <c r="AX24" s="140"/>
      <c r="AY24" s="392"/>
      <c r="AZ24" s="387">
        <f t="shared" si="4"/>
        <v>0</v>
      </c>
      <c r="BA24" s="1677">
        <v>16577.7</v>
      </c>
      <c r="BB24" s="1668"/>
      <c r="BC24" s="1656"/>
      <c r="BD24" s="1656"/>
      <c r="BE24" s="1674"/>
      <c r="BF24" s="1595"/>
      <c r="BG24" s="1671"/>
      <c r="BH24" s="1672"/>
      <c r="BI24" s="1672"/>
      <c r="BJ24" s="1672"/>
      <c r="BK24" s="389">
        <f t="shared" si="5"/>
        <v>0</v>
      </c>
      <c r="BL24" s="140">
        <f t="shared" si="6"/>
        <v>0</v>
      </c>
      <c r="BM24" s="132"/>
      <c r="BN24" s="140">
        <f t="shared" si="7"/>
        <v>0</v>
      </c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50"/>
      <c r="BZ24" s="141">
        <v>849.6</v>
      </c>
      <c r="CA24" s="141"/>
      <c r="CB24" s="390">
        <f t="shared" si="8"/>
        <v>0</v>
      </c>
      <c r="CC24" s="132"/>
    </row>
    <row r="25" ht="14.25" customHeight="1">
      <c r="A25" s="132"/>
      <c r="B25" s="215">
        <v>46042</v>
      </c>
      <c r="C25" s="230">
        <f>35480.22-D25-0</f>
      </c>
      <c r="D25" s="134"/>
      <c r="E25" s="135"/>
      <c r="F25" s="135"/>
      <c r="G25" s="378">
        <f t="shared" si="0"/>
        <v>0</v>
      </c>
      <c r="H25" s="379"/>
      <c r="I25" s="395"/>
      <c r="J25" s="381"/>
      <c r="K25" s="382">
        <v>368.25</v>
      </c>
      <c r="L25" s="379"/>
      <c r="M25" s="382">
        <v>70.91</v>
      </c>
      <c r="N25" s="382">
        <v>123.3</v>
      </c>
      <c r="O25" s="379"/>
      <c r="P25" s="379">
        <v>258.09</v>
      </c>
      <c r="Q25" s="379">
        <v>893.08</v>
      </c>
      <c r="R25" s="379"/>
      <c r="S25" s="379"/>
      <c r="T25" s="379"/>
      <c r="U25" s="379"/>
      <c r="V25" s="379"/>
      <c r="W25" s="379"/>
      <c r="X25" s="379"/>
      <c r="Y25" s="379"/>
      <c r="Z25" s="379"/>
      <c r="AA25" s="379"/>
      <c r="AB25" s="383">
        <f t="shared" si="1"/>
        <v>0</v>
      </c>
      <c r="AC25" s="134">
        <v>685.91</v>
      </c>
      <c r="AD25" s="136"/>
      <c r="AE25" s="134">
        <v>273.46</v>
      </c>
      <c r="AF25" s="136"/>
      <c r="AG25" s="136"/>
      <c r="AH25" s="136"/>
      <c r="AI25" s="140"/>
      <c r="AJ25" s="140"/>
      <c r="AK25" s="140"/>
      <c r="AL25" s="140"/>
      <c r="AM25" s="140"/>
      <c r="AN25" s="140"/>
      <c r="AO25" s="140"/>
      <c r="AP25" s="384">
        <f t="shared" si="2"/>
        <v>0</v>
      </c>
      <c r="AQ25" s="134">
        <v>17240.71</v>
      </c>
      <c r="AR25" s="136"/>
      <c r="AS25" s="136"/>
      <c r="AT25" s="385">
        <f t="shared" si="3"/>
        <v>0</v>
      </c>
      <c r="AU25" s="201">
        <v>5.81</v>
      </c>
      <c r="AV25" s="140"/>
      <c r="AW25" s="140"/>
      <c r="AX25" s="140"/>
      <c r="AY25" s="392"/>
      <c r="AZ25" s="387">
        <f t="shared" si="4"/>
        <v>0</v>
      </c>
      <c r="BA25" s="1677">
        <v>15206.9</v>
      </c>
      <c r="BB25" s="1668"/>
      <c r="BC25" s="1656"/>
      <c r="BD25" s="1656"/>
      <c r="BE25" s="1674"/>
      <c r="BF25" s="1595"/>
      <c r="BG25" s="1671"/>
      <c r="BH25" s="1672"/>
      <c r="BI25" s="1672"/>
      <c r="BJ25" s="1672"/>
      <c r="BK25" s="389">
        <f t="shared" si="5"/>
        <v>0</v>
      </c>
      <c r="BL25" s="140">
        <f t="shared" si="6"/>
        <v>0</v>
      </c>
      <c r="BM25" s="132"/>
      <c r="BN25" s="140">
        <f t="shared" si="7"/>
        <v>0</v>
      </c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50"/>
      <c r="BZ25" s="141">
        <v>354</v>
      </c>
      <c r="CA25" s="141"/>
      <c r="CB25" s="390">
        <f t="shared" si="8"/>
        <v>0</v>
      </c>
      <c r="CC25" s="132"/>
    </row>
    <row r="26" ht="14.25" customHeight="1">
      <c r="A26" s="132"/>
      <c r="B26" s="215">
        <v>46043</v>
      </c>
      <c r="C26" s="230">
        <f>35617.38-D26-0</f>
      </c>
      <c r="D26" s="134"/>
      <c r="E26" s="135"/>
      <c r="F26" s="135"/>
      <c r="G26" s="378">
        <f t="shared" si="0"/>
        <v>0</v>
      </c>
      <c r="H26" s="379"/>
      <c r="I26" s="395"/>
      <c r="J26" s="381"/>
      <c r="K26" s="379">
        <v>82.49</v>
      </c>
      <c r="L26" s="379"/>
      <c r="M26" s="379">
        <v>359.81</v>
      </c>
      <c r="N26" s="379"/>
      <c r="O26" s="379"/>
      <c r="P26" s="382">
        <v>1076.86</v>
      </c>
      <c r="Q26" s="379"/>
      <c r="R26" s="379"/>
      <c r="S26" s="379"/>
      <c r="T26" s="379"/>
      <c r="U26" s="379"/>
      <c r="V26" s="379"/>
      <c r="W26" s="379"/>
      <c r="X26" s="379"/>
      <c r="Y26" s="379"/>
      <c r="Z26" s="379"/>
      <c r="AA26" s="379"/>
      <c r="AB26" s="383">
        <f t="shared" si="1"/>
        <v>0</v>
      </c>
      <c r="AC26" s="136"/>
      <c r="AD26" s="136"/>
      <c r="AE26" s="136"/>
      <c r="AF26" s="136"/>
      <c r="AG26" s="136"/>
      <c r="AH26" s="134">
        <v>161.15</v>
      </c>
      <c r="AI26" s="140"/>
      <c r="AJ26" s="140"/>
      <c r="AK26" s="140"/>
      <c r="AL26" s="140"/>
      <c r="AM26" s="140"/>
      <c r="AN26" s="140"/>
      <c r="AO26" s="140"/>
      <c r="AP26" s="384">
        <f t="shared" si="2"/>
        <v>0</v>
      </c>
      <c r="AQ26" s="134">
        <v>15079.23</v>
      </c>
      <c r="AR26" s="136"/>
      <c r="AS26" s="136"/>
      <c r="AT26" s="385">
        <f t="shared" si="3"/>
        <v>0</v>
      </c>
      <c r="AU26" s="201">
        <v>23.18</v>
      </c>
      <c r="AV26" s="140"/>
      <c r="AW26" s="140"/>
      <c r="AX26" s="140"/>
      <c r="AY26" s="392"/>
      <c r="AZ26" s="387">
        <f t="shared" si="4"/>
        <v>0</v>
      </c>
      <c r="BA26" s="1677">
        <v>18110.2</v>
      </c>
      <c r="BB26" s="1678">
        <v>275.8</v>
      </c>
      <c r="BC26" s="1656"/>
      <c r="BD26" s="1656"/>
      <c r="BE26" s="1674"/>
      <c r="BF26" s="1595"/>
      <c r="BG26" s="1671"/>
      <c r="BH26" s="1672"/>
      <c r="BI26" s="1672"/>
      <c r="BJ26" s="1672"/>
      <c r="BK26" s="389">
        <f t="shared" si="5"/>
        <v>0</v>
      </c>
      <c r="BL26" s="140">
        <f t="shared" si="6"/>
        <v>0</v>
      </c>
      <c r="BM26" s="132"/>
      <c r="BN26" s="140">
        <f t="shared" si="7"/>
        <v>0</v>
      </c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50"/>
      <c r="BZ26" s="141">
        <v>447.67</v>
      </c>
      <c r="CA26" s="141"/>
      <c r="CB26" s="390">
        <f t="shared" si="8"/>
        <v>0</v>
      </c>
      <c r="CC26" s="132"/>
    </row>
    <row r="27" ht="14.25" customHeight="1">
      <c r="A27" s="132"/>
      <c r="B27" s="215">
        <v>46044</v>
      </c>
      <c r="C27" s="230">
        <f>36403.58-D27-0</f>
      </c>
      <c r="D27" s="134"/>
      <c r="E27" s="135"/>
      <c r="F27" s="135"/>
      <c r="G27" s="378">
        <f t="shared" si="0"/>
        <v>0</v>
      </c>
      <c r="H27" s="379"/>
      <c r="I27" s="395"/>
      <c r="J27" s="381"/>
      <c r="K27" s="379"/>
      <c r="L27" s="379"/>
      <c r="M27" s="379">
        <v>272.83</v>
      </c>
      <c r="N27" s="379"/>
      <c r="O27" s="379"/>
      <c r="P27" s="382">
        <v>271.02</v>
      </c>
      <c r="Q27" s="382">
        <v>356.23</v>
      </c>
      <c r="R27" s="379"/>
      <c r="S27" s="379"/>
      <c r="T27" s="379"/>
      <c r="U27" s="379"/>
      <c r="V27" s="379"/>
      <c r="W27" s="379"/>
      <c r="X27" s="379"/>
      <c r="Y27" s="379"/>
      <c r="Z27" s="379"/>
      <c r="AA27" s="379"/>
      <c r="AB27" s="383">
        <f t="shared" si="1"/>
        <v>0</v>
      </c>
      <c r="AC27" s="136"/>
      <c r="AD27" s="136"/>
      <c r="AE27" s="134">
        <v>304</v>
      </c>
      <c r="AF27" s="136"/>
      <c r="AG27" s="136"/>
      <c r="AH27" s="136"/>
      <c r="AI27" s="140"/>
      <c r="AJ27" s="140"/>
      <c r="AK27" s="140"/>
      <c r="AL27" s="140"/>
      <c r="AM27" s="140"/>
      <c r="AN27" s="140"/>
      <c r="AO27" s="140"/>
      <c r="AP27" s="384">
        <f t="shared" si="2"/>
        <v>0</v>
      </c>
      <c r="AQ27" s="134">
        <v>22592.07</v>
      </c>
      <c r="AR27" s="136"/>
      <c r="AS27" s="136"/>
      <c r="AT27" s="385">
        <f t="shared" si="3"/>
        <v>0</v>
      </c>
      <c r="AU27" s="201">
        <v>28.5</v>
      </c>
      <c r="AV27" s="140"/>
      <c r="AW27" s="140"/>
      <c r="AX27" s="140"/>
      <c r="AY27" s="392"/>
      <c r="AZ27" s="387">
        <f t="shared" si="4"/>
        <v>0</v>
      </c>
      <c r="BA27" s="1677">
        <v>12411.7</v>
      </c>
      <c r="BB27" s="1675"/>
      <c r="BC27" s="1656"/>
      <c r="BD27" s="1656"/>
      <c r="BE27" s="1674"/>
      <c r="BF27" s="1595"/>
      <c r="BG27" s="1671"/>
      <c r="BH27" s="1672"/>
      <c r="BI27" s="1672"/>
      <c r="BJ27" s="1672"/>
      <c r="BK27" s="389">
        <f t="shared" si="5"/>
        <v>0</v>
      </c>
      <c r="BL27" s="140">
        <f t="shared" si="6"/>
        <v>0</v>
      </c>
      <c r="BM27" s="132"/>
      <c r="BN27" s="140">
        <f t="shared" si="7"/>
        <v>0</v>
      </c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50"/>
      <c r="BZ27" s="141">
        <v>145</v>
      </c>
      <c r="CA27" s="141"/>
      <c r="CB27" s="390">
        <f t="shared" si="8"/>
        <v>0</v>
      </c>
      <c r="CC27" s="132"/>
    </row>
    <row r="28" ht="14.25" customHeight="1">
      <c r="A28" s="132"/>
      <c r="B28" s="215">
        <v>46045</v>
      </c>
      <c r="C28" s="230">
        <f>38904.34-D28-0</f>
      </c>
      <c r="D28" s="134"/>
      <c r="E28" s="135"/>
      <c r="F28" s="135"/>
      <c r="G28" s="378">
        <f t="shared" si="0"/>
        <v>0</v>
      </c>
      <c r="H28" s="379"/>
      <c r="I28" s="395"/>
      <c r="J28" s="381"/>
      <c r="K28" s="382">
        <v>177.13</v>
      </c>
      <c r="L28" s="379"/>
      <c r="M28" s="382">
        <v>90.27</v>
      </c>
      <c r="N28" s="379"/>
      <c r="O28" s="379"/>
      <c r="P28" s="379">
        <v>1724.77</v>
      </c>
      <c r="Q28" s="379">
        <v>842.91</v>
      </c>
      <c r="R28" s="379"/>
      <c r="S28" s="379"/>
      <c r="T28" s="379"/>
      <c r="U28" s="379"/>
      <c r="V28" s="379"/>
      <c r="W28" s="379"/>
      <c r="X28" s="379"/>
      <c r="Y28" s="379"/>
      <c r="Z28" s="379"/>
      <c r="AA28" s="379"/>
      <c r="AB28" s="383">
        <f t="shared" si="1"/>
        <v>0</v>
      </c>
      <c r="AC28" s="136"/>
      <c r="AD28" s="136"/>
      <c r="AE28" s="136"/>
      <c r="AF28" s="136"/>
      <c r="AG28" s="136"/>
      <c r="AH28" s="136"/>
      <c r="AI28" s="140"/>
      <c r="AJ28" s="140"/>
      <c r="AK28" s="140"/>
      <c r="AL28" s="140"/>
      <c r="AM28" s="140"/>
      <c r="AN28" s="140"/>
      <c r="AO28" s="140"/>
      <c r="AP28" s="384">
        <f t="shared" si="2"/>
        <v>0</v>
      </c>
      <c r="AQ28" s="134">
        <v>20975.54</v>
      </c>
      <c r="AR28" s="136"/>
      <c r="AS28" s="136"/>
      <c r="AT28" s="385">
        <f t="shared" si="3"/>
        <v>0</v>
      </c>
      <c r="AU28" s="201">
        <v>7.98</v>
      </c>
      <c r="AV28" s="140"/>
      <c r="AW28" s="140"/>
      <c r="AX28" s="140"/>
      <c r="AY28" s="392"/>
      <c r="AZ28" s="387">
        <f t="shared" si="4"/>
        <v>0</v>
      </c>
      <c r="BA28" s="1677">
        <v>15086.4</v>
      </c>
      <c r="BB28" s="1668"/>
      <c r="BC28" s="1656"/>
      <c r="BD28" s="1656"/>
      <c r="BE28" s="1674"/>
      <c r="BF28" s="1595"/>
      <c r="BG28" s="1671"/>
      <c r="BH28" s="1672"/>
      <c r="BI28" s="1672"/>
      <c r="BJ28" s="1672"/>
      <c r="BK28" s="389">
        <f t="shared" si="5"/>
        <v>0</v>
      </c>
      <c r="BL28" s="140">
        <f t="shared" si="6"/>
        <v>0</v>
      </c>
      <c r="BM28" s="132"/>
      <c r="BN28" s="140">
        <f t="shared" si="7"/>
        <v>0</v>
      </c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390">
        <f t="shared" si="8"/>
        <v>0</v>
      </c>
      <c r="CC28" s="132"/>
    </row>
    <row r="29" ht="14.25" customHeight="1">
      <c r="A29" s="132"/>
      <c r="B29" s="215">
        <v>46046</v>
      </c>
      <c r="C29" s="230">
        <f>37428.98-D29-0</f>
      </c>
      <c r="D29" s="134"/>
      <c r="E29" s="135"/>
      <c r="F29" s="135"/>
      <c r="G29" s="378">
        <f t="shared" si="0"/>
        <v>0</v>
      </c>
      <c r="H29" s="379"/>
      <c r="I29" s="395"/>
      <c r="J29" s="381"/>
      <c r="K29" s="382">
        <v>588.03</v>
      </c>
      <c r="L29" s="379"/>
      <c r="M29" s="382">
        <v>152.34</v>
      </c>
      <c r="N29" s="379"/>
      <c r="O29" s="379"/>
      <c r="P29" s="379"/>
      <c r="Q29" s="379"/>
      <c r="R29" s="379"/>
      <c r="S29" s="379"/>
      <c r="T29" s="379"/>
      <c r="U29" s="379"/>
      <c r="V29" s="379"/>
      <c r="W29" s="379"/>
      <c r="X29" s="379"/>
      <c r="Y29" s="379"/>
      <c r="Z29" s="379"/>
      <c r="AA29" s="379"/>
      <c r="AB29" s="383">
        <f t="shared" si="1"/>
        <v>0</v>
      </c>
      <c r="AC29" s="136"/>
      <c r="AD29" s="136"/>
      <c r="AE29" s="136"/>
      <c r="AF29" s="136"/>
      <c r="AG29" s="136"/>
      <c r="AH29" s="136"/>
      <c r="AI29" s="140"/>
      <c r="AJ29" s="140"/>
      <c r="AK29" s="140"/>
      <c r="AL29" s="140"/>
      <c r="AM29" s="140"/>
      <c r="AN29" s="140"/>
      <c r="AO29" s="140"/>
      <c r="AP29" s="384">
        <f t="shared" si="2"/>
        <v>0</v>
      </c>
      <c r="AQ29" s="134">
        <v>21769.08</v>
      </c>
      <c r="AR29" s="136"/>
      <c r="AS29" s="136"/>
      <c r="AT29" s="385">
        <f t="shared" si="3"/>
        <v>0</v>
      </c>
      <c r="AU29" s="201">
        <v>7.97</v>
      </c>
      <c r="AV29" s="140"/>
      <c r="AW29" s="140"/>
      <c r="AX29" s="140"/>
      <c r="AY29" s="392"/>
      <c r="AZ29" s="387">
        <f t="shared" si="4"/>
        <v>0</v>
      </c>
      <c r="BA29" s="1677">
        <v>14690.1</v>
      </c>
      <c r="BB29" s="1675"/>
      <c r="BC29" s="1656"/>
      <c r="BD29" s="1656"/>
      <c r="BE29" s="1674"/>
      <c r="BF29" s="1595"/>
      <c r="BG29" s="1671"/>
      <c r="BH29" s="1672"/>
      <c r="BI29" s="1672"/>
      <c r="BJ29" s="1672"/>
      <c r="BK29" s="389">
        <f t="shared" si="5"/>
        <v>0</v>
      </c>
      <c r="BL29" s="140">
        <f t="shared" si="6"/>
        <v>0</v>
      </c>
      <c r="BM29" s="132"/>
      <c r="BN29" s="140">
        <f t="shared" si="7"/>
        <v>0</v>
      </c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50"/>
      <c r="BZ29" s="141">
        <v>221.5</v>
      </c>
      <c r="CA29" s="141"/>
      <c r="CB29" s="390">
        <f t="shared" si="8"/>
        <v>0</v>
      </c>
      <c r="CC29" s="132"/>
    </row>
    <row r="30" ht="14.25" customHeight="1">
      <c r="A30" s="132"/>
      <c r="B30" s="215">
        <v>46047</v>
      </c>
      <c r="C30" s="230">
        <f>42113.38-D30-0</f>
      </c>
      <c r="D30" s="134"/>
      <c r="E30" s="135"/>
      <c r="F30" s="135"/>
      <c r="G30" s="378">
        <f t="shared" si="0"/>
        <v>0</v>
      </c>
      <c r="H30" s="379"/>
      <c r="I30" s="395"/>
      <c r="J30" s="381"/>
      <c r="K30" s="379">
        <v>503.22</v>
      </c>
      <c r="L30" s="379"/>
      <c r="M30" s="379"/>
      <c r="N30" s="379"/>
      <c r="O30" s="379"/>
      <c r="P30" s="379"/>
      <c r="Q30" s="379"/>
      <c r="R30" s="379"/>
      <c r="S30" s="379"/>
      <c r="T30" s="379"/>
      <c r="U30" s="379"/>
      <c r="V30" s="379"/>
      <c r="W30" s="379"/>
      <c r="X30" s="379"/>
      <c r="Y30" s="379"/>
      <c r="Z30" s="379"/>
      <c r="AA30" s="379"/>
      <c r="AB30" s="383">
        <f t="shared" si="1"/>
        <v>0</v>
      </c>
      <c r="AC30" s="136">
        <v>950.66</v>
      </c>
      <c r="AD30" s="136"/>
      <c r="AE30" s="136"/>
      <c r="AF30" s="136"/>
      <c r="AG30" s="136"/>
      <c r="AH30" s="136"/>
      <c r="AI30" s="140"/>
      <c r="AJ30" s="140"/>
      <c r="AK30" s="140"/>
      <c r="AL30" s="140"/>
      <c r="AM30" s="140"/>
      <c r="AN30" s="140"/>
      <c r="AO30" s="140"/>
      <c r="AP30" s="384">
        <f t="shared" si="2"/>
        <v>0</v>
      </c>
      <c r="AQ30" s="134">
        <v>27810.88</v>
      </c>
      <c r="AR30" s="136"/>
      <c r="AS30" s="136"/>
      <c r="AT30" s="385">
        <f t="shared" si="3"/>
        <v>0</v>
      </c>
      <c r="AU30" s="201">
        <v>2.18</v>
      </c>
      <c r="AV30" s="140"/>
      <c r="AW30" s="140"/>
      <c r="AX30" s="140"/>
      <c r="AY30" s="392"/>
      <c r="AZ30" s="387">
        <f t="shared" si="4"/>
        <v>0</v>
      </c>
      <c r="BA30" s="1677">
        <v>12846.5</v>
      </c>
      <c r="BB30" s="1675"/>
      <c r="BC30" s="1656"/>
      <c r="BD30" s="1656"/>
      <c r="BE30" s="1674"/>
      <c r="BF30" s="1595"/>
      <c r="BG30" s="1671"/>
      <c r="BH30" s="1672"/>
      <c r="BI30" s="1672"/>
      <c r="BJ30" s="1672"/>
      <c r="BK30" s="389">
        <f t="shared" si="5"/>
        <v>0</v>
      </c>
      <c r="BL30" s="140">
        <f t="shared" si="6"/>
        <v>0</v>
      </c>
      <c r="BM30" s="132"/>
      <c r="BN30" s="140">
        <f t="shared" si="7"/>
        <v>0</v>
      </c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1"/>
      <c r="CA30" s="141"/>
      <c r="CB30" s="390">
        <f t="shared" si="8"/>
        <v>0</v>
      </c>
      <c r="CC30" s="132"/>
    </row>
    <row r="31" ht="14.25" customHeight="1">
      <c r="A31" s="132"/>
      <c r="B31" s="215">
        <v>46048</v>
      </c>
      <c r="C31" s="230">
        <f>41467.11-D31-0</f>
      </c>
      <c r="D31" s="134"/>
      <c r="E31" s="135"/>
      <c r="F31" s="135"/>
      <c r="G31" s="378">
        <f t="shared" si="0"/>
        <v>0</v>
      </c>
      <c r="H31" s="379"/>
      <c r="I31" s="395"/>
      <c r="J31" s="381"/>
      <c r="K31" s="382">
        <v>137.9</v>
      </c>
      <c r="L31" s="379"/>
      <c r="M31" s="379">
        <v>340.75</v>
      </c>
      <c r="N31" s="379"/>
      <c r="O31" s="379"/>
      <c r="P31" s="379">
        <v>855.56</v>
      </c>
      <c r="Q31" s="379">
        <v>8507.37</v>
      </c>
      <c r="R31" s="379"/>
      <c r="S31" s="379"/>
      <c r="T31" s="379"/>
      <c r="U31" s="379"/>
      <c r="V31" s="379"/>
      <c r="W31" s="379"/>
      <c r="X31" s="379"/>
      <c r="Y31" s="379"/>
      <c r="Z31" s="379"/>
      <c r="AA31" s="379"/>
      <c r="AB31" s="383">
        <f t="shared" si="1"/>
        <v>0</v>
      </c>
      <c r="AC31" s="134">
        <v>237.17</v>
      </c>
      <c r="AD31" s="136"/>
      <c r="AE31" s="134"/>
      <c r="AF31" s="136"/>
      <c r="AG31" s="136"/>
      <c r="AH31" s="134">
        <v>181.59</v>
      </c>
      <c r="AI31" s="140"/>
      <c r="AJ31" s="140"/>
      <c r="AK31" s="140"/>
      <c r="AL31" s="140"/>
      <c r="AM31" s="140"/>
      <c r="AN31" s="140"/>
      <c r="AO31" s="140"/>
      <c r="AP31" s="384">
        <f t="shared" si="2"/>
        <v>0</v>
      </c>
      <c r="AQ31" s="134">
        <v>17326.6</v>
      </c>
      <c r="AR31" s="136"/>
      <c r="AS31" s="136"/>
      <c r="AT31" s="385">
        <f t="shared" si="3"/>
        <v>0</v>
      </c>
      <c r="AU31" s="201">
        <v>2.18</v>
      </c>
      <c r="AV31" s="140"/>
      <c r="AW31" s="140"/>
      <c r="AX31" s="140"/>
      <c r="AY31" s="392"/>
      <c r="AZ31" s="387">
        <f t="shared" si="4"/>
        <v>0</v>
      </c>
      <c r="BA31" s="1677">
        <v>13754.6</v>
      </c>
      <c r="BB31" s="1675"/>
      <c r="BC31" s="1656"/>
      <c r="BD31" s="1656"/>
      <c r="BE31" s="1674"/>
      <c r="BF31" s="1595"/>
      <c r="BG31" s="1671"/>
      <c r="BH31" s="1672"/>
      <c r="BI31" s="1672"/>
      <c r="BJ31" s="1672"/>
      <c r="BK31" s="389">
        <f t="shared" si="5"/>
        <v>0</v>
      </c>
      <c r="BL31" s="140">
        <f t="shared" si="6"/>
        <v>0</v>
      </c>
      <c r="BM31" s="132"/>
      <c r="BN31" s="140">
        <f t="shared" si="7"/>
        <v>0</v>
      </c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50"/>
      <c r="BZ31" s="141">
        <v>108.5</v>
      </c>
      <c r="CA31" s="141"/>
      <c r="CB31" s="390">
        <f t="shared" si="8"/>
        <v>0</v>
      </c>
      <c r="CC31" s="132"/>
    </row>
    <row r="32" ht="14.25" customHeight="1">
      <c r="A32" s="132"/>
      <c r="B32" s="215">
        <v>46049</v>
      </c>
      <c r="C32" s="230">
        <f>36629.29-D32-0</f>
      </c>
      <c r="D32" s="134"/>
      <c r="E32" s="135"/>
      <c r="F32" s="135"/>
      <c r="G32" s="378">
        <f t="shared" si="0"/>
        <v>0</v>
      </c>
      <c r="H32" s="379"/>
      <c r="I32" s="395"/>
      <c r="J32" s="381"/>
      <c r="K32" s="379">
        <v>237.86</v>
      </c>
      <c r="L32" s="379"/>
      <c r="M32" s="382">
        <v>68.95</v>
      </c>
      <c r="N32" s="379"/>
      <c r="O32" s="379"/>
      <c r="P32" s="382">
        <v>170.02</v>
      </c>
      <c r="Q32" s="379">
        <v>12459.01</v>
      </c>
      <c r="R32" s="379"/>
      <c r="S32" s="379"/>
      <c r="T32" s="379"/>
      <c r="U32" s="379"/>
      <c r="V32" s="379"/>
      <c r="W32" s="379"/>
      <c r="X32" s="379"/>
      <c r="Y32" s="379"/>
      <c r="Z32" s="379"/>
      <c r="AA32" s="379"/>
      <c r="AB32" s="383">
        <f t="shared" si="1"/>
        <v>0</v>
      </c>
      <c r="AC32" s="136"/>
      <c r="AD32" s="136"/>
      <c r="AE32" s="136"/>
      <c r="AF32" s="136"/>
      <c r="AG32" s="136"/>
      <c r="AH32" s="134">
        <v>184.83</v>
      </c>
      <c r="AI32" s="140"/>
      <c r="AJ32" s="140"/>
      <c r="AK32" s="140"/>
      <c r="AL32" s="140"/>
      <c r="AM32" s="140"/>
      <c r="AN32" s="140"/>
      <c r="AO32" s="140"/>
      <c r="AP32" s="384">
        <f t="shared" si="2"/>
        <v>0</v>
      </c>
      <c r="AQ32" s="134">
        <v>13360.47</v>
      </c>
      <c r="AR32" s="136"/>
      <c r="AS32" s="136"/>
      <c r="AT32" s="385">
        <f t="shared" si="3"/>
        <v>0</v>
      </c>
      <c r="AU32" s="201">
        <v>3.26</v>
      </c>
      <c r="AV32" s="140"/>
      <c r="AW32" s="140"/>
      <c r="AX32" s="140"/>
      <c r="AY32" s="392"/>
      <c r="AZ32" s="387">
        <f t="shared" si="4"/>
        <v>0</v>
      </c>
      <c r="BA32" s="1677">
        <v>9404</v>
      </c>
      <c r="BB32" s="1675"/>
      <c r="BC32" s="1656"/>
      <c r="BD32" s="1656"/>
      <c r="BE32" s="1674"/>
      <c r="BF32" s="1595"/>
      <c r="BG32" s="1671"/>
      <c r="BH32" s="1672"/>
      <c r="BI32" s="1672"/>
      <c r="BJ32" s="1672"/>
      <c r="BK32" s="389">
        <f t="shared" si="5"/>
        <v>0</v>
      </c>
      <c r="BL32" s="140">
        <f t="shared" si="6"/>
        <v>0</v>
      </c>
      <c r="BM32" s="132"/>
      <c r="BN32" s="140">
        <f t="shared" si="7"/>
        <v>0</v>
      </c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50"/>
      <c r="BZ32" s="141">
        <v>740.7</v>
      </c>
      <c r="CA32" s="141"/>
      <c r="CB32" s="390">
        <f t="shared" si="8"/>
        <v>0</v>
      </c>
      <c r="CC32" s="132"/>
    </row>
    <row r="33" ht="14.25" customHeight="1">
      <c r="A33" s="132"/>
      <c r="B33" s="215">
        <v>46050</v>
      </c>
      <c r="C33" s="230">
        <f>35488.38-D33-0</f>
      </c>
      <c r="D33" s="134"/>
      <c r="E33" s="135"/>
      <c r="F33" s="135"/>
      <c r="G33" s="378">
        <f t="shared" si="0"/>
        <v>0</v>
      </c>
      <c r="H33" s="379"/>
      <c r="I33" s="395"/>
      <c r="J33" s="381"/>
      <c r="K33" s="379">
        <v>213.39</v>
      </c>
      <c r="L33" s="379"/>
      <c r="M33" s="379"/>
      <c r="N33" s="379"/>
      <c r="O33" s="379"/>
      <c r="P33" s="379"/>
      <c r="Q33" s="382">
        <v>180.82</v>
      </c>
      <c r="R33" s="379"/>
      <c r="S33" s="379"/>
      <c r="T33" s="379"/>
      <c r="U33" s="379"/>
      <c r="V33" s="379"/>
      <c r="W33" s="379"/>
      <c r="X33" s="379"/>
      <c r="Y33" s="379"/>
      <c r="Z33" s="379"/>
      <c r="AA33" s="379"/>
      <c r="AB33" s="383">
        <f t="shared" si="1"/>
        <v>0</v>
      </c>
      <c r="AC33" s="134">
        <v>671.52</v>
      </c>
      <c r="AD33" s="136"/>
      <c r="AE33" s="134">
        <v>322</v>
      </c>
      <c r="AF33" s="136"/>
      <c r="AG33" s="136"/>
      <c r="AH33" s="136"/>
      <c r="AI33" s="140"/>
      <c r="AJ33" s="140"/>
      <c r="AK33" s="140"/>
      <c r="AL33" s="140"/>
      <c r="AM33" s="140"/>
      <c r="AN33" s="140"/>
      <c r="AO33" s="140"/>
      <c r="AP33" s="384">
        <f t="shared" si="2"/>
        <v>0</v>
      </c>
      <c r="AQ33" s="134">
        <v>21147.63</v>
      </c>
      <c r="AR33" s="136"/>
      <c r="AS33" s="136"/>
      <c r="AT33" s="385">
        <f t="shared" si="3"/>
        <v>0</v>
      </c>
      <c r="AU33" s="201">
        <v>6.19</v>
      </c>
      <c r="AV33" s="140"/>
      <c r="AW33" s="140"/>
      <c r="AX33" s="140"/>
      <c r="AY33" s="392"/>
      <c r="AZ33" s="387">
        <f t="shared" si="4"/>
        <v>0</v>
      </c>
      <c r="BA33" s="1677">
        <v>12860.7</v>
      </c>
      <c r="BB33" s="1675"/>
      <c r="BC33" s="1656"/>
      <c r="BD33" s="1656"/>
      <c r="BE33" s="1674"/>
      <c r="BF33" s="1595"/>
      <c r="BG33" s="1671"/>
      <c r="BH33" s="1672"/>
      <c r="BI33" s="1672"/>
      <c r="BJ33" s="1672"/>
      <c r="BK33" s="389">
        <f t="shared" si="5"/>
        <v>0</v>
      </c>
      <c r="BL33" s="140">
        <f t="shared" si="6"/>
        <v>0</v>
      </c>
      <c r="BM33" s="132"/>
      <c r="BN33" s="140">
        <f t="shared" si="7"/>
        <v>0</v>
      </c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50"/>
      <c r="BZ33" s="141">
        <v>86.25</v>
      </c>
      <c r="CA33" s="141"/>
      <c r="CB33" s="390">
        <f t="shared" si="8"/>
        <v>0</v>
      </c>
      <c r="CC33" s="132"/>
    </row>
    <row r="34" ht="14.25" customHeight="1">
      <c r="A34" s="132"/>
      <c r="B34" s="215">
        <v>46051</v>
      </c>
      <c r="C34" s="230">
        <f>32052.21-D34-0</f>
      </c>
      <c r="D34" s="134"/>
      <c r="E34" s="135"/>
      <c r="F34" s="135"/>
      <c r="G34" s="378">
        <f t="shared" si="0"/>
        <v>0</v>
      </c>
      <c r="H34" s="379"/>
      <c r="I34" s="395"/>
      <c r="J34" s="381"/>
      <c r="K34" s="379">
        <v>213.66</v>
      </c>
      <c r="L34" s="379"/>
      <c r="M34" s="379">
        <v>626.09</v>
      </c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  <c r="AB34" s="383">
        <f t="shared" si="1"/>
        <v>0</v>
      </c>
      <c r="AC34" s="136"/>
      <c r="AD34" s="136"/>
      <c r="AE34" s="136"/>
      <c r="AF34" s="136"/>
      <c r="AG34" s="136"/>
      <c r="AH34" s="136"/>
      <c r="AI34" s="140"/>
      <c r="AJ34" s="140"/>
      <c r="AK34" s="140"/>
      <c r="AL34" s="140"/>
      <c r="AM34" s="140"/>
      <c r="AN34" s="140"/>
      <c r="AO34" s="140"/>
      <c r="AP34" s="384">
        <f t="shared" si="2"/>
        <v>0</v>
      </c>
      <c r="AQ34" s="134">
        <v>17204.58</v>
      </c>
      <c r="AR34" s="136"/>
      <c r="AS34" s="136"/>
      <c r="AT34" s="385">
        <f t="shared" si="3"/>
        <v>0</v>
      </c>
      <c r="AU34" s="201">
        <v>1.8</v>
      </c>
      <c r="AV34" s="140"/>
      <c r="AW34" s="140"/>
      <c r="AX34" s="140"/>
      <c r="AY34" s="392"/>
      <c r="AZ34" s="387">
        <f t="shared" si="4"/>
        <v>0</v>
      </c>
      <c r="BA34" s="1677">
        <v>13366.1</v>
      </c>
      <c r="BB34" s="1675"/>
      <c r="BC34" s="1656"/>
      <c r="BD34" s="1656"/>
      <c r="BE34" s="1674"/>
      <c r="BF34" s="1595"/>
      <c r="BG34" s="1671"/>
      <c r="BH34" s="1672"/>
      <c r="BI34" s="1672"/>
      <c r="BJ34" s="1672"/>
      <c r="BK34" s="389">
        <f t="shared" si="5"/>
        <v>0</v>
      </c>
      <c r="BL34" s="140">
        <f t="shared" si="6"/>
        <v>0</v>
      </c>
      <c r="BM34" s="132"/>
      <c r="BN34" s="140">
        <f t="shared" si="7"/>
        <v>0</v>
      </c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50"/>
      <c r="BZ34" s="141">
        <v>640</v>
      </c>
      <c r="CA34" s="141"/>
      <c r="CB34" s="390">
        <f t="shared" si="8"/>
        <v>0</v>
      </c>
      <c r="CC34" s="132"/>
    </row>
    <row r="35" ht="14.25" customHeight="1">
      <c r="A35" s="132"/>
      <c r="B35" s="215">
        <v>46052</v>
      </c>
      <c r="C35" s="230">
        <f>38855.68-D35-0</f>
      </c>
      <c r="D35" s="134"/>
      <c r="E35" s="135"/>
      <c r="F35" s="135"/>
      <c r="G35" s="378">
        <f t="shared" si="0"/>
        <v>0</v>
      </c>
      <c r="H35" s="379"/>
      <c r="I35" s="395"/>
      <c r="J35" s="381"/>
      <c r="K35" s="379">
        <v>2771.07</v>
      </c>
      <c r="L35" s="379"/>
      <c r="M35" s="379"/>
      <c r="N35" s="379"/>
      <c r="O35" s="379"/>
      <c r="P35" s="382">
        <v>185.86</v>
      </c>
      <c r="Q35" s="382">
        <v>775.14</v>
      </c>
      <c r="R35" s="379"/>
      <c r="S35" s="379"/>
      <c r="T35" s="379"/>
      <c r="U35" s="379"/>
      <c r="V35" s="379"/>
      <c r="W35" s="379"/>
      <c r="X35" s="379"/>
      <c r="Y35" s="379"/>
      <c r="Z35" s="379"/>
      <c r="AA35" s="379"/>
      <c r="AB35" s="383">
        <f t="shared" si="1"/>
        <v>0</v>
      </c>
      <c r="AC35" s="136"/>
      <c r="AD35" s="136"/>
      <c r="AE35" s="134">
        <v>223.88</v>
      </c>
      <c r="AF35" s="136"/>
      <c r="AG35" s="136"/>
      <c r="AH35" s="134">
        <v>135.96</v>
      </c>
      <c r="AI35" s="140"/>
      <c r="AJ35" s="140"/>
      <c r="AK35" s="140"/>
      <c r="AL35" s="140"/>
      <c r="AM35" s="140"/>
      <c r="AN35" s="140"/>
      <c r="AO35" s="140"/>
      <c r="AP35" s="384">
        <f t="shared" si="2"/>
        <v>0</v>
      </c>
      <c r="AQ35" s="134">
        <v>21506.52</v>
      </c>
      <c r="AR35" s="136"/>
      <c r="AS35" s="136"/>
      <c r="AT35" s="385">
        <f t="shared" si="3"/>
        <v>0</v>
      </c>
      <c r="AU35" s="201">
        <v>3.63</v>
      </c>
      <c r="AV35" s="140"/>
      <c r="AW35" s="140"/>
      <c r="AX35" s="140"/>
      <c r="AY35" s="392"/>
      <c r="AZ35" s="387">
        <f t="shared" si="4"/>
        <v>0</v>
      </c>
      <c r="BA35" s="1677">
        <v>13253.7</v>
      </c>
      <c r="BB35" s="1675"/>
      <c r="BC35" s="1656"/>
      <c r="BD35" s="1656"/>
      <c r="BE35" s="1674"/>
      <c r="BF35" s="1595"/>
      <c r="BG35" s="1671"/>
      <c r="BH35" s="1672"/>
      <c r="BI35" s="1672"/>
      <c r="BJ35" s="1672"/>
      <c r="BK35" s="389">
        <f t="shared" si="5"/>
        <v>0</v>
      </c>
      <c r="BL35" s="140">
        <f t="shared" si="6"/>
        <v>0</v>
      </c>
      <c r="BM35" s="132"/>
      <c r="BN35" s="140">
        <f t="shared" si="7"/>
        <v>0</v>
      </c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41"/>
      <c r="CA35" s="141"/>
      <c r="CB35" s="390">
        <f t="shared" si="8"/>
        <v>0</v>
      </c>
      <c r="CC35" s="132"/>
    </row>
    <row r="36" ht="14.25" customHeight="1">
      <c r="A36" s="132"/>
      <c r="B36" s="215">
        <v>46053</v>
      </c>
      <c r="C36" s="258">
        <f>40286.15-D36-0</f>
      </c>
      <c r="D36" s="154"/>
      <c r="E36" s="156"/>
      <c r="F36" s="156"/>
      <c r="G36" s="378">
        <f t="shared" si="0"/>
        <v>0</v>
      </c>
      <c r="H36" s="379"/>
      <c r="I36" s="398"/>
      <c r="J36" s="399"/>
      <c r="K36" s="400">
        <v>325.34</v>
      </c>
      <c r="L36" s="401"/>
      <c r="M36" s="401"/>
      <c r="N36" s="401"/>
      <c r="O36" s="401"/>
      <c r="P36" s="400">
        <v>219.69</v>
      </c>
      <c r="Q36" s="400">
        <v>111.4</v>
      </c>
      <c r="R36" s="401"/>
      <c r="S36" s="401"/>
      <c r="T36" s="401"/>
      <c r="U36" s="401"/>
      <c r="V36" s="401"/>
      <c r="W36" s="401"/>
      <c r="X36" s="401"/>
      <c r="Y36" s="401"/>
      <c r="Z36" s="379"/>
      <c r="AA36" s="379"/>
      <c r="AB36" s="383">
        <f t="shared" si="1"/>
        <v>0</v>
      </c>
      <c r="AC36" s="154">
        <v>269</v>
      </c>
      <c r="AD36" s="159"/>
      <c r="AE36" s="159"/>
      <c r="AF36" s="159"/>
      <c r="AG36" s="159"/>
      <c r="AH36" s="159"/>
      <c r="AI36" s="162"/>
      <c r="AJ36" s="162"/>
      <c r="AK36" s="162"/>
      <c r="AL36" s="162"/>
      <c r="AM36" s="162"/>
      <c r="AN36" s="162"/>
      <c r="AO36" s="162"/>
      <c r="AP36" s="384">
        <f t="shared" si="2"/>
        <v>0</v>
      </c>
      <c r="AQ36" s="154">
        <v>25126.13</v>
      </c>
      <c r="AR36" s="159"/>
      <c r="AS36" s="159"/>
      <c r="AT36" s="385">
        <f t="shared" si="3"/>
        <v>0</v>
      </c>
      <c r="AU36" s="402">
        <v>1.09</v>
      </c>
      <c r="AV36" s="162"/>
      <c r="AW36" s="162"/>
      <c r="AX36" s="162"/>
      <c r="AY36" s="403"/>
      <c r="AZ36" s="387">
        <f t="shared" si="4"/>
        <v>0</v>
      </c>
      <c r="BA36" s="1679">
        <v>14206.6</v>
      </c>
      <c r="BB36" s="1680"/>
      <c r="BC36" s="1681"/>
      <c r="BD36" s="1681"/>
      <c r="BE36" s="1682"/>
      <c r="BF36" s="1614"/>
      <c r="BG36" s="1683"/>
      <c r="BH36" s="1684"/>
      <c r="BI36" s="1684"/>
      <c r="BJ36" s="1684"/>
      <c r="BK36" s="389">
        <f t="shared" si="5"/>
        <v>0</v>
      </c>
      <c r="BL36" s="162">
        <f t="shared" si="6"/>
        <v>0</v>
      </c>
      <c r="BM36" s="132"/>
      <c r="BN36" s="162">
        <f t="shared" si="7"/>
        <v>0</v>
      </c>
      <c r="BO36" s="163"/>
      <c r="BP36" s="163"/>
      <c r="BQ36" s="163"/>
      <c r="BR36" s="163"/>
      <c r="BS36" s="163"/>
      <c r="BT36" s="163"/>
      <c r="BU36" s="163"/>
      <c r="BV36" s="163"/>
      <c r="BW36" s="163"/>
      <c r="BX36" s="141"/>
      <c r="BY36" s="163"/>
      <c r="BZ36" s="163"/>
      <c r="CA36" s="163"/>
      <c r="CB36" s="405">
        <f t="shared" si="8"/>
        <v>0</v>
      </c>
      <c r="CC36" s="132"/>
    </row>
    <row r="37" ht="14.25" customHeight="1">
      <c r="A37" s="406"/>
      <c r="B37" s="406" t="s">
        <v>132</v>
      </c>
      <c r="C37" s="407">
        <f ref="C37:S37" t="shared" si="9">SUM(C6:C36)</f>
        <v>0</v>
      </c>
      <c r="D37" s="407">
        <f t="shared" si="9"/>
        <v>0</v>
      </c>
      <c r="E37" s="407">
        <f t="shared" si="9"/>
        <v>0</v>
      </c>
      <c r="F37" s="407">
        <f t="shared" si="9"/>
        <v>0</v>
      </c>
      <c r="G37" s="408">
        <f t="shared" si="9"/>
        <v>0</v>
      </c>
      <c r="H37" s="407">
        <f t="shared" si="9"/>
        <v>0</v>
      </c>
      <c r="I37" s="407">
        <f t="shared" si="9"/>
        <v>0</v>
      </c>
      <c r="J37" s="407">
        <f t="shared" si="9"/>
        <v>0</v>
      </c>
      <c r="K37" s="407">
        <f t="shared" si="9"/>
        <v>0</v>
      </c>
      <c r="L37" s="407">
        <f t="shared" si="9"/>
        <v>0</v>
      </c>
      <c r="M37" s="407">
        <f t="shared" si="9"/>
        <v>0</v>
      </c>
      <c r="N37" s="407">
        <f t="shared" si="9"/>
        <v>0</v>
      </c>
      <c r="O37" s="407">
        <f t="shared" si="9"/>
        <v>0</v>
      </c>
      <c r="P37" s="407">
        <f t="shared" si="9"/>
        <v>0</v>
      </c>
      <c r="Q37" s="409">
        <f t="shared" si="9"/>
        <v>0</v>
      </c>
      <c r="R37" s="407">
        <f t="shared" si="9"/>
        <v>0</v>
      </c>
      <c r="S37" s="407">
        <f t="shared" si="9"/>
        <v>0</v>
      </c>
      <c r="T37" s="407"/>
      <c r="U37" s="407">
        <f ref="U37:AM37" t="shared" si="10">SUM(U6:U36)</f>
        <v>0</v>
      </c>
      <c r="V37" s="407">
        <f t="shared" si="10"/>
        <v>0</v>
      </c>
      <c r="W37" s="407">
        <f t="shared" si="10"/>
        <v>0</v>
      </c>
      <c r="X37" s="407">
        <f t="shared" si="10"/>
        <v>0</v>
      </c>
      <c r="Y37" s="407">
        <f t="shared" si="10"/>
        <v>0</v>
      </c>
      <c r="Z37" s="407">
        <f t="shared" si="10"/>
        <v>0</v>
      </c>
      <c r="AA37" s="407">
        <f t="shared" si="10"/>
        <v>0</v>
      </c>
      <c r="AB37" s="407">
        <f t="shared" si="10"/>
        <v>0</v>
      </c>
      <c r="AC37" s="407">
        <f t="shared" si="10"/>
        <v>0</v>
      </c>
      <c r="AD37" s="407">
        <f t="shared" si="10"/>
        <v>0</v>
      </c>
      <c r="AE37" s="407">
        <f t="shared" si="10"/>
        <v>0</v>
      </c>
      <c r="AF37" s="407">
        <f t="shared" si="10"/>
        <v>0</v>
      </c>
      <c r="AG37" s="407">
        <f t="shared" si="10"/>
        <v>0</v>
      </c>
      <c r="AH37" s="407">
        <f t="shared" si="10"/>
        <v>0</v>
      </c>
      <c r="AI37" s="407">
        <f t="shared" si="10"/>
        <v>0</v>
      </c>
      <c r="AJ37" s="407">
        <f t="shared" si="10"/>
        <v>0</v>
      </c>
      <c r="AK37" s="407">
        <f t="shared" si="10"/>
        <v>0</v>
      </c>
      <c r="AL37" s="407">
        <f t="shared" si="10"/>
        <v>0</v>
      </c>
      <c r="AM37" s="407">
        <f t="shared" si="10"/>
        <v>0</v>
      </c>
      <c r="AN37" s="407"/>
      <c r="AO37" s="407">
        <f ref="AO37:AU37" t="shared" si="11">SUM(AO6:AO36)</f>
        <v>0</v>
      </c>
      <c r="AP37" s="408">
        <f t="shared" si="11"/>
        <v>0</v>
      </c>
      <c r="AQ37" s="407">
        <f t="shared" si="11"/>
        <v>0</v>
      </c>
      <c r="AR37" s="407">
        <f t="shared" si="11"/>
        <v>0</v>
      </c>
      <c r="AS37" s="407">
        <f t="shared" si="11"/>
        <v>0</v>
      </c>
      <c r="AT37" s="408">
        <f t="shared" si="11"/>
        <v>0</v>
      </c>
      <c r="AU37" s="407">
        <f t="shared" si="11"/>
        <v>0</v>
      </c>
      <c r="AV37" s="407"/>
      <c r="AW37" s="407">
        <f ref="AW37:BL37" t="shared" si="12">SUM(AW6:AW36)</f>
        <v>0</v>
      </c>
      <c r="AX37" s="407">
        <f t="shared" si="12"/>
        <v>0</v>
      </c>
      <c r="AY37" s="407">
        <f t="shared" si="12"/>
        <v>0</v>
      </c>
      <c r="AZ37" s="407">
        <f t="shared" si="12"/>
        <v>0</v>
      </c>
      <c r="BA37" s="410">
        <f t="shared" si="12"/>
        <v>0</v>
      </c>
      <c r="BB37" s="411">
        <f t="shared" si="12"/>
        <v>0</v>
      </c>
      <c r="BC37" s="407">
        <f t="shared" si="12"/>
        <v>0</v>
      </c>
      <c r="BD37" s="407">
        <f t="shared" si="12"/>
        <v>0</v>
      </c>
      <c r="BE37" s="407">
        <f t="shared" si="12"/>
        <v>0</v>
      </c>
      <c r="BF37" s="412">
        <f t="shared" si="12"/>
        <v>0</v>
      </c>
      <c r="BG37" s="407">
        <f t="shared" si="12"/>
        <v>0</v>
      </c>
      <c r="BH37" s="407">
        <f t="shared" si="12"/>
        <v>0</v>
      </c>
      <c r="BI37" s="407">
        <f t="shared" si="12"/>
        <v>0</v>
      </c>
      <c r="BJ37" s="407">
        <f t="shared" si="12"/>
        <v>0</v>
      </c>
      <c r="BK37" s="408">
        <f t="shared" si="12"/>
        <v>0</v>
      </c>
      <c r="BL37" s="407">
        <f t="shared" si="12"/>
        <v>0</v>
      </c>
      <c r="BM37" s="132"/>
      <c r="BN37" s="407">
        <f ref="BN37:CB37" t="shared" si="13">SUM(BN6:BN36)</f>
        <v>0</v>
      </c>
      <c r="BO37" s="407">
        <f t="shared" si="13"/>
        <v>0</v>
      </c>
      <c r="BP37" s="407">
        <f t="shared" si="13"/>
        <v>0</v>
      </c>
      <c r="BQ37" s="407">
        <f t="shared" si="13"/>
        <v>0</v>
      </c>
      <c r="BR37" s="407">
        <f t="shared" si="13"/>
        <v>0</v>
      </c>
      <c r="BS37" s="407">
        <f t="shared" si="13"/>
        <v>0</v>
      </c>
      <c r="BT37" s="407">
        <f t="shared" si="13"/>
        <v>0</v>
      </c>
      <c r="BU37" s="407">
        <f t="shared" si="13"/>
        <v>0</v>
      </c>
      <c r="BV37" s="407">
        <f t="shared" si="13"/>
        <v>0</v>
      </c>
      <c r="BW37" s="407">
        <f t="shared" si="13"/>
        <v>0</v>
      </c>
      <c r="BX37" s="407">
        <f t="shared" si="13"/>
        <v>0</v>
      </c>
      <c r="BY37" s="407">
        <f t="shared" si="13"/>
        <v>0</v>
      </c>
      <c r="BZ37" s="407">
        <f t="shared" si="13"/>
        <v>0</v>
      </c>
      <c r="CA37" s="407">
        <f t="shared" si="13"/>
        <v>0</v>
      </c>
      <c r="CB37" s="407">
        <f t="shared" si="13"/>
        <v>0</v>
      </c>
      <c r="CC37" s="132"/>
    </row>
    <row r="38" ht="14.25" customHeight="1">
      <c r="A38" s="3"/>
      <c r="B38" s="174"/>
      <c r="C38" s="3"/>
      <c r="D38" s="3"/>
      <c r="E38" s="3"/>
      <c r="F38" s="3"/>
      <c r="G38" s="3"/>
      <c r="H38" s="3"/>
      <c r="I38" s="3"/>
      <c r="J38" s="414"/>
      <c r="K38" s="3"/>
      <c r="L38" s="3"/>
      <c r="M38" s="3"/>
      <c r="N38" s="3"/>
      <c r="O38" s="3"/>
      <c r="P38" s="1"/>
      <c r="Q38" s="1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80"/>
      <c r="BB38" s="3"/>
      <c r="BC38" s="3"/>
      <c r="BD38" s="3"/>
      <c r="BE38" s="3"/>
      <c r="BF38" s="132"/>
      <c r="BG38" s="132"/>
      <c r="BH38" s="132"/>
      <c r="BI38" s="132"/>
      <c r="BJ38" s="132"/>
      <c r="BK38" s="3"/>
      <c r="BL38" s="3"/>
      <c r="BM38" s="3"/>
      <c r="BN38" s="132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132"/>
      <c r="CC38" s="3"/>
    </row>
    <row r="39" ht="14.25" customHeight="1">
      <c r="A39" s="3"/>
      <c r="B39" s="174"/>
      <c r="C39" s="3"/>
      <c r="D39" s="3"/>
      <c r="E39" s="3"/>
      <c r="F39" s="3"/>
      <c r="G39" s="3"/>
      <c r="H39" s="3"/>
      <c r="I39" s="3"/>
      <c r="J39" s="414"/>
      <c r="K39" s="3"/>
      <c r="L39" s="3"/>
      <c r="M39" s="3"/>
      <c r="N39" s="3"/>
      <c r="O39" s="3"/>
      <c r="P39" s="1"/>
      <c r="Q39" s="1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80"/>
      <c r="BB39" s="3"/>
      <c r="BC39" s="3"/>
      <c r="BD39" s="3"/>
      <c r="BE39" s="3"/>
      <c r="BF39" s="132"/>
      <c r="BG39" s="132"/>
      <c r="BH39" s="132"/>
      <c r="BI39" s="132"/>
      <c r="BJ39" s="132"/>
      <c r="BK39" s="3"/>
      <c r="BL39" s="3"/>
      <c r="BM39" s="3"/>
      <c r="BN39" s="155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6"/>
      <c r="CA39" s="176"/>
      <c r="CB39" s="155"/>
      <c r="CC39" s="3"/>
    </row>
    <row r="40" ht="14.25" customHeight="1">
      <c r="A40" s="3"/>
      <c r="B40" s="215">
        <v>46054</v>
      </c>
      <c r="C40" s="238">
        <f>43573.55-D40-0</f>
      </c>
      <c r="D40" s="95"/>
      <c r="E40" s="97"/>
      <c r="F40" s="97"/>
      <c r="G40" s="415">
        <f ref="G40:G68" t="shared" si="14">+C40+D40+E40+F40</f>
        <v>0</v>
      </c>
      <c r="H40" s="416"/>
      <c r="I40" s="417"/>
      <c r="J40" s="418"/>
      <c r="K40" s="419">
        <v>283.48</v>
      </c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417"/>
      <c r="Z40" s="417"/>
      <c r="AA40" s="417"/>
      <c r="AB40" s="420">
        <f ref="AB40:AB68" t="shared" si="15">SUM(I40:AA40)</f>
        <v>0</v>
      </c>
      <c r="AC40" s="190"/>
      <c r="AD40" s="190"/>
      <c r="AE40" s="190"/>
      <c r="AF40" s="190"/>
      <c r="AG40" s="190"/>
      <c r="AH40" s="190"/>
      <c r="AI40" s="195"/>
      <c r="AJ40" s="195"/>
      <c r="AK40" s="195"/>
      <c r="AL40" s="195"/>
      <c r="AM40" s="195"/>
      <c r="AN40" s="195"/>
      <c r="AO40" s="195"/>
      <c r="AP40" s="421">
        <f ref="AP40:AP68" t="shared" si="16">SUM(AC40:AO40)</f>
        <v>0</v>
      </c>
      <c r="AQ40" s="95">
        <v>31147</v>
      </c>
      <c r="AR40" s="104"/>
      <c r="AS40" s="104"/>
      <c r="AT40" s="422">
        <f ref="AT40:AT68" t="shared" si="17">SUM(AQ40:AS40)</f>
        <v>0</v>
      </c>
      <c r="AU40" s="423">
        <v>3.26</v>
      </c>
      <c r="AV40" s="195"/>
      <c r="AW40" s="195"/>
      <c r="AX40" s="195"/>
      <c r="AY40" s="424"/>
      <c r="AZ40" s="425">
        <f ref="AZ40:AZ68" t="shared" si="18">+G40-AB40-AP40-AT40-AU40-AW40-AX40-AY40</f>
        <v>0</v>
      </c>
      <c r="BA40" s="1685">
        <v>12139.9</v>
      </c>
      <c r="BB40" s="1686"/>
      <c r="BC40" s="1687"/>
      <c r="BD40" s="1688"/>
      <c r="BE40" s="1688"/>
      <c r="BF40" s="1537"/>
      <c r="BG40" s="1548"/>
      <c r="BH40" s="1548"/>
      <c r="BI40" s="1548"/>
      <c r="BJ40" s="1537"/>
      <c r="BK40" s="429">
        <f ref="BK40:BK68" t="shared" si="19">SUM(BA40:BJ40)-BI40</f>
        <v>0</v>
      </c>
      <c r="BL40" s="114">
        <f ref="BL40:BL68" t="shared" si="20">+AZ40-BK40</f>
        <v>0</v>
      </c>
      <c r="BM40" s="3"/>
      <c r="BN40" s="114">
        <f ref="BN40:BN68" t="shared" si="21">SUM(BO40:CA40)</f>
        <v>0</v>
      </c>
      <c r="BO40" s="115"/>
      <c r="BP40" s="115"/>
      <c r="BQ40" s="115"/>
      <c r="BR40" s="115"/>
      <c r="BS40" s="115"/>
      <c r="BT40" s="115"/>
      <c r="BU40" s="115"/>
      <c r="BV40" s="115"/>
      <c r="BW40" s="115"/>
      <c r="BX40" s="115"/>
      <c r="BY40" s="115"/>
      <c r="BZ40" s="115"/>
      <c r="CA40" s="115"/>
      <c r="CB40" s="430">
        <f ref="CB40:CB68" t="shared" si="22">+BL40-BN40</f>
        <v>0</v>
      </c>
      <c r="CC40" s="3"/>
    </row>
    <row r="41" ht="14.25" customHeight="1">
      <c r="A41" s="3"/>
      <c r="B41" s="215">
        <v>46055</v>
      </c>
      <c r="C41" s="228">
        <f>44335.59-D41-0</f>
      </c>
      <c r="D41" s="119"/>
      <c r="E41" s="120"/>
      <c r="F41" s="120"/>
      <c r="G41" s="431">
        <f t="shared" si="14"/>
        <v>0</v>
      </c>
      <c r="H41" s="380"/>
      <c r="I41" s="379"/>
      <c r="J41" s="381"/>
      <c r="K41" s="379">
        <v>2169.94</v>
      </c>
      <c r="L41" s="379"/>
      <c r="M41" s="379"/>
      <c r="N41" s="379"/>
      <c r="O41" s="379"/>
      <c r="P41" s="382">
        <v>715.01</v>
      </c>
      <c r="Q41" s="379">
        <v>560.42</v>
      </c>
      <c r="R41" s="379"/>
      <c r="S41" s="379"/>
      <c r="T41" s="379"/>
      <c r="U41" s="379"/>
      <c r="V41" s="379"/>
      <c r="W41" s="379"/>
      <c r="X41" s="379"/>
      <c r="Y41" s="379"/>
      <c r="Z41" s="379"/>
      <c r="AA41" s="379"/>
      <c r="AB41" s="383">
        <f t="shared" si="15"/>
        <v>0</v>
      </c>
      <c r="AC41" s="134">
        <v>871.52</v>
      </c>
      <c r="AD41" s="136"/>
      <c r="AE41" s="134">
        <v>238</v>
      </c>
      <c r="AF41" s="136"/>
      <c r="AG41" s="136"/>
      <c r="AH41" s="136"/>
      <c r="AI41" s="140"/>
      <c r="AJ41" s="140"/>
      <c r="AK41" s="140"/>
      <c r="AL41" s="140"/>
      <c r="AM41" s="140"/>
      <c r="AN41" s="140"/>
      <c r="AO41" s="140"/>
      <c r="AP41" s="384">
        <f t="shared" si="16"/>
        <v>0</v>
      </c>
      <c r="AQ41" s="119">
        <v>27073.4</v>
      </c>
      <c r="AR41" s="123"/>
      <c r="AS41" s="123"/>
      <c r="AT41" s="385">
        <f t="shared" si="17"/>
        <v>0</v>
      </c>
      <c r="AU41" s="201">
        <v>5.07</v>
      </c>
      <c r="AV41" s="140"/>
      <c r="AW41" s="140"/>
      <c r="AX41" s="140"/>
      <c r="AY41" s="392"/>
      <c r="AZ41" s="432">
        <f t="shared" si="18"/>
        <v>0</v>
      </c>
      <c r="BA41" s="1553">
        <v>12002.1</v>
      </c>
      <c r="BB41" s="1689">
        <v>700.12</v>
      </c>
      <c r="BC41" s="1690"/>
      <c r="BD41" s="1688"/>
      <c r="BE41" s="1688"/>
      <c r="BF41" s="1546"/>
      <c r="BG41" s="1548"/>
      <c r="BH41" s="1548"/>
      <c r="BI41" s="1548"/>
      <c r="BJ41" s="1546"/>
      <c r="BK41" s="389">
        <f t="shared" si="19"/>
        <v>0</v>
      </c>
      <c r="BL41" s="113">
        <f t="shared" si="20"/>
        <v>0</v>
      </c>
      <c r="BM41" s="3"/>
      <c r="BN41" s="113">
        <f t="shared" si="21"/>
        <v>0</v>
      </c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29"/>
      <c r="CB41" s="390">
        <f t="shared" si="22"/>
        <v>0</v>
      </c>
      <c r="CC41" s="3"/>
    </row>
    <row r="42" ht="14.25" customHeight="1">
      <c r="A42" s="3"/>
      <c r="B42" s="215">
        <v>46056</v>
      </c>
      <c r="C42" s="228">
        <f>29185.63-D42-0</f>
      </c>
      <c r="D42" s="119"/>
      <c r="E42" s="120"/>
      <c r="F42" s="120"/>
      <c r="G42" s="431">
        <f t="shared" si="14"/>
        <v>0</v>
      </c>
      <c r="H42" s="380"/>
      <c r="I42" s="379"/>
      <c r="J42" s="381"/>
      <c r="K42" s="379">
        <v>453.8</v>
      </c>
      <c r="L42" s="379"/>
      <c r="M42" s="382">
        <v>345.51</v>
      </c>
      <c r="N42" s="379"/>
      <c r="O42" s="379"/>
      <c r="P42" s="379"/>
      <c r="Q42" s="379">
        <v>489.39</v>
      </c>
      <c r="R42" s="379"/>
      <c r="S42" s="379"/>
      <c r="T42" s="379"/>
      <c r="U42" s="379"/>
      <c r="V42" s="379"/>
      <c r="W42" s="379"/>
      <c r="X42" s="379"/>
      <c r="Y42" s="379"/>
      <c r="Z42" s="379"/>
      <c r="AA42" s="379"/>
      <c r="AB42" s="383">
        <f t="shared" si="15"/>
        <v>0</v>
      </c>
      <c r="AC42" s="136"/>
      <c r="AD42" s="136"/>
      <c r="AE42" s="136"/>
      <c r="AF42" s="136"/>
      <c r="AG42" s="136"/>
      <c r="AH42" s="134">
        <v>110.47</v>
      </c>
      <c r="AI42" s="140"/>
      <c r="AJ42" s="140"/>
      <c r="AK42" s="140"/>
      <c r="AL42" s="140"/>
      <c r="AM42" s="140"/>
      <c r="AN42" s="140"/>
      <c r="AO42" s="140"/>
      <c r="AP42" s="384">
        <f t="shared" si="16"/>
        <v>0</v>
      </c>
      <c r="AQ42" s="119">
        <v>16684.55</v>
      </c>
      <c r="AR42" s="123"/>
      <c r="AS42" s="123"/>
      <c r="AT42" s="385">
        <f t="shared" si="17"/>
        <v>0</v>
      </c>
      <c r="AU42" s="201">
        <v>17.16</v>
      </c>
      <c r="AV42" s="140"/>
      <c r="AW42" s="140"/>
      <c r="AX42" s="140"/>
      <c r="AY42" s="392"/>
      <c r="AZ42" s="432">
        <f t="shared" si="18"/>
        <v>0</v>
      </c>
      <c r="BA42" s="1553">
        <v>10665.8</v>
      </c>
      <c r="BB42" s="1689">
        <v>340</v>
      </c>
      <c r="BC42" s="1690"/>
      <c r="BD42" s="1688"/>
      <c r="BE42" s="1688"/>
      <c r="BF42" s="1546"/>
      <c r="BG42" s="1548"/>
      <c r="BH42" s="1548"/>
      <c r="BI42" s="1548"/>
      <c r="BJ42" s="1546"/>
      <c r="BK42" s="389">
        <f t="shared" si="19"/>
        <v>0</v>
      </c>
      <c r="BL42" s="113">
        <f t="shared" si="20"/>
        <v>0</v>
      </c>
      <c r="BM42" s="3"/>
      <c r="BN42" s="113">
        <f t="shared" si="21"/>
        <v>0</v>
      </c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31"/>
      <c r="BZ42" s="129">
        <v>29</v>
      </c>
      <c r="CA42" s="129"/>
      <c r="CB42" s="390">
        <f t="shared" si="22"/>
        <v>0</v>
      </c>
      <c r="CC42" s="3"/>
    </row>
    <row r="43" ht="14.25" customHeight="1">
      <c r="A43" s="3"/>
      <c r="B43" s="215">
        <v>46057</v>
      </c>
      <c r="C43" s="228">
        <f>40460.72-D43-0</f>
      </c>
      <c r="D43" s="119"/>
      <c r="E43" s="120"/>
      <c r="F43" s="120"/>
      <c r="G43" s="431">
        <f t="shared" si="14"/>
        <v>0</v>
      </c>
      <c r="H43" s="380"/>
      <c r="I43" s="379"/>
      <c r="J43" s="381"/>
      <c r="K43" s="379">
        <v>3048.69</v>
      </c>
      <c r="L43" s="379"/>
      <c r="M43" s="379"/>
      <c r="N43" s="379"/>
      <c r="O43" s="379"/>
      <c r="P43" s="382">
        <v>169.29</v>
      </c>
      <c r="Q43" s="382">
        <v>249.82</v>
      </c>
      <c r="R43" s="379"/>
      <c r="S43" s="379"/>
      <c r="T43" s="379"/>
      <c r="U43" s="379"/>
      <c r="V43" s="379"/>
      <c r="W43" s="379"/>
      <c r="X43" s="379"/>
      <c r="Y43" s="379"/>
      <c r="Z43" s="379"/>
      <c r="AA43" s="379"/>
      <c r="AB43" s="383">
        <f t="shared" si="15"/>
        <v>0</v>
      </c>
      <c r="AC43" s="136"/>
      <c r="AD43" s="136"/>
      <c r="AE43" s="136"/>
      <c r="AF43" s="136"/>
      <c r="AG43" s="136"/>
      <c r="AH43" s="136"/>
      <c r="AI43" s="140"/>
      <c r="AJ43" s="140"/>
      <c r="AK43" s="140"/>
      <c r="AL43" s="140"/>
      <c r="AM43" s="140"/>
      <c r="AN43" s="140"/>
      <c r="AO43" s="140"/>
      <c r="AP43" s="384">
        <f t="shared" si="16"/>
        <v>0</v>
      </c>
      <c r="AQ43" s="119">
        <v>21659.11</v>
      </c>
      <c r="AR43" s="123"/>
      <c r="AS43" s="123"/>
      <c r="AT43" s="385">
        <f t="shared" si="17"/>
        <v>0</v>
      </c>
      <c r="AU43" s="201">
        <v>5.85</v>
      </c>
      <c r="AV43" s="140"/>
      <c r="AW43" s="140"/>
      <c r="AX43" s="140"/>
      <c r="AY43" s="392"/>
      <c r="AZ43" s="432">
        <f t="shared" si="18"/>
        <v>0</v>
      </c>
      <c r="BA43" s="1553">
        <v>15328.1</v>
      </c>
      <c r="BB43" s="1689"/>
      <c r="BC43" s="1690"/>
      <c r="BD43" s="1688"/>
      <c r="BE43" s="1688"/>
      <c r="BF43" s="1546"/>
      <c r="BG43" s="1548"/>
      <c r="BH43" s="1548"/>
      <c r="BI43" s="1548"/>
      <c r="BJ43" s="1546"/>
      <c r="BK43" s="389">
        <f t="shared" si="19"/>
        <v>0</v>
      </c>
      <c r="BL43" s="113">
        <f t="shared" si="20"/>
        <v>0</v>
      </c>
      <c r="BM43" s="3"/>
      <c r="BN43" s="113">
        <f t="shared" si="21"/>
        <v>0</v>
      </c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390">
        <f t="shared" si="22"/>
        <v>0</v>
      </c>
      <c r="CC43" s="3"/>
    </row>
    <row r="44" ht="14.25" customHeight="1">
      <c r="A44" s="3"/>
      <c r="B44" s="215">
        <v>46058</v>
      </c>
      <c r="C44" s="228">
        <f>43994.30-D44-0</f>
      </c>
      <c r="D44" s="119"/>
      <c r="E44" s="120"/>
      <c r="F44" s="120"/>
      <c r="G44" s="431">
        <f t="shared" si="14"/>
        <v>0</v>
      </c>
      <c r="H44" s="380"/>
      <c r="I44" s="379"/>
      <c r="J44" s="381"/>
      <c r="K44" s="379">
        <v>2919.77</v>
      </c>
      <c r="L44" s="379"/>
      <c r="M44" s="379"/>
      <c r="N44" s="379"/>
      <c r="O44" s="379"/>
      <c r="P44" s="379"/>
      <c r="Q44" s="379">
        <v>481.74</v>
      </c>
      <c r="R44" s="379"/>
      <c r="S44" s="379"/>
      <c r="T44" s="379"/>
      <c r="U44" s="379"/>
      <c r="V44" s="379"/>
      <c r="W44" s="379"/>
      <c r="X44" s="379"/>
      <c r="Y44" s="379"/>
      <c r="Z44" s="379"/>
      <c r="AA44" s="379"/>
      <c r="AB44" s="383">
        <f t="shared" si="15"/>
        <v>0</v>
      </c>
      <c r="AC44" s="136">
        <v>739.99</v>
      </c>
      <c r="AD44" s="136"/>
      <c r="AE44" s="136"/>
      <c r="AF44" s="136"/>
      <c r="AG44" s="136"/>
      <c r="AH44" s="134">
        <v>146.37</v>
      </c>
      <c r="AI44" s="140"/>
      <c r="AJ44" s="140"/>
      <c r="AK44" s="140"/>
      <c r="AL44" s="140"/>
      <c r="AM44" s="140"/>
      <c r="AN44" s="140"/>
      <c r="AO44" s="140"/>
      <c r="AP44" s="384">
        <f t="shared" si="16"/>
        <v>0</v>
      </c>
      <c r="AQ44" s="119">
        <v>22473.68</v>
      </c>
      <c r="AR44" s="123"/>
      <c r="AS44" s="123"/>
      <c r="AT44" s="385">
        <f t="shared" si="17"/>
        <v>0</v>
      </c>
      <c r="AU44" s="201">
        <v>9.92</v>
      </c>
      <c r="AV44" s="140"/>
      <c r="AW44" s="140"/>
      <c r="AX44" s="140"/>
      <c r="AY44" s="392"/>
      <c r="AZ44" s="432">
        <f t="shared" si="18"/>
        <v>0</v>
      </c>
      <c r="BA44" s="1553">
        <v>14767.5</v>
      </c>
      <c r="BB44" s="1689">
        <v>2300</v>
      </c>
      <c r="BC44" s="1546"/>
      <c r="BD44" s="1548"/>
      <c r="BE44" s="1548"/>
      <c r="BF44" s="1546"/>
      <c r="BG44" s="1548"/>
      <c r="BH44" s="1548"/>
      <c r="BI44" s="1548"/>
      <c r="BJ44" s="1546"/>
      <c r="BK44" s="389">
        <f t="shared" si="19"/>
        <v>0</v>
      </c>
      <c r="BL44" s="113">
        <f t="shared" si="20"/>
        <v>0</v>
      </c>
      <c r="BM44" s="3"/>
      <c r="BN44" s="113">
        <f t="shared" si="21"/>
        <v>0</v>
      </c>
      <c r="BO44" s="129"/>
      <c r="BP44" s="129"/>
      <c r="BQ44" s="129"/>
      <c r="BR44" s="129"/>
      <c r="BS44" s="129"/>
      <c r="BT44" s="129"/>
      <c r="BU44" s="129"/>
      <c r="BV44" s="129"/>
      <c r="BW44" s="129"/>
      <c r="BX44" s="129"/>
      <c r="BY44" s="131"/>
      <c r="BZ44" s="129">
        <v>149</v>
      </c>
      <c r="CA44" s="129"/>
      <c r="CB44" s="390">
        <f t="shared" si="22"/>
        <v>0</v>
      </c>
      <c r="CC44" s="3"/>
    </row>
    <row r="45" ht="14.25" customHeight="1">
      <c r="A45" s="3"/>
      <c r="B45" s="215">
        <v>46059</v>
      </c>
      <c r="C45" s="228">
        <f>44384.58-D45-0</f>
      </c>
      <c r="D45" s="119"/>
      <c r="E45" s="120"/>
      <c r="F45" s="120"/>
      <c r="G45" s="431">
        <f t="shared" si="14"/>
        <v>0</v>
      </c>
      <c r="H45" s="380"/>
      <c r="I45" s="395"/>
      <c r="J45" s="381"/>
      <c r="K45" s="379">
        <v>1002.33</v>
      </c>
      <c r="L45" s="379"/>
      <c r="M45" s="382">
        <v>273.8</v>
      </c>
      <c r="N45" s="379"/>
      <c r="O45" s="379"/>
      <c r="P45" s="379">
        <v>1921.83</v>
      </c>
      <c r="Q45" s="382">
        <v>100.28</v>
      </c>
      <c r="R45" s="379"/>
      <c r="S45" s="379"/>
      <c r="T45" s="379"/>
      <c r="U45" s="379"/>
      <c r="V45" s="379"/>
      <c r="W45" s="379"/>
      <c r="X45" s="379"/>
      <c r="Y45" s="379"/>
      <c r="Z45" s="379"/>
      <c r="AA45" s="379"/>
      <c r="AB45" s="383">
        <f t="shared" si="15"/>
        <v>0</v>
      </c>
      <c r="AC45" s="136"/>
      <c r="AD45" s="136"/>
      <c r="AE45" s="136"/>
      <c r="AF45" s="136"/>
      <c r="AG45" s="136"/>
      <c r="AH45" s="136"/>
      <c r="AI45" s="140"/>
      <c r="AJ45" s="140"/>
      <c r="AK45" s="140"/>
      <c r="AL45" s="140"/>
      <c r="AM45" s="140"/>
      <c r="AN45" s="140"/>
      <c r="AO45" s="140"/>
      <c r="AP45" s="384">
        <f t="shared" si="16"/>
        <v>0</v>
      </c>
      <c r="AQ45" s="119">
        <v>22533.05</v>
      </c>
      <c r="AR45" s="123"/>
      <c r="AS45" s="123"/>
      <c r="AT45" s="385">
        <f t="shared" si="17"/>
        <v>0</v>
      </c>
      <c r="AU45" s="201">
        <v>2.54</v>
      </c>
      <c r="AV45" s="140"/>
      <c r="AW45" s="140"/>
      <c r="AX45" s="140"/>
      <c r="AY45" s="392"/>
      <c r="AZ45" s="432">
        <f t="shared" si="18"/>
        <v>0</v>
      </c>
      <c r="BA45" s="1553">
        <v>18515.9</v>
      </c>
      <c r="BB45" s="1689"/>
      <c r="BC45" s="1546"/>
      <c r="BD45" s="1548"/>
      <c r="BE45" s="1548"/>
      <c r="BF45" s="1546"/>
      <c r="BG45" s="1548"/>
      <c r="BH45" s="1548"/>
      <c r="BI45" s="1548"/>
      <c r="BJ45" s="1546"/>
      <c r="BK45" s="389">
        <f t="shared" si="19"/>
        <v>0</v>
      </c>
      <c r="BL45" s="113">
        <f t="shared" si="20"/>
        <v>0</v>
      </c>
      <c r="BM45" s="3"/>
      <c r="BN45" s="113">
        <f t="shared" si="21"/>
        <v>0</v>
      </c>
      <c r="BO45" s="129"/>
      <c r="BP45" s="129"/>
      <c r="BQ45" s="129"/>
      <c r="BR45" s="129"/>
      <c r="BS45" s="129"/>
      <c r="BT45" s="129"/>
      <c r="BU45" s="129"/>
      <c r="BV45" s="129"/>
      <c r="BW45" s="129"/>
      <c r="BX45" s="129"/>
      <c r="BY45" s="131"/>
      <c r="BZ45" s="129">
        <v>35</v>
      </c>
      <c r="CA45" s="129"/>
      <c r="CB45" s="390">
        <f t="shared" si="22"/>
        <v>0</v>
      </c>
      <c r="CC45" s="3"/>
    </row>
    <row r="46" ht="14.25" customHeight="1">
      <c r="A46" s="132"/>
      <c r="B46" s="215">
        <v>46060</v>
      </c>
      <c r="C46" s="230">
        <f>35662.90-D46-0</f>
      </c>
      <c r="D46" s="134"/>
      <c r="E46" s="135"/>
      <c r="F46" s="135"/>
      <c r="G46" s="431">
        <f t="shared" si="14"/>
        <v>0</v>
      </c>
      <c r="H46" s="380"/>
      <c r="I46" s="395"/>
      <c r="J46" s="381"/>
      <c r="K46" s="379">
        <v>2067.32</v>
      </c>
      <c r="L46" s="379"/>
      <c r="M46" s="382">
        <v>146.21</v>
      </c>
      <c r="N46" s="379"/>
      <c r="O46" s="379"/>
      <c r="P46" s="379"/>
      <c r="Q46" s="379">
        <v>423.12</v>
      </c>
      <c r="R46" s="379"/>
      <c r="S46" s="379"/>
      <c r="T46" s="379"/>
      <c r="U46" s="379"/>
      <c r="V46" s="379"/>
      <c r="W46" s="379"/>
      <c r="X46" s="379"/>
      <c r="Y46" s="379"/>
      <c r="Z46" s="379"/>
      <c r="AA46" s="379"/>
      <c r="AB46" s="383">
        <f t="shared" si="15"/>
        <v>0</v>
      </c>
      <c r="AC46" s="136"/>
      <c r="AD46" s="136"/>
      <c r="AE46" s="136"/>
      <c r="AF46" s="136"/>
      <c r="AG46" s="136"/>
      <c r="AH46" s="136"/>
      <c r="AI46" s="140"/>
      <c r="AJ46" s="140"/>
      <c r="AK46" s="140"/>
      <c r="AL46" s="140"/>
      <c r="AM46" s="140"/>
      <c r="AN46" s="140"/>
      <c r="AO46" s="140"/>
      <c r="AP46" s="384">
        <f t="shared" si="16"/>
        <v>0</v>
      </c>
      <c r="AQ46" s="134">
        <v>20902.4</v>
      </c>
      <c r="AR46" s="136"/>
      <c r="AS46" s="136"/>
      <c r="AT46" s="385">
        <f t="shared" si="17"/>
        <v>0</v>
      </c>
      <c r="AU46" s="201">
        <v>9.49</v>
      </c>
      <c r="AV46" s="140"/>
      <c r="AW46" s="140"/>
      <c r="AX46" s="140"/>
      <c r="AY46" s="392"/>
      <c r="AZ46" s="432">
        <f t="shared" si="18"/>
        <v>0</v>
      </c>
      <c r="BA46" s="1553">
        <v>12114.3</v>
      </c>
      <c r="BB46" s="1689"/>
      <c r="BC46" s="1546"/>
      <c r="BD46" s="1548"/>
      <c r="BE46" s="1548"/>
      <c r="BF46" s="1546"/>
      <c r="BG46" s="1548"/>
      <c r="BH46" s="1548"/>
      <c r="BI46" s="1548"/>
      <c r="BJ46" s="1546"/>
      <c r="BK46" s="389">
        <f t="shared" si="19"/>
        <v>0</v>
      </c>
      <c r="BL46" s="140">
        <f t="shared" si="20"/>
        <v>0</v>
      </c>
      <c r="BM46" s="132"/>
      <c r="BN46" s="140">
        <f t="shared" si="21"/>
        <v>0</v>
      </c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41"/>
      <c r="CA46" s="141"/>
      <c r="CB46" s="390">
        <f t="shared" si="22"/>
        <v>0</v>
      </c>
      <c r="CC46" s="132"/>
    </row>
    <row r="47" ht="14.25" customHeight="1">
      <c r="A47" s="132"/>
      <c r="B47" s="215">
        <v>46061</v>
      </c>
      <c r="C47" s="230">
        <f>47672.70-D47-0</f>
      </c>
      <c r="D47" s="134"/>
      <c r="E47" s="135"/>
      <c r="F47" s="135"/>
      <c r="G47" s="431">
        <f t="shared" si="14"/>
        <v>0</v>
      </c>
      <c r="H47" s="380"/>
      <c r="I47" s="395"/>
      <c r="J47" s="381"/>
      <c r="K47" s="382">
        <v>459.32</v>
      </c>
      <c r="L47" s="379"/>
      <c r="M47" s="379"/>
      <c r="N47" s="379"/>
      <c r="O47" s="379"/>
      <c r="P47" s="379"/>
      <c r="Q47" s="379"/>
      <c r="R47" s="379"/>
      <c r="S47" s="379"/>
      <c r="T47" s="379"/>
      <c r="U47" s="379"/>
      <c r="V47" s="379"/>
      <c r="W47" s="379"/>
      <c r="X47" s="379"/>
      <c r="Y47" s="379"/>
      <c r="Z47" s="379"/>
      <c r="AA47" s="379"/>
      <c r="AB47" s="383">
        <f t="shared" si="15"/>
        <v>0</v>
      </c>
      <c r="AC47" s="136"/>
      <c r="AD47" s="136"/>
      <c r="AE47" s="136"/>
      <c r="AF47" s="136"/>
      <c r="AG47" s="136"/>
      <c r="AH47" s="136"/>
      <c r="AI47" s="140"/>
      <c r="AJ47" s="140"/>
      <c r="AK47" s="140"/>
      <c r="AL47" s="140"/>
      <c r="AM47" s="140"/>
      <c r="AN47" s="140"/>
      <c r="AO47" s="140"/>
      <c r="AP47" s="384">
        <f t="shared" si="16"/>
        <v>0</v>
      </c>
      <c r="AQ47" s="134">
        <v>32664.62</v>
      </c>
      <c r="AR47" s="136"/>
      <c r="AS47" s="136"/>
      <c r="AT47" s="385">
        <f t="shared" si="17"/>
        <v>0</v>
      </c>
      <c r="AU47" s="201">
        <v>3.28</v>
      </c>
      <c r="AV47" s="140"/>
      <c r="AW47" s="140"/>
      <c r="AX47" s="140"/>
      <c r="AY47" s="392"/>
      <c r="AZ47" s="432">
        <f t="shared" si="18"/>
        <v>0</v>
      </c>
      <c r="BA47" s="1553">
        <v>14546</v>
      </c>
      <c r="BB47" s="1689"/>
      <c r="BC47" s="1546"/>
      <c r="BD47" s="1548"/>
      <c r="BE47" s="1548"/>
      <c r="BF47" s="1546"/>
      <c r="BG47" s="1548"/>
      <c r="BH47" s="1548"/>
      <c r="BI47" s="1548"/>
      <c r="BJ47" s="1546"/>
      <c r="BK47" s="389">
        <f t="shared" si="19"/>
        <v>0</v>
      </c>
      <c r="BL47" s="140">
        <f t="shared" si="20"/>
        <v>0</v>
      </c>
      <c r="BM47" s="132"/>
      <c r="BN47" s="140">
        <f t="shared" si="21"/>
        <v>0</v>
      </c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41"/>
      <c r="CA47" s="141"/>
      <c r="CB47" s="390">
        <f t="shared" si="22"/>
        <v>0</v>
      </c>
      <c r="CC47" s="132"/>
    </row>
    <row r="48" ht="14.25" customHeight="1">
      <c r="A48" s="132"/>
      <c r="B48" s="215">
        <v>46062</v>
      </c>
      <c r="C48" s="230">
        <f>34230.34-D48-0</f>
      </c>
      <c r="D48" s="134"/>
      <c r="E48" s="135"/>
      <c r="F48" s="135"/>
      <c r="G48" s="431">
        <f t="shared" si="14"/>
        <v>0</v>
      </c>
      <c r="H48" s="380"/>
      <c r="I48" s="395"/>
      <c r="J48" s="396"/>
      <c r="K48" s="397">
        <v>863.43</v>
      </c>
      <c r="L48" s="379"/>
      <c r="M48" s="379"/>
      <c r="N48" s="379"/>
      <c r="O48" s="379"/>
      <c r="P48" s="382">
        <v>176.46</v>
      </c>
      <c r="Q48" s="382">
        <v>374.09</v>
      </c>
      <c r="R48" s="379"/>
      <c r="S48" s="379"/>
      <c r="T48" s="379"/>
      <c r="U48" s="379"/>
      <c r="V48" s="379"/>
      <c r="W48" s="379"/>
      <c r="X48" s="379"/>
      <c r="Y48" s="379"/>
      <c r="Z48" s="379"/>
      <c r="AA48" s="379"/>
      <c r="AB48" s="383">
        <f t="shared" si="15"/>
        <v>0</v>
      </c>
      <c r="AC48" s="134">
        <v>432.68</v>
      </c>
      <c r="AD48" s="136"/>
      <c r="AE48" s="134">
        <v>255.7</v>
      </c>
      <c r="AF48" s="136"/>
      <c r="AG48" s="136"/>
      <c r="AH48" s="134">
        <v>140.21</v>
      </c>
      <c r="AI48" s="140"/>
      <c r="AJ48" s="140"/>
      <c r="AK48" s="140"/>
      <c r="AL48" s="140"/>
      <c r="AM48" s="140"/>
      <c r="AN48" s="140"/>
      <c r="AO48" s="140"/>
      <c r="AP48" s="384">
        <f t="shared" si="16"/>
        <v>0</v>
      </c>
      <c r="AQ48" s="134">
        <v>20044.13</v>
      </c>
      <c r="AR48" s="136"/>
      <c r="AS48" s="136"/>
      <c r="AT48" s="385">
        <f t="shared" si="17"/>
        <v>0</v>
      </c>
      <c r="AU48" s="201">
        <v>1.46</v>
      </c>
      <c r="AV48" s="140"/>
      <c r="AW48" s="140"/>
      <c r="AX48" s="140"/>
      <c r="AY48" s="392"/>
      <c r="AZ48" s="432">
        <f t="shared" si="18"/>
        <v>0</v>
      </c>
      <c r="BA48" s="1553">
        <v>11941.2</v>
      </c>
      <c r="BB48" s="1689"/>
      <c r="BC48" s="1546"/>
      <c r="BD48" s="1548"/>
      <c r="BE48" s="1548"/>
      <c r="BF48" s="1546"/>
      <c r="BG48" s="1548"/>
      <c r="BH48" s="1548"/>
      <c r="BI48" s="1548"/>
      <c r="BJ48" s="1546"/>
      <c r="BK48" s="389">
        <f t="shared" si="19"/>
        <v>0</v>
      </c>
      <c r="BL48" s="140">
        <f t="shared" si="20"/>
        <v>0</v>
      </c>
      <c r="BM48" s="132"/>
      <c r="BN48" s="140">
        <f t="shared" si="21"/>
        <v>0</v>
      </c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41"/>
      <c r="CA48" s="141"/>
      <c r="CB48" s="390">
        <f t="shared" si="22"/>
        <v>0</v>
      </c>
      <c r="CC48" s="132"/>
    </row>
    <row r="49" ht="14.25" customHeight="1">
      <c r="A49" s="132"/>
      <c r="B49" s="215">
        <v>46063</v>
      </c>
      <c r="C49" s="230">
        <f>36308.40-D49-0</f>
      </c>
      <c r="D49" s="134"/>
      <c r="E49" s="135"/>
      <c r="F49" s="135"/>
      <c r="G49" s="431">
        <f t="shared" si="14"/>
        <v>0</v>
      </c>
      <c r="H49" s="380"/>
      <c r="I49" s="395"/>
      <c r="J49" s="381"/>
      <c r="K49" s="382">
        <v>1750.22</v>
      </c>
      <c r="L49" s="379"/>
      <c r="M49" s="382">
        <v>160.78</v>
      </c>
      <c r="N49" s="379"/>
      <c r="O49" s="379"/>
      <c r="P49" s="379"/>
      <c r="Q49" s="379">
        <v>541.11</v>
      </c>
      <c r="R49" s="379"/>
      <c r="S49" s="379"/>
      <c r="T49" s="379"/>
      <c r="U49" s="379"/>
      <c r="V49" s="379"/>
      <c r="W49" s="379"/>
      <c r="X49" s="379"/>
      <c r="Y49" s="379"/>
      <c r="Z49" s="379"/>
      <c r="AA49" s="379"/>
      <c r="AB49" s="383">
        <f t="shared" si="15"/>
        <v>0</v>
      </c>
      <c r="AC49" s="136"/>
      <c r="AD49" s="136"/>
      <c r="AE49" s="136"/>
      <c r="AF49" s="136"/>
      <c r="AG49" s="136"/>
      <c r="AH49" s="134">
        <v>158.84</v>
      </c>
      <c r="AI49" s="140"/>
      <c r="AJ49" s="140"/>
      <c r="AK49" s="140"/>
      <c r="AL49" s="140"/>
      <c r="AM49" s="140"/>
      <c r="AN49" s="140"/>
      <c r="AO49" s="140"/>
      <c r="AP49" s="384">
        <f t="shared" si="16"/>
        <v>0</v>
      </c>
      <c r="AQ49" s="134">
        <v>18494</v>
      </c>
      <c r="AR49" s="136"/>
      <c r="AS49" s="136"/>
      <c r="AT49" s="385">
        <f t="shared" si="17"/>
        <v>0</v>
      </c>
      <c r="AU49" s="201">
        <v>1.46</v>
      </c>
      <c r="AV49" s="140"/>
      <c r="AW49" s="140"/>
      <c r="AX49" s="140"/>
      <c r="AY49" s="392"/>
      <c r="AZ49" s="432">
        <f t="shared" si="18"/>
        <v>0</v>
      </c>
      <c r="BA49" s="1553">
        <v>15192</v>
      </c>
      <c r="BB49" s="1689"/>
      <c r="BC49" s="1546"/>
      <c r="BD49" s="1548"/>
      <c r="BE49" s="1548"/>
      <c r="BF49" s="1546"/>
      <c r="BG49" s="1548"/>
      <c r="BH49" s="1548"/>
      <c r="BI49" s="1548"/>
      <c r="BJ49" s="1546"/>
      <c r="BK49" s="389">
        <f t="shared" si="19"/>
        <v>0</v>
      </c>
      <c r="BL49" s="140">
        <f t="shared" si="20"/>
        <v>0</v>
      </c>
      <c r="BM49" s="132"/>
      <c r="BN49" s="140">
        <f t="shared" si="21"/>
        <v>0</v>
      </c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41"/>
      <c r="CA49" s="141"/>
      <c r="CB49" s="390">
        <f t="shared" si="22"/>
        <v>0</v>
      </c>
      <c r="CC49" s="132"/>
    </row>
    <row r="50" ht="14.25" customHeight="1">
      <c r="A50" s="132"/>
      <c r="B50" s="215">
        <v>46064</v>
      </c>
      <c r="C50" s="230">
        <f>46481.95-D50-0</f>
      </c>
      <c r="D50" s="134"/>
      <c r="E50" s="135"/>
      <c r="F50" s="135"/>
      <c r="G50" s="431">
        <f t="shared" si="14"/>
        <v>0</v>
      </c>
      <c r="J50" s="381"/>
      <c r="K50" s="379">
        <v>3480.76</v>
      </c>
      <c r="L50" s="379"/>
      <c r="M50" s="382">
        <v>144.75</v>
      </c>
      <c r="N50" s="379"/>
      <c r="O50" s="379"/>
      <c r="P50" s="382">
        <v>211.99</v>
      </c>
      <c r="Q50" s="382">
        <v>8125.31</v>
      </c>
      <c r="R50" s="379"/>
      <c r="S50" s="379"/>
      <c r="T50" s="379"/>
      <c r="U50" s="379"/>
      <c r="V50" s="379"/>
      <c r="W50" s="379"/>
      <c r="X50" s="379"/>
      <c r="Y50" s="379"/>
      <c r="Z50" s="379"/>
      <c r="AA50" s="379"/>
      <c r="AB50" s="383">
        <f t="shared" si="15"/>
        <v>0</v>
      </c>
      <c r="AC50" s="136"/>
      <c r="AD50" s="136"/>
      <c r="AE50" s="134">
        <v>313.53</v>
      </c>
      <c r="AF50" s="136"/>
      <c r="AG50" s="136"/>
      <c r="AH50" s="136"/>
      <c r="AI50" s="140"/>
      <c r="AJ50" s="140"/>
      <c r="AK50" s="140"/>
      <c r="AL50" s="140"/>
      <c r="AM50" s="140"/>
      <c r="AN50" s="140"/>
      <c r="AO50" s="140"/>
      <c r="AP50" s="384">
        <f t="shared" si="16"/>
        <v>0</v>
      </c>
      <c r="AQ50" s="134">
        <v>21621.87</v>
      </c>
      <c r="AR50" s="136"/>
      <c r="AS50" s="136"/>
      <c r="AT50" s="385">
        <f t="shared" si="17"/>
        <v>0</v>
      </c>
      <c r="AU50" s="201">
        <v>1.09</v>
      </c>
      <c r="AV50" s="140"/>
      <c r="AW50" s="140"/>
      <c r="AX50" s="140"/>
      <c r="AY50" s="392"/>
      <c r="AZ50" s="432">
        <f t="shared" si="18"/>
        <v>0</v>
      </c>
      <c r="BA50" s="1553">
        <v>12582.6</v>
      </c>
      <c r="BB50" s="1689"/>
      <c r="BC50" s="1546"/>
      <c r="BD50" s="1548"/>
      <c r="BE50" s="1548"/>
      <c r="BF50" s="1546"/>
      <c r="BG50" s="1548"/>
      <c r="BH50" s="1548"/>
      <c r="BI50" s="1548"/>
      <c r="BJ50" s="1546"/>
      <c r="BK50" s="389">
        <f t="shared" si="19"/>
        <v>0</v>
      </c>
      <c r="BL50" s="140">
        <f t="shared" si="20"/>
        <v>0</v>
      </c>
      <c r="BM50" s="132"/>
      <c r="BN50" s="140">
        <f t="shared" si="21"/>
        <v>0</v>
      </c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41"/>
      <c r="CA50" s="141"/>
      <c r="CB50" s="390">
        <f t="shared" si="22"/>
        <v>0</v>
      </c>
      <c r="CC50" s="132"/>
    </row>
    <row r="51" ht="14.25" customHeight="1">
      <c r="A51" s="132"/>
      <c r="B51" s="215">
        <v>46065</v>
      </c>
      <c r="C51" s="230">
        <f>81976.78-D51-0</f>
      </c>
      <c r="D51" s="134"/>
      <c r="E51" s="135"/>
      <c r="F51" s="135"/>
      <c r="G51" s="431">
        <f t="shared" si="14"/>
        <v>0</v>
      </c>
      <c r="H51" s="380"/>
      <c r="I51" s="395"/>
      <c r="J51" s="381"/>
      <c r="K51" s="382">
        <v>32830.01</v>
      </c>
      <c r="L51" s="379"/>
      <c r="M51" s="379"/>
      <c r="N51" s="379"/>
      <c r="O51" s="379"/>
      <c r="P51" s="382">
        <v>931.58</v>
      </c>
      <c r="Q51" s="379">
        <v>16841.37</v>
      </c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83">
        <f t="shared" si="15"/>
        <v>0</v>
      </c>
      <c r="AC51" s="134">
        <v>719.52</v>
      </c>
      <c r="AD51" s="136"/>
      <c r="AE51" s="136"/>
      <c r="AF51" s="136"/>
      <c r="AG51" s="136"/>
      <c r="AH51" s="136"/>
      <c r="AI51" s="140"/>
      <c r="AJ51" s="140"/>
      <c r="AK51" s="140"/>
      <c r="AL51" s="140"/>
      <c r="AM51" s="140"/>
      <c r="AN51" s="140"/>
      <c r="AO51" s="140"/>
      <c r="AP51" s="384">
        <f t="shared" si="16"/>
        <v>0</v>
      </c>
      <c r="AQ51" s="134">
        <v>15818.1</v>
      </c>
      <c r="AR51" s="136"/>
      <c r="AS51" s="136"/>
      <c r="AT51" s="385">
        <f t="shared" si="17"/>
        <v>0</v>
      </c>
      <c r="AU51" s="201">
        <v>4</v>
      </c>
      <c r="AV51" s="140"/>
      <c r="AW51" s="140"/>
      <c r="AX51" s="140"/>
      <c r="AY51" s="392"/>
      <c r="AZ51" s="432">
        <f t="shared" si="18"/>
        <v>0</v>
      </c>
      <c r="BA51" s="1553">
        <v>14531.4</v>
      </c>
      <c r="BB51" s="1621"/>
      <c r="BC51" s="1546"/>
      <c r="BD51" s="1548"/>
      <c r="BE51" s="1548"/>
      <c r="BF51" s="1546"/>
      <c r="BG51" s="1548"/>
      <c r="BH51" s="1548"/>
      <c r="BI51" s="1548"/>
      <c r="BJ51" s="1546"/>
      <c r="BK51" s="389">
        <f t="shared" si="19"/>
        <v>0</v>
      </c>
      <c r="BL51" s="140">
        <f t="shared" si="20"/>
        <v>0</v>
      </c>
      <c r="BM51" s="132"/>
      <c r="BN51" s="140">
        <f t="shared" si="21"/>
        <v>0</v>
      </c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50"/>
      <c r="BZ51" s="141">
        <v>300.01</v>
      </c>
      <c r="CA51" s="141"/>
      <c r="CB51" s="390">
        <f t="shared" si="22"/>
        <v>0</v>
      </c>
      <c r="CC51" s="132"/>
    </row>
    <row r="52" ht="14.25" customHeight="1">
      <c r="A52" s="132"/>
      <c r="B52" s="215">
        <v>46066</v>
      </c>
      <c r="C52" s="230">
        <f>61540.03-D52-0</f>
      </c>
      <c r="D52" s="134"/>
      <c r="E52" s="135"/>
      <c r="F52" s="135"/>
      <c r="G52" s="431">
        <f t="shared" si="14"/>
        <v>0</v>
      </c>
      <c r="H52" s="380"/>
      <c r="I52" s="395"/>
      <c r="J52" s="381"/>
      <c r="K52" s="382">
        <v>16943.67</v>
      </c>
      <c r="L52" s="379"/>
      <c r="M52" s="379"/>
      <c r="N52" s="379"/>
      <c r="O52" s="379"/>
      <c r="P52" s="382">
        <v>138.99</v>
      </c>
      <c r="Q52" s="379">
        <v>5748.22</v>
      </c>
      <c r="R52" s="379"/>
      <c r="S52" s="379"/>
      <c r="T52" s="379"/>
      <c r="U52" s="379"/>
      <c r="V52" s="379"/>
      <c r="W52" s="379"/>
      <c r="X52" s="379"/>
      <c r="Y52" s="379"/>
      <c r="Z52" s="379"/>
      <c r="AA52" s="379"/>
      <c r="AB52" s="383">
        <f t="shared" si="15"/>
        <v>0</v>
      </c>
      <c r="AC52" s="136"/>
      <c r="AD52" s="136"/>
      <c r="AE52" s="136"/>
      <c r="AF52" s="136"/>
      <c r="AG52" s="136"/>
      <c r="AH52" s="134">
        <v>95.17</v>
      </c>
      <c r="AI52" s="140"/>
      <c r="AJ52" s="140"/>
      <c r="AK52" s="140"/>
      <c r="AL52" s="140"/>
      <c r="AM52" s="140"/>
      <c r="AN52" s="140"/>
      <c r="AO52" s="140"/>
      <c r="AP52" s="384">
        <f t="shared" si="16"/>
        <v>0</v>
      </c>
      <c r="AQ52" s="134">
        <v>26891.58</v>
      </c>
      <c r="AR52" s="136"/>
      <c r="AS52" s="136"/>
      <c r="AT52" s="385">
        <f t="shared" si="17"/>
        <v>0</v>
      </c>
      <c r="AU52" s="201">
        <v>10.32</v>
      </c>
      <c r="AV52" s="140"/>
      <c r="AW52" s="140"/>
      <c r="AX52" s="140"/>
      <c r="AY52" s="392"/>
      <c r="AZ52" s="432">
        <f t="shared" si="18"/>
        <v>0</v>
      </c>
      <c r="BA52" s="1553">
        <v>11716</v>
      </c>
      <c r="BB52" s="1621"/>
      <c r="BC52" s="1546"/>
      <c r="BD52" s="1548"/>
      <c r="BE52" s="1548"/>
      <c r="BF52" s="1546"/>
      <c r="BG52" s="1548"/>
      <c r="BH52" s="1548"/>
      <c r="BI52" s="1548"/>
      <c r="BJ52" s="1546"/>
      <c r="BK52" s="389">
        <f t="shared" si="19"/>
        <v>0</v>
      </c>
      <c r="BL52" s="140">
        <f t="shared" si="20"/>
        <v>0</v>
      </c>
      <c r="BM52" s="132"/>
      <c r="BN52" s="140">
        <f t="shared" si="21"/>
        <v>0</v>
      </c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41"/>
      <c r="CA52" s="141"/>
      <c r="CB52" s="390">
        <f t="shared" si="22"/>
        <v>0</v>
      </c>
      <c r="CC52" s="132"/>
    </row>
    <row r="53" ht="14.25" customHeight="1">
      <c r="A53" s="132"/>
      <c r="B53" s="215">
        <v>46067</v>
      </c>
      <c r="C53" s="230">
        <f>42411.84-D53-0</f>
      </c>
      <c r="D53" s="134"/>
      <c r="E53" s="135"/>
      <c r="F53" s="135"/>
      <c r="G53" s="431">
        <f t="shared" si="14"/>
        <v>0</v>
      </c>
      <c r="H53" s="380"/>
      <c r="I53" s="395"/>
      <c r="J53" s="381"/>
      <c r="K53" s="379">
        <v>14297.06</v>
      </c>
      <c r="L53" s="379"/>
      <c r="M53" s="379"/>
      <c r="N53" s="379"/>
      <c r="O53" s="379"/>
      <c r="P53" s="379"/>
      <c r="Q53" s="379"/>
      <c r="R53" s="379"/>
      <c r="S53" s="379"/>
      <c r="T53" s="379"/>
      <c r="U53" s="379"/>
      <c r="V53" s="379"/>
      <c r="W53" s="379"/>
      <c r="X53" s="379"/>
      <c r="Y53" s="379"/>
      <c r="Z53" s="379"/>
      <c r="AA53" s="379"/>
      <c r="AB53" s="383">
        <f t="shared" si="15"/>
        <v>0</v>
      </c>
      <c r="AC53" s="134">
        <v>277.56</v>
      </c>
      <c r="AD53" s="136"/>
      <c r="AE53" s="136"/>
      <c r="AF53" s="136"/>
      <c r="AG53" s="136"/>
      <c r="AH53" s="136"/>
      <c r="AI53" s="140"/>
      <c r="AJ53" s="140"/>
      <c r="AK53" s="140"/>
      <c r="AL53" s="140"/>
      <c r="AM53" s="140"/>
      <c r="AN53" s="140"/>
      <c r="AO53" s="140"/>
      <c r="AP53" s="384">
        <f t="shared" si="16"/>
        <v>0</v>
      </c>
      <c r="AQ53" s="134">
        <v>15717.49</v>
      </c>
      <c r="AR53" s="136"/>
      <c r="AS53" s="136"/>
      <c r="AT53" s="385">
        <f t="shared" si="17"/>
        <v>0</v>
      </c>
      <c r="AU53" s="201"/>
      <c r="AV53" s="140"/>
      <c r="AW53" s="140"/>
      <c r="AX53" s="140"/>
      <c r="AY53" s="392"/>
      <c r="AZ53" s="432">
        <f t="shared" si="18"/>
        <v>0</v>
      </c>
      <c r="BA53" s="1553">
        <v>12039.6</v>
      </c>
      <c r="BB53" s="1689"/>
      <c r="BC53" s="1546"/>
      <c r="BD53" s="1548"/>
      <c r="BE53" s="1548"/>
      <c r="BF53" s="1546"/>
      <c r="BG53" s="1548"/>
      <c r="BH53" s="1548"/>
      <c r="BI53" s="1548"/>
      <c r="BJ53" s="1546"/>
      <c r="BK53" s="389">
        <f t="shared" si="19"/>
        <v>0</v>
      </c>
      <c r="BL53" s="140">
        <f t="shared" si="20"/>
        <v>0</v>
      </c>
      <c r="BM53" s="132"/>
      <c r="BN53" s="140">
        <f t="shared" si="21"/>
        <v>0</v>
      </c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50"/>
      <c r="BZ53" s="141">
        <v>80</v>
      </c>
      <c r="CA53" s="141"/>
      <c r="CB53" s="390">
        <f t="shared" si="22"/>
        <v>0</v>
      </c>
      <c r="CC53" s="132"/>
    </row>
    <row r="54" ht="14.25" customHeight="1">
      <c r="A54" s="132"/>
      <c r="B54" s="215">
        <v>46068</v>
      </c>
      <c r="C54" s="230">
        <f>62778.58-D54-0</f>
      </c>
      <c r="D54" s="134"/>
      <c r="E54" s="135"/>
      <c r="F54" s="135"/>
      <c r="G54" s="431">
        <f t="shared" si="14"/>
        <v>0</v>
      </c>
      <c r="J54" s="381"/>
      <c r="K54" s="379">
        <v>12493.58</v>
      </c>
      <c r="L54" s="379"/>
      <c r="M54" s="379"/>
      <c r="N54" s="379"/>
      <c r="O54" s="379"/>
      <c r="P54" s="379"/>
      <c r="Q54" s="379"/>
      <c r="R54" s="379"/>
      <c r="S54" s="379"/>
      <c r="T54" s="379"/>
      <c r="U54" s="379"/>
      <c r="V54" s="379"/>
      <c r="W54" s="379"/>
      <c r="X54" s="379"/>
      <c r="Y54" s="379"/>
      <c r="Z54" s="379"/>
      <c r="AA54" s="379"/>
      <c r="AB54" s="383">
        <f t="shared" si="15"/>
        <v>0</v>
      </c>
      <c r="AC54" s="134">
        <v>767.52</v>
      </c>
      <c r="AD54" s="136"/>
      <c r="AE54" s="136"/>
      <c r="AF54" s="136"/>
      <c r="AG54" s="136"/>
      <c r="AH54" s="136"/>
      <c r="AI54" s="140"/>
      <c r="AJ54" s="140"/>
      <c r="AK54" s="140"/>
      <c r="AL54" s="140"/>
      <c r="AM54" s="140"/>
      <c r="AN54" s="140"/>
      <c r="AO54" s="140"/>
      <c r="AP54" s="384">
        <f t="shared" si="16"/>
        <v>0</v>
      </c>
      <c r="AQ54" s="134">
        <v>34979.3</v>
      </c>
      <c r="AR54" s="136"/>
      <c r="AS54" s="136"/>
      <c r="AT54" s="385">
        <f t="shared" si="17"/>
        <v>0</v>
      </c>
      <c r="AU54" s="201"/>
      <c r="AV54" s="140"/>
      <c r="AW54" s="140"/>
      <c r="AX54" s="140"/>
      <c r="AY54" s="392"/>
      <c r="AZ54" s="432">
        <f t="shared" si="18"/>
        <v>0</v>
      </c>
      <c r="BA54" s="1553">
        <v>14538.9</v>
      </c>
      <c r="BB54" s="1689"/>
      <c r="BC54" s="1546"/>
      <c r="BD54" s="1548"/>
      <c r="BE54" s="1548"/>
      <c r="BF54" s="1546"/>
      <c r="BG54" s="1548"/>
      <c r="BH54" s="1548"/>
      <c r="BI54" s="1548"/>
      <c r="BJ54" s="1546"/>
      <c r="BK54" s="389">
        <f t="shared" si="19"/>
        <v>0</v>
      </c>
      <c r="BL54" s="140">
        <f t="shared" si="20"/>
        <v>0</v>
      </c>
      <c r="BM54" s="132"/>
      <c r="BN54" s="140">
        <f t="shared" si="21"/>
        <v>0</v>
      </c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41"/>
      <c r="CA54" s="141"/>
      <c r="CB54" s="390">
        <f t="shared" si="22"/>
        <v>0</v>
      </c>
      <c r="CC54" s="132"/>
    </row>
    <row r="55" ht="14.25" customHeight="1">
      <c r="A55" s="132"/>
      <c r="B55" s="215">
        <v>46069</v>
      </c>
      <c r="C55" s="230">
        <f>67897.81-D55-0</f>
      </c>
      <c r="D55" s="134"/>
      <c r="E55" s="135"/>
      <c r="F55" s="135"/>
      <c r="G55" s="431">
        <f t="shared" si="14"/>
        <v>0</v>
      </c>
      <c r="H55" s="380"/>
      <c r="I55" s="395"/>
      <c r="J55" s="381"/>
      <c r="K55" s="382">
        <v>26387.82</v>
      </c>
      <c r="L55" s="379"/>
      <c r="M55" s="382">
        <v>79.35</v>
      </c>
      <c r="N55" s="382">
        <v>118.28</v>
      </c>
      <c r="O55" s="379"/>
      <c r="P55" s="382">
        <v>145.4</v>
      </c>
      <c r="Q55" s="379">
        <v>548.91</v>
      </c>
      <c r="R55" s="379"/>
      <c r="S55" s="379"/>
      <c r="T55" s="379"/>
      <c r="U55" s="379"/>
      <c r="V55" s="379"/>
      <c r="W55" s="379"/>
      <c r="X55" s="379"/>
      <c r="Y55" s="379"/>
      <c r="Z55" s="379"/>
      <c r="AA55" s="379"/>
      <c r="AB55" s="383">
        <f t="shared" si="15"/>
        <v>0</v>
      </c>
      <c r="AC55" s="136"/>
      <c r="AD55" s="136"/>
      <c r="AE55" s="136"/>
      <c r="AF55" s="136"/>
      <c r="AG55" s="136"/>
      <c r="AH55" s="136"/>
      <c r="AI55" s="140"/>
      <c r="AJ55" s="140"/>
      <c r="AK55" s="140"/>
      <c r="AL55" s="140"/>
      <c r="AM55" s="140"/>
      <c r="AN55" s="140"/>
      <c r="AO55" s="140"/>
      <c r="AP55" s="384">
        <f t="shared" si="16"/>
        <v>0</v>
      </c>
      <c r="AQ55" s="134">
        <v>25863.9</v>
      </c>
      <c r="AR55" s="136"/>
      <c r="AS55" s="136"/>
      <c r="AT55" s="385">
        <f t="shared" si="17"/>
        <v>0</v>
      </c>
      <c r="AU55" s="201">
        <v>10.43</v>
      </c>
      <c r="AV55" s="140"/>
      <c r="AW55" s="140"/>
      <c r="AX55" s="140"/>
      <c r="AY55" s="392"/>
      <c r="AZ55" s="432">
        <f t="shared" si="18"/>
        <v>0</v>
      </c>
      <c r="BA55" s="1553">
        <v>14475.7</v>
      </c>
      <c r="BB55" s="1621"/>
      <c r="BC55" s="1546"/>
      <c r="BD55" s="1548"/>
      <c r="BE55" s="1548"/>
      <c r="BF55" s="1546"/>
      <c r="BG55" s="1548"/>
      <c r="BH55" s="1548"/>
      <c r="BI55" s="1548"/>
      <c r="BJ55" s="1546"/>
      <c r="BK55" s="389">
        <f t="shared" si="19"/>
        <v>0</v>
      </c>
      <c r="BL55" s="140">
        <f t="shared" si="20"/>
        <v>0</v>
      </c>
      <c r="BM55" s="132"/>
      <c r="BN55" s="140">
        <f t="shared" si="21"/>
        <v>0</v>
      </c>
      <c r="BO55" s="141"/>
      <c r="BP55" s="141"/>
      <c r="BQ55" s="141"/>
      <c r="BR55" s="141"/>
      <c r="BS55" s="141"/>
      <c r="BT55" s="141"/>
      <c r="BU55" s="141"/>
      <c r="BV55" s="141"/>
      <c r="BW55" s="141"/>
      <c r="BX55" s="141"/>
      <c r="BY55" s="150"/>
      <c r="BZ55" s="141">
        <v>160</v>
      </c>
      <c r="CA55" s="141"/>
      <c r="CB55" s="390">
        <f t="shared" si="22"/>
        <v>0</v>
      </c>
      <c r="CC55" s="132"/>
    </row>
    <row r="56" ht="14.25" customHeight="1">
      <c r="A56" s="132"/>
      <c r="B56" s="215">
        <v>46070</v>
      </c>
      <c r="C56" s="230">
        <f>49340.39-D56-0</f>
      </c>
      <c r="D56" s="134"/>
      <c r="E56" s="135"/>
      <c r="F56" s="135"/>
      <c r="G56" s="431">
        <f t="shared" si="14"/>
        <v>0</v>
      </c>
      <c r="H56" s="380"/>
      <c r="I56" s="395"/>
      <c r="J56" s="381"/>
      <c r="K56" s="382">
        <v>13962.99</v>
      </c>
      <c r="L56" s="379"/>
      <c r="M56" s="382">
        <v>142.52</v>
      </c>
      <c r="N56" s="379"/>
      <c r="O56" s="379"/>
      <c r="P56" s="382">
        <v>218.69</v>
      </c>
      <c r="Q56" s="382">
        <v>409.69</v>
      </c>
      <c r="R56" s="379"/>
      <c r="S56" s="379"/>
      <c r="T56" s="379"/>
      <c r="U56" s="379"/>
      <c r="V56" s="379"/>
      <c r="W56" s="379"/>
      <c r="X56" s="379"/>
      <c r="Y56" s="379"/>
      <c r="Z56" s="379"/>
      <c r="AA56" s="379"/>
      <c r="AB56" s="383">
        <f t="shared" si="15"/>
        <v>0</v>
      </c>
      <c r="AC56" s="136"/>
      <c r="AD56" s="136"/>
      <c r="AE56" s="134">
        <v>310.46</v>
      </c>
      <c r="AF56" s="136"/>
      <c r="AG56" s="136"/>
      <c r="AH56" s="134">
        <v>119.61</v>
      </c>
      <c r="AI56" s="140"/>
      <c r="AJ56" s="140"/>
      <c r="AK56" s="140"/>
      <c r="AL56" s="140"/>
      <c r="AM56" s="140"/>
      <c r="AN56" s="140"/>
      <c r="AO56" s="140"/>
      <c r="AP56" s="384">
        <f t="shared" si="16"/>
        <v>0</v>
      </c>
      <c r="AQ56" s="134">
        <v>20754.13</v>
      </c>
      <c r="AR56" s="136"/>
      <c r="AS56" s="136"/>
      <c r="AT56" s="385">
        <f t="shared" si="17"/>
        <v>0</v>
      </c>
      <c r="AU56" s="201">
        <v>5.69</v>
      </c>
      <c r="AV56" s="140"/>
      <c r="AW56" s="140"/>
      <c r="AX56" s="140"/>
      <c r="AY56" s="392"/>
      <c r="AZ56" s="432">
        <f t="shared" si="18"/>
        <v>0</v>
      </c>
      <c r="BA56" s="1553">
        <v>13416.8</v>
      </c>
      <c r="BB56" s="1621"/>
      <c r="BC56" s="1546"/>
      <c r="BD56" s="1548"/>
      <c r="BE56" s="1548"/>
      <c r="BF56" s="1546"/>
      <c r="BG56" s="1548"/>
      <c r="BH56" s="1548"/>
      <c r="BI56" s="1548"/>
      <c r="BJ56" s="1546"/>
      <c r="BK56" s="389">
        <f t="shared" si="19"/>
        <v>0</v>
      </c>
      <c r="BL56" s="140">
        <f t="shared" si="20"/>
        <v>0</v>
      </c>
      <c r="BM56" s="132"/>
      <c r="BN56" s="140">
        <f t="shared" si="21"/>
        <v>0</v>
      </c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41"/>
      <c r="CA56" s="141"/>
      <c r="CB56" s="390">
        <f t="shared" si="22"/>
        <v>0</v>
      </c>
      <c r="CC56" s="132"/>
    </row>
    <row r="57" ht="14.25" customHeight="1">
      <c r="A57" s="132"/>
      <c r="B57" s="215">
        <v>46071</v>
      </c>
      <c r="C57" s="230">
        <f>56466.25-D57-0</f>
      </c>
      <c r="D57" s="134"/>
      <c r="E57" s="135"/>
      <c r="F57" s="135"/>
      <c r="G57" s="431">
        <f t="shared" si="14"/>
        <v>0</v>
      </c>
      <c r="H57" s="380"/>
      <c r="I57" s="395"/>
      <c r="J57" s="381"/>
      <c r="K57" s="382">
        <v>19284.68</v>
      </c>
      <c r="L57" s="379"/>
      <c r="M57" s="379">
        <v>282.53</v>
      </c>
      <c r="N57" s="379"/>
      <c r="O57" s="379"/>
      <c r="P57" s="379"/>
      <c r="Q57" s="382">
        <v>75.02</v>
      </c>
      <c r="R57" s="379"/>
      <c r="S57" s="379"/>
      <c r="T57" s="379"/>
      <c r="U57" s="379"/>
      <c r="V57" s="379"/>
      <c r="W57" s="379"/>
      <c r="X57" s="379"/>
      <c r="Y57" s="379"/>
      <c r="Z57" s="379"/>
      <c r="AA57" s="379"/>
      <c r="AB57" s="383">
        <f t="shared" si="15"/>
        <v>0</v>
      </c>
      <c r="AC57" s="134">
        <v>197.81</v>
      </c>
      <c r="AD57" s="136"/>
      <c r="AE57" s="136"/>
      <c r="AF57" s="136"/>
      <c r="AG57" s="136"/>
      <c r="AH57" s="136"/>
      <c r="AI57" s="140"/>
      <c r="AJ57" s="140"/>
      <c r="AK57" s="140"/>
      <c r="AL57" s="140"/>
      <c r="AM57" s="140"/>
      <c r="AN57" s="140"/>
      <c r="AO57" s="140"/>
      <c r="AP57" s="384">
        <f t="shared" si="16"/>
        <v>0</v>
      </c>
      <c r="AQ57" s="134">
        <v>22509.39</v>
      </c>
      <c r="AR57" s="136"/>
      <c r="AS57" s="136"/>
      <c r="AT57" s="385">
        <f t="shared" si="17"/>
        <v>0</v>
      </c>
      <c r="AU57" s="201">
        <v>9.1</v>
      </c>
      <c r="AV57" s="140"/>
      <c r="AW57" s="140"/>
      <c r="AX57" s="140"/>
      <c r="AY57" s="392"/>
      <c r="AZ57" s="432">
        <f t="shared" si="18"/>
        <v>0</v>
      </c>
      <c r="BA57" s="1553">
        <v>14107.9</v>
      </c>
      <c r="BB57" s="1689"/>
      <c r="BC57" s="1546"/>
      <c r="BD57" s="1548"/>
      <c r="BE57" s="1548"/>
      <c r="BF57" s="1546"/>
      <c r="BG57" s="1548"/>
      <c r="BH57" s="1548"/>
      <c r="BI57" s="1548"/>
      <c r="BJ57" s="1546"/>
      <c r="BK57" s="389">
        <f t="shared" si="19"/>
        <v>0</v>
      </c>
      <c r="BL57" s="140">
        <f t="shared" si="20"/>
        <v>0</v>
      </c>
      <c r="BM57" s="132"/>
      <c r="BN57" s="140">
        <f t="shared" si="21"/>
        <v>0</v>
      </c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41"/>
      <c r="CA57" s="141"/>
      <c r="CB57" s="390">
        <f t="shared" si="22"/>
        <v>0</v>
      </c>
      <c r="CC57" s="132"/>
    </row>
    <row r="58" ht="14.25" customHeight="1">
      <c r="A58" s="132"/>
      <c r="B58" s="215">
        <v>46072</v>
      </c>
      <c r="C58" s="230">
        <f>43731.67-D58-0</f>
      </c>
      <c r="D58" s="134"/>
      <c r="E58" s="135"/>
      <c r="F58" s="135"/>
      <c r="G58" s="431">
        <f t="shared" si="14"/>
        <v>0</v>
      </c>
      <c r="H58" s="380"/>
      <c r="I58" s="395"/>
      <c r="J58" s="381"/>
      <c r="K58" s="379">
        <v>11855.33</v>
      </c>
      <c r="L58" s="379"/>
      <c r="M58" s="379"/>
      <c r="N58" s="379"/>
      <c r="O58" s="379"/>
      <c r="P58" s="382">
        <v>315.75</v>
      </c>
      <c r="Q58" s="382">
        <v>144.57</v>
      </c>
      <c r="R58" s="379"/>
      <c r="S58" s="379"/>
      <c r="T58" s="379"/>
      <c r="U58" s="379"/>
      <c r="V58" s="379"/>
      <c r="W58" s="379"/>
      <c r="X58" s="379"/>
      <c r="Y58" s="379"/>
      <c r="Z58" s="379"/>
      <c r="AA58" s="379"/>
      <c r="AB58" s="383">
        <f t="shared" si="15"/>
        <v>0</v>
      </c>
      <c r="AC58" s="136"/>
      <c r="AD58" s="136"/>
      <c r="AE58" s="136"/>
      <c r="AF58" s="136"/>
      <c r="AG58" s="136"/>
      <c r="AH58" s="136"/>
      <c r="AI58" s="140"/>
      <c r="AJ58" s="140"/>
      <c r="AK58" s="140"/>
      <c r="AL58" s="140"/>
      <c r="AM58" s="140"/>
      <c r="AN58" s="140"/>
      <c r="AO58" s="140"/>
      <c r="AP58" s="384">
        <f t="shared" si="16"/>
        <v>0</v>
      </c>
      <c r="AQ58" s="134">
        <v>17300.51</v>
      </c>
      <c r="AR58" s="136"/>
      <c r="AS58" s="136"/>
      <c r="AT58" s="385">
        <f t="shared" si="17"/>
        <v>0</v>
      </c>
      <c r="AU58" s="201">
        <v>2.92</v>
      </c>
      <c r="AV58" s="140"/>
      <c r="AW58" s="140"/>
      <c r="AX58" s="140"/>
      <c r="AY58" s="392"/>
      <c r="AZ58" s="432">
        <f t="shared" si="18"/>
        <v>0</v>
      </c>
      <c r="BA58" s="1553">
        <v>13813.5</v>
      </c>
      <c r="BB58" s="1689"/>
      <c r="BC58" s="1546"/>
      <c r="BD58" s="1548"/>
      <c r="BE58" s="1548"/>
      <c r="BF58" s="1546"/>
      <c r="BG58" s="1548"/>
      <c r="BH58" s="1548"/>
      <c r="BI58" s="1548"/>
      <c r="BJ58" s="1546"/>
      <c r="BK58" s="389">
        <f t="shared" si="19"/>
        <v>0</v>
      </c>
      <c r="BL58" s="140">
        <f t="shared" si="20"/>
        <v>0</v>
      </c>
      <c r="BM58" s="132"/>
      <c r="BN58" s="140">
        <f t="shared" si="21"/>
        <v>0</v>
      </c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50"/>
      <c r="BZ58" s="141">
        <v>300</v>
      </c>
      <c r="CA58" s="141"/>
      <c r="CB58" s="390">
        <f t="shared" si="22"/>
        <v>0</v>
      </c>
      <c r="CC58" s="132"/>
    </row>
    <row r="59" ht="14.25" customHeight="1">
      <c r="A59" s="132"/>
      <c r="B59" s="215">
        <v>46073</v>
      </c>
      <c r="C59" s="230">
        <f>58059.46-D59-0</f>
      </c>
      <c r="D59" s="134"/>
      <c r="E59" s="135"/>
      <c r="F59" s="135"/>
      <c r="G59" s="431">
        <f t="shared" si="14"/>
        <v>0</v>
      </c>
      <c r="H59" s="380"/>
      <c r="I59" s="395"/>
      <c r="J59" s="381"/>
      <c r="K59" s="382">
        <v>21560.96</v>
      </c>
      <c r="L59" s="379"/>
      <c r="M59" s="379">
        <v>343.75</v>
      </c>
      <c r="N59" s="379"/>
      <c r="O59" s="379"/>
      <c r="P59" s="379"/>
      <c r="Q59" s="379">
        <v>1016.44</v>
      </c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83">
        <f t="shared" si="15"/>
        <v>0</v>
      </c>
      <c r="AC59" s="136">
        <v>690.28</v>
      </c>
      <c r="AD59" s="136"/>
      <c r="AE59" s="136"/>
      <c r="AF59" s="136"/>
      <c r="AG59" s="136"/>
      <c r="AH59" s="136"/>
      <c r="AI59" s="140"/>
      <c r="AJ59" s="140"/>
      <c r="AK59" s="140"/>
      <c r="AL59" s="140"/>
      <c r="AM59" s="140"/>
      <c r="AN59" s="140"/>
      <c r="AO59" s="140"/>
      <c r="AP59" s="384">
        <f t="shared" si="16"/>
        <v>0</v>
      </c>
      <c r="AQ59" s="134">
        <v>22425.32</v>
      </c>
      <c r="AR59" s="136"/>
      <c r="AS59" s="136"/>
      <c r="AT59" s="385">
        <f t="shared" si="17"/>
        <v>0</v>
      </c>
      <c r="AU59" s="201">
        <v>3.92</v>
      </c>
      <c r="AV59" s="140"/>
      <c r="AW59" s="140"/>
      <c r="AX59" s="140"/>
      <c r="AY59" s="392"/>
      <c r="AZ59" s="432">
        <f t="shared" si="18"/>
        <v>0</v>
      </c>
      <c r="BA59" s="1553">
        <v>11953.8</v>
      </c>
      <c r="BB59" s="1689"/>
      <c r="BC59" s="1546"/>
      <c r="BD59" s="1548"/>
      <c r="BE59" s="1548"/>
      <c r="BF59" s="1546"/>
      <c r="BG59" s="1548"/>
      <c r="BH59" s="1548"/>
      <c r="BI59" s="1548"/>
      <c r="BJ59" s="1546"/>
      <c r="BK59" s="389">
        <f t="shared" si="19"/>
        <v>0</v>
      </c>
      <c r="BL59" s="140">
        <f t="shared" si="20"/>
        <v>0</v>
      </c>
      <c r="BM59" s="132"/>
      <c r="BN59" s="140">
        <f t="shared" si="21"/>
        <v>0</v>
      </c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50"/>
      <c r="BZ59" s="141">
        <v>65</v>
      </c>
      <c r="CA59" s="141"/>
      <c r="CB59" s="390">
        <f t="shared" si="22"/>
        <v>0</v>
      </c>
      <c r="CC59" s="132"/>
    </row>
    <row r="60" ht="14.25" customHeight="1">
      <c r="A60" s="132"/>
      <c r="B60" s="215">
        <v>46074</v>
      </c>
      <c r="C60" s="230">
        <f>51061.67-D60-0</f>
      </c>
      <c r="D60" s="134"/>
      <c r="E60" s="135"/>
      <c r="F60" s="135"/>
      <c r="G60" s="431">
        <f t="shared" si="14"/>
        <v>0</v>
      </c>
      <c r="H60" s="380"/>
      <c r="I60" s="395"/>
      <c r="J60" s="381"/>
      <c r="K60" s="379">
        <v>16224.01</v>
      </c>
      <c r="L60" s="379"/>
      <c r="M60" s="382">
        <v>90.03</v>
      </c>
      <c r="N60" s="379"/>
      <c r="O60" s="379"/>
      <c r="P60" s="379"/>
      <c r="Q60" s="382">
        <v>130.17</v>
      </c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83">
        <f t="shared" si="15"/>
        <v>0</v>
      </c>
      <c r="AC60" s="136"/>
      <c r="AD60" s="136"/>
      <c r="AE60" s="136"/>
      <c r="AF60" s="136"/>
      <c r="AG60" s="136"/>
      <c r="AH60" s="136"/>
      <c r="AI60" s="140"/>
      <c r="AJ60" s="140"/>
      <c r="AK60" s="140"/>
      <c r="AL60" s="140"/>
      <c r="AM60" s="140"/>
      <c r="AN60" s="140"/>
      <c r="AO60" s="140"/>
      <c r="AP60" s="384">
        <f t="shared" si="16"/>
        <v>0</v>
      </c>
      <c r="AQ60" s="134">
        <v>20743.82</v>
      </c>
      <c r="AR60" s="136"/>
      <c r="AS60" s="136"/>
      <c r="AT60" s="385">
        <f t="shared" si="17"/>
        <v>0</v>
      </c>
      <c r="AU60" s="201">
        <v>18.32</v>
      </c>
      <c r="AV60" s="140"/>
      <c r="AW60" s="140"/>
      <c r="AX60" s="140"/>
      <c r="AY60" s="392"/>
      <c r="AZ60" s="432">
        <f t="shared" si="18"/>
        <v>0</v>
      </c>
      <c r="BA60" s="1553">
        <v>13455.3</v>
      </c>
      <c r="BB60" s="1623">
        <v>400</v>
      </c>
      <c r="BC60" s="1546"/>
      <c r="BD60" s="1548"/>
      <c r="BE60" s="1548"/>
      <c r="BF60" s="1546"/>
      <c r="BG60" s="1548"/>
      <c r="BH60" s="1548"/>
      <c r="BI60" s="1548"/>
      <c r="BJ60" s="1546"/>
      <c r="BK60" s="389">
        <f t="shared" si="19"/>
        <v>0</v>
      </c>
      <c r="BL60" s="140">
        <f t="shared" si="20"/>
        <v>0</v>
      </c>
      <c r="BM60" s="132"/>
      <c r="BN60" s="140">
        <f t="shared" si="21"/>
        <v>0</v>
      </c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41"/>
      <c r="CA60" s="141"/>
      <c r="CB60" s="390">
        <f t="shared" si="22"/>
        <v>0</v>
      </c>
      <c r="CC60" s="132"/>
    </row>
    <row r="61" ht="14.25" customHeight="1">
      <c r="A61" s="132"/>
      <c r="B61" s="215">
        <v>46075</v>
      </c>
      <c r="C61" s="230">
        <f>75302.68-D61-0</f>
      </c>
      <c r="D61" s="134"/>
      <c r="E61" s="135"/>
      <c r="F61" s="135"/>
      <c r="G61" s="431">
        <f t="shared" si="14"/>
        <v>0</v>
      </c>
      <c r="H61" s="380"/>
      <c r="I61" s="395"/>
      <c r="J61" s="381"/>
      <c r="K61" s="379">
        <v>16980.96</v>
      </c>
      <c r="L61" s="379"/>
      <c r="M61" s="379"/>
      <c r="N61" s="379"/>
      <c r="O61" s="379"/>
      <c r="P61" s="379"/>
      <c r="Q61" s="382">
        <v>3633.78</v>
      </c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83">
        <f t="shared" si="15"/>
        <v>0</v>
      </c>
      <c r="AC61" s="136"/>
      <c r="AD61" s="136"/>
      <c r="AE61" s="136"/>
      <c r="AF61" s="136"/>
      <c r="AG61" s="136"/>
      <c r="AH61" s="136"/>
      <c r="AI61" s="140"/>
      <c r="AJ61" s="140"/>
      <c r="AK61" s="140"/>
      <c r="AL61" s="140"/>
      <c r="AM61" s="140"/>
      <c r="AN61" s="140"/>
      <c r="AO61" s="140"/>
      <c r="AP61" s="384">
        <f t="shared" si="16"/>
        <v>0</v>
      </c>
      <c r="AQ61" s="134">
        <v>38812.59</v>
      </c>
      <c r="AR61" s="136"/>
      <c r="AS61" s="136"/>
      <c r="AT61" s="385">
        <f t="shared" si="17"/>
        <v>0</v>
      </c>
      <c r="AU61" s="201">
        <v>5.29</v>
      </c>
      <c r="AV61" s="140"/>
      <c r="AW61" s="140"/>
      <c r="AX61" s="140"/>
      <c r="AY61" s="392"/>
      <c r="AZ61" s="432">
        <f t="shared" si="18"/>
        <v>0</v>
      </c>
      <c r="BA61" s="1553">
        <v>15838.9</v>
      </c>
      <c r="BB61" s="1621"/>
      <c r="BC61" s="1546"/>
      <c r="BD61" s="1548"/>
      <c r="BE61" s="1548"/>
      <c r="BF61" s="1546"/>
      <c r="BG61" s="1548"/>
      <c r="BH61" s="1548"/>
      <c r="BI61" s="1548"/>
      <c r="BJ61" s="1546"/>
      <c r="BK61" s="389">
        <f t="shared" si="19"/>
        <v>0</v>
      </c>
      <c r="BL61" s="140">
        <f t="shared" si="20"/>
        <v>0</v>
      </c>
      <c r="BM61" s="132"/>
      <c r="BN61" s="140">
        <f t="shared" si="21"/>
        <v>0</v>
      </c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390">
        <f t="shared" si="22"/>
        <v>0</v>
      </c>
      <c r="CC61" s="132"/>
    </row>
    <row r="62" ht="14.25" customHeight="1">
      <c r="A62" s="132"/>
      <c r="B62" s="215">
        <v>46076</v>
      </c>
      <c r="C62" s="230">
        <f>57431.50-D62-0</f>
      </c>
      <c r="D62" s="134"/>
      <c r="E62" s="135"/>
      <c r="F62" s="135"/>
      <c r="G62" s="431">
        <f t="shared" si="14"/>
        <v>0</v>
      </c>
      <c r="H62" s="380"/>
      <c r="I62" s="395"/>
      <c r="J62" s="381"/>
      <c r="K62" s="379">
        <v>19521.72</v>
      </c>
      <c r="L62" s="379"/>
      <c r="M62" s="379"/>
      <c r="N62" s="379"/>
      <c r="O62" s="379"/>
      <c r="P62" s="382">
        <v>148.71</v>
      </c>
      <c r="Q62" s="379">
        <v>676.89</v>
      </c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83">
        <f t="shared" si="15"/>
        <v>0</v>
      </c>
      <c r="AC62" s="136"/>
      <c r="AD62" s="136"/>
      <c r="AE62" s="136"/>
      <c r="AF62" s="136"/>
      <c r="AG62" s="136"/>
      <c r="AH62" s="134">
        <v>168.88</v>
      </c>
      <c r="AI62" s="140"/>
      <c r="AJ62" s="140"/>
      <c r="AK62" s="140"/>
      <c r="AL62" s="140"/>
      <c r="AM62" s="140"/>
      <c r="AN62" s="140"/>
      <c r="AO62" s="140"/>
      <c r="AP62" s="384">
        <f t="shared" si="16"/>
        <v>0</v>
      </c>
      <c r="AQ62" s="134">
        <v>24916</v>
      </c>
      <c r="AR62" s="136"/>
      <c r="AS62" s="136"/>
      <c r="AT62" s="385">
        <f t="shared" si="17"/>
        <v>0</v>
      </c>
      <c r="AU62" s="201">
        <v>4.93</v>
      </c>
      <c r="AV62" s="140"/>
      <c r="AW62" s="140"/>
      <c r="AX62" s="140"/>
      <c r="AY62" s="392"/>
      <c r="AZ62" s="432">
        <f t="shared" si="18"/>
        <v>0</v>
      </c>
      <c r="BA62" s="1553">
        <v>10539.4</v>
      </c>
      <c r="BB62" s="1691"/>
      <c r="BC62" s="1546"/>
      <c r="BD62" s="1548"/>
      <c r="BE62" s="1548"/>
      <c r="BF62" s="1546"/>
      <c r="BG62" s="1548"/>
      <c r="BH62" s="1548"/>
      <c r="BI62" s="1548"/>
      <c r="BJ62" s="1546"/>
      <c r="BK62" s="389">
        <f t="shared" si="19"/>
        <v>0</v>
      </c>
      <c r="BL62" s="140">
        <f t="shared" si="20"/>
        <v>0</v>
      </c>
      <c r="BM62" s="132"/>
      <c r="BN62" s="140">
        <f t="shared" si="21"/>
        <v>0</v>
      </c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50"/>
      <c r="BZ62" s="141">
        <v>1455</v>
      </c>
      <c r="CA62" s="141"/>
      <c r="CB62" s="390">
        <f t="shared" si="22"/>
        <v>0</v>
      </c>
      <c r="CC62" s="132"/>
    </row>
    <row r="63" ht="14.25" customHeight="1">
      <c r="A63" s="132"/>
      <c r="B63" s="215">
        <v>46077</v>
      </c>
      <c r="C63" s="230">
        <f>63713.87-D63-0</f>
      </c>
      <c r="D63" s="134"/>
      <c r="E63" s="135"/>
      <c r="F63" s="135"/>
      <c r="G63" s="431">
        <f t="shared" si="14"/>
        <v>0</v>
      </c>
      <c r="H63" s="380"/>
      <c r="I63" s="395"/>
      <c r="J63" s="381"/>
      <c r="K63" s="382">
        <v>22991.3</v>
      </c>
      <c r="L63" s="379"/>
      <c r="M63" s="382">
        <v>159.13</v>
      </c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83">
        <f t="shared" si="15"/>
        <v>0</v>
      </c>
      <c r="AC63" s="136">
        <v>1050.66</v>
      </c>
      <c r="AD63" s="136"/>
      <c r="AE63" s="134">
        <v>325.01</v>
      </c>
      <c r="AF63" s="136"/>
      <c r="AG63" s="136"/>
      <c r="AH63" s="136"/>
      <c r="AI63" s="140"/>
      <c r="AJ63" s="140"/>
      <c r="AK63" s="140"/>
      <c r="AL63" s="140"/>
      <c r="AM63" s="140"/>
      <c r="AN63" s="140"/>
      <c r="AO63" s="140"/>
      <c r="AP63" s="384">
        <f t="shared" si="16"/>
        <v>0</v>
      </c>
      <c r="AQ63" s="134">
        <v>21008.04</v>
      </c>
      <c r="AR63" s="136"/>
      <c r="AS63" s="136"/>
      <c r="AT63" s="385">
        <f t="shared" si="17"/>
        <v>0</v>
      </c>
      <c r="AU63" s="201">
        <v>3.17</v>
      </c>
      <c r="AV63" s="140"/>
      <c r="AW63" s="140"/>
      <c r="AX63" s="140"/>
      <c r="AY63" s="392"/>
      <c r="AZ63" s="432">
        <f t="shared" si="18"/>
        <v>0</v>
      </c>
      <c r="BA63" s="1553">
        <v>18174.2</v>
      </c>
      <c r="BB63" s="1623"/>
      <c r="BC63" s="1546"/>
      <c r="BD63" s="1548"/>
      <c r="BE63" s="1548"/>
      <c r="BF63" s="1546"/>
      <c r="BG63" s="1548"/>
      <c r="BH63" s="1548"/>
      <c r="BI63" s="1548"/>
      <c r="BJ63" s="1546"/>
      <c r="BK63" s="389">
        <f t="shared" si="19"/>
        <v>0</v>
      </c>
      <c r="BL63" s="140">
        <f t="shared" si="20"/>
        <v>0</v>
      </c>
      <c r="BM63" s="132"/>
      <c r="BN63" s="140">
        <f t="shared" si="21"/>
        <v>0</v>
      </c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390">
        <f t="shared" si="22"/>
        <v>0</v>
      </c>
      <c r="CC63" s="132"/>
    </row>
    <row r="64" ht="14.25" customHeight="1">
      <c r="A64" s="132"/>
      <c r="B64" s="215">
        <v>46078</v>
      </c>
      <c r="C64" s="230">
        <f>64554.44-D64-0</f>
      </c>
      <c r="D64" s="134"/>
      <c r="E64" s="135"/>
      <c r="F64" s="135"/>
      <c r="G64" s="431">
        <f t="shared" si="14"/>
        <v>0</v>
      </c>
      <c r="H64" s="380"/>
      <c r="I64" s="395"/>
      <c r="J64" s="381"/>
      <c r="K64" s="382">
        <v>23812.94</v>
      </c>
      <c r="L64" s="379"/>
      <c r="M64" s="379"/>
      <c r="N64" s="379"/>
      <c r="O64" s="379"/>
      <c r="P64" s="379"/>
      <c r="Q64" s="379">
        <v>3741.26</v>
      </c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83">
        <f t="shared" si="15"/>
        <v>0</v>
      </c>
      <c r="AC64" s="136"/>
      <c r="AD64" s="136"/>
      <c r="AE64" s="136"/>
      <c r="AF64" s="136"/>
      <c r="AG64" s="136"/>
      <c r="AH64" s="134">
        <v>64.58</v>
      </c>
      <c r="AI64" s="140"/>
      <c r="AJ64" s="140"/>
      <c r="AK64" s="140"/>
      <c r="AL64" s="140"/>
      <c r="AM64" s="140"/>
      <c r="AN64" s="140"/>
      <c r="AO64" s="140"/>
      <c r="AP64" s="384">
        <f t="shared" si="16"/>
        <v>0</v>
      </c>
      <c r="AQ64" s="134">
        <v>26166.24</v>
      </c>
      <c r="AR64" s="136"/>
      <c r="AS64" s="136"/>
      <c r="AT64" s="385">
        <f t="shared" si="17"/>
        <v>0</v>
      </c>
      <c r="AU64" s="201">
        <v>4.13</v>
      </c>
      <c r="AV64" s="140"/>
      <c r="AW64" s="140"/>
      <c r="AX64" s="140"/>
      <c r="AY64" s="392"/>
      <c r="AZ64" s="432">
        <f t="shared" si="18"/>
        <v>0</v>
      </c>
      <c r="BA64" s="1553">
        <v>10715.6</v>
      </c>
      <c r="BB64" s="1623"/>
      <c r="BC64" s="1546"/>
      <c r="BD64" s="1548"/>
      <c r="BE64" s="1548"/>
      <c r="BF64" s="1546"/>
      <c r="BG64" s="1548"/>
      <c r="BH64" s="1548"/>
      <c r="BI64" s="1548"/>
      <c r="BJ64" s="1546"/>
      <c r="BK64" s="389">
        <f t="shared" si="19"/>
        <v>0</v>
      </c>
      <c r="BL64" s="140">
        <f t="shared" si="20"/>
        <v>0</v>
      </c>
      <c r="BM64" s="132"/>
      <c r="BN64" s="140">
        <f t="shared" si="21"/>
        <v>0</v>
      </c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390">
        <f t="shared" si="22"/>
        <v>0</v>
      </c>
      <c r="CC64" s="132"/>
    </row>
    <row r="65" ht="14.25" customHeight="1">
      <c r="A65" s="132"/>
      <c r="B65" s="215">
        <v>46079</v>
      </c>
      <c r="C65" s="230">
        <f>46359.80-D65-0</f>
      </c>
      <c r="D65" s="134"/>
      <c r="E65" s="135"/>
      <c r="F65" s="135"/>
      <c r="G65" s="431">
        <f t="shared" si="14"/>
        <v>0</v>
      </c>
      <c r="H65" s="380"/>
      <c r="I65" s="395"/>
      <c r="J65" s="381"/>
      <c r="K65" s="382">
        <v>13385.19</v>
      </c>
      <c r="L65" s="379"/>
      <c r="M65" s="379">
        <v>520.58</v>
      </c>
      <c r="N65" s="379"/>
      <c r="O65" s="379"/>
      <c r="P65" s="382">
        <v>959.56</v>
      </c>
      <c r="Q65" s="379">
        <v>3543.67</v>
      </c>
      <c r="R65" s="379"/>
      <c r="S65" s="379"/>
      <c r="T65" s="379"/>
      <c r="U65" s="379"/>
      <c r="V65" s="379"/>
      <c r="W65" s="379"/>
      <c r="X65" s="379"/>
      <c r="Y65" s="379"/>
      <c r="Z65" s="379"/>
      <c r="AA65" s="379"/>
      <c r="AB65" s="383">
        <f t="shared" si="15"/>
        <v>0</v>
      </c>
      <c r="AC65" s="136"/>
      <c r="AD65" s="136"/>
      <c r="AE65" s="136"/>
      <c r="AF65" s="136"/>
      <c r="AG65" s="136"/>
      <c r="AH65" s="136"/>
      <c r="AI65" s="140"/>
      <c r="AJ65" s="140"/>
      <c r="AK65" s="140"/>
      <c r="AL65" s="140"/>
      <c r="AM65" s="140"/>
      <c r="AN65" s="140"/>
      <c r="AO65" s="140"/>
      <c r="AP65" s="384">
        <f t="shared" si="16"/>
        <v>0</v>
      </c>
      <c r="AQ65" s="134">
        <v>14882.49</v>
      </c>
      <c r="AR65" s="136"/>
      <c r="AS65" s="136"/>
      <c r="AT65" s="385">
        <f t="shared" si="17"/>
        <v>0</v>
      </c>
      <c r="AU65" s="140"/>
      <c r="AV65" s="140"/>
      <c r="AW65" s="140"/>
      <c r="AX65" s="140"/>
      <c r="AY65" s="392"/>
      <c r="AZ65" s="432">
        <f t="shared" si="18"/>
        <v>0</v>
      </c>
      <c r="BA65" s="1553">
        <v>9355.8</v>
      </c>
      <c r="BB65" s="1623"/>
      <c r="BC65" s="1546"/>
      <c r="BD65" s="1548"/>
      <c r="BE65" s="1548"/>
      <c r="BF65" s="1546"/>
      <c r="BG65" s="1548"/>
      <c r="BH65" s="1548"/>
      <c r="BI65" s="1548"/>
      <c r="BJ65" s="1546"/>
      <c r="BK65" s="389">
        <f t="shared" si="19"/>
        <v>0</v>
      </c>
      <c r="BL65" s="140">
        <f t="shared" si="20"/>
        <v>0</v>
      </c>
      <c r="BM65" s="132"/>
      <c r="BN65" s="140">
        <f t="shared" si="21"/>
        <v>0</v>
      </c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50"/>
      <c r="BZ65" s="141">
        <v>3712</v>
      </c>
      <c r="CA65" s="141"/>
      <c r="CB65" s="390">
        <f t="shared" si="22"/>
        <v>0</v>
      </c>
      <c r="CC65" s="132"/>
    </row>
    <row r="66" ht="14.25" customHeight="1">
      <c r="A66" s="132"/>
      <c r="B66" s="215">
        <v>46080</v>
      </c>
      <c r="C66" s="230">
        <f>50186.47-D66-0</f>
      </c>
      <c r="D66" s="134"/>
      <c r="E66" s="135"/>
      <c r="F66" s="135"/>
      <c r="G66" s="431">
        <f t="shared" si="14"/>
        <v>0</v>
      </c>
      <c r="H66" s="380"/>
      <c r="I66" s="395"/>
      <c r="J66" s="381"/>
      <c r="K66" s="382">
        <v>11964.4</v>
      </c>
      <c r="L66" s="379"/>
      <c r="M66" s="379"/>
      <c r="N66" s="379"/>
      <c r="O66" s="379"/>
      <c r="P66" s="379"/>
      <c r="Q66" s="379">
        <v>6483.9</v>
      </c>
      <c r="R66" s="379"/>
      <c r="S66" s="379"/>
      <c r="T66" s="379"/>
      <c r="U66" s="379"/>
      <c r="V66" s="379"/>
      <c r="W66" s="379"/>
      <c r="X66" s="379"/>
      <c r="Y66" s="379"/>
      <c r="Z66" s="379"/>
      <c r="AA66" s="379"/>
      <c r="AB66" s="383">
        <f t="shared" si="15"/>
        <v>0</v>
      </c>
      <c r="AC66" s="136"/>
      <c r="AD66" s="136"/>
      <c r="AE66" s="136"/>
      <c r="AF66" s="136"/>
      <c r="AG66" s="136"/>
      <c r="AH66" s="136"/>
      <c r="AI66" s="140"/>
      <c r="AJ66" s="140"/>
      <c r="AK66" s="140"/>
      <c r="AL66" s="140"/>
      <c r="AM66" s="140"/>
      <c r="AN66" s="140"/>
      <c r="AO66" s="140"/>
      <c r="AP66" s="384">
        <f t="shared" si="16"/>
        <v>0</v>
      </c>
      <c r="AQ66" s="134">
        <v>21170.01</v>
      </c>
      <c r="AR66" s="136"/>
      <c r="AS66" s="136"/>
      <c r="AT66" s="385">
        <f t="shared" si="17"/>
        <v>0</v>
      </c>
      <c r="AU66" s="201">
        <v>1.46</v>
      </c>
      <c r="AV66" s="140"/>
      <c r="AW66" s="140"/>
      <c r="AX66" s="140"/>
      <c r="AY66" s="392"/>
      <c r="AZ66" s="432">
        <f t="shared" si="18"/>
        <v>0</v>
      </c>
      <c r="BA66" s="1553">
        <v>10556.8</v>
      </c>
      <c r="BB66" s="1621"/>
      <c r="BC66" s="1546"/>
      <c r="BD66" s="1548"/>
      <c r="BE66" s="1548"/>
      <c r="BF66" s="1546"/>
      <c r="BG66" s="1548"/>
      <c r="BH66" s="1548"/>
      <c r="BI66" s="1548"/>
      <c r="BJ66" s="1546"/>
      <c r="BK66" s="389">
        <f t="shared" si="19"/>
        <v>0</v>
      </c>
      <c r="BL66" s="140">
        <f t="shared" si="20"/>
        <v>0</v>
      </c>
      <c r="BM66" s="132"/>
      <c r="BN66" s="140">
        <f t="shared" si="21"/>
        <v>0</v>
      </c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41"/>
      <c r="CA66" s="141"/>
      <c r="CB66" s="390">
        <f t="shared" si="22"/>
        <v>0</v>
      </c>
      <c r="CC66" s="132"/>
    </row>
    <row r="67" ht="14.25" customHeight="1">
      <c r="A67" s="132"/>
      <c r="B67" s="215">
        <v>46081</v>
      </c>
      <c r="C67" s="230">
        <f>48900.51-D67-0</f>
      </c>
      <c r="D67" s="134"/>
      <c r="E67" s="135"/>
      <c r="F67" s="135"/>
      <c r="G67" s="431">
        <f t="shared" si="14"/>
        <v>0</v>
      </c>
      <c r="H67" s="380"/>
      <c r="I67" s="395"/>
      <c r="J67" s="381"/>
      <c r="K67" s="379">
        <v>13008.91</v>
      </c>
      <c r="L67" s="379"/>
      <c r="M67" s="382">
        <v>83.99</v>
      </c>
      <c r="N67" s="379"/>
      <c r="O67" s="379"/>
      <c r="P67" s="379"/>
      <c r="Q67" s="382">
        <v>168</v>
      </c>
      <c r="R67" s="379"/>
      <c r="S67" s="379"/>
      <c r="T67" s="379"/>
      <c r="U67" s="379"/>
      <c r="V67" s="379"/>
      <c r="W67" s="379"/>
      <c r="X67" s="379"/>
      <c r="Y67" s="379"/>
      <c r="Z67" s="379"/>
      <c r="AA67" s="379"/>
      <c r="AB67" s="383">
        <f t="shared" si="15"/>
        <v>0</v>
      </c>
      <c r="AC67" s="134">
        <v>820.32</v>
      </c>
      <c r="AD67" s="136"/>
      <c r="AE67" s="136"/>
      <c r="AF67" s="136"/>
      <c r="AG67" s="136"/>
      <c r="AH67" s="136"/>
      <c r="AI67" s="140"/>
      <c r="AJ67" s="140"/>
      <c r="AK67" s="140"/>
      <c r="AL67" s="140"/>
      <c r="AM67" s="140"/>
      <c r="AN67" s="140"/>
      <c r="AO67" s="140"/>
      <c r="AP67" s="384">
        <f t="shared" si="16"/>
        <v>0</v>
      </c>
      <c r="AQ67" s="134">
        <v>21696.2</v>
      </c>
      <c r="AR67" s="136"/>
      <c r="AS67" s="136"/>
      <c r="AT67" s="385">
        <f t="shared" si="17"/>
        <v>0</v>
      </c>
      <c r="AU67" s="201">
        <v>5.1</v>
      </c>
      <c r="AV67" s="140"/>
      <c r="AW67" s="140"/>
      <c r="AX67" s="140"/>
      <c r="AY67" s="392"/>
      <c r="AZ67" s="432">
        <f t="shared" si="18"/>
        <v>0</v>
      </c>
      <c r="BA67" s="1553">
        <v>13118</v>
      </c>
      <c r="BB67" s="1621"/>
      <c r="BC67" s="1546"/>
      <c r="BD67" s="1548"/>
      <c r="BE67" s="1548"/>
      <c r="BF67" s="1546"/>
      <c r="BG67" s="1548"/>
      <c r="BH67" s="1548"/>
      <c r="BI67" s="1548"/>
      <c r="BJ67" s="1546"/>
      <c r="BK67" s="389">
        <f t="shared" si="19"/>
        <v>0</v>
      </c>
      <c r="BL67" s="140">
        <f t="shared" si="20"/>
        <v>0</v>
      </c>
      <c r="BM67" s="132"/>
      <c r="BN67" s="140">
        <f t="shared" si="21"/>
        <v>0</v>
      </c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41"/>
      <c r="CA67" s="141"/>
      <c r="CB67" s="390">
        <f t="shared" si="22"/>
        <v>0</v>
      </c>
      <c r="CC67" s="132"/>
    </row>
    <row r="68" ht="14.25" customHeight="1">
      <c r="A68" s="132"/>
      <c r="B68" s="215"/>
      <c r="C68" s="133"/>
      <c r="D68" s="136"/>
      <c r="E68" s="135"/>
      <c r="F68" s="135"/>
      <c r="G68" s="431">
        <f t="shared" si="14"/>
        <v>0</v>
      </c>
      <c r="H68" s="380"/>
      <c r="I68" s="395"/>
      <c r="J68" s="381"/>
      <c r="K68" s="379"/>
      <c r="L68" s="379"/>
      <c r="M68" s="379"/>
      <c r="N68" s="379"/>
      <c r="O68" s="379"/>
      <c r="P68" s="379"/>
      <c r="Q68" s="379"/>
      <c r="R68" s="379"/>
      <c r="S68" s="379"/>
      <c r="T68" s="379"/>
      <c r="U68" s="379"/>
      <c r="V68" s="379"/>
      <c r="W68" s="379"/>
      <c r="X68" s="379"/>
      <c r="Y68" s="379"/>
      <c r="Z68" s="379"/>
      <c r="AA68" s="379"/>
      <c r="AB68" s="383">
        <f t="shared" si="15"/>
        <v>0</v>
      </c>
      <c r="AC68" s="136"/>
      <c r="AD68" s="136"/>
      <c r="AE68" s="136"/>
      <c r="AF68" s="136"/>
      <c r="AG68" s="136"/>
      <c r="AH68" s="136"/>
      <c r="AI68" s="140"/>
      <c r="AJ68" s="140"/>
      <c r="AK68" s="140"/>
      <c r="AL68" s="140"/>
      <c r="AM68" s="140"/>
      <c r="AN68" s="140"/>
      <c r="AO68" s="140"/>
      <c r="AP68" s="384">
        <f t="shared" si="16"/>
        <v>0</v>
      </c>
      <c r="AQ68" s="136"/>
      <c r="AR68" s="136"/>
      <c r="AS68" s="136"/>
      <c r="AT68" s="385">
        <f t="shared" si="17"/>
        <v>0</v>
      </c>
      <c r="AU68" s="140"/>
      <c r="AV68" s="140"/>
      <c r="AW68" s="140"/>
      <c r="AX68" s="140"/>
      <c r="AY68" s="392"/>
      <c r="AZ68" s="432">
        <f t="shared" si="18"/>
        <v>0</v>
      </c>
      <c r="BA68" s="1692"/>
      <c r="BB68" s="1693"/>
      <c r="BC68" s="1557"/>
      <c r="BD68" s="1548"/>
      <c r="BE68" s="1548"/>
      <c r="BF68" s="1557"/>
      <c r="BG68" s="1548"/>
      <c r="BH68" s="1548"/>
      <c r="BI68" s="1548"/>
      <c r="BJ68" s="1557"/>
      <c r="BK68" s="389">
        <f t="shared" si="19"/>
        <v>0</v>
      </c>
      <c r="BL68" s="140">
        <f t="shared" si="20"/>
        <v>0</v>
      </c>
      <c r="BM68" s="132"/>
      <c r="BN68" s="140">
        <f t="shared" si="21"/>
        <v>0</v>
      </c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41"/>
      <c r="CA68" s="141"/>
      <c r="CB68" s="390">
        <f t="shared" si="22"/>
        <v>0</v>
      </c>
      <c r="CC68" s="132"/>
    </row>
    <row r="69" ht="14.25" customHeight="1">
      <c r="A69" s="406"/>
      <c r="B69" s="436" t="s">
        <v>76</v>
      </c>
      <c r="C69" s="407">
        <f ref="C69:G69" t="shared" si="23">SUM(C40:C68)</f>
        <v>0</v>
      </c>
      <c r="D69" s="407">
        <f t="shared" si="23"/>
        <v>0</v>
      </c>
      <c r="E69" s="407">
        <f t="shared" si="23"/>
        <v>0</v>
      </c>
      <c r="F69" s="407">
        <f t="shared" si="23"/>
        <v>0</v>
      </c>
      <c r="G69" s="408">
        <f t="shared" si="23"/>
        <v>0</v>
      </c>
      <c r="H69" s="407"/>
      <c r="I69" s="407">
        <f ref="I69:J69" t="shared" si="24">SUM(I40:I68)</f>
        <v>0</v>
      </c>
      <c r="J69" s="407">
        <f t="shared" si="24"/>
        <v>0</v>
      </c>
      <c r="K69" s="407"/>
      <c r="L69" s="407">
        <f ref="L69:M69" t="shared" si="25">SUM(L40:L68)</f>
        <v>0</v>
      </c>
      <c r="M69" s="407">
        <f t="shared" si="25"/>
        <v>0</v>
      </c>
      <c r="N69" s="407"/>
      <c r="O69" s="407">
        <f>SUM(O40:O68)</f>
        <v>0</v>
      </c>
      <c r="P69" s="409"/>
      <c r="Q69" s="409">
        <f ref="Q69:S69" t="shared" si="26">SUM(Q40:Q68)</f>
        <v>0</v>
      </c>
      <c r="R69" s="407">
        <f t="shared" si="26"/>
        <v>0</v>
      </c>
      <c r="S69" s="407">
        <f t="shared" si="26"/>
        <v>0</v>
      </c>
      <c r="T69" s="407"/>
      <c r="U69" s="407">
        <f ref="U69:Y69" t="shared" si="27">SUM(U40:U68)</f>
        <v>0</v>
      </c>
      <c r="V69" s="407">
        <f t="shared" si="27"/>
        <v>0</v>
      </c>
      <c r="W69" s="407">
        <f t="shared" si="27"/>
        <v>0</v>
      </c>
      <c r="X69" s="407">
        <f t="shared" si="27"/>
        <v>0</v>
      </c>
      <c r="Y69" s="407">
        <f t="shared" si="27"/>
        <v>0</v>
      </c>
      <c r="Z69" s="407"/>
      <c r="AA69" s="407"/>
      <c r="AB69" s="407">
        <f ref="AB69:AM69" t="shared" si="28">SUM(AB40:AB68)</f>
        <v>0</v>
      </c>
      <c r="AC69" s="407">
        <f t="shared" si="28"/>
        <v>0</v>
      </c>
      <c r="AD69" s="407">
        <f t="shared" si="28"/>
        <v>0</v>
      </c>
      <c r="AE69" s="407">
        <f t="shared" si="28"/>
        <v>0</v>
      </c>
      <c r="AF69" s="407">
        <f t="shared" si="28"/>
        <v>0</v>
      </c>
      <c r="AG69" s="407">
        <f t="shared" si="28"/>
        <v>0</v>
      </c>
      <c r="AH69" s="407">
        <f t="shared" si="28"/>
        <v>0</v>
      </c>
      <c r="AI69" s="407">
        <f t="shared" si="28"/>
        <v>0</v>
      </c>
      <c r="AJ69" s="407">
        <f t="shared" si="28"/>
        <v>0</v>
      </c>
      <c r="AK69" s="407">
        <f t="shared" si="28"/>
        <v>0</v>
      </c>
      <c r="AL69" s="407">
        <f t="shared" si="28"/>
        <v>0</v>
      </c>
      <c r="AM69" s="407">
        <f t="shared" si="28"/>
        <v>0</v>
      </c>
      <c r="AN69" s="407"/>
      <c r="AO69" s="407">
        <f ref="AO69:AU69" t="shared" si="29">SUM(AO40:AO68)</f>
        <v>0</v>
      </c>
      <c r="AP69" s="408">
        <f t="shared" si="29"/>
        <v>0</v>
      </c>
      <c r="AQ69" s="407">
        <f t="shared" si="29"/>
        <v>0</v>
      </c>
      <c r="AR69" s="407">
        <f t="shared" si="29"/>
        <v>0</v>
      </c>
      <c r="AS69" s="407">
        <f t="shared" si="29"/>
        <v>0</v>
      </c>
      <c r="AT69" s="408">
        <f t="shared" si="29"/>
        <v>0</v>
      </c>
      <c r="AU69" s="407">
        <f t="shared" si="29"/>
        <v>0</v>
      </c>
      <c r="AV69" s="407"/>
      <c r="AW69" s="407">
        <f ref="AW69:BL69" t="shared" si="30">SUM(AW40:AW68)</f>
        <v>0</v>
      </c>
      <c r="AX69" s="407">
        <f t="shared" si="30"/>
        <v>0</v>
      </c>
      <c r="AY69" s="407">
        <f t="shared" si="30"/>
        <v>0</v>
      </c>
      <c r="AZ69" s="408">
        <f t="shared" si="30"/>
        <v>0</v>
      </c>
      <c r="BA69" s="437">
        <f t="shared" si="30"/>
        <v>0</v>
      </c>
      <c r="BB69" s="438">
        <f t="shared" si="30"/>
        <v>0</v>
      </c>
      <c r="BC69" s="439">
        <f t="shared" si="30"/>
        <v>0</v>
      </c>
      <c r="BD69" s="439">
        <f t="shared" si="30"/>
        <v>0</v>
      </c>
      <c r="BE69" s="439">
        <f t="shared" si="30"/>
        <v>0</v>
      </c>
      <c r="BF69" s="439">
        <f t="shared" si="30"/>
        <v>0</v>
      </c>
      <c r="BG69" s="439">
        <f t="shared" si="30"/>
        <v>0</v>
      </c>
      <c r="BH69" s="439">
        <f t="shared" si="30"/>
        <v>0</v>
      </c>
      <c r="BI69" s="439">
        <f t="shared" si="30"/>
        <v>0</v>
      </c>
      <c r="BJ69" s="439">
        <f t="shared" si="30"/>
        <v>0</v>
      </c>
      <c r="BK69" s="408">
        <f t="shared" si="30"/>
        <v>0</v>
      </c>
      <c r="BL69" s="407">
        <f t="shared" si="30"/>
        <v>0</v>
      </c>
      <c r="BM69" s="132"/>
      <c r="BN69" s="407">
        <f ref="BN69:CB69" t="shared" si="31">SUM(BN40:BN68)</f>
        <v>0</v>
      </c>
      <c r="BO69" s="407">
        <f t="shared" si="31"/>
        <v>0</v>
      </c>
      <c r="BP69" s="407">
        <f t="shared" si="31"/>
        <v>0</v>
      </c>
      <c r="BQ69" s="407">
        <f t="shared" si="31"/>
        <v>0</v>
      </c>
      <c r="BR69" s="407">
        <f t="shared" si="31"/>
        <v>0</v>
      </c>
      <c r="BS69" s="407">
        <f t="shared" si="31"/>
        <v>0</v>
      </c>
      <c r="BT69" s="407">
        <f t="shared" si="31"/>
        <v>0</v>
      </c>
      <c r="BU69" s="407">
        <f t="shared" si="31"/>
        <v>0</v>
      </c>
      <c r="BV69" s="407">
        <f t="shared" si="31"/>
        <v>0</v>
      </c>
      <c r="BW69" s="407">
        <f t="shared" si="31"/>
        <v>0</v>
      </c>
      <c r="BX69" s="407">
        <f t="shared" si="31"/>
        <v>0</v>
      </c>
      <c r="BY69" s="407">
        <f t="shared" si="31"/>
        <v>0</v>
      </c>
      <c r="BZ69" s="407">
        <f t="shared" si="31"/>
        <v>0</v>
      </c>
      <c r="CA69" s="407">
        <f t="shared" si="31"/>
        <v>0</v>
      </c>
      <c r="CB69" s="407">
        <f t="shared" si="31"/>
        <v>0</v>
      </c>
      <c r="CC69" s="132"/>
    </row>
    <row r="70" ht="14.25" customHeight="1">
      <c r="A70" s="406"/>
      <c r="B70" s="406"/>
      <c r="C70" s="316"/>
      <c r="D70" s="316"/>
      <c r="E70" s="316"/>
      <c r="F70" s="316"/>
      <c r="G70" s="313"/>
      <c r="H70" s="316"/>
      <c r="I70" s="316"/>
      <c r="J70" s="316"/>
      <c r="K70" s="316"/>
      <c r="L70" s="316"/>
      <c r="M70" s="316"/>
      <c r="N70" s="316"/>
      <c r="O70" s="316"/>
      <c r="P70" s="440"/>
      <c r="Q70" s="440"/>
      <c r="R70" s="316"/>
      <c r="S70" s="316"/>
      <c r="T70" s="316"/>
      <c r="U70" s="316"/>
      <c r="V70" s="316"/>
      <c r="W70" s="316"/>
      <c r="X70" s="316"/>
      <c r="Y70" s="316"/>
      <c r="Z70" s="316"/>
      <c r="AA70" s="316"/>
      <c r="AB70" s="316"/>
      <c r="AC70" s="316"/>
      <c r="AD70" s="316"/>
      <c r="AE70" s="316"/>
      <c r="AF70" s="316"/>
      <c r="AG70" s="316"/>
      <c r="AH70" s="316"/>
      <c r="AI70" s="316"/>
      <c r="AJ70" s="316"/>
      <c r="AK70" s="316"/>
      <c r="AL70" s="316"/>
      <c r="AM70" s="316"/>
      <c r="AN70" s="316"/>
      <c r="AO70" s="316"/>
      <c r="AP70" s="313"/>
      <c r="AQ70" s="316"/>
      <c r="AR70" s="316"/>
      <c r="AS70" s="316"/>
      <c r="AT70" s="313"/>
      <c r="AU70" s="316"/>
      <c r="AV70" s="316"/>
      <c r="AW70" s="316"/>
      <c r="AX70" s="316"/>
      <c r="AY70" s="316"/>
      <c r="AZ70" s="313"/>
      <c r="BA70" s="440"/>
      <c r="BB70" s="207"/>
      <c r="BC70" s="316"/>
      <c r="BD70" s="316"/>
      <c r="BE70" s="316"/>
      <c r="BF70" s="316"/>
      <c r="BG70" s="316"/>
      <c r="BH70" s="316"/>
      <c r="BI70" s="316"/>
      <c r="BJ70" s="316"/>
      <c r="BK70" s="313"/>
      <c r="BL70" s="316"/>
      <c r="BM70" s="132"/>
      <c r="BN70" s="316"/>
      <c r="BO70" s="316"/>
      <c r="BP70" s="316"/>
      <c r="BQ70" s="316"/>
      <c r="BR70" s="316"/>
      <c r="BS70" s="316"/>
      <c r="BT70" s="316"/>
      <c r="BU70" s="316"/>
      <c r="BV70" s="316"/>
      <c r="BW70" s="316"/>
      <c r="BX70" s="316"/>
      <c r="BY70" s="316"/>
      <c r="BZ70" s="316"/>
      <c r="CA70" s="316"/>
      <c r="CB70" s="316"/>
      <c r="CC70" s="132"/>
    </row>
    <row r="71" ht="14.25" customHeight="1">
      <c r="A71" s="406"/>
      <c r="B71" s="441"/>
      <c r="C71" s="442"/>
      <c r="D71" s="442"/>
      <c r="E71" s="442"/>
      <c r="F71" s="442"/>
      <c r="G71" s="443"/>
      <c r="H71" s="316"/>
      <c r="I71" s="316"/>
      <c r="J71" s="316"/>
      <c r="K71" s="316"/>
      <c r="L71" s="316"/>
      <c r="M71" s="316"/>
      <c r="N71" s="316"/>
      <c r="O71" s="316"/>
      <c r="P71" s="440"/>
      <c r="Q71" s="440"/>
      <c r="R71" s="316"/>
      <c r="S71" s="316"/>
      <c r="T71" s="316"/>
      <c r="U71" s="316"/>
      <c r="V71" s="316"/>
      <c r="W71" s="316"/>
      <c r="X71" s="316"/>
      <c r="Y71" s="316"/>
      <c r="Z71" s="316"/>
      <c r="AA71" s="316"/>
      <c r="AB71" s="442"/>
      <c r="AC71" s="442"/>
      <c r="AD71" s="442"/>
      <c r="AE71" s="442"/>
      <c r="AF71" s="442"/>
      <c r="AG71" s="442"/>
      <c r="AH71" s="442"/>
      <c r="AI71" s="442"/>
      <c r="AJ71" s="442"/>
      <c r="AK71" s="442"/>
      <c r="AL71" s="442"/>
      <c r="AM71" s="442"/>
      <c r="AN71" s="442"/>
      <c r="AO71" s="442"/>
      <c r="AP71" s="443"/>
      <c r="AQ71" s="316"/>
      <c r="AR71" s="316"/>
      <c r="AS71" s="442"/>
      <c r="AT71" s="443"/>
      <c r="AU71" s="442"/>
      <c r="AV71" s="442"/>
      <c r="AW71" s="442"/>
      <c r="AX71" s="442"/>
      <c r="AY71" s="442"/>
      <c r="AZ71" s="443"/>
      <c r="BA71" s="440"/>
      <c r="BB71" s="207"/>
      <c r="BC71" s="316"/>
      <c r="BD71" s="316"/>
      <c r="BE71" s="316"/>
      <c r="BF71" s="316"/>
      <c r="BG71" s="316"/>
      <c r="BH71" s="316"/>
      <c r="BI71" s="316"/>
      <c r="BJ71" s="316"/>
      <c r="BK71" s="443"/>
      <c r="BL71" s="442"/>
      <c r="BM71" s="132"/>
      <c r="BN71" s="442"/>
      <c r="BO71" s="442"/>
      <c r="BP71" s="442"/>
      <c r="BQ71" s="442"/>
      <c r="BR71" s="316"/>
      <c r="BS71" s="316"/>
      <c r="BT71" s="316"/>
      <c r="BU71" s="316"/>
      <c r="BV71" s="316"/>
      <c r="BW71" s="316"/>
      <c r="BX71" s="442"/>
      <c r="BY71" s="442"/>
      <c r="BZ71" s="442"/>
      <c r="CA71" s="442"/>
      <c r="CB71" s="442"/>
      <c r="CC71" s="132"/>
    </row>
    <row r="72" ht="14.25" customHeight="1">
      <c r="A72" s="3"/>
      <c r="B72" s="444">
        <v>46082</v>
      </c>
      <c r="C72" s="228"/>
      <c r="D72" s="119"/>
      <c r="E72" s="120"/>
      <c r="F72" s="120"/>
      <c r="G72" s="445">
        <f ref="G72:G102" t="shared" si="32">+C72+D72+E72+F72</f>
        <v>0</v>
      </c>
      <c r="H72" s="195"/>
      <c r="I72" s="195"/>
      <c r="J72" s="446"/>
      <c r="K72" s="195"/>
      <c r="L72" s="195"/>
      <c r="M72" s="195"/>
      <c r="N72" s="195"/>
      <c r="O72" s="195"/>
      <c r="P72" s="447"/>
      <c r="Q72" s="448"/>
      <c r="R72" s="195"/>
      <c r="S72" s="195"/>
      <c r="T72" s="195"/>
      <c r="U72" s="195"/>
      <c r="V72" s="195"/>
      <c r="W72" s="195"/>
      <c r="X72" s="195"/>
      <c r="Y72" s="195"/>
      <c r="Z72" s="195"/>
      <c r="AA72" s="449"/>
      <c r="AB72" s="450">
        <f ref="AB72:AB102" t="shared" si="33">SUM(I72:AA72)</f>
        <v>0</v>
      </c>
      <c r="AC72" s="201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392"/>
      <c r="AP72" s="451">
        <f ref="AP72:AP102" t="shared" si="34">SUM(AC72:AO72)</f>
        <v>0</v>
      </c>
      <c r="AQ72" s="246"/>
      <c r="AR72" s="104"/>
      <c r="AS72" s="118"/>
      <c r="AT72" s="385">
        <f ref="AT72:AT102" t="shared" si="35">SUM(AQ72:AS72)</f>
        <v>0</v>
      </c>
      <c r="AU72" s="1694"/>
      <c r="AV72" s="1695"/>
      <c r="AW72" s="1696"/>
      <c r="AX72" s="1696"/>
      <c r="AY72" s="1697"/>
      <c r="AZ72" s="432">
        <f ref="AZ72:AZ102" t="shared" si="36">+G72-AB72-AP72-AT72-AU72-AW72-AX72-AY72</f>
        <v>0</v>
      </c>
      <c r="BA72" s="1685"/>
      <c r="BB72" s="1618"/>
      <c r="BC72" s="1537"/>
      <c r="BD72" s="1539"/>
      <c r="BE72" s="1539"/>
      <c r="BF72" s="1537"/>
      <c r="BG72" s="1539"/>
      <c r="BH72" s="1539"/>
      <c r="BI72" s="1539"/>
      <c r="BJ72" s="1708"/>
      <c r="BK72" s="389">
        <f ref="BK72:BK102" t="shared" si="37">SUM(BA72:BJ72)-BI72</f>
        <v>0</v>
      </c>
      <c r="BL72" s="113">
        <f ref="BL72:BL102" t="shared" si="38">+AZ72-BK72</f>
        <v>0</v>
      </c>
      <c r="BM72" s="3"/>
      <c r="BN72" s="113">
        <f ref="BN72:BN102" t="shared" si="39">SUM(BO72:CA72)</f>
        <v>0</v>
      </c>
      <c r="BO72" s="129"/>
      <c r="BP72" s="129"/>
      <c r="BQ72" s="452"/>
      <c r="BR72" s="453"/>
      <c r="BS72" s="453"/>
      <c r="BT72" s="453"/>
      <c r="BU72" s="453"/>
      <c r="BV72" s="453"/>
      <c r="BW72" s="115"/>
      <c r="BX72" s="129"/>
      <c r="BY72" s="141"/>
      <c r="BZ72" s="141"/>
      <c r="CA72" s="129"/>
      <c r="CB72" s="390">
        <f ref="CB72:CB103" t="shared" si="40">+BL72-BN72</f>
        <v>0</v>
      </c>
      <c r="CC72" s="3"/>
    </row>
    <row r="73" ht="14.25" customHeight="1">
      <c r="A73" s="3"/>
      <c r="B73" s="444">
        <v>46083</v>
      </c>
      <c r="C73" s="228"/>
      <c r="D73" s="119"/>
      <c r="E73" s="120"/>
      <c r="F73" s="120"/>
      <c r="G73" s="445">
        <f t="shared" si="32"/>
        <v>0</v>
      </c>
      <c r="H73" s="140"/>
      <c r="I73" s="140"/>
      <c r="J73" s="454"/>
      <c r="K73" s="201"/>
      <c r="L73" s="140"/>
      <c r="M73" s="140"/>
      <c r="N73" s="201"/>
      <c r="O73" s="140"/>
      <c r="P73" s="455"/>
      <c r="Q73" s="456"/>
      <c r="R73" s="140"/>
      <c r="S73" s="140"/>
      <c r="T73" s="140"/>
      <c r="U73" s="140"/>
      <c r="V73" s="140"/>
      <c r="W73" s="140"/>
      <c r="X73" s="140"/>
      <c r="Y73" s="140"/>
      <c r="Z73" s="140"/>
      <c r="AA73" s="457"/>
      <c r="AB73" s="450">
        <f t="shared" si="33"/>
        <v>0</v>
      </c>
      <c r="AC73" s="201"/>
      <c r="AD73" s="140"/>
      <c r="AE73" s="140"/>
      <c r="AF73" s="140"/>
      <c r="AG73" s="140"/>
      <c r="AH73" s="201"/>
      <c r="AI73" s="140"/>
      <c r="AJ73" s="140"/>
      <c r="AK73" s="140"/>
      <c r="AL73" s="140"/>
      <c r="AM73" s="140"/>
      <c r="AN73" s="140"/>
      <c r="AO73" s="392"/>
      <c r="AP73" s="451">
        <f t="shared" si="34"/>
        <v>0</v>
      </c>
      <c r="AQ73" s="458"/>
      <c r="AR73" s="123"/>
      <c r="AS73" s="118"/>
      <c r="AT73" s="385">
        <f t="shared" si="35"/>
        <v>0</v>
      </c>
      <c r="AU73" s="1637"/>
      <c r="AV73" s="1696"/>
      <c r="AW73" s="1696"/>
      <c r="AX73" s="1696"/>
      <c r="AY73" s="1697"/>
      <c r="AZ73" s="432">
        <f t="shared" si="36"/>
        <v>0</v>
      </c>
      <c r="BA73" s="1553"/>
      <c r="BB73" s="1621"/>
      <c r="BC73" s="1546"/>
      <c r="BD73" s="1548"/>
      <c r="BE73" s="1548"/>
      <c r="BF73" s="1546"/>
      <c r="BG73" s="1548"/>
      <c r="BH73" s="1548"/>
      <c r="BI73" s="1548"/>
      <c r="BJ73" s="1709"/>
      <c r="BK73" s="389">
        <f t="shared" si="37"/>
        <v>0</v>
      </c>
      <c r="BL73" s="113">
        <f t="shared" si="38"/>
        <v>0</v>
      </c>
      <c r="BM73" s="3"/>
      <c r="BN73" s="113">
        <f t="shared" si="39"/>
        <v>0</v>
      </c>
      <c r="BO73" s="129"/>
      <c r="BP73" s="129"/>
      <c r="BQ73" s="452"/>
      <c r="BR73" s="452"/>
      <c r="BS73" s="452"/>
      <c r="BT73" s="452"/>
      <c r="BU73" s="452"/>
      <c r="BV73" s="452"/>
      <c r="BW73" s="129"/>
      <c r="BX73" s="129"/>
      <c r="BY73" s="131"/>
      <c r="BZ73" s="129"/>
      <c r="CA73" s="129"/>
      <c r="CB73" s="390">
        <f t="shared" si="40"/>
        <v>0</v>
      </c>
      <c r="CC73" s="3"/>
    </row>
    <row r="74" ht="14.25" customHeight="1">
      <c r="A74" s="3"/>
      <c r="B74" s="444">
        <v>46084</v>
      </c>
      <c r="C74" s="228"/>
      <c r="D74" s="119"/>
      <c r="E74" s="120"/>
      <c r="F74" s="120"/>
      <c r="G74" s="445">
        <f t="shared" si="32"/>
        <v>0</v>
      </c>
      <c r="H74" s="140"/>
      <c r="I74" s="140"/>
      <c r="J74" s="454"/>
      <c r="K74" s="201"/>
      <c r="L74" s="140"/>
      <c r="M74" s="140"/>
      <c r="N74" s="140"/>
      <c r="O74" s="140"/>
      <c r="P74" s="456"/>
      <c r="Q74" s="455"/>
      <c r="R74" s="140"/>
      <c r="S74" s="140"/>
      <c r="T74" s="140"/>
      <c r="U74" s="140"/>
      <c r="V74" s="140"/>
      <c r="W74" s="140"/>
      <c r="X74" s="140"/>
      <c r="Y74" s="140"/>
      <c r="Z74" s="140"/>
      <c r="AA74" s="457"/>
      <c r="AB74" s="450">
        <f t="shared" si="33"/>
        <v>0</v>
      </c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392"/>
      <c r="AP74" s="451">
        <f t="shared" si="34"/>
        <v>0</v>
      </c>
      <c r="AQ74" s="458"/>
      <c r="AR74" s="123"/>
      <c r="AS74" s="118"/>
      <c r="AT74" s="385">
        <f t="shared" si="35"/>
        <v>0</v>
      </c>
      <c r="AU74" s="1637"/>
      <c r="AV74" s="1696"/>
      <c r="AW74" s="1696"/>
      <c r="AX74" s="1696"/>
      <c r="AY74" s="1697"/>
      <c r="AZ74" s="432">
        <f t="shared" si="36"/>
        <v>0</v>
      </c>
      <c r="BA74" s="1553"/>
      <c r="BB74" s="1621"/>
      <c r="BC74" s="1546"/>
      <c r="BD74" s="1548"/>
      <c r="BE74" s="1548"/>
      <c r="BF74" s="1546"/>
      <c r="BG74" s="1548"/>
      <c r="BH74" s="1548"/>
      <c r="BI74" s="1548"/>
      <c r="BJ74" s="1709"/>
      <c r="BK74" s="389">
        <f t="shared" si="37"/>
        <v>0</v>
      </c>
      <c r="BL74" s="113">
        <f t="shared" si="38"/>
        <v>0</v>
      </c>
      <c r="BM74" s="3"/>
      <c r="BN74" s="113">
        <f t="shared" si="39"/>
        <v>0</v>
      </c>
      <c r="BO74" s="129"/>
      <c r="BP74" s="129"/>
      <c r="BQ74" s="452"/>
      <c r="BR74" s="452"/>
      <c r="BS74" s="452"/>
      <c r="BT74" s="452"/>
      <c r="BU74" s="452"/>
      <c r="BV74" s="452"/>
      <c r="BW74" s="129"/>
      <c r="BX74" s="129"/>
      <c r="BY74" s="131"/>
      <c r="BZ74" s="129"/>
      <c r="CA74" s="129"/>
      <c r="CB74" s="390">
        <f t="shared" si="40"/>
        <v>0</v>
      </c>
      <c r="CC74" s="3"/>
    </row>
    <row r="75" ht="14.25" customHeight="1">
      <c r="A75" s="3"/>
      <c r="B75" s="444">
        <v>46085</v>
      </c>
      <c r="C75" s="228"/>
      <c r="D75" s="119"/>
      <c r="E75" s="120"/>
      <c r="F75" s="120"/>
      <c r="G75" s="445">
        <f t="shared" si="32"/>
        <v>0</v>
      </c>
      <c r="H75" s="140"/>
      <c r="I75" s="140"/>
      <c r="J75" s="454"/>
      <c r="K75" s="140"/>
      <c r="L75" s="140"/>
      <c r="M75" s="140"/>
      <c r="N75" s="140"/>
      <c r="O75" s="140"/>
      <c r="P75" s="456"/>
      <c r="Q75" s="455"/>
      <c r="R75" s="140"/>
      <c r="S75" s="140"/>
      <c r="T75" s="140"/>
      <c r="U75" s="140"/>
      <c r="V75" s="140"/>
      <c r="W75" s="140"/>
      <c r="X75" s="140"/>
      <c r="Y75" s="140"/>
      <c r="Z75" s="140"/>
      <c r="AA75" s="457"/>
      <c r="AB75" s="450">
        <f t="shared" si="33"/>
        <v>0</v>
      </c>
      <c r="AC75" s="140"/>
      <c r="AD75" s="140"/>
      <c r="AE75" s="140"/>
      <c r="AF75" s="140"/>
      <c r="AG75" s="140"/>
      <c r="AH75" s="201"/>
      <c r="AI75" s="140"/>
      <c r="AJ75" s="140"/>
      <c r="AK75" s="140"/>
      <c r="AL75" s="140"/>
      <c r="AM75" s="140"/>
      <c r="AN75" s="140"/>
      <c r="AO75" s="392"/>
      <c r="AP75" s="451">
        <f t="shared" si="34"/>
        <v>0</v>
      </c>
      <c r="AQ75" s="458"/>
      <c r="AR75" s="123"/>
      <c r="AS75" s="118"/>
      <c r="AT75" s="385">
        <f t="shared" si="35"/>
        <v>0</v>
      </c>
      <c r="AU75" s="1637"/>
      <c r="AV75" s="1696"/>
      <c r="AW75" s="1696"/>
      <c r="AX75" s="1696"/>
      <c r="AY75" s="1697"/>
      <c r="AZ75" s="432">
        <f t="shared" si="36"/>
        <v>0</v>
      </c>
      <c r="BA75" s="1553"/>
      <c r="BB75" s="1623"/>
      <c r="BC75" s="1546"/>
      <c r="BD75" s="1548"/>
      <c r="BE75" s="1548"/>
      <c r="BF75" s="1546"/>
      <c r="BG75" s="1710"/>
      <c r="BH75" s="1548"/>
      <c r="BI75" s="1548"/>
      <c r="BJ75" s="1709"/>
      <c r="BK75" s="389">
        <f t="shared" si="37"/>
        <v>0</v>
      </c>
      <c r="BL75" s="113">
        <f t="shared" si="38"/>
        <v>0</v>
      </c>
      <c r="BM75" s="3"/>
      <c r="BN75" s="113">
        <f t="shared" si="39"/>
        <v>0</v>
      </c>
      <c r="BO75" s="129"/>
      <c r="BP75" s="129"/>
      <c r="BQ75" s="452"/>
      <c r="BR75" s="452"/>
      <c r="BS75" s="452"/>
      <c r="BT75" s="452"/>
      <c r="BU75" s="452"/>
      <c r="BV75" s="452"/>
      <c r="BW75" s="129"/>
      <c r="BX75" s="129"/>
      <c r="BY75" s="129"/>
      <c r="BZ75" s="129"/>
      <c r="CA75" s="129"/>
      <c r="CB75" s="390">
        <f t="shared" si="40"/>
        <v>0</v>
      </c>
      <c r="CC75" s="3"/>
    </row>
    <row r="76" ht="14.25" customHeight="1">
      <c r="A76" s="3"/>
      <c r="B76" s="444">
        <v>46086</v>
      </c>
      <c r="C76" s="228"/>
      <c r="D76" s="119"/>
      <c r="E76" s="459"/>
      <c r="F76" s="120"/>
      <c r="G76" s="445">
        <f t="shared" si="32"/>
        <v>0</v>
      </c>
      <c r="H76" s="123"/>
      <c r="I76" s="123"/>
      <c r="J76" s="454"/>
      <c r="K76" s="140"/>
      <c r="L76" s="140"/>
      <c r="M76" s="140"/>
      <c r="N76" s="140"/>
      <c r="O76" s="140"/>
      <c r="P76" s="455"/>
      <c r="Q76" s="456"/>
      <c r="R76" s="140"/>
      <c r="S76" s="140"/>
      <c r="T76" s="140"/>
      <c r="U76" s="140"/>
      <c r="V76" s="140"/>
      <c r="W76" s="140"/>
      <c r="X76" s="140"/>
      <c r="Y76" s="140"/>
      <c r="Z76" s="140"/>
      <c r="AA76" s="457"/>
      <c r="AB76" s="450">
        <f t="shared" si="33"/>
        <v>0</v>
      </c>
      <c r="AC76" s="140"/>
      <c r="AD76" s="140"/>
      <c r="AE76" s="201"/>
      <c r="AF76" s="140"/>
      <c r="AG76" s="140"/>
      <c r="AH76" s="140"/>
      <c r="AI76" s="140"/>
      <c r="AJ76" s="140"/>
      <c r="AK76" s="140"/>
      <c r="AL76" s="140"/>
      <c r="AM76" s="140"/>
      <c r="AN76" s="140"/>
      <c r="AO76" s="392"/>
      <c r="AP76" s="451">
        <f t="shared" si="34"/>
        <v>0</v>
      </c>
      <c r="AQ76" s="458"/>
      <c r="AR76" s="123"/>
      <c r="AS76" s="118"/>
      <c r="AT76" s="385">
        <f t="shared" si="35"/>
        <v>0</v>
      </c>
      <c r="AU76" s="1637"/>
      <c r="AV76" s="1696"/>
      <c r="AW76" s="1696"/>
      <c r="AX76" s="1696"/>
      <c r="AY76" s="1697"/>
      <c r="AZ76" s="432">
        <f t="shared" si="36"/>
        <v>0</v>
      </c>
      <c r="BA76" s="1553"/>
      <c r="BB76" s="1621"/>
      <c r="BC76" s="1546"/>
      <c r="BD76" s="1548"/>
      <c r="BE76" s="1548"/>
      <c r="BF76" s="1546"/>
      <c r="BG76" s="1548"/>
      <c r="BH76" s="1548"/>
      <c r="BI76" s="1548"/>
      <c r="BJ76" s="1709"/>
      <c r="BK76" s="389">
        <f t="shared" si="37"/>
        <v>0</v>
      </c>
      <c r="BL76" s="113">
        <f t="shared" si="38"/>
        <v>0</v>
      </c>
      <c r="BM76" s="3"/>
      <c r="BN76" s="113">
        <f t="shared" si="39"/>
        <v>0</v>
      </c>
      <c r="BO76" s="129"/>
      <c r="BP76" s="129"/>
      <c r="BQ76" s="452"/>
      <c r="BR76" s="452"/>
      <c r="BS76" s="452"/>
      <c r="BT76" s="452"/>
      <c r="BU76" s="452"/>
      <c r="BV76" s="452"/>
      <c r="BW76" s="129"/>
      <c r="BX76" s="129"/>
      <c r="BY76" s="129"/>
      <c r="BZ76" s="129"/>
      <c r="CA76" s="129"/>
      <c r="CB76" s="390">
        <f t="shared" si="40"/>
        <v>0</v>
      </c>
      <c r="CC76" s="3"/>
    </row>
    <row r="77" ht="14.25" customHeight="1">
      <c r="A77" s="132"/>
      <c r="B77" s="444">
        <v>46087</v>
      </c>
      <c r="C77" s="230"/>
      <c r="D77" s="134"/>
      <c r="E77" s="136"/>
      <c r="F77" s="135"/>
      <c r="G77" s="445">
        <f t="shared" si="32"/>
        <v>0</v>
      </c>
      <c r="H77" s="140"/>
      <c r="I77" s="140"/>
      <c r="J77" s="454"/>
      <c r="K77" s="140"/>
      <c r="L77" s="140"/>
      <c r="M77" s="140"/>
      <c r="N77" s="140"/>
      <c r="O77" s="140"/>
      <c r="P77" s="456"/>
      <c r="Q77" s="455"/>
      <c r="R77" s="140"/>
      <c r="S77" s="140"/>
      <c r="T77" s="140"/>
      <c r="U77" s="140"/>
      <c r="V77" s="140"/>
      <c r="W77" s="140"/>
      <c r="X77" s="140"/>
      <c r="Y77" s="140"/>
      <c r="Z77" s="140"/>
      <c r="AA77" s="457"/>
      <c r="AB77" s="450">
        <f t="shared" si="33"/>
        <v>0</v>
      </c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392"/>
      <c r="AP77" s="451">
        <f t="shared" si="34"/>
        <v>0</v>
      </c>
      <c r="AQ77" s="460"/>
      <c r="AR77" s="136"/>
      <c r="AS77" s="133"/>
      <c r="AT77" s="385">
        <f t="shared" si="35"/>
        <v>0</v>
      </c>
      <c r="AU77" s="1637"/>
      <c r="AV77" s="1696"/>
      <c r="AW77" s="1696"/>
      <c r="AX77" s="1696"/>
      <c r="AY77" s="1697"/>
      <c r="AZ77" s="432">
        <f t="shared" si="36"/>
        <v>0</v>
      </c>
      <c r="BA77" s="1553"/>
      <c r="BB77" s="1621"/>
      <c r="BC77" s="1546"/>
      <c r="BD77" s="1548"/>
      <c r="BE77" s="1548"/>
      <c r="BF77" s="1546"/>
      <c r="BG77" s="1548"/>
      <c r="BH77" s="1548"/>
      <c r="BI77" s="1548"/>
      <c r="BJ77" s="1709"/>
      <c r="BK77" s="389">
        <f t="shared" si="37"/>
        <v>0</v>
      </c>
      <c r="BL77" s="140">
        <f t="shared" si="38"/>
        <v>0</v>
      </c>
      <c r="BM77" s="132"/>
      <c r="BN77" s="140">
        <f t="shared" si="39"/>
        <v>0</v>
      </c>
      <c r="BO77" s="141"/>
      <c r="BP77" s="141"/>
      <c r="BQ77" s="309"/>
      <c r="BR77" s="309"/>
      <c r="BS77" s="309"/>
      <c r="BT77" s="309"/>
      <c r="BU77" s="309"/>
      <c r="BV77" s="309"/>
      <c r="BW77" s="141"/>
      <c r="BX77" s="141"/>
      <c r="BY77" s="141"/>
      <c r="BZ77" s="141"/>
      <c r="CA77" s="141"/>
      <c r="CB77" s="390">
        <f t="shared" si="40"/>
        <v>0</v>
      </c>
      <c r="CC77" s="132"/>
    </row>
    <row r="78" ht="14.25" customHeight="1">
      <c r="A78" s="132"/>
      <c r="B78" s="444">
        <v>46088</v>
      </c>
      <c r="C78" s="230"/>
      <c r="D78" s="134"/>
      <c r="E78" s="135"/>
      <c r="F78" s="135"/>
      <c r="G78" s="445">
        <f t="shared" si="32"/>
        <v>0</v>
      </c>
      <c r="H78" s="461"/>
      <c r="I78" s="461"/>
      <c r="J78" s="454"/>
      <c r="K78" s="140"/>
      <c r="L78" s="140"/>
      <c r="M78" s="201"/>
      <c r="N78" s="140"/>
      <c r="O78" s="140"/>
      <c r="P78" s="456"/>
      <c r="Q78" s="456"/>
      <c r="R78" s="201"/>
      <c r="S78" s="140"/>
      <c r="T78" s="140"/>
      <c r="U78" s="140"/>
      <c r="V78" s="140"/>
      <c r="W78" s="140"/>
      <c r="X78" s="140"/>
      <c r="Y78" s="140"/>
      <c r="Z78" s="140"/>
      <c r="AA78" s="457"/>
      <c r="AB78" s="450">
        <f t="shared" si="33"/>
        <v>0</v>
      </c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392"/>
      <c r="AP78" s="451">
        <f t="shared" si="34"/>
        <v>0</v>
      </c>
      <c r="AQ78" s="460"/>
      <c r="AR78" s="136"/>
      <c r="AS78" s="133"/>
      <c r="AT78" s="385">
        <f t="shared" si="35"/>
        <v>0</v>
      </c>
      <c r="AU78" s="1698"/>
      <c r="AV78" s="1696"/>
      <c r="AW78" s="1696"/>
      <c r="AX78" s="1696"/>
      <c r="AY78" s="1697"/>
      <c r="AZ78" s="432">
        <f t="shared" si="36"/>
        <v>0</v>
      </c>
      <c r="BA78" s="1553"/>
      <c r="BB78" s="1621"/>
      <c r="BC78" s="1546"/>
      <c r="BD78" s="1548"/>
      <c r="BE78" s="1548"/>
      <c r="BF78" s="1546"/>
      <c r="BG78" s="1548"/>
      <c r="BH78" s="1548"/>
      <c r="BI78" s="1548"/>
      <c r="BJ78" s="1709"/>
      <c r="BK78" s="389">
        <f t="shared" si="37"/>
        <v>0</v>
      </c>
      <c r="BL78" s="140">
        <f t="shared" si="38"/>
        <v>0</v>
      </c>
      <c r="BM78" s="132"/>
      <c r="BN78" s="140">
        <f t="shared" si="39"/>
        <v>0</v>
      </c>
      <c r="BO78" s="141"/>
      <c r="BP78" s="141"/>
      <c r="BQ78" s="309"/>
      <c r="BR78" s="309"/>
      <c r="BS78" s="309"/>
      <c r="BT78" s="309"/>
      <c r="BU78" s="309"/>
      <c r="BV78" s="309"/>
      <c r="BW78" s="141"/>
      <c r="BX78" s="141"/>
      <c r="BY78" s="141"/>
      <c r="BZ78" s="141"/>
      <c r="CA78" s="141"/>
      <c r="CB78" s="390">
        <f t="shared" si="40"/>
        <v>0</v>
      </c>
      <c r="CC78" s="132"/>
    </row>
    <row r="79" ht="14.25" customHeight="1">
      <c r="A79" s="132"/>
      <c r="B79" s="444">
        <v>46089</v>
      </c>
      <c r="C79" s="133"/>
      <c r="D79" s="134"/>
      <c r="E79" s="135"/>
      <c r="F79" s="135"/>
      <c r="G79" s="445">
        <f t="shared" si="32"/>
        <v>0</v>
      </c>
      <c r="H79" s="140"/>
      <c r="I79" s="140"/>
      <c r="J79" s="454"/>
      <c r="K79" s="201"/>
      <c r="L79" s="140"/>
      <c r="M79" s="140"/>
      <c r="N79" s="140"/>
      <c r="O79" s="140"/>
      <c r="P79" s="456"/>
      <c r="Q79" s="456"/>
      <c r="R79" s="201"/>
      <c r="S79" s="140"/>
      <c r="T79" s="140"/>
      <c r="U79" s="140"/>
      <c r="V79" s="140"/>
      <c r="W79" s="140"/>
      <c r="X79" s="140"/>
      <c r="Y79" s="140"/>
      <c r="Z79" s="140"/>
      <c r="AA79" s="457"/>
      <c r="AB79" s="450">
        <f t="shared" si="33"/>
        <v>0</v>
      </c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392"/>
      <c r="AP79" s="451">
        <f t="shared" si="34"/>
        <v>0</v>
      </c>
      <c r="AQ79" s="460"/>
      <c r="AR79" s="136"/>
      <c r="AS79" s="133"/>
      <c r="AT79" s="385">
        <f t="shared" si="35"/>
        <v>0</v>
      </c>
      <c r="AU79" s="1698"/>
      <c r="AV79" s="1696"/>
      <c r="AW79" s="1696"/>
      <c r="AX79" s="1696"/>
      <c r="AY79" s="1697"/>
      <c r="AZ79" s="432">
        <f t="shared" si="36"/>
        <v>0</v>
      </c>
      <c r="BA79" s="1553"/>
      <c r="BB79" s="1621"/>
      <c r="BC79" s="1546"/>
      <c r="BD79" s="1548"/>
      <c r="BE79" s="1548"/>
      <c r="BF79" s="1546"/>
      <c r="BG79" s="1548"/>
      <c r="BH79" s="1548"/>
      <c r="BI79" s="1548"/>
      <c r="BJ79" s="1709"/>
      <c r="BK79" s="389">
        <f t="shared" si="37"/>
        <v>0</v>
      </c>
      <c r="BL79" s="140">
        <f t="shared" si="38"/>
        <v>0</v>
      </c>
      <c r="BM79" s="132"/>
      <c r="BN79" s="140">
        <f t="shared" si="39"/>
        <v>0</v>
      </c>
      <c r="BO79" s="141"/>
      <c r="BP79" s="141"/>
      <c r="BQ79" s="309"/>
      <c r="BR79" s="309"/>
      <c r="BS79" s="309"/>
      <c r="BT79" s="309"/>
      <c r="BU79" s="309"/>
      <c r="BV79" s="309"/>
      <c r="BW79" s="141"/>
      <c r="BX79" s="141"/>
      <c r="BY79" s="141"/>
      <c r="BZ79" s="141"/>
      <c r="CA79" s="141"/>
      <c r="CB79" s="390">
        <f t="shared" si="40"/>
        <v>0</v>
      </c>
      <c r="CC79" s="132"/>
    </row>
    <row r="80" ht="14.25" customHeight="1">
      <c r="A80" s="132"/>
      <c r="B80" s="444">
        <v>46090</v>
      </c>
      <c r="C80" s="230"/>
      <c r="D80" s="134"/>
      <c r="E80" s="135"/>
      <c r="F80" s="135"/>
      <c r="G80" s="445">
        <f t="shared" si="32"/>
        <v>0</v>
      </c>
      <c r="H80" s="140"/>
      <c r="I80" s="140"/>
      <c r="J80" s="454"/>
      <c r="K80" s="140"/>
      <c r="L80" s="140"/>
      <c r="M80" s="140"/>
      <c r="N80" s="201"/>
      <c r="O80" s="140"/>
      <c r="P80" s="456"/>
      <c r="Q80" s="455"/>
      <c r="R80" s="140"/>
      <c r="S80" s="140"/>
      <c r="T80" s="140"/>
      <c r="U80" s="140"/>
      <c r="V80" s="140"/>
      <c r="W80" s="140"/>
      <c r="X80" s="140"/>
      <c r="Y80" s="140"/>
      <c r="Z80" s="140"/>
      <c r="AA80" s="457"/>
      <c r="AB80" s="450">
        <f t="shared" si="33"/>
        <v>0</v>
      </c>
      <c r="AC80" s="201"/>
      <c r="AD80" s="140"/>
      <c r="AE80" s="201"/>
      <c r="AF80" s="140"/>
      <c r="AG80" s="140"/>
      <c r="AH80" s="201"/>
      <c r="AI80" s="140"/>
      <c r="AJ80" s="140"/>
      <c r="AK80" s="140"/>
      <c r="AL80" s="140"/>
      <c r="AM80" s="140"/>
      <c r="AN80" s="140"/>
      <c r="AO80" s="392"/>
      <c r="AP80" s="451">
        <f t="shared" si="34"/>
        <v>0</v>
      </c>
      <c r="AQ80" s="460"/>
      <c r="AR80" s="136"/>
      <c r="AS80" s="133"/>
      <c r="AT80" s="385">
        <f t="shared" si="35"/>
        <v>0</v>
      </c>
      <c r="AU80" s="1637"/>
      <c r="AV80" s="1696"/>
      <c r="AW80" s="1696"/>
      <c r="AX80" s="1696"/>
      <c r="AY80" s="1697"/>
      <c r="AZ80" s="432">
        <f t="shared" si="36"/>
        <v>0</v>
      </c>
      <c r="BA80" s="1553"/>
      <c r="BB80" s="1621"/>
      <c r="BC80" s="1546"/>
      <c r="BD80" s="1548"/>
      <c r="BE80" s="1548"/>
      <c r="BF80" s="1546"/>
      <c r="BG80" s="1548"/>
      <c r="BH80" s="1548"/>
      <c r="BI80" s="1548"/>
      <c r="BJ80" s="1709"/>
      <c r="BK80" s="389">
        <f t="shared" si="37"/>
        <v>0</v>
      </c>
      <c r="BL80" s="140">
        <f t="shared" si="38"/>
        <v>0</v>
      </c>
      <c r="BM80" s="132"/>
      <c r="BN80" s="140">
        <f t="shared" si="39"/>
        <v>0</v>
      </c>
      <c r="BO80" s="141"/>
      <c r="BP80" s="141"/>
      <c r="BQ80" s="309"/>
      <c r="BR80" s="309"/>
      <c r="BS80" s="309"/>
      <c r="BT80" s="309"/>
      <c r="BU80" s="309"/>
      <c r="BV80" s="309"/>
      <c r="BW80" s="141"/>
      <c r="BX80" s="141"/>
      <c r="BY80" s="152"/>
      <c r="BZ80" s="141"/>
      <c r="CA80" s="141"/>
      <c r="CB80" s="390">
        <f t="shared" si="40"/>
        <v>0</v>
      </c>
      <c r="CC80" s="132"/>
    </row>
    <row r="81" ht="14.25" customHeight="1">
      <c r="A81" s="132"/>
      <c r="B81" s="444">
        <v>46091</v>
      </c>
      <c r="C81" s="230"/>
      <c r="D81" s="134"/>
      <c r="E81" s="135"/>
      <c r="F81" s="135"/>
      <c r="G81" s="445">
        <f t="shared" si="32"/>
        <v>0</v>
      </c>
      <c r="H81" s="140"/>
      <c r="I81" s="140"/>
      <c r="J81" s="454"/>
      <c r="K81" s="140"/>
      <c r="L81" s="140"/>
      <c r="M81" s="140"/>
      <c r="N81" s="140"/>
      <c r="O81" s="140"/>
      <c r="P81" s="456"/>
      <c r="Q81" s="455"/>
      <c r="R81" s="140"/>
      <c r="S81" s="140"/>
      <c r="T81" s="140"/>
      <c r="U81" s="140"/>
      <c r="V81" s="140"/>
      <c r="W81" s="140"/>
      <c r="X81" s="140"/>
      <c r="Y81" s="140"/>
      <c r="Z81" s="140"/>
      <c r="AA81" s="457"/>
      <c r="AB81" s="450">
        <f t="shared" si="33"/>
        <v>0</v>
      </c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392"/>
      <c r="AP81" s="451">
        <f t="shared" si="34"/>
        <v>0</v>
      </c>
      <c r="AQ81" s="460"/>
      <c r="AR81" s="136"/>
      <c r="AS81" s="133"/>
      <c r="AT81" s="385">
        <f t="shared" si="35"/>
        <v>0</v>
      </c>
      <c r="AU81" s="1637"/>
      <c r="AV81" s="1696"/>
      <c r="AW81" s="1696"/>
      <c r="AX81" s="1696"/>
      <c r="AY81" s="1697"/>
      <c r="AZ81" s="432">
        <f t="shared" si="36"/>
        <v>0</v>
      </c>
      <c r="BA81" s="1553"/>
      <c r="BB81" s="1621"/>
      <c r="BC81" s="1546"/>
      <c r="BD81" s="1548"/>
      <c r="BE81" s="1548"/>
      <c r="BF81" s="1546"/>
      <c r="BG81" s="1548"/>
      <c r="BH81" s="1548"/>
      <c r="BI81" s="1548"/>
      <c r="BJ81" s="1709"/>
      <c r="BK81" s="389">
        <f t="shared" si="37"/>
        <v>0</v>
      </c>
      <c r="BL81" s="140">
        <f t="shared" si="38"/>
        <v>0</v>
      </c>
      <c r="BM81" s="132"/>
      <c r="BN81" s="140">
        <f t="shared" si="39"/>
        <v>0</v>
      </c>
      <c r="BO81" s="141"/>
      <c r="BP81" s="141"/>
      <c r="BQ81" s="309"/>
      <c r="BR81" s="309"/>
      <c r="BS81" s="309"/>
      <c r="BT81" s="309"/>
      <c r="BU81" s="309"/>
      <c r="BV81" s="309"/>
      <c r="BW81" s="141"/>
      <c r="BX81" s="141"/>
      <c r="BY81" s="141"/>
      <c r="BZ81" s="141"/>
      <c r="CA81" s="141"/>
      <c r="CB81" s="390">
        <f t="shared" si="40"/>
        <v>0</v>
      </c>
      <c r="CC81" s="132"/>
    </row>
    <row r="82" ht="14.25" customHeight="1">
      <c r="A82" s="132"/>
      <c r="B82" s="444">
        <v>46092</v>
      </c>
      <c r="C82" s="230"/>
      <c r="D82" s="134"/>
      <c r="E82" s="135"/>
      <c r="F82" s="135"/>
      <c r="G82" s="445">
        <f t="shared" si="32"/>
        <v>0</v>
      </c>
      <c r="H82" s="140"/>
      <c r="I82" s="140"/>
      <c r="J82" s="454"/>
      <c r="K82" s="140"/>
      <c r="L82" s="140"/>
      <c r="M82" s="140"/>
      <c r="N82" s="140"/>
      <c r="O82" s="140"/>
      <c r="P82" s="455"/>
      <c r="Q82" s="455"/>
      <c r="R82" s="140"/>
      <c r="S82" s="140"/>
      <c r="T82" s="140"/>
      <c r="U82" s="140"/>
      <c r="V82" s="140"/>
      <c r="W82" s="140"/>
      <c r="X82" s="140"/>
      <c r="Y82" s="140"/>
      <c r="Z82" s="140"/>
      <c r="AA82" s="457"/>
      <c r="AB82" s="450">
        <f t="shared" si="33"/>
        <v>0</v>
      </c>
      <c r="AC82" s="140"/>
      <c r="AD82" s="140"/>
      <c r="AE82" s="140"/>
      <c r="AF82" s="140"/>
      <c r="AG82" s="140"/>
      <c r="AH82" s="201"/>
      <c r="AI82" s="140"/>
      <c r="AJ82" s="140"/>
      <c r="AK82" s="140"/>
      <c r="AL82" s="140"/>
      <c r="AM82" s="140"/>
      <c r="AN82" s="140"/>
      <c r="AO82" s="392"/>
      <c r="AP82" s="451">
        <f t="shared" si="34"/>
        <v>0</v>
      </c>
      <c r="AQ82" s="460"/>
      <c r="AR82" s="136"/>
      <c r="AS82" s="133"/>
      <c r="AT82" s="385">
        <f t="shared" si="35"/>
        <v>0</v>
      </c>
      <c r="AU82" s="1637"/>
      <c r="AV82" s="1696"/>
      <c r="AW82" s="1696"/>
      <c r="AX82" s="1696"/>
      <c r="AY82" s="1697"/>
      <c r="AZ82" s="432">
        <f t="shared" si="36"/>
        <v>0</v>
      </c>
      <c r="BA82" s="1553"/>
      <c r="BB82" s="1623"/>
      <c r="BC82" s="1546"/>
      <c r="BD82" s="1548"/>
      <c r="BE82" s="1548"/>
      <c r="BF82" s="1546"/>
      <c r="BG82" s="1548"/>
      <c r="BH82" s="1548"/>
      <c r="BI82" s="1548"/>
      <c r="BJ82" s="1709"/>
      <c r="BK82" s="389">
        <f t="shared" si="37"/>
        <v>0</v>
      </c>
      <c r="BL82" s="140">
        <f t="shared" si="38"/>
        <v>0</v>
      </c>
      <c r="BM82" s="132"/>
      <c r="BN82" s="140">
        <f t="shared" si="39"/>
        <v>0</v>
      </c>
      <c r="BO82" s="141"/>
      <c r="BP82" s="141"/>
      <c r="BQ82" s="309"/>
      <c r="BR82" s="309"/>
      <c r="BS82" s="309"/>
      <c r="BT82" s="309"/>
      <c r="BU82" s="309"/>
      <c r="BV82" s="309"/>
      <c r="BW82" s="141"/>
      <c r="BX82" s="141"/>
      <c r="BY82" s="150"/>
      <c r="BZ82" s="141"/>
      <c r="CA82" s="141"/>
      <c r="CB82" s="390">
        <f t="shared" si="40"/>
        <v>0</v>
      </c>
      <c r="CC82" s="132"/>
    </row>
    <row r="83" ht="15" customHeight="1">
      <c r="A83" s="132"/>
      <c r="B83" s="444">
        <v>46093</v>
      </c>
      <c r="C83" s="230"/>
      <c r="D83" s="134"/>
      <c r="E83" s="135"/>
      <c r="F83" s="135"/>
      <c r="G83" s="445">
        <f t="shared" si="32"/>
        <v>0</v>
      </c>
      <c r="H83" s="140"/>
      <c r="I83" s="140"/>
      <c r="J83" s="454"/>
      <c r="K83" s="462"/>
      <c r="L83" s="463"/>
      <c r="M83" s="463"/>
      <c r="N83" s="140"/>
      <c r="O83" s="140"/>
      <c r="P83" s="456"/>
      <c r="Q83" s="456"/>
      <c r="R83" s="140"/>
      <c r="S83" s="140"/>
      <c r="T83" s="140"/>
      <c r="U83" s="140"/>
      <c r="V83" s="140"/>
      <c r="W83" s="140"/>
      <c r="X83" s="140"/>
      <c r="Y83" s="140"/>
      <c r="Z83" s="140"/>
      <c r="AA83" s="464"/>
      <c r="AB83" s="450">
        <f t="shared" si="33"/>
        <v>0</v>
      </c>
      <c r="AC83" s="201"/>
      <c r="AD83" s="140"/>
      <c r="AE83" s="201"/>
      <c r="AF83" s="140"/>
      <c r="AG83" s="140"/>
      <c r="AH83" s="140"/>
      <c r="AI83" s="140"/>
      <c r="AJ83" s="140"/>
      <c r="AK83" s="140"/>
      <c r="AL83" s="140"/>
      <c r="AM83" s="140"/>
      <c r="AN83" s="140"/>
      <c r="AO83" s="392"/>
      <c r="AP83" s="451">
        <f t="shared" si="34"/>
        <v>0</v>
      </c>
      <c r="AQ83" s="460"/>
      <c r="AR83" s="136"/>
      <c r="AS83" s="133"/>
      <c r="AT83" s="385">
        <f t="shared" si="35"/>
        <v>0</v>
      </c>
      <c r="AU83" s="1637"/>
      <c r="AV83" s="1696"/>
      <c r="AW83" s="1696"/>
      <c r="AX83" s="1696"/>
      <c r="AY83" s="1697"/>
      <c r="AZ83" s="432">
        <f t="shared" si="36"/>
        <v>0</v>
      </c>
      <c r="BA83" s="1553"/>
      <c r="BB83" s="1623"/>
      <c r="BC83" s="1546"/>
      <c r="BD83" s="1548"/>
      <c r="BE83" s="1548"/>
      <c r="BF83" s="1546"/>
      <c r="BG83" s="1548"/>
      <c r="BH83" s="1548"/>
      <c r="BI83" s="1548"/>
      <c r="BJ83" s="1709"/>
      <c r="BK83" s="389">
        <f t="shared" si="37"/>
        <v>0</v>
      </c>
      <c r="BL83" s="140">
        <f t="shared" si="38"/>
        <v>0</v>
      </c>
      <c r="BM83" s="132"/>
      <c r="BN83" s="140">
        <f t="shared" si="39"/>
        <v>0</v>
      </c>
      <c r="BO83" s="141"/>
      <c r="BP83" s="141"/>
      <c r="BQ83" s="309"/>
      <c r="BR83" s="309"/>
      <c r="BS83" s="309"/>
      <c r="BT83" s="309"/>
      <c r="BU83" s="309"/>
      <c r="BV83" s="309"/>
      <c r="BW83" s="141"/>
      <c r="BX83" s="141"/>
      <c r="BY83" s="141"/>
      <c r="BZ83" s="141"/>
      <c r="CA83" s="141"/>
      <c r="CB83" s="390">
        <f t="shared" si="40"/>
        <v>0</v>
      </c>
      <c r="CC83" s="132"/>
    </row>
    <row r="84" ht="14.25" customHeight="1">
      <c r="A84" s="132"/>
      <c r="B84" s="444">
        <v>46094</v>
      </c>
      <c r="C84" s="230"/>
      <c r="D84" s="134"/>
      <c r="E84" s="135"/>
      <c r="F84" s="135"/>
      <c r="G84" s="445">
        <f t="shared" si="32"/>
        <v>0</v>
      </c>
      <c r="H84" s="140"/>
      <c r="I84" s="140"/>
      <c r="J84" s="454"/>
      <c r="K84" s="140"/>
      <c r="L84" s="140"/>
      <c r="M84" s="201"/>
      <c r="N84" s="140"/>
      <c r="O84" s="140"/>
      <c r="P84" s="455"/>
      <c r="Q84" s="456"/>
      <c r="R84" s="140"/>
      <c r="S84" s="140"/>
      <c r="T84" s="140"/>
      <c r="U84" s="140"/>
      <c r="V84" s="140"/>
      <c r="W84" s="140"/>
      <c r="X84" s="140"/>
      <c r="Y84" s="140"/>
      <c r="Z84" s="140"/>
      <c r="AA84" s="457"/>
      <c r="AB84" s="450">
        <f t="shared" si="33"/>
        <v>0</v>
      </c>
      <c r="AC84" s="140"/>
      <c r="AD84" s="140"/>
      <c r="AE84" s="140"/>
      <c r="AF84" s="140"/>
      <c r="AG84" s="140"/>
      <c r="AH84" s="201"/>
      <c r="AI84" s="140"/>
      <c r="AJ84" s="140"/>
      <c r="AK84" s="140"/>
      <c r="AL84" s="140"/>
      <c r="AM84" s="140"/>
      <c r="AN84" s="140"/>
      <c r="AO84" s="392"/>
      <c r="AP84" s="451">
        <f t="shared" si="34"/>
        <v>0</v>
      </c>
      <c r="AQ84" s="460"/>
      <c r="AR84" s="136"/>
      <c r="AS84" s="133"/>
      <c r="AT84" s="385">
        <f t="shared" si="35"/>
        <v>0</v>
      </c>
      <c r="AU84" s="1637"/>
      <c r="AV84" s="1696"/>
      <c r="AW84" s="1696"/>
      <c r="AX84" s="1696"/>
      <c r="AY84" s="1697"/>
      <c r="AZ84" s="432">
        <f t="shared" si="36"/>
        <v>0</v>
      </c>
      <c r="BA84" s="1553"/>
      <c r="BB84" s="1621"/>
      <c r="BC84" s="1546"/>
      <c r="BD84" s="1548"/>
      <c r="BE84" s="1548"/>
      <c r="BF84" s="1546"/>
      <c r="BG84" s="1548"/>
      <c r="BH84" s="1548"/>
      <c r="BI84" s="1548"/>
      <c r="BJ84" s="1709"/>
      <c r="BK84" s="389">
        <f t="shared" si="37"/>
        <v>0</v>
      </c>
      <c r="BL84" s="140">
        <f t="shared" si="38"/>
        <v>0</v>
      </c>
      <c r="BM84" s="132"/>
      <c r="BN84" s="140">
        <f t="shared" si="39"/>
        <v>0</v>
      </c>
      <c r="BO84" s="141"/>
      <c r="BP84" s="141"/>
      <c r="BQ84" s="309"/>
      <c r="BR84" s="309"/>
      <c r="BS84" s="309"/>
      <c r="BT84" s="309"/>
      <c r="BU84" s="309"/>
      <c r="BV84" s="309"/>
      <c r="BW84" s="141"/>
      <c r="BX84" s="141"/>
      <c r="BY84" s="141"/>
      <c r="BZ84" s="141"/>
      <c r="CA84" s="141"/>
      <c r="CB84" s="390">
        <f t="shared" si="40"/>
        <v>0</v>
      </c>
      <c r="CC84" s="132"/>
    </row>
    <row r="85" ht="14.25" customHeight="1">
      <c r="A85" s="132"/>
      <c r="B85" s="444">
        <v>46095</v>
      </c>
      <c r="C85" s="230"/>
      <c r="D85" s="134"/>
      <c r="E85" s="135"/>
      <c r="F85" s="135"/>
      <c r="G85" s="445">
        <f t="shared" si="32"/>
        <v>0</v>
      </c>
      <c r="H85" s="140"/>
      <c r="I85" s="140"/>
      <c r="J85" s="454"/>
      <c r="K85" s="463"/>
      <c r="L85" s="463"/>
      <c r="M85" s="463"/>
      <c r="N85" s="231"/>
      <c r="O85" s="231"/>
      <c r="P85" s="456"/>
      <c r="Q85" s="455"/>
      <c r="R85" s="140"/>
      <c r="S85" s="140"/>
      <c r="T85" s="140"/>
      <c r="U85" s="140"/>
      <c r="V85" s="140"/>
      <c r="W85" s="140"/>
      <c r="X85" s="140"/>
      <c r="Y85" s="140"/>
      <c r="Z85" s="140"/>
      <c r="AA85" s="457"/>
      <c r="AB85" s="450">
        <f t="shared" si="33"/>
        <v>0</v>
      </c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392"/>
      <c r="AP85" s="451">
        <f t="shared" si="34"/>
        <v>0</v>
      </c>
      <c r="AQ85" s="460"/>
      <c r="AR85" s="136"/>
      <c r="AS85" s="133"/>
      <c r="AT85" s="385">
        <f t="shared" si="35"/>
        <v>0</v>
      </c>
      <c r="AU85" s="1637"/>
      <c r="AV85" s="1696"/>
      <c r="AW85" s="1696"/>
      <c r="AX85" s="1696"/>
      <c r="AY85" s="1697"/>
      <c r="AZ85" s="432">
        <f t="shared" si="36"/>
        <v>0</v>
      </c>
      <c r="BA85" s="1553"/>
      <c r="BB85" s="1621"/>
      <c r="BC85" s="1546"/>
      <c r="BD85" s="1548"/>
      <c r="BE85" s="1548"/>
      <c r="BF85" s="1546"/>
      <c r="BG85" s="1548"/>
      <c r="BH85" s="1548"/>
      <c r="BI85" s="1548"/>
      <c r="BJ85" s="1709"/>
      <c r="BK85" s="389">
        <f t="shared" si="37"/>
        <v>0</v>
      </c>
      <c r="BL85" s="140">
        <f t="shared" si="38"/>
        <v>0</v>
      </c>
      <c r="BM85" s="132"/>
      <c r="BN85" s="140">
        <f t="shared" si="39"/>
        <v>0</v>
      </c>
      <c r="BO85" s="141"/>
      <c r="BP85" s="141"/>
      <c r="BQ85" s="309"/>
      <c r="BR85" s="309"/>
      <c r="BS85" s="309"/>
      <c r="BT85" s="309"/>
      <c r="BU85" s="309"/>
      <c r="BV85" s="309"/>
      <c r="BW85" s="141"/>
      <c r="BX85" s="141"/>
      <c r="BY85" s="150"/>
      <c r="BZ85" s="141"/>
      <c r="CA85" s="141"/>
      <c r="CB85" s="390">
        <f t="shared" si="40"/>
        <v>0</v>
      </c>
      <c r="CC85" s="132"/>
    </row>
    <row r="86" ht="14.25" customHeight="1">
      <c r="A86" s="132"/>
      <c r="B86" s="444">
        <v>46096</v>
      </c>
      <c r="C86" s="230"/>
      <c r="D86" s="134"/>
      <c r="E86" s="135"/>
      <c r="F86" s="135"/>
      <c r="G86" s="465">
        <f t="shared" si="32"/>
        <v>0</v>
      </c>
      <c r="H86" s="466"/>
      <c r="I86" s="466"/>
      <c r="J86" s="467"/>
      <c r="K86" s="468"/>
      <c r="L86" s="466"/>
      <c r="M86" s="466"/>
      <c r="N86" s="466"/>
      <c r="O86" s="466"/>
      <c r="P86" s="469"/>
      <c r="Q86" s="470"/>
      <c r="R86" s="466"/>
      <c r="S86" s="466"/>
      <c r="T86" s="466"/>
      <c r="U86" s="466"/>
      <c r="V86" s="466"/>
      <c r="W86" s="466"/>
      <c r="X86" s="466"/>
      <c r="Y86" s="466"/>
      <c r="Z86" s="466"/>
      <c r="AA86" s="471"/>
      <c r="AB86" s="472">
        <f t="shared" si="33"/>
        <v>0</v>
      </c>
      <c r="AC86" s="466"/>
      <c r="AD86" s="466"/>
      <c r="AE86" s="466"/>
      <c r="AF86" s="466"/>
      <c r="AG86" s="466"/>
      <c r="AH86" s="466"/>
      <c r="AI86" s="466"/>
      <c r="AJ86" s="466"/>
      <c r="AK86" s="466"/>
      <c r="AL86" s="466"/>
      <c r="AM86" s="466"/>
      <c r="AN86" s="466"/>
      <c r="AO86" s="473"/>
      <c r="AP86" s="474">
        <f t="shared" si="34"/>
        <v>0</v>
      </c>
      <c r="AQ86" s="460"/>
      <c r="AR86" s="136"/>
      <c r="AS86" s="133"/>
      <c r="AT86" s="475">
        <f t="shared" si="35"/>
        <v>0</v>
      </c>
      <c r="AU86" s="1699"/>
      <c r="AV86" s="1700"/>
      <c r="AW86" s="1700"/>
      <c r="AX86" s="1700"/>
      <c r="AY86" s="1701"/>
      <c r="AZ86" s="476">
        <f t="shared" si="36"/>
        <v>0</v>
      </c>
      <c r="BA86" s="1711"/>
      <c r="BB86" s="1712"/>
      <c r="BC86" s="1713"/>
      <c r="BD86" s="1714"/>
      <c r="BE86" s="1714"/>
      <c r="BF86" s="1713"/>
      <c r="BG86" s="1714"/>
      <c r="BH86" s="1714"/>
      <c r="BI86" s="1714"/>
      <c r="BJ86" s="1715"/>
      <c r="BK86" s="477">
        <f t="shared" si="37"/>
        <v>0</v>
      </c>
      <c r="BL86" s="466">
        <f t="shared" si="38"/>
        <v>0</v>
      </c>
      <c r="BM86" s="132"/>
      <c r="BN86" s="466">
        <f t="shared" si="39"/>
        <v>0</v>
      </c>
      <c r="BO86" s="478"/>
      <c r="BP86" s="478"/>
      <c r="BQ86" s="479"/>
      <c r="BR86" s="479"/>
      <c r="BS86" s="479"/>
      <c r="BT86" s="479"/>
      <c r="BU86" s="479"/>
      <c r="BV86" s="479"/>
      <c r="BW86" s="478"/>
      <c r="BX86" s="478"/>
      <c r="BY86" s="478"/>
      <c r="BZ86" s="478"/>
      <c r="CA86" s="478"/>
      <c r="CB86" s="480">
        <f t="shared" si="40"/>
        <v>0</v>
      </c>
      <c r="CC86" s="132"/>
    </row>
    <row r="87" ht="14.25" customHeight="1">
      <c r="A87" s="481"/>
      <c r="B87" s="444">
        <v>46097</v>
      </c>
      <c r="C87" s="482"/>
      <c r="D87" s="181"/>
      <c r="E87" s="182"/>
      <c r="F87" s="182"/>
      <c r="G87" s="483">
        <f t="shared" si="32"/>
        <v>0</v>
      </c>
      <c r="H87" s="484"/>
      <c r="I87" s="484"/>
      <c r="J87" s="446"/>
      <c r="K87" s="181"/>
      <c r="L87" s="190"/>
      <c r="M87" s="190"/>
      <c r="N87" s="195"/>
      <c r="O87" s="195"/>
      <c r="P87" s="447"/>
      <c r="Q87" s="447"/>
      <c r="R87" s="195"/>
      <c r="S87" s="195"/>
      <c r="T87" s="195"/>
      <c r="U87" s="195"/>
      <c r="V87" s="190"/>
      <c r="W87" s="190"/>
      <c r="X87" s="190"/>
      <c r="Y87" s="190"/>
      <c r="Z87" s="190"/>
      <c r="AA87" s="180"/>
      <c r="AB87" s="485">
        <f t="shared" si="33"/>
        <v>0</v>
      </c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424"/>
      <c r="AP87" s="486">
        <f t="shared" si="34"/>
        <v>0</v>
      </c>
      <c r="AQ87" s="487"/>
      <c r="AR87" s="190"/>
      <c r="AS87" s="180"/>
      <c r="AT87" s="422">
        <f t="shared" si="35"/>
        <v>0</v>
      </c>
      <c r="AU87" s="1702"/>
      <c r="AV87" s="1703"/>
      <c r="AW87" s="1703"/>
      <c r="AX87" s="1703"/>
      <c r="AY87" s="1704"/>
      <c r="AZ87" s="425">
        <f t="shared" si="36"/>
        <v>0</v>
      </c>
      <c r="BA87" s="1687"/>
      <c r="BB87" s="1618"/>
      <c r="BC87" s="1537"/>
      <c r="BD87" s="1539"/>
      <c r="BE87" s="1539"/>
      <c r="BF87" s="1537"/>
      <c r="BG87" s="1539"/>
      <c r="BH87" s="1539"/>
      <c r="BI87" s="1539"/>
      <c r="BJ87" s="1708"/>
      <c r="BK87" s="429">
        <f t="shared" si="37"/>
        <v>0</v>
      </c>
      <c r="BL87" s="195">
        <f t="shared" si="38"/>
        <v>0</v>
      </c>
      <c r="BM87" s="481"/>
      <c r="BN87" s="195">
        <f t="shared" si="39"/>
        <v>0</v>
      </c>
      <c r="BO87" s="196"/>
      <c r="BP87" s="196"/>
      <c r="BQ87" s="489"/>
      <c r="BR87" s="489"/>
      <c r="BS87" s="489"/>
      <c r="BT87" s="489"/>
      <c r="BU87" s="489"/>
      <c r="BV87" s="489"/>
      <c r="BW87" s="196"/>
      <c r="BX87" s="196"/>
      <c r="BY87" s="196"/>
      <c r="BZ87" s="196"/>
      <c r="CA87" s="196"/>
      <c r="CB87" s="430">
        <f t="shared" si="40"/>
        <v>0</v>
      </c>
      <c r="CC87" s="481"/>
    </row>
    <row r="88" ht="14.25" customHeight="1">
      <c r="A88" s="132"/>
      <c r="B88" s="444">
        <v>46098</v>
      </c>
      <c r="C88" s="230"/>
      <c r="D88" s="134"/>
      <c r="E88" s="135"/>
      <c r="F88" s="135"/>
      <c r="G88" s="445">
        <f t="shared" si="32"/>
        <v>0</v>
      </c>
      <c r="H88" s="140"/>
      <c r="I88" s="140"/>
      <c r="J88" s="454"/>
      <c r="K88" s="140"/>
      <c r="L88" s="140"/>
      <c r="M88" s="201"/>
      <c r="N88" s="140"/>
      <c r="O88" s="140"/>
      <c r="P88" s="456"/>
      <c r="Q88" s="455"/>
      <c r="R88" s="140"/>
      <c r="S88" s="140"/>
      <c r="T88" s="140"/>
      <c r="U88" s="140"/>
      <c r="V88" s="140"/>
      <c r="W88" s="140"/>
      <c r="X88" s="140"/>
      <c r="Y88" s="140"/>
      <c r="Z88" s="140"/>
      <c r="AA88" s="457"/>
      <c r="AB88" s="450">
        <f t="shared" si="33"/>
        <v>0</v>
      </c>
      <c r="AC88" s="140"/>
      <c r="AD88" s="140"/>
      <c r="AE88" s="201"/>
      <c r="AF88" s="140"/>
      <c r="AG88" s="140"/>
      <c r="AH88" s="201"/>
      <c r="AI88" s="140"/>
      <c r="AJ88" s="140"/>
      <c r="AK88" s="140"/>
      <c r="AL88" s="140"/>
      <c r="AM88" s="140"/>
      <c r="AN88" s="140"/>
      <c r="AO88" s="392"/>
      <c r="AP88" s="451">
        <f t="shared" si="34"/>
        <v>0</v>
      </c>
      <c r="AQ88" s="460"/>
      <c r="AR88" s="136"/>
      <c r="AS88" s="133"/>
      <c r="AT88" s="385">
        <f t="shared" si="35"/>
        <v>0</v>
      </c>
      <c r="AU88" s="1637"/>
      <c r="AV88" s="1696"/>
      <c r="AW88" s="1696"/>
      <c r="AX88" s="1696"/>
      <c r="AY88" s="1697"/>
      <c r="AZ88" s="432">
        <f t="shared" si="36"/>
        <v>0</v>
      </c>
      <c r="BA88" s="1690"/>
      <c r="BB88" s="1623"/>
      <c r="BC88" s="1546"/>
      <c r="BD88" s="1548"/>
      <c r="BE88" s="1548"/>
      <c r="BF88" s="1546"/>
      <c r="BG88" s="1548"/>
      <c r="BH88" s="1548"/>
      <c r="BI88" s="1548"/>
      <c r="BJ88" s="1709"/>
      <c r="BK88" s="389">
        <f t="shared" si="37"/>
        <v>0</v>
      </c>
      <c r="BL88" s="140">
        <f t="shared" si="38"/>
        <v>0</v>
      </c>
      <c r="BM88" s="132"/>
      <c r="BN88" s="140">
        <f t="shared" si="39"/>
        <v>0</v>
      </c>
      <c r="BO88" s="141"/>
      <c r="BP88" s="141"/>
      <c r="BQ88" s="309"/>
      <c r="BR88" s="309"/>
      <c r="BS88" s="309"/>
      <c r="BT88" s="309"/>
      <c r="BU88" s="309"/>
      <c r="BV88" s="309"/>
      <c r="BW88" s="141"/>
      <c r="BX88" s="141"/>
      <c r="BY88" s="141"/>
      <c r="BZ88" s="141"/>
      <c r="CA88" s="141"/>
      <c r="CB88" s="390">
        <f t="shared" si="40"/>
        <v>0</v>
      </c>
      <c r="CC88" s="132"/>
    </row>
    <row r="89" ht="14.25" customHeight="1">
      <c r="A89" s="132"/>
      <c r="B89" s="444">
        <v>46099</v>
      </c>
      <c r="C89" s="230"/>
      <c r="D89" s="134"/>
      <c r="E89" s="135"/>
      <c r="F89" s="135"/>
      <c r="G89" s="445">
        <f t="shared" si="32"/>
        <v>0</v>
      </c>
      <c r="H89" s="140"/>
      <c r="I89" s="140"/>
      <c r="J89" s="454"/>
      <c r="K89" s="140"/>
      <c r="L89" s="140"/>
      <c r="M89" s="140"/>
      <c r="N89" s="140"/>
      <c r="O89" s="140"/>
      <c r="P89" s="456"/>
      <c r="Q89" s="455"/>
      <c r="R89" s="140"/>
      <c r="S89" s="140"/>
      <c r="T89" s="140"/>
      <c r="U89" s="140"/>
      <c r="V89" s="140"/>
      <c r="W89" s="140"/>
      <c r="X89" s="140"/>
      <c r="Y89" s="140"/>
      <c r="Z89" s="140"/>
      <c r="AA89" s="457"/>
      <c r="AB89" s="450">
        <f t="shared" si="33"/>
        <v>0</v>
      </c>
      <c r="AC89" s="201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392"/>
      <c r="AP89" s="451">
        <f t="shared" si="34"/>
        <v>0</v>
      </c>
      <c r="AQ89" s="460"/>
      <c r="AR89" s="136"/>
      <c r="AS89" s="133"/>
      <c r="AT89" s="385">
        <f t="shared" si="35"/>
        <v>0</v>
      </c>
      <c r="AU89" s="1637"/>
      <c r="AV89" s="1696"/>
      <c r="AW89" s="1696"/>
      <c r="AX89" s="1696"/>
      <c r="AY89" s="1697"/>
      <c r="AZ89" s="432">
        <f t="shared" si="36"/>
        <v>0</v>
      </c>
      <c r="BA89" s="1690"/>
      <c r="BB89" s="1623"/>
      <c r="BC89" s="1546"/>
      <c r="BD89" s="1548"/>
      <c r="BE89" s="1548"/>
      <c r="BF89" s="1546"/>
      <c r="BG89" s="1548"/>
      <c r="BH89" s="1548"/>
      <c r="BI89" s="1548"/>
      <c r="BJ89" s="1709"/>
      <c r="BK89" s="389">
        <f t="shared" si="37"/>
        <v>0</v>
      </c>
      <c r="BL89" s="140">
        <f t="shared" si="38"/>
        <v>0</v>
      </c>
      <c r="BM89" s="132"/>
      <c r="BN89" s="140">
        <f t="shared" si="39"/>
        <v>0</v>
      </c>
      <c r="BO89" s="141"/>
      <c r="BP89" s="141"/>
      <c r="BQ89" s="309"/>
      <c r="BR89" s="309"/>
      <c r="BS89" s="309"/>
      <c r="BT89" s="309"/>
      <c r="BU89" s="309"/>
      <c r="BV89" s="309"/>
      <c r="BW89" s="141"/>
      <c r="BX89" s="141"/>
      <c r="BY89" s="493"/>
      <c r="BZ89" s="141"/>
      <c r="CA89" s="141"/>
      <c r="CB89" s="390">
        <f t="shared" si="40"/>
        <v>0</v>
      </c>
      <c r="CC89" s="132"/>
    </row>
    <row r="90" ht="14.25" customHeight="1">
      <c r="A90" s="132"/>
      <c r="B90" s="444">
        <v>46100</v>
      </c>
      <c r="C90" s="133"/>
      <c r="D90" s="134"/>
      <c r="E90" s="135"/>
      <c r="F90" s="135"/>
      <c r="G90" s="445">
        <f t="shared" si="32"/>
        <v>0</v>
      </c>
      <c r="H90" s="140"/>
      <c r="I90" s="140"/>
      <c r="J90" s="454"/>
      <c r="K90" s="140"/>
      <c r="L90" s="140"/>
      <c r="M90" s="201"/>
      <c r="N90" s="140"/>
      <c r="O90" s="140"/>
      <c r="P90" s="455"/>
      <c r="Q90" s="456"/>
      <c r="R90" s="140"/>
      <c r="S90" s="140"/>
      <c r="T90" s="140"/>
      <c r="U90" s="140"/>
      <c r="V90" s="140"/>
      <c r="W90" s="140"/>
      <c r="X90" s="140"/>
      <c r="Y90" s="140"/>
      <c r="Z90" s="140"/>
      <c r="AA90" s="457"/>
      <c r="AB90" s="450">
        <f t="shared" si="33"/>
        <v>0</v>
      </c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392"/>
      <c r="AP90" s="451">
        <f t="shared" si="34"/>
        <v>0</v>
      </c>
      <c r="AQ90" s="460"/>
      <c r="AR90" s="136"/>
      <c r="AS90" s="133"/>
      <c r="AT90" s="385">
        <f t="shared" si="35"/>
        <v>0</v>
      </c>
      <c r="AU90" s="1637"/>
      <c r="AV90" s="1696"/>
      <c r="AW90" s="1696"/>
      <c r="AX90" s="1696"/>
      <c r="AY90" s="1697"/>
      <c r="AZ90" s="432">
        <f t="shared" si="36"/>
        <v>0</v>
      </c>
      <c r="BA90" s="1690"/>
      <c r="BB90" s="1621"/>
      <c r="BC90" s="1546"/>
      <c r="BD90" s="1548"/>
      <c r="BE90" s="1548"/>
      <c r="BF90" s="1626"/>
      <c r="BG90" s="1548"/>
      <c r="BH90" s="1548"/>
      <c r="BI90" s="1548"/>
      <c r="BJ90" s="1709"/>
      <c r="BK90" s="389">
        <f t="shared" si="37"/>
        <v>0</v>
      </c>
      <c r="BL90" s="140">
        <f t="shared" si="38"/>
        <v>0</v>
      </c>
      <c r="BM90" s="132"/>
      <c r="BN90" s="140">
        <f t="shared" si="39"/>
        <v>0</v>
      </c>
      <c r="BO90" s="141"/>
      <c r="BP90" s="141"/>
      <c r="BQ90" s="309"/>
      <c r="BR90" s="309"/>
      <c r="BS90" s="309"/>
      <c r="BT90" s="309"/>
      <c r="BU90" s="309"/>
      <c r="BV90" s="309"/>
      <c r="BW90" s="141"/>
      <c r="BX90" s="141"/>
      <c r="BY90" s="494"/>
      <c r="BZ90" s="141"/>
      <c r="CA90" s="141"/>
      <c r="CB90" s="390">
        <f t="shared" si="40"/>
        <v>0</v>
      </c>
      <c r="CC90" s="132"/>
    </row>
    <row r="91" ht="14.25" customHeight="1">
      <c r="A91" s="132"/>
      <c r="B91" s="444">
        <v>46101</v>
      </c>
      <c r="C91" s="133"/>
      <c r="D91" s="134"/>
      <c r="E91" s="135"/>
      <c r="F91" s="135"/>
      <c r="G91" s="445">
        <f t="shared" si="32"/>
        <v>0</v>
      </c>
      <c r="H91" s="140"/>
      <c r="I91" s="140"/>
      <c r="J91" s="454"/>
      <c r="K91" s="140"/>
      <c r="L91" s="140"/>
      <c r="M91" s="201"/>
      <c r="N91" s="140"/>
      <c r="O91" s="140"/>
      <c r="P91" s="455"/>
      <c r="Q91" s="456"/>
      <c r="R91" s="140"/>
      <c r="S91" s="140"/>
      <c r="T91" s="140"/>
      <c r="U91" s="140"/>
      <c r="V91" s="140"/>
      <c r="W91" s="140"/>
      <c r="X91" s="140"/>
      <c r="Y91" s="140"/>
      <c r="Z91" s="140"/>
      <c r="AA91" s="457"/>
      <c r="AB91" s="450">
        <f t="shared" si="33"/>
        <v>0</v>
      </c>
      <c r="AC91" s="140"/>
      <c r="AD91" s="140"/>
      <c r="AE91" s="201"/>
      <c r="AF91" s="140"/>
      <c r="AG91" s="140"/>
      <c r="AH91" s="201"/>
      <c r="AI91" s="140"/>
      <c r="AJ91" s="140"/>
      <c r="AK91" s="140"/>
      <c r="AL91" s="140"/>
      <c r="AM91" s="140"/>
      <c r="AN91" s="140"/>
      <c r="AO91" s="392"/>
      <c r="AP91" s="451">
        <f t="shared" si="34"/>
        <v>0</v>
      </c>
      <c r="AQ91" s="460"/>
      <c r="AR91" s="134"/>
      <c r="AS91" s="133"/>
      <c r="AT91" s="385">
        <f t="shared" si="35"/>
        <v>0</v>
      </c>
      <c r="AU91" s="1637"/>
      <c r="AV91" s="1696"/>
      <c r="AW91" s="1696"/>
      <c r="AX91" s="1696"/>
      <c r="AY91" s="1697"/>
      <c r="AZ91" s="432">
        <f t="shared" si="36"/>
        <v>0</v>
      </c>
      <c r="BA91" s="1690"/>
      <c r="BB91" s="1621"/>
      <c r="BC91" s="1546"/>
      <c r="BD91" s="1548"/>
      <c r="BE91" s="1548"/>
      <c r="BF91" s="1626"/>
      <c r="BG91" s="1548"/>
      <c r="BH91" s="1548"/>
      <c r="BI91" s="1548"/>
      <c r="BJ91" s="1709"/>
      <c r="BK91" s="389">
        <f t="shared" si="37"/>
        <v>0</v>
      </c>
      <c r="BL91" s="140">
        <f t="shared" si="38"/>
        <v>0</v>
      </c>
      <c r="BM91" s="132"/>
      <c r="BN91" s="140">
        <f t="shared" si="39"/>
        <v>0</v>
      </c>
      <c r="BO91" s="141"/>
      <c r="BP91" s="141"/>
      <c r="BQ91" s="309"/>
      <c r="BR91" s="309"/>
      <c r="BS91" s="309"/>
      <c r="BT91" s="309"/>
      <c r="BU91" s="309"/>
      <c r="BV91" s="309"/>
      <c r="BW91" s="141"/>
      <c r="BX91" s="141"/>
      <c r="BY91" s="141"/>
      <c r="BZ91" s="141"/>
      <c r="CA91" s="141"/>
      <c r="CB91" s="390">
        <f t="shared" si="40"/>
        <v>0</v>
      </c>
      <c r="CC91" s="132"/>
    </row>
    <row r="92" ht="14.25" customHeight="1">
      <c r="A92" s="132"/>
      <c r="B92" s="444">
        <v>46102</v>
      </c>
      <c r="C92" s="133"/>
      <c r="D92" s="134"/>
      <c r="E92" s="135"/>
      <c r="F92" s="135"/>
      <c r="G92" s="445">
        <f t="shared" si="32"/>
        <v>0</v>
      </c>
      <c r="H92" s="140"/>
      <c r="I92" s="140"/>
      <c r="J92" s="454"/>
      <c r="K92" s="140"/>
      <c r="L92" s="140"/>
      <c r="M92" s="201"/>
      <c r="N92" s="140"/>
      <c r="O92" s="140"/>
      <c r="P92" s="456"/>
      <c r="Q92" s="455"/>
      <c r="R92" s="140"/>
      <c r="S92" s="140"/>
      <c r="T92" s="140"/>
      <c r="U92" s="140"/>
      <c r="V92" s="140"/>
      <c r="W92" s="140"/>
      <c r="X92" s="140"/>
      <c r="Y92" s="140"/>
      <c r="Z92" s="140"/>
      <c r="AA92" s="457"/>
      <c r="AB92" s="450">
        <f t="shared" si="33"/>
        <v>0</v>
      </c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392"/>
      <c r="AP92" s="451">
        <f t="shared" si="34"/>
        <v>0</v>
      </c>
      <c r="AQ92" s="460"/>
      <c r="AR92" s="134"/>
      <c r="AS92" s="133"/>
      <c r="AT92" s="385">
        <f t="shared" si="35"/>
        <v>0</v>
      </c>
      <c r="AU92" s="1698"/>
      <c r="AV92" s="1696"/>
      <c r="AW92" s="1696"/>
      <c r="AX92" s="1696"/>
      <c r="AY92" s="1697"/>
      <c r="AZ92" s="432">
        <f t="shared" si="36"/>
        <v>0</v>
      </c>
      <c r="BA92" s="1690"/>
      <c r="BB92" s="1621"/>
      <c r="BC92" s="1546"/>
      <c r="BD92" s="1548"/>
      <c r="BE92" s="1548"/>
      <c r="BF92" s="1626"/>
      <c r="BG92" s="1548"/>
      <c r="BH92" s="1548"/>
      <c r="BI92" s="1548"/>
      <c r="BJ92" s="1709"/>
      <c r="BK92" s="389">
        <f t="shared" si="37"/>
        <v>0</v>
      </c>
      <c r="BL92" s="140">
        <f t="shared" si="38"/>
        <v>0</v>
      </c>
      <c r="BM92" s="132"/>
      <c r="BN92" s="140">
        <f t="shared" si="39"/>
        <v>0</v>
      </c>
      <c r="BO92" s="141"/>
      <c r="BP92" s="141"/>
      <c r="BQ92" s="309"/>
      <c r="BR92" s="309"/>
      <c r="BS92" s="309"/>
      <c r="BT92" s="309"/>
      <c r="BU92" s="309"/>
      <c r="BV92" s="309"/>
      <c r="BW92" s="141"/>
      <c r="BX92" s="141"/>
      <c r="BY92" s="141"/>
      <c r="BZ92" s="141"/>
      <c r="CA92" s="141"/>
      <c r="CB92" s="390">
        <f t="shared" si="40"/>
        <v>0</v>
      </c>
      <c r="CC92" s="132"/>
    </row>
    <row r="93" ht="14.25" customHeight="1">
      <c r="A93" s="132"/>
      <c r="B93" s="444">
        <v>46103</v>
      </c>
      <c r="C93" s="133"/>
      <c r="D93" s="134"/>
      <c r="E93" s="135"/>
      <c r="F93" s="135"/>
      <c r="G93" s="445">
        <f t="shared" si="32"/>
        <v>0</v>
      </c>
      <c r="H93" s="140"/>
      <c r="I93" s="140"/>
      <c r="J93" s="454"/>
      <c r="K93" s="201"/>
      <c r="L93" s="140"/>
      <c r="M93" s="140"/>
      <c r="N93" s="140"/>
      <c r="O93" s="140"/>
      <c r="P93" s="456"/>
      <c r="Q93" s="456"/>
      <c r="R93" s="140"/>
      <c r="S93" s="140"/>
      <c r="T93" s="140"/>
      <c r="U93" s="140"/>
      <c r="V93" s="140"/>
      <c r="W93" s="140"/>
      <c r="X93" s="140"/>
      <c r="Y93" s="140"/>
      <c r="Z93" s="140"/>
      <c r="AA93" s="457"/>
      <c r="AB93" s="450">
        <f t="shared" si="33"/>
        <v>0</v>
      </c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392"/>
      <c r="AP93" s="451">
        <f t="shared" si="34"/>
        <v>0</v>
      </c>
      <c r="AQ93" s="460"/>
      <c r="AR93" s="134"/>
      <c r="AS93" s="133"/>
      <c r="AT93" s="385">
        <f t="shared" si="35"/>
        <v>0</v>
      </c>
      <c r="AU93" s="1698"/>
      <c r="AV93" s="1696"/>
      <c r="AW93" s="1696"/>
      <c r="AX93" s="1696"/>
      <c r="AY93" s="1697"/>
      <c r="AZ93" s="432">
        <f t="shared" si="36"/>
        <v>0</v>
      </c>
      <c r="BA93" s="1690"/>
      <c r="BB93" s="1621"/>
      <c r="BC93" s="1546"/>
      <c r="BD93" s="1548"/>
      <c r="BE93" s="1548"/>
      <c r="BF93" s="1626"/>
      <c r="BG93" s="1548"/>
      <c r="BH93" s="1548"/>
      <c r="BI93" s="1548"/>
      <c r="BJ93" s="1709"/>
      <c r="BK93" s="389">
        <f t="shared" si="37"/>
        <v>0</v>
      </c>
      <c r="BL93" s="140">
        <f t="shared" si="38"/>
        <v>0</v>
      </c>
      <c r="BM93" s="132"/>
      <c r="BN93" s="140">
        <f t="shared" si="39"/>
        <v>0</v>
      </c>
      <c r="BO93" s="141"/>
      <c r="BP93" s="141"/>
      <c r="BQ93" s="309"/>
      <c r="BR93" s="309"/>
      <c r="BS93" s="309"/>
      <c r="BT93" s="309"/>
      <c r="BU93" s="309"/>
      <c r="BV93" s="309"/>
      <c r="BW93" s="141"/>
      <c r="BX93" s="141"/>
      <c r="BY93" s="141"/>
      <c r="BZ93" s="141"/>
      <c r="CA93" s="141"/>
      <c r="CB93" s="390">
        <f t="shared" si="40"/>
        <v>0</v>
      </c>
      <c r="CC93" s="132"/>
    </row>
    <row r="94" ht="13.5" customHeight="1">
      <c r="A94" s="132"/>
      <c r="B94" s="444">
        <v>46104</v>
      </c>
      <c r="C94" s="133"/>
      <c r="D94" s="134"/>
      <c r="E94" s="135"/>
      <c r="F94" s="135"/>
      <c r="G94" s="445">
        <f t="shared" si="32"/>
        <v>0</v>
      </c>
      <c r="H94" s="140"/>
      <c r="I94" s="140"/>
      <c r="J94" s="454"/>
      <c r="K94" s="201"/>
      <c r="L94" s="140"/>
      <c r="M94" s="140"/>
      <c r="N94" s="201"/>
      <c r="O94" s="140"/>
      <c r="P94" s="456"/>
      <c r="Q94" s="455"/>
      <c r="R94" s="140"/>
      <c r="S94" s="140"/>
      <c r="T94" s="140"/>
      <c r="U94" s="140"/>
      <c r="V94" s="140"/>
      <c r="W94" s="140"/>
      <c r="X94" s="140"/>
      <c r="Y94" s="140"/>
      <c r="Z94" s="140"/>
      <c r="AA94" s="457"/>
      <c r="AB94" s="450">
        <f t="shared" si="33"/>
        <v>0</v>
      </c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392"/>
      <c r="AP94" s="451">
        <f t="shared" si="34"/>
        <v>0</v>
      </c>
      <c r="AQ94" s="460"/>
      <c r="AR94" s="134"/>
      <c r="AS94" s="133"/>
      <c r="AT94" s="385">
        <f t="shared" si="35"/>
        <v>0</v>
      </c>
      <c r="AU94" s="1637"/>
      <c r="AV94" s="1696"/>
      <c r="AW94" s="1696"/>
      <c r="AX94" s="1696"/>
      <c r="AY94" s="1697"/>
      <c r="AZ94" s="432">
        <f t="shared" si="36"/>
        <v>0</v>
      </c>
      <c r="BA94" s="1690"/>
      <c r="BB94" s="1623"/>
      <c r="BC94" s="1546"/>
      <c r="BD94" s="1548"/>
      <c r="BE94" s="1548"/>
      <c r="BF94" s="1626"/>
      <c r="BG94" s="1548"/>
      <c r="BH94" s="1548"/>
      <c r="BI94" s="1548"/>
      <c r="BJ94" s="1709"/>
      <c r="BK94" s="389">
        <f t="shared" si="37"/>
        <v>0</v>
      </c>
      <c r="BL94" s="140">
        <f t="shared" si="38"/>
        <v>0</v>
      </c>
      <c r="BM94" s="132"/>
      <c r="BN94" s="140">
        <f t="shared" si="39"/>
        <v>0</v>
      </c>
      <c r="BO94" s="141"/>
      <c r="BP94" s="141"/>
      <c r="BQ94" s="309"/>
      <c r="BR94" s="309"/>
      <c r="BS94" s="309"/>
      <c r="BT94" s="309"/>
      <c r="BU94" s="309"/>
      <c r="BV94" s="309"/>
      <c r="BW94" s="141"/>
      <c r="BX94" s="141"/>
      <c r="BY94" s="495"/>
      <c r="BZ94" s="141"/>
      <c r="CA94" s="141"/>
      <c r="CB94" s="390">
        <f t="shared" si="40"/>
        <v>0</v>
      </c>
      <c r="CC94" s="132"/>
    </row>
    <row r="95" ht="14.25" customHeight="1">
      <c r="A95" s="132"/>
      <c r="B95" s="444">
        <v>46105</v>
      </c>
      <c r="C95" s="230"/>
      <c r="D95" s="134"/>
      <c r="E95" s="135"/>
      <c r="F95" s="135"/>
      <c r="G95" s="445">
        <f t="shared" si="32"/>
        <v>0</v>
      </c>
      <c r="H95" s="140"/>
      <c r="I95" s="140"/>
      <c r="J95" s="454"/>
      <c r="K95" s="140"/>
      <c r="L95" s="140"/>
      <c r="M95" s="140"/>
      <c r="N95" s="140"/>
      <c r="O95" s="140"/>
      <c r="P95" s="455"/>
      <c r="Q95" s="456"/>
      <c r="R95" s="201"/>
      <c r="S95" s="140"/>
      <c r="T95" s="140"/>
      <c r="U95" s="140"/>
      <c r="V95" s="140"/>
      <c r="W95" s="140"/>
      <c r="X95" s="140"/>
      <c r="Y95" s="140"/>
      <c r="Z95" s="140"/>
      <c r="AA95" s="457"/>
      <c r="AB95" s="450">
        <f t="shared" si="33"/>
        <v>0</v>
      </c>
      <c r="AC95" s="140"/>
      <c r="AD95" s="140"/>
      <c r="AE95" s="140"/>
      <c r="AF95" s="140"/>
      <c r="AG95" s="140"/>
      <c r="AH95" s="201"/>
      <c r="AI95" s="140"/>
      <c r="AJ95" s="140"/>
      <c r="AK95" s="140"/>
      <c r="AL95" s="140"/>
      <c r="AM95" s="140"/>
      <c r="AN95" s="140"/>
      <c r="AO95" s="392"/>
      <c r="AP95" s="451">
        <f t="shared" si="34"/>
        <v>0</v>
      </c>
      <c r="AQ95" s="460"/>
      <c r="AR95" s="134"/>
      <c r="AS95" s="133"/>
      <c r="AT95" s="385">
        <f t="shared" si="35"/>
        <v>0</v>
      </c>
      <c r="AU95" s="1637"/>
      <c r="AV95" s="1696"/>
      <c r="AW95" s="1696"/>
      <c r="AX95" s="1696"/>
      <c r="AY95" s="1697"/>
      <c r="AZ95" s="432">
        <f t="shared" si="36"/>
        <v>0</v>
      </c>
      <c r="BA95" s="1690"/>
      <c r="BB95" s="1621"/>
      <c r="BC95" s="1546"/>
      <c r="BD95" s="1548"/>
      <c r="BE95" s="1548"/>
      <c r="BF95" s="1626"/>
      <c r="BG95" s="1548"/>
      <c r="BH95" s="1548"/>
      <c r="BI95" s="1548"/>
      <c r="BJ95" s="1709"/>
      <c r="BK95" s="389">
        <f t="shared" si="37"/>
        <v>0</v>
      </c>
      <c r="BL95" s="140">
        <f t="shared" si="38"/>
        <v>0</v>
      </c>
      <c r="BM95" s="132"/>
      <c r="BN95" s="140">
        <f t="shared" si="39"/>
        <v>0</v>
      </c>
      <c r="BO95" s="141"/>
      <c r="BP95" s="141"/>
      <c r="BQ95" s="309"/>
      <c r="BR95" s="309"/>
      <c r="BS95" s="309"/>
      <c r="BT95" s="309"/>
      <c r="BU95" s="309"/>
      <c r="BV95" s="309"/>
      <c r="BW95" s="141"/>
      <c r="BX95" s="141"/>
      <c r="BY95" s="495"/>
      <c r="BZ95" s="141"/>
      <c r="CA95" s="141"/>
      <c r="CB95" s="390">
        <f t="shared" si="40"/>
        <v>0</v>
      </c>
      <c r="CC95" s="132"/>
    </row>
    <row r="96" ht="14.25" customHeight="1">
      <c r="A96" s="132"/>
      <c r="B96" s="444">
        <v>46106</v>
      </c>
      <c r="C96" s="133"/>
      <c r="D96" s="134"/>
      <c r="E96" s="135"/>
      <c r="F96" s="135"/>
      <c r="G96" s="445">
        <f t="shared" si="32"/>
        <v>0</v>
      </c>
      <c r="H96" s="140"/>
      <c r="I96" s="140"/>
      <c r="J96" s="454"/>
      <c r="K96" s="140"/>
      <c r="L96" s="140"/>
      <c r="M96" s="201"/>
      <c r="N96" s="140"/>
      <c r="O96" s="140"/>
      <c r="P96" s="379"/>
      <c r="Q96" s="382"/>
      <c r="R96" s="140"/>
      <c r="S96" s="140"/>
      <c r="T96" s="140"/>
      <c r="U96" s="140"/>
      <c r="V96" s="140"/>
      <c r="W96" s="140"/>
      <c r="X96" s="140"/>
      <c r="Y96" s="140"/>
      <c r="Z96" s="140"/>
      <c r="AA96" s="457"/>
      <c r="AB96" s="450">
        <f t="shared" si="33"/>
        <v>0</v>
      </c>
      <c r="AC96" s="201"/>
      <c r="AD96" s="140"/>
      <c r="AE96" s="201"/>
      <c r="AF96" s="140"/>
      <c r="AG96" s="140"/>
      <c r="AH96" s="140"/>
      <c r="AI96" s="140"/>
      <c r="AJ96" s="140"/>
      <c r="AK96" s="140"/>
      <c r="AL96" s="140"/>
      <c r="AM96" s="140"/>
      <c r="AN96" s="140"/>
      <c r="AO96" s="392"/>
      <c r="AP96" s="451">
        <f t="shared" si="34"/>
        <v>0</v>
      </c>
      <c r="AQ96" s="460"/>
      <c r="AR96" s="134"/>
      <c r="AS96" s="133"/>
      <c r="AT96" s="385">
        <f t="shared" si="35"/>
        <v>0</v>
      </c>
      <c r="AU96" s="1637"/>
      <c r="AV96" s="1696"/>
      <c r="AW96" s="1696"/>
      <c r="AX96" s="1696"/>
      <c r="AY96" s="1697"/>
      <c r="AZ96" s="432">
        <f t="shared" si="36"/>
        <v>0</v>
      </c>
      <c r="BA96" s="1690"/>
      <c r="BB96" s="1623"/>
      <c r="BC96" s="1546"/>
      <c r="BD96" s="1548"/>
      <c r="BE96" s="1548"/>
      <c r="BF96" s="1626"/>
      <c r="BG96" s="1548"/>
      <c r="BH96" s="1548"/>
      <c r="BI96" s="1548"/>
      <c r="BJ96" s="1709"/>
      <c r="BK96" s="389">
        <f t="shared" si="37"/>
        <v>0</v>
      </c>
      <c r="BL96" s="140">
        <f t="shared" si="38"/>
        <v>0</v>
      </c>
      <c r="BM96" s="132"/>
      <c r="BN96" s="140">
        <f t="shared" si="39"/>
        <v>0</v>
      </c>
      <c r="BO96" s="141"/>
      <c r="BP96" s="141"/>
      <c r="BQ96" s="309"/>
      <c r="BR96" s="309"/>
      <c r="BS96" s="309"/>
      <c r="BT96" s="309"/>
      <c r="BU96" s="309"/>
      <c r="BV96" s="309"/>
      <c r="BW96" s="141"/>
      <c r="BX96" s="141"/>
      <c r="BY96" s="495"/>
      <c r="BZ96" s="141"/>
      <c r="CA96" s="141"/>
      <c r="CB96" s="390">
        <f t="shared" si="40"/>
        <v>0</v>
      </c>
      <c r="CC96" s="132"/>
    </row>
    <row r="97" ht="14.25" customHeight="1">
      <c r="A97" s="132"/>
      <c r="B97" s="444">
        <v>46107</v>
      </c>
      <c r="C97" s="133"/>
      <c r="D97" s="134"/>
      <c r="E97" s="135"/>
      <c r="F97" s="135"/>
      <c r="G97" s="445">
        <f t="shared" si="32"/>
        <v>0</v>
      </c>
      <c r="H97" s="140"/>
      <c r="I97" s="140"/>
      <c r="J97" s="454"/>
      <c r="K97" s="140"/>
      <c r="L97" s="140"/>
      <c r="M97" s="201"/>
      <c r="N97" s="231"/>
      <c r="O97" s="231"/>
      <c r="P97" s="456"/>
      <c r="Q97" s="455"/>
      <c r="R97" s="140"/>
      <c r="S97" s="140"/>
      <c r="T97" s="140"/>
      <c r="U97" s="140"/>
      <c r="V97" s="140"/>
      <c r="W97" s="140"/>
      <c r="X97" s="140"/>
      <c r="Y97" s="140"/>
      <c r="Z97" s="140"/>
      <c r="AA97" s="457"/>
      <c r="AB97" s="450">
        <f t="shared" si="33"/>
        <v>0</v>
      </c>
      <c r="AC97" s="140"/>
      <c r="AD97" s="140"/>
      <c r="AE97" s="140"/>
      <c r="AF97" s="140"/>
      <c r="AG97" s="140"/>
      <c r="AH97" s="201"/>
      <c r="AI97" s="140"/>
      <c r="AJ97" s="140"/>
      <c r="AK97" s="140"/>
      <c r="AL97" s="140"/>
      <c r="AM97" s="140"/>
      <c r="AN97" s="140"/>
      <c r="AO97" s="392"/>
      <c r="AP97" s="451">
        <f t="shared" si="34"/>
        <v>0</v>
      </c>
      <c r="AQ97" s="460"/>
      <c r="AR97" s="134"/>
      <c r="AS97" s="133"/>
      <c r="AT97" s="385">
        <f t="shared" si="35"/>
        <v>0</v>
      </c>
      <c r="AU97" s="1637"/>
      <c r="AV97" s="1696"/>
      <c r="AW97" s="1696"/>
      <c r="AX97" s="1696"/>
      <c r="AY97" s="1697"/>
      <c r="AZ97" s="432">
        <f t="shared" si="36"/>
        <v>0</v>
      </c>
      <c r="BA97" s="1690"/>
      <c r="BB97" s="1623"/>
      <c r="BC97" s="1546"/>
      <c r="BD97" s="1548"/>
      <c r="BE97" s="1548"/>
      <c r="BF97" s="1626"/>
      <c r="BG97" s="1548"/>
      <c r="BH97" s="1548"/>
      <c r="BI97" s="1548"/>
      <c r="BJ97" s="1709"/>
      <c r="BK97" s="389">
        <f t="shared" si="37"/>
        <v>0</v>
      </c>
      <c r="BL97" s="140">
        <f t="shared" si="38"/>
        <v>0</v>
      </c>
      <c r="BM97" s="132"/>
      <c r="BN97" s="140">
        <f t="shared" si="39"/>
        <v>0</v>
      </c>
      <c r="BO97" s="141"/>
      <c r="BP97" s="141"/>
      <c r="BQ97" s="309"/>
      <c r="BR97" s="309"/>
      <c r="BS97" s="309"/>
      <c r="BT97" s="309"/>
      <c r="BU97" s="309"/>
      <c r="BV97" s="309"/>
      <c r="BW97" s="141"/>
      <c r="BX97" s="141"/>
      <c r="BY97" s="141"/>
      <c r="BZ97" s="141"/>
      <c r="CA97" s="141"/>
      <c r="CB97" s="390">
        <f t="shared" si="40"/>
        <v>0</v>
      </c>
      <c r="CC97" s="132"/>
    </row>
    <row r="98" ht="14.25" customHeight="1">
      <c r="A98" s="132"/>
      <c r="B98" s="444">
        <v>46108</v>
      </c>
      <c r="C98" s="133"/>
      <c r="D98" s="134"/>
      <c r="E98" s="135"/>
      <c r="F98" s="135"/>
      <c r="G98" s="445">
        <f t="shared" si="32"/>
        <v>0</v>
      </c>
      <c r="H98" s="140"/>
      <c r="I98" s="140"/>
      <c r="J98" s="454"/>
      <c r="K98" s="201"/>
      <c r="L98" s="140"/>
      <c r="M98" s="140"/>
      <c r="N98" s="140"/>
      <c r="O98" s="140"/>
      <c r="P98" s="455"/>
      <c r="Q98" s="455"/>
      <c r="R98" s="140"/>
      <c r="S98" s="140"/>
      <c r="T98" s="140"/>
      <c r="U98" s="140"/>
      <c r="V98" s="140"/>
      <c r="W98" s="140"/>
      <c r="X98" s="140"/>
      <c r="Y98" s="140"/>
      <c r="Z98" s="140"/>
      <c r="AA98" s="457"/>
      <c r="AB98" s="450">
        <f t="shared" si="33"/>
        <v>0</v>
      </c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392"/>
      <c r="AP98" s="451">
        <f t="shared" si="34"/>
        <v>0</v>
      </c>
      <c r="AQ98" s="460"/>
      <c r="AR98" s="134"/>
      <c r="AS98" s="133"/>
      <c r="AT98" s="385">
        <f t="shared" si="35"/>
        <v>0</v>
      </c>
      <c r="AU98" s="1637"/>
      <c r="AV98" s="1696"/>
      <c r="AW98" s="1696"/>
      <c r="AX98" s="1696"/>
      <c r="AY98" s="1697"/>
      <c r="AZ98" s="432">
        <f t="shared" si="36"/>
        <v>0</v>
      </c>
      <c r="BA98" s="1716"/>
      <c r="BB98" s="1623"/>
      <c r="BC98" s="1546"/>
      <c r="BD98" s="1548"/>
      <c r="BE98" s="1548"/>
      <c r="BF98" s="1717"/>
      <c r="BG98" s="1548"/>
      <c r="BH98" s="1548"/>
      <c r="BI98" s="1548"/>
      <c r="BJ98" s="1718"/>
      <c r="BK98" s="389">
        <f t="shared" si="37"/>
        <v>0</v>
      </c>
      <c r="BL98" s="140">
        <f t="shared" si="38"/>
        <v>0</v>
      </c>
      <c r="BM98" s="132"/>
      <c r="BN98" s="140">
        <f t="shared" si="39"/>
        <v>0</v>
      </c>
      <c r="BO98" s="141"/>
      <c r="BP98" s="141"/>
      <c r="BQ98" s="309"/>
      <c r="BR98" s="309"/>
      <c r="BS98" s="309"/>
      <c r="BT98" s="309"/>
      <c r="BU98" s="309"/>
      <c r="BV98" s="309"/>
      <c r="BW98" s="141"/>
      <c r="BX98" s="141"/>
      <c r="BY98" s="150"/>
      <c r="BZ98" s="141"/>
      <c r="CA98" s="141"/>
      <c r="CB98" s="390">
        <f t="shared" si="40"/>
        <v>0</v>
      </c>
      <c r="CC98" s="132"/>
    </row>
    <row r="99" ht="14.25" customHeight="1">
      <c r="A99" s="132"/>
      <c r="B99" s="444">
        <v>46109</v>
      </c>
      <c r="C99" s="133"/>
      <c r="D99" s="134"/>
      <c r="E99" s="135"/>
      <c r="F99" s="135"/>
      <c r="G99" s="445">
        <f t="shared" si="32"/>
        <v>0</v>
      </c>
      <c r="H99" s="140"/>
      <c r="I99" s="140"/>
      <c r="J99" s="454"/>
      <c r="K99" s="201"/>
      <c r="L99" s="140"/>
      <c r="M99" s="140"/>
      <c r="N99" s="140"/>
      <c r="O99" s="140"/>
      <c r="P99" s="456"/>
      <c r="Q99" s="456"/>
      <c r="R99" s="140"/>
      <c r="S99" s="140"/>
      <c r="T99" s="140"/>
      <c r="U99" s="140"/>
      <c r="V99" s="140"/>
      <c r="W99" s="140"/>
      <c r="X99" s="140"/>
      <c r="Y99" s="140"/>
      <c r="Z99" s="140"/>
      <c r="AA99" s="457"/>
      <c r="AB99" s="450">
        <f t="shared" si="33"/>
        <v>0</v>
      </c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392"/>
      <c r="AP99" s="451">
        <f t="shared" si="34"/>
        <v>0</v>
      </c>
      <c r="AQ99" s="460"/>
      <c r="AR99" s="134"/>
      <c r="AS99" s="133"/>
      <c r="AT99" s="385">
        <f t="shared" si="35"/>
        <v>0</v>
      </c>
      <c r="AU99" s="1637"/>
      <c r="AV99" s="1696"/>
      <c r="AW99" s="1696"/>
      <c r="AX99" s="1696"/>
      <c r="AY99" s="1697"/>
      <c r="AZ99" s="432">
        <f t="shared" si="36"/>
        <v>0</v>
      </c>
      <c r="BA99" s="1690"/>
      <c r="BB99" s="1623"/>
      <c r="BC99" s="1546"/>
      <c r="BD99" s="1548"/>
      <c r="BE99" s="1548"/>
      <c r="BF99" s="1626"/>
      <c r="BG99" s="1548"/>
      <c r="BH99" s="1548"/>
      <c r="BI99" s="1548"/>
      <c r="BJ99" s="1709"/>
      <c r="BK99" s="389">
        <f t="shared" si="37"/>
        <v>0</v>
      </c>
      <c r="BL99" s="140">
        <f t="shared" si="38"/>
        <v>0</v>
      </c>
      <c r="BM99" s="132"/>
      <c r="BN99" s="140">
        <f t="shared" si="39"/>
        <v>0</v>
      </c>
      <c r="BO99" s="141"/>
      <c r="BP99" s="141"/>
      <c r="BQ99" s="309"/>
      <c r="BR99" s="309"/>
      <c r="BS99" s="309"/>
      <c r="BT99" s="309"/>
      <c r="BU99" s="309"/>
      <c r="BV99" s="309"/>
      <c r="BW99" s="141"/>
      <c r="BX99" s="141"/>
      <c r="BY99" s="141"/>
      <c r="BZ99" s="141"/>
      <c r="CA99" s="141"/>
      <c r="CB99" s="390">
        <f t="shared" si="40"/>
        <v>0</v>
      </c>
      <c r="CC99" s="132"/>
    </row>
    <row r="100" ht="14.25" customHeight="1">
      <c r="A100" s="132"/>
      <c r="B100" s="444">
        <v>46110</v>
      </c>
      <c r="C100" s="497"/>
      <c r="D100" s="230"/>
      <c r="E100" s="135"/>
      <c r="F100" s="135"/>
      <c r="G100" s="445">
        <f t="shared" si="32"/>
        <v>0</v>
      </c>
      <c r="H100" s="140"/>
      <c r="I100" s="140"/>
      <c r="J100" s="454"/>
      <c r="K100" s="140"/>
      <c r="L100" s="140"/>
      <c r="M100" s="201"/>
      <c r="N100" s="140"/>
      <c r="O100" s="140"/>
      <c r="P100" s="456"/>
      <c r="Q100" s="456"/>
      <c r="R100" s="140"/>
      <c r="S100" s="140"/>
      <c r="T100" s="140"/>
      <c r="U100" s="140"/>
      <c r="V100" s="140"/>
      <c r="W100" s="140"/>
      <c r="X100" s="140"/>
      <c r="Y100" s="140"/>
      <c r="Z100" s="140"/>
      <c r="AA100" s="457"/>
      <c r="AB100" s="450">
        <f t="shared" si="33"/>
        <v>0</v>
      </c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392"/>
      <c r="AP100" s="451">
        <f t="shared" si="34"/>
        <v>0</v>
      </c>
      <c r="AQ100" s="460"/>
      <c r="AR100" s="134"/>
      <c r="AS100" s="133"/>
      <c r="AT100" s="385">
        <f t="shared" si="35"/>
        <v>0</v>
      </c>
      <c r="AU100" s="1637"/>
      <c r="AV100" s="1696"/>
      <c r="AW100" s="1696"/>
      <c r="AX100" s="1696"/>
      <c r="AY100" s="1697"/>
      <c r="AZ100" s="432">
        <f t="shared" si="36"/>
        <v>0</v>
      </c>
      <c r="BA100" s="1690"/>
      <c r="BB100" s="1623"/>
      <c r="BC100" s="1546"/>
      <c r="BD100" s="1548"/>
      <c r="BE100" s="1548"/>
      <c r="BF100" s="1626"/>
      <c r="BG100" s="1548"/>
      <c r="BH100" s="1548"/>
      <c r="BI100" s="1548"/>
      <c r="BJ100" s="1709"/>
      <c r="BK100" s="389">
        <f t="shared" si="37"/>
        <v>0</v>
      </c>
      <c r="BL100" s="140">
        <f t="shared" si="38"/>
        <v>0</v>
      </c>
      <c r="BM100" s="132"/>
      <c r="BN100" s="140">
        <f t="shared" si="39"/>
        <v>0</v>
      </c>
      <c r="BO100" s="141"/>
      <c r="BP100" s="141"/>
      <c r="BQ100" s="309"/>
      <c r="BR100" s="309"/>
      <c r="BS100" s="309"/>
      <c r="BT100" s="309"/>
      <c r="BU100" s="309"/>
      <c r="BV100" s="309"/>
      <c r="BW100" s="141"/>
      <c r="BX100" s="141"/>
      <c r="BY100" s="141"/>
      <c r="BZ100" s="141"/>
      <c r="CA100" s="141"/>
      <c r="CB100" s="390">
        <f t="shared" si="40"/>
        <v>0</v>
      </c>
      <c r="CC100" s="132"/>
    </row>
    <row r="101" ht="14.25" customHeight="1">
      <c r="A101" s="132"/>
      <c r="B101" s="444">
        <v>46111</v>
      </c>
      <c r="C101" s="133"/>
      <c r="D101" s="134"/>
      <c r="E101" s="156"/>
      <c r="F101" s="156"/>
      <c r="G101" s="445">
        <f t="shared" si="32"/>
        <v>0</v>
      </c>
      <c r="H101" s="140"/>
      <c r="I101" s="140"/>
      <c r="J101" s="454"/>
      <c r="K101" s="201"/>
      <c r="L101" s="140"/>
      <c r="M101" s="201"/>
      <c r="N101" s="140"/>
      <c r="O101" s="140"/>
      <c r="P101" s="456"/>
      <c r="Q101" s="455"/>
      <c r="R101" s="140"/>
      <c r="S101" s="140"/>
      <c r="T101" s="140"/>
      <c r="U101" s="140"/>
      <c r="V101" s="140"/>
      <c r="W101" s="140"/>
      <c r="X101" s="140"/>
      <c r="Y101" s="140"/>
      <c r="Z101" s="140"/>
      <c r="AA101" s="457"/>
      <c r="AB101" s="450">
        <f t="shared" si="33"/>
        <v>0</v>
      </c>
      <c r="AC101" s="162"/>
      <c r="AD101" s="162"/>
      <c r="AE101" s="40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403"/>
      <c r="AP101" s="498">
        <f t="shared" si="34"/>
        <v>0</v>
      </c>
      <c r="AQ101" s="460"/>
      <c r="AR101" s="134"/>
      <c r="AS101" s="133"/>
      <c r="AT101" s="385">
        <f t="shared" si="35"/>
        <v>0</v>
      </c>
      <c r="AU101" s="1705"/>
      <c r="AV101" s="1706"/>
      <c r="AW101" s="1706"/>
      <c r="AX101" s="1706"/>
      <c r="AY101" s="1707"/>
      <c r="AZ101" s="499">
        <f t="shared" si="36"/>
        <v>0</v>
      </c>
      <c r="BA101" s="1690"/>
      <c r="BB101" s="1621"/>
      <c r="BC101" s="1546"/>
      <c r="BD101" s="1548"/>
      <c r="BE101" s="1548"/>
      <c r="BF101" s="1626"/>
      <c r="BG101" s="1548"/>
      <c r="BH101" s="1548"/>
      <c r="BI101" s="1548"/>
      <c r="BJ101" s="1709"/>
      <c r="BK101" s="389">
        <f t="shared" si="37"/>
        <v>0</v>
      </c>
      <c r="BL101" s="162">
        <f t="shared" si="38"/>
        <v>0</v>
      </c>
      <c r="BM101" s="132"/>
      <c r="BN101" s="162">
        <f t="shared" si="39"/>
        <v>0</v>
      </c>
      <c r="BO101" s="141"/>
      <c r="BP101" s="141"/>
      <c r="BQ101" s="309"/>
      <c r="BR101" s="309"/>
      <c r="BS101" s="309"/>
      <c r="BT101" s="309"/>
      <c r="BU101" s="309"/>
      <c r="BV101" s="309"/>
      <c r="BW101" s="141"/>
      <c r="BX101" s="141"/>
      <c r="BY101" s="163"/>
      <c r="BZ101" s="141"/>
      <c r="CA101" s="163"/>
      <c r="CB101" s="390">
        <f t="shared" si="40"/>
        <v>0</v>
      </c>
      <c r="CC101" s="132"/>
    </row>
    <row r="102" ht="14.25" customHeight="1">
      <c r="A102" s="132"/>
      <c r="B102" s="444">
        <v>46112</v>
      </c>
      <c r="C102" s="159"/>
      <c r="D102" s="200"/>
      <c r="E102" s="155"/>
      <c r="F102" s="156"/>
      <c r="G102" s="445">
        <f t="shared" si="32"/>
        <v>0</v>
      </c>
      <c r="H102" s="162"/>
      <c r="I102" s="162"/>
      <c r="J102" s="500"/>
      <c r="K102" s="402"/>
      <c r="L102" s="162"/>
      <c r="M102" s="162"/>
      <c r="N102" s="162"/>
      <c r="O102" s="162"/>
      <c r="P102" s="501"/>
      <c r="Q102" s="502"/>
      <c r="R102" s="162"/>
      <c r="S102" s="162"/>
      <c r="T102" s="162"/>
      <c r="U102" s="162"/>
      <c r="V102" s="162"/>
      <c r="W102" s="162"/>
      <c r="X102" s="162"/>
      <c r="Y102" s="162"/>
      <c r="Z102" s="162"/>
      <c r="AA102" s="503"/>
      <c r="AB102" s="450">
        <f t="shared" si="33"/>
        <v>0</v>
      </c>
      <c r="AC102" s="40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403"/>
      <c r="AP102" s="498">
        <f t="shared" si="34"/>
        <v>0</v>
      </c>
      <c r="AQ102" s="504"/>
      <c r="AR102" s="154"/>
      <c r="AS102" s="133"/>
      <c r="AT102" s="385">
        <f t="shared" si="35"/>
        <v>0</v>
      </c>
      <c r="AU102" s="1705"/>
      <c r="AV102" s="1706"/>
      <c r="AW102" s="1706"/>
      <c r="AX102" s="1706"/>
      <c r="AY102" s="1707"/>
      <c r="AZ102" s="499">
        <f t="shared" si="36"/>
        <v>0</v>
      </c>
      <c r="BA102" s="1692"/>
      <c r="BB102" s="1719"/>
      <c r="BC102" s="1557"/>
      <c r="BD102" s="1586"/>
      <c r="BE102" s="1586"/>
      <c r="BF102" s="1660"/>
      <c r="BG102" s="1586"/>
      <c r="BH102" s="1586"/>
      <c r="BI102" s="1586"/>
      <c r="BJ102" s="1720"/>
      <c r="BK102" s="389">
        <f t="shared" si="37"/>
        <v>0</v>
      </c>
      <c r="BL102" s="162">
        <f t="shared" si="38"/>
        <v>0</v>
      </c>
      <c r="BM102" s="132"/>
      <c r="BN102" s="162">
        <f t="shared" si="39"/>
        <v>0</v>
      </c>
      <c r="BO102" s="141"/>
      <c r="BP102" s="141"/>
      <c r="BQ102" s="309"/>
      <c r="BR102" s="506"/>
      <c r="BS102" s="506"/>
      <c r="BT102" s="506"/>
      <c r="BU102" s="506"/>
      <c r="BV102" s="506"/>
      <c r="BW102" s="163"/>
      <c r="BX102" s="141"/>
      <c r="BY102" s="163"/>
      <c r="BZ102" s="141"/>
      <c r="CA102" s="163"/>
      <c r="CB102" s="390">
        <f t="shared" si="40"/>
        <v>0</v>
      </c>
      <c r="CC102" s="132"/>
    </row>
    <row r="103" ht="14.25" customHeight="1">
      <c r="A103" s="406"/>
      <c r="B103" s="507" t="s">
        <v>77</v>
      </c>
      <c r="C103" s="508">
        <f ref="C103:D103" t="shared" si="41">SUM(C72:C102)</f>
        <v>0</v>
      </c>
      <c r="D103" s="407">
        <f t="shared" si="41"/>
        <v>0</v>
      </c>
      <c r="E103" s="509">
        <f ref="E103:J103" t="shared" si="42">SUM(E72:E101)</f>
        <v>0</v>
      </c>
      <c r="F103" s="407">
        <f t="shared" si="42"/>
        <v>0</v>
      </c>
      <c r="G103" s="407">
        <f t="shared" si="42"/>
        <v>0</v>
      </c>
      <c r="H103" s="439">
        <f t="shared" si="42"/>
        <v>0</v>
      </c>
      <c r="I103" s="439">
        <f t="shared" si="42"/>
        <v>0</v>
      </c>
      <c r="J103" s="439">
        <f t="shared" si="42"/>
        <v>0</v>
      </c>
      <c r="K103" s="439">
        <f>SUM(K72:K102)</f>
        <v>0</v>
      </c>
      <c r="L103" s="439">
        <f ref="L103:P103" t="shared" si="43">SUM(L72:L101)</f>
        <v>0</v>
      </c>
      <c r="M103" s="439">
        <f t="shared" si="43"/>
        <v>0</v>
      </c>
      <c r="N103" s="439">
        <f t="shared" si="43"/>
        <v>0</v>
      </c>
      <c r="O103" s="439">
        <f t="shared" si="43"/>
        <v>0</v>
      </c>
      <c r="P103" s="439">
        <f t="shared" si="43"/>
        <v>0</v>
      </c>
      <c r="Q103" s="439">
        <f>SUM(Q72:Q102)</f>
        <v>0</v>
      </c>
      <c r="R103" s="439">
        <f ref="R103:S103" t="shared" si="44">SUM(R72:R101)</f>
        <v>0</v>
      </c>
      <c r="S103" s="439">
        <f t="shared" si="44"/>
        <v>0</v>
      </c>
      <c r="T103" s="439"/>
      <c r="U103" s="439">
        <f>SUM(U72:U102)</f>
        <v>0</v>
      </c>
      <c r="V103" s="439">
        <f ref="V103:AB103" t="shared" si="45">SUM(V72:V101)</f>
        <v>0</v>
      </c>
      <c r="W103" s="439">
        <f t="shared" si="45"/>
        <v>0</v>
      </c>
      <c r="X103" s="439">
        <f t="shared" si="45"/>
        <v>0</v>
      </c>
      <c r="Y103" s="439">
        <f t="shared" si="45"/>
        <v>0</v>
      </c>
      <c r="Z103" s="439">
        <f t="shared" si="45"/>
        <v>0</v>
      </c>
      <c r="AA103" s="439">
        <f t="shared" si="45"/>
        <v>0</v>
      </c>
      <c r="AB103" s="407">
        <f t="shared" si="45"/>
        <v>0</v>
      </c>
      <c r="AC103" s="407">
        <f>SUM(AC72:AC102)</f>
        <v>0</v>
      </c>
      <c r="AD103" s="407">
        <f ref="AD103:AE103" t="shared" si="46">SUM(AD72:AD101)</f>
        <v>0</v>
      </c>
      <c r="AE103" s="407">
        <f t="shared" si="46"/>
        <v>0</v>
      </c>
      <c r="AF103" s="407">
        <f>SUM(AF72:AF102)</f>
        <v>0</v>
      </c>
      <c r="AG103" s="407">
        <f>SUM(AG72:AG101)</f>
        <v>0</v>
      </c>
      <c r="AH103" s="407">
        <f>SUM(AH72:AH102)</f>
        <v>0</v>
      </c>
      <c r="AI103" s="407">
        <f ref="AI103:AP103" t="shared" si="47">SUM(AI72:AI101)</f>
        <v>0</v>
      </c>
      <c r="AJ103" s="407">
        <f t="shared" si="47"/>
        <v>0</v>
      </c>
      <c r="AK103" s="407">
        <f t="shared" si="47"/>
        <v>0</v>
      </c>
      <c r="AL103" s="407">
        <f t="shared" si="47"/>
        <v>0</v>
      </c>
      <c r="AM103" s="407">
        <f t="shared" si="47"/>
        <v>0</v>
      </c>
      <c r="AN103" s="407">
        <f t="shared" si="47"/>
        <v>0</v>
      </c>
      <c r="AO103" s="407">
        <f t="shared" si="47"/>
        <v>0</v>
      </c>
      <c r="AP103" s="439">
        <f t="shared" si="47"/>
        <v>0</v>
      </c>
      <c r="AQ103" s="439">
        <f ref="AQ103:AR103" t="shared" si="48">SUM(AQ72:AQ102)</f>
        <v>0</v>
      </c>
      <c r="AR103" s="439">
        <f t="shared" si="48"/>
        <v>0</v>
      </c>
      <c r="AS103" s="407">
        <f ref="AS103:AT103" t="shared" si="49">SUM(AS72:AS101)</f>
        <v>0</v>
      </c>
      <c r="AT103" s="407">
        <f t="shared" si="49"/>
        <v>0</v>
      </c>
      <c r="AU103" s="407">
        <f ref="AU103:AV103" t="shared" si="50">SUM(AU72:AU102)</f>
        <v>0</v>
      </c>
      <c r="AV103" s="407">
        <f t="shared" si="50"/>
        <v>0</v>
      </c>
      <c r="AW103" s="407">
        <f ref="AW103:AZ103" t="shared" si="51">SUM(AW72:AW101)</f>
        <v>0</v>
      </c>
      <c r="AX103" s="407">
        <f t="shared" si="51"/>
        <v>0</v>
      </c>
      <c r="AY103" s="407">
        <f t="shared" si="51"/>
        <v>0</v>
      </c>
      <c r="AZ103" s="407">
        <f t="shared" si="51"/>
        <v>0</v>
      </c>
      <c r="BA103" s="439">
        <f ref="BA103:BB103" t="shared" si="52">SUM(BA72:BA102)</f>
        <v>0</v>
      </c>
      <c r="BB103" s="438">
        <f t="shared" si="52"/>
        <v>0</v>
      </c>
      <c r="BC103" s="439">
        <f ref="BC103:BE103" t="shared" si="53">SUM(BC72:BC101)</f>
        <v>0</v>
      </c>
      <c r="BD103" s="439">
        <f t="shared" si="53"/>
        <v>0</v>
      </c>
      <c r="BE103" s="439">
        <f t="shared" si="53"/>
        <v>0</v>
      </c>
      <c r="BF103" s="439">
        <f>SUM(BF72:BF102)</f>
        <v>0</v>
      </c>
      <c r="BG103" s="439">
        <f ref="BG103:BL103" t="shared" si="54">SUM(BG72:BG101)</f>
        <v>0</v>
      </c>
      <c r="BH103" s="439">
        <f t="shared" si="54"/>
        <v>0</v>
      </c>
      <c r="BI103" s="439">
        <f t="shared" si="54"/>
        <v>0</v>
      </c>
      <c r="BJ103" s="439">
        <f t="shared" si="54"/>
        <v>0</v>
      </c>
      <c r="BK103" s="407">
        <f t="shared" si="54"/>
        <v>0</v>
      </c>
      <c r="BL103" s="407">
        <f t="shared" si="54"/>
        <v>0</v>
      </c>
      <c r="BM103" s="413"/>
      <c r="BN103" s="407">
        <f ref="BN103:CA103" t="shared" si="55">SUM(BN72:BN101)</f>
        <v>0</v>
      </c>
      <c r="BO103" s="407">
        <f t="shared" si="55"/>
        <v>0</v>
      </c>
      <c r="BP103" s="407">
        <f t="shared" si="55"/>
        <v>0</v>
      </c>
      <c r="BQ103" s="407">
        <f t="shared" si="55"/>
        <v>0</v>
      </c>
      <c r="BR103" s="439">
        <f t="shared" si="55"/>
        <v>0</v>
      </c>
      <c r="BS103" s="439">
        <f t="shared" si="55"/>
        <v>0</v>
      </c>
      <c r="BT103" s="439">
        <f t="shared" si="55"/>
        <v>0</v>
      </c>
      <c r="BU103" s="439">
        <f t="shared" si="55"/>
        <v>0</v>
      </c>
      <c r="BV103" s="439">
        <f t="shared" si="55"/>
        <v>0</v>
      </c>
      <c r="BW103" s="439">
        <f t="shared" si="55"/>
        <v>0</v>
      </c>
      <c r="BX103" s="407">
        <f t="shared" si="55"/>
        <v>0</v>
      </c>
      <c r="BY103" s="407">
        <f t="shared" si="55"/>
        <v>0</v>
      </c>
      <c r="BZ103" s="407">
        <f t="shared" si="55"/>
        <v>0</v>
      </c>
      <c r="CA103" s="407">
        <f t="shared" si="55"/>
        <v>0</v>
      </c>
      <c r="CB103" s="510">
        <f t="shared" si="40"/>
        <v>0</v>
      </c>
      <c r="CC103" s="413"/>
    </row>
    <row r="104" ht="14.25" customHeight="1">
      <c r="A104" s="1"/>
      <c r="B104" s="2"/>
      <c r="C104" s="3"/>
      <c r="D104" s="3"/>
      <c r="E104" s="3"/>
      <c r="F104" s="3"/>
      <c r="G104" s="3"/>
      <c r="H104" s="3"/>
      <c r="I104" s="3"/>
      <c r="J104" s="414"/>
      <c r="K104" s="3"/>
      <c r="L104" s="3"/>
      <c r="M104" s="3"/>
      <c r="N104" s="3"/>
      <c r="O104" s="3"/>
      <c r="P104" s="1"/>
      <c r="Q104" s="1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80"/>
      <c r="BB104" s="3"/>
      <c r="BC104" s="132"/>
      <c r="BD104" s="132"/>
      <c r="BE104" s="132"/>
      <c r="BF104" s="132"/>
      <c r="BG104" s="132"/>
      <c r="BH104" s="132"/>
      <c r="BI104" s="132"/>
      <c r="BJ104" s="132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</row>
    <row r="105" ht="14.25" customHeight="1">
      <c r="A105" s="1"/>
      <c r="B105" s="2"/>
      <c r="C105" s="3"/>
      <c r="D105" s="3"/>
      <c r="E105" s="3"/>
      <c r="F105" s="3"/>
      <c r="G105" s="3"/>
      <c r="H105" s="3"/>
      <c r="I105" s="3"/>
      <c r="J105" s="414"/>
      <c r="K105" s="3"/>
      <c r="L105" s="3"/>
      <c r="M105" s="3"/>
      <c r="N105" s="3"/>
      <c r="O105" s="3"/>
      <c r="P105" s="1"/>
      <c r="Q105" s="1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176"/>
      <c r="AQ105" s="3"/>
      <c r="AR105" s="3"/>
      <c r="AS105" s="3"/>
      <c r="AT105" s="3"/>
      <c r="AU105" s="3"/>
      <c r="AV105" s="3"/>
      <c r="AW105" s="3"/>
      <c r="AX105" s="3"/>
      <c r="AY105" s="3"/>
      <c r="AZ105" s="511"/>
      <c r="BA105" s="1"/>
      <c r="BB105" s="3"/>
      <c r="BC105" s="132"/>
      <c r="BD105" s="3"/>
      <c r="BE105" s="132"/>
      <c r="BF105" s="132"/>
      <c r="BG105" s="3"/>
      <c r="BH105" s="3"/>
      <c r="BI105" s="132"/>
      <c r="BJ105" s="132"/>
      <c r="BK105" s="511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</row>
    <row r="106" ht="14.25" customHeight="1">
      <c r="A106" s="132"/>
      <c r="B106" s="512">
        <v>46113</v>
      </c>
      <c r="C106" s="180">
        <f>46483.94-D106-0</f>
      </c>
      <c r="D106" s="181">
        <v>4678.32</v>
      </c>
      <c r="E106" s="182"/>
      <c r="F106" s="182"/>
      <c r="G106" s="513">
        <f ref="G106:G135" t="shared" si="56">+C106+D106+E106+F106</f>
        <v>0</v>
      </c>
      <c r="H106" s="195"/>
      <c r="I106" s="449"/>
      <c r="J106" s="446"/>
      <c r="K106" s="195">
        <v>10482.5</v>
      </c>
      <c r="L106" s="195"/>
      <c r="M106" s="195"/>
      <c r="N106" s="195"/>
      <c r="O106" s="195"/>
      <c r="P106" s="448">
        <v>2747</v>
      </c>
      <c r="Q106" s="447"/>
      <c r="R106" s="195"/>
      <c r="S106" s="195"/>
      <c r="T106" s="195"/>
      <c r="U106" s="195"/>
      <c r="V106" s="195"/>
      <c r="W106" s="195"/>
      <c r="X106" s="195"/>
      <c r="Y106" s="195"/>
      <c r="Z106" s="195"/>
      <c r="AA106" s="424"/>
      <c r="AB106" s="383">
        <f ref="AB106:AB135" t="shared" si="57">SUMIF(H106:AA106,"&gt;0")</f>
        <v>0</v>
      </c>
      <c r="AC106" s="449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384">
        <f ref="AP106:AP135" t="shared" si="58">SUM(AC106:AO106)</f>
        <v>0</v>
      </c>
      <c r="AQ106" s="181">
        <v>18211.86</v>
      </c>
      <c r="AR106" s="181">
        <v>2397.38</v>
      </c>
      <c r="AS106" s="190"/>
      <c r="AT106" s="422">
        <f ref="AT106:AT135" t="shared" si="59">SUM(AQ106:AS106)</f>
        <v>0</v>
      </c>
      <c r="AU106" s="423">
        <v>10.4</v>
      </c>
      <c r="AV106" s="195"/>
      <c r="AW106" s="195"/>
      <c r="AX106" s="195"/>
      <c r="AY106" s="424"/>
      <c r="AZ106" s="432">
        <f ref="AZ106:AZ135" t="shared" si="60">+G106-AB106-AP106-AT106-AU106-AW106-AX106-AY106</f>
        <v>0</v>
      </c>
      <c r="BA106" s="1685">
        <v>10344</v>
      </c>
      <c r="BB106" s="1618"/>
      <c r="BC106" s="1537"/>
      <c r="BD106" s="1539"/>
      <c r="BE106" s="1539"/>
      <c r="BF106" s="1721">
        <v>2271.4</v>
      </c>
      <c r="BG106" s="1539"/>
      <c r="BH106" s="1539"/>
      <c r="BI106" s="1539"/>
      <c r="BJ106" s="1708"/>
      <c r="BK106" s="389">
        <f ref="BK106:BK135" t="shared" si="61">SUM(BA106:BJ106)-BI106</f>
        <v>0</v>
      </c>
      <c r="BL106" s="195">
        <f ref="BL106:BL135" t="shared" si="62">+AZ106-BK106</f>
        <v>0</v>
      </c>
      <c r="BM106" s="132"/>
      <c r="BN106" s="195">
        <f ref="BN106:BN135" t="shared" si="63">SUM(BO106:CA106)</f>
        <v>0</v>
      </c>
      <c r="BO106" s="196"/>
      <c r="BP106" s="196"/>
      <c r="BQ106" s="196"/>
      <c r="BR106" s="196"/>
      <c r="BS106" s="196"/>
      <c r="BT106" s="196"/>
      <c r="BU106" s="196"/>
      <c r="BV106" s="196"/>
      <c r="BW106" s="196"/>
      <c r="BX106" s="196"/>
      <c r="BY106" s="196"/>
      <c r="BZ106" s="196"/>
      <c r="CA106" s="196"/>
      <c r="CB106" s="430">
        <f ref="CB106:CB135" t="shared" si="64">+BL106-BN106</f>
        <v>0</v>
      </c>
      <c r="CC106" s="132"/>
    </row>
    <row r="107" ht="14.25" customHeight="1">
      <c r="A107" s="5"/>
      <c r="B107" s="512">
        <v>46114</v>
      </c>
      <c r="C107" s="133">
        <f>65378.99-D107-0</f>
      </c>
      <c r="D107" s="134">
        <v>4795.09</v>
      </c>
      <c r="E107" s="135"/>
      <c r="F107" s="135"/>
      <c r="G107" s="445">
        <f t="shared" si="56"/>
        <v>0</v>
      </c>
      <c r="H107" s="140"/>
      <c r="I107" s="457"/>
      <c r="J107" s="454"/>
      <c r="K107" s="201">
        <v>19617.64</v>
      </c>
      <c r="L107" s="140"/>
      <c r="M107" s="140"/>
      <c r="N107" s="140"/>
      <c r="O107" s="140"/>
      <c r="P107" s="456"/>
      <c r="Q107" s="456"/>
      <c r="R107" s="140"/>
      <c r="S107" s="140"/>
      <c r="T107" s="140"/>
      <c r="U107" s="140"/>
      <c r="V107" s="140"/>
      <c r="W107" s="140"/>
      <c r="X107" s="140"/>
      <c r="Y107" s="140"/>
      <c r="Z107" s="140"/>
      <c r="AA107" s="392"/>
      <c r="AB107" s="383">
        <f t="shared" si="57"/>
        <v>0</v>
      </c>
      <c r="AC107" s="457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384">
        <f t="shared" si="58"/>
        <v>0</v>
      </c>
      <c r="AQ107" s="134">
        <v>23672.45</v>
      </c>
      <c r="AR107" s="134">
        <v>2176.4</v>
      </c>
      <c r="AS107" s="136"/>
      <c r="AT107" s="385">
        <f t="shared" si="59"/>
        <v>0</v>
      </c>
      <c r="AU107" s="140"/>
      <c r="AV107" s="140"/>
      <c r="AW107" s="140"/>
      <c r="AX107" s="140"/>
      <c r="AY107" s="392"/>
      <c r="AZ107" s="432">
        <f t="shared" si="60"/>
        <v>0</v>
      </c>
      <c r="BA107" s="1553">
        <v>16683.3</v>
      </c>
      <c r="BB107" s="1621"/>
      <c r="BC107" s="1546"/>
      <c r="BD107" s="1548"/>
      <c r="BE107" s="1548"/>
      <c r="BF107" s="1554">
        <v>2617.3</v>
      </c>
      <c r="BG107" s="1548"/>
      <c r="BH107" s="1548"/>
      <c r="BI107" s="1548"/>
      <c r="BJ107" s="1709"/>
      <c r="BK107" s="389">
        <f t="shared" si="61"/>
        <v>0</v>
      </c>
      <c r="BL107" s="140">
        <f t="shared" si="62"/>
        <v>0</v>
      </c>
      <c r="BM107" s="132"/>
      <c r="BN107" s="140">
        <f t="shared" si="63"/>
        <v>0</v>
      </c>
      <c r="BO107" s="141"/>
      <c r="BP107" s="141"/>
      <c r="BQ107" s="141"/>
      <c r="BR107" s="141"/>
      <c r="BS107" s="141"/>
      <c r="BT107" s="141"/>
      <c r="BU107" s="141"/>
      <c r="BV107" s="141"/>
      <c r="BW107" s="141"/>
      <c r="BX107" s="141"/>
      <c r="BY107" s="150"/>
      <c r="BZ107" s="141">
        <v>600</v>
      </c>
      <c r="CA107" s="141"/>
      <c r="CB107" s="390">
        <f t="shared" si="64"/>
        <v>0</v>
      </c>
      <c r="CC107" s="132"/>
    </row>
    <row r="108" ht="14.25" customHeight="1">
      <c r="A108" s="132"/>
      <c r="B108" s="512">
        <v>46115</v>
      </c>
      <c r="C108" s="133">
        <f>80591.59-D108-0</f>
      </c>
      <c r="D108" s="134">
        <v>5845.97</v>
      </c>
      <c r="E108" s="135"/>
      <c r="F108" s="135"/>
      <c r="G108" s="445">
        <f t="shared" si="56"/>
        <v>0</v>
      </c>
      <c r="H108" s="140"/>
      <c r="I108" s="457"/>
      <c r="J108" s="454"/>
      <c r="K108" s="201">
        <v>10148</v>
      </c>
      <c r="L108" s="140"/>
      <c r="M108" s="140"/>
      <c r="N108" s="140"/>
      <c r="O108" s="140"/>
      <c r="P108" s="456"/>
      <c r="Q108" s="456"/>
      <c r="R108" s="140"/>
      <c r="S108" s="140"/>
      <c r="T108" s="140"/>
      <c r="U108" s="140"/>
      <c r="V108" s="140"/>
      <c r="W108" s="140"/>
      <c r="X108" s="140"/>
      <c r="Y108" s="140"/>
      <c r="Z108" s="140"/>
      <c r="AA108" s="392"/>
      <c r="AB108" s="383">
        <f t="shared" si="57"/>
        <v>0</v>
      </c>
      <c r="AC108" s="514">
        <v>1302.18</v>
      </c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384">
        <f t="shared" si="58"/>
        <v>0</v>
      </c>
      <c r="AQ108" s="134">
        <v>39112.43</v>
      </c>
      <c r="AR108" s="134">
        <v>4028.68</v>
      </c>
      <c r="AS108" s="136"/>
      <c r="AT108" s="385">
        <f t="shared" si="59"/>
        <v>0</v>
      </c>
      <c r="AU108" s="140"/>
      <c r="AV108" s="140"/>
      <c r="AW108" s="140"/>
      <c r="AX108" s="140"/>
      <c r="AY108" s="392"/>
      <c r="AZ108" s="432">
        <f t="shared" si="60"/>
        <v>0</v>
      </c>
      <c r="BA108" s="1553">
        <v>18857.5</v>
      </c>
      <c r="BB108" s="1623">
        <v>5324.34</v>
      </c>
      <c r="BC108" s="1546"/>
      <c r="BD108" s="1548"/>
      <c r="BE108" s="1548"/>
      <c r="BF108" s="1554">
        <v>1816.7</v>
      </c>
      <c r="BG108" s="1548"/>
      <c r="BH108" s="1548"/>
      <c r="BI108" s="1548"/>
      <c r="BJ108" s="1709"/>
      <c r="BK108" s="389">
        <f t="shared" si="61"/>
        <v>0</v>
      </c>
      <c r="BL108" s="140">
        <f t="shared" si="62"/>
        <v>0</v>
      </c>
      <c r="BM108" s="132"/>
      <c r="BN108" s="140">
        <f t="shared" si="63"/>
        <v>0</v>
      </c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41"/>
      <c r="BY108" s="141"/>
      <c r="BZ108" s="141"/>
      <c r="CA108" s="141"/>
      <c r="CB108" s="390">
        <f t="shared" si="64"/>
        <v>0</v>
      </c>
      <c r="CC108" s="132"/>
    </row>
    <row r="109" ht="14.25" customHeight="1">
      <c r="A109" s="132"/>
      <c r="B109" s="512">
        <v>46116</v>
      </c>
      <c r="C109" s="133">
        <f>80994.33-D109-0</f>
      </c>
      <c r="D109" s="134">
        <v>8312.45</v>
      </c>
      <c r="E109" s="135"/>
      <c r="F109" s="135"/>
      <c r="G109" s="445">
        <f t="shared" si="56"/>
        <v>0</v>
      </c>
      <c r="H109" s="140"/>
      <c r="I109" s="457"/>
      <c r="J109" s="454"/>
      <c r="K109" s="140">
        <v>15458.95</v>
      </c>
      <c r="L109" s="140"/>
      <c r="M109" s="140">
        <v>432.3</v>
      </c>
      <c r="N109" s="140"/>
      <c r="O109" s="140"/>
      <c r="P109" s="456"/>
      <c r="Q109" s="455">
        <v>57.87</v>
      </c>
      <c r="R109" s="140"/>
      <c r="S109" s="140"/>
      <c r="T109" s="140"/>
      <c r="U109" s="140"/>
      <c r="V109" s="140"/>
      <c r="W109" s="140"/>
      <c r="X109" s="140"/>
      <c r="Y109" s="140"/>
      <c r="Z109" s="140"/>
      <c r="AA109" s="392"/>
      <c r="AB109" s="383">
        <f t="shared" si="57"/>
        <v>0</v>
      </c>
      <c r="AC109" s="457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384">
        <f t="shared" si="58"/>
        <v>0</v>
      </c>
      <c r="AQ109" s="134">
        <v>39141.48</v>
      </c>
      <c r="AR109" s="134">
        <v>5739.87</v>
      </c>
      <c r="AS109" s="136"/>
      <c r="AT109" s="385">
        <f t="shared" si="59"/>
        <v>0</v>
      </c>
      <c r="AU109" s="201">
        <v>1.59</v>
      </c>
      <c r="AV109" s="140"/>
      <c r="AW109" s="140"/>
      <c r="AX109" s="140"/>
      <c r="AY109" s="392"/>
      <c r="AZ109" s="432">
        <f t="shared" si="60"/>
        <v>0</v>
      </c>
      <c r="BA109" s="1553">
        <v>17619</v>
      </c>
      <c r="BB109" s="1621"/>
      <c r="BC109" s="1546"/>
      <c r="BD109" s="1548"/>
      <c r="BE109" s="1548"/>
      <c r="BF109" s="1554">
        <v>2511.4</v>
      </c>
      <c r="BG109" s="1548"/>
      <c r="BH109" s="1548"/>
      <c r="BI109" s="1548"/>
      <c r="BJ109" s="1709"/>
      <c r="BK109" s="389">
        <f t="shared" si="61"/>
        <v>0</v>
      </c>
      <c r="BL109" s="140">
        <f t="shared" si="62"/>
        <v>0</v>
      </c>
      <c r="BM109" s="132"/>
      <c r="BN109" s="140">
        <f t="shared" si="63"/>
        <v>0</v>
      </c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41"/>
      <c r="CA109" s="141"/>
      <c r="CB109" s="390">
        <f t="shared" si="64"/>
        <v>0</v>
      </c>
      <c r="CC109" s="132"/>
    </row>
    <row r="110" ht="14.25" customHeight="1">
      <c r="A110" s="5"/>
      <c r="B110" s="512">
        <v>46117</v>
      </c>
      <c r="C110" s="133">
        <f>101809.09-D110-0</f>
      </c>
      <c r="D110" s="134">
        <v>11203.4</v>
      </c>
      <c r="E110" s="135"/>
      <c r="F110" s="135"/>
      <c r="G110" s="445">
        <f t="shared" si="56"/>
        <v>0</v>
      </c>
      <c r="H110" s="140"/>
      <c r="I110" s="457"/>
      <c r="J110" s="454"/>
      <c r="K110" s="201">
        <v>16693.25</v>
      </c>
      <c r="L110" s="140"/>
      <c r="M110" s="140"/>
      <c r="N110" s="140"/>
      <c r="O110" s="140"/>
      <c r="P110" s="455">
        <v>244.27</v>
      </c>
      <c r="Q110" s="455">
        <v>215.32</v>
      </c>
      <c r="R110" s="140"/>
      <c r="S110" s="140"/>
      <c r="T110" s="140"/>
      <c r="U110" s="140"/>
      <c r="V110" s="140"/>
      <c r="W110" s="140"/>
      <c r="X110" s="140"/>
      <c r="Y110" s="140"/>
      <c r="Z110" s="140"/>
      <c r="AA110" s="392"/>
      <c r="AB110" s="383">
        <f t="shared" si="57"/>
        <v>0</v>
      </c>
      <c r="AC110" s="457"/>
      <c r="AD110" s="140"/>
      <c r="AE110" s="140"/>
      <c r="AF110" s="140"/>
      <c r="AG110" s="140"/>
      <c r="AH110" s="201">
        <v>202.92</v>
      </c>
      <c r="AI110" s="140"/>
      <c r="AJ110" s="140"/>
      <c r="AK110" s="140"/>
      <c r="AL110" s="140"/>
      <c r="AM110" s="140"/>
      <c r="AN110" s="140"/>
      <c r="AO110" s="140"/>
      <c r="AP110" s="384">
        <f t="shared" si="58"/>
        <v>0</v>
      </c>
      <c r="AQ110" s="134">
        <v>49432.21</v>
      </c>
      <c r="AR110" s="134">
        <v>8116.31</v>
      </c>
      <c r="AS110" s="136"/>
      <c r="AT110" s="385">
        <f t="shared" si="59"/>
        <v>0</v>
      </c>
      <c r="AU110" s="201">
        <v>0.88</v>
      </c>
      <c r="AV110" s="140"/>
      <c r="AW110" s="140"/>
      <c r="AX110" s="140"/>
      <c r="AY110" s="392"/>
      <c r="AZ110" s="432">
        <f t="shared" si="60"/>
        <v>0</v>
      </c>
      <c r="BA110" s="1553">
        <v>23805.9</v>
      </c>
      <c r="BB110" s="1621"/>
      <c r="BC110" s="1546"/>
      <c r="BD110" s="1548"/>
      <c r="BE110" s="1548"/>
      <c r="BF110" s="1554">
        <v>3041.6</v>
      </c>
      <c r="BG110" s="1548"/>
      <c r="BH110" s="1548"/>
      <c r="BI110" s="1548"/>
      <c r="BJ110" s="1709"/>
      <c r="BK110" s="389">
        <f t="shared" si="61"/>
        <v>0</v>
      </c>
      <c r="BL110" s="140">
        <f t="shared" si="62"/>
        <v>0</v>
      </c>
      <c r="BM110" s="132"/>
      <c r="BN110" s="140">
        <f t="shared" si="63"/>
        <v>0</v>
      </c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41"/>
      <c r="CA110" s="141"/>
      <c r="CB110" s="390">
        <f t="shared" si="64"/>
        <v>0</v>
      </c>
      <c r="CC110" s="132"/>
    </row>
    <row r="111" ht="14.25" customHeight="1">
      <c r="A111" s="132"/>
      <c r="B111" s="512">
        <v>46118</v>
      </c>
      <c r="C111" s="133">
        <f>93349.74-D111-0</f>
      </c>
      <c r="D111" s="134">
        <v>4442.44</v>
      </c>
      <c r="E111" s="135"/>
      <c r="F111" s="135"/>
      <c r="G111" s="445">
        <f t="shared" si="56"/>
        <v>0</v>
      </c>
      <c r="H111" s="140"/>
      <c r="I111" s="457"/>
      <c r="J111" s="454"/>
      <c r="K111" s="201">
        <v>33903.43</v>
      </c>
      <c r="L111" s="140"/>
      <c r="M111" s="140"/>
      <c r="N111" s="140"/>
      <c r="O111" s="140"/>
      <c r="P111" s="455">
        <v>1446.22</v>
      </c>
      <c r="Q111" s="456"/>
      <c r="R111" s="140"/>
      <c r="S111" s="140"/>
      <c r="T111" s="140"/>
      <c r="U111" s="140"/>
      <c r="V111" s="140"/>
      <c r="W111" s="140"/>
      <c r="X111" s="140"/>
      <c r="Y111" s="140"/>
      <c r="Z111" s="140"/>
      <c r="AA111" s="392"/>
      <c r="AB111" s="383">
        <f t="shared" si="57"/>
        <v>0</v>
      </c>
      <c r="AC111" s="514">
        <v>441.55</v>
      </c>
      <c r="AD111" s="140"/>
      <c r="AE111" s="201">
        <v>567</v>
      </c>
      <c r="AF111" s="140"/>
      <c r="AG111" s="140"/>
      <c r="AH111" s="201">
        <v>76.6</v>
      </c>
      <c r="AI111" s="140"/>
      <c r="AJ111" s="140"/>
      <c r="AK111" s="140"/>
      <c r="AL111" s="140"/>
      <c r="AM111" s="140"/>
      <c r="AN111" s="140"/>
      <c r="AO111" s="140"/>
      <c r="AP111" s="384">
        <f t="shared" si="58"/>
        <v>0</v>
      </c>
      <c r="AQ111" s="134">
        <v>28755.68</v>
      </c>
      <c r="AR111" s="134">
        <v>2095.21</v>
      </c>
      <c r="AS111" s="136"/>
      <c r="AT111" s="385">
        <f t="shared" si="59"/>
        <v>0</v>
      </c>
      <c r="AU111" s="201">
        <v>3.15</v>
      </c>
      <c r="AV111" s="140"/>
      <c r="AW111" s="140"/>
      <c r="AX111" s="140"/>
      <c r="AY111" s="392"/>
      <c r="AZ111" s="432">
        <f t="shared" si="60"/>
        <v>0</v>
      </c>
      <c r="BA111" s="1553">
        <v>23693.2</v>
      </c>
      <c r="BB111" s="1621"/>
      <c r="BC111" s="1546"/>
      <c r="BD111" s="1548"/>
      <c r="BE111" s="1548"/>
      <c r="BF111" s="1554">
        <v>2268.1</v>
      </c>
      <c r="BG111" s="1548"/>
      <c r="BH111" s="1548"/>
      <c r="BI111" s="1548"/>
      <c r="BJ111" s="1709"/>
      <c r="BK111" s="389">
        <f t="shared" si="61"/>
        <v>0</v>
      </c>
      <c r="BL111" s="140">
        <f t="shared" si="62"/>
        <v>0</v>
      </c>
      <c r="BM111" s="132"/>
      <c r="BN111" s="140">
        <f t="shared" si="63"/>
        <v>0</v>
      </c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41"/>
      <c r="CA111" s="141"/>
      <c r="CB111" s="390">
        <f t="shared" si="64"/>
        <v>0</v>
      </c>
      <c r="CC111" s="132"/>
    </row>
    <row r="112" ht="14.25" customHeight="1">
      <c r="A112" s="132"/>
      <c r="B112" s="512">
        <v>46119</v>
      </c>
      <c r="C112" s="133">
        <f>125380.07-D112-0</f>
      </c>
      <c r="D112" s="134">
        <v>3247.76</v>
      </c>
      <c r="E112" s="135"/>
      <c r="F112" s="135"/>
      <c r="G112" s="445">
        <f t="shared" si="56"/>
        <v>0</v>
      </c>
      <c r="H112" s="140"/>
      <c r="I112" s="457"/>
      <c r="J112" s="454"/>
      <c r="K112" s="140">
        <v>34788.2</v>
      </c>
      <c r="L112" s="140"/>
      <c r="M112" s="140">
        <v>762.15</v>
      </c>
      <c r="N112" s="140"/>
      <c r="O112" s="140"/>
      <c r="P112" s="455">
        <v>1344.99</v>
      </c>
      <c r="Q112" s="455">
        <v>24775.69</v>
      </c>
      <c r="R112" s="140"/>
      <c r="S112" s="140"/>
      <c r="T112" s="140"/>
      <c r="U112" s="140"/>
      <c r="V112" s="140"/>
      <c r="W112" s="140"/>
      <c r="X112" s="140"/>
      <c r="Y112" s="140"/>
      <c r="Z112" s="140"/>
      <c r="AA112" s="392"/>
      <c r="AB112" s="383">
        <f t="shared" si="57"/>
        <v>0</v>
      </c>
      <c r="AC112" s="514">
        <v>320</v>
      </c>
      <c r="AD112" s="140"/>
      <c r="AE112" s="140"/>
      <c r="AF112" s="140"/>
      <c r="AG112" s="140"/>
      <c r="AH112" s="201">
        <v>32.6</v>
      </c>
      <c r="AI112" s="140"/>
      <c r="AJ112" s="140"/>
      <c r="AK112" s="140"/>
      <c r="AL112" s="140"/>
      <c r="AM112" s="140"/>
      <c r="AN112" s="140"/>
      <c r="AO112" s="140"/>
      <c r="AP112" s="384">
        <f t="shared" si="58"/>
        <v>0</v>
      </c>
      <c r="AQ112" s="134">
        <v>21917.67</v>
      </c>
      <c r="AR112" s="134">
        <v>1360.38</v>
      </c>
      <c r="AS112" s="136"/>
      <c r="AT112" s="385">
        <f t="shared" si="59"/>
        <v>0</v>
      </c>
      <c r="AU112" s="140"/>
      <c r="AV112" s="140"/>
      <c r="AW112" s="140"/>
      <c r="AX112" s="140"/>
      <c r="AY112" s="392"/>
      <c r="AZ112" s="432">
        <f t="shared" si="60"/>
        <v>0</v>
      </c>
      <c r="BA112" s="1553">
        <v>37104</v>
      </c>
      <c r="BB112" s="1623">
        <v>1119.5</v>
      </c>
      <c r="BC112" s="1546"/>
      <c r="BD112" s="1548"/>
      <c r="BE112" s="1548"/>
      <c r="BF112" s="1554">
        <v>1853.4</v>
      </c>
      <c r="BG112" s="1548"/>
      <c r="BH112" s="1548"/>
      <c r="BI112" s="1548"/>
      <c r="BJ112" s="1709"/>
      <c r="BK112" s="389">
        <f t="shared" si="61"/>
        <v>0</v>
      </c>
      <c r="BL112" s="140">
        <f t="shared" si="62"/>
        <v>0</v>
      </c>
      <c r="BM112" s="132"/>
      <c r="BN112" s="140">
        <f t="shared" si="63"/>
        <v>0</v>
      </c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41"/>
      <c r="CA112" s="141"/>
      <c r="CB112" s="390">
        <f t="shared" si="64"/>
        <v>0</v>
      </c>
      <c r="CC112" s="132"/>
    </row>
    <row r="113" ht="14.25" customHeight="1">
      <c r="A113" s="5"/>
      <c r="B113" s="512">
        <v>46120</v>
      </c>
      <c r="C113" s="133">
        <f>84008.42-D113-0</f>
      </c>
      <c r="D113" s="134">
        <v>3527.72</v>
      </c>
      <c r="E113" s="135"/>
      <c r="F113" s="135"/>
      <c r="G113" s="445">
        <f t="shared" si="56"/>
        <v>0</v>
      </c>
      <c r="H113" s="140"/>
      <c r="I113" s="457"/>
      <c r="J113" s="454"/>
      <c r="K113" s="140">
        <v>39868.42</v>
      </c>
      <c r="L113" s="140"/>
      <c r="M113" s="201">
        <v>200.01</v>
      </c>
      <c r="N113" s="140"/>
      <c r="O113" s="140"/>
      <c r="P113" s="455">
        <v>433.1</v>
      </c>
      <c r="Q113" s="456">
        <v>470.02</v>
      </c>
      <c r="R113" s="140"/>
      <c r="S113" s="140"/>
      <c r="T113" s="140"/>
      <c r="U113" s="140"/>
      <c r="V113" s="140"/>
      <c r="W113" s="140"/>
      <c r="X113" s="140"/>
      <c r="Y113" s="140"/>
      <c r="Z113" s="140"/>
      <c r="AA113" s="392"/>
      <c r="AB113" s="383">
        <f t="shared" si="57"/>
        <v>0</v>
      </c>
      <c r="AC113" s="514">
        <v>1102.21</v>
      </c>
      <c r="AD113" s="140"/>
      <c r="AE113" s="140"/>
      <c r="AF113" s="140"/>
      <c r="AG113" s="140"/>
      <c r="AH113" s="201">
        <v>247.56</v>
      </c>
      <c r="AI113" s="140"/>
      <c r="AJ113" s="140"/>
      <c r="AK113" s="140"/>
      <c r="AL113" s="140"/>
      <c r="AM113" s="140"/>
      <c r="AN113" s="140"/>
      <c r="AO113" s="140"/>
      <c r="AP113" s="384">
        <f t="shared" si="58"/>
        <v>0</v>
      </c>
      <c r="AQ113" s="134">
        <v>23253.13</v>
      </c>
      <c r="AR113" s="134">
        <v>1217.74</v>
      </c>
      <c r="AS113" s="136"/>
      <c r="AT113" s="385">
        <f t="shared" si="59"/>
        <v>0</v>
      </c>
      <c r="AU113" s="201">
        <v>4.37</v>
      </c>
      <c r="AV113" s="140"/>
      <c r="AW113" s="140"/>
      <c r="AX113" s="140"/>
      <c r="AY113" s="392"/>
      <c r="AZ113" s="432">
        <f t="shared" si="60"/>
        <v>0</v>
      </c>
      <c r="BA113" s="1553">
        <v>14865.3</v>
      </c>
      <c r="BB113" s="1621"/>
      <c r="BC113" s="1546"/>
      <c r="BD113" s="1548"/>
      <c r="BE113" s="1548"/>
      <c r="BF113" s="1554">
        <v>2255.1</v>
      </c>
      <c r="BG113" s="1548"/>
      <c r="BH113" s="1548"/>
      <c r="BI113" s="1548"/>
      <c r="BJ113" s="1709"/>
      <c r="BK113" s="389">
        <f t="shared" si="61"/>
        <v>0</v>
      </c>
      <c r="BL113" s="140">
        <f t="shared" si="62"/>
        <v>0</v>
      </c>
      <c r="BM113" s="132"/>
      <c r="BN113" s="140">
        <f t="shared" si="63"/>
        <v>0</v>
      </c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50"/>
      <c r="BZ113" s="141">
        <v>84</v>
      </c>
      <c r="CA113" s="141"/>
      <c r="CB113" s="390">
        <f t="shared" si="64"/>
        <v>0</v>
      </c>
      <c r="CC113" s="132"/>
    </row>
    <row r="114" ht="14.25" customHeight="1">
      <c r="A114" s="132"/>
      <c r="B114" s="512">
        <v>46121</v>
      </c>
      <c r="C114" s="133">
        <f>104797.51-D114-0</f>
      </c>
      <c r="D114" s="134">
        <v>3803.54</v>
      </c>
      <c r="E114" s="135"/>
      <c r="F114" s="135"/>
      <c r="G114" s="445">
        <f t="shared" si="56"/>
        <v>0</v>
      </c>
      <c r="H114" s="140"/>
      <c r="I114" s="457"/>
      <c r="J114" s="454"/>
      <c r="K114" s="140">
        <v>37249.88</v>
      </c>
      <c r="L114" s="140"/>
      <c r="M114" s="140"/>
      <c r="N114" s="140"/>
      <c r="O114" s="140"/>
      <c r="P114" s="456"/>
      <c r="Q114" s="456">
        <v>3302.24</v>
      </c>
      <c r="R114" s="140"/>
      <c r="S114" s="140"/>
      <c r="T114" s="140"/>
      <c r="U114" s="140"/>
      <c r="V114" s="140"/>
      <c r="W114" s="140"/>
      <c r="X114" s="140"/>
      <c r="Y114" s="140"/>
      <c r="Z114" s="140"/>
      <c r="AA114" s="392"/>
      <c r="AB114" s="383">
        <f t="shared" si="57"/>
        <v>0</v>
      </c>
      <c r="AC114" s="457"/>
      <c r="AD114" s="140"/>
      <c r="AE114" s="201">
        <v>583.49</v>
      </c>
      <c r="AF114" s="140"/>
      <c r="AG114" s="140"/>
      <c r="AH114" s="201">
        <v>310.12</v>
      </c>
      <c r="AI114" s="140"/>
      <c r="AJ114" s="140"/>
      <c r="AK114" s="140"/>
      <c r="AL114" s="140"/>
      <c r="AM114" s="140"/>
      <c r="AN114" s="140"/>
      <c r="AO114" s="140"/>
      <c r="AP114" s="384">
        <f t="shared" si="58"/>
        <v>0</v>
      </c>
      <c r="AQ114" s="134">
        <v>36093.68</v>
      </c>
      <c r="AR114" s="134">
        <v>1465.27</v>
      </c>
      <c r="AS114" s="136"/>
      <c r="AT114" s="385">
        <f t="shared" si="59"/>
        <v>0</v>
      </c>
      <c r="AU114" s="201">
        <v>4.37</v>
      </c>
      <c r="AV114" s="140"/>
      <c r="AW114" s="140"/>
      <c r="AX114" s="140"/>
      <c r="AY114" s="392"/>
      <c r="AZ114" s="432">
        <f t="shared" si="60"/>
        <v>0</v>
      </c>
      <c r="BA114" s="1553">
        <v>23629.1</v>
      </c>
      <c r="BB114" s="1621"/>
      <c r="BC114" s="1546"/>
      <c r="BD114" s="1548"/>
      <c r="BE114" s="1548"/>
      <c r="BF114" s="1554">
        <v>2109.1</v>
      </c>
      <c r="BG114" s="1548"/>
      <c r="BH114" s="1548"/>
      <c r="BI114" s="1548"/>
      <c r="BJ114" s="1709"/>
      <c r="BK114" s="389">
        <f t="shared" si="61"/>
        <v>0</v>
      </c>
      <c r="BL114" s="140">
        <f t="shared" si="62"/>
        <v>0</v>
      </c>
      <c r="BM114" s="132"/>
      <c r="BN114" s="140">
        <f t="shared" si="63"/>
        <v>0</v>
      </c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41"/>
      <c r="CA114" s="141"/>
      <c r="CB114" s="390">
        <f t="shared" si="64"/>
        <v>0</v>
      </c>
      <c r="CC114" s="132"/>
    </row>
    <row r="115" ht="14.25" customHeight="1">
      <c r="A115" s="132"/>
      <c r="B115" s="512">
        <v>46122</v>
      </c>
      <c r="C115" s="133">
        <f>89569.87-D115-0</f>
      </c>
      <c r="D115" s="134">
        <v>4421.22</v>
      </c>
      <c r="E115" s="135"/>
      <c r="F115" s="135"/>
      <c r="G115" s="445">
        <f t="shared" si="56"/>
        <v>0</v>
      </c>
      <c r="H115" s="140"/>
      <c r="I115" s="457"/>
      <c r="J115" s="454"/>
      <c r="K115" s="140">
        <v>37547.06</v>
      </c>
      <c r="L115" s="140"/>
      <c r="M115" s="201">
        <v>186.95</v>
      </c>
      <c r="N115" s="140"/>
      <c r="O115" s="140"/>
      <c r="P115" s="456"/>
      <c r="Q115" s="455">
        <v>97.45</v>
      </c>
      <c r="R115" s="140"/>
      <c r="S115" s="140"/>
      <c r="T115" s="140"/>
      <c r="U115" s="140"/>
      <c r="V115" s="140"/>
      <c r="W115" s="140"/>
      <c r="X115" s="140"/>
      <c r="Y115" s="140"/>
      <c r="Z115" s="140"/>
      <c r="AA115" s="392"/>
      <c r="AB115" s="383">
        <f t="shared" si="57"/>
        <v>0</v>
      </c>
      <c r="AC115" s="514"/>
      <c r="AD115" s="140"/>
      <c r="AE115" s="140"/>
      <c r="AF115" s="140"/>
      <c r="AG115" s="140"/>
      <c r="AH115" s="201">
        <v>59.39</v>
      </c>
      <c r="AI115" s="140"/>
      <c r="AJ115" s="140"/>
      <c r="AK115" s="140"/>
      <c r="AL115" s="140"/>
      <c r="AM115" s="140"/>
      <c r="AN115" s="140"/>
      <c r="AO115" s="140"/>
      <c r="AP115" s="384">
        <f t="shared" si="58"/>
        <v>0</v>
      </c>
      <c r="AQ115" s="134">
        <v>22558.89</v>
      </c>
      <c r="AR115" s="134">
        <v>2254.18</v>
      </c>
      <c r="AS115" s="136"/>
      <c r="AT115" s="385">
        <f t="shared" si="59"/>
        <v>0</v>
      </c>
      <c r="AU115" s="140"/>
      <c r="AV115" s="140"/>
      <c r="AW115" s="140"/>
      <c r="AX115" s="140"/>
      <c r="AY115" s="392"/>
      <c r="AZ115" s="432">
        <f t="shared" si="60"/>
        <v>0</v>
      </c>
      <c r="BA115" s="1553">
        <v>22278.7</v>
      </c>
      <c r="BB115" s="1623">
        <v>2500</v>
      </c>
      <c r="BC115" s="1546"/>
      <c r="BD115" s="1548"/>
      <c r="BE115" s="1548"/>
      <c r="BF115" s="1554">
        <v>2107.1</v>
      </c>
      <c r="BG115" s="1548"/>
      <c r="BH115" s="1548"/>
      <c r="BI115" s="1548"/>
      <c r="BJ115" s="1709"/>
      <c r="BK115" s="389">
        <f t="shared" si="61"/>
        <v>0</v>
      </c>
      <c r="BL115" s="140">
        <f t="shared" si="62"/>
        <v>0</v>
      </c>
      <c r="BM115" s="132"/>
      <c r="BN115" s="140">
        <f t="shared" si="63"/>
        <v>0</v>
      </c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41"/>
      <c r="CA115" s="141"/>
      <c r="CB115" s="390">
        <f t="shared" si="64"/>
        <v>0</v>
      </c>
      <c r="CC115" s="132"/>
    </row>
    <row r="116" ht="14.25" customHeight="1">
      <c r="A116" s="132"/>
      <c r="B116" s="512">
        <v>46123</v>
      </c>
      <c r="C116" s="133">
        <f>61075.56-D116-0</f>
      </c>
      <c r="D116" s="134">
        <v>4329.03</v>
      </c>
      <c r="E116" s="135"/>
      <c r="F116" s="135"/>
      <c r="G116" s="445">
        <f t="shared" si="56"/>
        <v>0</v>
      </c>
      <c r="H116" s="140"/>
      <c r="I116" s="457"/>
      <c r="J116" s="454"/>
      <c r="K116" s="140">
        <v>15160.65</v>
      </c>
      <c r="L116" s="140"/>
      <c r="M116" s="140"/>
      <c r="N116" s="140"/>
      <c r="O116" s="140"/>
      <c r="P116" s="456"/>
      <c r="Q116" s="456"/>
      <c r="R116" s="140"/>
      <c r="S116" s="140"/>
      <c r="T116" s="140"/>
      <c r="U116" s="140"/>
      <c r="V116" s="140"/>
      <c r="W116" s="140"/>
      <c r="X116" s="140"/>
      <c r="Y116" s="140"/>
      <c r="Z116" s="140"/>
      <c r="AA116" s="392"/>
      <c r="AB116" s="383">
        <f t="shared" si="57"/>
        <v>0</v>
      </c>
      <c r="AC116" s="514">
        <v>454.11</v>
      </c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384">
        <f t="shared" si="58"/>
        <v>0</v>
      </c>
      <c r="AQ116" s="134">
        <v>26852.67</v>
      </c>
      <c r="AR116" s="134">
        <v>2865.55</v>
      </c>
      <c r="AS116" s="136"/>
      <c r="AT116" s="385">
        <f t="shared" si="59"/>
        <v>0</v>
      </c>
      <c r="AU116" s="201">
        <v>5.29</v>
      </c>
      <c r="AV116" s="140"/>
      <c r="AW116" s="140"/>
      <c r="AX116" s="140"/>
      <c r="AY116" s="392"/>
      <c r="AZ116" s="432">
        <f t="shared" si="60"/>
        <v>0</v>
      </c>
      <c r="BA116" s="1553"/>
      <c r="BB116" s="1621"/>
      <c r="BC116" s="1546"/>
      <c r="BD116" s="1548"/>
      <c r="BE116" s="1548"/>
      <c r="BF116" s="1554"/>
      <c r="BG116" s="1548"/>
      <c r="BH116" s="1548"/>
      <c r="BI116" s="1548"/>
      <c r="BJ116" s="1709"/>
      <c r="BK116" s="389">
        <f t="shared" si="61"/>
        <v>0</v>
      </c>
      <c r="BL116" s="140">
        <f t="shared" si="62"/>
        <v>0</v>
      </c>
      <c r="BM116" s="132"/>
      <c r="BN116" s="140">
        <f t="shared" si="63"/>
        <v>0</v>
      </c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41"/>
      <c r="CA116" s="141"/>
      <c r="CB116" s="390">
        <f t="shared" si="64"/>
        <v>0</v>
      </c>
      <c r="CC116" s="132"/>
    </row>
    <row r="117" ht="14.25" customHeight="1">
      <c r="A117" s="5"/>
      <c r="B117" s="512">
        <v>46124</v>
      </c>
      <c r="C117" s="133">
        <f>50815.99-D117-0</f>
      </c>
      <c r="D117" s="134">
        <v>4200.86</v>
      </c>
      <c r="E117" s="135"/>
      <c r="F117" s="135"/>
      <c r="G117" s="445">
        <f t="shared" si="56"/>
        <v>0</v>
      </c>
      <c r="H117" s="140"/>
      <c r="I117" s="457"/>
      <c r="J117" s="454"/>
      <c r="K117" s="201">
        <v>6151.84</v>
      </c>
      <c r="L117" s="140"/>
      <c r="M117" s="140"/>
      <c r="N117" s="140"/>
      <c r="O117" s="140"/>
      <c r="P117" s="456"/>
      <c r="Q117" s="456"/>
      <c r="R117" s="140"/>
      <c r="S117" s="140"/>
      <c r="T117" s="140"/>
      <c r="U117" s="140"/>
      <c r="V117" s="140"/>
      <c r="W117" s="140"/>
      <c r="X117" s="140"/>
      <c r="Y117" s="140"/>
      <c r="Z117" s="140"/>
      <c r="AA117" s="392"/>
      <c r="AB117" s="383">
        <f t="shared" si="57"/>
        <v>0</v>
      </c>
      <c r="AC117" s="457"/>
      <c r="AD117" s="140"/>
      <c r="AE117" s="140"/>
      <c r="AF117" s="140"/>
      <c r="AG117" s="140"/>
      <c r="AH117" s="201">
        <v>224.07</v>
      </c>
      <c r="AI117" s="140"/>
      <c r="AJ117" s="140"/>
      <c r="AK117" s="140"/>
      <c r="AL117" s="140"/>
      <c r="AM117" s="140"/>
      <c r="AN117" s="140"/>
      <c r="AO117" s="140"/>
      <c r="AP117" s="384">
        <f t="shared" si="58"/>
        <v>0</v>
      </c>
      <c r="AQ117" s="134">
        <v>19895.29</v>
      </c>
      <c r="AR117" s="134">
        <v>1879.26</v>
      </c>
      <c r="AS117" s="136"/>
      <c r="AT117" s="385">
        <f t="shared" si="59"/>
        <v>0</v>
      </c>
      <c r="AU117" s="201">
        <v>0.96</v>
      </c>
      <c r="AV117" s="140"/>
      <c r="AW117" s="140"/>
      <c r="AX117" s="140"/>
      <c r="AY117" s="392"/>
      <c r="AZ117" s="432">
        <f t="shared" si="60"/>
        <v>0</v>
      </c>
      <c r="BA117" s="1553">
        <v>19867.6</v>
      </c>
      <c r="BB117" s="1623">
        <v>310.06</v>
      </c>
      <c r="BC117" s="1546"/>
      <c r="BD117" s="1548"/>
      <c r="BE117" s="1548"/>
      <c r="BF117" s="1554">
        <v>2316.6</v>
      </c>
      <c r="BG117" s="1548"/>
      <c r="BH117" s="1548"/>
      <c r="BI117" s="1548"/>
      <c r="BJ117" s="1709"/>
      <c r="BK117" s="389">
        <f t="shared" si="61"/>
        <v>0</v>
      </c>
      <c r="BL117" s="140">
        <f t="shared" si="62"/>
        <v>0</v>
      </c>
      <c r="BM117" s="132"/>
      <c r="BN117" s="140">
        <f t="shared" si="63"/>
        <v>0</v>
      </c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41"/>
      <c r="CA117" s="141"/>
      <c r="CB117" s="390">
        <f t="shared" si="64"/>
        <v>0</v>
      </c>
      <c r="CC117" s="132"/>
    </row>
    <row r="118" ht="14.25" customHeight="1">
      <c r="A118" s="132"/>
      <c r="B118" s="512">
        <v>46125</v>
      </c>
      <c r="C118" s="133">
        <f>55964.92-D118-0</f>
      </c>
      <c r="D118" s="134">
        <v>3462.13</v>
      </c>
      <c r="E118" s="135"/>
      <c r="F118" s="135"/>
      <c r="G118" s="445">
        <f t="shared" si="56"/>
        <v>0</v>
      </c>
      <c r="H118" s="140"/>
      <c r="I118" s="457"/>
      <c r="J118" s="454"/>
      <c r="K118" s="201">
        <v>11346.17</v>
      </c>
      <c r="L118" s="140"/>
      <c r="M118" s="140"/>
      <c r="N118" s="201">
        <v>136.46</v>
      </c>
      <c r="O118" s="140"/>
      <c r="P118" s="455">
        <v>349.77</v>
      </c>
      <c r="Q118" s="455">
        <v>243.5</v>
      </c>
      <c r="R118" s="140"/>
      <c r="S118" s="140"/>
      <c r="T118" s="140"/>
      <c r="U118" s="140"/>
      <c r="V118" s="140"/>
      <c r="W118" s="140"/>
      <c r="X118" s="140"/>
      <c r="Y118" s="140"/>
      <c r="Z118" s="140"/>
      <c r="AA118" s="392"/>
      <c r="AB118" s="383">
        <f t="shared" si="57"/>
        <v>0</v>
      </c>
      <c r="AC118" s="457"/>
      <c r="AD118" s="140"/>
      <c r="AE118" s="201">
        <v>507.09</v>
      </c>
      <c r="AF118" s="140"/>
      <c r="AG118" s="140"/>
      <c r="AH118" s="201">
        <v>45.06</v>
      </c>
      <c r="AI118" s="140"/>
      <c r="AJ118" s="140"/>
      <c r="AK118" s="140"/>
      <c r="AL118" s="140"/>
      <c r="AM118" s="140"/>
      <c r="AN118" s="140"/>
      <c r="AO118" s="140"/>
      <c r="AP118" s="384">
        <f t="shared" si="58"/>
        <v>0</v>
      </c>
      <c r="AQ118" s="134">
        <v>22300.71</v>
      </c>
      <c r="AR118" s="134">
        <v>1815.38</v>
      </c>
      <c r="AS118" s="136"/>
      <c r="AT118" s="385">
        <f t="shared" si="59"/>
        <v>0</v>
      </c>
      <c r="AU118" s="140"/>
      <c r="AV118" s="140"/>
      <c r="AW118" s="140"/>
      <c r="AX118" s="140"/>
      <c r="AY118" s="392"/>
      <c r="AZ118" s="432">
        <f t="shared" si="60"/>
        <v>0</v>
      </c>
      <c r="BA118" s="1553">
        <v>17563.7</v>
      </c>
      <c r="BB118" s="1621"/>
      <c r="BC118" s="1546"/>
      <c r="BD118" s="1548"/>
      <c r="BE118" s="1548"/>
      <c r="BF118" s="1554">
        <v>1598.3</v>
      </c>
      <c r="BG118" s="1548"/>
      <c r="BH118" s="1548"/>
      <c r="BI118" s="1548"/>
      <c r="BJ118" s="1709"/>
      <c r="BK118" s="389">
        <f t="shared" si="61"/>
        <v>0</v>
      </c>
      <c r="BL118" s="140">
        <f t="shared" si="62"/>
        <v>0</v>
      </c>
      <c r="BM118" s="132"/>
      <c r="BN118" s="140">
        <f t="shared" si="63"/>
        <v>0</v>
      </c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41"/>
      <c r="CA118" s="141"/>
      <c r="CB118" s="390">
        <f t="shared" si="64"/>
        <v>0</v>
      </c>
      <c r="CC118" s="132"/>
    </row>
    <row r="119" ht="14.25" customHeight="1">
      <c r="A119" s="132"/>
      <c r="B119" s="512">
        <v>46126</v>
      </c>
      <c r="C119" s="133">
        <f>80375.26-D119-0</f>
      </c>
      <c r="D119" s="134">
        <v>2239.54</v>
      </c>
      <c r="E119" s="135"/>
      <c r="F119" s="135"/>
      <c r="G119" s="445">
        <f t="shared" si="56"/>
        <v>0</v>
      </c>
      <c r="H119" s="140"/>
      <c r="I119" s="457"/>
      <c r="J119" s="454"/>
      <c r="K119" s="140">
        <v>36960.04</v>
      </c>
      <c r="L119" s="140"/>
      <c r="M119" s="140">
        <v>352.28</v>
      </c>
      <c r="N119" s="140"/>
      <c r="O119" s="140"/>
      <c r="P119" s="456"/>
      <c r="Q119" s="456"/>
      <c r="R119" s="140"/>
      <c r="S119" s="140"/>
      <c r="T119" s="140"/>
      <c r="U119" s="140"/>
      <c r="V119" s="140"/>
      <c r="W119" s="140"/>
      <c r="X119" s="140"/>
      <c r="Y119" s="140"/>
      <c r="Z119" s="140"/>
      <c r="AA119" s="392"/>
      <c r="AB119" s="383">
        <f t="shared" si="57"/>
        <v>0</v>
      </c>
      <c r="AC119" s="514">
        <v>283.67</v>
      </c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384">
        <f t="shared" si="58"/>
        <v>0</v>
      </c>
      <c r="AQ119" s="134">
        <v>20905.49</v>
      </c>
      <c r="AR119" s="134">
        <v>849.15</v>
      </c>
      <c r="AS119" s="136"/>
      <c r="AT119" s="385">
        <f t="shared" si="59"/>
        <v>0</v>
      </c>
      <c r="AU119" s="140"/>
      <c r="AV119" s="140"/>
      <c r="AW119" s="140"/>
      <c r="AX119" s="140"/>
      <c r="AY119" s="392"/>
      <c r="AZ119" s="432">
        <f t="shared" si="60"/>
        <v>0</v>
      </c>
      <c r="BA119" s="1553">
        <v>19364.4</v>
      </c>
      <c r="BB119" s="1621"/>
      <c r="BC119" s="1546"/>
      <c r="BD119" s="1548"/>
      <c r="BE119" s="1548"/>
      <c r="BF119" s="1554">
        <v>1266.9</v>
      </c>
      <c r="BG119" s="1548"/>
      <c r="BH119" s="1548"/>
      <c r="BI119" s="1548"/>
      <c r="BJ119" s="1709"/>
      <c r="BK119" s="389">
        <f t="shared" si="61"/>
        <v>0</v>
      </c>
      <c r="BL119" s="140">
        <f t="shared" si="62"/>
        <v>0</v>
      </c>
      <c r="BM119" s="132"/>
      <c r="BN119" s="140">
        <f t="shared" si="63"/>
        <v>0</v>
      </c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41"/>
      <c r="BY119" s="141"/>
      <c r="BZ119" s="141"/>
      <c r="CA119" s="141"/>
      <c r="CB119" s="390">
        <f t="shared" si="64"/>
        <v>0</v>
      </c>
      <c r="CC119" s="132"/>
    </row>
    <row r="120" ht="14.25" customHeight="1">
      <c r="A120" s="132"/>
      <c r="B120" s="512">
        <v>46127</v>
      </c>
      <c r="C120" s="133">
        <f>48028.36-D120-0</f>
      </c>
      <c r="D120" s="134">
        <v>3384.32</v>
      </c>
      <c r="E120" s="135"/>
      <c r="F120" s="135"/>
      <c r="G120" s="445">
        <f t="shared" si="56"/>
        <v>0</v>
      </c>
      <c r="H120" s="140"/>
      <c r="I120" s="457"/>
      <c r="J120" s="454"/>
      <c r="K120" s="140">
        <v>5536.13</v>
      </c>
      <c r="L120" s="140"/>
      <c r="M120" s="140">
        <v>1844.34</v>
      </c>
      <c r="N120" s="140"/>
      <c r="O120" s="140"/>
      <c r="P120" s="456"/>
      <c r="Q120" s="456">
        <v>1861.06</v>
      </c>
      <c r="R120" s="140"/>
      <c r="S120" s="140"/>
      <c r="T120" s="140"/>
      <c r="U120" s="140"/>
      <c r="V120" s="140"/>
      <c r="W120" s="140"/>
      <c r="X120" s="140"/>
      <c r="Y120" s="140"/>
      <c r="Z120" s="140"/>
      <c r="AA120" s="392"/>
      <c r="AB120" s="383">
        <f t="shared" si="57"/>
        <v>0</v>
      </c>
      <c r="AC120" s="457"/>
      <c r="AD120" s="140"/>
      <c r="AE120" s="201">
        <v>324.97</v>
      </c>
      <c r="AF120" s="140"/>
      <c r="AG120" s="140"/>
      <c r="AH120" s="201">
        <v>234.48</v>
      </c>
      <c r="AI120" s="140"/>
      <c r="AJ120" s="140"/>
      <c r="AK120" s="140"/>
      <c r="AL120" s="140"/>
      <c r="AM120" s="140"/>
      <c r="AN120" s="140"/>
      <c r="AO120" s="140"/>
      <c r="AP120" s="384">
        <f t="shared" si="58"/>
        <v>0</v>
      </c>
      <c r="AQ120" s="134">
        <v>20085.43</v>
      </c>
      <c r="AR120" s="134">
        <v>1458.71</v>
      </c>
      <c r="AS120" s="136"/>
      <c r="AT120" s="385">
        <f t="shared" si="59"/>
        <v>0</v>
      </c>
      <c r="AU120" s="201">
        <v>8.86</v>
      </c>
      <c r="AV120" s="140"/>
      <c r="AW120" s="140"/>
      <c r="AX120" s="140"/>
      <c r="AY120" s="392"/>
      <c r="AZ120" s="432">
        <f t="shared" si="60"/>
        <v>0</v>
      </c>
      <c r="BA120" s="1553">
        <v>13687.1</v>
      </c>
      <c r="BB120" s="1623">
        <v>1139.24</v>
      </c>
      <c r="BC120" s="1546"/>
      <c r="BD120" s="1548"/>
      <c r="BE120" s="1548"/>
      <c r="BF120" s="1554">
        <v>1808.2</v>
      </c>
      <c r="BG120" s="1548"/>
      <c r="BH120" s="1548"/>
      <c r="BI120" s="1548"/>
      <c r="BJ120" s="1709"/>
      <c r="BK120" s="389">
        <f t="shared" si="61"/>
        <v>0</v>
      </c>
      <c r="BL120" s="140">
        <f t="shared" si="62"/>
        <v>0</v>
      </c>
      <c r="BM120" s="132"/>
      <c r="BN120" s="140">
        <f t="shared" si="63"/>
        <v>0</v>
      </c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41"/>
      <c r="CA120" s="141"/>
      <c r="CB120" s="390">
        <f t="shared" si="64"/>
        <v>0</v>
      </c>
      <c r="CC120" s="132"/>
    </row>
    <row r="121" ht="14.25" customHeight="1">
      <c r="A121" s="132"/>
      <c r="B121" s="512">
        <v>46128</v>
      </c>
      <c r="C121" s="133">
        <f>42237.80-D121-0</f>
      </c>
      <c r="D121" s="134">
        <v>3438.25</v>
      </c>
      <c r="E121" s="135"/>
      <c r="F121" s="135"/>
      <c r="G121" s="445">
        <f t="shared" si="56"/>
        <v>0</v>
      </c>
      <c r="H121" s="140"/>
      <c r="I121" s="457"/>
      <c r="J121" s="454"/>
      <c r="K121" s="201"/>
      <c r="L121" s="140"/>
      <c r="M121" s="140"/>
      <c r="N121" s="140"/>
      <c r="O121" s="140"/>
      <c r="P121" s="455">
        <v>377.36</v>
      </c>
      <c r="Q121" s="456"/>
      <c r="R121" s="140"/>
      <c r="S121" s="140"/>
      <c r="T121" s="140"/>
      <c r="U121" s="140"/>
      <c r="V121" s="140"/>
      <c r="W121" s="140"/>
      <c r="X121" s="140"/>
      <c r="Y121" s="140"/>
      <c r="Z121" s="140"/>
      <c r="AA121" s="392"/>
      <c r="AB121" s="383">
        <f t="shared" si="57"/>
        <v>0</v>
      </c>
      <c r="AC121" s="457"/>
      <c r="AD121" s="140"/>
      <c r="AE121" s="140"/>
      <c r="AF121" s="140"/>
      <c r="AG121" s="140"/>
      <c r="AH121" s="201">
        <v>69.71</v>
      </c>
      <c r="AI121" s="140"/>
      <c r="AJ121" s="140"/>
      <c r="AK121" s="140"/>
      <c r="AL121" s="140"/>
      <c r="AM121" s="140"/>
      <c r="AN121" s="140"/>
      <c r="AO121" s="140"/>
      <c r="AP121" s="384">
        <f t="shared" si="58"/>
        <v>0</v>
      </c>
      <c r="AQ121" s="134">
        <v>21291.96</v>
      </c>
      <c r="AR121" s="134">
        <v>1218.67</v>
      </c>
      <c r="AS121" s="136"/>
      <c r="AT121" s="385">
        <f t="shared" si="59"/>
        <v>0</v>
      </c>
      <c r="AU121" s="201">
        <v>4.4</v>
      </c>
      <c r="AV121" s="140"/>
      <c r="AW121" s="140"/>
      <c r="AX121" s="140"/>
      <c r="AY121" s="392"/>
      <c r="AZ121" s="432">
        <f t="shared" si="60"/>
        <v>0</v>
      </c>
      <c r="BA121" s="1553">
        <v>17064</v>
      </c>
      <c r="BB121" s="1621"/>
      <c r="BC121" s="1546"/>
      <c r="BD121" s="1548"/>
      <c r="BE121" s="1548"/>
      <c r="BF121" s="1554">
        <v>2149.5</v>
      </c>
      <c r="BG121" s="1548"/>
      <c r="BH121" s="1548"/>
      <c r="BI121" s="1548"/>
      <c r="BJ121" s="1709"/>
      <c r="BK121" s="389">
        <f t="shared" si="61"/>
        <v>0</v>
      </c>
      <c r="BL121" s="140">
        <f t="shared" si="62"/>
        <v>0</v>
      </c>
      <c r="BM121" s="132"/>
      <c r="BN121" s="140">
        <f t="shared" si="63"/>
        <v>0</v>
      </c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41"/>
      <c r="CA121" s="141"/>
      <c r="CB121" s="390">
        <f t="shared" si="64"/>
        <v>0</v>
      </c>
      <c r="CC121" s="132"/>
    </row>
    <row r="122" ht="14.25" customHeight="1">
      <c r="A122" s="132"/>
      <c r="B122" s="512">
        <v>46129</v>
      </c>
      <c r="C122" s="133">
        <f>65300.03-D122-0</f>
      </c>
      <c r="D122" s="134">
        <v>4326.13</v>
      </c>
      <c r="E122" s="135"/>
      <c r="F122" s="135"/>
      <c r="G122" s="445">
        <f t="shared" si="56"/>
        <v>0</v>
      </c>
      <c r="H122" s="140"/>
      <c r="I122" s="457"/>
      <c r="J122" s="454"/>
      <c r="K122" s="140">
        <v>13860.03</v>
      </c>
      <c r="L122" s="140"/>
      <c r="M122" s="201">
        <v>140.64</v>
      </c>
      <c r="N122" s="140"/>
      <c r="O122" s="140"/>
      <c r="P122" s="455">
        <v>385.37</v>
      </c>
      <c r="Q122" s="455">
        <v>241.27</v>
      </c>
      <c r="R122" s="140"/>
      <c r="S122" s="140"/>
      <c r="T122" s="140"/>
      <c r="U122" s="140"/>
      <c r="V122" s="140"/>
      <c r="W122" s="140"/>
      <c r="X122" s="140"/>
      <c r="Y122" s="140"/>
      <c r="Z122" s="140"/>
      <c r="AA122" s="392"/>
      <c r="AB122" s="383">
        <f t="shared" si="57"/>
        <v>0</v>
      </c>
      <c r="AC122" s="514">
        <v>450.56</v>
      </c>
      <c r="AD122" s="140"/>
      <c r="AE122" s="201">
        <v>416.68</v>
      </c>
      <c r="AF122" s="140"/>
      <c r="AG122" s="140"/>
      <c r="AH122" s="201">
        <v>168.03</v>
      </c>
      <c r="AI122" s="140"/>
      <c r="AJ122" s="140"/>
      <c r="AK122" s="140"/>
      <c r="AL122" s="140"/>
      <c r="AM122" s="140"/>
      <c r="AN122" s="140"/>
      <c r="AO122" s="140"/>
      <c r="AP122" s="384">
        <f t="shared" si="58"/>
        <v>0</v>
      </c>
      <c r="AQ122" s="134">
        <v>21668.79</v>
      </c>
      <c r="AR122" s="134">
        <v>2234.56</v>
      </c>
      <c r="AS122" s="136"/>
      <c r="AT122" s="385">
        <f t="shared" si="59"/>
        <v>0</v>
      </c>
      <c r="AU122" s="201">
        <v>0.68</v>
      </c>
      <c r="AV122" s="140"/>
      <c r="AW122" s="140"/>
      <c r="AX122" s="140"/>
      <c r="AY122" s="392"/>
      <c r="AZ122" s="432">
        <f t="shared" si="60"/>
        <v>0</v>
      </c>
      <c r="BA122" s="1553">
        <v>20763.2</v>
      </c>
      <c r="BB122" s="1623">
        <v>2890.91</v>
      </c>
      <c r="BC122" s="1546"/>
      <c r="BD122" s="1548"/>
      <c r="BE122" s="1548"/>
      <c r="BF122" s="1554">
        <v>2054.8</v>
      </c>
      <c r="BG122" s="1548"/>
      <c r="BH122" s="1548"/>
      <c r="BI122" s="1548"/>
      <c r="BJ122" s="1709"/>
      <c r="BK122" s="389">
        <f t="shared" si="61"/>
        <v>0</v>
      </c>
      <c r="BL122" s="140">
        <f t="shared" si="62"/>
        <v>0</v>
      </c>
      <c r="BM122" s="132"/>
      <c r="BN122" s="140">
        <f t="shared" si="63"/>
        <v>0</v>
      </c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41"/>
      <c r="CA122" s="141"/>
      <c r="CB122" s="390">
        <f t="shared" si="64"/>
        <v>0</v>
      </c>
      <c r="CC122" s="132"/>
    </row>
    <row r="123" ht="14.25" customHeight="1">
      <c r="A123" s="132"/>
      <c r="B123" s="512">
        <v>46130</v>
      </c>
      <c r="C123" s="133">
        <f>42871.70-D123-0</f>
      </c>
      <c r="D123" s="134">
        <v>4789.91</v>
      </c>
      <c r="E123" s="135"/>
      <c r="F123" s="135"/>
      <c r="G123" s="445">
        <f t="shared" si="56"/>
        <v>0</v>
      </c>
      <c r="H123" s="140"/>
      <c r="I123" s="457"/>
      <c r="J123" s="454"/>
      <c r="K123" s="201">
        <v>586.53</v>
      </c>
      <c r="L123" s="140"/>
      <c r="M123" s="140">
        <v>1712.52</v>
      </c>
      <c r="N123" s="140"/>
      <c r="O123" s="140"/>
      <c r="P123" s="456"/>
      <c r="Q123" s="455">
        <v>644.79</v>
      </c>
      <c r="R123" s="140"/>
      <c r="S123" s="140"/>
      <c r="T123" s="140"/>
      <c r="U123" s="140"/>
      <c r="V123" s="140"/>
      <c r="W123" s="140"/>
      <c r="X123" s="140"/>
      <c r="Y123" s="140"/>
      <c r="Z123" s="140"/>
      <c r="AA123" s="392"/>
      <c r="AB123" s="383">
        <f t="shared" si="57"/>
        <v>0</v>
      </c>
      <c r="AC123" s="457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384">
        <f t="shared" si="58"/>
        <v>0</v>
      </c>
      <c r="AQ123" s="134">
        <v>22570.39</v>
      </c>
      <c r="AR123" s="134">
        <v>2226.98</v>
      </c>
      <c r="AS123" s="136"/>
      <c r="AT123" s="385">
        <f t="shared" si="59"/>
        <v>0</v>
      </c>
      <c r="AU123" s="201">
        <v>6.53</v>
      </c>
      <c r="AV123" s="140"/>
      <c r="AW123" s="140"/>
      <c r="AX123" s="140"/>
      <c r="AY123" s="392"/>
      <c r="AZ123" s="432">
        <f t="shared" si="60"/>
        <v>0</v>
      </c>
      <c r="BA123" s="1553">
        <v>12560.9</v>
      </c>
      <c r="BB123" s="1621"/>
      <c r="BC123" s="1546"/>
      <c r="BD123" s="1548"/>
      <c r="BE123" s="1548"/>
      <c r="BF123" s="1554">
        <v>2561.5</v>
      </c>
      <c r="BG123" s="1548"/>
      <c r="BH123" s="1548"/>
      <c r="BI123" s="1548"/>
      <c r="BJ123" s="1709"/>
      <c r="BK123" s="389">
        <f t="shared" si="61"/>
        <v>0</v>
      </c>
      <c r="BL123" s="140">
        <f t="shared" si="62"/>
        <v>0</v>
      </c>
      <c r="BM123" s="132"/>
      <c r="BN123" s="140">
        <f t="shared" si="63"/>
        <v>0</v>
      </c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41"/>
      <c r="CA123" s="141"/>
      <c r="CB123" s="390">
        <f t="shared" si="64"/>
        <v>0</v>
      </c>
      <c r="CC123" s="132"/>
    </row>
    <row r="124" ht="14.25" customHeight="1">
      <c r="A124" s="132"/>
      <c r="B124" s="512">
        <v>46131</v>
      </c>
      <c r="C124" s="133">
        <f>30778.05-D124-0</f>
      </c>
      <c r="D124" s="134">
        <v>5427.62</v>
      </c>
      <c r="E124" s="135"/>
      <c r="F124" s="135"/>
      <c r="G124" s="445">
        <f t="shared" si="56"/>
        <v>0</v>
      </c>
      <c r="H124" s="140"/>
      <c r="I124" s="457"/>
      <c r="J124" s="454"/>
      <c r="K124" s="140"/>
      <c r="L124" s="140"/>
      <c r="M124" s="140"/>
      <c r="N124" s="140"/>
      <c r="O124" s="140"/>
      <c r="P124" s="456"/>
      <c r="Q124" s="456"/>
      <c r="R124" s="140"/>
      <c r="S124" s="140"/>
      <c r="T124" s="140"/>
      <c r="U124" s="140"/>
      <c r="V124" s="140"/>
      <c r="W124" s="140"/>
      <c r="X124" s="140"/>
      <c r="Y124" s="140"/>
      <c r="Z124" s="140"/>
      <c r="AA124" s="392"/>
      <c r="AB124" s="383">
        <f t="shared" si="57"/>
        <v>0</v>
      </c>
      <c r="AC124" s="457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384">
        <f t="shared" si="58"/>
        <v>0</v>
      </c>
      <c r="AQ124" s="134">
        <v>4789.9</v>
      </c>
      <c r="AR124" s="134">
        <v>1458.11</v>
      </c>
      <c r="AS124" s="136"/>
      <c r="AT124" s="385">
        <f t="shared" si="59"/>
        <v>0</v>
      </c>
      <c r="AU124" s="201">
        <v>0.43</v>
      </c>
      <c r="AV124" s="140"/>
      <c r="AW124" s="140"/>
      <c r="AX124" s="140"/>
      <c r="AY124" s="392"/>
      <c r="AZ124" s="432">
        <f t="shared" si="60"/>
        <v>0</v>
      </c>
      <c r="BA124" s="1553">
        <v>20175.4</v>
      </c>
      <c r="BB124" s="1623">
        <v>284.91</v>
      </c>
      <c r="BC124" s="1546"/>
      <c r="BD124" s="1548"/>
      <c r="BE124" s="1548"/>
      <c r="BF124" s="1554">
        <v>3969.8</v>
      </c>
      <c r="BG124" s="1548"/>
      <c r="BH124" s="1548"/>
      <c r="BI124" s="1548"/>
      <c r="BJ124" s="1709"/>
      <c r="BK124" s="389">
        <f t="shared" si="61"/>
        <v>0</v>
      </c>
      <c r="BL124" s="140">
        <f t="shared" si="62"/>
        <v>0</v>
      </c>
      <c r="BM124" s="132"/>
      <c r="BN124" s="140">
        <f t="shared" si="63"/>
        <v>0</v>
      </c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41"/>
      <c r="CA124" s="141"/>
      <c r="CB124" s="390">
        <f t="shared" si="64"/>
        <v>0</v>
      </c>
      <c r="CC124" s="132"/>
    </row>
    <row r="125" ht="14.25" customHeight="1">
      <c r="A125" s="132"/>
      <c r="B125" s="512">
        <v>46132</v>
      </c>
      <c r="C125" s="133">
        <f>55411.00-D125-0</f>
      </c>
      <c r="D125" s="134">
        <v>3317.53</v>
      </c>
      <c r="E125" s="135"/>
      <c r="F125" s="135"/>
      <c r="G125" s="445">
        <f t="shared" si="56"/>
        <v>0</v>
      </c>
      <c r="H125" s="140"/>
      <c r="I125" s="457"/>
      <c r="J125" s="454"/>
      <c r="K125" s="140">
        <v>13038.17</v>
      </c>
      <c r="L125" s="140"/>
      <c r="M125" s="140"/>
      <c r="N125" s="140"/>
      <c r="O125" s="140"/>
      <c r="P125" s="455">
        <v>2539.9</v>
      </c>
      <c r="Q125" s="455">
        <v>315.87</v>
      </c>
      <c r="R125" s="140"/>
      <c r="S125" s="140"/>
      <c r="T125" s="140"/>
      <c r="U125" s="140"/>
      <c r="V125" s="140"/>
      <c r="W125" s="140"/>
      <c r="X125" s="140"/>
      <c r="Y125" s="140"/>
      <c r="Z125" s="140"/>
      <c r="AA125" s="392"/>
      <c r="AB125" s="383">
        <f t="shared" si="57"/>
        <v>0</v>
      </c>
      <c r="AC125" s="514">
        <v>280.2</v>
      </c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384">
        <f t="shared" si="58"/>
        <v>0</v>
      </c>
      <c r="AQ125" s="134">
        <v>20079.45</v>
      </c>
      <c r="AR125" s="134">
        <v>1734.14</v>
      </c>
      <c r="AS125" s="136"/>
      <c r="AT125" s="385">
        <f t="shared" si="59"/>
        <v>0</v>
      </c>
      <c r="AU125" s="140">
        <v>2.37</v>
      </c>
      <c r="AV125" s="140"/>
      <c r="AW125" s="140"/>
      <c r="AX125" s="140"/>
      <c r="AY125" s="392"/>
      <c r="AZ125" s="432">
        <f t="shared" si="60"/>
        <v>0</v>
      </c>
      <c r="BA125" s="1722">
        <v>15730.3</v>
      </c>
      <c r="BB125" s="1621"/>
      <c r="BC125" s="1546"/>
      <c r="BD125" s="1548"/>
      <c r="BE125" s="1548"/>
      <c r="BF125" s="1723">
        <v>1581.8</v>
      </c>
      <c r="BG125" s="1548"/>
      <c r="BH125" s="1548"/>
      <c r="BI125" s="1548"/>
      <c r="BJ125" s="1709"/>
      <c r="BK125" s="389">
        <f t="shared" si="61"/>
        <v>0</v>
      </c>
      <c r="BL125" s="140">
        <f t="shared" si="62"/>
        <v>0</v>
      </c>
      <c r="BM125" s="132"/>
      <c r="BN125" s="140">
        <f t="shared" si="63"/>
        <v>0</v>
      </c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41"/>
      <c r="CA125" s="141"/>
      <c r="CB125" s="390">
        <f t="shared" si="64"/>
        <v>0</v>
      </c>
      <c r="CC125" s="132"/>
    </row>
    <row r="126" ht="14.25" customHeight="1">
      <c r="A126" s="132"/>
      <c r="B126" s="512">
        <v>46133</v>
      </c>
      <c r="C126" s="133">
        <f>45063.16-D126-0</f>
      </c>
      <c r="D126" s="134">
        <v>4438.15</v>
      </c>
      <c r="E126" s="135"/>
      <c r="F126" s="135"/>
      <c r="G126" s="445">
        <f t="shared" si="56"/>
        <v>0</v>
      </c>
      <c r="H126" s="140"/>
      <c r="I126" s="457"/>
      <c r="J126" s="454"/>
      <c r="K126" s="140">
        <v>5088.46</v>
      </c>
      <c r="L126" s="140"/>
      <c r="M126" s="140"/>
      <c r="N126" s="140"/>
      <c r="O126" s="140"/>
      <c r="P126" s="456"/>
      <c r="Q126" s="456">
        <v>626.09</v>
      </c>
      <c r="R126" s="140"/>
      <c r="S126" s="140"/>
      <c r="T126" s="140"/>
      <c r="U126" s="140"/>
      <c r="V126" s="140"/>
      <c r="W126" s="140"/>
      <c r="X126" s="140"/>
      <c r="Y126" s="140"/>
      <c r="Z126" s="140"/>
      <c r="AA126" s="392"/>
      <c r="AB126" s="383">
        <f t="shared" si="57"/>
        <v>0</v>
      </c>
      <c r="AC126" s="457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384">
        <f t="shared" si="58"/>
        <v>0</v>
      </c>
      <c r="AQ126" s="134">
        <v>21071.86</v>
      </c>
      <c r="AR126" s="134">
        <v>2258.87</v>
      </c>
      <c r="AS126" s="136"/>
      <c r="AT126" s="385">
        <f t="shared" si="59"/>
        <v>0</v>
      </c>
      <c r="AU126" s="201">
        <v>7.94</v>
      </c>
      <c r="AV126" s="140"/>
      <c r="AW126" s="140"/>
      <c r="AX126" s="140"/>
      <c r="AY126" s="392"/>
      <c r="AZ126" s="432">
        <f t="shared" si="60"/>
        <v>0</v>
      </c>
      <c r="BA126" s="1722">
        <v>13868.8</v>
      </c>
      <c r="BB126" s="1621"/>
      <c r="BC126" s="1546"/>
      <c r="BD126" s="1548"/>
      <c r="BE126" s="1548"/>
      <c r="BF126" s="1723">
        <v>2127.6</v>
      </c>
      <c r="BG126" s="1548"/>
      <c r="BH126" s="1548"/>
      <c r="BI126" s="1548"/>
      <c r="BJ126" s="1709"/>
      <c r="BK126" s="389">
        <f t="shared" si="61"/>
        <v>0</v>
      </c>
      <c r="BL126" s="140">
        <f t="shared" si="62"/>
        <v>0</v>
      </c>
      <c r="BM126" s="132"/>
      <c r="BN126" s="140">
        <f t="shared" si="63"/>
        <v>0</v>
      </c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41"/>
      <c r="CA126" s="141"/>
      <c r="CB126" s="390">
        <f t="shared" si="64"/>
        <v>0</v>
      </c>
      <c r="CC126" s="132"/>
    </row>
    <row r="127" ht="14.25" customHeight="1">
      <c r="A127" s="132"/>
      <c r="B127" s="512">
        <v>46134</v>
      </c>
      <c r="C127" s="133">
        <f>101257.14-D127-0</f>
      </c>
      <c r="D127" s="134">
        <v>3535.77</v>
      </c>
      <c r="E127" s="135"/>
      <c r="F127" s="135"/>
      <c r="G127" s="445">
        <f t="shared" si="56"/>
        <v>0</v>
      </c>
      <c r="H127" s="140"/>
      <c r="I127" s="457"/>
      <c r="J127" s="454"/>
      <c r="K127" s="140">
        <v>34699.58</v>
      </c>
      <c r="L127" s="140"/>
      <c r="M127" s="140"/>
      <c r="N127" s="140"/>
      <c r="O127" s="140"/>
      <c r="P127" s="456"/>
      <c r="Q127" s="456">
        <v>22888.53</v>
      </c>
      <c r="R127" s="140"/>
      <c r="S127" s="140"/>
      <c r="T127" s="140"/>
      <c r="U127" s="201"/>
      <c r="V127" s="140"/>
      <c r="W127" s="140"/>
      <c r="X127" s="140"/>
      <c r="Y127" s="140"/>
      <c r="Z127" s="140"/>
      <c r="AA127" s="392"/>
      <c r="AB127" s="383">
        <f t="shared" si="57"/>
        <v>0</v>
      </c>
      <c r="AC127" s="514">
        <v>983.52</v>
      </c>
      <c r="AD127" s="140"/>
      <c r="AE127" s="140"/>
      <c r="AF127" s="140"/>
      <c r="AG127" s="140"/>
      <c r="AH127" s="201">
        <v>290.06</v>
      </c>
      <c r="AI127" s="140"/>
      <c r="AJ127" s="140"/>
      <c r="AK127" s="140"/>
      <c r="AL127" s="140"/>
      <c r="AM127" s="140"/>
      <c r="AN127" s="140"/>
      <c r="AO127" s="140"/>
      <c r="AP127" s="384">
        <f t="shared" si="58"/>
        <v>0</v>
      </c>
      <c r="AQ127" s="134">
        <v>21811.29</v>
      </c>
      <c r="AR127" s="134">
        <v>1418.62</v>
      </c>
      <c r="AS127" s="136"/>
      <c r="AT127" s="385">
        <f t="shared" si="59"/>
        <v>0</v>
      </c>
      <c r="AU127" s="201">
        <v>6.12</v>
      </c>
      <c r="AV127" s="140"/>
      <c r="AW127" s="140"/>
      <c r="AX127" s="140"/>
      <c r="AY127" s="392"/>
      <c r="AZ127" s="432">
        <f t="shared" si="60"/>
        <v>0</v>
      </c>
      <c r="BA127" s="1722">
        <v>14732.5</v>
      </c>
      <c r="BB127" s="1621"/>
      <c r="BC127" s="1546"/>
      <c r="BD127" s="1548"/>
      <c r="BE127" s="1548"/>
      <c r="BF127" s="1723">
        <v>2117.5</v>
      </c>
      <c r="BG127" s="1548"/>
      <c r="BH127" s="1548"/>
      <c r="BI127" s="1548"/>
      <c r="BJ127" s="1709"/>
      <c r="BK127" s="389">
        <f t="shared" si="61"/>
        <v>0</v>
      </c>
      <c r="BL127" s="140">
        <f t="shared" si="62"/>
        <v>0</v>
      </c>
      <c r="BM127" s="132"/>
      <c r="BN127" s="140">
        <f t="shared" si="63"/>
        <v>0</v>
      </c>
      <c r="BO127" s="141"/>
      <c r="BP127" s="141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493"/>
      <c r="CA127" s="141"/>
      <c r="CB127" s="390">
        <f t="shared" si="64"/>
        <v>0</v>
      </c>
      <c r="CC127" s="132"/>
    </row>
    <row r="128" ht="14.25" customHeight="1">
      <c r="A128" s="132"/>
      <c r="B128" s="512">
        <v>46135</v>
      </c>
      <c r="C128" s="133">
        <f>61091.16-D128-0</f>
      </c>
      <c r="D128" s="134">
        <v>3942.1</v>
      </c>
      <c r="E128" s="135"/>
      <c r="F128" s="135"/>
      <c r="G128" s="445">
        <f t="shared" si="56"/>
        <v>0</v>
      </c>
      <c r="H128" s="140"/>
      <c r="I128" s="457"/>
      <c r="J128" s="454"/>
      <c r="K128" s="140">
        <v>5907.32</v>
      </c>
      <c r="L128" s="140"/>
      <c r="M128" s="140"/>
      <c r="N128" s="140"/>
      <c r="O128" s="140"/>
      <c r="P128" s="456"/>
      <c r="Q128" s="456">
        <v>1763.63</v>
      </c>
      <c r="R128" s="140"/>
      <c r="S128" s="140"/>
      <c r="T128" s="140"/>
      <c r="U128" s="140"/>
      <c r="V128" s="140"/>
      <c r="W128" s="140"/>
      <c r="X128" s="140"/>
      <c r="Y128" s="140"/>
      <c r="Z128" s="140"/>
      <c r="AA128" s="392"/>
      <c r="AB128" s="383">
        <f t="shared" si="57"/>
        <v>0</v>
      </c>
      <c r="AC128" s="514">
        <v>421.37</v>
      </c>
      <c r="AD128" s="140"/>
      <c r="AE128" s="201">
        <v>568.23</v>
      </c>
      <c r="AF128" s="140"/>
      <c r="AG128" s="140"/>
      <c r="AH128" s="140">
        <v>58.63</v>
      </c>
      <c r="AI128" s="140"/>
      <c r="AJ128" s="140"/>
      <c r="AK128" s="140"/>
      <c r="AL128" s="140"/>
      <c r="AM128" s="140"/>
      <c r="AN128" s="140"/>
      <c r="AO128" s="140"/>
      <c r="AP128" s="384">
        <f t="shared" si="58"/>
        <v>0</v>
      </c>
      <c r="AQ128" s="134">
        <v>31574.56</v>
      </c>
      <c r="AR128" s="134">
        <v>1649.05</v>
      </c>
      <c r="AS128" s="136"/>
      <c r="AT128" s="385">
        <f t="shared" si="59"/>
        <v>0</v>
      </c>
      <c r="AU128" s="201">
        <v>4.67</v>
      </c>
      <c r="AV128" s="140"/>
      <c r="AW128" s="140"/>
      <c r="AX128" s="140"/>
      <c r="AY128" s="392"/>
      <c r="AZ128" s="432">
        <f t="shared" si="60"/>
        <v>0</v>
      </c>
      <c r="BA128" s="1722">
        <v>16057.8</v>
      </c>
      <c r="BB128" s="1623">
        <v>840.02</v>
      </c>
      <c r="BC128" s="1546"/>
      <c r="BD128" s="1548"/>
      <c r="BE128" s="1548"/>
      <c r="BF128" s="1723">
        <v>2234.3</v>
      </c>
      <c r="BG128" s="1548"/>
      <c r="BH128" s="1548"/>
      <c r="BI128" s="1548"/>
      <c r="BJ128" s="1709"/>
      <c r="BK128" s="389">
        <f t="shared" si="61"/>
        <v>0</v>
      </c>
      <c r="BL128" s="140">
        <f t="shared" si="62"/>
        <v>0</v>
      </c>
      <c r="BM128" s="132"/>
      <c r="BN128" s="140">
        <f t="shared" si="63"/>
        <v>0</v>
      </c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41"/>
      <c r="CA128" s="141"/>
      <c r="CB128" s="390">
        <f t="shared" si="64"/>
        <v>0</v>
      </c>
      <c r="CC128" s="132"/>
    </row>
    <row r="129" ht="14.25" customHeight="1">
      <c r="A129" s="132"/>
      <c r="B129" s="512">
        <v>46136</v>
      </c>
      <c r="C129" s="132">
        <f>58844.86-D129-0</f>
      </c>
      <c r="D129" s="460">
        <v>4891.95</v>
      </c>
      <c r="E129" s="135"/>
      <c r="F129" s="135"/>
      <c r="G129" s="445">
        <f t="shared" si="56"/>
        <v>0</v>
      </c>
      <c r="H129" s="140"/>
      <c r="I129" s="457"/>
      <c r="J129" s="454"/>
      <c r="K129" s="140">
        <v>15498.67</v>
      </c>
      <c r="L129" s="140"/>
      <c r="M129" s="140"/>
      <c r="N129" s="140"/>
      <c r="O129" s="140"/>
      <c r="P129" s="379"/>
      <c r="Q129" s="382">
        <v>347.45</v>
      </c>
      <c r="R129" s="140"/>
      <c r="S129" s="140"/>
      <c r="T129" s="140"/>
      <c r="U129" s="140"/>
      <c r="V129" s="140"/>
      <c r="W129" s="140"/>
      <c r="X129" s="140"/>
      <c r="Y129" s="140"/>
      <c r="Z129" s="140"/>
      <c r="AA129" s="392"/>
      <c r="AB129" s="383">
        <f t="shared" si="57"/>
        <v>0</v>
      </c>
      <c r="AC129" s="457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384">
        <f t="shared" si="58"/>
        <v>0</v>
      </c>
      <c r="AQ129" s="134">
        <v>19510.18</v>
      </c>
      <c r="AR129" s="134">
        <v>2320.87</v>
      </c>
      <c r="AS129" s="136"/>
      <c r="AT129" s="385">
        <f t="shared" si="59"/>
        <v>0</v>
      </c>
      <c r="AU129" s="201">
        <v>0.89</v>
      </c>
      <c r="AV129" s="140"/>
      <c r="AW129" s="140"/>
      <c r="AX129" s="140"/>
      <c r="AY129" s="392"/>
      <c r="AZ129" s="432">
        <f t="shared" si="60"/>
        <v>0</v>
      </c>
      <c r="BA129" s="1722">
        <v>18595.9</v>
      </c>
      <c r="BB129" s="1621"/>
      <c r="BC129" s="1546"/>
      <c r="BD129" s="1548"/>
      <c r="BE129" s="1548"/>
      <c r="BF129" s="1723">
        <v>2570</v>
      </c>
      <c r="BG129" s="1548"/>
      <c r="BH129" s="1548"/>
      <c r="BI129" s="1548"/>
      <c r="BJ129" s="1709"/>
      <c r="BK129" s="389">
        <f t="shared" si="61"/>
        <v>0</v>
      </c>
      <c r="BL129" s="140">
        <f t="shared" si="62"/>
        <v>0</v>
      </c>
      <c r="BM129" s="132"/>
      <c r="BN129" s="140">
        <f t="shared" si="63"/>
        <v>0</v>
      </c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41"/>
      <c r="CA129" s="141"/>
      <c r="CB129" s="390">
        <f t="shared" si="64"/>
        <v>0</v>
      </c>
      <c r="CC129" s="132"/>
    </row>
    <row r="130" ht="14.25" customHeight="1">
      <c r="A130" s="132"/>
      <c r="B130" s="512">
        <v>46137</v>
      </c>
      <c r="C130" s="133">
        <f>52463.15-D130-0</f>
      </c>
      <c r="D130" s="134">
        <v>5273.74</v>
      </c>
      <c r="E130" s="132"/>
      <c r="F130" s="135"/>
      <c r="G130" s="445">
        <f t="shared" si="56"/>
        <v>0</v>
      </c>
      <c r="H130" s="140"/>
      <c r="I130" s="457"/>
      <c r="J130" s="454"/>
      <c r="K130" s="140">
        <v>3025.68</v>
      </c>
      <c r="L130" s="140"/>
      <c r="M130" s="140"/>
      <c r="N130" s="140"/>
      <c r="O130" s="140"/>
      <c r="P130" s="456"/>
      <c r="Q130" s="456">
        <v>714.84</v>
      </c>
      <c r="R130" s="140"/>
      <c r="S130" s="140"/>
      <c r="T130" s="140"/>
      <c r="U130" s="140"/>
      <c r="V130" s="140"/>
      <c r="W130" s="140"/>
      <c r="X130" s="140"/>
      <c r="Y130" s="140"/>
      <c r="Z130" s="140"/>
      <c r="AA130" s="392"/>
      <c r="AB130" s="383">
        <f t="shared" si="57"/>
        <v>0</v>
      </c>
      <c r="AC130" s="457"/>
      <c r="AD130" s="140"/>
      <c r="AE130" s="201">
        <v>383.63</v>
      </c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384">
        <f t="shared" si="58"/>
        <v>0</v>
      </c>
      <c r="AQ130" s="134">
        <v>21326.87</v>
      </c>
      <c r="AR130" s="134">
        <v>2823.14</v>
      </c>
      <c r="AS130" s="136"/>
      <c r="AT130" s="385">
        <f t="shared" si="59"/>
        <v>0</v>
      </c>
      <c r="AU130" s="201">
        <v>2.25</v>
      </c>
      <c r="AV130" s="140"/>
      <c r="AW130" s="140"/>
      <c r="AX130" s="140"/>
      <c r="AY130" s="392"/>
      <c r="AZ130" s="432">
        <f t="shared" si="60"/>
        <v>0</v>
      </c>
      <c r="BA130" s="1722">
        <v>16375.2</v>
      </c>
      <c r="BB130" s="1623">
        <v>5360.94</v>
      </c>
      <c r="BC130" s="1546"/>
      <c r="BD130" s="1548"/>
      <c r="BE130" s="1548"/>
      <c r="BF130" s="1723">
        <v>2451.1</v>
      </c>
      <c r="BG130" s="1548"/>
      <c r="BH130" s="1548"/>
      <c r="BI130" s="1548"/>
      <c r="BJ130" s="1709"/>
      <c r="BK130" s="389">
        <f t="shared" si="61"/>
        <v>0</v>
      </c>
      <c r="BL130" s="140">
        <f t="shared" si="62"/>
        <v>0</v>
      </c>
      <c r="BM130" s="132"/>
      <c r="BN130" s="140">
        <f t="shared" si="63"/>
        <v>0</v>
      </c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41"/>
      <c r="CA130" s="141"/>
      <c r="CB130" s="390">
        <f t="shared" si="64"/>
        <v>0</v>
      </c>
      <c r="CC130" s="132"/>
    </row>
    <row r="131" ht="14.25" customHeight="1">
      <c r="A131" s="132"/>
      <c r="B131" s="512">
        <v>46138</v>
      </c>
      <c r="C131" s="133">
        <f>54014.36-D131-0</f>
      </c>
      <c r="D131" s="134">
        <v>5741.21</v>
      </c>
      <c r="E131" s="135"/>
      <c r="F131" s="135"/>
      <c r="G131" s="445">
        <f t="shared" si="56"/>
        <v>0</v>
      </c>
      <c r="H131" s="140"/>
      <c r="I131" s="457"/>
      <c r="J131" s="454"/>
      <c r="K131" s="201">
        <v>8747.98</v>
      </c>
      <c r="L131" s="140"/>
      <c r="M131" s="140">
        <v>489.67</v>
      </c>
      <c r="N131" s="140"/>
      <c r="O131" s="140"/>
      <c r="P131" s="379"/>
      <c r="Q131" s="379"/>
      <c r="R131" s="140"/>
      <c r="S131" s="140"/>
      <c r="T131" s="140"/>
      <c r="U131" s="140"/>
      <c r="V131" s="140"/>
      <c r="W131" s="140"/>
      <c r="X131" s="140"/>
      <c r="Y131" s="140"/>
      <c r="Z131" s="140"/>
      <c r="AA131" s="392"/>
      <c r="AB131" s="383">
        <f t="shared" si="57"/>
        <v>0</v>
      </c>
      <c r="AC131" s="457"/>
      <c r="AD131" s="140"/>
      <c r="AE131" s="140"/>
      <c r="AF131" s="140"/>
      <c r="AG131" s="140"/>
      <c r="AH131" s="201">
        <v>218.09</v>
      </c>
      <c r="AI131" s="140"/>
      <c r="AJ131" s="140"/>
      <c r="AK131" s="140"/>
      <c r="AL131" s="140"/>
      <c r="AM131" s="140"/>
      <c r="AN131" s="140"/>
      <c r="AO131" s="140"/>
      <c r="AP131" s="384">
        <f t="shared" si="58"/>
        <v>0</v>
      </c>
      <c r="AQ131" s="134">
        <v>21586.97</v>
      </c>
      <c r="AR131" s="134">
        <v>2832.75</v>
      </c>
      <c r="AS131" s="136"/>
      <c r="AT131" s="385">
        <f t="shared" si="59"/>
        <v>0</v>
      </c>
      <c r="AU131" s="140"/>
      <c r="AV131" s="140"/>
      <c r="AW131" s="140"/>
      <c r="AX131" s="140"/>
      <c r="AY131" s="392"/>
      <c r="AZ131" s="432">
        <f t="shared" si="60"/>
        <v>0</v>
      </c>
      <c r="BA131" s="1722">
        <v>15793.6</v>
      </c>
      <c r="BB131" s="1623">
        <v>1436.98</v>
      </c>
      <c r="BC131" s="1546"/>
      <c r="BD131" s="1548"/>
      <c r="BE131" s="1548"/>
      <c r="BF131" s="1723">
        <v>2907.5</v>
      </c>
      <c r="BG131" s="1548"/>
      <c r="BH131" s="1548"/>
      <c r="BI131" s="1548"/>
      <c r="BJ131" s="1709"/>
      <c r="BK131" s="389">
        <f t="shared" si="61"/>
        <v>0</v>
      </c>
      <c r="BL131" s="140">
        <f t="shared" si="62"/>
        <v>0</v>
      </c>
      <c r="BM131" s="132"/>
      <c r="BN131" s="140">
        <f t="shared" si="63"/>
        <v>0</v>
      </c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41"/>
      <c r="CA131" s="141"/>
      <c r="CB131" s="390">
        <f t="shared" si="64"/>
        <v>0</v>
      </c>
      <c r="CC131" s="132"/>
    </row>
    <row r="132" ht="14.25" customHeight="1">
      <c r="A132" s="132"/>
      <c r="B132" s="512">
        <v>46139</v>
      </c>
      <c r="C132" s="133">
        <f>55626.69-D132-0</f>
      </c>
      <c r="D132" s="134">
        <v>3717.54</v>
      </c>
      <c r="E132" s="135"/>
      <c r="F132" s="135"/>
      <c r="G132" s="445">
        <f t="shared" si="56"/>
        <v>0</v>
      </c>
      <c r="H132" s="140"/>
      <c r="I132" s="457"/>
      <c r="J132" s="454"/>
      <c r="K132" s="140">
        <v>8288.6</v>
      </c>
      <c r="L132" s="140"/>
      <c r="M132" s="201">
        <v>607.23</v>
      </c>
      <c r="N132" s="140"/>
      <c r="O132" s="140"/>
      <c r="P132" s="456"/>
      <c r="Q132" s="455">
        <v>1618.13</v>
      </c>
      <c r="R132" s="140"/>
      <c r="S132" s="140"/>
      <c r="T132" s="140"/>
      <c r="U132" s="201"/>
      <c r="V132" s="140"/>
      <c r="W132" s="140"/>
      <c r="X132" s="140"/>
      <c r="Y132" s="140"/>
      <c r="Z132" s="140"/>
      <c r="AA132" s="392"/>
      <c r="AB132" s="383">
        <f t="shared" si="57"/>
        <v>0</v>
      </c>
      <c r="AC132" s="514">
        <v>331.05</v>
      </c>
      <c r="AD132" s="140"/>
      <c r="AE132" s="140"/>
      <c r="AF132" s="140"/>
      <c r="AG132" s="140"/>
      <c r="AH132" s="201">
        <v>62.9</v>
      </c>
      <c r="AI132" s="140"/>
      <c r="AJ132" s="140"/>
      <c r="AK132" s="140"/>
      <c r="AL132" s="140"/>
      <c r="AM132" s="140"/>
      <c r="AN132" s="140"/>
      <c r="AO132" s="140"/>
      <c r="AP132" s="384">
        <f t="shared" si="58"/>
        <v>0</v>
      </c>
      <c r="AQ132" s="134">
        <v>18177.76</v>
      </c>
      <c r="AR132" s="134">
        <v>1790.69</v>
      </c>
      <c r="AS132" s="136"/>
      <c r="AT132" s="385">
        <f t="shared" si="59"/>
        <v>0</v>
      </c>
      <c r="AU132" s="201">
        <v>0.66</v>
      </c>
      <c r="AV132" s="140"/>
      <c r="AW132" s="140"/>
      <c r="AX132" s="140"/>
      <c r="AY132" s="392"/>
      <c r="AZ132" s="432">
        <f t="shared" si="60"/>
        <v>0</v>
      </c>
      <c r="BA132" s="1722">
        <v>15959.1</v>
      </c>
      <c r="BB132" s="1623">
        <v>3560.33</v>
      </c>
      <c r="BC132" s="1546"/>
      <c r="BD132" s="1548"/>
      <c r="BE132" s="1548"/>
      <c r="BF132" s="1723">
        <v>1822.2</v>
      </c>
      <c r="BG132" s="1548"/>
      <c r="BH132" s="1548"/>
      <c r="BI132" s="1548"/>
      <c r="BJ132" s="1709"/>
      <c r="BK132" s="389">
        <f t="shared" si="61"/>
        <v>0</v>
      </c>
      <c r="BL132" s="140">
        <f t="shared" si="62"/>
        <v>0</v>
      </c>
      <c r="BM132" s="132"/>
      <c r="BN132" s="140">
        <f t="shared" si="63"/>
        <v>0</v>
      </c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41"/>
      <c r="CA132" s="141"/>
      <c r="CB132" s="390">
        <f t="shared" si="64"/>
        <v>0</v>
      </c>
      <c r="CC132" s="132"/>
    </row>
    <row r="133" ht="14.25" customHeight="1">
      <c r="A133" s="132"/>
      <c r="B133" s="512">
        <v>46140</v>
      </c>
      <c r="C133" s="133">
        <f>72056.35-D133-0</f>
      </c>
      <c r="D133" s="134">
        <v>4862.14</v>
      </c>
      <c r="E133" s="135"/>
      <c r="F133" s="135"/>
      <c r="G133" s="445">
        <f t="shared" si="56"/>
        <v>0</v>
      </c>
      <c r="H133" s="140"/>
      <c r="I133" s="457"/>
      <c r="J133" s="454"/>
      <c r="K133" s="140">
        <v>17854.14</v>
      </c>
      <c r="L133" s="140"/>
      <c r="M133" s="201">
        <v>204.9</v>
      </c>
      <c r="N133" s="140"/>
      <c r="O133" s="140"/>
      <c r="P133" s="455">
        <v>765.6</v>
      </c>
      <c r="Q133" s="456">
        <v>584.79</v>
      </c>
      <c r="R133" s="140"/>
      <c r="S133" s="140"/>
      <c r="T133" s="140"/>
      <c r="U133" s="140"/>
      <c r="V133" s="140"/>
      <c r="W133" s="140"/>
      <c r="X133" s="140"/>
      <c r="Y133" s="140"/>
      <c r="Z133" s="140"/>
      <c r="AA133" s="392"/>
      <c r="AB133" s="383">
        <f t="shared" si="57"/>
        <v>0</v>
      </c>
      <c r="AC133" s="457"/>
      <c r="AD133" s="140"/>
      <c r="AE133" s="201">
        <v>500.07</v>
      </c>
      <c r="AF133" s="140"/>
      <c r="AG133" s="140"/>
      <c r="AH133" s="201">
        <v>212.42</v>
      </c>
      <c r="AI133" s="140"/>
      <c r="AJ133" s="140"/>
      <c r="AK133" s="140"/>
      <c r="AL133" s="140"/>
      <c r="AM133" s="140"/>
      <c r="AN133" s="140"/>
      <c r="AO133" s="140"/>
      <c r="AP133" s="384">
        <f t="shared" si="58"/>
        <v>0</v>
      </c>
      <c r="AQ133" s="134">
        <v>26177.83</v>
      </c>
      <c r="AR133" s="134">
        <v>2565.93</v>
      </c>
      <c r="AS133" s="136"/>
      <c r="AT133" s="385">
        <f t="shared" si="59"/>
        <v>0</v>
      </c>
      <c r="AU133" s="201">
        <v>3.36</v>
      </c>
      <c r="AV133" s="140"/>
      <c r="AW133" s="140"/>
      <c r="AX133" s="140"/>
      <c r="AY133" s="392"/>
      <c r="AZ133" s="432">
        <f t="shared" si="60"/>
        <v>0</v>
      </c>
      <c r="BA133" s="1722">
        <v>13597.6</v>
      </c>
      <c r="BB133" s="1623">
        <v>7294.25</v>
      </c>
      <c r="BC133" s="1546"/>
      <c r="BD133" s="1548"/>
      <c r="BE133" s="1548"/>
      <c r="BF133" s="1723">
        <v>2295.5</v>
      </c>
      <c r="BG133" s="1548"/>
      <c r="BH133" s="1548"/>
      <c r="BI133" s="1548"/>
      <c r="BJ133" s="1709"/>
      <c r="BK133" s="389">
        <f t="shared" si="61"/>
        <v>0</v>
      </c>
      <c r="BL133" s="140">
        <f t="shared" si="62"/>
        <v>0</v>
      </c>
      <c r="BM133" s="132"/>
      <c r="BN133" s="140">
        <f t="shared" si="63"/>
        <v>0</v>
      </c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41"/>
      <c r="CA133" s="141"/>
      <c r="CB133" s="390">
        <f t="shared" si="64"/>
        <v>0</v>
      </c>
      <c r="CC133" s="132"/>
    </row>
    <row r="134" ht="14.25" customHeight="1">
      <c r="A134" s="132"/>
      <c r="B134" s="512">
        <v>46141</v>
      </c>
      <c r="C134" s="133">
        <f>56117.31-D134-0</f>
      </c>
      <c r="D134" s="134">
        <v>4638.59</v>
      </c>
      <c r="E134" s="135"/>
      <c r="F134" s="135"/>
      <c r="G134" s="445">
        <f t="shared" si="56"/>
        <v>0</v>
      </c>
      <c r="H134" s="140"/>
      <c r="I134" s="457"/>
      <c r="J134" s="454"/>
      <c r="K134" s="140">
        <v>9106.24</v>
      </c>
      <c r="L134" s="140"/>
      <c r="M134" s="140">
        <v>1151.98</v>
      </c>
      <c r="N134" s="140"/>
      <c r="O134" s="140"/>
      <c r="P134" s="456"/>
      <c r="Q134" s="456"/>
      <c r="R134" s="201"/>
      <c r="S134" s="140"/>
      <c r="T134" s="140"/>
      <c r="U134" s="140"/>
      <c r="V134" s="140"/>
      <c r="W134" s="140"/>
      <c r="X134" s="140"/>
      <c r="Y134" s="140"/>
      <c r="Z134" s="140"/>
      <c r="AA134" s="392"/>
      <c r="AB134" s="383">
        <f t="shared" si="57"/>
        <v>0</v>
      </c>
      <c r="AC134" s="457"/>
      <c r="AD134" s="140"/>
      <c r="AE134" s="140"/>
      <c r="AF134" s="140"/>
      <c r="AG134" s="140"/>
      <c r="AH134" s="201">
        <v>61.04</v>
      </c>
      <c r="AI134" s="140"/>
      <c r="AJ134" s="140"/>
      <c r="AK134" s="140"/>
      <c r="AL134" s="140"/>
      <c r="AM134" s="140"/>
      <c r="AN134" s="140"/>
      <c r="AO134" s="140"/>
      <c r="AP134" s="384">
        <f t="shared" si="58"/>
        <v>0</v>
      </c>
      <c r="AQ134" s="134">
        <v>18916.4</v>
      </c>
      <c r="AR134" s="134">
        <v>2134.94</v>
      </c>
      <c r="AS134" s="136"/>
      <c r="AT134" s="385">
        <f t="shared" si="59"/>
        <v>0</v>
      </c>
      <c r="AU134" s="201">
        <v>0.45</v>
      </c>
      <c r="AV134" s="140"/>
      <c r="AW134" s="140"/>
      <c r="AX134" s="140"/>
      <c r="AY134" s="392"/>
      <c r="AZ134" s="432">
        <f t="shared" si="60"/>
        <v>0</v>
      </c>
      <c r="BA134" s="1722">
        <v>17244.4</v>
      </c>
      <c r="BB134" s="1623">
        <v>4908.34</v>
      </c>
      <c r="BC134" s="1546"/>
      <c r="BD134" s="1548"/>
      <c r="BE134" s="1548"/>
      <c r="BF134" s="1723">
        <v>2442.1</v>
      </c>
      <c r="BG134" s="1548"/>
      <c r="BH134" s="1548"/>
      <c r="BI134" s="1548"/>
      <c r="BJ134" s="1709"/>
      <c r="BK134" s="389">
        <f t="shared" si="61"/>
        <v>0</v>
      </c>
      <c r="BL134" s="140">
        <f t="shared" si="62"/>
        <v>0</v>
      </c>
      <c r="BM134" s="132"/>
      <c r="BN134" s="140">
        <f t="shared" si="63"/>
        <v>0</v>
      </c>
      <c r="BO134" s="141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41"/>
      <c r="CA134" s="141"/>
      <c r="CB134" s="390">
        <f t="shared" si="64"/>
        <v>0</v>
      </c>
      <c r="CC134" s="132"/>
    </row>
    <row r="135" ht="14.25" customHeight="1">
      <c r="A135" s="132"/>
      <c r="B135" s="512">
        <v>46142</v>
      </c>
      <c r="C135" s="133">
        <f>62524.53-D135-0</f>
      </c>
      <c r="D135" s="134">
        <v>4702.02</v>
      </c>
      <c r="E135" s="135"/>
      <c r="F135" s="135"/>
      <c r="G135" s="465">
        <f t="shared" si="56"/>
        <v>0</v>
      </c>
      <c r="H135" s="162"/>
      <c r="I135" s="457"/>
      <c r="J135" s="454"/>
      <c r="K135" s="140">
        <v>8215.25</v>
      </c>
      <c r="L135" s="140"/>
      <c r="M135" s="201">
        <v>94.7</v>
      </c>
      <c r="N135" s="140"/>
      <c r="O135" s="140"/>
      <c r="P135" s="456"/>
      <c r="Q135" s="456"/>
      <c r="R135" s="140"/>
      <c r="S135" s="140"/>
      <c r="T135" s="140"/>
      <c r="U135" s="140"/>
      <c r="V135" s="140"/>
      <c r="W135" s="140"/>
      <c r="X135" s="140"/>
      <c r="Y135" s="140"/>
      <c r="Z135" s="140"/>
      <c r="AA135" s="392"/>
      <c r="AB135" s="383">
        <f t="shared" si="57"/>
        <v>0</v>
      </c>
      <c r="AC135" s="457">
        <v>1233.15</v>
      </c>
      <c r="AD135" s="140"/>
      <c r="AE135" s="140"/>
      <c r="AF135" s="140"/>
      <c r="AG135" s="140"/>
      <c r="AH135" s="201">
        <v>300.08</v>
      </c>
      <c r="AI135" s="140"/>
      <c r="AJ135" s="140"/>
      <c r="AK135" s="140"/>
      <c r="AL135" s="140"/>
      <c r="AM135" s="140"/>
      <c r="AN135" s="140"/>
      <c r="AO135" s="140"/>
      <c r="AP135" s="384">
        <f t="shared" si="58"/>
        <v>0</v>
      </c>
      <c r="AQ135" s="134">
        <v>30072.83</v>
      </c>
      <c r="AR135" s="134">
        <v>2197.57</v>
      </c>
      <c r="AS135" s="136"/>
      <c r="AT135" s="385">
        <f t="shared" si="59"/>
        <v>0</v>
      </c>
      <c r="AU135" s="201">
        <v>0.66</v>
      </c>
      <c r="AV135" s="140"/>
      <c r="AW135" s="140"/>
      <c r="AX135" s="140"/>
      <c r="AY135" s="392"/>
      <c r="AZ135" s="432">
        <f t="shared" si="60"/>
        <v>0</v>
      </c>
      <c r="BA135" s="1724">
        <v>13658.7</v>
      </c>
      <c r="BB135" s="1719">
        <v>4239.26</v>
      </c>
      <c r="BC135" s="1557"/>
      <c r="BD135" s="1586"/>
      <c r="BE135" s="1586"/>
      <c r="BF135" s="1725">
        <v>2504.4</v>
      </c>
      <c r="BG135" s="1586"/>
      <c r="BH135" s="1586"/>
      <c r="BI135" s="1586"/>
      <c r="BJ135" s="1720"/>
      <c r="BK135" s="389">
        <f t="shared" si="61"/>
        <v>0</v>
      </c>
      <c r="BL135" s="140">
        <f t="shared" si="62"/>
        <v>0</v>
      </c>
      <c r="BM135" s="132"/>
      <c r="BN135" s="140">
        <f t="shared" si="63"/>
        <v>0</v>
      </c>
      <c r="BO135" s="141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41"/>
      <c r="CA135" s="141"/>
      <c r="CB135" s="390">
        <f t="shared" si="64"/>
        <v>0</v>
      </c>
      <c r="CC135" s="132"/>
    </row>
    <row r="136" ht="14.25" customHeight="1">
      <c r="A136" s="2"/>
      <c r="B136" s="515" t="s">
        <v>78</v>
      </c>
      <c r="C136" s="407">
        <f ref="C136:G136" t="shared" si="65">SUM(C106:C135)</f>
        <v>0</v>
      </c>
      <c r="D136" s="407">
        <f t="shared" si="65"/>
        <v>0</v>
      </c>
      <c r="E136" s="407">
        <f t="shared" si="65"/>
        <v>0</v>
      </c>
      <c r="F136" s="407">
        <f t="shared" si="65"/>
        <v>0</v>
      </c>
      <c r="G136" s="408">
        <f t="shared" si="65"/>
        <v>0</v>
      </c>
      <c r="H136" s="407">
        <f ref="H136:AA136" t="shared" si="66">SUMIF(H106:H135,"&gt;0")</f>
        <v>0</v>
      </c>
      <c r="I136" s="407">
        <f t="shared" si="66"/>
        <v>0</v>
      </c>
      <c r="J136" s="407">
        <f t="shared" si="66"/>
        <v>0</v>
      </c>
      <c r="K136" s="407">
        <f t="shared" si="66"/>
        <v>0</v>
      </c>
      <c r="L136" s="407">
        <f t="shared" si="66"/>
        <v>0</v>
      </c>
      <c r="M136" s="407">
        <f t="shared" si="66"/>
        <v>0</v>
      </c>
      <c r="N136" s="407">
        <f t="shared" si="66"/>
        <v>0</v>
      </c>
      <c r="O136" s="407">
        <f t="shared" si="66"/>
        <v>0</v>
      </c>
      <c r="P136" s="407">
        <f t="shared" si="66"/>
        <v>0</v>
      </c>
      <c r="Q136" s="407">
        <f t="shared" si="66"/>
        <v>0</v>
      </c>
      <c r="R136" s="407">
        <f t="shared" si="66"/>
        <v>0</v>
      </c>
      <c r="S136" s="407">
        <f t="shared" si="66"/>
        <v>0</v>
      </c>
      <c r="T136" s="407">
        <f t="shared" si="66"/>
        <v>0</v>
      </c>
      <c r="U136" s="407">
        <f t="shared" si="66"/>
        <v>0</v>
      </c>
      <c r="V136" s="407">
        <f t="shared" si="66"/>
        <v>0</v>
      </c>
      <c r="W136" s="407">
        <f t="shared" si="66"/>
        <v>0</v>
      </c>
      <c r="X136" s="407">
        <f t="shared" si="66"/>
        <v>0</v>
      </c>
      <c r="Y136" s="407">
        <f t="shared" si="66"/>
        <v>0</v>
      </c>
      <c r="Z136" s="407">
        <f t="shared" si="66"/>
        <v>0</v>
      </c>
      <c r="AA136" s="407">
        <f t="shared" si="66"/>
        <v>0</v>
      </c>
      <c r="AB136" s="439">
        <f ref="AB136:AM136" t="shared" si="67">SUM(AB106:AB135)</f>
        <v>0</v>
      </c>
      <c r="AC136" s="407">
        <f t="shared" si="67"/>
        <v>0</v>
      </c>
      <c r="AD136" s="407">
        <f t="shared" si="67"/>
        <v>0</v>
      </c>
      <c r="AE136" s="407">
        <f t="shared" si="67"/>
        <v>0</v>
      </c>
      <c r="AF136" s="407">
        <f t="shared" si="67"/>
        <v>0</v>
      </c>
      <c r="AG136" s="407">
        <f t="shared" si="67"/>
        <v>0</v>
      </c>
      <c r="AH136" s="407">
        <f t="shared" si="67"/>
        <v>0</v>
      </c>
      <c r="AI136" s="407">
        <f t="shared" si="67"/>
        <v>0</v>
      </c>
      <c r="AJ136" s="407">
        <f t="shared" si="67"/>
        <v>0</v>
      </c>
      <c r="AK136" s="407">
        <f t="shared" si="67"/>
        <v>0</v>
      </c>
      <c r="AL136" s="407">
        <f t="shared" si="67"/>
        <v>0</v>
      </c>
      <c r="AM136" s="407">
        <f t="shared" si="67"/>
        <v>0</v>
      </c>
      <c r="AN136" s="407"/>
      <c r="AO136" s="407">
        <f ref="AO136:AU136" t="shared" si="68">SUM(AO106:AO135)</f>
        <v>0</v>
      </c>
      <c r="AP136" s="408">
        <f t="shared" si="68"/>
        <v>0</v>
      </c>
      <c r="AQ136" s="407">
        <f t="shared" si="68"/>
        <v>0</v>
      </c>
      <c r="AR136" s="407">
        <f t="shared" si="68"/>
        <v>0</v>
      </c>
      <c r="AS136" s="407">
        <f t="shared" si="68"/>
        <v>0</v>
      </c>
      <c r="AT136" s="408">
        <f t="shared" si="68"/>
        <v>0</v>
      </c>
      <c r="AU136" s="407">
        <f t="shared" si="68"/>
        <v>0</v>
      </c>
      <c r="AV136" s="407"/>
      <c r="AW136" s="407">
        <f ref="AW136:BV136" t="shared" si="69">SUM(AW106:AW135)</f>
        <v>0</v>
      </c>
      <c r="AX136" s="407">
        <f t="shared" si="69"/>
        <v>0</v>
      </c>
      <c r="AY136" s="407">
        <f t="shared" si="69"/>
        <v>0</v>
      </c>
      <c r="AZ136" s="408">
        <f t="shared" si="69"/>
        <v>0</v>
      </c>
      <c r="BA136" s="439">
        <f t="shared" si="69"/>
        <v>0</v>
      </c>
      <c r="BB136" s="438">
        <f t="shared" si="69"/>
        <v>0</v>
      </c>
      <c r="BC136" s="439">
        <f t="shared" si="69"/>
        <v>0</v>
      </c>
      <c r="BD136" s="439">
        <f t="shared" si="69"/>
        <v>0</v>
      </c>
      <c r="BE136" s="439">
        <f t="shared" si="69"/>
        <v>0</v>
      </c>
      <c r="BF136" s="439">
        <f t="shared" si="69"/>
        <v>0</v>
      </c>
      <c r="BG136" s="439">
        <f t="shared" si="69"/>
        <v>0</v>
      </c>
      <c r="BH136" s="439">
        <f t="shared" si="69"/>
        <v>0</v>
      </c>
      <c r="BI136" s="439">
        <f t="shared" si="69"/>
        <v>0</v>
      </c>
      <c r="BJ136" s="439">
        <f t="shared" si="69"/>
        <v>0</v>
      </c>
      <c r="BK136" s="408">
        <f t="shared" si="69"/>
        <v>0</v>
      </c>
      <c r="BL136" s="407">
        <f t="shared" si="69"/>
        <v>0</v>
      </c>
      <c r="BM136" s="407">
        <f t="shared" si="69"/>
        <v>0</v>
      </c>
      <c r="BN136" s="407">
        <f t="shared" si="69"/>
        <v>0</v>
      </c>
      <c r="BO136" s="407">
        <f t="shared" si="69"/>
        <v>0</v>
      </c>
      <c r="BP136" s="407">
        <f t="shared" si="69"/>
        <v>0</v>
      </c>
      <c r="BQ136" s="407">
        <f t="shared" si="69"/>
        <v>0</v>
      </c>
      <c r="BR136" s="407">
        <f t="shared" si="69"/>
        <v>0</v>
      </c>
      <c r="BS136" s="407">
        <f t="shared" si="69"/>
        <v>0</v>
      </c>
      <c r="BT136" s="407">
        <f t="shared" si="69"/>
        <v>0</v>
      </c>
      <c r="BU136" s="407">
        <f t="shared" si="69"/>
        <v>0</v>
      </c>
      <c r="BV136" s="407">
        <f t="shared" si="69"/>
        <v>0</v>
      </c>
      <c r="BW136" s="407">
        <f ref="BW136:CB136" t="shared" si="70">SUM(BW105:BW135)</f>
        <v>0</v>
      </c>
      <c r="BX136" s="407">
        <f t="shared" si="70"/>
        <v>0</v>
      </c>
      <c r="BY136" s="407">
        <f t="shared" si="70"/>
        <v>0</v>
      </c>
      <c r="BZ136" s="407">
        <f t="shared" si="70"/>
        <v>0</v>
      </c>
      <c r="CA136" s="407">
        <f t="shared" si="70"/>
        <v>0</v>
      </c>
      <c r="CB136" s="407">
        <f t="shared" si="70"/>
        <v>0</v>
      </c>
      <c r="CC136" s="3"/>
    </row>
    <row r="137" ht="14.25" customHeight="1">
      <c r="A137" s="1"/>
      <c r="B137" s="516" t="s">
        <v>11</v>
      </c>
      <c r="C137" s="3"/>
      <c r="D137" s="3"/>
      <c r="E137" s="3"/>
      <c r="F137" s="3"/>
      <c r="G137" s="3"/>
      <c r="H137" s="517">
        <f ref="H137:AB137" t="shared" si="71">SUM(H106:H135)</f>
        <v>0</v>
      </c>
      <c r="I137" s="517">
        <f t="shared" si="71"/>
        <v>0</v>
      </c>
      <c r="J137" s="517">
        <f t="shared" si="71"/>
        <v>0</v>
      </c>
      <c r="K137" s="517">
        <f t="shared" si="71"/>
        <v>0</v>
      </c>
      <c r="L137" s="517">
        <f t="shared" si="71"/>
        <v>0</v>
      </c>
      <c r="M137" s="517">
        <f t="shared" si="71"/>
        <v>0</v>
      </c>
      <c r="N137" s="517">
        <f t="shared" si="71"/>
        <v>0</v>
      </c>
      <c r="O137" s="517">
        <f t="shared" si="71"/>
        <v>0</v>
      </c>
      <c r="P137" s="517">
        <f t="shared" si="71"/>
        <v>0</v>
      </c>
      <c r="Q137" s="517">
        <f t="shared" si="71"/>
        <v>0</v>
      </c>
      <c r="R137" s="517">
        <f t="shared" si="71"/>
        <v>0</v>
      </c>
      <c r="S137" s="517">
        <f t="shared" si="71"/>
        <v>0</v>
      </c>
      <c r="T137" s="517">
        <f t="shared" si="71"/>
        <v>0</v>
      </c>
      <c r="U137" s="517">
        <f t="shared" si="71"/>
        <v>0</v>
      </c>
      <c r="V137" s="517">
        <f t="shared" si="71"/>
        <v>0</v>
      </c>
      <c r="W137" s="517">
        <f t="shared" si="71"/>
        <v>0</v>
      </c>
      <c r="X137" s="517">
        <f t="shared" si="71"/>
        <v>0</v>
      </c>
      <c r="Y137" s="517">
        <f t="shared" si="71"/>
        <v>0</v>
      </c>
      <c r="Z137" s="517">
        <f t="shared" si="71"/>
        <v>0</v>
      </c>
      <c r="AA137" s="517">
        <f t="shared" si="71"/>
        <v>0</v>
      </c>
      <c r="AB137" s="517">
        <f t="shared" si="71"/>
        <v>0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1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</row>
    <row r="138" ht="14.25" customHeight="1">
      <c r="A138" s="1"/>
      <c r="B138" s="2"/>
      <c r="C138" s="3"/>
      <c r="D138" s="3"/>
      <c r="E138" s="3"/>
      <c r="F138" s="3"/>
      <c r="G138" s="3"/>
      <c r="H138" s="3"/>
      <c r="I138" s="3"/>
      <c r="J138" s="414"/>
      <c r="K138" s="3"/>
      <c r="L138" s="3"/>
      <c r="M138" s="3"/>
      <c r="N138" s="3"/>
      <c r="O138" s="3"/>
      <c r="P138" s="1"/>
      <c r="Q138" s="1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176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1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</row>
    <row r="139" ht="14.25" customHeight="1">
      <c r="A139" s="132"/>
      <c r="B139" s="518">
        <v>46143</v>
      </c>
      <c r="C139" s="190"/>
      <c r="D139" s="482"/>
      <c r="E139" s="481"/>
      <c r="F139" s="182"/>
      <c r="G139" s="483">
        <f ref="G139:G169" t="shared" si="72">+C139+D139+E139+F139</f>
        <v>0</v>
      </c>
      <c r="H139" s="195"/>
      <c r="I139" s="449"/>
      <c r="J139" s="446"/>
      <c r="K139" s="195"/>
      <c r="L139" s="195"/>
      <c r="M139" s="195"/>
      <c r="N139" s="195"/>
      <c r="O139" s="195"/>
      <c r="P139" s="447"/>
      <c r="Q139" s="447"/>
      <c r="R139" s="423"/>
      <c r="S139" s="195"/>
      <c r="T139" s="195"/>
      <c r="U139" s="195"/>
      <c r="V139" s="195"/>
      <c r="W139" s="195"/>
      <c r="X139" s="195"/>
      <c r="Y139" s="195"/>
      <c r="Z139" s="195"/>
      <c r="AA139" s="195"/>
      <c r="AB139" s="420">
        <f ref="AB139:AB169" t="shared" si="73">SUM(I139:Y139)</f>
        <v>0</v>
      </c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384">
        <f ref="AP139:AP169" t="shared" si="74">SUM(AC139:AO139)</f>
        <v>0</v>
      </c>
      <c r="AQ139" s="181"/>
      <c r="AR139" s="181"/>
      <c r="AS139" s="190"/>
      <c r="AT139" s="519">
        <f ref="AT139:AT169" t="shared" si="75">SUM(AQ139:AS139)</f>
        <v>0</v>
      </c>
      <c r="AU139" s="195"/>
      <c r="AV139" s="449"/>
      <c r="AW139" s="195"/>
      <c r="AX139" s="195"/>
      <c r="AY139" s="424"/>
      <c r="AZ139" s="425">
        <f ref="AZ139:AZ169" t="shared" si="76">+G139-AB139-AP139-AT139-AU139-AW139-AX139-AY139</f>
        <v>0</v>
      </c>
      <c r="BA139" s="488"/>
      <c r="BB139" s="520"/>
      <c r="BC139" s="269"/>
      <c r="BD139" s="269"/>
      <c r="BE139" s="110"/>
      <c r="BF139" s="271"/>
      <c r="BG139" s="269"/>
      <c r="BH139" s="269"/>
      <c r="BI139" s="269"/>
      <c r="BJ139" s="269"/>
      <c r="BK139" s="521">
        <f ref="BK139:BK169" t="shared" si="77">SUM(BA139:BJ139)-BI139</f>
        <v>0</v>
      </c>
      <c r="BL139" s="195">
        <f ref="BL139:BL169" t="shared" si="78">+AZ139-BK139</f>
        <v>0</v>
      </c>
      <c r="BM139" s="132"/>
      <c r="BN139" s="195">
        <f ref="BN139:BN169" t="shared" si="79">SUM(BO139:CA139)</f>
        <v>0</v>
      </c>
      <c r="BO139" s="109"/>
      <c r="BP139" s="109"/>
      <c r="BQ139" s="109"/>
      <c r="BR139" s="109"/>
      <c r="BS139" s="109"/>
      <c r="BT139" s="109"/>
      <c r="BU139" s="109"/>
      <c r="BV139" s="109"/>
      <c r="BW139" s="109"/>
      <c r="BX139" s="109"/>
      <c r="BY139" s="109"/>
      <c r="BZ139" s="109"/>
      <c r="CA139" s="109"/>
      <c r="CB139" s="430">
        <f ref="CB139:CB169" t="shared" si="80">+BL139-BN139</f>
        <v>0</v>
      </c>
      <c r="CC139" s="132"/>
    </row>
    <row r="140" ht="14.25" customHeight="1">
      <c r="A140" s="132"/>
      <c r="B140" s="518">
        <v>46144</v>
      </c>
      <c r="C140" s="136"/>
      <c r="D140" s="230"/>
      <c r="E140" s="132"/>
      <c r="F140" s="135"/>
      <c r="G140" s="445">
        <f t="shared" si="72"/>
        <v>0</v>
      </c>
      <c r="H140" s="140"/>
      <c r="I140" s="457"/>
      <c r="J140" s="454"/>
      <c r="K140" s="140"/>
      <c r="L140" s="140"/>
      <c r="M140" s="201"/>
      <c r="N140" s="140"/>
      <c r="O140" s="140"/>
      <c r="P140" s="456"/>
      <c r="Q140" s="456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383">
        <f t="shared" si="73"/>
        <v>0</v>
      </c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384">
        <f t="shared" si="74"/>
        <v>0</v>
      </c>
      <c r="AQ140" s="134"/>
      <c r="AR140" s="134"/>
      <c r="AS140" s="136"/>
      <c r="AT140" s="522">
        <f t="shared" si="75"/>
        <v>0</v>
      </c>
      <c r="AU140" s="140"/>
      <c r="AV140" s="457"/>
      <c r="AW140" s="140"/>
      <c r="AX140" s="140"/>
      <c r="AY140" s="392"/>
      <c r="AZ140" s="432">
        <f t="shared" si="76"/>
        <v>0</v>
      </c>
      <c r="BA140" s="492"/>
      <c r="BB140" s="523"/>
      <c r="BC140" s="274"/>
      <c r="BD140" s="274"/>
      <c r="BE140" s="127"/>
      <c r="BF140" s="229"/>
      <c r="BG140" s="274"/>
      <c r="BH140" s="274"/>
      <c r="BI140" s="274"/>
      <c r="BJ140" s="274"/>
      <c r="BK140" s="389">
        <f t="shared" si="77"/>
        <v>0</v>
      </c>
      <c r="BL140" s="140">
        <f t="shared" si="78"/>
        <v>0</v>
      </c>
      <c r="BM140" s="132"/>
      <c r="BN140" s="140">
        <f t="shared" si="79"/>
        <v>0</v>
      </c>
      <c r="BO140" s="126"/>
      <c r="BP140" s="126"/>
      <c r="BQ140" s="126"/>
      <c r="BR140" s="126"/>
      <c r="BS140" s="126"/>
      <c r="BT140" s="126"/>
      <c r="BU140" s="126"/>
      <c r="BV140" s="126"/>
      <c r="BW140" s="126"/>
      <c r="BX140" s="126"/>
      <c r="BY140" s="126"/>
      <c r="BZ140" s="126"/>
      <c r="CA140" s="126"/>
      <c r="CB140" s="390">
        <f t="shared" si="80"/>
        <v>0</v>
      </c>
      <c r="CC140" s="132"/>
    </row>
    <row r="141" ht="14.25" customHeight="1">
      <c r="A141" s="132"/>
      <c r="B141" s="518">
        <v>46145</v>
      </c>
      <c r="C141" s="136"/>
      <c r="D141" s="230"/>
      <c r="E141" s="132"/>
      <c r="F141" s="135"/>
      <c r="G141" s="445">
        <f t="shared" si="72"/>
        <v>0</v>
      </c>
      <c r="H141" s="140"/>
      <c r="I141" s="457"/>
      <c r="J141" s="454"/>
      <c r="K141" s="201"/>
      <c r="L141" s="140"/>
      <c r="M141" s="140"/>
      <c r="N141" s="140"/>
      <c r="O141" s="140"/>
      <c r="P141" s="456"/>
      <c r="Q141" s="456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383">
        <f t="shared" si="73"/>
        <v>0</v>
      </c>
      <c r="AC141" s="201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384">
        <f t="shared" si="74"/>
        <v>0</v>
      </c>
      <c r="AQ141" s="134"/>
      <c r="AR141" s="134"/>
      <c r="AS141" s="136"/>
      <c r="AT141" s="522">
        <f t="shared" si="75"/>
        <v>0</v>
      </c>
      <c r="AU141" s="201"/>
      <c r="AV141" s="457"/>
      <c r="AW141" s="140"/>
      <c r="AX141" s="140"/>
      <c r="AY141" s="392"/>
      <c r="AZ141" s="432">
        <f t="shared" si="76"/>
        <v>0</v>
      </c>
      <c r="BA141" s="492"/>
      <c r="BB141" s="276"/>
      <c r="BC141" s="274"/>
      <c r="BD141" s="274"/>
      <c r="BE141" s="127"/>
      <c r="BF141" s="229"/>
      <c r="BG141" s="274"/>
      <c r="BH141" s="274"/>
      <c r="BI141" s="274"/>
      <c r="BJ141" s="274"/>
      <c r="BK141" s="389">
        <f t="shared" si="77"/>
        <v>0</v>
      </c>
      <c r="BL141" s="140">
        <f t="shared" si="78"/>
        <v>0</v>
      </c>
      <c r="BM141" s="132"/>
      <c r="BN141" s="140">
        <f t="shared" si="79"/>
        <v>0</v>
      </c>
      <c r="BO141" s="126"/>
      <c r="BP141" s="126"/>
      <c r="BQ141" s="126"/>
      <c r="BR141" s="126"/>
      <c r="BS141" s="126"/>
      <c r="BT141" s="126"/>
      <c r="BU141" s="126"/>
      <c r="BV141" s="126"/>
      <c r="BW141" s="126"/>
      <c r="BX141" s="126"/>
      <c r="BY141" s="126"/>
      <c r="BZ141" s="126"/>
      <c r="CA141" s="126"/>
      <c r="CB141" s="390">
        <f t="shared" si="80"/>
        <v>0</v>
      </c>
      <c r="CC141" s="132"/>
    </row>
    <row r="142" ht="14.25" customHeight="1">
      <c r="A142" s="132"/>
      <c r="B142" s="518">
        <v>46146</v>
      </c>
      <c r="C142" s="136"/>
      <c r="D142" s="230"/>
      <c r="E142" s="132"/>
      <c r="F142" s="135"/>
      <c r="G142" s="445">
        <f t="shared" si="72"/>
        <v>0</v>
      </c>
      <c r="H142" s="140"/>
      <c r="I142" s="457"/>
      <c r="J142" s="454"/>
      <c r="K142" s="201"/>
      <c r="L142" s="140"/>
      <c r="M142" s="201"/>
      <c r="N142" s="140"/>
      <c r="O142" s="140"/>
      <c r="P142" s="456"/>
      <c r="Q142" s="456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383">
        <f t="shared" si="73"/>
        <v>0</v>
      </c>
      <c r="AC142" s="201"/>
      <c r="AD142" s="140"/>
      <c r="AE142" s="201"/>
      <c r="AF142" s="140"/>
      <c r="AG142" s="140"/>
      <c r="AH142" s="201"/>
      <c r="AI142" s="140"/>
      <c r="AJ142" s="140"/>
      <c r="AK142" s="140"/>
      <c r="AL142" s="140"/>
      <c r="AM142" s="140"/>
      <c r="AN142" s="140"/>
      <c r="AO142" s="140"/>
      <c r="AP142" s="384">
        <f t="shared" si="74"/>
        <v>0</v>
      </c>
      <c r="AQ142" s="134"/>
      <c r="AR142" s="134"/>
      <c r="AS142" s="136"/>
      <c r="AT142" s="522">
        <f t="shared" si="75"/>
        <v>0</v>
      </c>
      <c r="AU142" s="201"/>
      <c r="AV142" s="457"/>
      <c r="AW142" s="140"/>
      <c r="AX142" s="140"/>
      <c r="AY142" s="392"/>
      <c r="AZ142" s="432">
        <f t="shared" si="76"/>
        <v>0</v>
      </c>
      <c r="BA142" s="492"/>
      <c r="BB142" s="523"/>
      <c r="BC142" s="274"/>
      <c r="BD142" s="274"/>
      <c r="BE142" s="127"/>
      <c r="BF142" s="229"/>
      <c r="BG142" s="274"/>
      <c r="BH142" s="274"/>
      <c r="BI142" s="274"/>
      <c r="BJ142" s="274"/>
      <c r="BK142" s="389">
        <f t="shared" si="77"/>
        <v>0</v>
      </c>
      <c r="BL142" s="140">
        <f t="shared" si="78"/>
        <v>0</v>
      </c>
      <c r="BM142" s="132"/>
      <c r="BN142" s="140">
        <f t="shared" si="79"/>
        <v>0</v>
      </c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26"/>
      <c r="BY142" s="126"/>
      <c r="BZ142" s="126"/>
      <c r="CA142" s="126"/>
      <c r="CB142" s="390">
        <f t="shared" si="80"/>
        <v>0</v>
      </c>
      <c r="CC142" s="132"/>
    </row>
    <row r="143" ht="14.25" customHeight="1">
      <c r="A143" s="132"/>
      <c r="B143" s="518">
        <v>46147</v>
      </c>
      <c r="C143" s="136"/>
      <c r="D143" s="230"/>
      <c r="E143" s="132"/>
      <c r="F143" s="135"/>
      <c r="G143" s="445">
        <f t="shared" si="72"/>
        <v>0</v>
      </c>
      <c r="H143" s="140"/>
      <c r="I143" s="457"/>
      <c r="J143" s="454"/>
      <c r="K143" s="140"/>
      <c r="L143" s="140"/>
      <c r="M143" s="201"/>
      <c r="N143" s="140"/>
      <c r="O143" s="140"/>
      <c r="P143" s="455"/>
      <c r="Q143" s="455"/>
      <c r="R143" s="140"/>
      <c r="S143" s="140"/>
      <c r="T143" s="140"/>
      <c r="U143" s="201"/>
      <c r="V143" s="140"/>
      <c r="W143" s="140"/>
      <c r="X143" s="140"/>
      <c r="Y143" s="140"/>
      <c r="Z143" s="140"/>
      <c r="AA143" s="140"/>
      <c r="AB143" s="383">
        <f t="shared" si="73"/>
        <v>0</v>
      </c>
      <c r="AC143" s="140"/>
      <c r="AD143" s="140"/>
      <c r="AE143" s="140"/>
      <c r="AF143" s="140"/>
      <c r="AG143" s="140"/>
      <c r="AH143" s="201"/>
      <c r="AI143" s="140"/>
      <c r="AJ143" s="140"/>
      <c r="AK143" s="140"/>
      <c r="AL143" s="140"/>
      <c r="AM143" s="140"/>
      <c r="AN143" s="140"/>
      <c r="AO143" s="140"/>
      <c r="AP143" s="384">
        <f t="shared" si="74"/>
        <v>0</v>
      </c>
      <c r="AQ143" s="134"/>
      <c r="AR143" s="134"/>
      <c r="AS143" s="136"/>
      <c r="AT143" s="522">
        <f t="shared" si="75"/>
        <v>0</v>
      </c>
      <c r="AU143" s="201"/>
      <c r="AV143" s="457"/>
      <c r="AW143" s="140"/>
      <c r="AX143" s="140"/>
      <c r="AY143" s="392"/>
      <c r="AZ143" s="432">
        <f t="shared" si="76"/>
        <v>0</v>
      </c>
      <c r="BA143" s="492"/>
      <c r="BB143" s="523"/>
      <c r="BC143" s="274"/>
      <c r="BD143" s="274"/>
      <c r="BE143" s="127"/>
      <c r="BF143" s="229"/>
      <c r="BG143" s="274"/>
      <c r="BH143" s="274"/>
      <c r="BI143" s="274"/>
      <c r="BJ143" s="274"/>
      <c r="BK143" s="389">
        <f t="shared" si="77"/>
        <v>0</v>
      </c>
      <c r="BL143" s="140">
        <f t="shared" si="78"/>
        <v>0</v>
      </c>
      <c r="BM143" s="132"/>
      <c r="BN143" s="140">
        <f t="shared" si="79"/>
        <v>0</v>
      </c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26"/>
      <c r="BY143" s="126"/>
      <c r="BZ143" s="126"/>
      <c r="CA143" s="126"/>
      <c r="CB143" s="390">
        <f t="shared" si="80"/>
        <v>0</v>
      </c>
      <c r="CC143" s="132"/>
    </row>
    <row r="144" ht="14.25" customHeight="1">
      <c r="A144" s="132"/>
      <c r="B144" s="518">
        <v>46148</v>
      </c>
      <c r="C144" s="136"/>
      <c r="D144" s="230"/>
      <c r="E144" s="132"/>
      <c r="F144" s="135"/>
      <c r="G144" s="445">
        <f t="shared" si="72"/>
        <v>0</v>
      </c>
      <c r="H144" s="140"/>
      <c r="I144" s="457"/>
      <c r="J144" s="454"/>
      <c r="K144" s="140"/>
      <c r="L144" s="140"/>
      <c r="M144" s="140"/>
      <c r="N144" s="140"/>
      <c r="O144" s="140"/>
      <c r="P144" s="456"/>
      <c r="Q144" s="455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383">
        <f t="shared" si="73"/>
        <v>0</v>
      </c>
      <c r="AC144" s="140"/>
      <c r="AD144" s="140"/>
      <c r="AE144" s="140"/>
      <c r="AF144" s="140"/>
      <c r="AG144" s="140"/>
      <c r="AH144" s="201"/>
      <c r="AI144" s="140"/>
      <c r="AJ144" s="140"/>
      <c r="AK144" s="140"/>
      <c r="AL144" s="140"/>
      <c r="AM144" s="140"/>
      <c r="AN144" s="140"/>
      <c r="AO144" s="140"/>
      <c r="AP144" s="384">
        <f t="shared" si="74"/>
        <v>0</v>
      </c>
      <c r="AQ144" s="134"/>
      <c r="AR144" s="134"/>
      <c r="AS144" s="136"/>
      <c r="AT144" s="522">
        <f t="shared" si="75"/>
        <v>0</v>
      </c>
      <c r="AU144" s="201"/>
      <c r="AV144" s="457"/>
      <c r="AW144" s="140"/>
      <c r="AX144" s="140"/>
      <c r="AY144" s="392"/>
      <c r="AZ144" s="432">
        <f t="shared" si="76"/>
        <v>0</v>
      </c>
      <c r="BA144" s="492"/>
      <c r="BB144" s="523"/>
      <c r="BC144" s="274"/>
      <c r="BD144" s="274"/>
      <c r="BE144" s="127"/>
      <c r="BF144" s="229"/>
      <c r="BG144" s="274"/>
      <c r="BH144" s="274"/>
      <c r="BI144" s="274"/>
      <c r="BJ144" s="274"/>
      <c r="BK144" s="389">
        <f t="shared" si="77"/>
        <v>0</v>
      </c>
      <c r="BL144" s="140">
        <f t="shared" si="78"/>
        <v>0</v>
      </c>
      <c r="BM144" s="132"/>
      <c r="BN144" s="140">
        <f t="shared" si="79"/>
        <v>0</v>
      </c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26"/>
      <c r="BY144" s="126"/>
      <c r="BZ144" s="126"/>
      <c r="CA144" s="126"/>
      <c r="CB144" s="390">
        <f t="shared" si="80"/>
        <v>0</v>
      </c>
      <c r="CC144" s="132"/>
    </row>
    <row r="145" ht="14.25" customHeight="1">
      <c r="A145" s="132"/>
      <c r="B145" s="518">
        <v>46149</v>
      </c>
      <c r="C145" s="136"/>
      <c r="D145" s="133"/>
      <c r="E145" s="132"/>
      <c r="F145" s="135"/>
      <c r="G145" s="445">
        <f t="shared" si="72"/>
        <v>0</v>
      </c>
      <c r="H145" s="140"/>
      <c r="I145" s="457"/>
      <c r="J145" s="454"/>
      <c r="K145" s="140"/>
      <c r="L145" s="140"/>
      <c r="M145" s="140"/>
      <c r="N145" s="140"/>
      <c r="O145" s="140"/>
      <c r="P145" s="456"/>
      <c r="Q145" s="456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383">
        <f t="shared" si="73"/>
        <v>0</v>
      </c>
      <c r="AC145" s="140"/>
      <c r="AD145" s="140"/>
      <c r="AE145" s="140"/>
      <c r="AF145" s="524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384">
        <f t="shared" si="74"/>
        <v>0</v>
      </c>
      <c r="AQ145" s="136"/>
      <c r="AR145" s="136"/>
      <c r="AS145" s="136"/>
      <c r="AT145" s="522">
        <f t="shared" si="75"/>
        <v>0</v>
      </c>
      <c r="AU145" s="140"/>
      <c r="AV145" s="457"/>
      <c r="AW145" s="140"/>
      <c r="AX145" s="140"/>
      <c r="AY145" s="392"/>
      <c r="AZ145" s="432">
        <f t="shared" si="76"/>
        <v>0</v>
      </c>
      <c r="BA145" s="433"/>
      <c r="BB145" s="276"/>
      <c r="BC145" s="274"/>
      <c r="BD145" s="274"/>
      <c r="BE145" s="127"/>
      <c r="BF145" s="126"/>
      <c r="BG145" s="274"/>
      <c r="BH145" s="274"/>
      <c r="BI145" s="274"/>
      <c r="BJ145" s="274"/>
      <c r="BK145" s="389">
        <f t="shared" si="77"/>
        <v>0</v>
      </c>
      <c r="BL145" s="140">
        <f t="shared" si="78"/>
        <v>0</v>
      </c>
      <c r="BM145" s="132"/>
      <c r="BN145" s="140">
        <f t="shared" si="79"/>
        <v>0</v>
      </c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26"/>
      <c r="BY145" s="126"/>
      <c r="BZ145" s="126"/>
      <c r="CA145" s="126"/>
      <c r="CB145" s="390">
        <f t="shared" si="80"/>
        <v>0</v>
      </c>
      <c r="CC145" s="132"/>
    </row>
    <row r="146" ht="14.25" customHeight="1">
      <c r="A146" s="132"/>
      <c r="B146" s="518">
        <v>46150</v>
      </c>
      <c r="C146" s="136"/>
      <c r="D146" s="133"/>
      <c r="E146" s="132"/>
      <c r="F146" s="135"/>
      <c r="G146" s="445">
        <f t="shared" si="72"/>
        <v>0</v>
      </c>
      <c r="H146" s="140"/>
      <c r="I146" s="457"/>
      <c r="J146" s="454"/>
      <c r="K146" s="140"/>
      <c r="L146" s="140"/>
      <c r="M146" s="140"/>
      <c r="N146" s="140"/>
      <c r="O146" s="140"/>
      <c r="P146" s="456"/>
      <c r="Q146" s="456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383">
        <f t="shared" si="73"/>
        <v>0</v>
      </c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384">
        <f t="shared" si="74"/>
        <v>0</v>
      </c>
      <c r="AQ146" s="136"/>
      <c r="AR146" s="136"/>
      <c r="AS146" s="136"/>
      <c r="AT146" s="522">
        <f t="shared" si="75"/>
        <v>0</v>
      </c>
      <c r="AU146" s="140"/>
      <c r="AV146" s="457"/>
      <c r="AW146" s="140"/>
      <c r="AX146" s="140"/>
      <c r="AY146" s="392"/>
      <c r="AZ146" s="432">
        <f t="shared" si="76"/>
        <v>0</v>
      </c>
      <c r="BA146" s="433"/>
      <c r="BB146" s="276"/>
      <c r="BC146" s="274"/>
      <c r="BD146" s="274"/>
      <c r="BE146" s="127"/>
      <c r="BF146" s="126"/>
      <c r="BG146" s="274"/>
      <c r="BH146" s="274"/>
      <c r="BI146" s="274"/>
      <c r="BJ146" s="274"/>
      <c r="BK146" s="389">
        <f t="shared" si="77"/>
        <v>0</v>
      </c>
      <c r="BL146" s="140">
        <f t="shared" si="78"/>
        <v>0</v>
      </c>
      <c r="BM146" s="132"/>
      <c r="BN146" s="140">
        <f t="shared" si="79"/>
        <v>0</v>
      </c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26"/>
      <c r="BY146" s="126"/>
      <c r="BZ146" s="126"/>
      <c r="CA146" s="126"/>
      <c r="CB146" s="390">
        <f t="shared" si="80"/>
        <v>0</v>
      </c>
      <c r="CC146" s="132"/>
    </row>
    <row r="147" ht="14.25" customHeight="1">
      <c r="A147" s="132"/>
      <c r="B147" s="518">
        <v>46151</v>
      </c>
      <c r="C147" s="136"/>
      <c r="D147" s="133"/>
      <c r="E147" s="132"/>
      <c r="F147" s="135"/>
      <c r="G147" s="445">
        <f t="shared" si="72"/>
        <v>0</v>
      </c>
      <c r="H147" s="140"/>
      <c r="I147" s="457"/>
      <c r="J147" s="454"/>
      <c r="K147" s="140"/>
      <c r="L147" s="140"/>
      <c r="M147" s="140"/>
      <c r="N147" s="140"/>
      <c r="O147" s="140"/>
      <c r="P147" s="456"/>
      <c r="Q147" s="456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383">
        <f t="shared" si="73"/>
        <v>0</v>
      </c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384">
        <f t="shared" si="74"/>
        <v>0</v>
      </c>
      <c r="AQ147" s="136"/>
      <c r="AR147" s="136"/>
      <c r="AS147" s="136"/>
      <c r="AT147" s="522">
        <f t="shared" si="75"/>
        <v>0</v>
      </c>
      <c r="AU147" s="140"/>
      <c r="AV147" s="457"/>
      <c r="AW147" s="140"/>
      <c r="AX147" s="140"/>
      <c r="AY147" s="392"/>
      <c r="AZ147" s="432">
        <f t="shared" si="76"/>
        <v>0</v>
      </c>
      <c r="BA147" s="433"/>
      <c r="BB147" s="276"/>
      <c r="BC147" s="274"/>
      <c r="BD147" s="274"/>
      <c r="BE147" s="127"/>
      <c r="BF147" s="126"/>
      <c r="BG147" s="274"/>
      <c r="BH147" s="274"/>
      <c r="BI147" s="274"/>
      <c r="BJ147" s="274"/>
      <c r="BK147" s="389">
        <f t="shared" si="77"/>
        <v>0</v>
      </c>
      <c r="BL147" s="140">
        <f t="shared" si="78"/>
        <v>0</v>
      </c>
      <c r="BM147" s="132"/>
      <c r="BN147" s="140">
        <f t="shared" si="79"/>
        <v>0</v>
      </c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26"/>
      <c r="BY147" s="126"/>
      <c r="BZ147" s="126"/>
      <c r="CA147" s="126"/>
      <c r="CB147" s="390">
        <f t="shared" si="80"/>
        <v>0</v>
      </c>
      <c r="CC147" s="132"/>
    </row>
    <row r="148" ht="14.25" customHeight="1">
      <c r="A148" s="525"/>
      <c r="B148" s="518">
        <v>46152</v>
      </c>
      <c r="C148" s="140"/>
      <c r="D148" s="457"/>
      <c r="E148" s="526"/>
      <c r="F148" s="527"/>
      <c r="G148" s="528">
        <f t="shared" si="72"/>
        <v>0</v>
      </c>
      <c r="H148" s="140"/>
      <c r="I148" s="457"/>
      <c r="J148" s="454"/>
      <c r="K148" s="140"/>
      <c r="L148" s="140"/>
      <c r="M148" s="140"/>
      <c r="N148" s="140"/>
      <c r="O148" s="140"/>
      <c r="P148" s="456"/>
      <c r="Q148" s="456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529">
        <f t="shared" si="73"/>
        <v>0</v>
      </c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530">
        <f t="shared" si="74"/>
        <v>0</v>
      </c>
      <c r="AQ148" s="140"/>
      <c r="AR148" s="140"/>
      <c r="AS148" s="140"/>
      <c r="AT148" s="531">
        <f t="shared" si="75"/>
        <v>0</v>
      </c>
      <c r="AU148" s="140"/>
      <c r="AV148" s="457"/>
      <c r="AW148" s="140"/>
      <c r="AX148" s="140"/>
      <c r="AY148" s="392"/>
      <c r="AZ148" s="528">
        <f t="shared" si="76"/>
        <v>0</v>
      </c>
      <c r="BA148" s="433"/>
      <c r="BB148" s="276"/>
      <c r="BC148" s="274"/>
      <c r="BD148" s="274"/>
      <c r="BE148" s="127"/>
      <c r="BF148" s="126"/>
      <c r="BG148" s="274"/>
      <c r="BH148" s="274"/>
      <c r="BI148" s="274"/>
      <c r="BJ148" s="274"/>
      <c r="BK148" s="532">
        <f t="shared" si="77"/>
        <v>0</v>
      </c>
      <c r="BL148" s="140">
        <f t="shared" si="78"/>
        <v>0</v>
      </c>
      <c r="BM148" s="525"/>
      <c r="BN148" s="140">
        <f t="shared" si="79"/>
        <v>0</v>
      </c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26"/>
      <c r="BY148" s="126"/>
      <c r="BZ148" s="126"/>
      <c r="CA148" s="126"/>
      <c r="CB148" s="390">
        <f t="shared" si="80"/>
        <v>0</v>
      </c>
      <c r="CC148" s="526"/>
    </row>
    <row r="149" ht="14.25" customHeight="1">
      <c r="A149" s="132"/>
      <c r="B149" s="518">
        <v>46153</v>
      </c>
      <c r="C149" s="136"/>
      <c r="D149" s="133"/>
      <c r="E149" s="132"/>
      <c r="F149" s="135"/>
      <c r="G149" s="445">
        <f t="shared" si="72"/>
        <v>0</v>
      </c>
      <c r="H149" s="140"/>
      <c r="I149" s="457"/>
      <c r="J149" s="454"/>
      <c r="K149" s="140"/>
      <c r="L149" s="140"/>
      <c r="M149" s="140"/>
      <c r="N149" s="140"/>
      <c r="O149" s="140"/>
      <c r="P149" s="456"/>
      <c r="Q149" s="456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383">
        <f t="shared" si="73"/>
        <v>0</v>
      </c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384">
        <f t="shared" si="74"/>
        <v>0</v>
      </c>
      <c r="AQ149" s="136"/>
      <c r="AR149" s="136"/>
      <c r="AS149" s="136"/>
      <c r="AT149" s="522">
        <f t="shared" si="75"/>
        <v>0</v>
      </c>
      <c r="AU149" s="140"/>
      <c r="AV149" s="457"/>
      <c r="AW149" s="140"/>
      <c r="AX149" s="140"/>
      <c r="AY149" s="392"/>
      <c r="AZ149" s="432">
        <f t="shared" si="76"/>
        <v>0</v>
      </c>
      <c r="BA149" s="433"/>
      <c r="BB149" s="276"/>
      <c r="BC149" s="274"/>
      <c r="BD149" s="274"/>
      <c r="BE149" s="127"/>
      <c r="BF149" s="126"/>
      <c r="BG149" s="274"/>
      <c r="BH149" s="274"/>
      <c r="BI149" s="274"/>
      <c r="BJ149" s="274"/>
      <c r="BK149" s="389">
        <f t="shared" si="77"/>
        <v>0</v>
      </c>
      <c r="BL149" s="140">
        <f t="shared" si="78"/>
        <v>0</v>
      </c>
      <c r="BM149" s="132"/>
      <c r="BN149" s="140">
        <f t="shared" si="79"/>
        <v>0</v>
      </c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26"/>
      <c r="BY149" s="126"/>
      <c r="BZ149" s="126"/>
      <c r="CA149" s="126"/>
      <c r="CB149" s="390">
        <f t="shared" si="80"/>
        <v>0</v>
      </c>
      <c r="CC149" s="132"/>
    </row>
    <row r="150" ht="14.25" customHeight="1">
      <c r="A150" s="132"/>
      <c r="B150" s="518">
        <v>46154</v>
      </c>
      <c r="C150" s="136"/>
      <c r="D150" s="133"/>
      <c r="E150" s="132"/>
      <c r="F150" s="135"/>
      <c r="G150" s="445">
        <f t="shared" si="72"/>
        <v>0</v>
      </c>
      <c r="H150" s="140"/>
      <c r="I150" s="457"/>
      <c r="J150" s="454"/>
      <c r="K150" s="140"/>
      <c r="L150" s="140"/>
      <c r="M150" s="140"/>
      <c r="N150" s="140"/>
      <c r="O150" s="140"/>
      <c r="P150" s="456"/>
      <c r="Q150" s="456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383">
        <f t="shared" si="73"/>
        <v>0</v>
      </c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384">
        <f t="shared" si="74"/>
        <v>0</v>
      </c>
      <c r="AQ150" s="136"/>
      <c r="AR150" s="136"/>
      <c r="AS150" s="136"/>
      <c r="AT150" s="522">
        <f t="shared" si="75"/>
        <v>0</v>
      </c>
      <c r="AU150" s="140"/>
      <c r="AV150" s="457"/>
      <c r="AW150" s="140"/>
      <c r="AX150" s="140"/>
      <c r="AY150" s="392"/>
      <c r="AZ150" s="432">
        <f t="shared" si="76"/>
        <v>0</v>
      </c>
      <c r="BA150" s="433"/>
      <c r="BB150" s="276"/>
      <c r="BC150" s="274"/>
      <c r="BD150" s="274"/>
      <c r="BE150" s="127"/>
      <c r="BF150" s="126"/>
      <c r="BG150" s="274"/>
      <c r="BH150" s="274"/>
      <c r="BI150" s="274"/>
      <c r="BJ150" s="274"/>
      <c r="BK150" s="389">
        <f t="shared" si="77"/>
        <v>0</v>
      </c>
      <c r="BL150" s="140">
        <f t="shared" si="78"/>
        <v>0</v>
      </c>
      <c r="BM150" s="132"/>
      <c r="BN150" s="140">
        <f t="shared" si="79"/>
        <v>0</v>
      </c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26"/>
      <c r="BY150" s="126"/>
      <c r="BZ150" s="126"/>
      <c r="CA150" s="126"/>
      <c r="CB150" s="390">
        <f t="shared" si="80"/>
        <v>0</v>
      </c>
      <c r="CC150" s="132"/>
    </row>
    <row r="151" ht="14.25" customHeight="1">
      <c r="A151" s="132"/>
      <c r="B151" s="518">
        <v>46155</v>
      </c>
      <c r="C151" s="136"/>
      <c r="D151" s="133"/>
      <c r="E151" s="132"/>
      <c r="F151" s="135"/>
      <c r="G151" s="445">
        <f t="shared" si="72"/>
        <v>0</v>
      </c>
      <c r="H151" s="140"/>
      <c r="I151" s="457"/>
      <c r="J151" s="454"/>
      <c r="K151" s="140"/>
      <c r="L151" s="140"/>
      <c r="M151" s="140"/>
      <c r="N151" s="140"/>
      <c r="O151" s="140"/>
      <c r="P151" s="456"/>
      <c r="Q151" s="456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383">
        <f t="shared" si="73"/>
        <v>0</v>
      </c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384">
        <f t="shared" si="74"/>
        <v>0</v>
      </c>
      <c r="AQ151" s="136"/>
      <c r="AR151" s="136"/>
      <c r="AS151" s="136"/>
      <c r="AT151" s="522">
        <f t="shared" si="75"/>
        <v>0</v>
      </c>
      <c r="AU151" s="140"/>
      <c r="AV151" s="457"/>
      <c r="AW151" s="140"/>
      <c r="AX151" s="140"/>
      <c r="AY151" s="392"/>
      <c r="AZ151" s="432">
        <f t="shared" si="76"/>
        <v>0</v>
      </c>
      <c r="BA151" s="433"/>
      <c r="BB151" s="276"/>
      <c r="BC151" s="274"/>
      <c r="BD151" s="274"/>
      <c r="BE151" s="127"/>
      <c r="BF151" s="126"/>
      <c r="BG151" s="274"/>
      <c r="BH151" s="274"/>
      <c r="BI151" s="274"/>
      <c r="BJ151" s="274"/>
      <c r="BK151" s="389">
        <f t="shared" si="77"/>
        <v>0</v>
      </c>
      <c r="BL151" s="140">
        <f t="shared" si="78"/>
        <v>0</v>
      </c>
      <c r="BM151" s="132"/>
      <c r="BN151" s="140">
        <f t="shared" si="79"/>
        <v>0</v>
      </c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26"/>
      <c r="BY151" s="126"/>
      <c r="BZ151" s="126"/>
      <c r="CA151" s="126"/>
      <c r="CB151" s="390">
        <f t="shared" si="80"/>
        <v>0</v>
      </c>
      <c r="CC151" s="132"/>
    </row>
    <row r="152" ht="14.25" customHeight="1">
      <c r="A152" s="132"/>
      <c r="B152" s="518">
        <v>46156</v>
      </c>
      <c r="C152" s="136"/>
      <c r="D152" s="133"/>
      <c r="E152" s="132"/>
      <c r="F152" s="135"/>
      <c r="G152" s="445">
        <f t="shared" si="72"/>
        <v>0</v>
      </c>
      <c r="H152" s="140"/>
      <c r="I152" s="457"/>
      <c r="J152" s="454"/>
      <c r="K152" s="140"/>
      <c r="L152" s="140"/>
      <c r="M152" s="140"/>
      <c r="N152" s="140"/>
      <c r="O152" s="140"/>
      <c r="P152" s="456"/>
      <c r="Q152" s="456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383">
        <f t="shared" si="73"/>
        <v>0</v>
      </c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384">
        <f t="shared" si="74"/>
        <v>0</v>
      </c>
      <c r="AQ152" s="136"/>
      <c r="AR152" s="136"/>
      <c r="AS152" s="136"/>
      <c r="AT152" s="522">
        <f t="shared" si="75"/>
        <v>0</v>
      </c>
      <c r="AU152" s="140"/>
      <c r="AV152" s="457"/>
      <c r="AW152" s="140"/>
      <c r="AX152" s="140"/>
      <c r="AY152" s="392"/>
      <c r="AZ152" s="432">
        <f t="shared" si="76"/>
        <v>0</v>
      </c>
      <c r="BA152" s="433"/>
      <c r="BB152" s="221"/>
      <c r="BC152" s="126"/>
      <c r="BD152" s="126"/>
      <c r="BE152" s="127"/>
      <c r="BF152" s="126"/>
      <c r="BG152" s="274"/>
      <c r="BH152" s="274"/>
      <c r="BI152" s="274"/>
      <c r="BJ152" s="274"/>
      <c r="BK152" s="389">
        <f t="shared" si="77"/>
        <v>0</v>
      </c>
      <c r="BL152" s="140">
        <f t="shared" si="78"/>
        <v>0</v>
      </c>
      <c r="BM152" s="132"/>
      <c r="BN152" s="140">
        <f t="shared" si="79"/>
        <v>0</v>
      </c>
      <c r="BO152" s="126"/>
      <c r="BP152" s="126"/>
      <c r="BQ152" s="126"/>
      <c r="BR152" s="126"/>
      <c r="BS152" s="126"/>
      <c r="BT152" s="126"/>
      <c r="BU152" s="126"/>
      <c r="BV152" s="126"/>
      <c r="BW152" s="126"/>
      <c r="BX152" s="126"/>
      <c r="BY152" s="126"/>
      <c r="BZ152" s="126"/>
      <c r="CA152" s="126"/>
      <c r="CB152" s="390">
        <f t="shared" si="80"/>
        <v>0</v>
      </c>
      <c r="CC152" s="132"/>
    </row>
    <row r="153" ht="14.25" customHeight="1">
      <c r="A153" s="132"/>
      <c r="B153" s="518">
        <v>46157</v>
      </c>
      <c r="C153" s="136"/>
      <c r="D153" s="133"/>
      <c r="E153" s="132"/>
      <c r="F153" s="135"/>
      <c r="G153" s="445">
        <f t="shared" si="72"/>
        <v>0</v>
      </c>
      <c r="H153" s="461"/>
      <c r="J153" s="454"/>
      <c r="K153" s="140"/>
      <c r="L153" s="140"/>
      <c r="M153" s="140"/>
      <c r="N153" s="140"/>
      <c r="O153" s="140"/>
      <c r="P153" s="456"/>
      <c r="Q153" s="456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383">
        <f t="shared" si="73"/>
        <v>0</v>
      </c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384">
        <f t="shared" si="74"/>
        <v>0</v>
      </c>
      <c r="AQ153" s="136"/>
      <c r="AR153" s="136"/>
      <c r="AS153" s="136"/>
      <c r="AT153" s="522">
        <f t="shared" si="75"/>
        <v>0</v>
      </c>
      <c r="AU153" s="140"/>
      <c r="AV153" s="457"/>
      <c r="AW153" s="140"/>
      <c r="AX153" s="140"/>
      <c r="AY153" s="392"/>
      <c r="AZ153" s="432">
        <f t="shared" si="76"/>
        <v>0</v>
      </c>
      <c r="BA153" s="433"/>
      <c r="BB153" s="221"/>
      <c r="BC153" s="126"/>
      <c r="BD153" s="126"/>
      <c r="BE153" s="127"/>
      <c r="BF153" s="126"/>
      <c r="BG153" s="274"/>
      <c r="BH153" s="274"/>
      <c r="BI153" s="274"/>
      <c r="BJ153" s="274"/>
      <c r="BK153" s="389">
        <f t="shared" si="77"/>
        <v>0</v>
      </c>
      <c r="BL153" s="140">
        <f t="shared" si="78"/>
        <v>0</v>
      </c>
      <c r="BM153" s="132"/>
      <c r="BN153" s="140">
        <f t="shared" si="79"/>
        <v>0</v>
      </c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26"/>
      <c r="BY153" s="126"/>
      <c r="BZ153" s="126"/>
      <c r="CA153" s="126"/>
      <c r="CB153" s="390">
        <f t="shared" si="80"/>
        <v>0</v>
      </c>
      <c r="CC153" s="132"/>
    </row>
    <row r="154" ht="14.25" customHeight="1">
      <c r="A154" s="132"/>
      <c r="B154" s="518">
        <v>46158</v>
      </c>
      <c r="C154" s="136"/>
      <c r="D154" s="133"/>
      <c r="E154" s="132"/>
      <c r="F154" s="135"/>
      <c r="G154" s="445">
        <f t="shared" si="72"/>
        <v>0</v>
      </c>
      <c r="H154" s="140"/>
      <c r="I154" s="457"/>
      <c r="J154" s="454"/>
      <c r="K154" s="140"/>
      <c r="L154" s="140"/>
      <c r="M154" s="140"/>
      <c r="N154" s="140"/>
      <c r="O154" s="140"/>
      <c r="P154" s="456"/>
      <c r="Q154" s="456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383">
        <f t="shared" si="73"/>
        <v>0</v>
      </c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384">
        <f t="shared" si="74"/>
        <v>0</v>
      </c>
      <c r="AQ154" s="136"/>
      <c r="AR154" s="136"/>
      <c r="AS154" s="136"/>
      <c r="AT154" s="522">
        <f t="shared" si="75"/>
        <v>0</v>
      </c>
      <c r="AU154" s="140"/>
      <c r="AV154" s="457"/>
      <c r="AW154" s="140"/>
      <c r="AX154" s="140"/>
      <c r="AY154" s="392"/>
      <c r="AZ154" s="432">
        <f t="shared" si="76"/>
        <v>0</v>
      </c>
      <c r="BA154" s="433"/>
      <c r="BB154" s="221"/>
      <c r="BC154" s="126"/>
      <c r="BD154" s="126"/>
      <c r="BE154" s="127"/>
      <c r="BF154" s="126"/>
      <c r="BG154" s="274"/>
      <c r="BH154" s="274"/>
      <c r="BI154" s="274"/>
      <c r="BJ154" s="274"/>
      <c r="BK154" s="389">
        <f t="shared" si="77"/>
        <v>0</v>
      </c>
      <c r="BL154" s="140">
        <f t="shared" si="78"/>
        <v>0</v>
      </c>
      <c r="BM154" s="132"/>
      <c r="BN154" s="140">
        <f t="shared" si="79"/>
        <v>0</v>
      </c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26"/>
      <c r="BY154" s="126"/>
      <c r="BZ154" s="126"/>
      <c r="CA154" s="126"/>
      <c r="CB154" s="390">
        <f t="shared" si="80"/>
        <v>0</v>
      </c>
      <c r="CC154" s="132"/>
    </row>
    <row r="155" ht="14.25" customHeight="1">
      <c r="A155" s="132"/>
      <c r="B155" s="518">
        <v>46159</v>
      </c>
      <c r="C155" s="136"/>
      <c r="D155" s="133"/>
      <c r="E155" s="132"/>
      <c r="F155" s="135"/>
      <c r="G155" s="445">
        <f t="shared" si="72"/>
        <v>0</v>
      </c>
      <c r="H155" s="140"/>
      <c r="I155" s="457"/>
      <c r="J155" s="454"/>
      <c r="K155" s="140"/>
      <c r="L155" s="140"/>
      <c r="M155" s="140"/>
      <c r="N155" s="140"/>
      <c r="O155" s="140"/>
      <c r="P155" s="456"/>
      <c r="Q155" s="456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383">
        <f t="shared" si="73"/>
        <v>0</v>
      </c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384">
        <f t="shared" si="74"/>
        <v>0</v>
      </c>
      <c r="AQ155" s="136"/>
      <c r="AR155" s="136"/>
      <c r="AS155" s="136"/>
      <c r="AT155" s="522">
        <f t="shared" si="75"/>
        <v>0</v>
      </c>
      <c r="AU155" s="140"/>
      <c r="AV155" s="457"/>
      <c r="AW155" s="140"/>
      <c r="AX155" s="140"/>
      <c r="AY155" s="392"/>
      <c r="AZ155" s="432">
        <f t="shared" si="76"/>
        <v>0</v>
      </c>
      <c r="BA155" s="433"/>
      <c r="BB155" s="276"/>
      <c r="BC155" s="274"/>
      <c r="BD155" s="274"/>
      <c r="BE155" s="127"/>
      <c r="BF155" s="126"/>
      <c r="BG155" s="274"/>
      <c r="BH155" s="274"/>
      <c r="BI155" s="274"/>
      <c r="BJ155" s="274"/>
      <c r="BK155" s="389">
        <f t="shared" si="77"/>
        <v>0</v>
      </c>
      <c r="BL155" s="140">
        <f t="shared" si="78"/>
        <v>0</v>
      </c>
      <c r="BM155" s="132"/>
      <c r="BN155" s="140">
        <f t="shared" si="79"/>
        <v>0</v>
      </c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390">
        <f t="shared" si="80"/>
        <v>0</v>
      </c>
      <c r="CC155" s="132"/>
    </row>
    <row r="156" ht="14.25" customHeight="1">
      <c r="A156" s="132"/>
      <c r="B156" s="518">
        <v>46160</v>
      </c>
      <c r="C156" s="136"/>
      <c r="D156" s="133"/>
      <c r="E156" s="132"/>
      <c r="F156" s="135"/>
      <c r="G156" s="445">
        <f t="shared" si="72"/>
        <v>0</v>
      </c>
      <c r="H156" s="140"/>
      <c r="I156" s="457"/>
      <c r="J156" s="454"/>
      <c r="K156" s="140"/>
      <c r="L156" s="140"/>
      <c r="M156" s="140"/>
      <c r="N156" s="140"/>
      <c r="O156" s="140"/>
      <c r="P156" s="456"/>
      <c r="Q156" s="456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383">
        <f t="shared" si="73"/>
        <v>0</v>
      </c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384">
        <f t="shared" si="74"/>
        <v>0</v>
      </c>
      <c r="AQ156" s="136"/>
      <c r="AR156" s="136"/>
      <c r="AS156" s="136"/>
      <c r="AT156" s="522">
        <f t="shared" si="75"/>
        <v>0</v>
      </c>
      <c r="AU156" s="140"/>
      <c r="AV156" s="457"/>
      <c r="AW156" s="140"/>
      <c r="AX156" s="140"/>
      <c r="AY156" s="392"/>
      <c r="AZ156" s="432">
        <f t="shared" si="76"/>
        <v>0</v>
      </c>
      <c r="BA156" s="433"/>
      <c r="BB156" s="276"/>
      <c r="BC156" s="274"/>
      <c r="BD156" s="274"/>
      <c r="BE156" s="127"/>
      <c r="BF156" s="126"/>
      <c r="BG156" s="274"/>
      <c r="BH156" s="274"/>
      <c r="BI156" s="274"/>
      <c r="BJ156" s="274"/>
      <c r="BK156" s="389">
        <f t="shared" si="77"/>
        <v>0</v>
      </c>
      <c r="BL156" s="140">
        <f t="shared" si="78"/>
        <v>0</v>
      </c>
      <c r="BM156" s="132"/>
      <c r="BN156" s="140">
        <f t="shared" si="79"/>
        <v>0</v>
      </c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26"/>
      <c r="BY156" s="126"/>
      <c r="BZ156" s="126"/>
      <c r="CA156" s="126"/>
      <c r="CB156" s="390">
        <f t="shared" si="80"/>
        <v>0</v>
      </c>
      <c r="CC156" s="132"/>
    </row>
    <row r="157" ht="14.25" customHeight="1">
      <c r="A157" s="132"/>
      <c r="B157" s="518">
        <v>46161</v>
      </c>
      <c r="C157" s="136"/>
      <c r="D157" s="133"/>
      <c r="E157" s="132"/>
      <c r="F157" s="135"/>
      <c r="G157" s="445">
        <f t="shared" si="72"/>
        <v>0</v>
      </c>
      <c r="H157" s="140"/>
      <c r="I157" s="457"/>
      <c r="J157" s="454"/>
      <c r="K157" s="140"/>
      <c r="L157" s="140"/>
      <c r="M157" s="140"/>
      <c r="N157" s="140"/>
      <c r="O157" s="140"/>
      <c r="P157" s="456"/>
      <c r="Q157" s="456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383">
        <f t="shared" si="73"/>
        <v>0</v>
      </c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384">
        <f t="shared" si="74"/>
        <v>0</v>
      </c>
      <c r="AQ157" s="136"/>
      <c r="AR157" s="136"/>
      <c r="AS157" s="136"/>
      <c r="AT157" s="522">
        <f t="shared" si="75"/>
        <v>0</v>
      </c>
      <c r="AU157" s="140"/>
      <c r="AV157" s="457"/>
      <c r="AW157" s="140"/>
      <c r="AX157" s="140"/>
      <c r="AY157" s="392"/>
      <c r="AZ157" s="432">
        <f t="shared" si="76"/>
        <v>0</v>
      </c>
      <c r="BA157" s="433"/>
      <c r="BB157" s="276"/>
      <c r="BC157" s="274"/>
      <c r="BD157" s="274"/>
      <c r="BE157" s="127"/>
      <c r="BF157" s="126"/>
      <c r="BG157" s="274"/>
      <c r="BH157" s="274"/>
      <c r="BI157" s="274"/>
      <c r="BJ157" s="274"/>
      <c r="BK157" s="389">
        <f t="shared" si="77"/>
        <v>0</v>
      </c>
      <c r="BL157" s="140">
        <f t="shared" si="78"/>
        <v>0</v>
      </c>
      <c r="BM157" s="132"/>
      <c r="BN157" s="140">
        <f t="shared" si="79"/>
        <v>0</v>
      </c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390">
        <f t="shared" si="80"/>
        <v>0</v>
      </c>
      <c r="CC157" s="132"/>
    </row>
    <row r="158" ht="14.25" customHeight="1">
      <c r="A158" s="132"/>
      <c r="B158" s="518">
        <v>46162</v>
      </c>
      <c r="C158" s="136"/>
      <c r="D158" s="133"/>
      <c r="E158" s="132"/>
      <c r="F158" s="135"/>
      <c r="G158" s="445">
        <f t="shared" si="72"/>
        <v>0</v>
      </c>
      <c r="H158" s="140"/>
      <c r="I158" s="457"/>
      <c r="J158" s="454"/>
      <c r="K158" s="140"/>
      <c r="L158" s="140"/>
      <c r="M158" s="140"/>
      <c r="N158" s="140"/>
      <c r="O158" s="140"/>
      <c r="P158" s="456"/>
      <c r="Q158" s="456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383">
        <f t="shared" si="73"/>
        <v>0</v>
      </c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384">
        <f t="shared" si="74"/>
        <v>0</v>
      </c>
      <c r="AQ158" s="136"/>
      <c r="AR158" s="136"/>
      <c r="AS158" s="136"/>
      <c r="AT158" s="522">
        <f t="shared" si="75"/>
        <v>0</v>
      </c>
      <c r="AU158" s="140"/>
      <c r="AV158" s="457"/>
      <c r="AW158" s="140"/>
      <c r="AX158" s="140"/>
      <c r="AY158" s="392"/>
      <c r="AZ158" s="432">
        <f t="shared" si="76"/>
        <v>0</v>
      </c>
      <c r="BA158" s="433"/>
      <c r="BB158" s="276"/>
      <c r="BC158" s="274"/>
      <c r="BD158" s="274"/>
      <c r="BE158" s="127"/>
      <c r="BF158" s="126"/>
      <c r="BG158" s="274"/>
      <c r="BH158" s="274"/>
      <c r="BI158" s="274"/>
      <c r="BJ158" s="274"/>
      <c r="BK158" s="389">
        <f t="shared" si="77"/>
        <v>0</v>
      </c>
      <c r="BL158" s="140">
        <f t="shared" si="78"/>
        <v>0</v>
      </c>
      <c r="BM158" s="132"/>
      <c r="BN158" s="140">
        <f t="shared" si="79"/>
        <v>0</v>
      </c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26"/>
      <c r="BY158" s="126"/>
      <c r="BZ158" s="126"/>
      <c r="CA158" s="126"/>
      <c r="CB158" s="390">
        <f t="shared" si="80"/>
        <v>0</v>
      </c>
      <c r="CC158" s="132"/>
    </row>
    <row r="159" ht="14.25" customHeight="1">
      <c r="A159" s="132"/>
      <c r="B159" s="518">
        <v>46163</v>
      </c>
      <c r="C159" s="136"/>
      <c r="D159" s="133"/>
      <c r="E159" s="132"/>
      <c r="F159" s="135"/>
      <c r="G159" s="445">
        <f t="shared" si="72"/>
        <v>0</v>
      </c>
      <c r="H159" s="140"/>
      <c r="I159" s="457"/>
      <c r="J159" s="454"/>
      <c r="K159" s="140"/>
      <c r="L159" s="140"/>
      <c r="M159" s="140"/>
      <c r="N159" s="140"/>
      <c r="O159" s="140"/>
      <c r="P159" s="456"/>
      <c r="Q159" s="456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383">
        <f t="shared" si="73"/>
        <v>0</v>
      </c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384">
        <f t="shared" si="74"/>
        <v>0</v>
      </c>
      <c r="AQ159" s="136"/>
      <c r="AR159" s="136"/>
      <c r="AS159" s="136"/>
      <c r="AT159" s="522">
        <f t="shared" si="75"/>
        <v>0</v>
      </c>
      <c r="AU159" s="140"/>
      <c r="AV159" s="457"/>
      <c r="AW159" s="140"/>
      <c r="AX159" s="140"/>
      <c r="AY159" s="392"/>
      <c r="AZ159" s="432">
        <f t="shared" si="76"/>
        <v>0</v>
      </c>
      <c r="BA159" s="433"/>
      <c r="BB159" s="276"/>
      <c r="BC159" s="274"/>
      <c r="BD159" s="274"/>
      <c r="BE159" s="127"/>
      <c r="BF159" s="126"/>
      <c r="BG159" s="274"/>
      <c r="BH159" s="274"/>
      <c r="BI159" s="274"/>
      <c r="BJ159" s="274"/>
      <c r="BK159" s="389">
        <f t="shared" si="77"/>
        <v>0</v>
      </c>
      <c r="BL159" s="140">
        <f t="shared" si="78"/>
        <v>0</v>
      </c>
      <c r="BM159" s="132"/>
      <c r="BN159" s="140">
        <f t="shared" si="79"/>
        <v>0</v>
      </c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26"/>
      <c r="BY159" s="126"/>
      <c r="BZ159" s="126"/>
      <c r="CA159" s="126"/>
      <c r="CB159" s="390">
        <f t="shared" si="80"/>
        <v>0</v>
      </c>
      <c r="CC159" s="132"/>
    </row>
    <row r="160" ht="14.25" customHeight="1">
      <c r="A160" s="132"/>
      <c r="B160" s="518">
        <v>46164</v>
      </c>
      <c r="C160" s="136"/>
      <c r="D160" s="133"/>
      <c r="E160" s="132"/>
      <c r="F160" s="135"/>
      <c r="G160" s="445">
        <f t="shared" si="72"/>
        <v>0</v>
      </c>
      <c r="H160" s="140"/>
      <c r="I160" s="457"/>
      <c r="J160" s="454"/>
      <c r="K160" s="140"/>
      <c r="L160" s="140"/>
      <c r="M160" s="140"/>
      <c r="N160" s="140"/>
      <c r="O160" s="140"/>
      <c r="P160" s="456"/>
      <c r="Q160" s="456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383">
        <f t="shared" si="73"/>
        <v>0</v>
      </c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384">
        <f t="shared" si="74"/>
        <v>0</v>
      </c>
      <c r="AQ160" s="136"/>
      <c r="AR160" s="136"/>
      <c r="AS160" s="136"/>
      <c r="AT160" s="522">
        <f t="shared" si="75"/>
        <v>0</v>
      </c>
      <c r="AU160" s="140"/>
      <c r="AV160" s="457"/>
      <c r="AW160" s="140"/>
      <c r="AX160" s="140"/>
      <c r="AY160" s="392"/>
      <c r="AZ160" s="432">
        <f t="shared" si="76"/>
        <v>0</v>
      </c>
      <c r="BA160" s="433"/>
      <c r="BB160" s="276"/>
      <c r="BC160" s="274"/>
      <c r="BD160" s="274"/>
      <c r="BE160" s="127"/>
      <c r="BF160" s="126"/>
      <c r="BG160" s="274"/>
      <c r="BH160" s="274"/>
      <c r="BI160" s="274"/>
      <c r="BJ160" s="274"/>
      <c r="BK160" s="389">
        <f t="shared" si="77"/>
        <v>0</v>
      </c>
      <c r="BL160" s="140">
        <f t="shared" si="78"/>
        <v>0</v>
      </c>
      <c r="BM160" s="132"/>
      <c r="BN160" s="140">
        <f t="shared" si="79"/>
        <v>0</v>
      </c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26"/>
      <c r="BY160" s="126"/>
      <c r="BZ160" s="126"/>
      <c r="CA160" s="126"/>
      <c r="CB160" s="390">
        <f t="shared" si="80"/>
        <v>0</v>
      </c>
      <c r="CC160" s="132"/>
    </row>
    <row r="161" ht="14.25" customHeight="1">
      <c r="A161" s="132"/>
      <c r="B161" s="518">
        <v>46165</v>
      </c>
      <c r="C161" s="136"/>
      <c r="D161" s="133"/>
      <c r="E161" s="132"/>
      <c r="F161" s="135"/>
      <c r="G161" s="445">
        <f t="shared" si="72"/>
        <v>0</v>
      </c>
      <c r="H161" s="140"/>
      <c r="I161" s="457"/>
      <c r="J161" s="454"/>
      <c r="K161" s="140"/>
      <c r="L161" s="140"/>
      <c r="M161" s="140"/>
      <c r="N161" s="140"/>
      <c r="O161" s="140"/>
      <c r="P161" s="456"/>
      <c r="Q161" s="456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383">
        <f t="shared" si="73"/>
        <v>0</v>
      </c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384">
        <f t="shared" si="74"/>
        <v>0</v>
      </c>
      <c r="AQ161" s="136"/>
      <c r="AR161" s="136"/>
      <c r="AS161" s="136"/>
      <c r="AT161" s="522">
        <f t="shared" si="75"/>
        <v>0</v>
      </c>
      <c r="AU161" s="140"/>
      <c r="AV161" s="457"/>
      <c r="AW161" s="140"/>
      <c r="AX161" s="140"/>
      <c r="AY161" s="392"/>
      <c r="AZ161" s="432">
        <f t="shared" si="76"/>
        <v>0</v>
      </c>
      <c r="BA161" s="433"/>
      <c r="BB161" s="276"/>
      <c r="BC161" s="274"/>
      <c r="BD161" s="274"/>
      <c r="BE161" s="127"/>
      <c r="BF161" s="126"/>
      <c r="BG161" s="274"/>
      <c r="BH161" s="274"/>
      <c r="BI161" s="274"/>
      <c r="BJ161" s="274"/>
      <c r="BK161" s="389">
        <f t="shared" si="77"/>
        <v>0</v>
      </c>
      <c r="BL161" s="140">
        <f t="shared" si="78"/>
        <v>0</v>
      </c>
      <c r="BM161" s="132"/>
      <c r="BN161" s="140">
        <f t="shared" si="79"/>
        <v>0</v>
      </c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26"/>
      <c r="BY161" s="126"/>
      <c r="BZ161" s="126"/>
      <c r="CA161" s="126"/>
      <c r="CB161" s="390">
        <f t="shared" si="80"/>
        <v>0</v>
      </c>
      <c r="CC161" s="132"/>
    </row>
    <row r="162" ht="14.25" customHeight="1">
      <c r="A162" s="132"/>
      <c r="B162" s="518">
        <v>46166</v>
      </c>
      <c r="C162" s="136"/>
      <c r="D162" s="133"/>
      <c r="E162" s="132"/>
      <c r="F162" s="135"/>
      <c r="G162" s="445">
        <f t="shared" si="72"/>
        <v>0</v>
      </c>
      <c r="H162" s="140"/>
      <c r="I162" s="457"/>
      <c r="J162" s="454"/>
      <c r="K162" s="140"/>
      <c r="L162" s="140"/>
      <c r="M162" s="140"/>
      <c r="N162" s="140"/>
      <c r="O162" s="140"/>
      <c r="P162" s="456"/>
      <c r="Q162" s="456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383">
        <f t="shared" si="73"/>
        <v>0</v>
      </c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384">
        <f t="shared" si="74"/>
        <v>0</v>
      </c>
      <c r="AQ162" s="136"/>
      <c r="AR162" s="136"/>
      <c r="AS162" s="136"/>
      <c r="AT162" s="522">
        <f t="shared" si="75"/>
        <v>0</v>
      </c>
      <c r="AU162" s="140"/>
      <c r="AV162" s="457"/>
      <c r="AW162" s="140"/>
      <c r="AX162" s="140"/>
      <c r="AY162" s="392"/>
      <c r="AZ162" s="432">
        <f t="shared" si="76"/>
        <v>0</v>
      </c>
      <c r="BA162" s="433"/>
      <c r="BB162" s="276"/>
      <c r="BC162" s="274"/>
      <c r="BD162" s="274"/>
      <c r="BE162" s="127"/>
      <c r="BF162" s="126"/>
      <c r="BG162" s="274"/>
      <c r="BH162" s="274"/>
      <c r="BI162" s="274"/>
      <c r="BJ162" s="274"/>
      <c r="BK162" s="389">
        <f t="shared" si="77"/>
        <v>0</v>
      </c>
      <c r="BL162" s="140">
        <f t="shared" si="78"/>
        <v>0</v>
      </c>
      <c r="BM162" s="132"/>
      <c r="BN162" s="140">
        <f t="shared" si="79"/>
        <v>0</v>
      </c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26"/>
      <c r="BY162" s="126"/>
      <c r="BZ162" s="126"/>
      <c r="CA162" s="126"/>
      <c r="CB162" s="390">
        <f t="shared" si="80"/>
        <v>0</v>
      </c>
      <c r="CC162" s="132"/>
    </row>
    <row r="163" ht="14.25" customHeight="1">
      <c r="A163" s="132"/>
      <c r="B163" s="518">
        <v>46167</v>
      </c>
      <c r="C163" s="136"/>
      <c r="D163" s="133"/>
      <c r="E163" s="132"/>
      <c r="F163" s="135"/>
      <c r="G163" s="445">
        <f t="shared" si="72"/>
        <v>0</v>
      </c>
      <c r="H163" s="140"/>
      <c r="I163" s="457"/>
      <c r="J163" s="454"/>
      <c r="K163" s="140"/>
      <c r="L163" s="140"/>
      <c r="M163" s="140"/>
      <c r="N163" s="140"/>
      <c r="O163" s="140"/>
      <c r="P163" s="456"/>
      <c r="Q163" s="456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383">
        <f t="shared" si="73"/>
        <v>0</v>
      </c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384">
        <f t="shared" si="74"/>
        <v>0</v>
      </c>
      <c r="AQ163" s="136"/>
      <c r="AR163" s="136"/>
      <c r="AS163" s="136"/>
      <c r="AT163" s="522">
        <f t="shared" si="75"/>
        <v>0</v>
      </c>
      <c r="AU163" s="140"/>
      <c r="AV163" s="457"/>
      <c r="AW163" s="140"/>
      <c r="AX163" s="140"/>
      <c r="AY163" s="392"/>
      <c r="AZ163" s="432">
        <f t="shared" si="76"/>
        <v>0</v>
      </c>
      <c r="BA163" s="433"/>
      <c r="BB163" s="276"/>
      <c r="BC163" s="274"/>
      <c r="BD163" s="274"/>
      <c r="BE163" s="127"/>
      <c r="BF163" s="126"/>
      <c r="BG163" s="274"/>
      <c r="BH163" s="274"/>
      <c r="BI163" s="274"/>
      <c r="BJ163" s="274"/>
      <c r="BK163" s="389">
        <f t="shared" si="77"/>
        <v>0</v>
      </c>
      <c r="BL163" s="140">
        <f t="shared" si="78"/>
        <v>0</v>
      </c>
      <c r="BM163" s="132"/>
      <c r="BN163" s="140">
        <f t="shared" si="79"/>
        <v>0</v>
      </c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26"/>
      <c r="BY163" s="126"/>
      <c r="BZ163" s="126"/>
      <c r="CA163" s="126"/>
      <c r="CB163" s="390">
        <f t="shared" si="80"/>
        <v>0</v>
      </c>
      <c r="CC163" s="132"/>
    </row>
    <row r="164" ht="14.25" customHeight="1">
      <c r="A164" s="132"/>
      <c r="B164" s="518">
        <v>46168</v>
      </c>
      <c r="C164" s="136"/>
      <c r="D164" s="133"/>
      <c r="E164" s="132"/>
      <c r="F164" s="135"/>
      <c r="G164" s="445">
        <f t="shared" si="72"/>
        <v>0</v>
      </c>
      <c r="H164" s="140"/>
      <c r="I164" s="457"/>
      <c r="J164" s="454"/>
      <c r="K164" s="140"/>
      <c r="L164" s="140"/>
      <c r="M164" s="140"/>
      <c r="N164" s="140"/>
      <c r="O164" s="140"/>
      <c r="P164" s="379"/>
      <c r="Q164" s="379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383">
        <f t="shared" si="73"/>
        <v>0</v>
      </c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384">
        <f t="shared" si="74"/>
        <v>0</v>
      </c>
      <c r="AQ164" s="136"/>
      <c r="AR164" s="136"/>
      <c r="AS164" s="136"/>
      <c r="AT164" s="522">
        <f t="shared" si="75"/>
        <v>0</v>
      </c>
      <c r="AU164" s="140"/>
      <c r="AV164" s="457"/>
      <c r="AW164" s="140"/>
      <c r="AX164" s="140"/>
      <c r="AY164" s="392"/>
      <c r="AZ164" s="432">
        <f t="shared" si="76"/>
        <v>0</v>
      </c>
      <c r="BA164" s="433"/>
      <c r="BB164" s="276"/>
      <c r="BC164" s="274"/>
      <c r="BD164" s="274"/>
      <c r="BE164" s="127"/>
      <c r="BF164" s="126"/>
      <c r="BG164" s="274"/>
      <c r="BH164" s="274"/>
      <c r="BI164" s="274"/>
      <c r="BJ164" s="274"/>
      <c r="BK164" s="389">
        <f t="shared" si="77"/>
        <v>0</v>
      </c>
      <c r="BL164" s="140">
        <f t="shared" si="78"/>
        <v>0</v>
      </c>
      <c r="BM164" s="132"/>
      <c r="BN164" s="140">
        <f t="shared" si="79"/>
        <v>0</v>
      </c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6"/>
      <c r="BY164" s="126"/>
      <c r="BZ164" s="126"/>
      <c r="CA164" s="126"/>
      <c r="CB164" s="390">
        <f t="shared" si="80"/>
        <v>0</v>
      </c>
      <c r="CC164" s="132"/>
    </row>
    <row r="165" ht="14.25" customHeight="1">
      <c r="A165" s="132"/>
      <c r="B165" s="518">
        <v>46169</v>
      </c>
      <c r="C165" s="136"/>
      <c r="D165" s="133"/>
      <c r="E165" s="132"/>
      <c r="F165" s="135"/>
      <c r="G165" s="445">
        <f t="shared" si="72"/>
        <v>0</v>
      </c>
      <c r="H165" s="140"/>
      <c r="I165" s="457"/>
      <c r="J165" s="454"/>
      <c r="K165" s="140"/>
      <c r="L165" s="140"/>
      <c r="M165" s="140"/>
      <c r="N165" s="140"/>
      <c r="O165" s="140"/>
      <c r="P165" s="456"/>
      <c r="Q165" s="456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383">
        <f t="shared" si="73"/>
        <v>0</v>
      </c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384">
        <f t="shared" si="74"/>
        <v>0</v>
      </c>
      <c r="AQ165" s="136"/>
      <c r="AR165" s="136"/>
      <c r="AS165" s="136"/>
      <c r="AT165" s="522">
        <f t="shared" si="75"/>
        <v>0</v>
      </c>
      <c r="AU165" s="140"/>
      <c r="AV165" s="457"/>
      <c r="AW165" s="140"/>
      <c r="AX165" s="140"/>
      <c r="AY165" s="392"/>
      <c r="AZ165" s="432">
        <f t="shared" si="76"/>
        <v>0</v>
      </c>
      <c r="BA165" s="433"/>
      <c r="BB165" s="276"/>
      <c r="BC165" s="274"/>
      <c r="BD165" s="274"/>
      <c r="BE165" s="127"/>
      <c r="BF165" s="126"/>
      <c r="BG165" s="274"/>
      <c r="BH165" s="274"/>
      <c r="BI165" s="274"/>
      <c r="BJ165" s="274"/>
      <c r="BK165" s="389">
        <f t="shared" si="77"/>
        <v>0</v>
      </c>
      <c r="BL165" s="140">
        <f t="shared" si="78"/>
        <v>0</v>
      </c>
      <c r="BM165" s="132"/>
      <c r="BN165" s="140">
        <f t="shared" si="79"/>
        <v>0</v>
      </c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26"/>
      <c r="BY165" s="126"/>
      <c r="BZ165" s="126"/>
      <c r="CA165" s="126"/>
      <c r="CB165" s="390">
        <f t="shared" si="80"/>
        <v>0</v>
      </c>
      <c r="CC165" s="132"/>
    </row>
    <row r="166" ht="14.25" customHeight="1">
      <c r="A166" s="132"/>
      <c r="B166" s="518">
        <v>46170</v>
      </c>
      <c r="C166" s="136"/>
      <c r="D166" s="133"/>
      <c r="E166" s="132"/>
      <c r="F166" s="135"/>
      <c r="G166" s="445">
        <f t="shared" si="72"/>
        <v>0</v>
      </c>
      <c r="H166" s="140"/>
      <c r="I166" s="457"/>
      <c r="J166" s="454"/>
      <c r="K166" s="140"/>
      <c r="L166" s="140"/>
      <c r="M166" s="140"/>
      <c r="N166" s="140"/>
      <c r="O166" s="140"/>
      <c r="P166" s="456"/>
      <c r="Q166" s="456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383">
        <f t="shared" si="73"/>
        <v>0</v>
      </c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384">
        <f t="shared" si="74"/>
        <v>0</v>
      </c>
      <c r="AQ166" s="136"/>
      <c r="AR166" s="136"/>
      <c r="AS166" s="136"/>
      <c r="AT166" s="522">
        <f t="shared" si="75"/>
        <v>0</v>
      </c>
      <c r="AU166" s="140"/>
      <c r="AV166" s="457"/>
      <c r="AW166" s="140"/>
      <c r="AX166" s="140"/>
      <c r="AY166" s="392"/>
      <c r="AZ166" s="432">
        <f t="shared" si="76"/>
        <v>0</v>
      </c>
      <c r="BA166" s="433"/>
      <c r="BB166" s="276"/>
      <c r="BC166" s="274"/>
      <c r="BD166" s="274"/>
      <c r="BE166" s="127"/>
      <c r="BF166" s="126"/>
      <c r="BG166" s="274"/>
      <c r="BH166" s="274"/>
      <c r="BI166" s="274"/>
      <c r="BJ166" s="274"/>
      <c r="BK166" s="389">
        <f t="shared" si="77"/>
        <v>0</v>
      </c>
      <c r="BL166" s="140">
        <f t="shared" si="78"/>
        <v>0</v>
      </c>
      <c r="BM166" s="132"/>
      <c r="BN166" s="140">
        <f t="shared" si="79"/>
        <v>0</v>
      </c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26"/>
      <c r="BY166" s="126"/>
      <c r="BZ166" s="126"/>
      <c r="CA166" s="126"/>
      <c r="CB166" s="390">
        <f t="shared" si="80"/>
        <v>0</v>
      </c>
      <c r="CC166" s="132"/>
    </row>
    <row r="167" ht="14.25" customHeight="1">
      <c r="A167" s="132"/>
      <c r="B167" s="518">
        <v>46171</v>
      </c>
      <c r="C167" s="136"/>
      <c r="D167" s="133"/>
      <c r="E167" s="132"/>
      <c r="F167" s="135"/>
      <c r="G167" s="445">
        <f t="shared" si="72"/>
        <v>0</v>
      </c>
      <c r="H167" s="140"/>
      <c r="I167" s="457"/>
      <c r="J167" s="454"/>
      <c r="K167" s="140"/>
      <c r="L167" s="140"/>
      <c r="M167" s="140"/>
      <c r="N167" s="140"/>
      <c r="O167" s="140"/>
      <c r="P167" s="456"/>
      <c r="Q167" s="456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383">
        <f t="shared" si="73"/>
        <v>0</v>
      </c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384">
        <f t="shared" si="74"/>
        <v>0</v>
      </c>
      <c r="AQ167" s="136"/>
      <c r="AR167" s="136"/>
      <c r="AS167" s="136"/>
      <c r="AT167" s="522">
        <f t="shared" si="75"/>
        <v>0</v>
      </c>
      <c r="AU167" s="140"/>
      <c r="AV167" s="457"/>
      <c r="AW167" s="140"/>
      <c r="AX167" s="140"/>
      <c r="AY167" s="392"/>
      <c r="AZ167" s="432">
        <f t="shared" si="76"/>
        <v>0</v>
      </c>
      <c r="BA167" s="433"/>
      <c r="BB167" s="276"/>
      <c r="BC167" s="274"/>
      <c r="BD167" s="274"/>
      <c r="BE167" s="127"/>
      <c r="BF167" s="126"/>
      <c r="BG167" s="274"/>
      <c r="BH167" s="274"/>
      <c r="BI167" s="274"/>
      <c r="BJ167" s="274"/>
      <c r="BK167" s="389">
        <f t="shared" si="77"/>
        <v>0</v>
      </c>
      <c r="BL167" s="140">
        <f t="shared" si="78"/>
        <v>0</v>
      </c>
      <c r="BM167" s="132"/>
      <c r="BN167" s="140">
        <f t="shared" si="79"/>
        <v>0</v>
      </c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26"/>
      <c r="BY167" s="126"/>
      <c r="BZ167" s="126"/>
      <c r="CA167" s="126"/>
      <c r="CB167" s="390">
        <f t="shared" si="80"/>
        <v>0</v>
      </c>
      <c r="CC167" s="132"/>
    </row>
    <row r="168" ht="14.25" customHeight="1">
      <c r="A168" s="3"/>
      <c r="B168" s="518">
        <v>46172</v>
      </c>
      <c r="C168" s="123"/>
      <c r="D168" s="118"/>
      <c r="E168" s="3"/>
      <c r="F168" s="120"/>
      <c r="G168" s="445">
        <f t="shared" si="72"/>
        <v>0</v>
      </c>
      <c r="H168" s="140"/>
      <c r="I168" s="457"/>
      <c r="J168" s="454"/>
      <c r="K168" s="140"/>
      <c r="L168" s="140"/>
      <c r="M168" s="140"/>
      <c r="N168" s="140"/>
      <c r="O168" s="140"/>
      <c r="P168" s="456"/>
      <c r="Q168" s="456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383">
        <f t="shared" si="73"/>
        <v>0</v>
      </c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384">
        <f t="shared" si="74"/>
        <v>0</v>
      </c>
      <c r="AQ168" s="123"/>
      <c r="AR168" s="123"/>
      <c r="AS168" s="123"/>
      <c r="AT168" s="522">
        <f t="shared" si="75"/>
        <v>0</v>
      </c>
      <c r="AU168" s="140"/>
      <c r="AV168" s="457"/>
      <c r="AW168" s="140"/>
      <c r="AX168" s="140"/>
      <c r="AY168" s="392"/>
      <c r="AZ168" s="432">
        <f t="shared" si="76"/>
        <v>0</v>
      </c>
      <c r="BA168" s="433"/>
      <c r="BB168" s="276"/>
      <c r="BC168" s="274"/>
      <c r="BD168" s="274"/>
      <c r="BE168" s="127"/>
      <c r="BF168" s="126"/>
      <c r="BG168" s="274"/>
      <c r="BH168" s="274"/>
      <c r="BI168" s="274"/>
      <c r="BJ168" s="274"/>
      <c r="BK168" s="389">
        <f t="shared" si="77"/>
        <v>0</v>
      </c>
      <c r="BL168" s="113">
        <f t="shared" si="78"/>
        <v>0</v>
      </c>
      <c r="BM168" s="3"/>
      <c r="BN168" s="113">
        <f t="shared" si="79"/>
        <v>0</v>
      </c>
      <c r="BO168" s="225"/>
      <c r="BP168" s="225"/>
      <c r="BQ168" s="225"/>
      <c r="BR168" s="225"/>
      <c r="BS168" s="225"/>
      <c r="BT168" s="225"/>
      <c r="BU168" s="225"/>
      <c r="BV168" s="225"/>
      <c r="BW168" s="225"/>
      <c r="BX168" s="225"/>
      <c r="BY168" s="225"/>
      <c r="BZ168" s="126"/>
      <c r="CA168" s="225"/>
      <c r="CB168" s="390">
        <f t="shared" si="80"/>
        <v>0</v>
      </c>
      <c r="CC168" s="3"/>
    </row>
    <row r="169" ht="14.25" customHeight="1">
      <c r="A169" s="3"/>
      <c r="B169" s="518">
        <v>46173</v>
      </c>
      <c r="C169" s="278"/>
      <c r="D169" s="277"/>
      <c r="E169" s="176"/>
      <c r="F169" s="279"/>
      <c r="G169" s="445">
        <f t="shared" si="72"/>
        <v>0</v>
      </c>
      <c r="H169" s="162"/>
      <c r="I169" s="503"/>
      <c r="J169" s="500"/>
      <c r="K169" s="162"/>
      <c r="L169" s="162"/>
      <c r="M169" s="162"/>
      <c r="N169" s="162"/>
      <c r="O169" s="162"/>
      <c r="P169" s="501"/>
      <c r="Q169" s="501"/>
      <c r="R169" s="162"/>
      <c r="S169" s="162"/>
      <c r="T169" s="162"/>
      <c r="U169" s="162"/>
      <c r="V169" s="162"/>
      <c r="W169" s="162"/>
      <c r="X169" s="162"/>
      <c r="Y169" s="162"/>
      <c r="Z169" s="140"/>
      <c r="AA169" s="140"/>
      <c r="AB169" s="383">
        <f t="shared" si="73"/>
        <v>0</v>
      </c>
      <c r="AC169" s="162"/>
      <c r="AD169" s="162"/>
      <c r="AE169" s="162"/>
      <c r="AF169" s="162"/>
      <c r="AG169" s="162"/>
      <c r="AH169" s="162"/>
      <c r="AI169" s="162"/>
      <c r="AJ169" s="162"/>
      <c r="AK169" s="162"/>
      <c r="AL169" s="162"/>
      <c r="AM169" s="162"/>
      <c r="AN169" s="162"/>
      <c r="AO169" s="162"/>
      <c r="AP169" s="384">
        <f t="shared" si="74"/>
        <v>0</v>
      </c>
      <c r="AQ169" s="278"/>
      <c r="AR169" s="278"/>
      <c r="AS169" s="278"/>
      <c r="AT169" s="522">
        <f t="shared" si="75"/>
        <v>0</v>
      </c>
      <c r="AU169" s="162"/>
      <c r="AV169" s="503"/>
      <c r="AW169" s="162"/>
      <c r="AX169" s="162"/>
      <c r="AY169" s="403"/>
      <c r="AZ169" s="432">
        <f t="shared" si="76"/>
        <v>0</v>
      </c>
      <c r="BA169" s="435"/>
      <c r="BB169" s="533"/>
      <c r="BC169" s="296"/>
      <c r="BD169" s="296"/>
      <c r="BE169" s="161"/>
      <c r="BF169" s="138"/>
      <c r="BG169" s="296"/>
      <c r="BH169" s="296"/>
      <c r="BI169" s="296"/>
      <c r="BJ169" s="296"/>
      <c r="BK169" s="389">
        <f t="shared" si="77"/>
        <v>0</v>
      </c>
      <c r="BL169" s="281">
        <f t="shared" si="78"/>
        <v>0</v>
      </c>
      <c r="BM169" s="3"/>
      <c r="BN169" s="281">
        <f t="shared" si="79"/>
        <v>0</v>
      </c>
      <c r="BO169" s="280"/>
      <c r="BP169" s="280"/>
      <c r="BQ169" s="280"/>
      <c r="BR169" s="280"/>
      <c r="BS169" s="280"/>
      <c r="BT169" s="280"/>
      <c r="BU169" s="280"/>
      <c r="BV169" s="280"/>
      <c r="BW169" s="280"/>
      <c r="BX169" s="225"/>
      <c r="BY169" s="225"/>
      <c r="BZ169" s="126"/>
      <c r="CA169" s="280"/>
      <c r="CB169" s="405">
        <f t="shared" si="80"/>
        <v>0</v>
      </c>
      <c r="CC169" s="3"/>
    </row>
    <row r="170" ht="14.25" customHeight="1">
      <c r="A170" s="2"/>
      <c r="B170" s="2" t="s">
        <v>79</v>
      </c>
      <c r="C170" s="439">
        <f ref="C170:S170" t="shared" si="81">SUM(C139:C169)</f>
        <v>0</v>
      </c>
      <c r="D170" s="439">
        <f t="shared" si="81"/>
        <v>0</v>
      </c>
      <c r="E170" s="407">
        <f t="shared" si="81"/>
        <v>0</v>
      </c>
      <c r="F170" s="407">
        <f t="shared" si="81"/>
        <v>0</v>
      </c>
      <c r="G170" s="408">
        <f t="shared" si="81"/>
        <v>0</v>
      </c>
      <c r="H170" s="407">
        <f t="shared" si="81"/>
        <v>0</v>
      </c>
      <c r="I170" s="407">
        <f t="shared" si="81"/>
        <v>0</v>
      </c>
      <c r="J170" s="407">
        <f t="shared" si="81"/>
        <v>0</v>
      </c>
      <c r="K170" s="407">
        <f t="shared" si="81"/>
        <v>0</v>
      </c>
      <c r="L170" s="407">
        <f t="shared" si="81"/>
        <v>0</v>
      </c>
      <c r="M170" s="407">
        <f t="shared" si="81"/>
        <v>0</v>
      </c>
      <c r="N170" s="407">
        <f t="shared" si="81"/>
        <v>0</v>
      </c>
      <c r="O170" s="407">
        <f t="shared" si="81"/>
        <v>0</v>
      </c>
      <c r="P170" s="407">
        <f t="shared" si="81"/>
        <v>0</v>
      </c>
      <c r="Q170" s="407">
        <f t="shared" si="81"/>
        <v>0</v>
      </c>
      <c r="R170" s="407">
        <f t="shared" si="81"/>
        <v>0</v>
      </c>
      <c r="S170" s="407">
        <f t="shared" si="81"/>
        <v>0</v>
      </c>
      <c r="T170" s="407"/>
      <c r="U170" s="407">
        <f ref="U170:Y170" t="shared" si="82">SUM(U139:U169)</f>
        <v>0</v>
      </c>
      <c r="V170" s="407">
        <f t="shared" si="82"/>
        <v>0</v>
      </c>
      <c r="W170" s="407">
        <f t="shared" si="82"/>
        <v>0</v>
      </c>
      <c r="X170" s="407">
        <f t="shared" si="82"/>
        <v>0</v>
      </c>
      <c r="Y170" s="407">
        <f t="shared" si="82"/>
        <v>0</v>
      </c>
      <c r="Z170" s="407"/>
      <c r="AA170" s="407"/>
      <c r="AB170" s="407">
        <f ref="AB170:AM170" t="shared" si="83">SUM(AB139:AB169)</f>
        <v>0</v>
      </c>
      <c r="AC170" s="407">
        <f t="shared" si="83"/>
        <v>0</v>
      </c>
      <c r="AD170" s="407">
        <f t="shared" si="83"/>
        <v>0</v>
      </c>
      <c r="AE170" s="407">
        <f t="shared" si="83"/>
        <v>0</v>
      </c>
      <c r="AF170" s="407">
        <f t="shared" si="83"/>
        <v>0</v>
      </c>
      <c r="AG170" s="407">
        <f t="shared" si="83"/>
        <v>0</v>
      </c>
      <c r="AH170" s="407">
        <f t="shared" si="83"/>
        <v>0</v>
      </c>
      <c r="AI170" s="407">
        <f t="shared" si="83"/>
        <v>0</v>
      </c>
      <c r="AJ170" s="407">
        <f t="shared" si="83"/>
        <v>0</v>
      </c>
      <c r="AK170" s="407">
        <f t="shared" si="83"/>
        <v>0</v>
      </c>
      <c r="AL170" s="407">
        <f t="shared" si="83"/>
        <v>0</v>
      </c>
      <c r="AM170" s="407">
        <f t="shared" si="83"/>
        <v>0</v>
      </c>
      <c r="AN170" s="407"/>
      <c r="AO170" s="407">
        <f ref="AO170:AU170" t="shared" si="84">SUM(AO139:AO169)</f>
        <v>0</v>
      </c>
      <c r="AP170" s="408">
        <f t="shared" si="84"/>
        <v>0</v>
      </c>
      <c r="AQ170" s="407">
        <f t="shared" si="84"/>
        <v>0</v>
      </c>
      <c r="AR170" s="407">
        <f t="shared" si="84"/>
        <v>0</v>
      </c>
      <c r="AS170" s="407">
        <f t="shared" si="84"/>
        <v>0</v>
      </c>
      <c r="AT170" s="408">
        <f t="shared" si="84"/>
        <v>0</v>
      </c>
      <c r="AU170" s="439">
        <f t="shared" si="84"/>
        <v>0</v>
      </c>
      <c r="AV170" s="407"/>
      <c r="AW170" s="407">
        <f ref="AW170:BL170" t="shared" si="85">SUM(AW139:AW169)</f>
        <v>0</v>
      </c>
      <c r="AX170" s="407">
        <f t="shared" si="85"/>
        <v>0</v>
      </c>
      <c r="AY170" s="407">
        <f t="shared" si="85"/>
        <v>0</v>
      </c>
      <c r="AZ170" s="408">
        <f t="shared" si="85"/>
        <v>0</v>
      </c>
      <c r="BA170" s="439">
        <f t="shared" si="85"/>
        <v>0</v>
      </c>
      <c r="BB170" s="411">
        <f t="shared" si="85"/>
        <v>0</v>
      </c>
      <c r="BC170" s="407">
        <f t="shared" si="85"/>
        <v>0</v>
      </c>
      <c r="BD170" s="407">
        <f t="shared" si="85"/>
        <v>0</v>
      </c>
      <c r="BE170" s="407">
        <f t="shared" si="85"/>
        <v>0</v>
      </c>
      <c r="BF170" s="439">
        <f t="shared" si="85"/>
        <v>0</v>
      </c>
      <c r="BG170" s="407">
        <f t="shared" si="85"/>
        <v>0</v>
      </c>
      <c r="BH170" s="407">
        <f t="shared" si="85"/>
        <v>0</v>
      </c>
      <c r="BI170" s="407">
        <f t="shared" si="85"/>
        <v>0</v>
      </c>
      <c r="BJ170" s="407">
        <f t="shared" si="85"/>
        <v>0</v>
      </c>
      <c r="BK170" s="408">
        <f t="shared" si="85"/>
        <v>0</v>
      </c>
      <c r="BL170" s="407">
        <f t="shared" si="85"/>
        <v>0</v>
      </c>
      <c r="BM170" s="3"/>
      <c r="BN170" s="534">
        <f ref="BN170:CB170" t="shared" si="86">SUM(BN139:BN169)</f>
        <v>0</v>
      </c>
      <c r="BO170" s="439">
        <f t="shared" si="86"/>
        <v>0</v>
      </c>
      <c r="BP170" s="439">
        <f t="shared" si="86"/>
        <v>0</v>
      </c>
      <c r="BQ170" s="439">
        <f t="shared" si="86"/>
        <v>0</v>
      </c>
      <c r="BR170" s="439">
        <f t="shared" si="86"/>
        <v>0</v>
      </c>
      <c r="BS170" s="439">
        <f t="shared" si="86"/>
        <v>0</v>
      </c>
      <c r="BT170" s="439">
        <f t="shared" si="86"/>
        <v>0</v>
      </c>
      <c r="BU170" s="439">
        <f t="shared" si="86"/>
        <v>0</v>
      </c>
      <c r="BV170" s="439">
        <f t="shared" si="86"/>
        <v>0</v>
      </c>
      <c r="BW170" s="439">
        <f t="shared" si="86"/>
        <v>0</v>
      </c>
      <c r="BX170" s="407">
        <f t="shared" si="86"/>
        <v>0</v>
      </c>
      <c r="BY170" s="407">
        <f t="shared" si="86"/>
        <v>0</v>
      </c>
      <c r="BZ170" s="407">
        <f t="shared" si="86"/>
        <v>0</v>
      </c>
      <c r="CA170" s="439">
        <f t="shared" si="86"/>
        <v>0</v>
      </c>
      <c r="CB170" s="439">
        <f t="shared" si="86"/>
        <v>0</v>
      </c>
      <c r="CC170" s="3"/>
    </row>
    <row r="171" ht="14.25" customHeight="1">
      <c r="A171" s="1"/>
      <c r="B171" s="2"/>
      <c r="C171" s="3"/>
      <c r="D171" s="3"/>
      <c r="E171" s="3"/>
      <c r="F171" s="3"/>
      <c r="G171" s="3"/>
      <c r="H171" s="3"/>
      <c r="I171" s="3"/>
      <c r="J171" s="414"/>
      <c r="K171" s="3"/>
      <c r="L171" s="3"/>
      <c r="M171" s="3"/>
      <c r="N171" s="3"/>
      <c r="O171" s="3"/>
      <c r="P171" s="1"/>
      <c r="Q171" s="1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80"/>
      <c r="BB171" s="3"/>
      <c r="BC171" s="132"/>
      <c r="BD171" s="132"/>
      <c r="BE171" s="132"/>
      <c r="BF171" s="132"/>
      <c r="BG171" s="132"/>
      <c r="BH171" s="132"/>
      <c r="BI171" s="132"/>
      <c r="BJ171" s="132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</row>
    <row r="172" ht="14.25" customHeight="1">
      <c r="A172" s="1"/>
      <c r="B172" s="2"/>
      <c r="C172" s="3"/>
      <c r="D172" s="3"/>
      <c r="E172" s="3"/>
      <c r="F172" s="3"/>
      <c r="G172" s="3"/>
      <c r="H172" s="3"/>
      <c r="I172" s="3"/>
      <c r="J172" s="414"/>
      <c r="K172" s="3"/>
      <c r="L172" s="3"/>
      <c r="M172" s="3"/>
      <c r="N172" s="3"/>
      <c r="O172" s="3"/>
      <c r="P172" s="1"/>
      <c r="Q172" s="1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176"/>
      <c r="AQ172" s="3"/>
      <c r="AR172" s="3"/>
      <c r="AS172" s="3"/>
      <c r="AT172" s="3"/>
      <c r="AU172" s="3"/>
      <c r="AV172" s="3"/>
      <c r="AW172" s="3"/>
      <c r="AX172" s="3"/>
      <c r="AY172" s="3"/>
      <c r="AZ172" s="511"/>
      <c r="BA172" s="1"/>
      <c r="BB172" s="3"/>
      <c r="BC172" s="132"/>
      <c r="BD172" s="3"/>
      <c r="BE172" s="3"/>
      <c r="BF172" s="132"/>
      <c r="BG172" s="3"/>
      <c r="BH172" s="3"/>
      <c r="BI172" s="3"/>
      <c r="BJ172" s="132"/>
      <c r="BK172" s="511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</row>
    <row r="173" ht="14.25" customHeight="1">
      <c r="A173" s="3"/>
      <c r="B173" s="215">
        <v>46174</v>
      </c>
      <c r="C173" s="94"/>
      <c r="D173" s="104"/>
      <c r="E173" s="97"/>
      <c r="F173" s="97"/>
      <c r="G173" s="415">
        <f ref="G173:G202" t="shared" si="87">+C173+D173+E173+F173</f>
        <v>0</v>
      </c>
      <c r="H173" s="535"/>
      <c r="I173" s="449"/>
      <c r="J173" s="446"/>
      <c r="K173" s="195"/>
      <c r="L173" s="195"/>
      <c r="M173" s="195"/>
      <c r="N173" s="195"/>
      <c r="O173" s="195"/>
      <c r="P173" s="447"/>
      <c r="Q173" s="447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420">
        <f ref="AB173:AB202" t="shared" si="88">SUM(I173:Y173)</f>
        <v>0</v>
      </c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384">
        <f ref="AP173:AP202" t="shared" si="89">SUM(AC173:AO173)</f>
        <v>0</v>
      </c>
      <c r="AQ173" s="104"/>
      <c r="AR173" s="104"/>
      <c r="AS173" s="104"/>
      <c r="AT173" s="422">
        <f ref="AT173:AT202" t="shared" si="90">SUM(AQ173:AS173)</f>
        <v>0</v>
      </c>
      <c r="AU173" s="195"/>
      <c r="AV173" s="195"/>
      <c r="AW173" s="195"/>
      <c r="AX173" s="195"/>
      <c r="AY173" s="424"/>
      <c r="AZ173" s="432">
        <f ref="AZ173:AZ195" t="shared" si="91">+G173-AB173-AP173-AT173-AU173-AW173-AX173-AY173</f>
        <v>0</v>
      </c>
      <c r="BA173" s="427"/>
      <c r="BB173" s="220"/>
      <c r="BC173" s="269"/>
      <c r="BD173" s="110"/>
      <c r="BE173" s="110"/>
      <c r="BF173" s="109"/>
      <c r="BG173" s="110"/>
      <c r="BH173" s="110"/>
      <c r="BI173" s="110"/>
      <c r="BJ173" s="269"/>
      <c r="BK173" s="389">
        <f ref="BK173:BK194" t="shared" si="92">SUM(BA173:BJ173)-BI173</f>
        <v>0</v>
      </c>
      <c r="BL173" s="114">
        <f ref="BL173:BL202" t="shared" si="93">+AZ173-BK173</f>
        <v>0</v>
      </c>
      <c r="BM173" s="3"/>
      <c r="BN173" s="114">
        <f ref="BN173:BN202" t="shared" si="94">SUM(BO173:CA173)</f>
        <v>0</v>
      </c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430">
        <f ref="CB173:CB202" t="shared" si="95">+BL173-BN173</f>
        <v>0</v>
      </c>
      <c r="CC173" s="3"/>
    </row>
    <row r="174" ht="14.25" customHeight="1">
      <c r="A174" s="3"/>
      <c r="B174" s="215">
        <v>46175</v>
      </c>
      <c r="C174" s="118"/>
      <c r="D174" s="123"/>
      <c r="E174" s="120"/>
      <c r="F174" s="120"/>
      <c r="G174" s="431">
        <f t="shared" si="87"/>
        <v>0</v>
      </c>
      <c r="H174" s="525"/>
      <c r="I174" s="457"/>
      <c r="J174" s="454"/>
      <c r="K174" s="140"/>
      <c r="L174" s="140"/>
      <c r="M174" s="140"/>
      <c r="N174" s="140"/>
      <c r="O174" s="140"/>
      <c r="P174" s="456"/>
      <c r="Q174" s="456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383">
        <f t="shared" si="88"/>
        <v>0</v>
      </c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384">
        <f t="shared" si="89"/>
        <v>0</v>
      </c>
      <c r="AQ174" s="123"/>
      <c r="AR174" s="123"/>
      <c r="AS174" s="123"/>
      <c r="AT174" s="385">
        <f t="shared" si="90"/>
        <v>0</v>
      </c>
      <c r="AU174" s="140"/>
      <c r="AV174" s="140"/>
      <c r="AW174" s="140"/>
      <c r="AX174" s="140"/>
      <c r="AY174" s="392"/>
      <c r="AZ174" s="432">
        <f t="shared" si="91"/>
        <v>0</v>
      </c>
      <c r="BA174" s="433"/>
      <c r="BB174" s="225"/>
      <c r="BC174" s="274"/>
      <c r="BD174" s="127"/>
      <c r="BE174" s="127"/>
      <c r="BF174" s="126"/>
      <c r="BG174" s="127"/>
      <c r="BH174" s="127"/>
      <c r="BI174" s="127"/>
      <c r="BJ174" s="274"/>
      <c r="BK174" s="389">
        <f t="shared" si="92"/>
        <v>0</v>
      </c>
      <c r="BL174" s="113">
        <f t="shared" si="93"/>
        <v>0</v>
      </c>
      <c r="BM174" s="3"/>
      <c r="BN174" s="113">
        <f t="shared" si="94"/>
        <v>0</v>
      </c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29"/>
      <c r="BY174" s="129"/>
      <c r="BZ174" s="129"/>
      <c r="CA174" s="129"/>
      <c r="CB174" s="390">
        <f t="shared" si="95"/>
        <v>0</v>
      </c>
      <c r="CC174" s="3"/>
    </row>
    <row r="175" ht="14.25" customHeight="1">
      <c r="A175" s="132"/>
      <c r="B175" s="215">
        <v>46176</v>
      </c>
      <c r="C175" s="133"/>
      <c r="D175" s="136"/>
      <c r="E175" s="135"/>
      <c r="F175" s="135"/>
      <c r="G175" s="431">
        <f t="shared" si="87"/>
        <v>0</v>
      </c>
      <c r="H175" s="525"/>
      <c r="I175" s="457"/>
      <c r="J175" s="454"/>
      <c r="K175" s="140"/>
      <c r="L175" s="140"/>
      <c r="M175" s="140"/>
      <c r="N175" s="140"/>
      <c r="O175" s="140"/>
      <c r="P175" s="456"/>
      <c r="Q175" s="456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383">
        <f t="shared" si="88"/>
        <v>0</v>
      </c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384">
        <f t="shared" si="89"/>
        <v>0</v>
      </c>
      <c r="AQ175" s="136"/>
      <c r="AR175" s="136"/>
      <c r="AS175" s="136"/>
      <c r="AT175" s="385">
        <f t="shared" si="90"/>
        <v>0</v>
      </c>
      <c r="AU175" s="140"/>
      <c r="AV175" s="140"/>
      <c r="AW175" s="140"/>
      <c r="AX175" s="140"/>
      <c r="AY175" s="392"/>
      <c r="AZ175" s="432">
        <f t="shared" si="91"/>
        <v>0</v>
      </c>
      <c r="BA175" s="433"/>
      <c r="BB175" s="225"/>
      <c r="BC175" s="274"/>
      <c r="BD175" s="127"/>
      <c r="BE175" s="127"/>
      <c r="BF175" s="126"/>
      <c r="BG175" s="127"/>
      <c r="BH175" s="127"/>
      <c r="BI175" s="127"/>
      <c r="BJ175" s="274"/>
      <c r="BK175" s="389">
        <f t="shared" si="92"/>
        <v>0</v>
      </c>
      <c r="BL175" s="140">
        <f t="shared" si="93"/>
        <v>0</v>
      </c>
      <c r="BM175" s="132"/>
      <c r="BN175" s="140">
        <f t="shared" si="94"/>
        <v>0</v>
      </c>
      <c r="BO175" s="141"/>
      <c r="BP175" s="141"/>
      <c r="BQ175" s="141"/>
      <c r="BR175" s="141"/>
      <c r="BS175" s="141"/>
      <c r="BT175" s="141"/>
      <c r="BU175" s="141"/>
      <c r="BV175" s="141"/>
      <c r="BW175" s="141"/>
      <c r="BX175" s="141"/>
      <c r="BY175" s="141"/>
      <c r="BZ175" s="141"/>
      <c r="CA175" s="141"/>
      <c r="CB175" s="390">
        <f t="shared" si="95"/>
        <v>0</v>
      </c>
      <c r="CC175" s="132"/>
    </row>
    <row r="176" ht="14.25" customHeight="1">
      <c r="A176" s="132"/>
      <c r="B176" s="215">
        <v>46177</v>
      </c>
      <c r="C176" s="133"/>
      <c r="D176" s="136"/>
      <c r="E176" s="135"/>
      <c r="F176" s="135"/>
      <c r="G176" s="431">
        <f t="shared" si="87"/>
        <v>0</v>
      </c>
      <c r="H176" s="525"/>
      <c r="I176" s="457"/>
      <c r="J176" s="454"/>
      <c r="K176" s="140"/>
      <c r="L176" s="140"/>
      <c r="M176" s="140"/>
      <c r="N176" s="140"/>
      <c r="O176" s="140"/>
      <c r="P176" s="456"/>
      <c r="Q176" s="456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383">
        <f t="shared" si="88"/>
        <v>0</v>
      </c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384">
        <f t="shared" si="89"/>
        <v>0</v>
      </c>
      <c r="AQ176" s="136"/>
      <c r="AR176" s="136"/>
      <c r="AS176" s="136"/>
      <c r="AT176" s="385">
        <f t="shared" si="90"/>
        <v>0</v>
      </c>
      <c r="AU176" s="140"/>
      <c r="AV176" s="140"/>
      <c r="AW176" s="140"/>
      <c r="AX176" s="140"/>
      <c r="AY176" s="392"/>
      <c r="AZ176" s="432">
        <f t="shared" si="91"/>
        <v>0</v>
      </c>
      <c r="BA176" s="433"/>
      <c r="BB176" s="225"/>
      <c r="BC176" s="274"/>
      <c r="BD176" s="127"/>
      <c r="BE176" s="127"/>
      <c r="BF176" s="126"/>
      <c r="BG176" s="127"/>
      <c r="BH176" s="127"/>
      <c r="BI176" s="127"/>
      <c r="BJ176" s="274"/>
      <c r="BK176" s="389">
        <f t="shared" si="92"/>
        <v>0</v>
      </c>
      <c r="BL176" s="140">
        <f t="shared" si="93"/>
        <v>0</v>
      </c>
      <c r="BM176" s="132"/>
      <c r="BN176" s="140">
        <f t="shared" si="94"/>
        <v>0</v>
      </c>
      <c r="BO176" s="141"/>
      <c r="BP176" s="141"/>
      <c r="BQ176" s="141"/>
      <c r="BR176" s="141"/>
      <c r="BS176" s="141"/>
      <c r="BT176" s="141"/>
      <c r="BU176" s="141"/>
      <c r="BV176" s="141"/>
      <c r="BW176" s="141"/>
      <c r="BX176" s="141"/>
      <c r="BY176" s="141"/>
      <c r="BZ176" s="141"/>
      <c r="CA176" s="141"/>
      <c r="CB176" s="390">
        <f t="shared" si="95"/>
        <v>0</v>
      </c>
      <c r="CC176" s="132"/>
    </row>
    <row r="177" ht="14.25" customHeight="1">
      <c r="A177" s="132"/>
      <c r="B177" s="215">
        <v>46178</v>
      </c>
      <c r="C177" s="133"/>
      <c r="D177" s="136"/>
      <c r="E177" s="135"/>
      <c r="F177" s="135"/>
      <c r="G177" s="431">
        <f t="shared" si="87"/>
        <v>0</v>
      </c>
      <c r="H177" s="525"/>
      <c r="I177" s="457"/>
      <c r="J177" s="454"/>
      <c r="K177" s="140"/>
      <c r="L177" s="140"/>
      <c r="M177" s="140"/>
      <c r="N177" s="140"/>
      <c r="O177" s="140"/>
      <c r="P177" s="456"/>
      <c r="Q177" s="456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383">
        <f t="shared" si="88"/>
        <v>0</v>
      </c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384">
        <f t="shared" si="89"/>
        <v>0</v>
      </c>
      <c r="AQ177" s="136"/>
      <c r="AR177" s="136"/>
      <c r="AS177" s="136"/>
      <c r="AT177" s="385">
        <f t="shared" si="90"/>
        <v>0</v>
      </c>
      <c r="AU177" s="140"/>
      <c r="AV177" s="140"/>
      <c r="AW177" s="140"/>
      <c r="AX177" s="140"/>
      <c r="AY177" s="392"/>
      <c r="AZ177" s="432">
        <f t="shared" si="91"/>
        <v>0</v>
      </c>
      <c r="BA177" s="433"/>
      <c r="BB177" s="225"/>
      <c r="BC177" s="274"/>
      <c r="BD177" s="127"/>
      <c r="BE177" s="127"/>
      <c r="BF177" s="126"/>
      <c r="BG177" s="127"/>
      <c r="BH177" s="127"/>
      <c r="BI177" s="127"/>
      <c r="BJ177" s="274"/>
      <c r="BK177" s="389">
        <f t="shared" si="92"/>
        <v>0</v>
      </c>
      <c r="BL177" s="140">
        <f t="shared" si="93"/>
        <v>0</v>
      </c>
      <c r="BM177" s="132"/>
      <c r="BN177" s="140">
        <f t="shared" si="94"/>
        <v>0</v>
      </c>
      <c r="BO177" s="141"/>
      <c r="BP177" s="141"/>
      <c r="BQ177" s="141"/>
      <c r="BR177" s="141"/>
      <c r="BS177" s="141"/>
      <c r="BT177" s="141"/>
      <c r="BU177" s="141"/>
      <c r="BV177" s="141"/>
      <c r="BW177" s="141"/>
      <c r="BX177" s="141"/>
      <c r="BY177" s="141"/>
      <c r="BZ177" s="141"/>
      <c r="CA177" s="141"/>
      <c r="CB177" s="390">
        <f t="shared" si="95"/>
        <v>0</v>
      </c>
      <c r="CC177" s="132"/>
    </row>
    <row r="178" ht="14.25" customHeight="1">
      <c r="A178" s="132"/>
      <c r="B178" s="215">
        <v>46179</v>
      </c>
      <c r="C178" s="133"/>
      <c r="D178" s="136"/>
      <c r="E178" s="135"/>
      <c r="F178" s="135"/>
      <c r="G178" s="431">
        <f t="shared" si="87"/>
        <v>0</v>
      </c>
      <c r="H178" s="525"/>
      <c r="I178" s="457"/>
      <c r="J178" s="454"/>
      <c r="K178" s="140"/>
      <c r="L178" s="140"/>
      <c r="M178" s="140"/>
      <c r="N178" s="140"/>
      <c r="O178" s="140"/>
      <c r="P178" s="456"/>
      <c r="Q178" s="456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383">
        <f t="shared" si="88"/>
        <v>0</v>
      </c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384">
        <f t="shared" si="89"/>
        <v>0</v>
      </c>
      <c r="AQ178" s="136"/>
      <c r="AR178" s="136"/>
      <c r="AS178" s="136"/>
      <c r="AT178" s="385">
        <f t="shared" si="90"/>
        <v>0</v>
      </c>
      <c r="AU178" s="140"/>
      <c r="AV178" s="140"/>
      <c r="AW178" s="140"/>
      <c r="AX178" s="140"/>
      <c r="AY178" s="392"/>
      <c r="AZ178" s="432">
        <f t="shared" si="91"/>
        <v>0</v>
      </c>
      <c r="BA178" s="433"/>
      <c r="BB178" s="225"/>
      <c r="BC178" s="274"/>
      <c r="BD178" s="127"/>
      <c r="BE178" s="127"/>
      <c r="BF178" s="126"/>
      <c r="BG178" s="127"/>
      <c r="BH178" s="127"/>
      <c r="BI178" s="127"/>
      <c r="BJ178" s="274"/>
      <c r="BK178" s="389">
        <f t="shared" si="92"/>
        <v>0</v>
      </c>
      <c r="BL178" s="140">
        <f t="shared" si="93"/>
        <v>0</v>
      </c>
      <c r="BM178" s="132"/>
      <c r="BN178" s="140">
        <f t="shared" si="94"/>
        <v>0</v>
      </c>
      <c r="BO178" s="141"/>
      <c r="BP178" s="141"/>
      <c r="BQ178" s="141"/>
      <c r="BR178" s="141"/>
      <c r="BS178" s="141"/>
      <c r="BT178" s="141"/>
      <c r="BU178" s="141"/>
      <c r="BV178" s="141"/>
      <c r="BW178" s="141"/>
      <c r="BX178" s="141"/>
      <c r="BY178" s="141"/>
      <c r="BZ178" s="141"/>
      <c r="CA178" s="141"/>
      <c r="CB178" s="390">
        <f t="shared" si="95"/>
        <v>0</v>
      </c>
      <c r="CC178" s="132"/>
    </row>
    <row r="179" ht="14.25" customHeight="1">
      <c r="A179" s="132"/>
      <c r="B179" s="215">
        <v>46180</v>
      </c>
      <c r="C179" s="133"/>
      <c r="D179" s="136"/>
      <c r="E179" s="135"/>
      <c r="F179" s="135"/>
      <c r="G179" s="431">
        <f t="shared" si="87"/>
        <v>0</v>
      </c>
      <c r="H179" s="525"/>
      <c r="I179" s="457"/>
      <c r="J179" s="454"/>
      <c r="K179" s="140"/>
      <c r="L179" s="140"/>
      <c r="M179" s="140"/>
      <c r="N179" s="140"/>
      <c r="O179" s="140"/>
      <c r="P179" s="456"/>
      <c r="Q179" s="456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383">
        <f t="shared" si="88"/>
        <v>0</v>
      </c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384">
        <f t="shared" si="89"/>
        <v>0</v>
      </c>
      <c r="AQ179" s="136"/>
      <c r="AR179" s="136"/>
      <c r="AS179" s="136"/>
      <c r="AT179" s="385">
        <f t="shared" si="90"/>
        <v>0</v>
      </c>
      <c r="AU179" s="140"/>
      <c r="AV179" s="140"/>
      <c r="AW179" s="140"/>
      <c r="AX179" s="140"/>
      <c r="AY179" s="392"/>
      <c r="AZ179" s="432">
        <f t="shared" si="91"/>
        <v>0</v>
      </c>
      <c r="BA179" s="433"/>
      <c r="BB179" s="225"/>
      <c r="BC179" s="274"/>
      <c r="BD179" s="127"/>
      <c r="BE179" s="127"/>
      <c r="BF179" s="126"/>
      <c r="BG179" s="127"/>
      <c r="BH179" s="127"/>
      <c r="BI179" s="127"/>
      <c r="BJ179" s="274"/>
      <c r="BK179" s="389">
        <f t="shared" si="92"/>
        <v>0</v>
      </c>
      <c r="BL179" s="140">
        <f t="shared" si="93"/>
        <v>0</v>
      </c>
      <c r="BM179" s="132"/>
      <c r="BN179" s="140">
        <f t="shared" si="94"/>
        <v>0</v>
      </c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41"/>
      <c r="BY179" s="141"/>
      <c r="BZ179" s="141"/>
      <c r="CA179" s="141"/>
      <c r="CB179" s="390">
        <f t="shared" si="95"/>
        <v>0</v>
      </c>
      <c r="CC179" s="132"/>
    </row>
    <row r="180" ht="14.25" customHeight="1">
      <c r="A180" s="3"/>
      <c r="B180" s="215">
        <v>46181</v>
      </c>
      <c r="C180" s="118"/>
      <c r="D180" s="123"/>
      <c r="E180" s="120"/>
      <c r="F180" s="120"/>
      <c r="G180" s="431">
        <f t="shared" si="87"/>
        <v>0</v>
      </c>
      <c r="H180" s="525"/>
      <c r="I180" s="457"/>
      <c r="J180" s="454"/>
      <c r="K180" s="140"/>
      <c r="L180" s="140"/>
      <c r="M180" s="140"/>
      <c r="N180" s="140"/>
      <c r="O180" s="140"/>
      <c r="P180" s="456"/>
      <c r="Q180" s="456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383">
        <f t="shared" si="88"/>
        <v>0</v>
      </c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384">
        <f t="shared" si="89"/>
        <v>0</v>
      </c>
      <c r="AQ180" s="123"/>
      <c r="AR180" s="123"/>
      <c r="AS180" s="123"/>
      <c r="AT180" s="385">
        <f t="shared" si="90"/>
        <v>0</v>
      </c>
      <c r="AU180" s="140"/>
      <c r="AV180" s="140"/>
      <c r="AW180" s="140"/>
      <c r="AX180" s="140"/>
      <c r="AY180" s="392"/>
      <c r="AZ180" s="432">
        <f t="shared" si="91"/>
        <v>0</v>
      </c>
      <c r="BA180" s="433"/>
      <c r="BB180" s="225"/>
      <c r="BC180" s="274"/>
      <c r="BD180" s="127"/>
      <c r="BE180" s="127"/>
      <c r="BF180" s="126"/>
      <c r="BG180" s="127"/>
      <c r="BH180" s="127"/>
      <c r="BI180" s="127"/>
      <c r="BJ180" s="274"/>
      <c r="BK180" s="389">
        <f t="shared" si="92"/>
        <v>0</v>
      </c>
      <c r="BL180" s="113">
        <f t="shared" si="93"/>
        <v>0</v>
      </c>
      <c r="BM180" s="3"/>
      <c r="BN180" s="113">
        <f t="shared" si="94"/>
        <v>0</v>
      </c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41"/>
      <c r="CA180" s="129"/>
      <c r="CB180" s="390">
        <f t="shared" si="95"/>
        <v>0</v>
      </c>
      <c r="CC180" s="3"/>
    </row>
    <row r="181" ht="14.25" customHeight="1">
      <c r="A181" s="132"/>
      <c r="B181" s="215">
        <v>46182</v>
      </c>
      <c r="C181" s="133"/>
      <c r="D181" s="136"/>
      <c r="E181" s="135"/>
      <c r="F181" s="135"/>
      <c r="G181" s="431">
        <f t="shared" si="87"/>
        <v>0</v>
      </c>
      <c r="H181" s="525"/>
      <c r="I181" s="457"/>
      <c r="J181" s="454"/>
      <c r="K181" s="140"/>
      <c r="L181" s="140"/>
      <c r="M181" s="140"/>
      <c r="N181" s="140"/>
      <c r="O181" s="140"/>
      <c r="P181" s="456"/>
      <c r="Q181" s="456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383">
        <f t="shared" si="88"/>
        <v>0</v>
      </c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384">
        <f t="shared" si="89"/>
        <v>0</v>
      </c>
      <c r="AQ181" s="136"/>
      <c r="AR181" s="136"/>
      <c r="AS181" s="136"/>
      <c r="AT181" s="385">
        <f t="shared" si="90"/>
        <v>0</v>
      </c>
      <c r="AU181" s="140"/>
      <c r="AV181" s="140"/>
      <c r="AW181" s="140"/>
      <c r="AX181" s="140"/>
      <c r="AY181" s="392"/>
      <c r="AZ181" s="432">
        <f t="shared" si="91"/>
        <v>0</v>
      </c>
      <c r="BA181" s="433"/>
      <c r="BB181" s="225"/>
      <c r="BC181" s="274"/>
      <c r="BD181" s="127"/>
      <c r="BE181" s="127"/>
      <c r="BF181" s="126"/>
      <c r="BG181" s="127"/>
      <c r="BH181" s="127"/>
      <c r="BI181" s="127"/>
      <c r="BJ181" s="274"/>
      <c r="BK181" s="389">
        <f t="shared" si="92"/>
        <v>0</v>
      </c>
      <c r="BL181" s="140">
        <f t="shared" si="93"/>
        <v>0</v>
      </c>
      <c r="BM181" s="132"/>
      <c r="BN181" s="140">
        <f t="shared" si="94"/>
        <v>0</v>
      </c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41"/>
      <c r="CA181" s="141"/>
      <c r="CB181" s="390">
        <f t="shared" si="95"/>
        <v>0</v>
      </c>
      <c r="CC181" s="132"/>
    </row>
    <row r="182" ht="14.25" customHeight="1">
      <c r="A182" s="132"/>
      <c r="B182" s="215">
        <v>46183</v>
      </c>
      <c r="C182" s="133"/>
      <c r="D182" s="136"/>
      <c r="E182" s="135"/>
      <c r="F182" s="135"/>
      <c r="G182" s="431">
        <f t="shared" si="87"/>
        <v>0</v>
      </c>
      <c r="H182" s="525"/>
      <c r="I182" s="457"/>
      <c r="J182" s="454"/>
      <c r="K182" s="140"/>
      <c r="L182" s="140"/>
      <c r="M182" s="140"/>
      <c r="N182" s="140"/>
      <c r="O182" s="140"/>
      <c r="P182" s="456"/>
      <c r="Q182" s="456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383">
        <f t="shared" si="88"/>
        <v>0</v>
      </c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384">
        <f t="shared" si="89"/>
        <v>0</v>
      </c>
      <c r="AQ182" s="136"/>
      <c r="AR182" s="136"/>
      <c r="AS182" s="136"/>
      <c r="AT182" s="385">
        <f t="shared" si="90"/>
        <v>0</v>
      </c>
      <c r="AU182" s="140"/>
      <c r="AV182" s="140"/>
      <c r="AW182" s="140"/>
      <c r="AX182" s="140"/>
      <c r="AY182" s="392"/>
      <c r="AZ182" s="432">
        <f t="shared" si="91"/>
        <v>0</v>
      </c>
      <c r="BA182" s="433"/>
      <c r="BB182" s="225"/>
      <c r="BC182" s="274"/>
      <c r="BD182" s="127"/>
      <c r="BE182" s="127"/>
      <c r="BF182" s="126"/>
      <c r="BG182" s="127"/>
      <c r="BH182" s="127"/>
      <c r="BI182" s="127"/>
      <c r="BJ182" s="274"/>
      <c r="BK182" s="389">
        <f t="shared" si="92"/>
        <v>0</v>
      </c>
      <c r="BL182" s="140">
        <f t="shared" si="93"/>
        <v>0</v>
      </c>
      <c r="BM182" s="132"/>
      <c r="BN182" s="140">
        <f t="shared" si="94"/>
        <v>0</v>
      </c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41"/>
      <c r="CA182" s="141"/>
      <c r="CB182" s="390">
        <f t="shared" si="95"/>
        <v>0</v>
      </c>
      <c r="CC182" s="132"/>
    </row>
    <row r="183" ht="14.25" customHeight="1">
      <c r="A183" s="132"/>
      <c r="B183" s="215">
        <v>46184</v>
      </c>
      <c r="C183" s="133"/>
      <c r="D183" s="136"/>
      <c r="E183" s="135"/>
      <c r="F183" s="135"/>
      <c r="G183" s="431">
        <f t="shared" si="87"/>
        <v>0</v>
      </c>
      <c r="H183" s="525"/>
      <c r="I183" s="457"/>
      <c r="J183" s="454"/>
      <c r="K183" s="140"/>
      <c r="L183" s="140"/>
      <c r="M183" s="140"/>
      <c r="N183" s="140"/>
      <c r="O183" s="140"/>
      <c r="P183" s="456"/>
      <c r="Q183" s="456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383">
        <f t="shared" si="88"/>
        <v>0</v>
      </c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384">
        <f t="shared" si="89"/>
        <v>0</v>
      </c>
      <c r="AQ183" s="136"/>
      <c r="AR183" s="136"/>
      <c r="AS183" s="136"/>
      <c r="AT183" s="385">
        <f t="shared" si="90"/>
        <v>0</v>
      </c>
      <c r="AU183" s="140"/>
      <c r="AV183" s="140"/>
      <c r="AW183" s="140"/>
      <c r="AX183" s="140"/>
      <c r="AY183" s="392"/>
      <c r="AZ183" s="432">
        <f t="shared" si="91"/>
        <v>0</v>
      </c>
      <c r="BA183" s="433"/>
      <c r="BB183" s="225"/>
      <c r="BC183" s="274"/>
      <c r="BD183" s="127"/>
      <c r="BE183" s="127"/>
      <c r="BF183" s="126"/>
      <c r="BG183" s="127"/>
      <c r="BH183" s="127"/>
      <c r="BI183" s="127"/>
      <c r="BJ183" s="274"/>
      <c r="BK183" s="389">
        <f t="shared" si="92"/>
        <v>0</v>
      </c>
      <c r="BL183" s="140">
        <f t="shared" si="93"/>
        <v>0</v>
      </c>
      <c r="BM183" s="132"/>
      <c r="BN183" s="140">
        <f t="shared" si="94"/>
        <v>0</v>
      </c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41"/>
      <c r="CA183" s="141"/>
      <c r="CB183" s="390">
        <f t="shared" si="95"/>
        <v>0</v>
      </c>
      <c r="CC183" s="132"/>
    </row>
    <row r="184" ht="14.25" customHeight="1">
      <c r="A184" s="132"/>
      <c r="B184" s="215">
        <v>46185</v>
      </c>
      <c r="C184" s="133"/>
      <c r="D184" s="136"/>
      <c r="E184" s="135"/>
      <c r="F184" s="135"/>
      <c r="G184" s="431">
        <f t="shared" si="87"/>
        <v>0</v>
      </c>
      <c r="H184" s="525"/>
      <c r="I184" s="457"/>
      <c r="J184" s="454"/>
      <c r="K184" s="140"/>
      <c r="L184" s="140"/>
      <c r="M184" s="140"/>
      <c r="N184" s="140"/>
      <c r="O184" s="140"/>
      <c r="P184" s="456"/>
      <c r="Q184" s="456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383">
        <f t="shared" si="88"/>
        <v>0</v>
      </c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384">
        <f t="shared" si="89"/>
        <v>0</v>
      </c>
      <c r="AQ184" s="136"/>
      <c r="AR184" s="136"/>
      <c r="AS184" s="136"/>
      <c r="AT184" s="385">
        <f t="shared" si="90"/>
        <v>0</v>
      </c>
      <c r="AU184" s="140"/>
      <c r="AV184" s="140"/>
      <c r="AW184" s="140"/>
      <c r="AX184" s="140"/>
      <c r="AY184" s="392"/>
      <c r="AZ184" s="432">
        <f t="shared" si="91"/>
        <v>0</v>
      </c>
      <c r="BA184" s="433"/>
      <c r="BB184" s="225"/>
      <c r="BC184" s="274"/>
      <c r="BD184" s="127"/>
      <c r="BE184" s="127"/>
      <c r="BF184" s="126"/>
      <c r="BG184" s="127"/>
      <c r="BH184" s="127"/>
      <c r="BI184" s="127"/>
      <c r="BJ184" s="274"/>
      <c r="BK184" s="389">
        <f t="shared" si="92"/>
        <v>0</v>
      </c>
      <c r="BL184" s="140">
        <f t="shared" si="93"/>
        <v>0</v>
      </c>
      <c r="BM184" s="132"/>
      <c r="BN184" s="140">
        <f t="shared" si="94"/>
        <v>0</v>
      </c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41"/>
      <c r="CA184" s="141"/>
      <c r="CB184" s="390">
        <f t="shared" si="95"/>
        <v>0</v>
      </c>
      <c r="CC184" s="132"/>
    </row>
    <row r="185" ht="14.25" customHeight="1">
      <c r="A185" s="132"/>
      <c r="B185" s="215">
        <v>46186</v>
      </c>
      <c r="C185" s="133"/>
      <c r="D185" s="136"/>
      <c r="E185" s="135"/>
      <c r="F185" s="135"/>
      <c r="G185" s="431">
        <f t="shared" si="87"/>
        <v>0</v>
      </c>
      <c r="H185" s="525"/>
      <c r="I185" s="457"/>
      <c r="J185" s="454"/>
      <c r="K185" s="140"/>
      <c r="L185" s="140"/>
      <c r="M185" s="140"/>
      <c r="N185" s="140"/>
      <c r="O185" s="140"/>
      <c r="P185" s="456"/>
      <c r="Q185" s="456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383">
        <f t="shared" si="88"/>
        <v>0</v>
      </c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384">
        <f t="shared" si="89"/>
        <v>0</v>
      </c>
      <c r="AQ185" s="136"/>
      <c r="AR185" s="136"/>
      <c r="AS185" s="136"/>
      <c r="AT185" s="385">
        <f t="shared" si="90"/>
        <v>0</v>
      </c>
      <c r="AU185" s="140"/>
      <c r="AV185" s="140"/>
      <c r="AW185" s="140"/>
      <c r="AX185" s="140"/>
      <c r="AY185" s="392"/>
      <c r="AZ185" s="432">
        <f t="shared" si="91"/>
        <v>0</v>
      </c>
      <c r="BA185" s="433"/>
      <c r="BB185" s="225"/>
      <c r="BC185" s="274"/>
      <c r="BD185" s="127"/>
      <c r="BE185" s="127"/>
      <c r="BF185" s="126"/>
      <c r="BG185" s="127"/>
      <c r="BH185" s="127"/>
      <c r="BI185" s="127"/>
      <c r="BJ185" s="274"/>
      <c r="BK185" s="389">
        <f t="shared" si="92"/>
        <v>0</v>
      </c>
      <c r="BL185" s="140">
        <f t="shared" si="93"/>
        <v>0</v>
      </c>
      <c r="BM185" s="132"/>
      <c r="BN185" s="140">
        <f t="shared" si="94"/>
        <v>0</v>
      </c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41"/>
      <c r="CA185" s="141"/>
      <c r="CB185" s="390">
        <f t="shared" si="95"/>
        <v>0</v>
      </c>
      <c r="CC185" s="132"/>
    </row>
    <row r="186" ht="14.25" customHeight="1">
      <c r="A186" s="132"/>
      <c r="B186" s="215">
        <v>46187</v>
      </c>
      <c r="C186" s="133"/>
      <c r="D186" s="136"/>
      <c r="E186" s="135"/>
      <c r="F186" s="135"/>
      <c r="G186" s="431">
        <f t="shared" si="87"/>
        <v>0</v>
      </c>
      <c r="H186" s="525"/>
      <c r="I186" s="457"/>
      <c r="J186" s="454"/>
      <c r="K186" s="140"/>
      <c r="L186" s="140"/>
      <c r="M186" s="140"/>
      <c r="N186" s="140"/>
      <c r="O186" s="140"/>
      <c r="P186" s="456"/>
      <c r="Q186" s="456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383">
        <f t="shared" si="88"/>
        <v>0</v>
      </c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384">
        <f t="shared" si="89"/>
        <v>0</v>
      </c>
      <c r="AQ186" s="136"/>
      <c r="AR186" s="136"/>
      <c r="AS186" s="136"/>
      <c r="AT186" s="385">
        <f t="shared" si="90"/>
        <v>0</v>
      </c>
      <c r="AU186" s="140"/>
      <c r="AV186" s="140"/>
      <c r="AW186" s="140"/>
      <c r="AX186" s="140"/>
      <c r="AY186" s="392"/>
      <c r="AZ186" s="432">
        <f t="shared" si="91"/>
        <v>0</v>
      </c>
      <c r="BA186" s="433"/>
      <c r="BB186" s="225"/>
      <c r="BC186" s="274"/>
      <c r="BD186" s="127"/>
      <c r="BE186" s="127"/>
      <c r="BF186" s="126"/>
      <c r="BG186" s="127"/>
      <c r="BH186" s="127"/>
      <c r="BI186" s="127"/>
      <c r="BJ186" s="274"/>
      <c r="BK186" s="389">
        <f t="shared" si="92"/>
        <v>0</v>
      </c>
      <c r="BL186" s="140">
        <f t="shared" si="93"/>
        <v>0</v>
      </c>
      <c r="BM186" s="132"/>
      <c r="BN186" s="140">
        <f t="shared" si="94"/>
        <v>0</v>
      </c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41"/>
      <c r="CA186" s="141"/>
      <c r="CB186" s="390">
        <f t="shared" si="95"/>
        <v>0</v>
      </c>
      <c r="CC186" s="132"/>
    </row>
    <row r="187" ht="14.25" customHeight="1">
      <c r="A187" s="132"/>
      <c r="B187" s="215">
        <v>46188</v>
      </c>
      <c r="C187" s="133"/>
      <c r="D187" s="136"/>
      <c r="E187" s="135"/>
      <c r="F187" s="135"/>
      <c r="G187" s="431">
        <f t="shared" si="87"/>
        <v>0</v>
      </c>
      <c r="H187" s="525"/>
      <c r="I187" s="457"/>
      <c r="J187" s="454"/>
      <c r="K187" s="140"/>
      <c r="L187" s="140"/>
      <c r="M187" s="140"/>
      <c r="N187" s="140"/>
      <c r="O187" s="140"/>
      <c r="P187" s="456"/>
      <c r="Q187" s="456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383">
        <f t="shared" si="88"/>
        <v>0</v>
      </c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384">
        <f t="shared" si="89"/>
        <v>0</v>
      </c>
      <c r="AQ187" s="136"/>
      <c r="AR187" s="136"/>
      <c r="AS187" s="136"/>
      <c r="AT187" s="385">
        <f t="shared" si="90"/>
        <v>0</v>
      </c>
      <c r="AU187" s="140"/>
      <c r="AV187" s="140"/>
      <c r="AW187" s="140"/>
      <c r="AX187" s="140"/>
      <c r="AY187" s="392"/>
      <c r="AZ187" s="432">
        <f t="shared" si="91"/>
        <v>0</v>
      </c>
      <c r="BA187" s="433"/>
      <c r="BB187" s="225"/>
      <c r="BC187" s="274"/>
      <c r="BD187" s="127"/>
      <c r="BE187" s="127"/>
      <c r="BF187" s="126"/>
      <c r="BG187" s="127"/>
      <c r="BH187" s="127"/>
      <c r="BI187" s="127"/>
      <c r="BJ187" s="274"/>
      <c r="BK187" s="389">
        <f t="shared" si="92"/>
        <v>0</v>
      </c>
      <c r="BL187" s="140">
        <f t="shared" si="93"/>
        <v>0</v>
      </c>
      <c r="BM187" s="132"/>
      <c r="BN187" s="140">
        <f t="shared" si="94"/>
        <v>0</v>
      </c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41"/>
      <c r="CA187" s="141"/>
      <c r="CB187" s="390">
        <f t="shared" si="95"/>
        <v>0</v>
      </c>
      <c r="CC187" s="132"/>
    </row>
    <row r="188" ht="14.25" customHeight="1">
      <c r="A188" s="132"/>
      <c r="B188" s="215">
        <v>46189</v>
      </c>
      <c r="C188" s="133"/>
      <c r="D188" s="136"/>
      <c r="E188" s="135"/>
      <c r="F188" s="135"/>
      <c r="G188" s="431">
        <f t="shared" si="87"/>
        <v>0</v>
      </c>
      <c r="H188" s="525"/>
      <c r="I188" s="457"/>
      <c r="J188" s="454"/>
      <c r="K188" s="140"/>
      <c r="L188" s="140"/>
      <c r="M188" s="140"/>
      <c r="N188" s="140"/>
      <c r="O188" s="140"/>
      <c r="P188" s="456"/>
      <c r="Q188" s="456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383">
        <f t="shared" si="88"/>
        <v>0</v>
      </c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384">
        <f t="shared" si="89"/>
        <v>0</v>
      </c>
      <c r="AQ188" s="136"/>
      <c r="AR188" s="136"/>
      <c r="AS188" s="136"/>
      <c r="AT188" s="385">
        <f t="shared" si="90"/>
        <v>0</v>
      </c>
      <c r="AU188" s="140"/>
      <c r="AV188" s="140"/>
      <c r="AW188" s="140"/>
      <c r="AX188" s="140"/>
      <c r="AY188" s="392"/>
      <c r="AZ188" s="432">
        <f t="shared" si="91"/>
        <v>0</v>
      </c>
      <c r="BA188" s="433"/>
      <c r="BB188" s="225"/>
      <c r="BC188" s="274"/>
      <c r="BD188" s="127"/>
      <c r="BE188" s="127"/>
      <c r="BF188" s="126"/>
      <c r="BG188" s="127"/>
      <c r="BH188" s="127"/>
      <c r="BI188" s="127"/>
      <c r="BJ188" s="274"/>
      <c r="BK188" s="389">
        <f t="shared" si="92"/>
        <v>0</v>
      </c>
      <c r="BL188" s="140">
        <f t="shared" si="93"/>
        <v>0</v>
      </c>
      <c r="BM188" s="132"/>
      <c r="BN188" s="140">
        <f t="shared" si="94"/>
        <v>0</v>
      </c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41"/>
      <c r="CA188" s="141"/>
      <c r="CB188" s="390">
        <f t="shared" si="95"/>
        <v>0</v>
      </c>
      <c r="CC188" s="132"/>
    </row>
    <row r="189" ht="14.25" customHeight="1">
      <c r="A189" s="132"/>
      <c r="B189" s="215">
        <v>46190</v>
      </c>
      <c r="C189" s="133"/>
      <c r="D189" s="136"/>
      <c r="E189" s="135"/>
      <c r="F189" s="135"/>
      <c r="G189" s="431">
        <f t="shared" si="87"/>
        <v>0</v>
      </c>
      <c r="H189" s="525"/>
      <c r="I189" s="457"/>
      <c r="J189" s="454"/>
      <c r="K189" s="140"/>
      <c r="L189" s="140"/>
      <c r="M189" s="140"/>
      <c r="N189" s="140"/>
      <c r="O189" s="140"/>
      <c r="P189" s="456"/>
      <c r="Q189" s="456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383">
        <f t="shared" si="88"/>
        <v>0</v>
      </c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384">
        <f t="shared" si="89"/>
        <v>0</v>
      </c>
      <c r="AQ189" s="136"/>
      <c r="AR189" s="136"/>
      <c r="AS189" s="136"/>
      <c r="AT189" s="385">
        <f t="shared" si="90"/>
        <v>0</v>
      </c>
      <c r="AU189" s="140"/>
      <c r="AV189" s="140"/>
      <c r="AW189" s="140"/>
      <c r="AX189" s="140"/>
      <c r="AY189" s="392"/>
      <c r="AZ189" s="432">
        <f t="shared" si="91"/>
        <v>0</v>
      </c>
      <c r="BA189" s="433"/>
      <c r="BB189" s="225"/>
      <c r="BC189" s="274"/>
      <c r="BD189" s="127"/>
      <c r="BE189" s="127"/>
      <c r="BF189" s="126"/>
      <c r="BG189" s="127"/>
      <c r="BH189" s="127"/>
      <c r="BI189" s="127"/>
      <c r="BJ189" s="274"/>
      <c r="BK189" s="389">
        <f t="shared" si="92"/>
        <v>0</v>
      </c>
      <c r="BL189" s="140">
        <f t="shared" si="93"/>
        <v>0</v>
      </c>
      <c r="BM189" s="132"/>
      <c r="BN189" s="140">
        <f t="shared" si="94"/>
        <v>0</v>
      </c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41"/>
      <c r="CA189" s="141"/>
      <c r="CB189" s="390">
        <f t="shared" si="95"/>
        <v>0</v>
      </c>
      <c r="CC189" s="132"/>
    </row>
    <row r="190" ht="14.25" customHeight="1">
      <c r="A190" s="132"/>
      <c r="B190" s="215">
        <v>46191</v>
      </c>
      <c r="C190" s="133"/>
      <c r="D190" s="136"/>
      <c r="E190" s="135"/>
      <c r="F190" s="135"/>
      <c r="G190" s="431">
        <f t="shared" si="87"/>
        <v>0</v>
      </c>
      <c r="H190" s="525"/>
      <c r="I190" s="457"/>
      <c r="J190" s="454"/>
      <c r="K190" s="140"/>
      <c r="L190" s="140"/>
      <c r="M190" s="140"/>
      <c r="N190" s="140"/>
      <c r="O190" s="140"/>
      <c r="P190" s="456"/>
      <c r="Q190" s="456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383">
        <f t="shared" si="88"/>
        <v>0</v>
      </c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384">
        <f t="shared" si="89"/>
        <v>0</v>
      </c>
      <c r="AQ190" s="136"/>
      <c r="AR190" s="136"/>
      <c r="AS190" s="136"/>
      <c r="AT190" s="385">
        <f t="shared" si="90"/>
        <v>0</v>
      </c>
      <c r="AU190" s="140"/>
      <c r="AV190" s="140"/>
      <c r="AW190" s="140"/>
      <c r="AX190" s="140"/>
      <c r="AY190" s="392"/>
      <c r="AZ190" s="432">
        <f t="shared" si="91"/>
        <v>0</v>
      </c>
      <c r="BA190" s="433"/>
      <c r="BB190" s="225"/>
      <c r="BC190" s="274"/>
      <c r="BD190" s="127"/>
      <c r="BE190" s="127"/>
      <c r="BF190" s="126"/>
      <c r="BG190" s="127"/>
      <c r="BH190" s="127"/>
      <c r="BI190" s="127"/>
      <c r="BJ190" s="274"/>
      <c r="BK190" s="389">
        <f t="shared" si="92"/>
        <v>0</v>
      </c>
      <c r="BL190" s="140">
        <f t="shared" si="93"/>
        <v>0</v>
      </c>
      <c r="BM190" s="132"/>
      <c r="BN190" s="140">
        <f t="shared" si="94"/>
        <v>0</v>
      </c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41"/>
      <c r="CA190" s="141"/>
      <c r="CB190" s="390">
        <f t="shared" si="95"/>
        <v>0</v>
      </c>
      <c r="CC190" s="132"/>
    </row>
    <row r="191" ht="14.25" customHeight="1">
      <c r="A191" s="132"/>
      <c r="B191" s="215">
        <v>46192</v>
      </c>
      <c r="C191" s="133"/>
      <c r="D191" s="136"/>
      <c r="E191" s="135"/>
      <c r="F191" s="135"/>
      <c r="G191" s="431">
        <f t="shared" si="87"/>
        <v>0</v>
      </c>
      <c r="H191" s="525"/>
      <c r="I191" s="457"/>
      <c r="J191" s="454"/>
      <c r="K191" s="140"/>
      <c r="L191" s="140"/>
      <c r="M191" s="140"/>
      <c r="N191" s="140"/>
      <c r="O191" s="140"/>
      <c r="P191" s="456"/>
      <c r="Q191" s="456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383">
        <f t="shared" si="88"/>
        <v>0</v>
      </c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384">
        <f t="shared" si="89"/>
        <v>0</v>
      </c>
      <c r="AQ191" s="136"/>
      <c r="AR191" s="136"/>
      <c r="AS191" s="136"/>
      <c r="AT191" s="385">
        <f t="shared" si="90"/>
        <v>0</v>
      </c>
      <c r="AU191" s="140"/>
      <c r="AV191" s="140"/>
      <c r="AW191" s="140"/>
      <c r="AX191" s="140"/>
      <c r="AY191" s="392"/>
      <c r="AZ191" s="432">
        <f t="shared" si="91"/>
        <v>0</v>
      </c>
      <c r="BA191" s="433"/>
      <c r="BB191" s="225"/>
      <c r="BC191" s="274"/>
      <c r="BD191" s="127"/>
      <c r="BE191" s="127"/>
      <c r="BF191" s="126"/>
      <c r="BG191" s="127"/>
      <c r="BH191" s="127"/>
      <c r="BI191" s="127"/>
      <c r="BJ191" s="274"/>
      <c r="BK191" s="389">
        <f t="shared" si="92"/>
        <v>0</v>
      </c>
      <c r="BL191" s="140">
        <f t="shared" si="93"/>
        <v>0</v>
      </c>
      <c r="BM191" s="132"/>
      <c r="BN191" s="140">
        <f t="shared" si="94"/>
        <v>0</v>
      </c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41"/>
      <c r="CA191" s="141"/>
      <c r="CB191" s="390">
        <f t="shared" si="95"/>
        <v>0</v>
      </c>
      <c r="CC191" s="132"/>
    </row>
    <row r="192" ht="14.25" customHeight="1">
      <c r="A192" s="132"/>
      <c r="B192" s="215">
        <v>46193</v>
      </c>
      <c r="C192" s="133"/>
      <c r="D192" s="136"/>
      <c r="E192" s="135"/>
      <c r="F192" s="135"/>
      <c r="G192" s="431">
        <f t="shared" si="87"/>
        <v>0</v>
      </c>
      <c r="H192" s="525"/>
      <c r="I192" s="457"/>
      <c r="J192" s="454"/>
      <c r="K192" s="140"/>
      <c r="L192" s="140"/>
      <c r="M192" s="140"/>
      <c r="N192" s="140"/>
      <c r="O192" s="140"/>
      <c r="P192" s="456"/>
      <c r="Q192" s="456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383">
        <f t="shared" si="88"/>
        <v>0</v>
      </c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384">
        <f t="shared" si="89"/>
        <v>0</v>
      </c>
      <c r="AQ192" s="136"/>
      <c r="AR192" s="136"/>
      <c r="AS192" s="136"/>
      <c r="AT192" s="385">
        <f t="shared" si="90"/>
        <v>0</v>
      </c>
      <c r="AU192" s="140"/>
      <c r="AV192" s="140"/>
      <c r="AW192" s="140"/>
      <c r="AX192" s="140"/>
      <c r="AY192" s="392"/>
      <c r="AZ192" s="432">
        <f t="shared" si="91"/>
        <v>0</v>
      </c>
      <c r="BA192" s="433"/>
      <c r="BB192" s="225"/>
      <c r="BC192" s="274"/>
      <c r="BD192" s="127"/>
      <c r="BE192" s="127"/>
      <c r="BF192" s="126"/>
      <c r="BG192" s="127"/>
      <c r="BH192" s="127"/>
      <c r="BI192" s="127"/>
      <c r="BJ192" s="274"/>
      <c r="BK192" s="389">
        <f t="shared" si="92"/>
        <v>0</v>
      </c>
      <c r="BL192" s="140">
        <f t="shared" si="93"/>
        <v>0</v>
      </c>
      <c r="BM192" s="132"/>
      <c r="BN192" s="140">
        <f t="shared" si="94"/>
        <v>0</v>
      </c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41"/>
      <c r="CA192" s="141"/>
      <c r="CB192" s="390">
        <f t="shared" si="95"/>
        <v>0</v>
      </c>
      <c r="CC192" s="132"/>
    </row>
    <row r="193" ht="14.25" customHeight="1">
      <c r="A193" s="132"/>
      <c r="B193" s="215">
        <v>46194</v>
      </c>
      <c r="C193" s="133"/>
      <c r="D193" s="136"/>
      <c r="E193" s="135"/>
      <c r="F193" s="135"/>
      <c r="G193" s="431">
        <f t="shared" si="87"/>
        <v>0</v>
      </c>
      <c r="H193" s="525"/>
      <c r="I193" s="457"/>
      <c r="J193" s="454"/>
      <c r="K193" s="140"/>
      <c r="L193" s="140"/>
      <c r="M193" s="140"/>
      <c r="N193" s="140"/>
      <c r="O193" s="140"/>
      <c r="P193" s="456"/>
      <c r="Q193" s="456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383">
        <f t="shared" si="88"/>
        <v>0</v>
      </c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384">
        <f t="shared" si="89"/>
        <v>0</v>
      </c>
      <c r="AQ193" s="136"/>
      <c r="AR193" s="136"/>
      <c r="AS193" s="136"/>
      <c r="AT193" s="385">
        <f t="shared" si="90"/>
        <v>0</v>
      </c>
      <c r="AU193" s="140"/>
      <c r="AV193" s="140"/>
      <c r="AW193" s="140"/>
      <c r="AX193" s="140"/>
      <c r="AY193" s="392"/>
      <c r="AZ193" s="432">
        <f t="shared" si="91"/>
        <v>0</v>
      </c>
      <c r="BA193" s="433"/>
      <c r="BB193" s="225"/>
      <c r="BC193" s="274"/>
      <c r="BD193" s="127"/>
      <c r="BE193" s="127"/>
      <c r="BF193" s="126"/>
      <c r="BG193" s="127"/>
      <c r="BH193" s="127"/>
      <c r="BI193" s="127"/>
      <c r="BJ193" s="274"/>
      <c r="BK193" s="389">
        <f t="shared" si="92"/>
        <v>0</v>
      </c>
      <c r="BL193" s="140">
        <f t="shared" si="93"/>
        <v>0</v>
      </c>
      <c r="BM193" s="132"/>
      <c r="BN193" s="140">
        <f t="shared" si="94"/>
        <v>0</v>
      </c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41"/>
      <c r="CA193" s="141"/>
      <c r="CB193" s="390">
        <f t="shared" si="95"/>
        <v>0</v>
      </c>
      <c r="CC193" s="132"/>
    </row>
    <row r="194" ht="14.25" customHeight="1">
      <c r="A194" s="132"/>
      <c r="B194" s="215">
        <v>46195</v>
      </c>
      <c r="C194" s="133"/>
      <c r="D194" s="136"/>
      <c r="E194" s="135"/>
      <c r="F194" s="135"/>
      <c r="G194" s="431">
        <f t="shared" si="87"/>
        <v>0</v>
      </c>
      <c r="H194" s="525"/>
      <c r="I194" s="457"/>
      <c r="J194" s="454"/>
      <c r="K194" s="140"/>
      <c r="L194" s="140"/>
      <c r="M194" s="140"/>
      <c r="N194" s="140"/>
      <c r="O194" s="140"/>
      <c r="P194" s="456"/>
      <c r="Q194" s="456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383">
        <f t="shared" si="88"/>
        <v>0</v>
      </c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384">
        <f t="shared" si="89"/>
        <v>0</v>
      </c>
      <c r="AQ194" s="136"/>
      <c r="AR194" s="136"/>
      <c r="AS194" s="136"/>
      <c r="AT194" s="385">
        <f t="shared" si="90"/>
        <v>0</v>
      </c>
      <c r="AU194" s="140"/>
      <c r="AV194" s="140"/>
      <c r="AW194" s="140"/>
      <c r="AX194" s="140"/>
      <c r="AY194" s="392"/>
      <c r="AZ194" s="432">
        <f t="shared" si="91"/>
        <v>0</v>
      </c>
      <c r="BA194" s="433"/>
      <c r="BB194" s="225"/>
      <c r="BC194" s="274"/>
      <c r="BD194" s="127"/>
      <c r="BE194" s="127"/>
      <c r="BF194" s="126"/>
      <c r="BG194" s="127"/>
      <c r="BH194" s="127"/>
      <c r="BI194" s="127"/>
      <c r="BJ194" s="274"/>
      <c r="BK194" s="389">
        <f t="shared" si="92"/>
        <v>0</v>
      </c>
      <c r="BL194" s="140">
        <f t="shared" si="93"/>
        <v>0</v>
      </c>
      <c r="BM194" s="132"/>
      <c r="BN194" s="140">
        <f t="shared" si="94"/>
        <v>0</v>
      </c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41"/>
      <c r="CA194" s="141"/>
      <c r="CB194" s="390">
        <f t="shared" si="95"/>
        <v>0</v>
      </c>
      <c r="CC194" s="132"/>
    </row>
    <row r="195" ht="14.25" customHeight="1">
      <c r="A195" s="132"/>
      <c r="B195" s="215">
        <v>46196</v>
      </c>
      <c r="C195" s="133"/>
      <c r="D195" s="136"/>
      <c r="E195" s="135"/>
      <c r="F195" s="135"/>
      <c r="G195" s="431">
        <f t="shared" si="87"/>
        <v>0</v>
      </c>
      <c r="H195" s="525"/>
      <c r="I195" s="457"/>
      <c r="J195" s="454"/>
      <c r="K195" s="140"/>
      <c r="L195" s="140"/>
      <c r="M195" s="140"/>
      <c r="N195" s="140"/>
      <c r="O195" s="140"/>
      <c r="P195" s="456"/>
      <c r="Q195" s="456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383">
        <f t="shared" si="88"/>
        <v>0</v>
      </c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384">
        <f t="shared" si="89"/>
        <v>0</v>
      </c>
      <c r="AQ195" s="136"/>
      <c r="AR195" s="136"/>
      <c r="AS195" s="132"/>
      <c r="AT195" s="385">
        <f t="shared" si="90"/>
        <v>0</v>
      </c>
      <c r="AU195" s="140"/>
      <c r="AV195" s="140"/>
      <c r="AW195" s="140"/>
      <c r="AX195" s="140"/>
      <c r="AY195" s="392"/>
      <c r="AZ195" s="432">
        <f t="shared" si="91"/>
        <v>0</v>
      </c>
      <c r="BA195" s="433"/>
      <c r="BB195" s="225"/>
      <c r="BC195" s="274"/>
      <c r="BD195" s="127"/>
      <c r="BE195" s="127"/>
      <c r="BF195" s="126"/>
      <c r="BG195" s="127"/>
      <c r="BH195" s="127"/>
      <c r="BI195" s="127"/>
      <c r="BJ195" s="274"/>
      <c r="BK195" s="389">
        <f>SUM(BA195:BF195)</f>
        <v>0</v>
      </c>
      <c r="BL195" s="140">
        <f t="shared" si="93"/>
        <v>0</v>
      </c>
      <c r="BM195" s="132"/>
      <c r="BN195" s="140">
        <f t="shared" si="94"/>
        <v>0</v>
      </c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41"/>
      <c r="CA195" s="141"/>
      <c r="CB195" s="390">
        <f t="shared" si="95"/>
        <v>0</v>
      </c>
      <c r="CC195" s="132"/>
    </row>
    <row r="196" ht="14.25" customHeight="1">
      <c r="A196" s="132"/>
      <c r="B196" s="215">
        <v>46197</v>
      </c>
      <c r="C196" s="133"/>
      <c r="D196" s="136"/>
      <c r="E196" s="135"/>
      <c r="F196" s="135"/>
      <c r="G196" s="431">
        <f t="shared" si="87"/>
        <v>0</v>
      </c>
      <c r="H196" s="525"/>
      <c r="I196" s="457"/>
      <c r="J196" s="454"/>
      <c r="K196" s="140"/>
      <c r="L196" s="140"/>
      <c r="M196" s="140"/>
      <c r="N196" s="140"/>
      <c r="O196" s="140"/>
      <c r="P196" s="456"/>
      <c r="Q196" s="456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383">
        <f t="shared" si="88"/>
        <v>0</v>
      </c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384">
        <f t="shared" si="89"/>
        <v>0</v>
      </c>
      <c r="AQ196" s="136"/>
      <c r="AR196" s="136"/>
      <c r="AS196" s="136"/>
      <c r="AT196" s="385">
        <f t="shared" si="90"/>
        <v>0</v>
      </c>
      <c r="AU196" s="140"/>
      <c r="AV196" s="140"/>
      <c r="AW196" s="140"/>
      <c r="AX196" s="140"/>
      <c r="AY196" s="392"/>
      <c r="AZ196" s="432">
        <f ref="AZ196:AZ197" t="shared" si="96">+G196-AB196-AP196-AT196-AU196-AW196-AX196-AY196-AV196</f>
        <v>0</v>
      </c>
      <c r="BA196" s="433"/>
      <c r="BB196" s="225"/>
      <c r="BC196" s="274"/>
      <c r="BD196" s="127"/>
      <c r="BE196" s="127"/>
      <c r="BF196" s="126"/>
      <c r="BG196" s="127"/>
      <c r="BH196" s="127"/>
      <c r="BI196" s="127"/>
      <c r="BJ196" s="274"/>
      <c r="BK196" s="389">
        <f ref="BK196:BK202" t="shared" si="97">SUM(BA196:BJ196)-BI196</f>
        <v>0</v>
      </c>
      <c r="BL196" s="140">
        <f t="shared" si="93"/>
        <v>0</v>
      </c>
      <c r="BM196" s="132"/>
      <c r="BN196" s="140">
        <f t="shared" si="94"/>
        <v>0</v>
      </c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41"/>
      <c r="CA196" s="141"/>
      <c r="CB196" s="390">
        <f t="shared" si="95"/>
        <v>0</v>
      </c>
      <c r="CC196" s="132"/>
    </row>
    <row r="197" ht="14.25" customHeight="1">
      <c r="A197" s="132"/>
      <c r="B197" s="215">
        <v>46198</v>
      </c>
      <c r="C197" s="133"/>
      <c r="D197" s="136"/>
      <c r="E197" s="135"/>
      <c r="F197" s="135"/>
      <c r="G197" s="431">
        <f t="shared" si="87"/>
        <v>0</v>
      </c>
      <c r="H197" s="525"/>
      <c r="I197" s="457"/>
      <c r="J197" s="454"/>
      <c r="K197" s="140"/>
      <c r="L197" s="140"/>
      <c r="M197" s="140"/>
      <c r="N197" s="140"/>
      <c r="O197" s="140"/>
      <c r="P197" s="456"/>
      <c r="Q197" s="456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383">
        <f t="shared" si="88"/>
        <v>0</v>
      </c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384">
        <f t="shared" si="89"/>
        <v>0</v>
      </c>
      <c r="AQ197" s="136"/>
      <c r="AR197" s="136"/>
      <c r="AS197" s="136"/>
      <c r="AT197" s="385">
        <f t="shared" si="90"/>
        <v>0</v>
      </c>
      <c r="AU197" s="140"/>
      <c r="AV197" s="140"/>
      <c r="AW197" s="140"/>
      <c r="AX197" s="140"/>
      <c r="AY197" s="392"/>
      <c r="AZ197" s="432">
        <f t="shared" si="96"/>
        <v>0</v>
      </c>
      <c r="BA197" s="433"/>
      <c r="BB197" s="225"/>
      <c r="BC197" s="274"/>
      <c r="BD197" s="127"/>
      <c r="BE197" s="127"/>
      <c r="BF197" s="126"/>
      <c r="BG197" s="127"/>
      <c r="BH197" s="127"/>
      <c r="BI197" s="127"/>
      <c r="BJ197" s="274"/>
      <c r="BK197" s="389">
        <f t="shared" si="97"/>
        <v>0</v>
      </c>
      <c r="BL197" s="140">
        <f t="shared" si="93"/>
        <v>0</v>
      </c>
      <c r="BM197" s="132"/>
      <c r="BN197" s="140">
        <f t="shared" si="94"/>
        <v>0</v>
      </c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41"/>
      <c r="CA197" s="141"/>
      <c r="CB197" s="390">
        <f t="shared" si="95"/>
        <v>0</v>
      </c>
      <c r="CC197" s="132"/>
    </row>
    <row r="198" ht="14.25" customHeight="1">
      <c r="A198" s="132"/>
      <c r="B198" s="215">
        <v>46199</v>
      </c>
      <c r="C198" s="133"/>
      <c r="D198" s="136"/>
      <c r="E198" s="135"/>
      <c r="F198" s="135"/>
      <c r="G198" s="431">
        <f t="shared" si="87"/>
        <v>0</v>
      </c>
      <c r="H198" s="525"/>
      <c r="I198" s="457"/>
      <c r="J198" s="454"/>
      <c r="K198" s="140"/>
      <c r="L198" s="140"/>
      <c r="M198" s="140"/>
      <c r="N198" s="140"/>
      <c r="O198" s="140"/>
      <c r="P198" s="379"/>
      <c r="Q198" s="379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383">
        <f t="shared" si="88"/>
        <v>0</v>
      </c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384">
        <f t="shared" si="89"/>
        <v>0</v>
      </c>
      <c r="AQ198" s="136"/>
      <c r="AR198" s="136"/>
      <c r="AS198" s="136"/>
      <c r="AT198" s="385">
        <f t="shared" si="90"/>
        <v>0</v>
      </c>
      <c r="AU198" s="140"/>
      <c r="AV198" s="140"/>
      <c r="AW198" s="140"/>
      <c r="AX198" s="140"/>
      <c r="AY198" s="392"/>
      <c r="AZ198" s="432">
        <f ref="AZ198:AZ202" t="shared" si="98">+G198-AB198-AP198-AT198-AU198-AW198-AX198-AY198</f>
        <v>0</v>
      </c>
      <c r="BA198" s="433"/>
      <c r="BB198" s="225"/>
      <c r="BC198" s="274"/>
      <c r="BD198" s="127"/>
      <c r="BE198" s="127"/>
      <c r="BF198" s="126"/>
      <c r="BG198" s="127"/>
      <c r="BH198" s="127"/>
      <c r="BI198" s="127"/>
      <c r="BJ198" s="274"/>
      <c r="BK198" s="389">
        <f t="shared" si="97"/>
        <v>0</v>
      </c>
      <c r="BL198" s="140">
        <f t="shared" si="93"/>
        <v>0</v>
      </c>
      <c r="BM198" s="132"/>
      <c r="BN198" s="140">
        <f t="shared" si="94"/>
        <v>0</v>
      </c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41"/>
      <c r="CA198" s="141"/>
      <c r="CB198" s="390">
        <f t="shared" si="95"/>
        <v>0</v>
      </c>
      <c r="CC198" s="132"/>
    </row>
    <row r="199" ht="14.25" customHeight="1">
      <c r="A199" s="132"/>
      <c r="B199" s="215">
        <v>46200</v>
      </c>
      <c r="C199" s="133"/>
      <c r="D199" s="136"/>
      <c r="E199" s="135"/>
      <c r="F199" s="135"/>
      <c r="G199" s="431">
        <f t="shared" si="87"/>
        <v>0</v>
      </c>
      <c r="H199" s="525"/>
      <c r="I199" s="457"/>
      <c r="J199" s="454"/>
      <c r="K199" s="140"/>
      <c r="L199" s="140"/>
      <c r="M199" s="140"/>
      <c r="N199" s="140"/>
      <c r="O199" s="140"/>
      <c r="P199" s="456"/>
      <c r="Q199" s="456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383">
        <f t="shared" si="88"/>
        <v>0</v>
      </c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384">
        <f t="shared" si="89"/>
        <v>0</v>
      </c>
      <c r="AQ199" s="136"/>
      <c r="AR199" s="136"/>
      <c r="AS199" s="136"/>
      <c r="AT199" s="385">
        <f t="shared" si="90"/>
        <v>0</v>
      </c>
      <c r="AU199" s="140"/>
      <c r="AV199" s="140"/>
      <c r="AW199" s="140"/>
      <c r="AX199" s="140"/>
      <c r="AY199" s="392"/>
      <c r="AZ199" s="432">
        <f t="shared" si="98"/>
        <v>0</v>
      </c>
      <c r="BA199" s="433"/>
      <c r="BB199" s="225"/>
      <c r="BC199" s="274"/>
      <c r="BD199" s="127"/>
      <c r="BE199" s="127"/>
      <c r="BF199" s="126"/>
      <c r="BG199" s="127"/>
      <c r="BH199" s="127"/>
      <c r="BI199" s="127"/>
      <c r="BJ199" s="274"/>
      <c r="BK199" s="389">
        <f t="shared" si="97"/>
        <v>0</v>
      </c>
      <c r="BL199" s="140">
        <f t="shared" si="93"/>
        <v>0</v>
      </c>
      <c r="BM199" s="132"/>
      <c r="BN199" s="140">
        <f t="shared" si="94"/>
        <v>0</v>
      </c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41"/>
      <c r="CA199" s="141"/>
      <c r="CB199" s="390">
        <f t="shared" si="95"/>
        <v>0</v>
      </c>
      <c r="CC199" s="132"/>
    </row>
    <row r="200" ht="14.25" customHeight="1">
      <c r="A200" s="132"/>
      <c r="B200" s="215">
        <v>46201</v>
      </c>
      <c r="C200" s="133"/>
      <c r="D200" s="136"/>
      <c r="E200" s="135"/>
      <c r="F200" s="135"/>
      <c r="G200" s="431">
        <f t="shared" si="87"/>
        <v>0</v>
      </c>
      <c r="H200" s="525"/>
      <c r="I200" s="457"/>
      <c r="J200" s="454"/>
      <c r="K200" s="140"/>
      <c r="L200" s="140"/>
      <c r="M200" s="140"/>
      <c r="N200" s="140"/>
      <c r="O200" s="140"/>
      <c r="P200" s="456"/>
      <c r="Q200" s="456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383">
        <f t="shared" si="88"/>
        <v>0</v>
      </c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384">
        <f t="shared" si="89"/>
        <v>0</v>
      </c>
      <c r="AQ200" s="136"/>
      <c r="AR200" s="136"/>
      <c r="AS200" s="136"/>
      <c r="AT200" s="385">
        <f t="shared" si="90"/>
        <v>0</v>
      </c>
      <c r="AU200" s="140"/>
      <c r="AV200" s="140"/>
      <c r="AW200" s="140"/>
      <c r="AX200" s="140"/>
      <c r="AY200" s="392"/>
      <c r="AZ200" s="432">
        <f t="shared" si="98"/>
        <v>0</v>
      </c>
      <c r="BA200" s="433"/>
      <c r="BB200" s="225"/>
      <c r="BC200" s="274"/>
      <c r="BD200" s="127"/>
      <c r="BE200" s="127"/>
      <c r="BF200" s="126"/>
      <c r="BG200" s="127"/>
      <c r="BH200" s="127"/>
      <c r="BI200" s="127"/>
      <c r="BJ200" s="274"/>
      <c r="BK200" s="389">
        <f t="shared" si="97"/>
        <v>0</v>
      </c>
      <c r="BL200" s="140">
        <f t="shared" si="93"/>
        <v>0</v>
      </c>
      <c r="BM200" s="132"/>
      <c r="BN200" s="140">
        <f t="shared" si="94"/>
        <v>0</v>
      </c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41"/>
      <c r="CA200" s="141"/>
      <c r="CB200" s="390">
        <f t="shared" si="95"/>
        <v>0</v>
      </c>
      <c r="CC200" s="132"/>
    </row>
    <row r="201" ht="14.25" customHeight="1">
      <c r="A201" s="132"/>
      <c r="B201" s="215">
        <v>46202</v>
      </c>
      <c r="C201" s="133"/>
      <c r="D201" s="136"/>
      <c r="E201" s="135"/>
      <c r="F201" s="135"/>
      <c r="G201" s="431">
        <f t="shared" si="87"/>
        <v>0</v>
      </c>
      <c r="H201" s="525"/>
      <c r="I201" s="457"/>
      <c r="J201" s="454"/>
      <c r="K201" s="140"/>
      <c r="L201" s="140"/>
      <c r="M201" s="140"/>
      <c r="N201" s="140"/>
      <c r="O201" s="140"/>
      <c r="P201" s="456"/>
      <c r="Q201" s="456"/>
      <c r="R201" s="140"/>
      <c r="S201" s="140"/>
      <c r="T201" s="140"/>
      <c r="U201" s="140"/>
      <c r="V201" s="140"/>
      <c r="W201" s="140"/>
      <c r="X201" s="140"/>
      <c r="Y201" s="140"/>
      <c r="Z201" s="140"/>
      <c r="AA201" s="140"/>
      <c r="AB201" s="383">
        <f t="shared" si="88"/>
        <v>0</v>
      </c>
      <c r="AC201" s="140"/>
      <c r="AD201" s="140"/>
      <c r="AE201" s="140"/>
      <c r="AF201" s="140"/>
      <c r="AG201" s="140"/>
      <c r="AH201" s="140"/>
      <c r="AI201" s="140"/>
      <c r="AJ201" s="140"/>
      <c r="AK201" s="140"/>
      <c r="AL201" s="140"/>
      <c r="AM201" s="140"/>
      <c r="AN201" s="140"/>
      <c r="AO201" s="140"/>
      <c r="AP201" s="384">
        <f t="shared" si="89"/>
        <v>0</v>
      </c>
      <c r="AQ201" s="136"/>
      <c r="AR201" s="136"/>
      <c r="AS201" s="136"/>
      <c r="AT201" s="385">
        <f t="shared" si="90"/>
        <v>0</v>
      </c>
      <c r="AU201" s="140"/>
      <c r="AV201" s="140"/>
      <c r="AW201" s="140"/>
      <c r="AX201" s="140"/>
      <c r="AY201" s="392"/>
      <c r="AZ201" s="432">
        <f t="shared" si="98"/>
        <v>0</v>
      </c>
      <c r="BA201" s="433"/>
      <c r="BB201" s="225"/>
      <c r="BC201" s="274"/>
      <c r="BD201" s="127"/>
      <c r="BE201" s="127"/>
      <c r="BF201" s="126"/>
      <c r="BG201" s="127"/>
      <c r="BH201" s="127"/>
      <c r="BI201" s="127"/>
      <c r="BJ201" s="274"/>
      <c r="BK201" s="389">
        <f t="shared" si="97"/>
        <v>0</v>
      </c>
      <c r="BL201" s="140">
        <f t="shared" si="93"/>
        <v>0</v>
      </c>
      <c r="BM201" s="132"/>
      <c r="BN201" s="140">
        <f t="shared" si="94"/>
        <v>0</v>
      </c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41"/>
      <c r="CA201" s="141"/>
      <c r="CB201" s="390">
        <f t="shared" si="95"/>
        <v>0</v>
      </c>
      <c r="CC201" s="132"/>
    </row>
    <row r="202" ht="14.25" customHeight="1">
      <c r="A202" s="132"/>
      <c r="B202" s="215">
        <v>46203</v>
      </c>
      <c r="C202" s="133"/>
      <c r="D202" s="136"/>
      <c r="E202" s="135"/>
      <c r="F202" s="135"/>
      <c r="G202" s="431">
        <f t="shared" si="87"/>
        <v>0</v>
      </c>
      <c r="H202" s="525"/>
      <c r="I202" s="457"/>
      <c r="J202" s="454"/>
      <c r="K202" s="140"/>
      <c r="L202" s="140"/>
      <c r="M202" s="140"/>
      <c r="N202" s="140"/>
      <c r="O202" s="140"/>
      <c r="P202" s="456"/>
      <c r="Q202" s="456"/>
      <c r="R202" s="140"/>
      <c r="S202" s="140"/>
      <c r="T202" s="140"/>
      <c r="U202" s="140"/>
      <c r="V202" s="140"/>
      <c r="W202" s="140"/>
      <c r="X202" s="140"/>
      <c r="Y202" s="140"/>
      <c r="Z202" s="140"/>
      <c r="AA202" s="140"/>
      <c r="AB202" s="383">
        <f t="shared" si="88"/>
        <v>0</v>
      </c>
      <c r="AC202" s="140"/>
      <c r="AD202" s="140"/>
      <c r="AE202" s="140"/>
      <c r="AF202" s="140"/>
      <c r="AG202" s="140"/>
      <c r="AH202" s="140"/>
      <c r="AI202" s="140"/>
      <c r="AJ202" s="140"/>
      <c r="AK202" s="140"/>
      <c r="AL202" s="140"/>
      <c r="AM202" s="140"/>
      <c r="AN202" s="140"/>
      <c r="AO202" s="140"/>
      <c r="AP202" s="384">
        <f t="shared" si="89"/>
        <v>0</v>
      </c>
      <c r="AQ202" s="136"/>
      <c r="AR202" s="136"/>
      <c r="AS202" s="136"/>
      <c r="AT202" s="385">
        <f t="shared" si="90"/>
        <v>0</v>
      </c>
      <c r="AU202" s="140"/>
      <c r="AV202" s="140"/>
      <c r="AW202" s="140"/>
      <c r="AX202" s="140"/>
      <c r="AY202" s="392"/>
      <c r="AZ202" s="432">
        <f t="shared" si="98"/>
        <v>0</v>
      </c>
      <c r="BA202" s="435"/>
      <c r="BB202" s="280"/>
      <c r="BC202" s="296"/>
      <c r="BD202" s="161"/>
      <c r="BE202" s="161"/>
      <c r="BF202" s="138"/>
      <c r="BG202" s="161"/>
      <c r="BH202" s="161"/>
      <c r="BI202" s="161"/>
      <c r="BJ202" s="296"/>
      <c r="BK202" s="389">
        <f t="shared" si="97"/>
        <v>0</v>
      </c>
      <c r="BL202" s="140">
        <f t="shared" si="93"/>
        <v>0</v>
      </c>
      <c r="BM202" s="132"/>
      <c r="BN202" s="140">
        <f t="shared" si="94"/>
        <v>0</v>
      </c>
      <c r="BO202" s="141"/>
      <c r="BP202" s="141"/>
      <c r="BQ202" s="141"/>
      <c r="BR202" s="141"/>
      <c r="BS202" s="141"/>
      <c r="BT202" s="141"/>
      <c r="BU202" s="141"/>
      <c r="BV202" s="141"/>
      <c r="BW202" s="141"/>
      <c r="BX202" s="141"/>
      <c r="BY202" s="141"/>
      <c r="BZ202" s="141"/>
      <c r="CA202" s="141"/>
      <c r="CB202" s="390">
        <f t="shared" si="95"/>
        <v>0</v>
      </c>
      <c r="CC202" s="132"/>
    </row>
    <row r="203" ht="14.25" customHeight="1">
      <c r="A203" s="413"/>
      <c r="B203" s="2" t="s">
        <v>80</v>
      </c>
      <c r="C203" s="407">
        <f ref="C203:G203" t="shared" si="99">SUM(C173:C202)</f>
        <v>0</v>
      </c>
      <c r="D203" s="407">
        <f t="shared" si="99"/>
        <v>0</v>
      </c>
      <c r="E203" s="407">
        <f t="shared" si="99"/>
        <v>0</v>
      </c>
      <c r="F203" s="407">
        <f t="shared" si="99"/>
        <v>0</v>
      </c>
      <c r="G203" s="407">
        <f t="shared" si="99"/>
        <v>0</v>
      </c>
      <c r="H203" s="407"/>
      <c r="I203" s="407">
        <f ref="I203:J203" t="shared" si="100">SUM(I173:I202)</f>
        <v>0</v>
      </c>
      <c r="J203" s="407">
        <f t="shared" si="100"/>
        <v>0</v>
      </c>
      <c r="K203" s="407"/>
      <c r="L203" s="407">
        <f>SUM(L173:L202)</f>
        <v>0</v>
      </c>
      <c r="M203" s="407"/>
      <c r="N203" s="407"/>
      <c r="O203" s="407">
        <f>SUM(O173:O202)</f>
        <v>0</v>
      </c>
      <c r="P203" s="407"/>
      <c r="Q203" s="407">
        <f ref="Q203:S203" t="shared" si="101">SUM(Q173:Q202)</f>
        <v>0</v>
      </c>
      <c r="R203" s="407">
        <f t="shared" si="101"/>
        <v>0</v>
      </c>
      <c r="S203" s="407">
        <f t="shared" si="101"/>
        <v>0</v>
      </c>
      <c r="T203" s="407"/>
      <c r="U203" s="407">
        <f ref="U203:AU203" t="shared" si="102">SUM(U173:U202)</f>
        <v>0</v>
      </c>
      <c r="V203" s="407">
        <f t="shared" si="102"/>
        <v>0</v>
      </c>
      <c r="W203" s="407">
        <f t="shared" si="102"/>
        <v>0</v>
      </c>
      <c r="X203" s="407">
        <f t="shared" si="102"/>
        <v>0</v>
      </c>
      <c r="Y203" s="407">
        <f t="shared" si="102"/>
        <v>0</v>
      </c>
      <c r="Z203" s="407">
        <f t="shared" si="102"/>
        <v>0</v>
      </c>
      <c r="AA203" s="407">
        <f t="shared" si="102"/>
        <v>0</v>
      </c>
      <c r="AB203" s="407">
        <f t="shared" si="102"/>
        <v>0</v>
      </c>
      <c r="AC203" s="407">
        <f t="shared" si="102"/>
        <v>0</v>
      </c>
      <c r="AD203" s="407">
        <f t="shared" si="102"/>
        <v>0</v>
      </c>
      <c r="AE203" s="407">
        <f t="shared" si="102"/>
        <v>0</v>
      </c>
      <c r="AF203" s="407">
        <f t="shared" si="102"/>
        <v>0</v>
      </c>
      <c r="AG203" s="407">
        <f t="shared" si="102"/>
        <v>0</v>
      </c>
      <c r="AH203" s="407">
        <f t="shared" si="102"/>
        <v>0</v>
      </c>
      <c r="AI203" s="407">
        <f t="shared" si="102"/>
        <v>0</v>
      </c>
      <c r="AJ203" s="407">
        <f t="shared" si="102"/>
        <v>0</v>
      </c>
      <c r="AK203" s="407">
        <f t="shared" si="102"/>
        <v>0</v>
      </c>
      <c r="AL203" s="407">
        <f t="shared" si="102"/>
        <v>0</v>
      </c>
      <c r="AM203" s="407">
        <f t="shared" si="102"/>
        <v>0</v>
      </c>
      <c r="AN203" s="407">
        <f t="shared" si="102"/>
        <v>0</v>
      </c>
      <c r="AO203" s="407">
        <f t="shared" si="102"/>
        <v>0</v>
      </c>
      <c r="AP203" s="407">
        <f t="shared" si="102"/>
        <v>0</v>
      </c>
      <c r="AQ203" s="407">
        <f t="shared" si="102"/>
        <v>0</v>
      </c>
      <c r="AR203" s="407">
        <f t="shared" si="102"/>
        <v>0</v>
      </c>
      <c r="AS203" s="407">
        <f t="shared" si="102"/>
        <v>0</v>
      </c>
      <c r="AT203" s="407">
        <f t="shared" si="102"/>
        <v>0</v>
      </c>
      <c r="AU203" s="407">
        <f t="shared" si="102"/>
        <v>0</v>
      </c>
      <c r="AV203" s="407"/>
      <c r="AW203" s="407">
        <f ref="AW203:BL203" t="shared" si="103">SUM(AW173:AW202)</f>
        <v>0</v>
      </c>
      <c r="AX203" s="407">
        <f t="shared" si="103"/>
        <v>0</v>
      </c>
      <c r="AY203" s="407">
        <f t="shared" si="103"/>
        <v>0</v>
      </c>
      <c r="AZ203" s="407">
        <f t="shared" si="103"/>
        <v>0</v>
      </c>
      <c r="BA203" s="439">
        <f t="shared" si="103"/>
        <v>0</v>
      </c>
      <c r="BB203" s="438">
        <f t="shared" si="103"/>
        <v>0</v>
      </c>
      <c r="BC203" s="439">
        <f t="shared" si="103"/>
        <v>0</v>
      </c>
      <c r="BD203" s="439">
        <f t="shared" si="103"/>
        <v>0</v>
      </c>
      <c r="BE203" s="439">
        <f t="shared" si="103"/>
        <v>0</v>
      </c>
      <c r="BF203" s="439">
        <f t="shared" si="103"/>
        <v>0</v>
      </c>
      <c r="BG203" s="439">
        <f t="shared" si="103"/>
        <v>0</v>
      </c>
      <c r="BH203" s="439">
        <f t="shared" si="103"/>
        <v>0</v>
      </c>
      <c r="BI203" s="439">
        <f t="shared" si="103"/>
        <v>0</v>
      </c>
      <c r="BJ203" s="439">
        <f t="shared" si="103"/>
        <v>0</v>
      </c>
      <c r="BK203" s="407">
        <f t="shared" si="103"/>
        <v>0</v>
      </c>
      <c r="BL203" s="407">
        <f t="shared" si="103"/>
        <v>0</v>
      </c>
      <c r="BM203" s="235"/>
      <c r="BN203" s="407">
        <f ref="BN203:BW203" t="shared" si="104">SUM(BN173:BN202)</f>
        <v>0</v>
      </c>
      <c r="BO203" s="407">
        <f t="shared" si="104"/>
        <v>0</v>
      </c>
      <c r="BP203" s="407">
        <f t="shared" si="104"/>
        <v>0</v>
      </c>
      <c r="BQ203" s="407">
        <f t="shared" si="104"/>
        <v>0</v>
      </c>
      <c r="BR203" s="407">
        <f t="shared" si="104"/>
        <v>0</v>
      </c>
      <c r="BS203" s="407">
        <f t="shared" si="104"/>
        <v>0</v>
      </c>
      <c r="BT203" s="407">
        <f t="shared" si="104"/>
        <v>0</v>
      </c>
      <c r="BU203" s="407">
        <f t="shared" si="104"/>
        <v>0</v>
      </c>
      <c r="BV203" s="407">
        <f t="shared" si="104"/>
        <v>0</v>
      </c>
      <c r="BW203" s="407">
        <f t="shared" si="104"/>
        <v>0</v>
      </c>
      <c r="BX203" s="407"/>
      <c r="BY203" s="407"/>
      <c r="BZ203" s="407"/>
      <c r="CA203" s="407"/>
      <c r="CB203" s="407">
        <f>SUM(CB173:CB202)</f>
        <v>0</v>
      </c>
      <c r="CC203" s="3"/>
    </row>
    <row r="204" ht="14.25" customHeight="1">
      <c r="A204" s="1"/>
      <c r="B204" s="2"/>
      <c r="C204" s="3"/>
      <c r="D204" s="3"/>
      <c r="E204" s="3"/>
      <c r="F204" s="3"/>
      <c r="G204" s="3"/>
      <c r="H204" s="3"/>
      <c r="I204" s="3"/>
      <c r="J204" s="414"/>
      <c r="K204" s="3"/>
      <c r="L204" s="3"/>
      <c r="M204" s="3"/>
      <c r="N204" s="3"/>
      <c r="O204" s="3"/>
      <c r="P204" s="1"/>
      <c r="Q204" s="1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96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1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</row>
    <row r="205" ht="14.25" customHeight="1">
      <c r="A205" s="1"/>
      <c r="B205" s="2"/>
      <c r="C205" s="3"/>
      <c r="D205" s="3"/>
      <c r="E205" s="3"/>
      <c r="F205" s="3"/>
      <c r="G205" s="3"/>
      <c r="H205" s="3"/>
      <c r="I205" s="3"/>
      <c r="J205" s="414"/>
      <c r="K205" s="3"/>
      <c r="L205" s="3"/>
      <c r="M205" s="3"/>
      <c r="N205" s="3"/>
      <c r="O205" s="3"/>
      <c r="P205" s="1"/>
      <c r="Q205" s="1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176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1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</row>
    <row r="206" ht="14.25" customHeight="1">
      <c r="A206" s="3"/>
      <c r="B206" s="215">
        <v>46204</v>
      </c>
      <c r="C206" s="285"/>
      <c r="D206" s="104"/>
      <c r="E206" s="97"/>
      <c r="F206" s="97"/>
      <c r="G206" s="415">
        <f ref="G206:G236" t="shared" si="105">+C206+D206+E206+F206</f>
        <v>0</v>
      </c>
      <c r="H206" s="535"/>
      <c r="I206" s="449"/>
      <c r="J206" s="446"/>
      <c r="K206" s="195"/>
      <c r="L206" s="195"/>
      <c r="M206" s="195"/>
      <c r="N206" s="195"/>
      <c r="O206" s="195"/>
      <c r="P206" s="447"/>
      <c r="Q206" s="447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420">
        <f ref="AB206:AB236" t="shared" si="106">SUM(I206:Y206)</f>
        <v>0</v>
      </c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384">
        <f ref="AP206:AP236" t="shared" si="107">SUM(AC206:AO206)</f>
        <v>0</v>
      </c>
      <c r="AQ206" s="104"/>
      <c r="AR206" s="104"/>
      <c r="AS206" s="104"/>
      <c r="AT206" s="422">
        <f ref="AT206:AT236" t="shared" si="108">SUM(AQ206:AS206)</f>
        <v>0</v>
      </c>
      <c r="AU206" s="195"/>
      <c r="AV206" s="195"/>
      <c r="AW206" s="195"/>
      <c r="AX206" s="195"/>
      <c r="AY206" s="424"/>
      <c r="AZ206" s="425">
        <f ref="AZ206:AZ236" t="shared" si="109">+G206-AB206-AP206-AT206-AU206-AW206-AX206-AY206</f>
        <v>0</v>
      </c>
      <c r="BA206" s="427"/>
      <c r="BB206" s="220"/>
      <c r="BC206" s="109"/>
      <c r="BD206" s="110"/>
      <c r="BE206" s="110"/>
      <c r="BF206" s="109"/>
      <c r="BG206" s="110"/>
      <c r="BH206" s="110"/>
      <c r="BI206" s="110"/>
      <c r="BJ206" s="269"/>
      <c r="BK206" s="389">
        <f ref="BK206:BK236" t="shared" si="110">SUM(BA206:BJ206)-BI206</f>
        <v>0</v>
      </c>
      <c r="BL206" s="114">
        <f ref="BL206:BL236" t="shared" si="111">+AZ206-BK206</f>
        <v>0</v>
      </c>
      <c r="BM206" s="3"/>
      <c r="BN206" s="114">
        <f ref="BN206:BN236" t="shared" si="112">SUM(BO206:CA206)</f>
        <v>0</v>
      </c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220"/>
      <c r="BY206" s="220"/>
      <c r="BZ206" s="220"/>
      <c r="CA206" s="220"/>
      <c r="CB206" s="430">
        <f ref="CB206:CB236" t="shared" si="113">+BL206-BN206</f>
        <v>0</v>
      </c>
      <c r="CC206" s="3"/>
    </row>
    <row r="207" ht="14.25" customHeight="1">
      <c r="A207" s="3"/>
      <c r="B207" s="215">
        <v>46205</v>
      </c>
      <c r="C207" s="118"/>
      <c r="D207" s="123"/>
      <c r="E207" s="120"/>
      <c r="F207" s="120"/>
      <c r="G207" s="431">
        <f t="shared" si="105"/>
        <v>0</v>
      </c>
      <c r="H207" s="525"/>
      <c r="I207" s="457"/>
      <c r="J207" s="454"/>
      <c r="K207" s="140"/>
      <c r="L207" s="140"/>
      <c r="M207" s="140"/>
      <c r="N207" s="140"/>
      <c r="O207" s="140"/>
      <c r="P207" s="456"/>
      <c r="Q207" s="456"/>
      <c r="R207" s="140"/>
      <c r="S207" s="140"/>
      <c r="T207" s="140"/>
      <c r="U207" s="140"/>
      <c r="V207" s="140"/>
      <c r="W207" s="140"/>
      <c r="X207" s="140"/>
      <c r="Y207" s="140"/>
      <c r="Z207" s="140"/>
      <c r="AA207" s="140"/>
      <c r="AB207" s="383">
        <f t="shared" si="106"/>
        <v>0</v>
      </c>
      <c r="AC207" s="140"/>
      <c r="AD207" s="140"/>
      <c r="AE207" s="140"/>
      <c r="AF207" s="140"/>
      <c r="AG207" s="140"/>
      <c r="AH207" s="140"/>
      <c r="AI207" s="140"/>
      <c r="AJ207" s="140"/>
      <c r="AK207" s="140"/>
      <c r="AL207" s="140"/>
      <c r="AM207" s="140"/>
      <c r="AN207" s="140"/>
      <c r="AO207" s="140"/>
      <c r="AP207" s="384">
        <f t="shared" si="107"/>
        <v>0</v>
      </c>
      <c r="AQ207" s="123"/>
      <c r="AR207" s="123"/>
      <c r="AS207" s="123"/>
      <c r="AT207" s="385">
        <f t="shared" si="108"/>
        <v>0</v>
      </c>
      <c r="AU207" s="140"/>
      <c r="AV207" s="140"/>
      <c r="AW207" s="140"/>
      <c r="AX207" s="140"/>
      <c r="AY207" s="392"/>
      <c r="AZ207" s="432">
        <f t="shared" si="109"/>
        <v>0</v>
      </c>
      <c r="BA207" s="433"/>
      <c r="BB207" s="225"/>
      <c r="BC207" s="126"/>
      <c r="BD207" s="127"/>
      <c r="BE207" s="127"/>
      <c r="BF207" s="126"/>
      <c r="BG207" s="127"/>
      <c r="BH207" s="127"/>
      <c r="BI207" s="127"/>
      <c r="BJ207" s="274"/>
      <c r="BK207" s="389">
        <f t="shared" si="110"/>
        <v>0</v>
      </c>
      <c r="BL207" s="113">
        <f t="shared" si="111"/>
        <v>0</v>
      </c>
      <c r="BM207" s="3"/>
      <c r="BN207" s="113">
        <f t="shared" si="112"/>
        <v>0</v>
      </c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225"/>
      <c r="BY207" s="225"/>
      <c r="BZ207" s="225"/>
      <c r="CA207" s="225"/>
      <c r="CB207" s="390">
        <f t="shared" si="113"/>
        <v>0</v>
      </c>
      <c r="CC207" s="3"/>
    </row>
    <row r="208" ht="14.25" customHeight="1">
      <c r="A208" s="3"/>
      <c r="B208" s="215">
        <v>46206</v>
      </c>
      <c r="C208" s="118"/>
      <c r="D208" s="123"/>
      <c r="E208" s="120"/>
      <c r="F208" s="120"/>
      <c r="G208" s="431">
        <f t="shared" si="105"/>
        <v>0</v>
      </c>
      <c r="H208" s="525"/>
      <c r="I208" s="457"/>
      <c r="J208" s="454"/>
      <c r="K208" s="140"/>
      <c r="L208" s="140"/>
      <c r="M208" s="140"/>
      <c r="N208" s="140"/>
      <c r="O208" s="140"/>
      <c r="P208" s="456"/>
      <c r="Q208" s="456"/>
      <c r="R208" s="140"/>
      <c r="S208" s="140"/>
      <c r="T208" s="140"/>
      <c r="U208" s="140"/>
      <c r="V208" s="140"/>
      <c r="W208" s="140"/>
      <c r="X208" s="140"/>
      <c r="Y208" s="140"/>
      <c r="Z208" s="140"/>
      <c r="AA208" s="140"/>
      <c r="AB208" s="383">
        <f t="shared" si="106"/>
        <v>0</v>
      </c>
      <c r="AC208" s="140"/>
      <c r="AD208" s="140"/>
      <c r="AE208" s="140"/>
      <c r="AF208" s="140"/>
      <c r="AG208" s="140"/>
      <c r="AH208" s="140"/>
      <c r="AI208" s="140"/>
      <c r="AJ208" s="140"/>
      <c r="AK208" s="140"/>
      <c r="AL208" s="140"/>
      <c r="AM208" s="140"/>
      <c r="AN208" s="140"/>
      <c r="AO208" s="140"/>
      <c r="AP208" s="384">
        <f t="shared" si="107"/>
        <v>0</v>
      </c>
      <c r="AQ208" s="123"/>
      <c r="AR208" s="123"/>
      <c r="AS208" s="123"/>
      <c r="AT208" s="385">
        <f t="shared" si="108"/>
        <v>0</v>
      </c>
      <c r="AU208" s="140"/>
      <c r="AV208" s="140"/>
      <c r="AW208" s="140"/>
      <c r="AX208" s="140"/>
      <c r="AY208" s="392"/>
      <c r="AZ208" s="432">
        <f t="shared" si="109"/>
        <v>0</v>
      </c>
      <c r="BA208" s="433"/>
      <c r="BB208" s="225"/>
      <c r="BC208" s="126"/>
      <c r="BD208" s="127"/>
      <c r="BE208" s="127"/>
      <c r="BF208" s="126"/>
      <c r="BG208" s="127"/>
      <c r="BH208" s="127"/>
      <c r="BI208" s="127"/>
      <c r="BJ208" s="274"/>
      <c r="BK208" s="389">
        <f t="shared" si="110"/>
        <v>0</v>
      </c>
      <c r="BL208" s="113">
        <f t="shared" si="111"/>
        <v>0</v>
      </c>
      <c r="BM208" s="3"/>
      <c r="BN208" s="113">
        <f t="shared" si="112"/>
        <v>0</v>
      </c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225"/>
      <c r="BY208" s="225"/>
      <c r="BZ208" s="225"/>
      <c r="CA208" s="225"/>
      <c r="CB208" s="390">
        <f t="shared" si="113"/>
        <v>0</v>
      </c>
      <c r="CC208" s="3"/>
    </row>
    <row r="209" ht="14.25" customHeight="1">
      <c r="A209" s="3"/>
      <c r="B209" s="215">
        <v>46207</v>
      </c>
      <c r="C209" s="118"/>
      <c r="D209" s="123"/>
      <c r="E209" s="120"/>
      <c r="F209" s="120"/>
      <c r="G209" s="431">
        <f t="shared" si="105"/>
        <v>0</v>
      </c>
      <c r="H209" s="525"/>
      <c r="I209" s="457"/>
      <c r="J209" s="454"/>
      <c r="K209" s="140"/>
      <c r="L209" s="140"/>
      <c r="M209" s="140"/>
      <c r="N209" s="140"/>
      <c r="O209" s="140"/>
      <c r="P209" s="456"/>
      <c r="Q209" s="456"/>
      <c r="R209" s="140"/>
      <c r="S209" s="140"/>
      <c r="T209" s="140"/>
      <c r="U209" s="140"/>
      <c r="V209" s="140"/>
      <c r="W209" s="140"/>
      <c r="X209" s="140"/>
      <c r="Y209" s="140"/>
      <c r="Z209" s="140"/>
      <c r="AA209" s="140"/>
      <c r="AB209" s="383">
        <f t="shared" si="106"/>
        <v>0</v>
      </c>
      <c r="AC209" s="140"/>
      <c r="AD209" s="140"/>
      <c r="AE209" s="140"/>
      <c r="AF209" s="140"/>
      <c r="AG209" s="140"/>
      <c r="AH209" s="140"/>
      <c r="AI209" s="140"/>
      <c r="AJ209" s="140"/>
      <c r="AK209" s="140"/>
      <c r="AL209" s="140"/>
      <c r="AM209" s="140"/>
      <c r="AN209" s="140"/>
      <c r="AO209" s="140"/>
      <c r="AP209" s="384">
        <f t="shared" si="107"/>
        <v>0</v>
      </c>
      <c r="AQ209" s="123"/>
      <c r="AR209" s="123"/>
      <c r="AS209" s="123"/>
      <c r="AT209" s="385">
        <f t="shared" si="108"/>
        <v>0</v>
      </c>
      <c r="AU209" s="140"/>
      <c r="AV209" s="140"/>
      <c r="AW209" s="140"/>
      <c r="AX209" s="140"/>
      <c r="AY209" s="392"/>
      <c r="AZ209" s="432">
        <f t="shared" si="109"/>
        <v>0</v>
      </c>
      <c r="BA209" s="433"/>
      <c r="BB209" s="225"/>
      <c r="BC209" s="126"/>
      <c r="BD209" s="127"/>
      <c r="BE209" s="127"/>
      <c r="BF209" s="126"/>
      <c r="BG209" s="127"/>
      <c r="BH209" s="127"/>
      <c r="BI209" s="127"/>
      <c r="BJ209" s="274"/>
      <c r="BK209" s="389">
        <f t="shared" si="110"/>
        <v>0</v>
      </c>
      <c r="BL209" s="113">
        <f t="shared" si="111"/>
        <v>0</v>
      </c>
      <c r="BM209" s="3"/>
      <c r="BN209" s="113">
        <f t="shared" si="112"/>
        <v>0</v>
      </c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225"/>
      <c r="BY209" s="225"/>
      <c r="BZ209" s="225"/>
      <c r="CA209" s="225"/>
      <c r="CB209" s="390">
        <f t="shared" si="113"/>
        <v>0</v>
      </c>
      <c r="CC209" s="3"/>
    </row>
    <row r="210" ht="14.25" customHeight="1">
      <c r="A210" s="3"/>
      <c r="B210" s="215">
        <v>46208</v>
      </c>
      <c r="C210" s="118"/>
      <c r="D210" s="123"/>
      <c r="E210" s="120"/>
      <c r="F210" s="120"/>
      <c r="G210" s="431">
        <f t="shared" si="105"/>
        <v>0</v>
      </c>
      <c r="H210" s="525"/>
      <c r="I210" s="457"/>
      <c r="J210" s="454"/>
      <c r="K210" s="140"/>
      <c r="L210" s="140"/>
      <c r="M210" s="140"/>
      <c r="N210" s="140"/>
      <c r="O210" s="140"/>
      <c r="P210" s="456"/>
      <c r="Q210" s="456"/>
      <c r="R210" s="140"/>
      <c r="S210" s="140"/>
      <c r="T210" s="140"/>
      <c r="U210" s="140"/>
      <c r="V210" s="140"/>
      <c r="W210" s="140"/>
      <c r="X210" s="140"/>
      <c r="Y210" s="140"/>
      <c r="Z210" s="140"/>
      <c r="AA210" s="140"/>
      <c r="AB210" s="383">
        <f t="shared" si="106"/>
        <v>0</v>
      </c>
      <c r="AC210" s="140"/>
      <c r="AD210" s="140"/>
      <c r="AE210" s="140"/>
      <c r="AF210" s="140"/>
      <c r="AG210" s="140"/>
      <c r="AH210" s="140"/>
      <c r="AI210" s="140"/>
      <c r="AJ210" s="140"/>
      <c r="AK210" s="140"/>
      <c r="AL210" s="140"/>
      <c r="AM210" s="140"/>
      <c r="AN210" s="140"/>
      <c r="AO210" s="140"/>
      <c r="AP210" s="384">
        <f t="shared" si="107"/>
        <v>0</v>
      </c>
      <c r="AQ210" s="123"/>
      <c r="AR210" s="123"/>
      <c r="AS210" s="123"/>
      <c r="AT210" s="385">
        <f t="shared" si="108"/>
        <v>0</v>
      </c>
      <c r="AU210" s="140"/>
      <c r="AV210" s="140"/>
      <c r="AW210" s="140"/>
      <c r="AX210" s="140"/>
      <c r="AY210" s="392"/>
      <c r="AZ210" s="432">
        <f t="shared" si="109"/>
        <v>0</v>
      </c>
      <c r="BA210" s="433"/>
      <c r="BB210" s="225"/>
      <c r="BC210" s="126"/>
      <c r="BD210" s="127"/>
      <c r="BE210" s="127"/>
      <c r="BF210" s="126"/>
      <c r="BG210" s="127"/>
      <c r="BH210" s="127"/>
      <c r="BI210" s="127"/>
      <c r="BJ210" s="274"/>
      <c r="BK210" s="389">
        <f t="shared" si="110"/>
        <v>0</v>
      </c>
      <c r="BL210" s="113">
        <f t="shared" si="111"/>
        <v>0</v>
      </c>
      <c r="BM210" s="3"/>
      <c r="BN210" s="113">
        <f t="shared" si="112"/>
        <v>0</v>
      </c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225"/>
      <c r="BY210" s="225"/>
      <c r="BZ210" s="225"/>
      <c r="CA210" s="225"/>
      <c r="CB210" s="390">
        <f t="shared" si="113"/>
        <v>0</v>
      </c>
      <c r="CC210" s="3"/>
    </row>
    <row r="211" ht="14.25" customHeight="1">
      <c r="A211" s="3"/>
      <c r="B211" s="215">
        <v>46209</v>
      </c>
      <c r="C211" s="118"/>
      <c r="D211" s="123"/>
      <c r="E211" s="120"/>
      <c r="F211" s="120"/>
      <c r="G211" s="431">
        <f t="shared" si="105"/>
        <v>0</v>
      </c>
      <c r="H211" s="525"/>
      <c r="I211" s="457"/>
      <c r="J211" s="454"/>
      <c r="K211" s="140"/>
      <c r="L211" s="140"/>
      <c r="M211" s="140"/>
      <c r="N211" s="140"/>
      <c r="O211" s="140"/>
      <c r="P211" s="456"/>
      <c r="Q211" s="456"/>
      <c r="R211" s="140"/>
      <c r="S211" s="140"/>
      <c r="T211" s="140"/>
      <c r="U211" s="140"/>
      <c r="V211" s="140"/>
      <c r="W211" s="140"/>
      <c r="X211" s="140"/>
      <c r="Y211" s="140"/>
      <c r="Z211" s="140"/>
      <c r="AA211" s="140"/>
      <c r="AB211" s="383">
        <f t="shared" si="106"/>
        <v>0</v>
      </c>
      <c r="AC211" s="140"/>
      <c r="AD211" s="140"/>
      <c r="AE211" s="140"/>
      <c r="AF211" s="140"/>
      <c r="AG211" s="140"/>
      <c r="AH211" s="140"/>
      <c r="AI211" s="140"/>
      <c r="AJ211" s="140"/>
      <c r="AK211" s="140"/>
      <c r="AL211" s="140"/>
      <c r="AM211" s="140"/>
      <c r="AN211" s="140"/>
      <c r="AO211" s="140"/>
      <c r="AP211" s="384">
        <f t="shared" si="107"/>
        <v>0</v>
      </c>
      <c r="AQ211" s="123"/>
      <c r="AR211" s="123"/>
      <c r="AS211" s="123"/>
      <c r="AT211" s="385">
        <f t="shared" si="108"/>
        <v>0</v>
      </c>
      <c r="AU211" s="140"/>
      <c r="AV211" s="140"/>
      <c r="AW211" s="140"/>
      <c r="AX211" s="140"/>
      <c r="AY211" s="392"/>
      <c r="AZ211" s="432">
        <f t="shared" si="109"/>
        <v>0</v>
      </c>
      <c r="BA211" s="433"/>
      <c r="BB211" s="225"/>
      <c r="BC211" s="126"/>
      <c r="BD211" s="127"/>
      <c r="BE211" s="127"/>
      <c r="BF211" s="126"/>
      <c r="BG211" s="127"/>
      <c r="BH211" s="127"/>
      <c r="BI211" s="127"/>
      <c r="BJ211" s="274"/>
      <c r="BK211" s="389">
        <f t="shared" si="110"/>
        <v>0</v>
      </c>
      <c r="BL211" s="113">
        <f t="shared" si="111"/>
        <v>0</v>
      </c>
      <c r="BM211" s="3"/>
      <c r="BN211" s="113">
        <f t="shared" si="112"/>
        <v>0</v>
      </c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225"/>
      <c r="BY211" s="225"/>
      <c r="BZ211" s="225"/>
      <c r="CA211" s="225"/>
      <c r="CB211" s="390">
        <f t="shared" si="113"/>
        <v>0</v>
      </c>
      <c r="CC211" s="3"/>
    </row>
    <row r="212" ht="14.25" customHeight="1">
      <c r="A212" s="132"/>
      <c r="B212" s="215">
        <v>46210</v>
      </c>
      <c r="C212" s="133"/>
      <c r="D212" s="136"/>
      <c r="E212" s="135"/>
      <c r="F212" s="135"/>
      <c r="G212" s="431">
        <f t="shared" si="105"/>
        <v>0</v>
      </c>
      <c r="H212" s="525"/>
      <c r="I212" s="457"/>
      <c r="J212" s="454"/>
      <c r="K212" s="140"/>
      <c r="L212" s="140"/>
      <c r="M212" s="140"/>
      <c r="N212" s="140"/>
      <c r="O212" s="140"/>
      <c r="P212" s="456"/>
      <c r="Q212" s="456"/>
      <c r="R212" s="140"/>
      <c r="S212" s="140"/>
      <c r="T212" s="140"/>
      <c r="U212" s="140"/>
      <c r="V212" s="140"/>
      <c r="W212" s="140"/>
      <c r="X212" s="140"/>
      <c r="Y212" s="140"/>
      <c r="Z212" s="140"/>
      <c r="AA212" s="140"/>
      <c r="AB212" s="383">
        <f t="shared" si="106"/>
        <v>0</v>
      </c>
      <c r="AC212" s="140"/>
      <c r="AD212" s="140"/>
      <c r="AE212" s="140"/>
      <c r="AF212" s="140"/>
      <c r="AG212" s="140"/>
      <c r="AH212" s="140"/>
      <c r="AI212" s="140"/>
      <c r="AJ212" s="140"/>
      <c r="AK212" s="140"/>
      <c r="AL212" s="140"/>
      <c r="AM212" s="140"/>
      <c r="AN212" s="140"/>
      <c r="AO212" s="140"/>
      <c r="AP212" s="384">
        <f t="shared" si="107"/>
        <v>0</v>
      </c>
      <c r="AQ212" s="136"/>
      <c r="AR212" s="136"/>
      <c r="AS212" s="136"/>
      <c r="AT212" s="385">
        <f t="shared" si="108"/>
        <v>0</v>
      </c>
      <c r="AU212" s="140"/>
      <c r="AV212" s="140"/>
      <c r="AW212" s="140"/>
      <c r="AX212" s="140"/>
      <c r="AY212" s="392"/>
      <c r="AZ212" s="432">
        <f t="shared" si="109"/>
        <v>0</v>
      </c>
      <c r="BA212" s="433"/>
      <c r="BB212" s="225"/>
      <c r="BC212" s="126"/>
      <c r="BD212" s="127"/>
      <c r="BE212" s="127"/>
      <c r="BF212" s="126"/>
      <c r="BG212" s="127"/>
      <c r="BH212" s="127"/>
      <c r="BI212" s="127"/>
      <c r="BJ212" s="274"/>
      <c r="BK212" s="389">
        <f t="shared" si="110"/>
        <v>0</v>
      </c>
      <c r="BL212" s="140">
        <f t="shared" si="111"/>
        <v>0</v>
      </c>
      <c r="BM212" s="132"/>
      <c r="BN212" s="140">
        <f t="shared" si="112"/>
        <v>0</v>
      </c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26"/>
      <c r="BY212" s="126"/>
      <c r="BZ212" s="126"/>
      <c r="CA212" s="126"/>
      <c r="CB212" s="390">
        <f t="shared" si="113"/>
        <v>0</v>
      </c>
      <c r="CC212" s="132"/>
    </row>
    <row r="213" ht="14.25" customHeight="1">
      <c r="A213" s="132"/>
      <c r="B213" s="215">
        <v>46211</v>
      </c>
      <c r="C213" s="133"/>
      <c r="D213" s="136"/>
      <c r="E213" s="135"/>
      <c r="F213" s="135"/>
      <c r="G213" s="431">
        <f t="shared" si="105"/>
        <v>0</v>
      </c>
      <c r="H213" s="525"/>
      <c r="I213" s="457"/>
      <c r="J213" s="454"/>
      <c r="K213" s="140"/>
      <c r="L213" s="140"/>
      <c r="M213" s="140"/>
      <c r="N213" s="140"/>
      <c r="O213" s="140"/>
      <c r="P213" s="456"/>
      <c r="Q213" s="456"/>
      <c r="R213" s="140"/>
      <c r="S213" s="140"/>
      <c r="T213" s="140"/>
      <c r="U213" s="140"/>
      <c r="V213" s="140"/>
      <c r="W213" s="140"/>
      <c r="X213" s="140"/>
      <c r="Y213" s="140"/>
      <c r="Z213" s="140"/>
      <c r="AA213" s="140"/>
      <c r="AB213" s="383">
        <f t="shared" si="106"/>
        <v>0</v>
      </c>
      <c r="AC213" s="140"/>
      <c r="AD213" s="140"/>
      <c r="AE213" s="140"/>
      <c r="AF213" s="140"/>
      <c r="AG213" s="140"/>
      <c r="AH213" s="140"/>
      <c r="AI213" s="140"/>
      <c r="AJ213" s="140"/>
      <c r="AK213" s="140"/>
      <c r="AL213" s="140"/>
      <c r="AM213" s="140"/>
      <c r="AN213" s="140"/>
      <c r="AO213" s="140"/>
      <c r="AP213" s="384">
        <f t="shared" si="107"/>
        <v>0</v>
      </c>
      <c r="AQ213" s="136"/>
      <c r="AR213" s="136"/>
      <c r="AS213" s="136"/>
      <c r="AT213" s="385">
        <f t="shared" si="108"/>
        <v>0</v>
      </c>
      <c r="AU213" s="140"/>
      <c r="AV213" s="140"/>
      <c r="AW213" s="140"/>
      <c r="AX213" s="140"/>
      <c r="AY213" s="392"/>
      <c r="AZ213" s="432">
        <f t="shared" si="109"/>
        <v>0</v>
      </c>
      <c r="BA213" s="433"/>
      <c r="BB213" s="225"/>
      <c r="BC213" s="126"/>
      <c r="BD213" s="127"/>
      <c r="BE213" s="127"/>
      <c r="BF213" s="126"/>
      <c r="BG213" s="127"/>
      <c r="BH213" s="127"/>
      <c r="BI213" s="127"/>
      <c r="BJ213" s="274"/>
      <c r="BK213" s="389">
        <f t="shared" si="110"/>
        <v>0</v>
      </c>
      <c r="BL213" s="140">
        <f t="shared" si="111"/>
        <v>0</v>
      </c>
      <c r="BM213" s="132"/>
      <c r="BN213" s="140">
        <f t="shared" si="112"/>
        <v>0</v>
      </c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26"/>
      <c r="BY213" s="126"/>
      <c r="BZ213" s="126"/>
      <c r="CA213" s="126"/>
      <c r="CB213" s="390">
        <f t="shared" si="113"/>
        <v>0</v>
      </c>
      <c r="CC213" s="132"/>
    </row>
    <row r="214" ht="14.25" customHeight="1">
      <c r="A214" s="132"/>
      <c r="B214" s="215">
        <v>46212</v>
      </c>
      <c r="C214" s="133"/>
      <c r="D214" s="136"/>
      <c r="E214" s="135"/>
      <c r="F214" s="135"/>
      <c r="G214" s="431">
        <f t="shared" si="105"/>
        <v>0</v>
      </c>
      <c r="H214" s="525"/>
      <c r="I214" s="457"/>
      <c r="J214" s="454"/>
      <c r="K214" s="140"/>
      <c r="L214" s="140"/>
      <c r="M214" s="140"/>
      <c r="N214" s="140"/>
      <c r="O214" s="140"/>
      <c r="P214" s="456"/>
      <c r="Q214" s="456"/>
      <c r="R214" s="140"/>
      <c r="S214" s="140"/>
      <c r="T214" s="140"/>
      <c r="U214" s="140"/>
      <c r="V214" s="140"/>
      <c r="W214" s="140"/>
      <c r="X214" s="140"/>
      <c r="Y214" s="140"/>
      <c r="Z214" s="140"/>
      <c r="AA214" s="140"/>
      <c r="AB214" s="383">
        <f t="shared" si="106"/>
        <v>0</v>
      </c>
      <c r="AC214" s="140"/>
      <c r="AD214" s="140"/>
      <c r="AE214" s="140"/>
      <c r="AF214" s="140"/>
      <c r="AG214" s="140"/>
      <c r="AH214" s="140"/>
      <c r="AI214" s="140"/>
      <c r="AJ214" s="140"/>
      <c r="AK214" s="140"/>
      <c r="AL214" s="140"/>
      <c r="AM214" s="140"/>
      <c r="AN214" s="140"/>
      <c r="AO214" s="140"/>
      <c r="AP214" s="384">
        <f t="shared" si="107"/>
        <v>0</v>
      </c>
      <c r="AQ214" s="136"/>
      <c r="AR214" s="136"/>
      <c r="AS214" s="136"/>
      <c r="AT214" s="385">
        <f t="shared" si="108"/>
        <v>0</v>
      </c>
      <c r="AU214" s="140"/>
      <c r="AV214" s="140"/>
      <c r="AW214" s="140"/>
      <c r="AX214" s="140"/>
      <c r="AY214" s="392"/>
      <c r="AZ214" s="432">
        <f t="shared" si="109"/>
        <v>0</v>
      </c>
      <c r="BA214" s="433"/>
      <c r="BB214" s="225"/>
      <c r="BC214" s="126"/>
      <c r="BD214" s="127"/>
      <c r="BE214" s="127"/>
      <c r="BF214" s="126"/>
      <c r="BG214" s="127"/>
      <c r="BH214" s="127"/>
      <c r="BI214" s="127"/>
      <c r="BJ214" s="274"/>
      <c r="BK214" s="389">
        <f t="shared" si="110"/>
        <v>0</v>
      </c>
      <c r="BL214" s="140">
        <f t="shared" si="111"/>
        <v>0</v>
      </c>
      <c r="BM214" s="132"/>
      <c r="BN214" s="140">
        <f t="shared" si="112"/>
        <v>0</v>
      </c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26"/>
      <c r="BY214" s="126"/>
      <c r="BZ214" s="126"/>
      <c r="CA214" s="126"/>
      <c r="CB214" s="390">
        <f t="shared" si="113"/>
        <v>0</v>
      </c>
      <c r="CC214" s="132"/>
    </row>
    <row r="215" ht="14.25" customHeight="1">
      <c r="A215" s="132"/>
      <c r="B215" s="215">
        <v>46213</v>
      </c>
      <c r="C215" s="133"/>
      <c r="D215" s="136"/>
      <c r="E215" s="135"/>
      <c r="F215" s="135"/>
      <c r="G215" s="431">
        <f t="shared" si="105"/>
        <v>0</v>
      </c>
      <c r="H215" s="525"/>
      <c r="I215" s="457"/>
      <c r="J215" s="454"/>
      <c r="K215" s="140"/>
      <c r="L215" s="140"/>
      <c r="M215" s="140"/>
      <c r="N215" s="140"/>
      <c r="O215" s="140"/>
      <c r="P215" s="456"/>
      <c r="Q215" s="456"/>
      <c r="R215" s="140"/>
      <c r="S215" s="140"/>
      <c r="T215" s="140"/>
      <c r="U215" s="140"/>
      <c r="V215" s="140"/>
      <c r="W215" s="140"/>
      <c r="X215" s="140"/>
      <c r="Y215" s="140"/>
      <c r="Z215" s="140"/>
      <c r="AA215" s="140"/>
      <c r="AB215" s="383">
        <f t="shared" si="106"/>
        <v>0</v>
      </c>
      <c r="AC215" s="140"/>
      <c r="AD215" s="140"/>
      <c r="AE215" s="140"/>
      <c r="AF215" s="140"/>
      <c r="AG215" s="140"/>
      <c r="AH215" s="140"/>
      <c r="AI215" s="140"/>
      <c r="AJ215" s="140"/>
      <c r="AK215" s="140"/>
      <c r="AL215" s="140"/>
      <c r="AM215" s="140"/>
      <c r="AN215" s="140"/>
      <c r="AO215" s="140"/>
      <c r="AP215" s="384">
        <f t="shared" si="107"/>
        <v>0</v>
      </c>
      <c r="AQ215" s="136"/>
      <c r="AR215" s="136"/>
      <c r="AS215" s="136"/>
      <c r="AT215" s="385">
        <f t="shared" si="108"/>
        <v>0</v>
      </c>
      <c r="AU215" s="140"/>
      <c r="AV215" s="140"/>
      <c r="AW215" s="140"/>
      <c r="AX215" s="140"/>
      <c r="AY215" s="392"/>
      <c r="AZ215" s="432">
        <f t="shared" si="109"/>
        <v>0</v>
      </c>
      <c r="BA215" s="433"/>
      <c r="BB215" s="225"/>
      <c r="BC215" s="126"/>
      <c r="BD215" s="127"/>
      <c r="BE215" s="127"/>
      <c r="BF215" s="126"/>
      <c r="BG215" s="127"/>
      <c r="BH215" s="127"/>
      <c r="BI215" s="127"/>
      <c r="BJ215" s="274"/>
      <c r="BK215" s="389">
        <f t="shared" si="110"/>
        <v>0</v>
      </c>
      <c r="BL215" s="140">
        <f t="shared" si="111"/>
        <v>0</v>
      </c>
      <c r="BM215" s="132"/>
      <c r="BN215" s="140">
        <f t="shared" si="112"/>
        <v>0</v>
      </c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26"/>
      <c r="BY215" s="126"/>
      <c r="BZ215" s="126"/>
      <c r="CA215" s="126"/>
      <c r="CB215" s="390">
        <f t="shared" si="113"/>
        <v>0</v>
      </c>
      <c r="CC215" s="132"/>
    </row>
    <row r="216" ht="14.25" customHeight="1">
      <c r="A216" s="132"/>
      <c r="B216" s="215">
        <v>46214</v>
      </c>
      <c r="C216" s="133"/>
      <c r="D216" s="136"/>
      <c r="E216" s="135"/>
      <c r="F216" s="135"/>
      <c r="G216" s="431">
        <f t="shared" si="105"/>
        <v>0</v>
      </c>
      <c r="H216" s="525"/>
      <c r="I216" s="457"/>
      <c r="J216" s="454"/>
      <c r="K216" s="140"/>
      <c r="L216" s="140"/>
      <c r="M216" s="140"/>
      <c r="N216" s="140"/>
      <c r="O216" s="140"/>
      <c r="P216" s="456"/>
      <c r="Q216" s="456"/>
      <c r="R216" s="140"/>
      <c r="S216" s="140"/>
      <c r="T216" s="140"/>
      <c r="U216" s="140"/>
      <c r="V216" s="140"/>
      <c r="W216" s="140"/>
      <c r="X216" s="140"/>
      <c r="Y216" s="140"/>
      <c r="Z216" s="140"/>
      <c r="AA216" s="140"/>
      <c r="AB216" s="383">
        <f t="shared" si="106"/>
        <v>0</v>
      </c>
      <c r="AC216" s="140"/>
      <c r="AD216" s="140"/>
      <c r="AE216" s="140"/>
      <c r="AF216" s="140"/>
      <c r="AG216" s="140"/>
      <c r="AH216" s="140"/>
      <c r="AI216" s="140"/>
      <c r="AJ216" s="140"/>
      <c r="AK216" s="140"/>
      <c r="AL216" s="140"/>
      <c r="AM216" s="140"/>
      <c r="AN216" s="140"/>
      <c r="AO216" s="140"/>
      <c r="AP216" s="384">
        <f t="shared" si="107"/>
        <v>0</v>
      </c>
      <c r="AQ216" s="136"/>
      <c r="AR216" s="136"/>
      <c r="AS216" s="136"/>
      <c r="AT216" s="385">
        <f t="shared" si="108"/>
        <v>0</v>
      </c>
      <c r="AU216" s="140"/>
      <c r="AV216" s="140"/>
      <c r="AW216" s="140"/>
      <c r="AX216" s="140"/>
      <c r="AY216" s="392"/>
      <c r="AZ216" s="432">
        <f t="shared" si="109"/>
        <v>0</v>
      </c>
      <c r="BA216" s="433"/>
      <c r="BB216" s="225"/>
      <c r="BC216" s="126"/>
      <c r="BD216" s="127"/>
      <c r="BE216" s="127"/>
      <c r="BF216" s="126"/>
      <c r="BG216" s="127"/>
      <c r="BH216" s="127"/>
      <c r="BI216" s="127"/>
      <c r="BJ216" s="274"/>
      <c r="BK216" s="389">
        <f t="shared" si="110"/>
        <v>0</v>
      </c>
      <c r="BL216" s="140">
        <f t="shared" si="111"/>
        <v>0</v>
      </c>
      <c r="BM216" s="132"/>
      <c r="BN216" s="140">
        <f t="shared" si="112"/>
        <v>0</v>
      </c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26"/>
      <c r="BY216" s="126"/>
      <c r="BZ216" s="126"/>
      <c r="CA216" s="126"/>
      <c r="CB216" s="390">
        <f t="shared" si="113"/>
        <v>0</v>
      </c>
      <c r="CC216" s="132"/>
    </row>
    <row r="217" ht="14.25" customHeight="1">
      <c r="A217" s="132"/>
      <c r="B217" s="215">
        <v>46215</v>
      </c>
      <c r="C217" s="133"/>
      <c r="D217" s="136"/>
      <c r="E217" s="135"/>
      <c r="F217" s="135"/>
      <c r="G217" s="431">
        <f t="shared" si="105"/>
        <v>0</v>
      </c>
      <c r="H217" s="525"/>
      <c r="I217" s="457"/>
      <c r="J217" s="454"/>
      <c r="K217" s="140"/>
      <c r="L217" s="140"/>
      <c r="M217" s="140"/>
      <c r="N217" s="140"/>
      <c r="O217" s="140"/>
      <c r="P217" s="456"/>
      <c r="Q217" s="456"/>
      <c r="R217" s="140"/>
      <c r="S217" s="140"/>
      <c r="T217" s="140"/>
      <c r="U217" s="140"/>
      <c r="V217" s="140"/>
      <c r="W217" s="140"/>
      <c r="X217" s="140"/>
      <c r="Y217" s="140"/>
      <c r="Z217" s="140"/>
      <c r="AA217" s="140"/>
      <c r="AB217" s="383">
        <f t="shared" si="106"/>
        <v>0</v>
      </c>
      <c r="AC217" s="140"/>
      <c r="AD217" s="140"/>
      <c r="AE217" s="140"/>
      <c r="AF217" s="140"/>
      <c r="AG217" s="140"/>
      <c r="AH217" s="140"/>
      <c r="AI217" s="140"/>
      <c r="AJ217" s="140"/>
      <c r="AK217" s="140"/>
      <c r="AL217" s="140"/>
      <c r="AM217" s="140"/>
      <c r="AN217" s="140"/>
      <c r="AO217" s="140"/>
      <c r="AP217" s="384">
        <f t="shared" si="107"/>
        <v>0</v>
      </c>
      <c r="AQ217" s="136"/>
      <c r="AR217" s="136"/>
      <c r="AS217" s="136"/>
      <c r="AT217" s="385">
        <f t="shared" si="108"/>
        <v>0</v>
      </c>
      <c r="AU217" s="140"/>
      <c r="AV217" s="140"/>
      <c r="AW217" s="140"/>
      <c r="AX217" s="140"/>
      <c r="AY217" s="392"/>
      <c r="AZ217" s="432">
        <f t="shared" si="109"/>
        <v>0</v>
      </c>
      <c r="BA217" s="433"/>
      <c r="BB217" s="225"/>
      <c r="BC217" s="126"/>
      <c r="BD217" s="127"/>
      <c r="BE217" s="127"/>
      <c r="BF217" s="126"/>
      <c r="BG217" s="127"/>
      <c r="BH217" s="127"/>
      <c r="BI217" s="127"/>
      <c r="BJ217" s="274"/>
      <c r="BK217" s="389">
        <f t="shared" si="110"/>
        <v>0</v>
      </c>
      <c r="BL217" s="140">
        <f t="shared" si="111"/>
        <v>0</v>
      </c>
      <c r="BM217" s="132"/>
      <c r="BN217" s="140">
        <f t="shared" si="112"/>
        <v>0</v>
      </c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26"/>
      <c r="BY217" s="126"/>
      <c r="BZ217" s="126"/>
      <c r="CA217" s="126"/>
      <c r="CB217" s="390">
        <f t="shared" si="113"/>
        <v>0</v>
      </c>
      <c r="CC217" s="132"/>
    </row>
    <row r="218" ht="14.25" customHeight="1">
      <c r="A218" s="132"/>
      <c r="B218" s="215">
        <v>46216</v>
      </c>
      <c r="C218" s="133"/>
      <c r="D218" s="136"/>
      <c r="E218" s="135"/>
      <c r="F218" s="135"/>
      <c r="G218" s="431">
        <f t="shared" si="105"/>
        <v>0</v>
      </c>
      <c r="H218" s="525"/>
      <c r="I218" s="457"/>
      <c r="J218" s="454"/>
      <c r="K218" s="140"/>
      <c r="L218" s="140"/>
      <c r="M218" s="140"/>
      <c r="N218" s="140"/>
      <c r="O218" s="140"/>
      <c r="P218" s="456"/>
      <c r="Q218" s="456"/>
      <c r="R218" s="140"/>
      <c r="S218" s="140"/>
      <c r="T218" s="140"/>
      <c r="U218" s="140"/>
      <c r="V218" s="140"/>
      <c r="W218" s="140"/>
      <c r="X218" s="140"/>
      <c r="Y218" s="140"/>
      <c r="Z218" s="140"/>
      <c r="AA218" s="140"/>
      <c r="AB218" s="383">
        <f t="shared" si="106"/>
        <v>0</v>
      </c>
      <c r="AC218" s="140"/>
      <c r="AD218" s="140"/>
      <c r="AE218" s="140"/>
      <c r="AF218" s="140"/>
      <c r="AG218" s="140"/>
      <c r="AH218" s="140"/>
      <c r="AI218" s="140"/>
      <c r="AJ218" s="140"/>
      <c r="AK218" s="140"/>
      <c r="AL218" s="140"/>
      <c r="AM218" s="140"/>
      <c r="AN218" s="140"/>
      <c r="AO218" s="140"/>
      <c r="AP218" s="384">
        <f t="shared" si="107"/>
        <v>0</v>
      </c>
      <c r="AQ218" s="136"/>
      <c r="AR218" s="136"/>
      <c r="AS218" s="132"/>
      <c r="AT218" s="385">
        <f t="shared" si="108"/>
        <v>0</v>
      </c>
      <c r="AU218" s="140"/>
      <c r="AV218" s="140"/>
      <c r="AW218" s="140"/>
      <c r="AX218" s="140"/>
      <c r="AY218" s="392"/>
      <c r="AZ218" s="432">
        <f t="shared" si="109"/>
        <v>0</v>
      </c>
      <c r="BA218" s="433"/>
      <c r="BB218" s="225"/>
      <c r="BC218" s="126"/>
      <c r="BD218" s="127"/>
      <c r="BE218" s="127"/>
      <c r="BF218" s="126"/>
      <c r="BG218" s="127"/>
      <c r="BH218" s="127"/>
      <c r="BI218" s="127"/>
      <c r="BJ218" s="274"/>
      <c r="BK218" s="389">
        <f t="shared" si="110"/>
        <v>0</v>
      </c>
      <c r="BL218" s="140">
        <f t="shared" si="111"/>
        <v>0</v>
      </c>
      <c r="BM218" s="132"/>
      <c r="BN218" s="140">
        <f t="shared" si="112"/>
        <v>0</v>
      </c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26"/>
      <c r="BY218" s="126"/>
      <c r="BZ218" s="126"/>
      <c r="CA218" s="126"/>
      <c r="CB218" s="390">
        <f t="shared" si="113"/>
        <v>0</v>
      </c>
      <c r="CC218" s="132"/>
    </row>
    <row r="219" ht="14.25" customHeight="1">
      <c r="A219" s="132"/>
      <c r="B219" s="215">
        <v>46217</v>
      </c>
      <c r="C219" s="133"/>
      <c r="D219" s="136"/>
      <c r="E219" s="135"/>
      <c r="F219" s="135"/>
      <c r="G219" s="431">
        <f t="shared" si="105"/>
        <v>0</v>
      </c>
      <c r="H219" s="525"/>
      <c r="I219" s="457"/>
      <c r="J219" s="454"/>
      <c r="K219" s="140"/>
      <c r="L219" s="140"/>
      <c r="M219" s="140"/>
      <c r="N219" s="140"/>
      <c r="O219" s="140"/>
      <c r="P219" s="456"/>
      <c r="Q219" s="456"/>
      <c r="R219" s="140"/>
      <c r="S219" s="140"/>
      <c r="T219" s="140"/>
      <c r="U219" s="140"/>
      <c r="V219" s="140"/>
      <c r="W219" s="140"/>
      <c r="X219" s="140"/>
      <c r="Y219" s="140"/>
      <c r="Z219" s="140"/>
      <c r="AA219" s="140"/>
      <c r="AB219" s="383">
        <f t="shared" si="106"/>
        <v>0</v>
      </c>
      <c r="AC219" s="140"/>
      <c r="AD219" s="140"/>
      <c r="AE219" s="140"/>
      <c r="AF219" s="140"/>
      <c r="AG219" s="140"/>
      <c r="AH219" s="140"/>
      <c r="AI219" s="140"/>
      <c r="AJ219" s="140"/>
      <c r="AK219" s="140"/>
      <c r="AL219" s="140"/>
      <c r="AM219" s="140"/>
      <c r="AN219" s="140"/>
      <c r="AO219" s="140"/>
      <c r="AP219" s="384">
        <f t="shared" si="107"/>
        <v>0</v>
      </c>
      <c r="AQ219" s="136"/>
      <c r="AR219" s="136"/>
      <c r="AS219" s="136"/>
      <c r="AT219" s="385">
        <f t="shared" si="108"/>
        <v>0</v>
      </c>
      <c r="AU219" s="140"/>
      <c r="AV219" s="140"/>
      <c r="AW219" s="140"/>
      <c r="AX219" s="140"/>
      <c r="AY219" s="392"/>
      <c r="AZ219" s="432">
        <f t="shared" si="109"/>
        <v>0</v>
      </c>
      <c r="BA219" s="433"/>
      <c r="BB219" s="225"/>
      <c r="BC219" s="126"/>
      <c r="BD219" s="127"/>
      <c r="BE219" s="127"/>
      <c r="BF219" s="126"/>
      <c r="BG219" s="127"/>
      <c r="BH219" s="127"/>
      <c r="BI219" s="127"/>
      <c r="BJ219" s="274"/>
      <c r="BK219" s="389">
        <f t="shared" si="110"/>
        <v>0</v>
      </c>
      <c r="BL219" s="140">
        <f t="shared" si="111"/>
        <v>0</v>
      </c>
      <c r="BM219" s="132"/>
      <c r="BN219" s="140">
        <f t="shared" si="112"/>
        <v>0</v>
      </c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26"/>
      <c r="BY219" s="126"/>
      <c r="BZ219" s="126"/>
      <c r="CA219" s="126"/>
      <c r="CB219" s="390">
        <f t="shared" si="113"/>
        <v>0</v>
      </c>
      <c r="CC219" s="132"/>
    </row>
    <row r="220" ht="14.25" customHeight="1">
      <c r="A220" s="132"/>
      <c r="B220" s="215">
        <v>46218</v>
      </c>
      <c r="C220" s="133"/>
      <c r="D220" s="136"/>
      <c r="E220" s="135"/>
      <c r="F220" s="135"/>
      <c r="G220" s="431">
        <f t="shared" si="105"/>
        <v>0</v>
      </c>
      <c r="H220" s="525"/>
      <c r="I220" s="457"/>
      <c r="J220" s="454"/>
      <c r="K220" s="140"/>
      <c r="L220" s="140"/>
      <c r="M220" s="140"/>
      <c r="N220" s="140"/>
      <c r="O220" s="140"/>
      <c r="P220" s="456"/>
      <c r="Q220" s="456"/>
      <c r="R220" s="140"/>
      <c r="S220" s="140"/>
      <c r="T220" s="140"/>
      <c r="U220" s="140"/>
      <c r="V220" s="140"/>
      <c r="W220" s="140"/>
      <c r="X220" s="140"/>
      <c r="Y220" s="140"/>
      <c r="Z220" s="140"/>
      <c r="AA220" s="140"/>
      <c r="AB220" s="383">
        <f t="shared" si="106"/>
        <v>0</v>
      </c>
      <c r="AC220" s="140"/>
      <c r="AD220" s="140"/>
      <c r="AE220" s="140"/>
      <c r="AF220" s="140"/>
      <c r="AG220" s="140"/>
      <c r="AH220" s="140"/>
      <c r="AI220" s="140"/>
      <c r="AJ220" s="140"/>
      <c r="AK220" s="140"/>
      <c r="AL220" s="140"/>
      <c r="AM220" s="140"/>
      <c r="AN220" s="140"/>
      <c r="AO220" s="140"/>
      <c r="AP220" s="384">
        <f t="shared" si="107"/>
        <v>0</v>
      </c>
      <c r="AQ220" s="136"/>
      <c r="AR220" s="136"/>
      <c r="AS220" s="136"/>
      <c r="AT220" s="385">
        <f t="shared" si="108"/>
        <v>0</v>
      </c>
      <c r="AU220" s="140"/>
      <c r="AV220" s="140"/>
      <c r="AW220" s="140"/>
      <c r="AX220" s="140"/>
      <c r="AY220" s="392"/>
      <c r="AZ220" s="432">
        <f t="shared" si="109"/>
        <v>0</v>
      </c>
      <c r="BA220" s="433"/>
      <c r="BB220" s="225"/>
      <c r="BC220" s="126"/>
      <c r="BD220" s="127"/>
      <c r="BE220" s="127"/>
      <c r="BF220" s="126"/>
      <c r="BG220" s="127"/>
      <c r="BH220" s="127"/>
      <c r="BI220" s="127"/>
      <c r="BJ220" s="274"/>
      <c r="BK220" s="389">
        <f t="shared" si="110"/>
        <v>0</v>
      </c>
      <c r="BL220" s="140">
        <f t="shared" si="111"/>
        <v>0</v>
      </c>
      <c r="BM220" s="132"/>
      <c r="BN220" s="140">
        <f t="shared" si="112"/>
        <v>0</v>
      </c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26"/>
      <c r="BY220" s="126"/>
      <c r="BZ220" s="126"/>
      <c r="CA220" s="126"/>
      <c r="CB220" s="390">
        <f t="shared" si="113"/>
        <v>0</v>
      </c>
      <c r="CC220" s="132"/>
    </row>
    <row r="221" ht="14.25" customHeight="1">
      <c r="A221" s="132"/>
      <c r="B221" s="215">
        <v>46219</v>
      </c>
      <c r="C221" s="133"/>
      <c r="D221" s="136"/>
      <c r="E221" s="135"/>
      <c r="F221" s="135"/>
      <c r="G221" s="431">
        <f t="shared" si="105"/>
        <v>0</v>
      </c>
      <c r="H221" s="525"/>
      <c r="I221" s="457"/>
      <c r="J221" s="454"/>
      <c r="K221" s="140"/>
      <c r="L221" s="140"/>
      <c r="M221" s="140"/>
      <c r="N221" s="140"/>
      <c r="O221" s="140"/>
      <c r="P221" s="456"/>
      <c r="Q221" s="456"/>
      <c r="R221" s="140"/>
      <c r="S221" s="140"/>
      <c r="T221" s="140"/>
      <c r="U221" s="140"/>
      <c r="V221" s="140"/>
      <c r="W221" s="140"/>
      <c r="X221" s="140"/>
      <c r="Y221" s="140"/>
      <c r="Z221" s="140"/>
      <c r="AA221" s="140"/>
      <c r="AB221" s="383">
        <f t="shared" si="106"/>
        <v>0</v>
      </c>
      <c r="AC221" s="140"/>
      <c r="AD221" s="140"/>
      <c r="AE221" s="140"/>
      <c r="AF221" s="140"/>
      <c r="AG221" s="140"/>
      <c r="AH221" s="140"/>
      <c r="AI221" s="140"/>
      <c r="AJ221" s="140"/>
      <c r="AK221" s="140"/>
      <c r="AL221" s="140"/>
      <c r="AM221" s="140"/>
      <c r="AN221" s="140"/>
      <c r="AO221" s="140"/>
      <c r="AP221" s="384">
        <f t="shared" si="107"/>
        <v>0</v>
      </c>
      <c r="AQ221" s="136"/>
      <c r="AR221" s="136"/>
      <c r="AS221" s="136"/>
      <c r="AT221" s="385">
        <f t="shared" si="108"/>
        <v>0</v>
      </c>
      <c r="AU221" s="140"/>
      <c r="AV221" s="140"/>
      <c r="AW221" s="140"/>
      <c r="AX221" s="140"/>
      <c r="AY221" s="392"/>
      <c r="AZ221" s="432">
        <f t="shared" si="109"/>
        <v>0</v>
      </c>
      <c r="BA221" s="433"/>
      <c r="BB221" s="225"/>
      <c r="BC221" s="126"/>
      <c r="BD221" s="127"/>
      <c r="BE221" s="127"/>
      <c r="BF221" s="126"/>
      <c r="BG221" s="127"/>
      <c r="BH221" s="127"/>
      <c r="BI221" s="127"/>
      <c r="BJ221" s="274"/>
      <c r="BK221" s="389">
        <f t="shared" si="110"/>
        <v>0</v>
      </c>
      <c r="BL221" s="140">
        <f t="shared" si="111"/>
        <v>0</v>
      </c>
      <c r="BM221" s="132"/>
      <c r="BN221" s="140">
        <f t="shared" si="112"/>
        <v>0</v>
      </c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26"/>
      <c r="BY221" s="126"/>
      <c r="BZ221" s="126"/>
      <c r="CA221" s="126"/>
      <c r="CB221" s="390">
        <f t="shared" si="113"/>
        <v>0</v>
      </c>
      <c r="CC221" s="132"/>
    </row>
    <row r="222" ht="14.25" customHeight="1">
      <c r="A222" s="132"/>
      <c r="B222" s="215">
        <v>46220</v>
      </c>
      <c r="C222" s="133"/>
      <c r="D222" s="136"/>
      <c r="E222" s="135"/>
      <c r="F222" s="135"/>
      <c r="G222" s="431">
        <f t="shared" si="105"/>
        <v>0</v>
      </c>
      <c r="H222" s="525"/>
      <c r="I222" s="457"/>
      <c r="J222" s="454"/>
      <c r="K222" s="140"/>
      <c r="L222" s="140"/>
      <c r="M222" s="140"/>
      <c r="N222" s="140"/>
      <c r="O222" s="140"/>
      <c r="P222" s="456"/>
      <c r="Q222" s="456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383">
        <f t="shared" si="106"/>
        <v>0</v>
      </c>
      <c r="AC222" s="140"/>
      <c r="AD222" s="140"/>
      <c r="AE222" s="140"/>
      <c r="AF222" s="140"/>
      <c r="AG222" s="140"/>
      <c r="AH222" s="140"/>
      <c r="AI222" s="140"/>
      <c r="AJ222" s="140"/>
      <c r="AK222" s="140"/>
      <c r="AL222" s="140"/>
      <c r="AM222" s="140"/>
      <c r="AN222" s="140"/>
      <c r="AO222" s="140"/>
      <c r="AP222" s="384">
        <f t="shared" si="107"/>
        <v>0</v>
      </c>
      <c r="AQ222" s="136"/>
      <c r="AR222" s="136"/>
      <c r="AS222" s="136"/>
      <c r="AT222" s="385">
        <f t="shared" si="108"/>
        <v>0</v>
      </c>
      <c r="AU222" s="140"/>
      <c r="AV222" s="140"/>
      <c r="AW222" s="140"/>
      <c r="AX222" s="140"/>
      <c r="AY222" s="392"/>
      <c r="AZ222" s="432">
        <f t="shared" si="109"/>
        <v>0</v>
      </c>
      <c r="BA222" s="433"/>
      <c r="BB222" s="225"/>
      <c r="BC222" s="126"/>
      <c r="BD222" s="127"/>
      <c r="BE222" s="127"/>
      <c r="BF222" s="126"/>
      <c r="BG222" s="127"/>
      <c r="BH222" s="127"/>
      <c r="BI222" s="127"/>
      <c r="BJ222" s="274"/>
      <c r="BK222" s="389">
        <f t="shared" si="110"/>
        <v>0</v>
      </c>
      <c r="BL222" s="140">
        <f t="shared" si="111"/>
        <v>0</v>
      </c>
      <c r="BM222" s="132"/>
      <c r="BN222" s="140">
        <f t="shared" si="112"/>
        <v>0</v>
      </c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26"/>
      <c r="BY222" s="126"/>
      <c r="BZ222" s="126"/>
      <c r="CA222" s="126"/>
      <c r="CB222" s="390">
        <f t="shared" si="113"/>
        <v>0</v>
      </c>
      <c r="CC222" s="132"/>
    </row>
    <row r="223" ht="14.25" customHeight="1">
      <c r="A223" s="132"/>
      <c r="B223" s="215">
        <v>46221</v>
      </c>
      <c r="C223" s="133"/>
      <c r="D223" s="136"/>
      <c r="E223" s="135"/>
      <c r="F223" s="135"/>
      <c r="G223" s="431">
        <f t="shared" si="105"/>
        <v>0</v>
      </c>
      <c r="H223" s="525"/>
      <c r="I223" s="457"/>
      <c r="J223" s="454"/>
      <c r="K223" s="140"/>
      <c r="L223" s="140"/>
      <c r="M223" s="140"/>
      <c r="N223" s="140"/>
      <c r="O223" s="140"/>
      <c r="P223" s="456"/>
      <c r="Q223" s="456"/>
      <c r="R223" s="140"/>
      <c r="S223" s="140"/>
      <c r="T223" s="140"/>
      <c r="U223" s="140"/>
      <c r="V223" s="140"/>
      <c r="W223" s="140"/>
      <c r="X223" s="140"/>
      <c r="Y223" s="140"/>
      <c r="Z223" s="140"/>
      <c r="AA223" s="140"/>
      <c r="AB223" s="383">
        <f t="shared" si="106"/>
        <v>0</v>
      </c>
      <c r="AC223" s="140"/>
      <c r="AD223" s="140"/>
      <c r="AE223" s="140"/>
      <c r="AF223" s="140"/>
      <c r="AG223" s="140"/>
      <c r="AH223" s="140"/>
      <c r="AI223" s="140"/>
      <c r="AJ223" s="140"/>
      <c r="AK223" s="140"/>
      <c r="AL223" s="140"/>
      <c r="AM223" s="140"/>
      <c r="AN223" s="140"/>
      <c r="AO223" s="140"/>
      <c r="AP223" s="384">
        <f t="shared" si="107"/>
        <v>0</v>
      </c>
      <c r="AQ223" s="136"/>
      <c r="AR223" s="136"/>
      <c r="AS223" s="136"/>
      <c r="AT223" s="385">
        <f t="shared" si="108"/>
        <v>0</v>
      </c>
      <c r="AU223" s="140"/>
      <c r="AV223" s="140"/>
      <c r="AW223" s="140"/>
      <c r="AX223" s="140"/>
      <c r="AY223" s="392"/>
      <c r="AZ223" s="432">
        <f t="shared" si="109"/>
        <v>0</v>
      </c>
      <c r="BA223" s="433"/>
      <c r="BB223" s="225"/>
      <c r="BC223" s="126"/>
      <c r="BD223" s="127"/>
      <c r="BE223" s="127"/>
      <c r="BF223" s="126"/>
      <c r="BG223" s="127"/>
      <c r="BH223" s="127"/>
      <c r="BI223" s="127"/>
      <c r="BJ223" s="274"/>
      <c r="BK223" s="389">
        <f t="shared" si="110"/>
        <v>0</v>
      </c>
      <c r="BL223" s="140">
        <f t="shared" si="111"/>
        <v>0</v>
      </c>
      <c r="BM223" s="132"/>
      <c r="BN223" s="140">
        <f t="shared" si="112"/>
        <v>0</v>
      </c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26"/>
      <c r="BY223" s="126"/>
      <c r="BZ223" s="126"/>
      <c r="CA223" s="126"/>
      <c r="CB223" s="390">
        <f t="shared" si="113"/>
        <v>0</v>
      </c>
      <c r="CC223" s="132"/>
    </row>
    <row r="224" ht="14.25" customHeight="1">
      <c r="A224" s="132"/>
      <c r="B224" s="215">
        <v>46222</v>
      </c>
      <c r="C224" s="133"/>
      <c r="D224" s="136"/>
      <c r="E224" s="135"/>
      <c r="F224" s="135"/>
      <c r="G224" s="431">
        <f t="shared" si="105"/>
        <v>0</v>
      </c>
      <c r="H224" s="525"/>
      <c r="I224" s="457"/>
      <c r="J224" s="454"/>
      <c r="K224" s="140"/>
      <c r="L224" s="140"/>
      <c r="M224" s="140"/>
      <c r="N224" s="140"/>
      <c r="O224" s="140"/>
      <c r="P224" s="456"/>
      <c r="Q224" s="456"/>
      <c r="R224" s="140"/>
      <c r="S224" s="140"/>
      <c r="T224" s="140"/>
      <c r="U224" s="140"/>
      <c r="V224" s="140"/>
      <c r="W224" s="140"/>
      <c r="X224" s="140"/>
      <c r="Y224" s="140"/>
      <c r="Z224" s="140"/>
      <c r="AA224" s="140"/>
      <c r="AB224" s="383">
        <f t="shared" si="106"/>
        <v>0</v>
      </c>
      <c r="AC224" s="140"/>
      <c r="AD224" s="140"/>
      <c r="AE224" s="140"/>
      <c r="AF224" s="140"/>
      <c r="AG224" s="140"/>
      <c r="AH224" s="140"/>
      <c r="AI224" s="140"/>
      <c r="AJ224" s="140"/>
      <c r="AK224" s="140"/>
      <c r="AL224" s="140"/>
      <c r="AM224" s="140"/>
      <c r="AN224" s="140"/>
      <c r="AO224" s="140"/>
      <c r="AP224" s="384">
        <f t="shared" si="107"/>
        <v>0</v>
      </c>
      <c r="AQ224" s="136"/>
      <c r="AR224" s="136"/>
      <c r="AS224" s="136"/>
      <c r="AT224" s="385">
        <f t="shared" si="108"/>
        <v>0</v>
      </c>
      <c r="AU224" s="140"/>
      <c r="AV224" s="140"/>
      <c r="AW224" s="140"/>
      <c r="AX224" s="140"/>
      <c r="AY224" s="392"/>
      <c r="AZ224" s="432">
        <f t="shared" si="109"/>
        <v>0</v>
      </c>
      <c r="BA224" s="433"/>
      <c r="BB224" s="225"/>
      <c r="BC224" s="126"/>
      <c r="BD224" s="127"/>
      <c r="BE224" s="127"/>
      <c r="BF224" s="126"/>
      <c r="BG224" s="127"/>
      <c r="BH224" s="127"/>
      <c r="BI224" s="127"/>
      <c r="BJ224" s="274"/>
      <c r="BK224" s="389">
        <f t="shared" si="110"/>
        <v>0</v>
      </c>
      <c r="BL224" s="140">
        <f t="shared" si="111"/>
        <v>0</v>
      </c>
      <c r="BM224" s="132"/>
      <c r="BN224" s="140">
        <f t="shared" si="112"/>
        <v>0</v>
      </c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26"/>
      <c r="BY224" s="126"/>
      <c r="BZ224" s="126"/>
      <c r="CA224" s="126"/>
      <c r="CB224" s="390">
        <f t="shared" si="113"/>
        <v>0</v>
      </c>
      <c r="CC224" s="132"/>
    </row>
    <row r="225" ht="14.25" customHeight="1">
      <c r="A225" s="132"/>
      <c r="B225" s="215">
        <v>46223</v>
      </c>
      <c r="C225" s="133"/>
      <c r="D225" s="136"/>
      <c r="E225" s="135"/>
      <c r="F225" s="135"/>
      <c r="G225" s="431">
        <f t="shared" si="105"/>
        <v>0</v>
      </c>
      <c r="H225" s="525"/>
      <c r="I225" s="457"/>
      <c r="J225" s="454"/>
      <c r="K225" s="140"/>
      <c r="L225" s="140"/>
      <c r="M225" s="140"/>
      <c r="N225" s="140"/>
      <c r="O225" s="140"/>
      <c r="P225" s="456"/>
      <c r="Q225" s="456"/>
      <c r="R225" s="140"/>
      <c r="S225" s="140"/>
      <c r="T225" s="140"/>
      <c r="U225" s="140"/>
      <c r="V225" s="140"/>
      <c r="W225" s="140"/>
      <c r="X225" s="140"/>
      <c r="Y225" s="140"/>
      <c r="Z225" s="140"/>
      <c r="AA225" s="140"/>
      <c r="AB225" s="536">
        <f t="shared" si="106"/>
        <v>0</v>
      </c>
      <c r="AC225" s="140"/>
      <c r="AD225" s="140"/>
      <c r="AE225" s="140"/>
      <c r="AF225" s="140"/>
      <c r="AG225" s="140"/>
      <c r="AH225" s="140"/>
      <c r="AI225" s="140"/>
      <c r="AJ225" s="140"/>
      <c r="AK225" s="140"/>
      <c r="AL225" s="140"/>
      <c r="AM225" s="140"/>
      <c r="AN225" s="140"/>
      <c r="AO225" s="140"/>
      <c r="AP225" s="384">
        <f t="shared" si="107"/>
        <v>0</v>
      </c>
      <c r="AQ225" s="136"/>
      <c r="AR225" s="136"/>
      <c r="AS225" s="136"/>
      <c r="AT225" s="385">
        <f t="shared" si="108"/>
        <v>0</v>
      </c>
      <c r="AU225" s="140"/>
      <c r="AV225" s="140"/>
      <c r="AW225" s="140"/>
      <c r="AX225" s="140"/>
      <c r="AY225" s="392"/>
      <c r="AZ225" s="432">
        <f t="shared" si="109"/>
        <v>0</v>
      </c>
      <c r="BA225" s="433"/>
      <c r="BB225" s="225"/>
      <c r="BC225" s="126"/>
      <c r="BD225" s="127"/>
      <c r="BE225" s="127"/>
      <c r="BF225" s="126"/>
      <c r="BG225" s="127"/>
      <c r="BH225" s="127"/>
      <c r="BI225" s="127"/>
      <c r="BJ225" s="274"/>
      <c r="BK225" s="389">
        <f t="shared" si="110"/>
        <v>0</v>
      </c>
      <c r="BL225" s="140">
        <f t="shared" si="111"/>
        <v>0</v>
      </c>
      <c r="BM225" s="132"/>
      <c r="BN225" s="140">
        <f t="shared" si="112"/>
        <v>0</v>
      </c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26"/>
      <c r="BY225" s="126"/>
      <c r="BZ225" s="126"/>
      <c r="CA225" s="126"/>
      <c r="CB225" s="537">
        <f t="shared" si="113"/>
        <v>0</v>
      </c>
      <c r="CC225" s="132"/>
    </row>
    <row r="226" ht="14.25" customHeight="1">
      <c r="A226" s="132"/>
      <c r="B226" s="215">
        <v>46224</v>
      </c>
      <c r="C226" s="133"/>
      <c r="D226" s="136"/>
      <c r="E226" s="135"/>
      <c r="F226" s="135"/>
      <c r="G226" s="431">
        <f t="shared" si="105"/>
        <v>0</v>
      </c>
      <c r="H226" s="525"/>
      <c r="I226" s="457"/>
      <c r="J226" s="454"/>
      <c r="K226" s="140"/>
      <c r="L226" s="140"/>
      <c r="M226" s="140"/>
      <c r="N226" s="140"/>
      <c r="O226" s="140"/>
      <c r="P226" s="456"/>
      <c r="Q226" s="456"/>
      <c r="R226" s="140"/>
      <c r="S226" s="140"/>
      <c r="T226" s="140"/>
      <c r="U226" s="140"/>
      <c r="V226" s="140"/>
      <c r="W226" s="140"/>
      <c r="X226" s="140"/>
      <c r="Y226" s="140"/>
      <c r="Z226" s="140"/>
      <c r="AA226" s="140"/>
      <c r="AB226" s="383">
        <f t="shared" si="106"/>
        <v>0</v>
      </c>
      <c r="AC226" s="140"/>
      <c r="AD226" s="140"/>
      <c r="AE226" s="140"/>
      <c r="AF226" s="140"/>
      <c r="AG226" s="140"/>
      <c r="AH226" s="140"/>
      <c r="AI226" s="140"/>
      <c r="AJ226" s="140"/>
      <c r="AK226" s="140"/>
      <c r="AL226" s="140"/>
      <c r="AM226" s="140"/>
      <c r="AN226" s="140"/>
      <c r="AO226" s="140"/>
      <c r="AP226" s="384">
        <f t="shared" si="107"/>
        <v>0</v>
      </c>
      <c r="AQ226" s="136"/>
      <c r="AR226" s="136"/>
      <c r="AS226" s="136"/>
      <c r="AT226" s="385">
        <f t="shared" si="108"/>
        <v>0</v>
      </c>
      <c r="AU226" s="140"/>
      <c r="AV226" s="140"/>
      <c r="AW226" s="140"/>
      <c r="AX226" s="140"/>
      <c r="AY226" s="392"/>
      <c r="AZ226" s="432">
        <f t="shared" si="109"/>
        <v>0</v>
      </c>
      <c r="BA226" s="433"/>
      <c r="BB226" s="225"/>
      <c r="BC226" s="126"/>
      <c r="BD226" s="127"/>
      <c r="BE226" s="127"/>
      <c r="BF226" s="126"/>
      <c r="BG226" s="127"/>
      <c r="BH226" s="127"/>
      <c r="BI226" s="127"/>
      <c r="BJ226" s="274"/>
      <c r="BK226" s="389">
        <f t="shared" si="110"/>
        <v>0</v>
      </c>
      <c r="BL226" s="140">
        <f t="shared" si="111"/>
        <v>0</v>
      </c>
      <c r="BM226" s="132"/>
      <c r="BN226" s="140">
        <f t="shared" si="112"/>
        <v>0</v>
      </c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26"/>
      <c r="BY226" s="126"/>
      <c r="BZ226" s="126"/>
      <c r="CA226" s="126"/>
      <c r="CB226" s="390">
        <f t="shared" si="113"/>
        <v>0</v>
      </c>
      <c r="CC226" s="132"/>
    </row>
    <row r="227" ht="14.25" customHeight="1">
      <c r="A227" s="132"/>
      <c r="B227" s="215">
        <v>46225</v>
      </c>
      <c r="C227" s="133"/>
      <c r="D227" s="136"/>
      <c r="E227" s="135"/>
      <c r="F227" s="135"/>
      <c r="G227" s="431">
        <f t="shared" si="105"/>
        <v>0</v>
      </c>
      <c r="H227" s="525"/>
      <c r="I227" s="457"/>
      <c r="J227" s="454"/>
      <c r="K227" s="140"/>
      <c r="L227" s="140"/>
      <c r="M227" s="140"/>
      <c r="N227" s="140"/>
      <c r="O227" s="140"/>
      <c r="P227" s="456"/>
      <c r="Q227" s="456"/>
      <c r="R227" s="140"/>
      <c r="S227" s="140"/>
      <c r="T227" s="140"/>
      <c r="U227" s="140"/>
      <c r="V227" s="140"/>
      <c r="W227" s="140"/>
      <c r="X227" s="140"/>
      <c r="Y227" s="140"/>
      <c r="Z227" s="140"/>
      <c r="AA227" s="140"/>
      <c r="AB227" s="383">
        <f t="shared" si="106"/>
        <v>0</v>
      </c>
      <c r="AC227" s="140"/>
      <c r="AD227" s="140"/>
      <c r="AE227" s="140"/>
      <c r="AF227" s="140"/>
      <c r="AG227" s="140"/>
      <c r="AH227" s="140"/>
      <c r="AI227" s="140"/>
      <c r="AJ227" s="140"/>
      <c r="AK227" s="140"/>
      <c r="AL227" s="140"/>
      <c r="AM227" s="140"/>
      <c r="AN227" s="140"/>
      <c r="AO227" s="140"/>
      <c r="AP227" s="384">
        <f t="shared" si="107"/>
        <v>0</v>
      </c>
      <c r="AQ227" s="136"/>
      <c r="AR227" s="136"/>
      <c r="AS227" s="136"/>
      <c r="AT227" s="385">
        <f t="shared" si="108"/>
        <v>0</v>
      </c>
      <c r="AU227" s="140"/>
      <c r="AV227" s="140"/>
      <c r="AW227" s="140"/>
      <c r="AX227" s="140"/>
      <c r="AY227" s="392"/>
      <c r="AZ227" s="432">
        <f t="shared" si="109"/>
        <v>0</v>
      </c>
      <c r="BA227" s="433"/>
      <c r="BB227" s="225"/>
      <c r="BC227" s="126"/>
      <c r="BD227" s="127"/>
      <c r="BE227" s="127"/>
      <c r="BF227" s="126"/>
      <c r="BG227" s="127"/>
      <c r="BH227" s="127"/>
      <c r="BI227" s="127"/>
      <c r="BJ227" s="274"/>
      <c r="BK227" s="389">
        <f t="shared" si="110"/>
        <v>0</v>
      </c>
      <c r="BL227" s="140">
        <f t="shared" si="111"/>
        <v>0</v>
      </c>
      <c r="BM227" s="132"/>
      <c r="BN227" s="140">
        <f t="shared" si="112"/>
        <v>0</v>
      </c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26"/>
      <c r="BY227" s="126"/>
      <c r="BZ227" s="126"/>
      <c r="CA227" s="126"/>
      <c r="CB227" s="390">
        <f t="shared" si="113"/>
        <v>0</v>
      </c>
      <c r="CC227" s="132"/>
    </row>
    <row r="228" ht="14.25" customHeight="1">
      <c r="A228" s="132"/>
      <c r="B228" s="215">
        <v>46226</v>
      </c>
      <c r="C228" s="133"/>
      <c r="D228" s="136"/>
      <c r="E228" s="135"/>
      <c r="F228" s="135"/>
      <c r="G228" s="431">
        <f t="shared" si="105"/>
        <v>0</v>
      </c>
      <c r="H228" s="525"/>
      <c r="I228" s="457"/>
      <c r="J228" s="454"/>
      <c r="K228" s="140"/>
      <c r="L228" s="140"/>
      <c r="M228" s="140"/>
      <c r="N228" s="140"/>
      <c r="O228" s="140"/>
      <c r="P228" s="456"/>
      <c r="Q228" s="456"/>
      <c r="R228" s="140"/>
      <c r="S228" s="140"/>
      <c r="T228" s="140"/>
      <c r="U228" s="140"/>
      <c r="V228" s="140"/>
      <c r="W228" s="140"/>
      <c r="X228" s="140"/>
      <c r="Y228" s="140"/>
      <c r="Z228" s="140"/>
      <c r="AA228" s="140"/>
      <c r="AB228" s="383">
        <f t="shared" si="106"/>
        <v>0</v>
      </c>
      <c r="AC228" s="140"/>
      <c r="AD228" s="140"/>
      <c r="AE228" s="140"/>
      <c r="AF228" s="140"/>
      <c r="AG228" s="140"/>
      <c r="AH228" s="140"/>
      <c r="AI228" s="140"/>
      <c r="AJ228" s="140"/>
      <c r="AK228" s="140"/>
      <c r="AL228" s="140"/>
      <c r="AM228" s="140"/>
      <c r="AN228" s="140"/>
      <c r="AO228" s="140"/>
      <c r="AP228" s="384">
        <f t="shared" si="107"/>
        <v>0</v>
      </c>
      <c r="AQ228" s="136"/>
      <c r="AR228" s="136"/>
      <c r="AS228" s="136"/>
      <c r="AT228" s="385">
        <f t="shared" si="108"/>
        <v>0</v>
      </c>
      <c r="AU228" s="140"/>
      <c r="AV228" s="140"/>
      <c r="AW228" s="140"/>
      <c r="AX228" s="140"/>
      <c r="AY228" s="392"/>
      <c r="AZ228" s="432">
        <f t="shared" si="109"/>
        <v>0</v>
      </c>
      <c r="BA228" s="433"/>
      <c r="BB228" s="225"/>
      <c r="BC228" s="126"/>
      <c r="BD228" s="127"/>
      <c r="BE228" s="127"/>
      <c r="BF228" s="126"/>
      <c r="BG228" s="127"/>
      <c r="BH228" s="127"/>
      <c r="BI228" s="127"/>
      <c r="BJ228" s="274"/>
      <c r="BK228" s="389">
        <f t="shared" si="110"/>
        <v>0</v>
      </c>
      <c r="BL228" s="140">
        <f t="shared" si="111"/>
        <v>0</v>
      </c>
      <c r="BM228" s="132"/>
      <c r="BN228" s="140">
        <f t="shared" si="112"/>
        <v>0</v>
      </c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26"/>
      <c r="BY228" s="126"/>
      <c r="BZ228" s="126"/>
      <c r="CA228" s="126"/>
      <c r="CB228" s="390">
        <f t="shared" si="113"/>
        <v>0</v>
      </c>
      <c r="CC228" s="132"/>
    </row>
    <row r="229" ht="14.25" customHeight="1">
      <c r="A229" s="132"/>
      <c r="B229" s="215">
        <v>46227</v>
      </c>
      <c r="C229" s="133"/>
      <c r="D229" s="136"/>
      <c r="E229" s="135"/>
      <c r="F229" s="135"/>
      <c r="G229" s="431">
        <f t="shared" si="105"/>
        <v>0</v>
      </c>
      <c r="H229" s="525"/>
      <c r="I229" s="457"/>
      <c r="J229" s="454"/>
      <c r="K229" s="140"/>
      <c r="L229" s="140"/>
      <c r="M229" s="140"/>
      <c r="N229" s="140"/>
      <c r="O229" s="140"/>
      <c r="P229" s="456"/>
      <c r="Q229" s="456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383">
        <f t="shared" si="106"/>
        <v>0</v>
      </c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384">
        <f t="shared" si="107"/>
        <v>0</v>
      </c>
      <c r="AQ229" s="136"/>
      <c r="AR229" s="136"/>
      <c r="AS229" s="136"/>
      <c r="AT229" s="385">
        <f t="shared" si="108"/>
        <v>0</v>
      </c>
      <c r="AU229" s="140"/>
      <c r="AV229" s="140"/>
      <c r="AW229" s="140"/>
      <c r="AX229" s="140"/>
      <c r="AY229" s="392"/>
      <c r="AZ229" s="432">
        <f t="shared" si="109"/>
        <v>0</v>
      </c>
      <c r="BA229" s="433"/>
      <c r="BB229" s="225"/>
      <c r="BC229" s="126"/>
      <c r="BD229" s="127"/>
      <c r="BE229" s="127"/>
      <c r="BF229" s="126"/>
      <c r="BG229" s="127"/>
      <c r="BH229" s="127"/>
      <c r="BI229" s="127"/>
      <c r="BJ229" s="274"/>
      <c r="BK229" s="389">
        <f t="shared" si="110"/>
        <v>0</v>
      </c>
      <c r="BL229" s="140">
        <f t="shared" si="111"/>
        <v>0</v>
      </c>
      <c r="BM229" s="132"/>
      <c r="BN229" s="140">
        <f t="shared" si="112"/>
        <v>0</v>
      </c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26"/>
      <c r="BY229" s="126"/>
      <c r="BZ229" s="126"/>
      <c r="CA229" s="126"/>
      <c r="CB229" s="390">
        <f t="shared" si="113"/>
        <v>0</v>
      </c>
      <c r="CC229" s="132"/>
    </row>
    <row r="230" ht="14.25" customHeight="1">
      <c r="A230" s="132"/>
      <c r="B230" s="215">
        <v>46228</v>
      </c>
      <c r="C230" s="133"/>
      <c r="D230" s="136"/>
      <c r="E230" s="135"/>
      <c r="F230" s="135"/>
      <c r="G230" s="431">
        <f t="shared" si="105"/>
        <v>0</v>
      </c>
      <c r="H230" s="525"/>
      <c r="I230" s="457"/>
      <c r="J230" s="454"/>
      <c r="K230" s="140"/>
      <c r="L230" s="140"/>
      <c r="M230" s="140"/>
      <c r="N230" s="140"/>
      <c r="O230" s="140"/>
      <c r="P230" s="456"/>
      <c r="Q230" s="456"/>
      <c r="R230" s="140"/>
      <c r="S230" s="140"/>
      <c r="T230" s="140"/>
      <c r="U230" s="140"/>
      <c r="V230" s="140"/>
      <c r="W230" s="140"/>
      <c r="X230" s="140"/>
      <c r="Y230" s="140"/>
      <c r="Z230" s="140"/>
      <c r="AA230" s="140"/>
      <c r="AB230" s="383">
        <f t="shared" si="106"/>
        <v>0</v>
      </c>
      <c r="AC230" s="140"/>
      <c r="AD230" s="140"/>
      <c r="AE230" s="140"/>
      <c r="AF230" s="140"/>
      <c r="AG230" s="140"/>
      <c r="AH230" s="140"/>
      <c r="AI230" s="140"/>
      <c r="AJ230" s="140"/>
      <c r="AK230" s="140"/>
      <c r="AL230" s="140"/>
      <c r="AM230" s="140"/>
      <c r="AN230" s="140"/>
      <c r="AO230" s="140"/>
      <c r="AP230" s="384">
        <f t="shared" si="107"/>
        <v>0</v>
      </c>
      <c r="AQ230" s="136"/>
      <c r="AR230" s="136"/>
      <c r="AS230" s="136"/>
      <c r="AT230" s="385">
        <f t="shared" si="108"/>
        <v>0</v>
      </c>
      <c r="AU230" s="140"/>
      <c r="AV230" s="140"/>
      <c r="AW230" s="140"/>
      <c r="AX230" s="140"/>
      <c r="AY230" s="392"/>
      <c r="AZ230" s="432">
        <f t="shared" si="109"/>
        <v>0</v>
      </c>
      <c r="BA230" s="433"/>
      <c r="BB230" s="225"/>
      <c r="BC230" s="126"/>
      <c r="BD230" s="127"/>
      <c r="BE230" s="127"/>
      <c r="BF230" s="126"/>
      <c r="BG230" s="127"/>
      <c r="BH230" s="127"/>
      <c r="BI230" s="127"/>
      <c r="BJ230" s="274"/>
      <c r="BK230" s="389">
        <f t="shared" si="110"/>
        <v>0</v>
      </c>
      <c r="BL230" s="140">
        <f t="shared" si="111"/>
        <v>0</v>
      </c>
      <c r="BM230" s="132"/>
      <c r="BN230" s="140">
        <f t="shared" si="112"/>
        <v>0</v>
      </c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26"/>
      <c r="BY230" s="126"/>
      <c r="BZ230" s="126"/>
      <c r="CA230" s="126"/>
      <c r="CB230" s="390">
        <f t="shared" si="113"/>
        <v>0</v>
      </c>
      <c r="CC230" s="132"/>
    </row>
    <row r="231" ht="14.25" customHeight="1">
      <c r="A231" s="132"/>
      <c r="B231" s="215">
        <v>46229</v>
      </c>
      <c r="C231" s="133"/>
      <c r="D231" s="136"/>
      <c r="E231" s="135"/>
      <c r="F231" s="135"/>
      <c r="G231" s="431">
        <f t="shared" si="105"/>
        <v>0</v>
      </c>
      <c r="H231" s="132"/>
      <c r="I231" s="132"/>
      <c r="J231" s="454"/>
      <c r="K231" s="140"/>
      <c r="L231" s="140"/>
      <c r="M231" s="140"/>
      <c r="N231" s="140"/>
      <c r="O231" s="140"/>
      <c r="P231" s="379"/>
      <c r="Q231" s="379"/>
      <c r="R231" s="140"/>
      <c r="S231" s="140"/>
      <c r="T231" s="140"/>
      <c r="U231" s="140"/>
      <c r="V231" s="140"/>
      <c r="W231" s="140"/>
      <c r="X231" s="140"/>
      <c r="Y231" s="140"/>
      <c r="Z231" s="140"/>
      <c r="AA231" s="140"/>
      <c r="AB231" s="383">
        <f t="shared" si="106"/>
        <v>0</v>
      </c>
      <c r="AC231" s="140"/>
      <c r="AD231" s="140"/>
      <c r="AE231" s="140"/>
      <c r="AF231" s="140"/>
      <c r="AG231" s="140"/>
      <c r="AH231" s="140"/>
      <c r="AI231" s="140"/>
      <c r="AJ231" s="140"/>
      <c r="AK231" s="140"/>
      <c r="AL231" s="140"/>
      <c r="AM231" s="140"/>
      <c r="AN231" s="140"/>
      <c r="AO231" s="140"/>
      <c r="AP231" s="384">
        <f t="shared" si="107"/>
        <v>0</v>
      </c>
      <c r="AQ231" s="136"/>
      <c r="AR231" s="136"/>
      <c r="AS231" s="136"/>
      <c r="AT231" s="385">
        <f t="shared" si="108"/>
        <v>0</v>
      </c>
      <c r="AU231" s="140"/>
      <c r="AV231" s="140"/>
      <c r="AW231" s="140"/>
      <c r="AX231" s="140"/>
      <c r="AY231" s="392"/>
      <c r="AZ231" s="432">
        <f t="shared" si="109"/>
        <v>0</v>
      </c>
      <c r="BA231" s="433"/>
      <c r="BB231" s="225"/>
      <c r="BC231" s="126"/>
      <c r="BD231" s="127"/>
      <c r="BE231" s="127"/>
      <c r="BF231" s="126"/>
      <c r="BG231" s="127"/>
      <c r="BH231" s="127"/>
      <c r="BI231" s="127"/>
      <c r="BJ231" s="274"/>
      <c r="BK231" s="389">
        <f t="shared" si="110"/>
        <v>0</v>
      </c>
      <c r="BL231" s="140">
        <f t="shared" si="111"/>
        <v>0</v>
      </c>
      <c r="BM231" s="132"/>
      <c r="BN231" s="140">
        <f t="shared" si="112"/>
        <v>0</v>
      </c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26"/>
      <c r="BY231" s="126"/>
      <c r="BZ231" s="126"/>
      <c r="CA231" s="126"/>
      <c r="CB231" s="390">
        <f t="shared" si="113"/>
        <v>0</v>
      </c>
      <c r="CC231" s="132"/>
    </row>
    <row r="232" ht="14.25" customHeight="1">
      <c r="A232" s="132"/>
      <c r="B232" s="215">
        <v>46230</v>
      </c>
      <c r="C232" s="133"/>
      <c r="D232" s="136"/>
      <c r="E232" s="135"/>
      <c r="F232" s="135"/>
      <c r="G232" s="431">
        <f t="shared" si="105"/>
        <v>0</v>
      </c>
      <c r="H232" s="525"/>
      <c r="I232" s="457"/>
      <c r="J232" s="454"/>
      <c r="K232" s="140"/>
      <c r="L232" s="140"/>
      <c r="M232" s="140"/>
      <c r="N232" s="140"/>
      <c r="O232" s="140"/>
      <c r="P232" s="456"/>
      <c r="Q232" s="456"/>
      <c r="R232" s="140"/>
      <c r="S232" s="140"/>
      <c r="T232" s="140"/>
      <c r="U232" s="140"/>
      <c r="V232" s="140"/>
      <c r="W232" s="140"/>
      <c r="X232" s="140"/>
      <c r="Y232" s="140"/>
      <c r="Z232" s="140"/>
      <c r="AA232" s="140"/>
      <c r="AB232" s="383">
        <f t="shared" si="106"/>
        <v>0</v>
      </c>
      <c r="AC232" s="140"/>
      <c r="AD232" s="140"/>
      <c r="AE232" s="140"/>
      <c r="AF232" s="140"/>
      <c r="AG232" s="140"/>
      <c r="AH232" s="140"/>
      <c r="AI232" s="140"/>
      <c r="AJ232" s="140"/>
      <c r="AK232" s="140"/>
      <c r="AL232" s="140"/>
      <c r="AM232" s="140"/>
      <c r="AN232" s="140"/>
      <c r="AO232" s="140"/>
      <c r="AP232" s="384">
        <f t="shared" si="107"/>
        <v>0</v>
      </c>
      <c r="AQ232" s="136"/>
      <c r="AR232" s="136"/>
      <c r="AS232" s="136"/>
      <c r="AT232" s="385">
        <f t="shared" si="108"/>
        <v>0</v>
      </c>
      <c r="AU232" s="140"/>
      <c r="AV232" s="140"/>
      <c r="AW232" s="140"/>
      <c r="AX232" s="140"/>
      <c r="AY232" s="392"/>
      <c r="AZ232" s="432">
        <f t="shared" si="109"/>
        <v>0</v>
      </c>
      <c r="BA232" s="433"/>
      <c r="BB232" s="225"/>
      <c r="BC232" s="126"/>
      <c r="BD232" s="127"/>
      <c r="BE232" s="127"/>
      <c r="BF232" s="126"/>
      <c r="BG232" s="127"/>
      <c r="BH232" s="127"/>
      <c r="BI232" s="127"/>
      <c r="BJ232" s="274"/>
      <c r="BK232" s="389">
        <f t="shared" si="110"/>
        <v>0</v>
      </c>
      <c r="BL232" s="140">
        <f t="shared" si="111"/>
        <v>0</v>
      </c>
      <c r="BM232" s="132"/>
      <c r="BN232" s="140">
        <f t="shared" si="112"/>
        <v>0</v>
      </c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26"/>
      <c r="BY232" s="126"/>
      <c r="BZ232" s="126"/>
      <c r="CA232" s="126"/>
      <c r="CB232" s="390">
        <f t="shared" si="113"/>
        <v>0</v>
      </c>
      <c r="CC232" s="132"/>
    </row>
    <row r="233" ht="14.25" customHeight="1">
      <c r="A233" s="132"/>
      <c r="B233" s="215">
        <v>46231</v>
      </c>
      <c r="C233" s="133"/>
      <c r="D233" s="136"/>
      <c r="E233" s="135"/>
      <c r="F233" s="135"/>
      <c r="G233" s="431">
        <f t="shared" si="105"/>
        <v>0</v>
      </c>
      <c r="H233" s="525"/>
      <c r="I233" s="457"/>
      <c r="J233" s="454"/>
      <c r="K233" s="140"/>
      <c r="L233" s="140"/>
      <c r="M233" s="140"/>
      <c r="N233" s="140"/>
      <c r="O233" s="140"/>
      <c r="P233" s="456"/>
      <c r="Q233" s="456"/>
      <c r="R233" s="140"/>
      <c r="S233" s="140"/>
      <c r="T233" s="140"/>
      <c r="U233" s="140"/>
      <c r="V233" s="140"/>
      <c r="W233" s="140"/>
      <c r="X233" s="140"/>
      <c r="Y233" s="140"/>
      <c r="Z233" s="140"/>
      <c r="AA233" s="140"/>
      <c r="AB233" s="383">
        <f t="shared" si="106"/>
        <v>0</v>
      </c>
      <c r="AC233" s="140"/>
      <c r="AD233" s="140"/>
      <c r="AE233" s="140"/>
      <c r="AF233" s="140"/>
      <c r="AG233" s="140"/>
      <c r="AH233" s="140"/>
      <c r="AI233" s="140"/>
      <c r="AJ233" s="140"/>
      <c r="AK233" s="140"/>
      <c r="AL233" s="140"/>
      <c r="AM233" s="140"/>
      <c r="AN233" s="140"/>
      <c r="AO233" s="140"/>
      <c r="AP233" s="384">
        <f t="shared" si="107"/>
        <v>0</v>
      </c>
      <c r="AQ233" s="136"/>
      <c r="AR233" s="136"/>
      <c r="AS233" s="136"/>
      <c r="AT233" s="385">
        <f t="shared" si="108"/>
        <v>0</v>
      </c>
      <c r="AU233" s="140"/>
      <c r="AV233" s="140"/>
      <c r="AW233" s="140"/>
      <c r="AX233" s="140"/>
      <c r="AY233" s="392"/>
      <c r="AZ233" s="432">
        <f t="shared" si="109"/>
        <v>0</v>
      </c>
      <c r="BA233" s="433"/>
      <c r="BB233" s="225"/>
      <c r="BC233" s="126"/>
      <c r="BD233" s="127"/>
      <c r="BE233" s="127"/>
      <c r="BF233" s="126"/>
      <c r="BG233" s="127"/>
      <c r="BH233" s="127"/>
      <c r="BI233" s="127"/>
      <c r="BJ233" s="274"/>
      <c r="BK233" s="389">
        <f t="shared" si="110"/>
        <v>0</v>
      </c>
      <c r="BL233" s="140">
        <f t="shared" si="111"/>
        <v>0</v>
      </c>
      <c r="BM233" s="132"/>
      <c r="BN233" s="140">
        <f t="shared" si="112"/>
        <v>0</v>
      </c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26"/>
      <c r="BY233" s="126"/>
      <c r="BZ233" s="126"/>
      <c r="CA233" s="126"/>
      <c r="CB233" s="390">
        <f t="shared" si="113"/>
        <v>0</v>
      </c>
      <c r="CC233" s="132"/>
    </row>
    <row r="234" ht="14.25" customHeight="1">
      <c r="A234" s="132"/>
      <c r="B234" s="215">
        <v>46232</v>
      </c>
      <c r="C234" s="133"/>
      <c r="D234" s="136"/>
      <c r="E234" s="135"/>
      <c r="F234" s="135"/>
      <c r="G234" s="431">
        <f t="shared" si="105"/>
        <v>0</v>
      </c>
      <c r="H234" s="525"/>
      <c r="I234" s="457"/>
      <c r="J234" s="454"/>
      <c r="K234" s="140"/>
      <c r="L234" s="140"/>
      <c r="M234" s="140"/>
      <c r="N234" s="140"/>
      <c r="O234" s="140"/>
      <c r="P234" s="456"/>
      <c r="Q234" s="456"/>
      <c r="R234" s="140"/>
      <c r="S234" s="140"/>
      <c r="T234" s="140"/>
      <c r="U234" s="140"/>
      <c r="V234" s="140"/>
      <c r="W234" s="140"/>
      <c r="X234" s="140"/>
      <c r="Y234" s="140"/>
      <c r="Z234" s="140"/>
      <c r="AA234" s="140"/>
      <c r="AB234" s="383">
        <f t="shared" si="106"/>
        <v>0</v>
      </c>
      <c r="AC234" s="140"/>
      <c r="AD234" s="140"/>
      <c r="AE234" s="140"/>
      <c r="AF234" s="140"/>
      <c r="AG234" s="140"/>
      <c r="AH234" s="140"/>
      <c r="AI234" s="140"/>
      <c r="AJ234" s="140"/>
      <c r="AK234" s="140"/>
      <c r="AL234" s="140"/>
      <c r="AM234" s="140"/>
      <c r="AN234" s="140"/>
      <c r="AO234" s="140"/>
      <c r="AP234" s="384">
        <f t="shared" si="107"/>
        <v>0</v>
      </c>
      <c r="AQ234" s="136"/>
      <c r="AR234" s="136"/>
      <c r="AS234" s="136"/>
      <c r="AT234" s="385">
        <f t="shared" si="108"/>
        <v>0</v>
      </c>
      <c r="AU234" s="140"/>
      <c r="AV234" s="140"/>
      <c r="AW234" s="140"/>
      <c r="AX234" s="140"/>
      <c r="AY234" s="392"/>
      <c r="AZ234" s="432">
        <f t="shared" si="109"/>
        <v>0</v>
      </c>
      <c r="BA234" s="433"/>
      <c r="BB234" s="225"/>
      <c r="BC234" s="126"/>
      <c r="BD234" s="127"/>
      <c r="BE234" s="127"/>
      <c r="BF234" s="126"/>
      <c r="BG234" s="127"/>
      <c r="BH234" s="127"/>
      <c r="BI234" s="127"/>
      <c r="BJ234" s="274"/>
      <c r="BK234" s="389">
        <f t="shared" si="110"/>
        <v>0</v>
      </c>
      <c r="BL234" s="140">
        <f t="shared" si="111"/>
        <v>0</v>
      </c>
      <c r="BM234" s="132"/>
      <c r="BN234" s="140">
        <f t="shared" si="112"/>
        <v>0</v>
      </c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26"/>
      <c r="BY234" s="126"/>
      <c r="BZ234" s="126"/>
      <c r="CA234" s="126"/>
      <c r="CB234" s="390">
        <f t="shared" si="113"/>
        <v>0</v>
      </c>
      <c r="CC234" s="132"/>
    </row>
    <row r="235" ht="14.25" customHeight="1">
      <c r="A235" s="132"/>
      <c r="B235" s="215">
        <v>46233</v>
      </c>
      <c r="C235" s="133"/>
      <c r="D235" s="136"/>
      <c r="E235" s="135"/>
      <c r="F235" s="135"/>
      <c r="G235" s="431">
        <f t="shared" si="105"/>
        <v>0</v>
      </c>
      <c r="H235" s="525"/>
      <c r="I235" s="457"/>
      <c r="J235" s="454"/>
      <c r="K235" s="140"/>
      <c r="L235" s="140"/>
      <c r="M235" s="140"/>
      <c r="N235" s="140"/>
      <c r="O235" s="140"/>
      <c r="P235" s="456"/>
      <c r="Q235" s="456"/>
      <c r="R235" s="140"/>
      <c r="S235" s="140"/>
      <c r="T235" s="140"/>
      <c r="U235" s="140"/>
      <c r="V235" s="140"/>
      <c r="W235" s="140"/>
      <c r="X235" s="140"/>
      <c r="Y235" s="140"/>
      <c r="Z235" s="140"/>
      <c r="AA235" s="140"/>
      <c r="AB235" s="383">
        <f t="shared" si="106"/>
        <v>0</v>
      </c>
      <c r="AC235" s="140"/>
      <c r="AD235" s="140"/>
      <c r="AE235" s="140"/>
      <c r="AF235" s="140"/>
      <c r="AG235" s="140"/>
      <c r="AH235" s="140"/>
      <c r="AI235" s="140"/>
      <c r="AJ235" s="140"/>
      <c r="AK235" s="140"/>
      <c r="AL235" s="140"/>
      <c r="AM235" s="140"/>
      <c r="AN235" s="140"/>
      <c r="AO235" s="140"/>
      <c r="AP235" s="451">
        <f t="shared" si="107"/>
        <v>0</v>
      </c>
      <c r="AQ235" s="132"/>
      <c r="AR235" s="136"/>
      <c r="AS235" s="133"/>
      <c r="AT235" s="385">
        <f t="shared" si="108"/>
        <v>0</v>
      </c>
      <c r="AU235" s="140"/>
      <c r="AV235" s="140"/>
      <c r="AW235" s="140"/>
      <c r="AX235" s="140"/>
      <c r="AY235" s="392"/>
      <c r="AZ235" s="432">
        <f t="shared" si="109"/>
        <v>0</v>
      </c>
      <c r="BA235" s="433"/>
      <c r="BB235" s="225"/>
      <c r="BC235" s="126"/>
      <c r="BD235" s="127"/>
      <c r="BE235" s="127"/>
      <c r="BF235" s="126"/>
      <c r="BG235" s="127"/>
      <c r="BH235" s="127"/>
      <c r="BI235" s="127"/>
      <c r="BJ235" s="274"/>
      <c r="BK235" s="389">
        <f t="shared" si="110"/>
        <v>0</v>
      </c>
      <c r="BL235" s="140">
        <f t="shared" si="111"/>
        <v>0</v>
      </c>
      <c r="BM235" s="132"/>
      <c r="BN235" s="140">
        <f t="shared" si="112"/>
        <v>0</v>
      </c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26"/>
      <c r="BY235" s="126"/>
      <c r="BZ235" s="126"/>
      <c r="CA235" s="126"/>
      <c r="CB235" s="390">
        <f t="shared" si="113"/>
        <v>0</v>
      </c>
      <c r="CC235" s="132"/>
    </row>
    <row r="236" ht="14.25" customHeight="1">
      <c r="A236" s="132"/>
      <c r="B236" s="215">
        <v>46234</v>
      </c>
      <c r="C236" s="153"/>
      <c r="D236" s="159"/>
      <c r="E236" s="156"/>
      <c r="F236" s="156"/>
      <c r="G236" s="431">
        <f t="shared" si="105"/>
        <v>0</v>
      </c>
      <c r="H236" s="525"/>
      <c r="I236" s="503"/>
      <c r="J236" s="500"/>
      <c r="K236" s="162"/>
      <c r="L236" s="162"/>
      <c r="M236" s="162"/>
      <c r="N236" s="162"/>
      <c r="O236" s="162"/>
      <c r="P236" s="501"/>
      <c r="Q236" s="501"/>
      <c r="R236" s="162"/>
      <c r="S236" s="162"/>
      <c r="T236" s="162"/>
      <c r="U236" s="162"/>
      <c r="V236" s="162"/>
      <c r="W236" s="162"/>
      <c r="X236" s="162"/>
      <c r="Y236" s="162"/>
      <c r="Z236" s="140"/>
      <c r="AA236" s="140"/>
      <c r="AB236" s="383">
        <f t="shared" si="106"/>
        <v>0</v>
      </c>
      <c r="AC236" s="162"/>
      <c r="AD236" s="162"/>
      <c r="AE236" s="162"/>
      <c r="AF236" s="162"/>
      <c r="AG236" s="162"/>
      <c r="AH236" s="162"/>
      <c r="AI236" s="162"/>
      <c r="AJ236" s="162"/>
      <c r="AK236" s="162"/>
      <c r="AL236" s="162"/>
      <c r="AM236" s="162"/>
      <c r="AN236" s="162"/>
      <c r="AO236" s="162"/>
      <c r="AP236" s="384">
        <f t="shared" si="107"/>
        <v>0</v>
      </c>
      <c r="AQ236" s="159"/>
      <c r="AR236" s="159"/>
      <c r="AS236" s="159"/>
      <c r="AT236" s="385">
        <f t="shared" si="108"/>
        <v>0</v>
      </c>
      <c r="AU236" s="162"/>
      <c r="AV236" s="162"/>
      <c r="AW236" s="162"/>
      <c r="AX236" s="162"/>
      <c r="AY236" s="403"/>
      <c r="AZ236" s="432">
        <f t="shared" si="109"/>
        <v>0</v>
      </c>
      <c r="BA236" s="435"/>
      <c r="BB236" s="280"/>
      <c r="BC236" s="138"/>
      <c r="BD236" s="161"/>
      <c r="BE236" s="161"/>
      <c r="BF236" s="138"/>
      <c r="BG236" s="161"/>
      <c r="BH236" s="161"/>
      <c r="BI236" s="161"/>
      <c r="BJ236" s="296"/>
      <c r="BK236" s="389">
        <f t="shared" si="110"/>
        <v>0</v>
      </c>
      <c r="BL236" s="162">
        <f t="shared" si="111"/>
        <v>0</v>
      </c>
      <c r="BM236" s="132"/>
      <c r="BN236" s="162">
        <f t="shared" si="112"/>
        <v>0</v>
      </c>
      <c r="BO236" s="163"/>
      <c r="BP236" s="163"/>
      <c r="BQ236" s="163"/>
      <c r="BR236" s="163"/>
      <c r="BS236" s="163"/>
      <c r="BT236" s="163"/>
      <c r="BU236" s="163"/>
      <c r="BV236" s="163"/>
      <c r="BW236" s="163"/>
      <c r="BX236" s="126"/>
      <c r="BY236" s="138"/>
      <c r="BZ236" s="138"/>
      <c r="CA236" s="138"/>
      <c r="CB236" s="405">
        <f t="shared" si="113"/>
        <v>0</v>
      </c>
      <c r="CC236" s="132"/>
    </row>
    <row r="237" ht="14.25" customHeight="1">
      <c r="A237" s="413"/>
      <c r="B237" s="2" t="s">
        <v>81</v>
      </c>
      <c r="C237" s="407">
        <f ref="C237:S237" t="shared" si="114">SUM(C206:C236)</f>
        <v>0</v>
      </c>
      <c r="D237" s="407">
        <f t="shared" si="114"/>
        <v>0</v>
      </c>
      <c r="E237" s="407">
        <f t="shared" si="114"/>
        <v>0</v>
      </c>
      <c r="F237" s="407">
        <f t="shared" si="114"/>
        <v>0</v>
      </c>
      <c r="G237" s="407">
        <f t="shared" si="114"/>
        <v>0</v>
      </c>
      <c r="H237" s="407">
        <f t="shared" si="114"/>
        <v>0</v>
      </c>
      <c r="I237" s="407">
        <f t="shared" si="114"/>
        <v>0</v>
      </c>
      <c r="J237" s="407">
        <f t="shared" si="114"/>
        <v>0</v>
      </c>
      <c r="K237" s="407">
        <f t="shared" si="114"/>
        <v>0</v>
      </c>
      <c r="L237" s="407">
        <f t="shared" si="114"/>
        <v>0</v>
      </c>
      <c r="M237" s="407">
        <f t="shared" si="114"/>
        <v>0</v>
      </c>
      <c r="N237" s="407">
        <f t="shared" si="114"/>
        <v>0</v>
      </c>
      <c r="O237" s="407">
        <f t="shared" si="114"/>
        <v>0</v>
      </c>
      <c r="P237" s="407">
        <f t="shared" si="114"/>
        <v>0</v>
      </c>
      <c r="Q237" s="407">
        <f t="shared" si="114"/>
        <v>0</v>
      </c>
      <c r="R237" s="407">
        <f t="shared" si="114"/>
        <v>0</v>
      </c>
      <c r="S237" s="407">
        <f t="shared" si="114"/>
        <v>0</v>
      </c>
      <c r="T237" s="407"/>
      <c r="U237" s="407">
        <f ref="U237:AU237" t="shared" si="115">SUM(U206:U236)</f>
        <v>0</v>
      </c>
      <c r="V237" s="407">
        <f t="shared" si="115"/>
        <v>0</v>
      </c>
      <c r="W237" s="407">
        <f t="shared" si="115"/>
        <v>0</v>
      </c>
      <c r="X237" s="407">
        <f t="shared" si="115"/>
        <v>0</v>
      </c>
      <c r="Y237" s="407">
        <f t="shared" si="115"/>
        <v>0</v>
      </c>
      <c r="Z237" s="407">
        <f t="shared" si="115"/>
        <v>0</v>
      </c>
      <c r="AA237" s="407">
        <f t="shared" si="115"/>
        <v>0</v>
      </c>
      <c r="AB237" s="407">
        <f t="shared" si="115"/>
        <v>0</v>
      </c>
      <c r="AC237" s="407">
        <f t="shared" si="115"/>
        <v>0</v>
      </c>
      <c r="AD237" s="407">
        <f t="shared" si="115"/>
        <v>0</v>
      </c>
      <c r="AE237" s="407">
        <f t="shared" si="115"/>
        <v>0</v>
      </c>
      <c r="AF237" s="407">
        <f t="shared" si="115"/>
        <v>0</v>
      </c>
      <c r="AG237" s="407">
        <f t="shared" si="115"/>
        <v>0</v>
      </c>
      <c r="AH237" s="407">
        <f t="shared" si="115"/>
        <v>0</v>
      </c>
      <c r="AI237" s="407">
        <f t="shared" si="115"/>
        <v>0</v>
      </c>
      <c r="AJ237" s="407">
        <f t="shared" si="115"/>
        <v>0</v>
      </c>
      <c r="AK237" s="407">
        <f t="shared" si="115"/>
        <v>0</v>
      </c>
      <c r="AL237" s="407">
        <f t="shared" si="115"/>
        <v>0</v>
      </c>
      <c r="AM237" s="407">
        <f t="shared" si="115"/>
        <v>0</v>
      </c>
      <c r="AN237" s="407">
        <f t="shared" si="115"/>
        <v>0</v>
      </c>
      <c r="AO237" s="407">
        <f t="shared" si="115"/>
        <v>0</v>
      </c>
      <c r="AP237" s="407">
        <f t="shared" si="115"/>
        <v>0</v>
      </c>
      <c r="AQ237" s="407">
        <f t="shared" si="115"/>
        <v>0</v>
      </c>
      <c r="AR237" s="407">
        <f t="shared" si="115"/>
        <v>0</v>
      </c>
      <c r="AS237" s="407">
        <f t="shared" si="115"/>
        <v>0</v>
      </c>
      <c r="AT237" s="407">
        <f t="shared" si="115"/>
        <v>0</v>
      </c>
      <c r="AU237" s="407">
        <f t="shared" si="115"/>
        <v>0</v>
      </c>
      <c r="AV237" s="407"/>
      <c r="AW237" s="407">
        <f ref="AW237:BL237" t="shared" si="116">SUM(AW206:AW236)</f>
        <v>0</v>
      </c>
      <c r="AX237" s="407">
        <f t="shared" si="116"/>
        <v>0</v>
      </c>
      <c r="AY237" s="407">
        <f t="shared" si="116"/>
        <v>0</v>
      </c>
      <c r="AZ237" s="407">
        <f t="shared" si="116"/>
        <v>0</v>
      </c>
      <c r="BA237" s="439">
        <f t="shared" si="116"/>
        <v>0</v>
      </c>
      <c r="BB237" s="438">
        <f t="shared" si="116"/>
        <v>0</v>
      </c>
      <c r="BC237" s="439">
        <f t="shared" si="116"/>
        <v>0</v>
      </c>
      <c r="BD237" s="439">
        <f t="shared" si="116"/>
        <v>0</v>
      </c>
      <c r="BE237" s="439">
        <f t="shared" si="116"/>
        <v>0</v>
      </c>
      <c r="BF237" s="439">
        <f t="shared" si="116"/>
        <v>0</v>
      </c>
      <c r="BG237" s="439">
        <f t="shared" si="116"/>
        <v>0</v>
      </c>
      <c r="BH237" s="439">
        <f t="shared" si="116"/>
        <v>0</v>
      </c>
      <c r="BI237" s="439">
        <f t="shared" si="116"/>
        <v>0</v>
      </c>
      <c r="BJ237" s="439">
        <f t="shared" si="116"/>
        <v>0</v>
      </c>
      <c r="BK237" s="407">
        <f t="shared" si="116"/>
        <v>0</v>
      </c>
      <c r="BL237" s="508">
        <f t="shared" si="116"/>
        <v>0</v>
      </c>
      <c r="BM237" s="538"/>
      <c r="BN237" s="509">
        <f ref="BN237:BW237" t="shared" si="117">SUM(BN206:BN236)</f>
        <v>0</v>
      </c>
      <c r="BO237" s="407">
        <f t="shared" si="117"/>
        <v>0</v>
      </c>
      <c r="BP237" s="407">
        <f t="shared" si="117"/>
        <v>0</v>
      </c>
      <c r="BQ237" s="407">
        <f t="shared" si="117"/>
        <v>0</v>
      </c>
      <c r="BR237" s="407">
        <f t="shared" si="117"/>
        <v>0</v>
      </c>
      <c r="BS237" s="407">
        <f t="shared" si="117"/>
        <v>0</v>
      </c>
      <c r="BT237" s="407">
        <f t="shared" si="117"/>
        <v>0</v>
      </c>
      <c r="BU237" s="407">
        <f t="shared" si="117"/>
        <v>0</v>
      </c>
      <c r="BV237" s="407">
        <f t="shared" si="117"/>
        <v>0</v>
      </c>
      <c r="BW237" s="407">
        <f t="shared" si="117"/>
        <v>0</v>
      </c>
      <c r="BX237" s="407"/>
      <c r="BY237" s="407"/>
      <c r="BZ237" s="407"/>
      <c r="CA237" s="407"/>
      <c r="CB237" s="407">
        <f>SUM(CB206:CB236)</f>
        <v>0</v>
      </c>
      <c r="CC237" s="3"/>
    </row>
    <row r="238" ht="14.25" customHeight="1">
      <c r="A238" s="1"/>
      <c r="B238" s="2"/>
      <c r="C238" s="3"/>
      <c r="D238" s="3"/>
      <c r="E238" s="3"/>
      <c r="F238" s="3"/>
      <c r="G238" s="3"/>
      <c r="H238" s="3"/>
      <c r="I238" s="3"/>
      <c r="J238" s="414"/>
      <c r="K238" s="3"/>
      <c r="L238" s="3"/>
      <c r="M238" s="3"/>
      <c r="N238" s="3"/>
      <c r="O238" s="3"/>
      <c r="P238" s="1"/>
      <c r="Q238" s="1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80"/>
      <c r="BB238" s="3"/>
      <c r="BC238" s="132"/>
      <c r="BD238" s="132"/>
      <c r="BE238" s="132"/>
      <c r="BF238" s="132"/>
      <c r="BG238" s="132"/>
      <c r="BH238" s="132"/>
      <c r="BI238" s="132"/>
      <c r="BJ238" s="132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</row>
    <row r="239" ht="14.25" customHeight="1">
      <c r="A239" s="1"/>
      <c r="B239" s="2"/>
      <c r="C239" s="3"/>
      <c r="D239" s="3"/>
      <c r="E239" s="3"/>
      <c r="F239" s="3"/>
      <c r="G239" s="3"/>
      <c r="H239" s="3"/>
      <c r="I239" s="3"/>
      <c r="J239" s="414"/>
      <c r="K239" s="3"/>
      <c r="L239" s="3"/>
      <c r="M239" s="3"/>
      <c r="N239" s="3"/>
      <c r="O239" s="3"/>
      <c r="P239" s="1"/>
      <c r="Q239" s="1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176"/>
      <c r="AQ239" s="3"/>
      <c r="AR239" s="3"/>
      <c r="AS239" s="3"/>
      <c r="AT239" s="3"/>
      <c r="AU239" s="3"/>
      <c r="AV239" s="3"/>
      <c r="AW239" s="3"/>
      <c r="AX239" s="3"/>
      <c r="AY239" s="3"/>
      <c r="AZ239" s="511"/>
      <c r="BA239" s="380"/>
      <c r="BB239" s="3"/>
      <c r="BC239" s="132"/>
      <c r="BD239" s="132"/>
      <c r="BE239" s="132"/>
      <c r="BF239" s="132"/>
      <c r="BG239" s="132"/>
      <c r="BH239" s="132"/>
      <c r="BI239" s="132"/>
      <c r="BJ239" s="132"/>
      <c r="BK239" s="511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</row>
    <row r="240" ht="14.25" customHeight="1">
      <c r="A240" s="3"/>
      <c r="B240" s="215">
        <v>46235</v>
      </c>
      <c r="C240" s="94"/>
      <c r="D240" s="104"/>
      <c r="E240" s="97"/>
      <c r="F240" s="97"/>
      <c r="G240" s="483">
        <f ref="G240:G270" t="shared" si="118">+C240+D240+E240+F240</f>
        <v>0</v>
      </c>
      <c r="H240" s="195"/>
      <c r="I240" s="449"/>
      <c r="J240" s="446"/>
      <c r="K240" s="195"/>
      <c r="L240" s="195"/>
      <c r="M240" s="195"/>
      <c r="N240" s="195"/>
      <c r="O240" s="195"/>
      <c r="P240" s="447"/>
      <c r="Q240" s="447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420">
        <f ref="AB240:AB270" t="shared" si="119">SUM(I240:Y240)</f>
        <v>0</v>
      </c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384">
        <f ref="AP240:AP270" t="shared" si="120">SUM(AC240:AO240)</f>
        <v>0</v>
      </c>
      <c r="AQ240" s="104"/>
      <c r="AR240" s="104"/>
      <c r="AS240" s="104"/>
      <c r="AT240" s="422">
        <f ref="AT240:AT270" t="shared" si="121">SUM(AQ240:AS240)</f>
        <v>0</v>
      </c>
      <c r="AU240" s="195"/>
      <c r="AV240" s="195"/>
      <c r="AW240" s="195"/>
      <c r="AX240" s="195"/>
      <c r="AY240" s="424"/>
      <c r="AZ240" s="432">
        <f ref="AZ240:AZ270" t="shared" si="122">+G240-AB240-AP240-AT240-AU240-AW240-AX240-AY240</f>
        <v>0</v>
      </c>
      <c r="BA240" s="427"/>
      <c r="BB240" s="220"/>
      <c r="BC240" s="109"/>
      <c r="BD240" s="127"/>
      <c r="BE240" s="127"/>
      <c r="BF240" s="109"/>
      <c r="BG240" s="127"/>
      <c r="BH240" s="127"/>
      <c r="BI240" s="127"/>
      <c r="BJ240" s="109"/>
      <c r="BK240" s="389">
        <f ref="BK240:BK258" t="shared" si="123">SUM(BA240:BJ240)-BI240</f>
        <v>0</v>
      </c>
      <c r="BL240" s="114">
        <f ref="BL240:BL270" t="shared" si="124">+AZ240-BK240</f>
        <v>0</v>
      </c>
      <c r="BM240" s="3"/>
      <c r="BN240" s="114">
        <f ref="BN240:BN270" t="shared" si="125">SUM(BO240:CA240)</f>
        <v>0</v>
      </c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539"/>
      <c r="CA240" s="115"/>
      <c r="CB240" s="430">
        <f ref="CB240:CB270" t="shared" si="126">+BL240-BN240</f>
        <v>0</v>
      </c>
      <c r="CC240" s="3"/>
    </row>
    <row r="241" ht="14.25" customHeight="1">
      <c r="A241" s="3"/>
      <c r="B241" s="215">
        <v>46236</v>
      </c>
      <c r="C241" s="118"/>
      <c r="D241" s="123"/>
      <c r="E241" s="120"/>
      <c r="F241" s="120"/>
      <c r="G241" s="445">
        <f t="shared" si="118"/>
        <v>0</v>
      </c>
      <c r="H241" s="140"/>
      <c r="I241" s="457"/>
      <c r="J241" s="454"/>
      <c r="K241" s="140"/>
      <c r="L241" s="140"/>
      <c r="M241" s="140"/>
      <c r="N241" s="140"/>
      <c r="O241" s="140"/>
      <c r="P241" s="456"/>
      <c r="Q241" s="456"/>
      <c r="R241" s="140"/>
      <c r="S241" s="140"/>
      <c r="T241" s="140"/>
      <c r="U241" s="140"/>
      <c r="V241" s="140"/>
      <c r="W241" s="140"/>
      <c r="X241" s="140"/>
      <c r="Y241" s="140"/>
      <c r="Z241" s="140"/>
      <c r="AA241" s="140"/>
      <c r="AB241" s="383">
        <f t="shared" si="119"/>
        <v>0</v>
      </c>
      <c r="AC241" s="140"/>
      <c r="AD241" s="140"/>
      <c r="AE241" s="140"/>
      <c r="AF241" s="140"/>
      <c r="AG241" s="140"/>
      <c r="AH241" s="140"/>
      <c r="AI241" s="140"/>
      <c r="AJ241" s="140"/>
      <c r="AK241" s="140"/>
      <c r="AL241" s="140"/>
      <c r="AM241" s="140"/>
      <c r="AN241" s="140"/>
      <c r="AO241" s="140"/>
      <c r="AP241" s="384">
        <f t="shared" si="120"/>
        <v>0</v>
      </c>
      <c r="AQ241" s="123"/>
      <c r="AR241" s="123"/>
      <c r="AS241" s="123"/>
      <c r="AT241" s="385">
        <f t="shared" si="121"/>
        <v>0</v>
      </c>
      <c r="AU241" s="140"/>
      <c r="AV241" s="140"/>
      <c r="AW241" s="140"/>
      <c r="AX241" s="140"/>
      <c r="AY241" s="392"/>
      <c r="AZ241" s="432">
        <f t="shared" si="122"/>
        <v>0</v>
      </c>
      <c r="BA241" s="433"/>
      <c r="BB241" s="225"/>
      <c r="BC241" s="126"/>
      <c r="BD241" s="127"/>
      <c r="BE241" s="127"/>
      <c r="BF241" s="126"/>
      <c r="BG241" s="127"/>
      <c r="BH241" s="127"/>
      <c r="BI241" s="127"/>
      <c r="BJ241" s="126"/>
      <c r="BK241" s="389">
        <f t="shared" si="123"/>
        <v>0</v>
      </c>
      <c r="BL241" s="113">
        <f t="shared" si="124"/>
        <v>0</v>
      </c>
      <c r="BM241" s="3"/>
      <c r="BN241" s="113">
        <f t="shared" si="125"/>
        <v>0</v>
      </c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540"/>
      <c r="CA241" s="129"/>
      <c r="CB241" s="390">
        <f t="shared" si="126"/>
        <v>0</v>
      </c>
      <c r="CC241" s="3"/>
    </row>
    <row r="242" ht="14.25" customHeight="1">
      <c r="A242" s="132"/>
      <c r="B242" s="215">
        <v>46237</v>
      </c>
      <c r="C242" s="133"/>
      <c r="D242" s="136"/>
      <c r="E242" s="135"/>
      <c r="F242" s="135"/>
      <c r="G242" s="445">
        <f t="shared" si="118"/>
        <v>0</v>
      </c>
      <c r="H242" s="140"/>
      <c r="I242" s="457"/>
      <c r="J242" s="454"/>
      <c r="K242" s="140"/>
      <c r="L242" s="140"/>
      <c r="M242" s="140"/>
      <c r="N242" s="140"/>
      <c r="O242" s="140"/>
      <c r="P242" s="456"/>
      <c r="Q242" s="456"/>
      <c r="R242" s="140"/>
      <c r="S242" s="140"/>
      <c r="T242" s="140"/>
      <c r="U242" s="140"/>
      <c r="V242" s="140"/>
      <c r="W242" s="140"/>
      <c r="X242" s="140"/>
      <c r="Y242" s="140"/>
      <c r="Z242" s="140"/>
      <c r="AA242" s="140"/>
      <c r="AB242" s="383">
        <f t="shared" si="119"/>
        <v>0</v>
      </c>
      <c r="AC242" s="140"/>
      <c r="AD242" s="140"/>
      <c r="AE242" s="140"/>
      <c r="AF242" s="140"/>
      <c r="AG242" s="140"/>
      <c r="AH242" s="140"/>
      <c r="AI242" s="140"/>
      <c r="AJ242" s="140"/>
      <c r="AK242" s="140"/>
      <c r="AL242" s="140"/>
      <c r="AM242" s="140"/>
      <c r="AN242" s="140"/>
      <c r="AO242" s="140"/>
      <c r="AP242" s="384">
        <f t="shared" si="120"/>
        <v>0</v>
      </c>
      <c r="AQ242" s="136"/>
      <c r="AR242" s="136"/>
      <c r="AS242" s="136"/>
      <c r="AT242" s="385">
        <f t="shared" si="121"/>
        <v>0</v>
      </c>
      <c r="AU242" s="140"/>
      <c r="AV242" s="140"/>
      <c r="AW242" s="140"/>
      <c r="AX242" s="140"/>
      <c r="AY242" s="392"/>
      <c r="AZ242" s="432">
        <f t="shared" si="122"/>
        <v>0</v>
      </c>
      <c r="BA242" s="433"/>
      <c r="BB242" s="225"/>
      <c r="BC242" s="126"/>
      <c r="BD242" s="127"/>
      <c r="BE242" s="127"/>
      <c r="BF242" s="126"/>
      <c r="BG242" s="127"/>
      <c r="BH242" s="127"/>
      <c r="BI242" s="127"/>
      <c r="BJ242" s="126"/>
      <c r="BK242" s="389">
        <f t="shared" si="123"/>
        <v>0</v>
      </c>
      <c r="BL242" s="140">
        <f t="shared" si="124"/>
        <v>0</v>
      </c>
      <c r="BM242" s="132"/>
      <c r="BN242" s="140">
        <f t="shared" si="125"/>
        <v>0</v>
      </c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41"/>
      <c r="BY242" s="141"/>
      <c r="BZ242" s="141"/>
      <c r="CA242" s="141"/>
      <c r="CB242" s="390">
        <f t="shared" si="126"/>
        <v>0</v>
      </c>
      <c r="CC242" s="132"/>
    </row>
    <row r="243" ht="14.25" customHeight="1">
      <c r="A243" s="3"/>
      <c r="B243" s="215">
        <v>46238</v>
      </c>
      <c r="C243" s="118"/>
      <c r="D243" s="123"/>
      <c r="E243" s="120"/>
      <c r="F243" s="120"/>
      <c r="G243" s="445">
        <f t="shared" si="118"/>
        <v>0</v>
      </c>
      <c r="H243" s="140"/>
      <c r="I243" s="457"/>
      <c r="J243" s="454"/>
      <c r="K243" s="140"/>
      <c r="L243" s="140"/>
      <c r="M243" s="140"/>
      <c r="N243" s="140"/>
      <c r="O243" s="140"/>
      <c r="P243" s="456"/>
      <c r="Q243" s="456"/>
      <c r="R243" s="140"/>
      <c r="S243" s="140"/>
      <c r="T243" s="140"/>
      <c r="U243" s="140"/>
      <c r="V243" s="140"/>
      <c r="W243" s="140"/>
      <c r="X243" s="140"/>
      <c r="Y243" s="140"/>
      <c r="Z243" s="140"/>
      <c r="AA243" s="140"/>
      <c r="AB243" s="383">
        <f t="shared" si="119"/>
        <v>0</v>
      </c>
      <c r="AC243" s="140"/>
      <c r="AD243" s="140"/>
      <c r="AE243" s="140"/>
      <c r="AF243" s="140"/>
      <c r="AG243" s="140"/>
      <c r="AH243" s="140"/>
      <c r="AI243" s="140"/>
      <c r="AJ243" s="140"/>
      <c r="AK243" s="140"/>
      <c r="AL243" s="140"/>
      <c r="AM243" s="140"/>
      <c r="AN243" s="140"/>
      <c r="AO243" s="140"/>
      <c r="AP243" s="384">
        <f t="shared" si="120"/>
        <v>0</v>
      </c>
      <c r="AQ243" s="123"/>
      <c r="AR243" s="123"/>
      <c r="AS243" s="123"/>
      <c r="AT243" s="385">
        <f t="shared" si="121"/>
        <v>0</v>
      </c>
      <c r="AU243" s="140"/>
      <c r="AV243" s="140"/>
      <c r="AW243" s="140"/>
      <c r="AX243" s="140"/>
      <c r="AY243" s="392"/>
      <c r="AZ243" s="432">
        <f t="shared" si="122"/>
        <v>0</v>
      </c>
      <c r="BA243" s="433"/>
      <c r="BB243" s="225"/>
      <c r="BC243" s="126"/>
      <c r="BD243" s="127"/>
      <c r="BE243" s="127"/>
      <c r="BF243" s="126"/>
      <c r="BG243" s="127"/>
      <c r="BH243" s="127"/>
      <c r="BI243" s="127"/>
      <c r="BJ243" s="126"/>
      <c r="BK243" s="389">
        <f t="shared" si="123"/>
        <v>0</v>
      </c>
      <c r="BL243" s="113">
        <f t="shared" si="124"/>
        <v>0</v>
      </c>
      <c r="BM243" s="3"/>
      <c r="BN243" s="113">
        <f t="shared" si="125"/>
        <v>0</v>
      </c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390">
        <f t="shared" si="126"/>
        <v>0</v>
      </c>
      <c r="CC243" s="3"/>
    </row>
    <row r="244" ht="14.25" customHeight="1">
      <c r="A244" s="3"/>
      <c r="B244" s="215">
        <v>46239</v>
      </c>
      <c r="C244" s="118"/>
      <c r="D244" s="123"/>
      <c r="E244" s="120"/>
      <c r="F244" s="120"/>
      <c r="G244" s="445">
        <f t="shared" si="118"/>
        <v>0</v>
      </c>
      <c r="H244" s="140"/>
      <c r="I244" s="457"/>
      <c r="J244" s="454"/>
      <c r="K244" s="140"/>
      <c r="L244" s="140"/>
      <c r="M244" s="140"/>
      <c r="N244" s="140"/>
      <c r="O244" s="140"/>
      <c r="P244" s="456"/>
      <c r="Q244" s="456"/>
      <c r="R244" s="140"/>
      <c r="S244" s="140"/>
      <c r="T244" s="140"/>
      <c r="U244" s="140"/>
      <c r="V244" s="140"/>
      <c r="W244" s="140"/>
      <c r="X244" s="140"/>
      <c r="Y244" s="140"/>
      <c r="Z244" s="140"/>
      <c r="AA244" s="140"/>
      <c r="AB244" s="383">
        <f t="shared" si="119"/>
        <v>0</v>
      </c>
      <c r="AC244" s="140"/>
      <c r="AD244" s="140"/>
      <c r="AE244" s="140"/>
      <c r="AF244" s="140"/>
      <c r="AG244" s="140"/>
      <c r="AH244" s="140"/>
      <c r="AI244" s="140"/>
      <c r="AJ244" s="140"/>
      <c r="AK244" s="140"/>
      <c r="AL244" s="140"/>
      <c r="AM244" s="140"/>
      <c r="AN244" s="140"/>
      <c r="AO244" s="140"/>
      <c r="AP244" s="384">
        <f t="shared" si="120"/>
        <v>0</v>
      </c>
      <c r="AQ244" s="123"/>
      <c r="AR244" s="123"/>
      <c r="AS244" s="123"/>
      <c r="AT244" s="385">
        <f t="shared" si="121"/>
        <v>0</v>
      </c>
      <c r="AU244" s="140"/>
      <c r="AV244" s="140"/>
      <c r="AW244" s="140"/>
      <c r="AX244" s="140"/>
      <c r="AY244" s="392"/>
      <c r="AZ244" s="432">
        <f t="shared" si="122"/>
        <v>0</v>
      </c>
      <c r="BA244" s="433"/>
      <c r="BB244" s="225"/>
      <c r="BC244" s="126"/>
      <c r="BD244" s="127"/>
      <c r="BE244" s="127"/>
      <c r="BF244" s="126"/>
      <c r="BG244" s="127"/>
      <c r="BH244" s="127"/>
      <c r="BI244" s="127"/>
      <c r="BJ244" s="126"/>
      <c r="BK244" s="389">
        <f t="shared" si="123"/>
        <v>0</v>
      </c>
      <c r="BL244" s="113">
        <f t="shared" si="124"/>
        <v>0</v>
      </c>
      <c r="BM244" s="3"/>
      <c r="BN244" s="113">
        <f t="shared" si="125"/>
        <v>0</v>
      </c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540"/>
      <c r="CA244" s="129"/>
      <c r="CB244" s="390">
        <f t="shared" si="126"/>
        <v>0</v>
      </c>
      <c r="CC244" s="3"/>
    </row>
    <row r="245" ht="14.25" customHeight="1">
      <c r="A245" s="3"/>
      <c r="B245" s="215">
        <v>46240</v>
      </c>
      <c r="C245" s="118"/>
      <c r="D245" s="123"/>
      <c r="E245" s="120"/>
      <c r="F245" s="120"/>
      <c r="G245" s="445">
        <f t="shared" si="118"/>
        <v>0</v>
      </c>
      <c r="H245" s="140"/>
      <c r="I245" s="457"/>
      <c r="J245" s="454"/>
      <c r="K245" s="140"/>
      <c r="L245" s="140"/>
      <c r="M245" s="140"/>
      <c r="N245" s="140"/>
      <c r="O245" s="140"/>
      <c r="P245" s="456"/>
      <c r="Q245" s="456"/>
      <c r="R245" s="140"/>
      <c r="S245" s="140"/>
      <c r="T245" s="140"/>
      <c r="U245" s="140"/>
      <c r="V245" s="140"/>
      <c r="W245" s="140"/>
      <c r="X245" s="140"/>
      <c r="Y245" s="140"/>
      <c r="Z245" s="140"/>
      <c r="AA245" s="140"/>
      <c r="AB245" s="383">
        <f t="shared" si="119"/>
        <v>0</v>
      </c>
      <c r="AC245" s="140"/>
      <c r="AD245" s="140"/>
      <c r="AE245" s="140"/>
      <c r="AF245" s="140"/>
      <c r="AG245" s="140"/>
      <c r="AH245" s="140"/>
      <c r="AI245" s="140"/>
      <c r="AJ245" s="140"/>
      <c r="AK245" s="140"/>
      <c r="AL245" s="140"/>
      <c r="AM245" s="140"/>
      <c r="AN245" s="140"/>
      <c r="AO245" s="140"/>
      <c r="AP245" s="384">
        <f t="shared" si="120"/>
        <v>0</v>
      </c>
      <c r="AQ245" s="123"/>
      <c r="AR245" s="123"/>
      <c r="AS245" s="123"/>
      <c r="AT245" s="385">
        <f t="shared" si="121"/>
        <v>0</v>
      </c>
      <c r="AU245" s="140"/>
      <c r="AV245" s="140"/>
      <c r="AW245" s="140"/>
      <c r="AX245" s="140"/>
      <c r="AY245" s="392"/>
      <c r="AZ245" s="432">
        <f t="shared" si="122"/>
        <v>0</v>
      </c>
      <c r="BA245" s="433"/>
      <c r="BB245" s="225"/>
      <c r="BC245" s="126"/>
      <c r="BD245" s="127"/>
      <c r="BE245" s="127"/>
      <c r="BF245" s="126"/>
      <c r="BG245" s="127"/>
      <c r="BH245" s="127"/>
      <c r="BI245" s="127"/>
      <c r="BJ245" s="126"/>
      <c r="BK245" s="389">
        <f t="shared" si="123"/>
        <v>0</v>
      </c>
      <c r="BL245" s="113">
        <f t="shared" si="124"/>
        <v>0</v>
      </c>
      <c r="BM245" s="3"/>
      <c r="BN245" s="113">
        <f t="shared" si="125"/>
        <v>0</v>
      </c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390">
        <f t="shared" si="126"/>
        <v>0</v>
      </c>
      <c r="CC245" s="3"/>
    </row>
    <row r="246" ht="14.25" customHeight="1">
      <c r="A246" s="3"/>
      <c r="B246" s="215">
        <v>46241</v>
      </c>
      <c r="C246" s="118"/>
      <c r="D246" s="123"/>
      <c r="E246" s="120"/>
      <c r="F246" s="120"/>
      <c r="G246" s="445">
        <f t="shared" si="118"/>
        <v>0</v>
      </c>
      <c r="H246" s="140"/>
      <c r="I246" s="457"/>
      <c r="J246" s="454"/>
      <c r="K246" s="140"/>
      <c r="L246" s="140"/>
      <c r="M246" s="140"/>
      <c r="N246" s="140"/>
      <c r="O246" s="140"/>
      <c r="P246" s="456"/>
      <c r="Q246" s="456"/>
      <c r="R246" s="140"/>
      <c r="S246" s="140"/>
      <c r="T246" s="140"/>
      <c r="U246" s="140"/>
      <c r="V246" s="140"/>
      <c r="W246" s="140"/>
      <c r="X246" s="140"/>
      <c r="Y246" s="140"/>
      <c r="Z246" s="140"/>
      <c r="AA246" s="140"/>
      <c r="AB246" s="383">
        <f t="shared" si="119"/>
        <v>0</v>
      </c>
      <c r="AC246" s="140"/>
      <c r="AD246" s="140"/>
      <c r="AE246" s="140"/>
      <c r="AF246" s="140"/>
      <c r="AG246" s="140"/>
      <c r="AH246" s="140"/>
      <c r="AI246" s="140"/>
      <c r="AJ246" s="140"/>
      <c r="AK246" s="140"/>
      <c r="AL246" s="140"/>
      <c r="AM246" s="140"/>
      <c r="AN246" s="140"/>
      <c r="AO246" s="140"/>
      <c r="AP246" s="384">
        <f t="shared" si="120"/>
        <v>0</v>
      </c>
      <c r="AQ246" s="123"/>
      <c r="AR246" s="123"/>
      <c r="AS246" s="123"/>
      <c r="AT246" s="385">
        <f t="shared" si="121"/>
        <v>0</v>
      </c>
      <c r="AU246" s="140"/>
      <c r="AV246" s="140"/>
      <c r="AW246" s="140"/>
      <c r="AX246" s="140"/>
      <c r="AY246" s="392"/>
      <c r="AZ246" s="432">
        <f t="shared" si="122"/>
        <v>0</v>
      </c>
      <c r="BA246" s="433"/>
      <c r="BB246" s="225"/>
      <c r="BC246" s="126"/>
      <c r="BD246" s="127"/>
      <c r="BE246" s="127"/>
      <c r="BF246" s="126"/>
      <c r="BG246" s="127"/>
      <c r="BH246" s="127"/>
      <c r="BI246" s="127"/>
      <c r="BJ246" s="126"/>
      <c r="BK246" s="389">
        <f t="shared" si="123"/>
        <v>0</v>
      </c>
      <c r="BL246" s="113">
        <f t="shared" si="124"/>
        <v>0</v>
      </c>
      <c r="BM246" s="3"/>
      <c r="BN246" s="113">
        <f t="shared" si="125"/>
        <v>0</v>
      </c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390">
        <f t="shared" si="126"/>
        <v>0</v>
      </c>
      <c r="CC246" s="3"/>
    </row>
    <row r="247" ht="14.25" customHeight="1">
      <c r="A247" s="3"/>
      <c r="B247" s="215">
        <v>46242</v>
      </c>
      <c r="C247" s="118"/>
      <c r="D247" s="123"/>
      <c r="E247" s="120"/>
      <c r="F247" s="120"/>
      <c r="G247" s="445">
        <f t="shared" si="118"/>
        <v>0</v>
      </c>
      <c r="H247" s="140"/>
      <c r="I247" s="457"/>
      <c r="J247" s="454"/>
      <c r="K247" s="140"/>
      <c r="L247" s="140"/>
      <c r="M247" s="140"/>
      <c r="N247" s="140"/>
      <c r="O247" s="140"/>
      <c r="P247" s="456"/>
      <c r="Q247" s="456"/>
      <c r="R247" s="140"/>
      <c r="S247" s="140"/>
      <c r="T247" s="140"/>
      <c r="U247" s="140"/>
      <c r="V247" s="140"/>
      <c r="W247" s="140"/>
      <c r="X247" s="140"/>
      <c r="Y247" s="140"/>
      <c r="Z247" s="140"/>
      <c r="AA247" s="140"/>
      <c r="AB247" s="383">
        <f t="shared" si="119"/>
        <v>0</v>
      </c>
      <c r="AC247" s="140"/>
      <c r="AD247" s="140"/>
      <c r="AE247" s="140"/>
      <c r="AF247" s="140"/>
      <c r="AG247" s="140"/>
      <c r="AH247" s="140"/>
      <c r="AI247" s="140"/>
      <c r="AJ247" s="140"/>
      <c r="AK247" s="140"/>
      <c r="AL247" s="140"/>
      <c r="AM247" s="140"/>
      <c r="AN247" s="140"/>
      <c r="AO247" s="140"/>
      <c r="AP247" s="384">
        <f t="shared" si="120"/>
        <v>0</v>
      </c>
      <c r="AQ247" s="123"/>
      <c r="AR247" s="123"/>
      <c r="AS247" s="123"/>
      <c r="AT247" s="385">
        <f t="shared" si="121"/>
        <v>0</v>
      </c>
      <c r="AU247" s="140"/>
      <c r="AV247" s="140"/>
      <c r="AW247" s="140"/>
      <c r="AX247" s="140"/>
      <c r="AY247" s="392"/>
      <c r="AZ247" s="432">
        <f t="shared" si="122"/>
        <v>0</v>
      </c>
      <c r="BA247" s="433"/>
      <c r="BB247" s="225"/>
      <c r="BC247" s="126"/>
      <c r="BD247" s="127"/>
      <c r="BE247" s="127"/>
      <c r="BF247" s="126"/>
      <c r="BG247" s="127"/>
      <c r="BH247" s="127"/>
      <c r="BI247" s="127"/>
      <c r="BJ247" s="126"/>
      <c r="BK247" s="389">
        <f t="shared" si="123"/>
        <v>0</v>
      </c>
      <c r="BL247" s="113">
        <f t="shared" si="124"/>
        <v>0</v>
      </c>
      <c r="BM247" s="3"/>
      <c r="BN247" s="113">
        <f t="shared" si="125"/>
        <v>0</v>
      </c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540"/>
      <c r="CA247" s="129"/>
      <c r="CB247" s="390">
        <f t="shared" si="126"/>
        <v>0</v>
      </c>
      <c r="CC247" s="3"/>
    </row>
    <row r="248" ht="14.25" customHeight="1">
      <c r="A248" s="3"/>
      <c r="B248" s="215">
        <v>46243</v>
      </c>
      <c r="C248" s="118"/>
      <c r="D248" s="123"/>
      <c r="E248" s="120"/>
      <c r="F248" s="120"/>
      <c r="G248" s="445">
        <f t="shared" si="118"/>
        <v>0</v>
      </c>
      <c r="H248" s="140"/>
      <c r="I248" s="457"/>
      <c r="J248" s="454"/>
      <c r="K248" s="140"/>
      <c r="L248" s="140"/>
      <c r="M248" s="140"/>
      <c r="N248" s="140"/>
      <c r="O248" s="140"/>
      <c r="P248" s="456"/>
      <c r="Q248" s="456"/>
      <c r="R248" s="140"/>
      <c r="S248" s="140"/>
      <c r="T248" s="140"/>
      <c r="U248" s="140"/>
      <c r="V248" s="140"/>
      <c r="W248" s="140"/>
      <c r="X248" s="140"/>
      <c r="Y248" s="140"/>
      <c r="Z248" s="140"/>
      <c r="AA248" s="140"/>
      <c r="AB248" s="383">
        <f t="shared" si="119"/>
        <v>0</v>
      </c>
      <c r="AC248" s="140"/>
      <c r="AD248" s="140"/>
      <c r="AE248" s="140"/>
      <c r="AF248" s="140"/>
      <c r="AG248" s="140"/>
      <c r="AH248" s="140"/>
      <c r="AI248" s="140"/>
      <c r="AJ248" s="140"/>
      <c r="AK248" s="140"/>
      <c r="AL248" s="140"/>
      <c r="AM248" s="140"/>
      <c r="AN248" s="140"/>
      <c r="AO248" s="140"/>
      <c r="AP248" s="384">
        <f t="shared" si="120"/>
        <v>0</v>
      </c>
      <c r="AQ248" s="123"/>
      <c r="AR248" s="123"/>
      <c r="AS248" s="123"/>
      <c r="AT248" s="385">
        <f t="shared" si="121"/>
        <v>0</v>
      </c>
      <c r="AU248" s="140"/>
      <c r="AV248" s="140"/>
      <c r="AW248" s="140"/>
      <c r="AX248" s="140"/>
      <c r="AY248" s="392"/>
      <c r="AZ248" s="432">
        <f t="shared" si="122"/>
        <v>0</v>
      </c>
      <c r="BA248" s="433"/>
      <c r="BB248" s="225"/>
      <c r="BC248" s="126"/>
      <c r="BD248" s="127"/>
      <c r="BE248" s="127"/>
      <c r="BF248" s="126"/>
      <c r="BG248" s="127"/>
      <c r="BH248" s="127"/>
      <c r="BI248" s="127"/>
      <c r="BJ248" s="126"/>
      <c r="BK248" s="389">
        <f t="shared" si="123"/>
        <v>0</v>
      </c>
      <c r="BL248" s="113">
        <f t="shared" si="124"/>
        <v>0</v>
      </c>
      <c r="BM248" s="3"/>
      <c r="BN248" s="113">
        <f t="shared" si="125"/>
        <v>0</v>
      </c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540"/>
      <c r="CA248" s="129"/>
      <c r="CB248" s="390">
        <f t="shared" si="126"/>
        <v>0</v>
      </c>
      <c r="CC248" s="3"/>
    </row>
    <row r="249" ht="14.25" customHeight="1">
      <c r="A249" s="3"/>
      <c r="B249" s="215">
        <v>46244</v>
      </c>
      <c r="C249" s="118"/>
      <c r="D249" s="123"/>
      <c r="E249" s="120"/>
      <c r="F249" s="120"/>
      <c r="G249" s="445">
        <f t="shared" si="118"/>
        <v>0</v>
      </c>
      <c r="H249" s="140"/>
      <c r="I249" s="457"/>
      <c r="J249" s="454"/>
      <c r="K249" s="140"/>
      <c r="L249" s="140"/>
      <c r="M249" s="140"/>
      <c r="N249" s="140"/>
      <c r="O249" s="140"/>
      <c r="P249" s="456"/>
      <c r="Q249" s="456"/>
      <c r="R249" s="140"/>
      <c r="S249" s="140"/>
      <c r="T249" s="140"/>
      <c r="U249" s="140"/>
      <c r="V249" s="140"/>
      <c r="W249" s="140"/>
      <c r="X249" s="140"/>
      <c r="Y249" s="140"/>
      <c r="Z249" s="140"/>
      <c r="AA249" s="140"/>
      <c r="AB249" s="383">
        <f t="shared" si="119"/>
        <v>0</v>
      </c>
      <c r="AC249" s="140"/>
      <c r="AD249" s="140"/>
      <c r="AE249" s="140"/>
      <c r="AF249" s="140"/>
      <c r="AG249" s="140"/>
      <c r="AH249" s="140"/>
      <c r="AI249" s="140"/>
      <c r="AJ249" s="140"/>
      <c r="AK249" s="140"/>
      <c r="AL249" s="140"/>
      <c r="AM249" s="140"/>
      <c r="AN249" s="140"/>
      <c r="AO249" s="140"/>
      <c r="AP249" s="384">
        <f t="shared" si="120"/>
        <v>0</v>
      </c>
      <c r="AQ249" s="123"/>
      <c r="AR249" s="123"/>
      <c r="AS249" s="123"/>
      <c r="AT249" s="385">
        <f t="shared" si="121"/>
        <v>0</v>
      </c>
      <c r="AU249" s="140"/>
      <c r="AV249" s="140"/>
      <c r="AW249" s="140"/>
      <c r="AX249" s="140"/>
      <c r="AY249" s="392"/>
      <c r="AZ249" s="432">
        <f t="shared" si="122"/>
        <v>0</v>
      </c>
      <c r="BA249" s="433"/>
      <c r="BB249" s="225"/>
      <c r="BC249" s="126"/>
      <c r="BD249" s="127"/>
      <c r="BE249" s="127"/>
      <c r="BF249" s="126"/>
      <c r="BG249" s="127"/>
      <c r="BH249" s="127"/>
      <c r="BI249" s="127"/>
      <c r="BJ249" s="126"/>
      <c r="BK249" s="389">
        <f t="shared" si="123"/>
        <v>0</v>
      </c>
      <c r="BL249" s="113">
        <f t="shared" si="124"/>
        <v>0</v>
      </c>
      <c r="BM249" s="3"/>
      <c r="BN249" s="113">
        <f t="shared" si="125"/>
        <v>0</v>
      </c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390">
        <f t="shared" si="126"/>
        <v>0</v>
      </c>
      <c r="CC249" s="3"/>
    </row>
    <row r="250" ht="14.25" customHeight="1">
      <c r="A250" s="3"/>
      <c r="B250" s="215">
        <v>46245</v>
      </c>
      <c r="C250" s="118"/>
      <c r="D250" s="123"/>
      <c r="E250" s="120"/>
      <c r="F250" s="120"/>
      <c r="G250" s="445">
        <f t="shared" si="118"/>
        <v>0</v>
      </c>
      <c r="H250" s="140"/>
      <c r="I250" s="457"/>
      <c r="J250" s="454"/>
      <c r="K250" s="140"/>
      <c r="L250" s="140"/>
      <c r="M250" s="140"/>
      <c r="N250" s="140"/>
      <c r="O250" s="140"/>
      <c r="P250" s="456"/>
      <c r="Q250" s="456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383">
        <f t="shared" si="119"/>
        <v>0</v>
      </c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384">
        <f t="shared" si="120"/>
        <v>0</v>
      </c>
      <c r="AQ250" s="123"/>
      <c r="AR250" s="123"/>
      <c r="AS250" s="123"/>
      <c r="AT250" s="385">
        <f t="shared" si="121"/>
        <v>0</v>
      </c>
      <c r="AU250" s="140"/>
      <c r="AV250" s="140"/>
      <c r="AW250" s="140"/>
      <c r="AX250" s="140"/>
      <c r="AY250" s="392"/>
      <c r="AZ250" s="432">
        <f t="shared" si="122"/>
        <v>0</v>
      </c>
      <c r="BA250" s="433"/>
      <c r="BB250" s="225"/>
      <c r="BC250" s="126"/>
      <c r="BD250" s="127"/>
      <c r="BE250" s="127"/>
      <c r="BF250" s="126"/>
      <c r="BG250" s="127"/>
      <c r="BH250" s="127"/>
      <c r="BI250" s="127"/>
      <c r="BJ250" s="126"/>
      <c r="BK250" s="389">
        <f t="shared" si="123"/>
        <v>0</v>
      </c>
      <c r="BL250" s="113">
        <f t="shared" si="124"/>
        <v>0</v>
      </c>
      <c r="BM250" s="3"/>
      <c r="BN250" s="113">
        <f t="shared" si="125"/>
        <v>0</v>
      </c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540"/>
      <c r="CA250" s="129"/>
      <c r="CB250" s="390">
        <f t="shared" si="126"/>
        <v>0</v>
      </c>
      <c r="CC250" s="3"/>
    </row>
    <row r="251" ht="14.25" customHeight="1">
      <c r="A251" s="132"/>
      <c r="B251" s="215">
        <v>46246</v>
      </c>
      <c r="C251" s="133"/>
      <c r="D251" s="136"/>
      <c r="E251" s="135"/>
      <c r="F251" s="135"/>
      <c r="G251" s="445">
        <f t="shared" si="118"/>
        <v>0</v>
      </c>
      <c r="H251" s="140"/>
      <c r="I251" s="457"/>
      <c r="J251" s="454"/>
      <c r="K251" s="140"/>
      <c r="L251" s="140"/>
      <c r="M251" s="140"/>
      <c r="N251" s="140"/>
      <c r="O251" s="140"/>
      <c r="P251" s="456"/>
      <c r="Q251" s="456"/>
      <c r="R251" s="140"/>
      <c r="S251" s="140"/>
      <c r="T251" s="140"/>
      <c r="U251" s="140"/>
      <c r="V251" s="140"/>
      <c r="W251" s="140"/>
      <c r="X251" s="140"/>
      <c r="Y251" s="140"/>
      <c r="Z251" s="140"/>
      <c r="AA251" s="140"/>
      <c r="AB251" s="383">
        <f t="shared" si="119"/>
        <v>0</v>
      </c>
      <c r="AC251" s="140"/>
      <c r="AD251" s="140"/>
      <c r="AE251" s="140"/>
      <c r="AF251" s="140"/>
      <c r="AG251" s="140"/>
      <c r="AH251" s="140"/>
      <c r="AI251" s="140"/>
      <c r="AJ251" s="140"/>
      <c r="AK251" s="140"/>
      <c r="AL251" s="140"/>
      <c r="AM251" s="140"/>
      <c r="AN251" s="140"/>
      <c r="AO251" s="140"/>
      <c r="AP251" s="384">
        <f t="shared" si="120"/>
        <v>0</v>
      </c>
      <c r="AQ251" s="136"/>
      <c r="AR251" s="136"/>
      <c r="AS251" s="136"/>
      <c r="AT251" s="385">
        <f t="shared" si="121"/>
        <v>0</v>
      </c>
      <c r="AU251" s="140"/>
      <c r="AV251" s="140"/>
      <c r="AW251" s="140"/>
      <c r="AX251" s="140"/>
      <c r="AY251" s="392"/>
      <c r="AZ251" s="432">
        <f t="shared" si="122"/>
        <v>0</v>
      </c>
      <c r="BA251" s="433"/>
      <c r="BB251" s="225"/>
      <c r="BC251" s="126"/>
      <c r="BD251" s="127"/>
      <c r="BE251" s="127"/>
      <c r="BF251" s="126"/>
      <c r="BG251" s="127"/>
      <c r="BH251" s="127"/>
      <c r="BI251" s="127"/>
      <c r="BJ251" s="126"/>
      <c r="BK251" s="389">
        <f t="shared" si="123"/>
        <v>0</v>
      </c>
      <c r="BL251" s="140">
        <f t="shared" si="124"/>
        <v>0</v>
      </c>
      <c r="BM251" s="132"/>
      <c r="BN251" s="140">
        <f t="shared" si="125"/>
        <v>0</v>
      </c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41"/>
      <c r="CA251" s="141"/>
      <c r="CB251" s="390">
        <f t="shared" si="126"/>
        <v>0</v>
      </c>
      <c r="CC251" s="132"/>
    </row>
    <row r="252" ht="14.25" customHeight="1">
      <c r="A252" s="132"/>
      <c r="B252" s="215">
        <v>46247</v>
      </c>
      <c r="C252" s="133"/>
      <c r="D252" s="136"/>
      <c r="E252" s="135"/>
      <c r="F252" s="135"/>
      <c r="G252" s="445">
        <f t="shared" si="118"/>
        <v>0</v>
      </c>
      <c r="H252" s="140"/>
      <c r="I252" s="457"/>
      <c r="J252" s="454"/>
      <c r="K252" s="140"/>
      <c r="L252" s="140"/>
      <c r="M252" s="140"/>
      <c r="N252" s="140"/>
      <c r="O252" s="140"/>
      <c r="P252" s="456"/>
      <c r="Q252" s="456"/>
      <c r="R252" s="140"/>
      <c r="S252" s="140"/>
      <c r="T252" s="140"/>
      <c r="U252" s="140"/>
      <c r="V252" s="140"/>
      <c r="W252" s="140"/>
      <c r="X252" s="140"/>
      <c r="Y252" s="140"/>
      <c r="Z252" s="140"/>
      <c r="AA252" s="140"/>
      <c r="AB252" s="383">
        <f t="shared" si="119"/>
        <v>0</v>
      </c>
      <c r="AC252" s="140"/>
      <c r="AD252" s="140"/>
      <c r="AE252" s="140"/>
      <c r="AF252" s="140"/>
      <c r="AG252" s="140"/>
      <c r="AH252" s="140"/>
      <c r="AI252" s="140"/>
      <c r="AJ252" s="140"/>
      <c r="AK252" s="140"/>
      <c r="AL252" s="140"/>
      <c r="AM252" s="140"/>
      <c r="AN252" s="140"/>
      <c r="AO252" s="140"/>
      <c r="AP252" s="384">
        <f t="shared" si="120"/>
        <v>0</v>
      </c>
      <c r="AQ252" s="136"/>
      <c r="AR252" s="136"/>
      <c r="AS252" s="136"/>
      <c r="AT252" s="385">
        <f t="shared" si="121"/>
        <v>0</v>
      </c>
      <c r="AU252" s="140"/>
      <c r="AV252" s="140"/>
      <c r="AW252" s="140"/>
      <c r="AX252" s="140"/>
      <c r="AY252" s="392"/>
      <c r="AZ252" s="432">
        <f t="shared" si="122"/>
        <v>0</v>
      </c>
      <c r="BA252" s="433"/>
      <c r="BB252" s="225"/>
      <c r="BC252" s="126"/>
      <c r="BD252" s="127"/>
      <c r="BE252" s="127"/>
      <c r="BF252" s="126"/>
      <c r="BG252" s="127"/>
      <c r="BH252" s="127"/>
      <c r="BI252" s="127"/>
      <c r="BJ252" s="126"/>
      <c r="BK252" s="389">
        <f t="shared" si="123"/>
        <v>0</v>
      </c>
      <c r="BL252" s="140">
        <f t="shared" si="124"/>
        <v>0</v>
      </c>
      <c r="BM252" s="132"/>
      <c r="BN252" s="140">
        <f t="shared" si="125"/>
        <v>0</v>
      </c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41"/>
      <c r="CA252" s="141"/>
      <c r="CB252" s="390">
        <f t="shared" si="126"/>
        <v>0</v>
      </c>
      <c r="CC252" s="132"/>
    </row>
    <row r="253" ht="14.25" customHeight="1">
      <c r="A253" s="132"/>
      <c r="B253" s="215">
        <v>46248</v>
      </c>
      <c r="C253" s="133"/>
      <c r="D253" s="136"/>
      <c r="E253" s="135"/>
      <c r="F253" s="135"/>
      <c r="G253" s="445">
        <f t="shared" si="118"/>
        <v>0</v>
      </c>
      <c r="H253" s="140"/>
      <c r="I253" s="457"/>
      <c r="J253" s="454"/>
      <c r="K253" s="140"/>
      <c r="L253" s="140"/>
      <c r="M253" s="140"/>
      <c r="N253" s="140"/>
      <c r="O253" s="140"/>
      <c r="P253" s="456"/>
      <c r="Q253" s="456"/>
      <c r="R253" s="140"/>
      <c r="S253" s="140"/>
      <c r="T253" s="140"/>
      <c r="U253" s="140"/>
      <c r="V253" s="140"/>
      <c r="W253" s="140"/>
      <c r="X253" s="140"/>
      <c r="Y253" s="140"/>
      <c r="Z253" s="140"/>
      <c r="AA253" s="140"/>
      <c r="AB253" s="383">
        <f t="shared" si="119"/>
        <v>0</v>
      </c>
      <c r="AC253" s="140"/>
      <c r="AD253" s="140"/>
      <c r="AE253" s="140"/>
      <c r="AF253" s="140"/>
      <c r="AG253" s="140"/>
      <c r="AH253" s="140"/>
      <c r="AI253" s="140"/>
      <c r="AJ253" s="140"/>
      <c r="AK253" s="140"/>
      <c r="AL253" s="140"/>
      <c r="AM253" s="140"/>
      <c r="AN253" s="140"/>
      <c r="AO253" s="140"/>
      <c r="AP253" s="384">
        <f t="shared" si="120"/>
        <v>0</v>
      </c>
      <c r="AQ253" s="136"/>
      <c r="AR253" s="136"/>
      <c r="AS253" s="136"/>
      <c r="AT253" s="385">
        <f t="shared" si="121"/>
        <v>0</v>
      </c>
      <c r="AU253" s="140"/>
      <c r="AV253" s="140"/>
      <c r="AW253" s="140"/>
      <c r="AX253" s="140"/>
      <c r="AY253" s="392"/>
      <c r="AZ253" s="432">
        <f t="shared" si="122"/>
        <v>0</v>
      </c>
      <c r="BA253" s="433"/>
      <c r="BB253" s="225"/>
      <c r="BC253" s="126"/>
      <c r="BD253" s="127"/>
      <c r="BE253" s="127"/>
      <c r="BF253" s="126"/>
      <c r="BG253" s="127"/>
      <c r="BH253" s="127"/>
      <c r="BI253" s="127"/>
      <c r="BJ253" s="126"/>
      <c r="BK253" s="389">
        <f t="shared" si="123"/>
        <v>0</v>
      </c>
      <c r="BL253" s="140">
        <f t="shared" si="124"/>
        <v>0</v>
      </c>
      <c r="BM253" s="132"/>
      <c r="BN253" s="140">
        <f t="shared" si="125"/>
        <v>0</v>
      </c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41"/>
      <c r="CA253" s="141"/>
      <c r="CB253" s="390">
        <f t="shared" si="126"/>
        <v>0</v>
      </c>
      <c r="CC253" s="132"/>
    </row>
    <row r="254" ht="14.25" customHeight="1">
      <c r="A254" s="132"/>
      <c r="B254" s="215">
        <v>46249</v>
      </c>
      <c r="C254" s="133"/>
      <c r="D254" s="136"/>
      <c r="E254" s="135"/>
      <c r="F254" s="135"/>
      <c r="G254" s="445">
        <f t="shared" si="118"/>
        <v>0</v>
      </c>
      <c r="H254" s="140"/>
      <c r="I254" s="457"/>
      <c r="J254" s="454"/>
      <c r="K254" s="140"/>
      <c r="L254" s="140"/>
      <c r="M254" s="140"/>
      <c r="N254" s="140"/>
      <c r="O254" s="140"/>
      <c r="P254" s="456"/>
      <c r="Q254" s="456"/>
      <c r="R254" s="140"/>
      <c r="S254" s="140"/>
      <c r="T254" s="140"/>
      <c r="U254" s="140"/>
      <c r="V254" s="140"/>
      <c r="W254" s="140"/>
      <c r="X254" s="140"/>
      <c r="Y254" s="140"/>
      <c r="Z254" s="140"/>
      <c r="AA254" s="140"/>
      <c r="AB254" s="383">
        <f t="shared" si="119"/>
        <v>0</v>
      </c>
      <c r="AC254" s="140"/>
      <c r="AD254" s="140"/>
      <c r="AE254" s="140"/>
      <c r="AF254" s="140"/>
      <c r="AG254" s="140"/>
      <c r="AH254" s="140"/>
      <c r="AI254" s="140"/>
      <c r="AJ254" s="140"/>
      <c r="AK254" s="140"/>
      <c r="AL254" s="140"/>
      <c r="AM254" s="140"/>
      <c r="AN254" s="140"/>
      <c r="AO254" s="140"/>
      <c r="AP254" s="384">
        <f t="shared" si="120"/>
        <v>0</v>
      </c>
      <c r="AQ254" s="136"/>
      <c r="AR254" s="136"/>
      <c r="AS254" s="136"/>
      <c r="AT254" s="385">
        <f t="shared" si="121"/>
        <v>0</v>
      </c>
      <c r="AU254" s="140"/>
      <c r="AV254" s="140"/>
      <c r="AW254" s="140"/>
      <c r="AX254" s="140"/>
      <c r="AY254" s="392"/>
      <c r="AZ254" s="432">
        <f t="shared" si="122"/>
        <v>0</v>
      </c>
      <c r="BA254" s="433"/>
      <c r="BB254" s="225"/>
      <c r="BC254" s="126"/>
      <c r="BD254" s="127"/>
      <c r="BE254" s="127"/>
      <c r="BF254" s="126"/>
      <c r="BG254" s="127"/>
      <c r="BH254" s="127"/>
      <c r="BI254" s="127"/>
      <c r="BJ254" s="126"/>
      <c r="BK254" s="389">
        <f t="shared" si="123"/>
        <v>0</v>
      </c>
      <c r="BL254" s="140">
        <f t="shared" si="124"/>
        <v>0</v>
      </c>
      <c r="BM254" s="132"/>
      <c r="BN254" s="140">
        <f t="shared" si="125"/>
        <v>0</v>
      </c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41"/>
      <c r="CA254" s="141"/>
      <c r="CB254" s="390">
        <f t="shared" si="126"/>
        <v>0</v>
      </c>
      <c r="CC254" s="132"/>
    </row>
    <row r="255" ht="14.25" customHeight="1">
      <c r="A255" s="132"/>
      <c r="B255" s="215">
        <v>46250</v>
      </c>
      <c r="C255" s="133"/>
      <c r="D255" s="136"/>
      <c r="E255" s="135"/>
      <c r="F255" s="135"/>
      <c r="G255" s="445">
        <f t="shared" si="118"/>
        <v>0</v>
      </c>
      <c r="H255" s="140"/>
      <c r="I255" s="457"/>
      <c r="J255" s="454"/>
      <c r="K255" s="140"/>
      <c r="L255" s="140"/>
      <c r="M255" s="140"/>
      <c r="N255" s="140"/>
      <c r="O255" s="140"/>
      <c r="P255" s="456"/>
      <c r="Q255" s="456"/>
      <c r="R255" s="140"/>
      <c r="S255" s="140"/>
      <c r="T255" s="140"/>
      <c r="U255" s="140"/>
      <c r="V255" s="140"/>
      <c r="W255" s="140"/>
      <c r="X255" s="140"/>
      <c r="Y255" s="140"/>
      <c r="Z255" s="140"/>
      <c r="AA255" s="140"/>
      <c r="AB255" s="383">
        <f t="shared" si="119"/>
        <v>0</v>
      </c>
      <c r="AC255" s="140"/>
      <c r="AD255" s="140"/>
      <c r="AE255" s="140"/>
      <c r="AF255" s="140"/>
      <c r="AG255" s="140"/>
      <c r="AH255" s="140"/>
      <c r="AI255" s="140"/>
      <c r="AJ255" s="140"/>
      <c r="AK255" s="140"/>
      <c r="AL255" s="140"/>
      <c r="AM255" s="140"/>
      <c r="AN255" s="140"/>
      <c r="AO255" s="140"/>
      <c r="AP255" s="384">
        <f t="shared" si="120"/>
        <v>0</v>
      </c>
      <c r="AQ255" s="136"/>
      <c r="AR255" s="136"/>
      <c r="AS255" s="136"/>
      <c r="AT255" s="385">
        <f t="shared" si="121"/>
        <v>0</v>
      </c>
      <c r="AU255" s="140"/>
      <c r="AV255" s="140"/>
      <c r="AW255" s="140"/>
      <c r="AX255" s="140"/>
      <c r="AY255" s="392"/>
      <c r="AZ255" s="432">
        <f t="shared" si="122"/>
        <v>0</v>
      </c>
      <c r="BA255" s="433"/>
      <c r="BB255" s="225"/>
      <c r="BC255" s="126"/>
      <c r="BD255" s="127"/>
      <c r="BE255" s="127"/>
      <c r="BF255" s="126"/>
      <c r="BG255" s="127"/>
      <c r="BH255" s="127"/>
      <c r="BI255" s="127"/>
      <c r="BJ255" s="126"/>
      <c r="BK255" s="389">
        <f t="shared" si="123"/>
        <v>0</v>
      </c>
      <c r="BL255" s="140">
        <f t="shared" si="124"/>
        <v>0</v>
      </c>
      <c r="BM255" s="132"/>
      <c r="BN255" s="140">
        <f t="shared" si="125"/>
        <v>0</v>
      </c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41"/>
      <c r="CA255" s="141"/>
      <c r="CB255" s="390">
        <f t="shared" si="126"/>
        <v>0</v>
      </c>
      <c r="CC255" s="132"/>
    </row>
    <row r="256" ht="14.25" customHeight="1">
      <c r="A256" s="132"/>
      <c r="B256" s="215">
        <v>46251</v>
      </c>
      <c r="C256" s="133"/>
      <c r="D256" s="136"/>
      <c r="E256" s="135"/>
      <c r="F256" s="135"/>
      <c r="G256" s="445">
        <f t="shared" si="118"/>
        <v>0</v>
      </c>
      <c r="H256" s="140"/>
      <c r="I256" s="457"/>
      <c r="J256" s="454"/>
      <c r="K256" s="140"/>
      <c r="L256" s="140"/>
      <c r="M256" s="140"/>
      <c r="N256" s="140"/>
      <c r="O256" s="140"/>
      <c r="P256" s="456"/>
      <c r="Q256" s="456"/>
      <c r="R256" s="140"/>
      <c r="S256" s="140"/>
      <c r="T256" s="140"/>
      <c r="U256" s="140"/>
      <c r="V256" s="140"/>
      <c r="W256" s="140"/>
      <c r="X256" s="140"/>
      <c r="Y256" s="140"/>
      <c r="Z256" s="140"/>
      <c r="AA256" s="140"/>
      <c r="AB256" s="383">
        <f t="shared" si="119"/>
        <v>0</v>
      </c>
      <c r="AC256" s="140"/>
      <c r="AD256" s="140"/>
      <c r="AE256" s="140"/>
      <c r="AF256" s="140"/>
      <c r="AG256" s="140"/>
      <c r="AH256" s="140"/>
      <c r="AI256" s="140"/>
      <c r="AJ256" s="140"/>
      <c r="AK256" s="140"/>
      <c r="AL256" s="140"/>
      <c r="AM256" s="140"/>
      <c r="AN256" s="140"/>
      <c r="AO256" s="140"/>
      <c r="AP256" s="384">
        <f t="shared" si="120"/>
        <v>0</v>
      </c>
      <c r="AQ256" s="136"/>
      <c r="AR256" s="136"/>
      <c r="AS256" s="136"/>
      <c r="AT256" s="385">
        <f t="shared" si="121"/>
        <v>0</v>
      </c>
      <c r="AU256" s="140"/>
      <c r="AV256" s="140"/>
      <c r="AW256" s="140"/>
      <c r="AX256" s="140"/>
      <c r="AY256" s="392"/>
      <c r="AZ256" s="432">
        <f t="shared" si="122"/>
        <v>0</v>
      </c>
      <c r="BA256" s="433"/>
      <c r="BB256" s="225"/>
      <c r="BC256" s="126"/>
      <c r="BD256" s="127"/>
      <c r="BE256" s="127"/>
      <c r="BF256" s="126"/>
      <c r="BG256" s="127"/>
      <c r="BH256" s="127"/>
      <c r="BI256" s="127"/>
      <c r="BJ256" s="126"/>
      <c r="BK256" s="389">
        <f t="shared" si="123"/>
        <v>0</v>
      </c>
      <c r="BL256" s="140">
        <f t="shared" si="124"/>
        <v>0</v>
      </c>
      <c r="BM256" s="132"/>
      <c r="BN256" s="140">
        <f t="shared" si="125"/>
        <v>0</v>
      </c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41"/>
      <c r="CA256" s="141"/>
      <c r="CB256" s="390">
        <f t="shared" si="126"/>
        <v>0</v>
      </c>
      <c r="CC256" s="132"/>
    </row>
    <row r="257" ht="14.25" customHeight="1">
      <c r="A257" s="132"/>
      <c r="B257" s="215">
        <v>46252</v>
      </c>
      <c r="C257" s="133"/>
      <c r="D257" s="136"/>
      <c r="E257" s="135"/>
      <c r="F257" s="135"/>
      <c r="G257" s="445">
        <f t="shared" si="118"/>
        <v>0</v>
      </c>
      <c r="H257" s="140"/>
      <c r="I257" s="457"/>
      <c r="J257" s="454"/>
      <c r="K257" s="140"/>
      <c r="L257" s="140"/>
      <c r="M257" s="140"/>
      <c r="N257" s="140"/>
      <c r="O257" s="140"/>
      <c r="P257" s="456"/>
      <c r="Q257" s="456"/>
      <c r="R257" s="140"/>
      <c r="S257" s="140"/>
      <c r="T257" s="140"/>
      <c r="U257" s="140"/>
      <c r="V257" s="140"/>
      <c r="W257" s="140"/>
      <c r="X257" s="140"/>
      <c r="Y257" s="140"/>
      <c r="Z257" s="140"/>
      <c r="AA257" s="140"/>
      <c r="AB257" s="383">
        <f t="shared" si="119"/>
        <v>0</v>
      </c>
      <c r="AC257" s="140"/>
      <c r="AD257" s="140"/>
      <c r="AE257" s="140"/>
      <c r="AF257" s="140"/>
      <c r="AG257" s="140"/>
      <c r="AH257" s="140"/>
      <c r="AI257" s="140"/>
      <c r="AJ257" s="140"/>
      <c r="AK257" s="140"/>
      <c r="AL257" s="140"/>
      <c r="AM257" s="140"/>
      <c r="AN257" s="140"/>
      <c r="AO257" s="140"/>
      <c r="AP257" s="384">
        <f t="shared" si="120"/>
        <v>0</v>
      </c>
      <c r="AQ257" s="136"/>
      <c r="AR257" s="136"/>
      <c r="AS257" s="136"/>
      <c r="AT257" s="385">
        <f t="shared" si="121"/>
        <v>0</v>
      </c>
      <c r="AU257" s="140"/>
      <c r="AV257" s="140"/>
      <c r="AW257" s="140"/>
      <c r="AX257" s="140"/>
      <c r="AY257" s="392"/>
      <c r="AZ257" s="432">
        <f t="shared" si="122"/>
        <v>0</v>
      </c>
      <c r="BA257" s="433"/>
      <c r="BB257" s="225"/>
      <c r="BC257" s="126"/>
      <c r="BD257" s="127"/>
      <c r="BE257" s="127"/>
      <c r="BF257" s="126"/>
      <c r="BG257" s="127"/>
      <c r="BH257" s="127"/>
      <c r="BI257" s="127"/>
      <c r="BJ257" s="126"/>
      <c r="BK257" s="389">
        <f t="shared" si="123"/>
        <v>0</v>
      </c>
      <c r="BL257" s="140">
        <f t="shared" si="124"/>
        <v>0</v>
      </c>
      <c r="BM257" s="132"/>
      <c r="BN257" s="140">
        <f t="shared" si="125"/>
        <v>0</v>
      </c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41"/>
      <c r="CA257" s="141"/>
      <c r="CB257" s="390">
        <f t="shared" si="126"/>
        <v>0</v>
      </c>
      <c r="CC257" s="132"/>
    </row>
    <row r="258" ht="14.25" customHeight="1">
      <c r="A258" s="132"/>
      <c r="B258" s="215">
        <v>46253</v>
      </c>
      <c r="C258" s="133"/>
      <c r="D258" s="136"/>
      <c r="E258" s="135"/>
      <c r="F258" s="135"/>
      <c r="G258" s="445">
        <f t="shared" si="118"/>
        <v>0</v>
      </c>
      <c r="H258" s="140"/>
      <c r="I258" s="457"/>
      <c r="J258" s="454"/>
      <c r="K258" s="140"/>
      <c r="L258" s="140"/>
      <c r="M258" s="140"/>
      <c r="N258" s="140"/>
      <c r="O258" s="140"/>
      <c r="P258" s="456"/>
      <c r="Q258" s="456"/>
      <c r="R258" s="140"/>
      <c r="S258" s="140"/>
      <c r="T258" s="140"/>
      <c r="U258" s="140"/>
      <c r="V258" s="140"/>
      <c r="W258" s="140"/>
      <c r="X258" s="140"/>
      <c r="Y258" s="140"/>
      <c r="Z258" s="140"/>
      <c r="AA258" s="140"/>
      <c r="AB258" s="383">
        <f t="shared" si="119"/>
        <v>0</v>
      </c>
      <c r="AC258" s="140"/>
      <c r="AD258" s="140"/>
      <c r="AE258" s="140"/>
      <c r="AF258" s="140"/>
      <c r="AG258" s="140"/>
      <c r="AH258" s="140"/>
      <c r="AI258" s="140"/>
      <c r="AJ258" s="140"/>
      <c r="AK258" s="140"/>
      <c r="AL258" s="140"/>
      <c r="AM258" s="140"/>
      <c r="AN258" s="140"/>
      <c r="AO258" s="140"/>
      <c r="AP258" s="384">
        <f t="shared" si="120"/>
        <v>0</v>
      </c>
      <c r="AQ258" s="136"/>
      <c r="AR258" s="136"/>
      <c r="AS258" s="136"/>
      <c r="AT258" s="385">
        <f t="shared" si="121"/>
        <v>0</v>
      </c>
      <c r="AU258" s="140"/>
      <c r="AV258" s="140"/>
      <c r="AW258" s="140"/>
      <c r="AX258" s="140"/>
      <c r="AY258" s="392"/>
      <c r="AZ258" s="432">
        <f t="shared" si="122"/>
        <v>0</v>
      </c>
      <c r="BA258" s="433"/>
      <c r="BB258" s="225"/>
      <c r="BC258" s="126"/>
      <c r="BD258" s="127"/>
      <c r="BE258" s="127"/>
      <c r="BF258" s="126"/>
      <c r="BG258" s="127"/>
      <c r="BH258" s="127"/>
      <c r="BI258" s="127"/>
      <c r="BJ258" s="126"/>
      <c r="BK258" s="389">
        <f t="shared" si="123"/>
        <v>0</v>
      </c>
      <c r="BL258" s="140">
        <f t="shared" si="124"/>
        <v>0</v>
      </c>
      <c r="BM258" s="132"/>
      <c r="BN258" s="140">
        <f t="shared" si="125"/>
        <v>0</v>
      </c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41"/>
      <c r="CA258" s="141"/>
      <c r="CB258" s="390">
        <f t="shared" si="126"/>
        <v>0</v>
      </c>
      <c r="CC258" s="132"/>
    </row>
    <row r="259" ht="14.25" customHeight="1">
      <c r="A259" s="132"/>
      <c r="B259" s="215">
        <v>46254</v>
      </c>
      <c r="C259" s="133"/>
      <c r="D259" s="136"/>
      <c r="E259" s="135"/>
      <c r="F259" s="135"/>
      <c r="G259" s="445">
        <f t="shared" si="118"/>
        <v>0</v>
      </c>
      <c r="H259" s="140"/>
      <c r="I259" s="457"/>
      <c r="J259" s="454"/>
      <c r="K259" s="140"/>
      <c r="L259" s="140"/>
      <c r="M259" s="140"/>
      <c r="N259" s="140"/>
      <c r="O259" s="140"/>
      <c r="P259" s="456"/>
      <c r="Q259" s="456"/>
      <c r="R259" s="140"/>
      <c r="S259" s="140"/>
      <c r="T259" s="140"/>
      <c r="U259" s="140"/>
      <c r="V259" s="140"/>
      <c r="W259" s="140"/>
      <c r="X259" s="140"/>
      <c r="Y259" s="140"/>
      <c r="Z259" s="140"/>
      <c r="AA259" s="140"/>
      <c r="AB259" s="383">
        <f t="shared" si="119"/>
        <v>0</v>
      </c>
      <c r="AC259" s="140"/>
      <c r="AD259" s="140"/>
      <c r="AE259" s="140"/>
      <c r="AF259" s="140"/>
      <c r="AG259" s="140"/>
      <c r="AH259" s="140"/>
      <c r="AI259" s="140"/>
      <c r="AJ259" s="140"/>
      <c r="AK259" s="140"/>
      <c r="AL259" s="140"/>
      <c r="AM259" s="140"/>
      <c r="AN259" s="140"/>
      <c r="AO259" s="140"/>
      <c r="AP259" s="384">
        <f t="shared" si="120"/>
        <v>0</v>
      </c>
      <c r="AQ259" s="136"/>
      <c r="AR259" s="136"/>
      <c r="AS259" s="136"/>
      <c r="AT259" s="385">
        <f t="shared" si="121"/>
        <v>0</v>
      </c>
      <c r="AU259" s="140"/>
      <c r="AV259" s="140"/>
      <c r="AW259" s="140"/>
      <c r="AX259" s="140"/>
      <c r="AY259" s="392"/>
      <c r="AZ259" s="432">
        <f t="shared" si="122"/>
        <v>0</v>
      </c>
      <c r="BA259" s="433"/>
      <c r="BB259" s="225"/>
      <c r="BC259" s="126"/>
      <c r="BD259" s="127"/>
      <c r="BE259" s="127"/>
      <c r="BF259" s="126"/>
      <c r="BG259" s="127"/>
      <c r="BH259" s="127"/>
      <c r="BI259" s="127"/>
      <c r="BJ259" s="126"/>
      <c r="BK259" s="389">
        <f>SUM(BA259:BJ259)</f>
        <v>0</v>
      </c>
      <c r="BL259" s="140">
        <f t="shared" si="124"/>
        <v>0</v>
      </c>
      <c r="BM259" s="132"/>
      <c r="BN259" s="140">
        <f t="shared" si="125"/>
        <v>0</v>
      </c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41"/>
      <c r="CA259" s="141"/>
      <c r="CB259" s="390">
        <f t="shared" si="126"/>
        <v>0</v>
      </c>
      <c r="CC259" s="132"/>
    </row>
    <row r="260" ht="14.25" customHeight="1">
      <c r="A260" s="132"/>
      <c r="B260" s="215">
        <v>46255</v>
      </c>
      <c r="C260" s="133"/>
      <c r="D260" s="136"/>
      <c r="E260" s="135"/>
      <c r="F260" s="135"/>
      <c r="G260" s="445">
        <f t="shared" si="118"/>
        <v>0</v>
      </c>
      <c r="H260" s="140"/>
      <c r="I260" s="457"/>
      <c r="J260" s="454"/>
      <c r="K260" s="140"/>
      <c r="L260" s="140"/>
      <c r="M260" s="140"/>
      <c r="N260" s="140"/>
      <c r="O260" s="140"/>
      <c r="P260" s="456"/>
      <c r="Q260" s="456"/>
      <c r="R260" s="140"/>
      <c r="S260" s="140"/>
      <c r="T260" s="140"/>
      <c r="U260" s="140"/>
      <c r="V260" s="140"/>
      <c r="W260" s="140"/>
      <c r="X260" s="140"/>
      <c r="Y260" s="140"/>
      <c r="Z260" s="140"/>
      <c r="AA260" s="140"/>
      <c r="AB260" s="383">
        <f t="shared" si="119"/>
        <v>0</v>
      </c>
      <c r="AC260" s="140"/>
      <c r="AD260" s="140"/>
      <c r="AE260" s="140"/>
      <c r="AF260" s="140"/>
      <c r="AG260" s="140"/>
      <c r="AH260" s="140"/>
      <c r="AI260" s="140"/>
      <c r="AJ260" s="140"/>
      <c r="AK260" s="140"/>
      <c r="AL260" s="140"/>
      <c r="AM260" s="140"/>
      <c r="AN260" s="140"/>
      <c r="AO260" s="140"/>
      <c r="AP260" s="384">
        <f t="shared" si="120"/>
        <v>0</v>
      </c>
      <c r="AQ260" s="136"/>
      <c r="AR260" s="136"/>
      <c r="AS260" s="136"/>
      <c r="AT260" s="385">
        <f t="shared" si="121"/>
        <v>0</v>
      </c>
      <c r="AU260" s="140"/>
      <c r="AV260" s="140"/>
      <c r="AW260" s="140"/>
      <c r="AX260" s="140"/>
      <c r="AY260" s="392"/>
      <c r="AZ260" s="432">
        <f t="shared" si="122"/>
        <v>0</v>
      </c>
      <c r="BA260" s="433"/>
      <c r="BB260" s="225"/>
      <c r="BC260" s="126"/>
      <c r="BD260" s="127"/>
      <c r="BE260" s="127"/>
      <c r="BF260" s="126"/>
      <c r="BG260" s="127"/>
      <c r="BH260" s="127"/>
      <c r="BI260" s="127"/>
      <c r="BJ260" s="126"/>
      <c r="BK260" s="389">
        <f ref="BK260:BK270" t="shared" si="127">SUM(BA260:BJ260)-BI260</f>
        <v>0</v>
      </c>
      <c r="BL260" s="140">
        <f t="shared" si="124"/>
        <v>0</v>
      </c>
      <c r="BM260" s="132"/>
      <c r="BN260" s="140">
        <f t="shared" si="125"/>
        <v>0</v>
      </c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41"/>
      <c r="CA260" s="141"/>
      <c r="CB260" s="390">
        <f t="shared" si="126"/>
        <v>0</v>
      </c>
      <c r="CC260" s="132"/>
    </row>
    <row r="261" ht="14.25" customHeight="1">
      <c r="A261" s="132"/>
      <c r="B261" s="215">
        <v>46256</v>
      </c>
      <c r="C261" s="133"/>
      <c r="D261" s="136"/>
      <c r="E261" s="135"/>
      <c r="F261" s="135"/>
      <c r="G261" s="445">
        <f t="shared" si="118"/>
        <v>0</v>
      </c>
      <c r="H261" s="140"/>
      <c r="I261" s="457"/>
      <c r="J261" s="454"/>
      <c r="K261" s="140"/>
      <c r="L261" s="140"/>
      <c r="M261" s="140"/>
      <c r="N261" s="140"/>
      <c r="O261" s="140"/>
      <c r="P261" s="456"/>
      <c r="Q261" s="456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383">
        <f t="shared" si="119"/>
        <v>0</v>
      </c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384">
        <f t="shared" si="120"/>
        <v>0</v>
      </c>
      <c r="AQ261" s="136"/>
      <c r="AR261" s="136"/>
      <c r="AS261" s="136"/>
      <c r="AT261" s="385">
        <f t="shared" si="121"/>
        <v>0</v>
      </c>
      <c r="AU261" s="140"/>
      <c r="AV261" s="140"/>
      <c r="AW261" s="140"/>
      <c r="AX261" s="140"/>
      <c r="AY261" s="392"/>
      <c r="AZ261" s="432">
        <f t="shared" si="122"/>
        <v>0</v>
      </c>
      <c r="BA261" s="433"/>
      <c r="BB261" s="225"/>
      <c r="BC261" s="126"/>
      <c r="BD261" s="127"/>
      <c r="BE261" s="127"/>
      <c r="BF261" s="126"/>
      <c r="BG261" s="127"/>
      <c r="BH261" s="127"/>
      <c r="BI261" s="127"/>
      <c r="BJ261" s="126"/>
      <c r="BK261" s="389">
        <f t="shared" si="127"/>
        <v>0</v>
      </c>
      <c r="BL261" s="140">
        <f t="shared" si="124"/>
        <v>0</v>
      </c>
      <c r="BM261" s="132"/>
      <c r="BN261" s="140">
        <f t="shared" si="125"/>
        <v>0</v>
      </c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41"/>
      <c r="CA261" s="141"/>
      <c r="CB261" s="390">
        <f t="shared" si="126"/>
        <v>0</v>
      </c>
      <c r="CC261" s="132"/>
    </row>
    <row r="262" ht="14.25" customHeight="1">
      <c r="A262" s="132"/>
      <c r="B262" s="215">
        <v>46257</v>
      </c>
      <c r="C262" s="133"/>
      <c r="D262" s="136"/>
      <c r="E262" s="135"/>
      <c r="F262" s="135"/>
      <c r="G262" s="445">
        <f t="shared" si="118"/>
        <v>0</v>
      </c>
      <c r="H262" s="140"/>
      <c r="I262" s="457"/>
      <c r="J262" s="454"/>
      <c r="K262" s="140"/>
      <c r="L262" s="140"/>
      <c r="M262" s="140"/>
      <c r="N262" s="140"/>
      <c r="O262" s="140"/>
      <c r="P262" s="456"/>
      <c r="Q262" s="456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383">
        <f t="shared" si="119"/>
        <v>0</v>
      </c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384">
        <f t="shared" si="120"/>
        <v>0</v>
      </c>
      <c r="AQ262" s="136"/>
      <c r="AR262" s="136"/>
      <c r="AS262" s="136"/>
      <c r="AT262" s="385">
        <f t="shared" si="121"/>
        <v>0</v>
      </c>
      <c r="AU262" s="140"/>
      <c r="AV262" s="140"/>
      <c r="AW262" s="140"/>
      <c r="AX262" s="140"/>
      <c r="AY262" s="392"/>
      <c r="AZ262" s="432">
        <f t="shared" si="122"/>
        <v>0</v>
      </c>
      <c r="BA262" s="433"/>
      <c r="BB262" s="225"/>
      <c r="BC262" s="126"/>
      <c r="BD262" s="127"/>
      <c r="BE262" s="127"/>
      <c r="BF262" s="126"/>
      <c r="BG262" s="127"/>
      <c r="BH262" s="127"/>
      <c r="BI262" s="127"/>
      <c r="BJ262" s="126"/>
      <c r="BK262" s="389">
        <f t="shared" si="127"/>
        <v>0</v>
      </c>
      <c r="BL262" s="140">
        <f t="shared" si="124"/>
        <v>0</v>
      </c>
      <c r="BM262" s="132"/>
      <c r="BN262" s="140">
        <f t="shared" si="125"/>
        <v>0</v>
      </c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41"/>
      <c r="CA262" s="141"/>
      <c r="CB262" s="390">
        <f t="shared" si="126"/>
        <v>0</v>
      </c>
      <c r="CC262" s="132"/>
    </row>
    <row r="263" ht="14.25" customHeight="1">
      <c r="A263" s="132"/>
      <c r="B263" s="215">
        <v>46258</v>
      </c>
      <c r="C263" s="133"/>
      <c r="D263" s="136"/>
      <c r="E263" s="135"/>
      <c r="F263" s="135"/>
      <c r="G263" s="445">
        <f t="shared" si="118"/>
        <v>0</v>
      </c>
      <c r="H263" s="140"/>
      <c r="I263" s="457"/>
      <c r="J263" s="454"/>
      <c r="K263" s="140"/>
      <c r="L263" s="140"/>
      <c r="M263" s="140"/>
      <c r="N263" s="140"/>
      <c r="O263" s="140"/>
      <c r="P263" s="456"/>
      <c r="Q263" s="456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383">
        <f t="shared" si="119"/>
        <v>0</v>
      </c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384">
        <f t="shared" si="120"/>
        <v>0</v>
      </c>
      <c r="AQ263" s="136"/>
      <c r="AR263" s="136"/>
      <c r="AS263" s="136"/>
      <c r="AT263" s="385">
        <f t="shared" si="121"/>
        <v>0</v>
      </c>
      <c r="AU263" s="140"/>
      <c r="AV263" s="140"/>
      <c r="AW263" s="140"/>
      <c r="AX263" s="140"/>
      <c r="AY263" s="392"/>
      <c r="AZ263" s="432">
        <f t="shared" si="122"/>
        <v>0</v>
      </c>
      <c r="BA263" s="433"/>
      <c r="BB263" s="225"/>
      <c r="BC263" s="126"/>
      <c r="BD263" s="127"/>
      <c r="BE263" s="127"/>
      <c r="BF263" s="126"/>
      <c r="BG263" s="127"/>
      <c r="BH263" s="127"/>
      <c r="BI263" s="127"/>
      <c r="BJ263" s="126"/>
      <c r="BK263" s="389">
        <f t="shared" si="127"/>
        <v>0</v>
      </c>
      <c r="BL263" s="140">
        <f t="shared" si="124"/>
        <v>0</v>
      </c>
      <c r="BM263" s="132"/>
      <c r="BN263" s="140">
        <f t="shared" si="125"/>
        <v>0</v>
      </c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41"/>
      <c r="CA263" s="141"/>
      <c r="CB263" s="390">
        <f t="shared" si="126"/>
        <v>0</v>
      </c>
      <c r="CC263" s="132"/>
    </row>
    <row r="264" ht="14.25" customHeight="1">
      <c r="A264" s="132"/>
      <c r="B264" s="215">
        <v>46259</v>
      </c>
      <c r="C264" s="133"/>
      <c r="D264" s="136"/>
      <c r="E264" s="135"/>
      <c r="F264" s="135"/>
      <c r="G264" s="445">
        <f t="shared" si="118"/>
        <v>0</v>
      </c>
      <c r="H264" s="140"/>
      <c r="I264" s="457"/>
      <c r="J264" s="454"/>
      <c r="K264" s="140"/>
      <c r="L264" s="140"/>
      <c r="M264" s="140"/>
      <c r="N264" s="140"/>
      <c r="O264" s="140"/>
      <c r="P264" s="456"/>
      <c r="Q264" s="456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383">
        <f t="shared" si="119"/>
        <v>0</v>
      </c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384">
        <f t="shared" si="120"/>
        <v>0</v>
      </c>
      <c r="AQ264" s="136"/>
      <c r="AR264" s="136"/>
      <c r="AS264" s="136"/>
      <c r="AT264" s="385">
        <f t="shared" si="121"/>
        <v>0</v>
      </c>
      <c r="AU264" s="140"/>
      <c r="AV264" s="140"/>
      <c r="AW264" s="140"/>
      <c r="AX264" s="140"/>
      <c r="AY264" s="392"/>
      <c r="AZ264" s="432">
        <f t="shared" si="122"/>
        <v>0</v>
      </c>
      <c r="BA264" s="433"/>
      <c r="BB264" s="225"/>
      <c r="BC264" s="126"/>
      <c r="BD264" s="127"/>
      <c r="BE264" s="127"/>
      <c r="BF264" s="126"/>
      <c r="BG264" s="127"/>
      <c r="BH264" s="127"/>
      <c r="BI264" s="127"/>
      <c r="BJ264" s="126"/>
      <c r="BK264" s="389">
        <f t="shared" si="127"/>
        <v>0</v>
      </c>
      <c r="BL264" s="140">
        <f t="shared" si="124"/>
        <v>0</v>
      </c>
      <c r="BM264" s="132"/>
      <c r="BN264" s="140">
        <f t="shared" si="125"/>
        <v>0</v>
      </c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41"/>
      <c r="CA264" s="141"/>
      <c r="CB264" s="390">
        <f t="shared" si="126"/>
        <v>0</v>
      </c>
      <c r="CC264" s="132"/>
    </row>
    <row r="265" ht="14.25" customHeight="1">
      <c r="A265" s="132"/>
      <c r="B265" s="215">
        <v>46260</v>
      </c>
      <c r="C265" s="133"/>
      <c r="D265" s="136"/>
      <c r="E265" s="135"/>
      <c r="F265" s="135"/>
      <c r="G265" s="445">
        <f t="shared" si="118"/>
        <v>0</v>
      </c>
      <c r="H265" s="140"/>
      <c r="I265" s="457"/>
      <c r="J265" s="454"/>
      <c r="K265" s="140"/>
      <c r="L265" s="140"/>
      <c r="M265" s="140"/>
      <c r="N265" s="140"/>
      <c r="O265" s="140"/>
      <c r="P265" s="379"/>
      <c r="Q265" s="379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383">
        <f t="shared" si="119"/>
        <v>0</v>
      </c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384">
        <f t="shared" si="120"/>
        <v>0</v>
      </c>
      <c r="AQ265" s="136"/>
      <c r="AR265" s="136"/>
      <c r="AS265" s="136"/>
      <c r="AT265" s="385">
        <f t="shared" si="121"/>
        <v>0</v>
      </c>
      <c r="AU265" s="140"/>
      <c r="AV265" s="140"/>
      <c r="AW265" s="140"/>
      <c r="AX265" s="140"/>
      <c r="AY265" s="392"/>
      <c r="AZ265" s="432">
        <f t="shared" si="122"/>
        <v>0</v>
      </c>
      <c r="BA265" s="433"/>
      <c r="BB265" s="225"/>
      <c r="BC265" s="126"/>
      <c r="BD265" s="127"/>
      <c r="BE265" s="127"/>
      <c r="BF265" s="126"/>
      <c r="BG265" s="127"/>
      <c r="BH265" s="127"/>
      <c r="BI265" s="127"/>
      <c r="BJ265" s="126"/>
      <c r="BK265" s="389">
        <f t="shared" si="127"/>
        <v>0</v>
      </c>
      <c r="BL265" s="140">
        <f t="shared" si="124"/>
        <v>0</v>
      </c>
      <c r="BM265" s="132"/>
      <c r="BN265" s="140">
        <f t="shared" si="125"/>
        <v>0</v>
      </c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41"/>
      <c r="CA265" s="141"/>
      <c r="CB265" s="390">
        <f t="shared" si="126"/>
        <v>0</v>
      </c>
      <c r="CC265" s="132"/>
    </row>
    <row r="266" ht="14.25" customHeight="1">
      <c r="A266" s="132"/>
      <c r="B266" s="215">
        <v>46261</v>
      </c>
      <c r="C266" s="133"/>
      <c r="D266" s="136"/>
      <c r="E266" s="135"/>
      <c r="F266" s="135"/>
      <c r="G266" s="445">
        <f t="shared" si="118"/>
        <v>0</v>
      </c>
      <c r="H266" s="140"/>
      <c r="I266" s="457"/>
      <c r="J266" s="454"/>
      <c r="K266" s="140"/>
      <c r="L266" s="140"/>
      <c r="M266" s="140"/>
      <c r="N266" s="140"/>
      <c r="O266" s="140"/>
      <c r="P266" s="456"/>
      <c r="Q266" s="456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383">
        <f t="shared" si="119"/>
        <v>0</v>
      </c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384">
        <f t="shared" si="120"/>
        <v>0</v>
      </c>
      <c r="AQ266" s="136"/>
      <c r="AR266" s="136"/>
      <c r="AS266" s="136"/>
      <c r="AT266" s="385">
        <f t="shared" si="121"/>
        <v>0</v>
      </c>
      <c r="AU266" s="140"/>
      <c r="AV266" s="140"/>
      <c r="AW266" s="140"/>
      <c r="AX266" s="140"/>
      <c r="AY266" s="392"/>
      <c r="AZ266" s="432">
        <f t="shared" si="122"/>
        <v>0</v>
      </c>
      <c r="BA266" s="433"/>
      <c r="BB266" s="225"/>
      <c r="BC266" s="126"/>
      <c r="BD266" s="127"/>
      <c r="BE266" s="127"/>
      <c r="BF266" s="126"/>
      <c r="BG266" s="127"/>
      <c r="BH266" s="127"/>
      <c r="BI266" s="127"/>
      <c r="BJ266" s="126"/>
      <c r="BK266" s="389">
        <f t="shared" si="127"/>
        <v>0</v>
      </c>
      <c r="BL266" s="140">
        <f t="shared" si="124"/>
        <v>0</v>
      </c>
      <c r="BM266" s="132"/>
      <c r="BN266" s="140">
        <f t="shared" si="125"/>
        <v>0</v>
      </c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41"/>
      <c r="CA266" s="141"/>
      <c r="CB266" s="390">
        <f t="shared" si="126"/>
        <v>0</v>
      </c>
      <c r="CC266" s="132"/>
    </row>
    <row r="267" ht="14.25" customHeight="1">
      <c r="A267" s="132"/>
      <c r="B267" s="215">
        <v>46262</v>
      </c>
      <c r="C267" s="133"/>
      <c r="D267" s="136"/>
      <c r="E267" s="135"/>
      <c r="F267" s="135"/>
      <c r="G267" s="445">
        <f t="shared" si="118"/>
        <v>0</v>
      </c>
      <c r="H267" s="140"/>
      <c r="I267" s="457"/>
      <c r="J267" s="454"/>
      <c r="K267" s="140"/>
      <c r="L267" s="140"/>
      <c r="M267" s="140"/>
      <c r="N267" s="140"/>
      <c r="O267" s="140"/>
      <c r="P267" s="456"/>
      <c r="Q267" s="456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383">
        <f t="shared" si="119"/>
        <v>0</v>
      </c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384">
        <f t="shared" si="120"/>
        <v>0</v>
      </c>
      <c r="AQ267" s="136"/>
      <c r="AR267" s="136"/>
      <c r="AS267" s="136"/>
      <c r="AT267" s="385">
        <f t="shared" si="121"/>
        <v>0</v>
      </c>
      <c r="AU267" s="140"/>
      <c r="AV267" s="140"/>
      <c r="AW267" s="140"/>
      <c r="AX267" s="140"/>
      <c r="AY267" s="392"/>
      <c r="AZ267" s="432">
        <f t="shared" si="122"/>
        <v>0</v>
      </c>
      <c r="BA267" s="433"/>
      <c r="BB267" s="225"/>
      <c r="BC267" s="126"/>
      <c r="BD267" s="127"/>
      <c r="BE267" s="127"/>
      <c r="BF267" s="126"/>
      <c r="BG267" s="127"/>
      <c r="BH267" s="127"/>
      <c r="BI267" s="127"/>
      <c r="BJ267" s="126"/>
      <c r="BK267" s="389">
        <f t="shared" si="127"/>
        <v>0</v>
      </c>
      <c r="BL267" s="140">
        <f t="shared" si="124"/>
        <v>0</v>
      </c>
      <c r="BM267" s="132"/>
      <c r="BN267" s="140">
        <f t="shared" si="125"/>
        <v>0</v>
      </c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41"/>
      <c r="CA267" s="141"/>
      <c r="CB267" s="390">
        <f t="shared" si="126"/>
        <v>0</v>
      </c>
      <c r="CC267" s="132"/>
    </row>
    <row r="268" ht="14.25" customHeight="1">
      <c r="A268" s="132"/>
      <c r="B268" s="215">
        <v>46263</v>
      </c>
      <c r="C268" s="133"/>
      <c r="D268" s="136"/>
      <c r="E268" s="135"/>
      <c r="F268" s="135"/>
      <c r="G268" s="445">
        <f t="shared" si="118"/>
        <v>0</v>
      </c>
      <c r="H268" s="140"/>
      <c r="I268" s="457"/>
      <c r="J268" s="454"/>
      <c r="K268" s="140"/>
      <c r="L268" s="140"/>
      <c r="M268" s="140"/>
      <c r="N268" s="140"/>
      <c r="O268" s="140"/>
      <c r="P268" s="456"/>
      <c r="Q268" s="456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383">
        <f t="shared" si="119"/>
        <v>0</v>
      </c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384">
        <f t="shared" si="120"/>
        <v>0</v>
      </c>
      <c r="AQ268" s="136"/>
      <c r="AR268" s="136"/>
      <c r="AS268" s="136"/>
      <c r="AT268" s="385">
        <f t="shared" si="121"/>
        <v>0</v>
      </c>
      <c r="AU268" s="140"/>
      <c r="AV268" s="140"/>
      <c r="AW268" s="140"/>
      <c r="AX268" s="140"/>
      <c r="AY268" s="392"/>
      <c r="AZ268" s="432">
        <f t="shared" si="122"/>
        <v>0</v>
      </c>
      <c r="BA268" s="433"/>
      <c r="BB268" s="225"/>
      <c r="BC268" s="126"/>
      <c r="BD268" s="127"/>
      <c r="BE268" s="127"/>
      <c r="BF268" s="126"/>
      <c r="BG268" s="127"/>
      <c r="BH268" s="127"/>
      <c r="BI268" s="127"/>
      <c r="BJ268" s="126"/>
      <c r="BK268" s="389">
        <f t="shared" si="127"/>
        <v>0</v>
      </c>
      <c r="BL268" s="140">
        <f t="shared" si="124"/>
        <v>0</v>
      </c>
      <c r="BM268" s="132"/>
      <c r="BN268" s="140">
        <f t="shared" si="125"/>
        <v>0</v>
      </c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41"/>
      <c r="CA268" s="141"/>
      <c r="CB268" s="390">
        <f t="shared" si="126"/>
        <v>0</v>
      </c>
      <c r="CC268" s="132"/>
    </row>
    <row r="269" ht="14.25" customHeight="1">
      <c r="A269" s="132"/>
      <c r="B269" s="215">
        <v>46264</v>
      </c>
      <c r="C269" s="133"/>
      <c r="D269" s="136"/>
      <c r="E269" s="135"/>
      <c r="F269" s="135"/>
      <c r="G269" s="445">
        <f t="shared" si="118"/>
        <v>0</v>
      </c>
      <c r="H269" s="140"/>
      <c r="I269" s="457"/>
      <c r="J269" s="454"/>
      <c r="K269" s="140"/>
      <c r="L269" s="140"/>
      <c r="M269" s="140"/>
      <c r="N269" s="140"/>
      <c r="O269" s="140"/>
      <c r="P269" s="456"/>
      <c r="Q269" s="456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383">
        <f t="shared" si="119"/>
        <v>0</v>
      </c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384">
        <f t="shared" si="120"/>
        <v>0</v>
      </c>
      <c r="AQ269" s="136"/>
      <c r="AR269" s="136"/>
      <c r="AS269" s="136"/>
      <c r="AT269" s="385">
        <f t="shared" si="121"/>
        <v>0</v>
      </c>
      <c r="AU269" s="140"/>
      <c r="AV269" s="140"/>
      <c r="AW269" s="140"/>
      <c r="AX269" s="140"/>
      <c r="AY269" s="392"/>
      <c r="AZ269" s="432">
        <f t="shared" si="122"/>
        <v>0</v>
      </c>
      <c r="BA269" s="433"/>
      <c r="BB269" s="225"/>
      <c r="BC269" s="126"/>
      <c r="BD269" s="127"/>
      <c r="BE269" s="127"/>
      <c r="BF269" s="126"/>
      <c r="BG269" s="127"/>
      <c r="BH269" s="127"/>
      <c r="BI269" s="127"/>
      <c r="BJ269" s="126"/>
      <c r="BK269" s="389">
        <f t="shared" si="127"/>
        <v>0</v>
      </c>
      <c r="BL269" s="140">
        <f t="shared" si="124"/>
        <v>0</v>
      </c>
      <c r="BM269" s="132"/>
      <c r="BN269" s="140">
        <f t="shared" si="125"/>
        <v>0</v>
      </c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41"/>
      <c r="CA269" s="141"/>
      <c r="CB269" s="390">
        <f t="shared" si="126"/>
        <v>0</v>
      </c>
      <c r="CC269" s="132"/>
    </row>
    <row r="270" ht="14.25" customHeight="1">
      <c r="A270" s="132"/>
      <c r="B270" s="215">
        <v>46265</v>
      </c>
      <c r="C270" s="133"/>
      <c r="D270" s="136"/>
      <c r="E270" s="135"/>
      <c r="F270" s="135"/>
      <c r="G270" s="445">
        <f t="shared" si="118"/>
        <v>0</v>
      </c>
      <c r="H270" s="162"/>
      <c r="I270" s="457"/>
      <c r="J270" s="454"/>
      <c r="K270" s="140"/>
      <c r="L270" s="140"/>
      <c r="M270" s="140"/>
      <c r="N270" s="140"/>
      <c r="O270" s="140"/>
      <c r="P270" s="456"/>
      <c r="Q270" s="456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383">
        <f t="shared" si="119"/>
        <v>0</v>
      </c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384">
        <f t="shared" si="120"/>
        <v>0</v>
      </c>
      <c r="AQ270" s="136"/>
      <c r="AR270" s="136"/>
      <c r="AS270" s="136"/>
      <c r="AT270" s="385">
        <f t="shared" si="121"/>
        <v>0</v>
      </c>
      <c r="AU270" s="140"/>
      <c r="AV270" s="140"/>
      <c r="AW270" s="140"/>
      <c r="AX270" s="140"/>
      <c r="AY270" s="392"/>
      <c r="AZ270" s="432">
        <f t="shared" si="122"/>
        <v>0</v>
      </c>
      <c r="BA270" s="435"/>
      <c r="BB270" s="280"/>
      <c r="BC270" s="138"/>
      <c r="BD270" s="127"/>
      <c r="BE270" s="127"/>
      <c r="BF270" s="138"/>
      <c r="BG270" s="127"/>
      <c r="BH270" s="127"/>
      <c r="BI270" s="127"/>
      <c r="BJ270" s="138"/>
      <c r="BK270" s="389">
        <f t="shared" si="127"/>
        <v>0</v>
      </c>
      <c r="BL270" s="140">
        <f t="shared" si="124"/>
        <v>0</v>
      </c>
      <c r="BM270" s="132"/>
      <c r="BN270" s="140">
        <f t="shared" si="125"/>
        <v>0</v>
      </c>
      <c r="BO270" s="141"/>
      <c r="BP270" s="141"/>
      <c r="BQ270" s="141"/>
      <c r="BR270" s="141"/>
      <c r="BS270" s="141"/>
      <c r="BT270" s="141"/>
      <c r="BU270" s="141"/>
      <c r="BV270" s="141"/>
      <c r="BW270" s="141"/>
      <c r="BX270" s="141"/>
      <c r="BY270" s="141"/>
      <c r="BZ270" s="141"/>
      <c r="CA270" s="141"/>
      <c r="CB270" s="390">
        <f t="shared" si="126"/>
        <v>0</v>
      </c>
      <c r="CC270" s="132"/>
    </row>
    <row r="271" ht="14.25" customHeight="1">
      <c r="A271" s="413"/>
      <c r="B271" s="2" t="s">
        <v>82</v>
      </c>
      <c r="C271" s="407">
        <f ref="C271:J271" t="shared" si="128">SUM(C240:C270)</f>
        <v>0</v>
      </c>
      <c r="D271" s="407">
        <f t="shared" si="128"/>
        <v>0</v>
      </c>
      <c r="E271" s="407">
        <f t="shared" si="128"/>
        <v>0</v>
      </c>
      <c r="F271" s="407">
        <f t="shared" si="128"/>
        <v>0</v>
      </c>
      <c r="G271" s="407">
        <f t="shared" si="128"/>
        <v>0</v>
      </c>
      <c r="H271" s="407">
        <f t="shared" si="128"/>
        <v>0</v>
      </c>
      <c r="I271" s="407">
        <f t="shared" si="128"/>
        <v>0</v>
      </c>
      <c r="J271" s="407">
        <f t="shared" si="128"/>
        <v>0</v>
      </c>
      <c r="K271" s="407"/>
      <c r="L271" s="407">
        <f ref="L271:M271" t="shared" si="129">SUM(L240:L270)</f>
        <v>0</v>
      </c>
      <c r="M271" s="407">
        <f t="shared" si="129"/>
        <v>0</v>
      </c>
      <c r="N271" s="407"/>
      <c r="O271" s="407">
        <f ref="O271:S271" t="shared" si="130">SUM(O240:O270)</f>
        <v>0</v>
      </c>
      <c r="P271" s="407">
        <f t="shared" si="130"/>
        <v>0</v>
      </c>
      <c r="Q271" s="407">
        <f t="shared" si="130"/>
        <v>0</v>
      </c>
      <c r="R271" s="407">
        <f t="shared" si="130"/>
        <v>0</v>
      </c>
      <c r="S271" s="407">
        <f t="shared" si="130"/>
        <v>0</v>
      </c>
      <c r="T271" s="407"/>
      <c r="U271" s="407">
        <f ref="U271:AU271" t="shared" si="131">SUM(U240:U270)</f>
        <v>0</v>
      </c>
      <c r="V271" s="407">
        <f t="shared" si="131"/>
        <v>0</v>
      </c>
      <c r="W271" s="407">
        <f t="shared" si="131"/>
        <v>0</v>
      </c>
      <c r="X271" s="407">
        <f t="shared" si="131"/>
        <v>0</v>
      </c>
      <c r="Y271" s="407">
        <f t="shared" si="131"/>
        <v>0</v>
      </c>
      <c r="Z271" s="407">
        <f t="shared" si="131"/>
        <v>0</v>
      </c>
      <c r="AA271" s="407">
        <f t="shared" si="131"/>
        <v>0</v>
      </c>
      <c r="AB271" s="407">
        <f t="shared" si="131"/>
        <v>0</v>
      </c>
      <c r="AC271" s="407">
        <f t="shared" si="131"/>
        <v>0</v>
      </c>
      <c r="AD271" s="407">
        <f t="shared" si="131"/>
        <v>0</v>
      </c>
      <c r="AE271" s="407">
        <f t="shared" si="131"/>
        <v>0</v>
      </c>
      <c r="AF271" s="407">
        <f t="shared" si="131"/>
        <v>0</v>
      </c>
      <c r="AG271" s="407">
        <f t="shared" si="131"/>
        <v>0</v>
      </c>
      <c r="AH271" s="407">
        <f t="shared" si="131"/>
        <v>0</v>
      </c>
      <c r="AI271" s="407">
        <f t="shared" si="131"/>
        <v>0</v>
      </c>
      <c r="AJ271" s="407">
        <f t="shared" si="131"/>
        <v>0</v>
      </c>
      <c r="AK271" s="407">
        <f t="shared" si="131"/>
        <v>0</v>
      </c>
      <c r="AL271" s="407">
        <f t="shared" si="131"/>
        <v>0</v>
      </c>
      <c r="AM271" s="407">
        <f t="shared" si="131"/>
        <v>0</v>
      </c>
      <c r="AN271" s="407">
        <f t="shared" si="131"/>
        <v>0</v>
      </c>
      <c r="AO271" s="407">
        <f t="shared" si="131"/>
        <v>0</v>
      </c>
      <c r="AP271" s="407">
        <f t="shared" si="131"/>
        <v>0</v>
      </c>
      <c r="AQ271" s="407">
        <f t="shared" si="131"/>
        <v>0</v>
      </c>
      <c r="AR271" s="407">
        <f t="shared" si="131"/>
        <v>0</v>
      </c>
      <c r="AS271" s="407">
        <f t="shared" si="131"/>
        <v>0</v>
      </c>
      <c r="AT271" s="407">
        <f t="shared" si="131"/>
        <v>0</v>
      </c>
      <c r="AU271" s="407">
        <f t="shared" si="131"/>
        <v>0</v>
      </c>
      <c r="AV271" s="407"/>
      <c r="AW271" s="407">
        <f ref="AW271:BL271" t="shared" si="132">SUM(AW240:AW270)</f>
        <v>0</v>
      </c>
      <c r="AX271" s="407">
        <f t="shared" si="132"/>
        <v>0</v>
      </c>
      <c r="AY271" s="407">
        <f t="shared" si="132"/>
        <v>0</v>
      </c>
      <c r="AZ271" s="407">
        <f t="shared" si="132"/>
        <v>0</v>
      </c>
      <c r="BA271" s="439">
        <f t="shared" si="132"/>
        <v>0</v>
      </c>
      <c r="BB271" s="438">
        <f t="shared" si="132"/>
        <v>0</v>
      </c>
      <c r="BC271" s="439">
        <f t="shared" si="132"/>
        <v>0</v>
      </c>
      <c r="BD271" s="439">
        <f t="shared" si="132"/>
        <v>0</v>
      </c>
      <c r="BE271" s="439">
        <f t="shared" si="132"/>
        <v>0</v>
      </c>
      <c r="BF271" s="439">
        <f t="shared" si="132"/>
        <v>0</v>
      </c>
      <c r="BG271" s="439">
        <f t="shared" si="132"/>
        <v>0</v>
      </c>
      <c r="BH271" s="439">
        <f t="shared" si="132"/>
        <v>0</v>
      </c>
      <c r="BI271" s="439">
        <f t="shared" si="132"/>
        <v>0</v>
      </c>
      <c r="BJ271" s="439">
        <f t="shared" si="132"/>
        <v>0</v>
      </c>
      <c r="BK271" s="407">
        <f t="shared" si="132"/>
        <v>0</v>
      </c>
      <c r="BL271" s="407">
        <f t="shared" si="132"/>
        <v>0</v>
      </c>
      <c r="BM271" s="3"/>
      <c r="BN271" s="534">
        <f ref="BN271:BW271" t="shared" si="133">SUM(BN240:BN270)</f>
        <v>0</v>
      </c>
      <c r="BO271" s="407">
        <f t="shared" si="133"/>
        <v>0</v>
      </c>
      <c r="BP271" s="407">
        <f t="shared" si="133"/>
        <v>0</v>
      </c>
      <c r="BQ271" s="407">
        <f t="shared" si="133"/>
        <v>0</v>
      </c>
      <c r="BR271" s="407">
        <f t="shared" si="133"/>
        <v>0</v>
      </c>
      <c r="BS271" s="407">
        <f t="shared" si="133"/>
        <v>0</v>
      </c>
      <c r="BT271" s="407">
        <f t="shared" si="133"/>
        <v>0</v>
      </c>
      <c r="BU271" s="407">
        <f t="shared" si="133"/>
        <v>0</v>
      </c>
      <c r="BV271" s="407">
        <f t="shared" si="133"/>
        <v>0</v>
      </c>
      <c r="BW271" s="407">
        <f t="shared" si="133"/>
        <v>0</v>
      </c>
      <c r="BX271" s="407"/>
      <c r="BY271" s="407"/>
      <c r="BZ271" s="407"/>
      <c r="CA271" s="407"/>
      <c r="CB271" s="407">
        <f>SUM(CB240:CB270)</f>
        <v>0</v>
      </c>
      <c r="CC271" s="3"/>
    </row>
    <row r="272" ht="14.25" customHeight="1">
      <c r="A272" s="1"/>
      <c r="B272" s="2"/>
      <c r="C272" s="3"/>
      <c r="D272" s="3"/>
      <c r="E272" s="3"/>
      <c r="F272" s="3"/>
      <c r="G272" s="3"/>
      <c r="H272" s="3"/>
      <c r="I272" s="3"/>
      <c r="J272" s="414"/>
      <c r="K272" s="3"/>
      <c r="L272" s="3"/>
      <c r="M272" s="3"/>
      <c r="N272" s="3"/>
      <c r="O272" s="3"/>
      <c r="P272" s="1"/>
      <c r="Q272" s="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1"/>
      <c r="BB272" s="3"/>
      <c r="BC272" s="132"/>
      <c r="BD272" s="3"/>
      <c r="BE272" s="3"/>
      <c r="BF272" s="132"/>
      <c r="BG272" s="3"/>
      <c r="BH272" s="3"/>
      <c r="BI272" s="3"/>
      <c r="BJ272" s="132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</row>
    <row r="273" ht="14.25" customHeight="1">
      <c r="A273" s="1"/>
      <c r="B273" s="2"/>
      <c r="C273" s="3"/>
      <c r="D273" s="3"/>
      <c r="E273" s="3"/>
      <c r="F273" s="3"/>
      <c r="G273" s="3"/>
      <c r="H273" s="3"/>
      <c r="I273" s="3"/>
      <c r="J273" s="414"/>
      <c r="K273" s="3"/>
      <c r="L273" s="3"/>
      <c r="M273" s="3"/>
      <c r="N273" s="3"/>
      <c r="O273" s="3"/>
      <c r="P273" s="1"/>
      <c r="Q273" s="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176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1"/>
      <c r="BB273" s="3"/>
      <c r="BC273" s="132"/>
      <c r="BD273" s="3"/>
      <c r="BE273" s="3"/>
      <c r="BF273" s="132"/>
      <c r="BG273" s="3"/>
      <c r="BH273" s="3"/>
      <c r="BI273" s="3"/>
      <c r="BJ273" s="132"/>
      <c r="BK273" s="511"/>
      <c r="BL273" s="3"/>
      <c r="BM273" s="3"/>
      <c r="BN273" s="3"/>
      <c r="BO273" s="3"/>
      <c r="BP273" s="3"/>
      <c r="BQ273" s="3"/>
      <c r="BR273" s="176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</row>
    <row r="274" ht="14.25" customHeight="1">
      <c r="A274" s="3"/>
      <c r="B274" s="215">
        <v>46266</v>
      </c>
      <c r="C274" s="94"/>
      <c r="D274" s="104"/>
      <c r="E274" s="97"/>
      <c r="F274" s="97"/>
      <c r="G274" s="483">
        <f ref="G274:G303" t="shared" si="134">+C274+D274+E274+F274</f>
        <v>0</v>
      </c>
      <c r="H274" s="195"/>
      <c r="I274" s="449"/>
      <c r="J274" s="446"/>
      <c r="K274" s="542"/>
      <c r="L274" s="542"/>
      <c r="M274" s="542"/>
      <c r="N274" s="195"/>
      <c r="O274" s="195"/>
      <c r="P274" s="447"/>
      <c r="Q274" s="447"/>
      <c r="R274" s="195"/>
      <c r="S274" s="195"/>
      <c r="T274" s="195"/>
      <c r="U274" s="195"/>
      <c r="V274" s="543"/>
      <c r="W274" s="544"/>
      <c r="X274" s="544"/>
      <c r="Y274" s="544"/>
      <c r="Z274" s="544"/>
      <c r="AA274" s="544"/>
      <c r="AB274" s="420">
        <f ref="AB274:AB303" t="shared" si="135">SUM(I274:Y274)</f>
        <v>0</v>
      </c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384">
        <f ref="AP274:AP303" t="shared" si="136">SUM(AC274:AO274)</f>
        <v>0</v>
      </c>
      <c r="AQ274" s="104"/>
      <c r="AR274" s="104"/>
      <c r="AS274" s="104"/>
      <c r="AT274" s="422">
        <f ref="AT274:AT303" t="shared" si="137">SUM(AQ274:AS274)</f>
        <v>0</v>
      </c>
      <c r="AU274" s="195"/>
      <c r="AV274" s="195"/>
      <c r="AW274" s="195"/>
      <c r="AX274" s="195"/>
      <c r="AY274" s="424"/>
      <c r="AZ274" s="425">
        <f ref="AZ274:AZ303" t="shared" si="138">+G274-AB274-AP274-AT274-AU274-AW274-AX274-AY274</f>
        <v>0</v>
      </c>
      <c r="BA274" s="427"/>
      <c r="BB274" s="286"/>
      <c r="BC274" s="269"/>
      <c r="BD274" s="269"/>
      <c r="BE274" s="110"/>
      <c r="BF274" s="109"/>
      <c r="BG274" s="269"/>
      <c r="BH274" s="269"/>
      <c r="BI274" s="269"/>
      <c r="BJ274" s="269"/>
      <c r="BK274" s="389">
        <f ref="BK274:BK303" t="shared" si="139">SUM(BA274:BJ274)-BI274</f>
        <v>0</v>
      </c>
      <c r="BL274" s="114">
        <f ref="BL274:BL303" t="shared" si="140">+AZ274-BK274</f>
        <v>0</v>
      </c>
      <c r="BM274" s="3"/>
      <c r="BN274" s="114">
        <f ref="BN274:BN303" t="shared" si="141">SUM(BO274:CA274)</f>
        <v>0</v>
      </c>
      <c r="BO274" s="115"/>
      <c r="BP274" s="115"/>
      <c r="BQ274" s="115"/>
      <c r="BR274" s="115"/>
      <c r="BS274" s="115"/>
      <c r="BT274" s="115"/>
      <c r="BU274" s="115"/>
      <c r="BV274" s="115"/>
      <c r="BW274" s="115"/>
      <c r="BX274" s="115"/>
      <c r="BY274" s="115"/>
      <c r="BZ274" s="196"/>
      <c r="CA274" s="115"/>
      <c r="CB274" s="430">
        <f ref="CB274:CB303" t="shared" si="142">+BL274-BN274</f>
        <v>0</v>
      </c>
      <c r="CC274" s="3"/>
    </row>
    <row r="275" ht="14.25" customHeight="1">
      <c r="A275" s="3"/>
      <c r="B275" s="215">
        <v>46267</v>
      </c>
      <c r="C275" s="118"/>
      <c r="D275" s="123"/>
      <c r="E275" s="120"/>
      <c r="F275" s="120"/>
      <c r="G275" s="445">
        <f t="shared" si="134"/>
        <v>0</v>
      </c>
      <c r="H275" s="140"/>
      <c r="I275" s="457"/>
      <c r="J275" s="454"/>
      <c r="K275" s="140"/>
      <c r="L275" s="140"/>
      <c r="M275" s="140"/>
      <c r="N275" s="140"/>
      <c r="O275" s="140"/>
      <c r="P275" s="456"/>
      <c r="Q275" s="456"/>
      <c r="R275" s="140"/>
      <c r="S275" s="140"/>
      <c r="T275" s="140"/>
      <c r="U275" s="140"/>
      <c r="V275" s="140"/>
      <c r="W275" s="140"/>
      <c r="X275" s="140"/>
      <c r="Y275" s="140"/>
      <c r="Z275" s="140"/>
      <c r="AA275" s="140"/>
      <c r="AB275" s="383">
        <f t="shared" si="135"/>
        <v>0</v>
      </c>
      <c r="AC275" s="140"/>
      <c r="AD275" s="140"/>
      <c r="AE275" s="140"/>
      <c r="AF275" s="140"/>
      <c r="AG275" s="140"/>
      <c r="AH275" s="140"/>
      <c r="AI275" s="140"/>
      <c r="AJ275" s="140"/>
      <c r="AK275" s="140"/>
      <c r="AL275" s="140"/>
      <c r="AM275" s="140"/>
      <c r="AN275" s="140"/>
      <c r="AO275" s="140"/>
      <c r="AP275" s="384">
        <f t="shared" si="136"/>
        <v>0</v>
      </c>
      <c r="AQ275" s="123"/>
      <c r="AR275" s="123"/>
      <c r="AS275" s="123"/>
      <c r="AT275" s="385">
        <f t="shared" si="137"/>
        <v>0</v>
      </c>
      <c r="AU275" s="140"/>
      <c r="AV275" s="140"/>
      <c r="AW275" s="140"/>
      <c r="AX275" s="140"/>
      <c r="AY275" s="392"/>
      <c r="AZ275" s="432">
        <f t="shared" si="138"/>
        <v>0</v>
      </c>
      <c r="BA275" s="433"/>
      <c r="BB275" s="276"/>
      <c r="BC275" s="274"/>
      <c r="BD275" s="274"/>
      <c r="BE275" s="127"/>
      <c r="BF275" s="126"/>
      <c r="BG275" s="274"/>
      <c r="BH275" s="274"/>
      <c r="BI275" s="274"/>
      <c r="BJ275" s="274"/>
      <c r="BK275" s="389">
        <f t="shared" si="139"/>
        <v>0</v>
      </c>
      <c r="BL275" s="113">
        <f t="shared" si="140"/>
        <v>0</v>
      </c>
      <c r="BM275" s="3"/>
      <c r="BN275" s="113">
        <f t="shared" si="141"/>
        <v>0</v>
      </c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390">
        <f t="shared" si="142"/>
        <v>0</v>
      </c>
      <c r="CC275" s="3"/>
    </row>
    <row r="276" ht="14.25" customHeight="1">
      <c r="A276" s="3"/>
      <c r="B276" s="215">
        <v>46268</v>
      </c>
      <c r="C276" s="118"/>
      <c r="D276" s="123"/>
      <c r="E276" s="120"/>
      <c r="F276" s="120"/>
      <c r="G276" s="445">
        <f t="shared" si="134"/>
        <v>0</v>
      </c>
      <c r="H276" s="140"/>
      <c r="I276" s="457"/>
      <c r="J276" s="454"/>
      <c r="K276" s="133"/>
      <c r="L276" s="133"/>
      <c r="M276" s="133"/>
      <c r="N276" s="457"/>
      <c r="O276" s="140"/>
      <c r="P276" s="456"/>
      <c r="Q276" s="456"/>
      <c r="R276" s="140"/>
      <c r="S276" s="140"/>
      <c r="T276" s="140"/>
      <c r="U276" s="140"/>
      <c r="V276" s="133"/>
      <c r="W276" s="133"/>
      <c r="X276" s="133"/>
      <c r="Y276" s="133"/>
      <c r="Z276" s="133"/>
      <c r="AA276" s="133"/>
      <c r="AB276" s="383">
        <f t="shared" si="135"/>
        <v>0</v>
      </c>
      <c r="AC276" s="140"/>
      <c r="AD276" s="140"/>
      <c r="AE276" s="140"/>
      <c r="AF276" s="140"/>
      <c r="AG276" s="140"/>
      <c r="AH276" s="140"/>
      <c r="AI276" s="140"/>
      <c r="AJ276" s="140"/>
      <c r="AK276" s="140"/>
      <c r="AL276" s="140"/>
      <c r="AM276" s="140"/>
      <c r="AN276" s="140"/>
      <c r="AO276" s="140"/>
      <c r="AP276" s="384">
        <f t="shared" si="136"/>
        <v>0</v>
      </c>
      <c r="AQ276" s="123"/>
      <c r="AR276" s="123"/>
      <c r="AS276" s="123"/>
      <c r="AT276" s="385">
        <f t="shared" si="137"/>
        <v>0</v>
      </c>
      <c r="AU276" s="140"/>
      <c r="AV276" s="140"/>
      <c r="AW276" s="140"/>
      <c r="AX276" s="140"/>
      <c r="AY276" s="392"/>
      <c r="AZ276" s="432">
        <f t="shared" si="138"/>
        <v>0</v>
      </c>
      <c r="BA276" s="433"/>
      <c r="BB276" s="276"/>
      <c r="BC276" s="274"/>
      <c r="BD276" s="274"/>
      <c r="BE276" s="127"/>
      <c r="BF276" s="126"/>
      <c r="BG276" s="274"/>
      <c r="BH276" s="274"/>
      <c r="BI276" s="274"/>
      <c r="BJ276" s="274"/>
      <c r="BK276" s="389">
        <f t="shared" si="139"/>
        <v>0</v>
      </c>
      <c r="BL276" s="113">
        <f t="shared" si="140"/>
        <v>0</v>
      </c>
      <c r="BM276" s="3"/>
      <c r="BN276" s="113">
        <f t="shared" si="141"/>
        <v>0</v>
      </c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390">
        <f t="shared" si="142"/>
        <v>0</v>
      </c>
      <c r="CC276" s="3"/>
    </row>
    <row r="277" ht="14.25" customHeight="1">
      <c r="A277" s="3"/>
      <c r="B277" s="215">
        <v>46269</v>
      </c>
      <c r="C277" s="118"/>
      <c r="D277" s="123"/>
      <c r="E277" s="120"/>
      <c r="F277" s="120"/>
      <c r="G277" s="445">
        <f t="shared" si="134"/>
        <v>0</v>
      </c>
      <c r="H277" s="140"/>
      <c r="I277" s="457"/>
      <c r="J277" s="454"/>
      <c r="K277" s="140"/>
      <c r="L277" s="140"/>
      <c r="M277" s="140"/>
      <c r="N277" s="140"/>
      <c r="O277" s="140"/>
      <c r="P277" s="456"/>
      <c r="Q277" s="456"/>
      <c r="R277" s="140"/>
      <c r="S277" s="140"/>
      <c r="T277" s="140"/>
      <c r="U277" s="140"/>
      <c r="V277" s="140"/>
      <c r="W277" s="140"/>
      <c r="X277" s="140"/>
      <c r="Y277" s="140"/>
      <c r="Z277" s="140"/>
      <c r="AA277" s="140"/>
      <c r="AB277" s="383">
        <f t="shared" si="135"/>
        <v>0</v>
      </c>
      <c r="AC277" s="140"/>
      <c r="AD277" s="140"/>
      <c r="AE277" s="140"/>
      <c r="AF277" s="140"/>
      <c r="AG277" s="140"/>
      <c r="AH277" s="140"/>
      <c r="AI277" s="140"/>
      <c r="AJ277" s="140"/>
      <c r="AK277" s="140"/>
      <c r="AL277" s="140"/>
      <c r="AM277" s="140"/>
      <c r="AN277" s="140"/>
      <c r="AO277" s="140"/>
      <c r="AP277" s="384">
        <f t="shared" si="136"/>
        <v>0</v>
      </c>
      <c r="AQ277" s="123"/>
      <c r="AR277" s="123"/>
      <c r="AS277" s="123"/>
      <c r="AT277" s="385">
        <f t="shared" si="137"/>
        <v>0</v>
      </c>
      <c r="AU277" s="140"/>
      <c r="AV277" s="140"/>
      <c r="AW277" s="140"/>
      <c r="AX277" s="140"/>
      <c r="AY277" s="392"/>
      <c r="AZ277" s="432">
        <f t="shared" si="138"/>
        <v>0</v>
      </c>
      <c r="BA277" s="433"/>
      <c r="BB277" s="276"/>
      <c r="BC277" s="274"/>
      <c r="BD277" s="274"/>
      <c r="BE277" s="127"/>
      <c r="BF277" s="126"/>
      <c r="BG277" s="274"/>
      <c r="BH277" s="274"/>
      <c r="BI277" s="274"/>
      <c r="BJ277" s="274"/>
      <c r="BK277" s="389">
        <f t="shared" si="139"/>
        <v>0</v>
      </c>
      <c r="BL277" s="113">
        <f t="shared" si="140"/>
        <v>0</v>
      </c>
      <c r="BM277" s="3"/>
      <c r="BN277" s="113">
        <f t="shared" si="141"/>
        <v>0</v>
      </c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390">
        <f t="shared" si="142"/>
        <v>0</v>
      </c>
      <c r="CC277" s="3"/>
    </row>
    <row r="278" ht="14.25" customHeight="1">
      <c r="A278" s="3"/>
      <c r="B278" s="215">
        <v>46270</v>
      </c>
      <c r="C278" s="118"/>
      <c r="D278" s="123"/>
      <c r="E278" s="120"/>
      <c r="F278" s="120"/>
      <c r="G278" s="445">
        <f t="shared" si="134"/>
        <v>0</v>
      </c>
      <c r="H278" s="140"/>
      <c r="I278" s="457"/>
      <c r="J278" s="454"/>
      <c r="K278" s="140"/>
      <c r="L278" s="140"/>
      <c r="M278" s="140"/>
      <c r="N278" s="140"/>
      <c r="O278" s="140"/>
      <c r="P278" s="456"/>
      <c r="Q278" s="456"/>
      <c r="R278" s="140"/>
      <c r="S278" s="140"/>
      <c r="T278" s="140"/>
      <c r="U278" s="140"/>
      <c r="V278" s="140"/>
      <c r="W278" s="140"/>
      <c r="X278" s="140"/>
      <c r="Y278" s="140"/>
      <c r="Z278" s="140"/>
      <c r="AA278" s="140"/>
      <c r="AB278" s="383">
        <f t="shared" si="135"/>
        <v>0</v>
      </c>
      <c r="AC278" s="140"/>
      <c r="AD278" s="140"/>
      <c r="AE278" s="140"/>
      <c r="AF278" s="140"/>
      <c r="AG278" s="140"/>
      <c r="AH278" s="140"/>
      <c r="AI278" s="140"/>
      <c r="AJ278" s="140"/>
      <c r="AK278" s="140"/>
      <c r="AL278" s="140"/>
      <c r="AM278" s="140"/>
      <c r="AN278" s="140"/>
      <c r="AO278" s="140"/>
      <c r="AP278" s="384">
        <f t="shared" si="136"/>
        <v>0</v>
      </c>
      <c r="AQ278" s="123"/>
      <c r="AR278" s="123"/>
      <c r="AS278" s="123"/>
      <c r="AT278" s="385">
        <f t="shared" si="137"/>
        <v>0</v>
      </c>
      <c r="AU278" s="140"/>
      <c r="AV278" s="140"/>
      <c r="AW278" s="140"/>
      <c r="AX278" s="140"/>
      <c r="AY278" s="392"/>
      <c r="AZ278" s="432">
        <f t="shared" si="138"/>
        <v>0</v>
      </c>
      <c r="BA278" s="433"/>
      <c r="BB278" s="276"/>
      <c r="BC278" s="274"/>
      <c r="BD278" s="274"/>
      <c r="BE278" s="127"/>
      <c r="BF278" s="126"/>
      <c r="BG278" s="274"/>
      <c r="BH278" s="274"/>
      <c r="BI278" s="274"/>
      <c r="BJ278" s="274"/>
      <c r="BK278" s="389">
        <f t="shared" si="139"/>
        <v>0</v>
      </c>
      <c r="BL278" s="113">
        <f t="shared" si="140"/>
        <v>0</v>
      </c>
      <c r="BM278" s="3"/>
      <c r="BN278" s="113">
        <f t="shared" si="141"/>
        <v>0</v>
      </c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390">
        <f t="shared" si="142"/>
        <v>0</v>
      </c>
      <c r="CC278" s="3"/>
    </row>
    <row r="279" ht="14.25" customHeight="1">
      <c r="A279" s="3"/>
      <c r="B279" s="215">
        <v>46271</v>
      </c>
      <c r="C279" s="118"/>
      <c r="D279" s="123"/>
      <c r="E279" s="120"/>
      <c r="F279" s="120"/>
      <c r="G279" s="445">
        <f t="shared" si="134"/>
        <v>0</v>
      </c>
      <c r="H279" s="140"/>
      <c r="I279" s="457"/>
      <c r="J279" s="454"/>
      <c r="K279" s="140"/>
      <c r="L279" s="140"/>
      <c r="M279" s="140"/>
      <c r="N279" s="140"/>
      <c r="O279" s="140"/>
      <c r="P279" s="456"/>
      <c r="Q279" s="456"/>
      <c r="R279" s="140"/>
      <c r="S279" s="140"/>
      <c r="T279" s="140"/>
      <c r="U279" s="140"/>
      <c r="V279" s="140"/>
      <c r="W279" s="140"/>
      <c r="X279" s="140"/>
      <c r="Y279" s="140"/>
      <c r="Z279" s="140"/>
      <c r="AA279" s="140"/>
      <c r="AB279" s="383">
        <f t="shared" si="135"/>
        <v>0</v>
      </c>
      <c r="AC279" s="140"/>
      <c r="AD279" s="140"/>
      <c r="AE279" s="140"/>
      <c r="AF279" s="140"/>
      <c r="AG279" s="140"/>
      <c r="AH279" s="140"/>
      <c r="AI279" s="140"/>
      <c r="AJ279" s="140"/>
      <c r="AK279" s="140"/>
      <c r="AL279" s="140"/>
      <c r="AM279" s="140"/>
      <c r="AN279" s="140"/>
      <c r="AO279" s="140"/>
      <c r="AP279" s="384">
        <f t="shared" si="136"/>
        <v>0</v>
      </c>
      <c r="AQ279" s="123"/>
      <c r="AR279" s="123"/>
      <c r="AS279" s="123"/>
      <c r="AT279" s="385">
        <f t="shared" si="137"/>
        <v>0</v>
      </c>
      <c r="AU279" s="140"/>
      <c r="AV279" s="140"/>
      <c r="AW279" s="140"/>
      <c r="AX279" s="140"/>
      <c r="AY279" s="392"/>
      <c r="AZ279" s="432">
        <f t="shared" si="138"/>
        <v>0</v>
      </c>
      <c r="BA279" s="433"/>
      <c r="BB279" s="276"/>
      <c r="BC279" s="274"/>
      <c r="BD279" s="274"/>
      <c r="BE279" s="127"/>
      <c r="BF279" s="126"/>
      <c r="BG279" s="274"/>
      <c r="BH279" s="274"/>
      <c r="BI279" s="274"/>
      <c r="BJ279" s="274"/>
      <c r="BK279" s="389">
        <f t="shared" si="139"/>
        <v>0</v>
      </c>
      <c r="BL279" s="113">
        <f t="shared" si="140"/>
        <v>0</v>
      </c>
      <c r="BM279" s="3"/>
      <c r="BN279" s="113">
        <f t="shared" si="141"/>
        <v>0</v>
      </c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390">
        <f t="shared" si="142"/>
        <v>0</v>
      </c>
      <c r="CC279" s="3"/>
    </row>
    <row r="280" ht="14.25" customHeight="1">
      <c r="A280" s="3"/>
      <c r="B280" s="215">
        <v>46272</v>
      </c>
      <c r="C280" s="118"/>
      <c r="D280" s="123"/>
      <c r="E280" s="120"/>
      <c r="F280" s="120"/>
      <c r="G280" s="445">
        <f t="shared" si="134"/>
        <v>0</v>
      </c>
      <c r="H280" s="140"/>
      <c r="I280" s="457"/>
      <c r="J280" s="454"/>
      <c r="K280" s="140"/>
      <c r="L280" s="140"/>
      <c r="M280" s="140"/>
      <c r="N280" s="140"/>
      <c r="O280" s="140"/>
      <c r="P280" s="456"/>
      <c r="Q280" s="456"/>
      <c r="R280" s="140"/>
      <c r="S280" s="140"/>
      <c r="T280" s="140"/>
      <c r="U280" s="140"/>
      <c r="V280" s="140"/>
      <c r="W280" s="140"/>
      <c r="X280" s="140"/>
      <c r="Y280" s="140"/>
      <c r="Z280" s="140"/>
      <c r="AA280" s="140"/>
      <c r="AB280" s="383">
        <f t="shared" si="135"/>
        <v>0</v>
      </c>
      <c r="AC280" s="140"/>
      <c r="AD280" s="140"/>
      <c r="AE280" s="140"/>
      <c r="AF280" s="140"/>
      <c r="AG280" s="140"/>
      <c r="AH280" s="140"/>
      <c r="AI280" s="140"/>
      <c r="AJ280" s="140"/>
      <c r="AK280" s="140"/>
      <c r="AL280" s="140"/>
      <c r="AM280" s="140"/>
      <c r="AN280" s="140"/>
      <c r="AO280" s="140"/>
      <c r="AP280" s="384">
        <f t="shared" si="136"/>
        <v>0</v>
      </c>
      <c r="AQ280" s="123"/>
      <c r="AR280" s="123"/>
      <c r="AS280" s="123"/>
      <c r="AT280" s="385">
        <f t="shared" si="137"/>
        <v>0</v>
      </c>
      <c r="AU280" s="140"/>
      <c r="AV280" s="140"/>
      <c r="AW280" s="140"/>
      <c r="AX280" s="140"/>
      <c r="AY280" s="392"/>
      <c r="AZ280" s="432">
        <f t="shared" si="138"/>
        <v>0</v>
      </c>
      <c r="BA280" s="433"/>
      <c r="BB280" s="276"/>
      <c r="BC280" s="274"/>
      <c r="BD280" s="274"/>
      <c r="BE280" s="127"/>
      <c r="BF280" s="126"/>
      <c r="BG280" s="274"/>
      <c r="BH280" s="274"/>
      <c r="BI280" s="274"/>
      <c r="BJ280" s="274"/>
      <c r="BK280" s="389">
        <f t="shared" si="139"/>
        <v>0</v>
      </c>
      <c r="BL280" s="113">
        <f t="shared" si="140"/>
        <v>0</v>
      </c>
      <c r="BM280" s="3"/>
      <c r="BN280" s="113">
        <f t="shared" si="141"/>
        <v>0</v>
      </c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390">
        <f t="shared" si="142"/>
        <v>0</v>
      </c>
      <c r="CC280" s="3"/>
    </row>
    <row r="281" ht="14.25" customHeight="1">
      <c r="A281" s="3"/>
      <c r="B281" s="215">
        <v>46273</v>
      </c>
      <c r="C281" s="118"/>
      <c r="D281" s="123"/>
      <c r="E281" s="120"/>
      <c r="F281" s="120"/>
      <c r="G281" s="445">
        <f t="shared" si="134"/>
        <v>0</v>
      </c>
      <c r="H281" s="140"/>
      <c r="I281" s="457"/>
      <c r="J281" s="454"/>
      <c r="K281" s="140"/>
      <c r="L281" s="140"/>
      <c r="M281" s="140"/>
      <c r="N281" s="140"/>
      <c r="O281" s="140"/>
      <c r="P281" s="456"/>
      <c r="Q281" s="456"/>
      <c r="R281" s="140"/>
      <c r="S281" s="140"/>
      <c r="T281" s="140"/>
      <c r="U281" s="140"/>
      <c r="V281" s="140"/>
      <c r="W281" s="140"/>
      <c r="X281" s="140"/>
      <c r="Y281" s="140"/>
      <c r="Z281" s="140"/>
      <c r="AA281" s="140"/>
      <c r="AB281" s="383">
        <f t="shared" si="135"/>
        <v>0</v>
      </c>
      <c r="AC281" s="140"/>
      <c r="AD281" s="140"/>
      <c r="AE281" s="140"/>
      <c r="AF281" s="140"/>
      <c r="AG281" s="140"/>
      <c r="AH281" s="140"/>
      <c r="AI281" s="140"/>
      <c r="AJ281" s="140"/>
      <c r="AK281" s="140"/>
      <c r="AL281" s="140"/>
      <c r="AM281" s="140"/>
      <c r="AN281" s="140"/>
      <c r="AO281" s="140"/>
      <c r="AP281" s="384">
        <f t="shared" si="136"/>
        <v>0</v>
      </c>
      <c r="AQ281" s="123"/>
      <c r="AR281" s="123"/>
      <c r="AS281" s="123"/>
      <c r="AT281" s="385">
        <f t="shared" si="137"/>
        <v>0</v>
      </c>
      <c r="AU281" s="140"/>
      <c r="AV281" s="140"/>
      <c r="AW281" s="140"/>
      <c r="AX281" s="140"/>
      <c r="AY281" s="392"/>
      <c r="AZ281" s="432">
        <f t="shared" si="138"/>
        <v>0</v>
      </c>
      <c r="BA281" s="433"/>
      <c r="BB281" s="276"/>
      <c r="BC281" s="274"/>
      <c r="BD281" s="274"/>
      <c r="BE281" s="127"/>
      <c r="BF281" s="126"/>
      <c r="BG281" s="274"/>
      <c r="BH281" s="274"/>
      <c r="BI281" s="274"/>
      <c r="BJ281" s="274"/>
      <c r="BK281" s="389">
        <f t="shared" si="139"/>
        <v>0</v>
      </c>
      <c r="BL281" s="113">
        <f t="shared" si="140"/>
        <v>0</v>
      </c>
      <c r="BM281" s="3"/>
      <c r="BN281" s="113">
        <f t="shared" si="141"/>
        <v>0</v>
      </c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390">
        <f t="shared" si="142"/>
        <v>0</v>
      </c>
      <c r="CC281" s="3"/>
    </row>
    <row r="282" ht="14.25" customHeight="1">
      <c r="A282" s="132"/>
      <c r="B282" s="215">
        <v>46274</v>
      </c>
      <c r="C282" s="133"/>
      <c r="D282" s="136"/>
      <c r="E282" s="135"/>
      <c r="F282" s="135"/>
      <c r="G282" s="445">
        <f t="shared" si="134"/>
        <v>0</v>
      </c>
      <c r="H282" s="140"/>
      <c r="I282" s="457"/>
      <c r="J282" s="454"/>
      <c r="K282" s="545"/>
      <c r="L282" s="545"/>
      <c r="M282" s="140"/>
      <c r="N282" s="140"/>
      <c r="O282" s="140"/>
      <c r="P282" s="456"/>
      <c r="Q282" s="456"/>
      <c r="R282" s="140"/>
      <c r="S282" s="140"/>
      <c r="T282" s="140"/>
      <c r="U282" s="140"/>
      <c r="V282" s="140"/>
      <c r="W282" s="140"/>
      <c r="X282" s="140"/>
      <c r="Y282" s="140"/>
      <c r="Z282" s="140"/>
      <c r="AA282" s="140"/>
      <c r="AB282" s="383">
        <f t="shared" si="135"/>
        <v>0</v>
      </c>
      <c r="AC282" s="140"/>
      <c r="AD282" s="140"/>
      <c r="AE282" s="140"/>
      <c r="AF282" s="140"/>
      <c r="AG282" s="140"/>
      <c r="AH282" s="140"/>
      <c r="AI282" s="140"/>
      <c r="AJ282" s="140"/>
      <c r="AK282" s="140"/>
      <c r="AL282" s="140"/>
      <c r="AM282" s="140"/>
      <c r="AN282" s="140"/>
      <c r="AO282" s="140"/>
      <c r="AP282" s="384">
        <f t="shared" si="136"/>
        <v>0</v>
      </c>
      <c r="AQ282" s="136"/>
      <c r="AR282" s="136"/>
      <c r="AS282" s="136"/>
      <c r="AT282" s="385">
        <f t="shared" si="137"/>
        <v>0</v>
      </c>
      <c r="AU282" s="140"/>
      <c r="AV282" s="140"/>
      <c r="AW282" s="140"/>
      <c r="AX282" s="140"/>
      <c r="AY282" s="392"/>
      <c r="AZ282" s="432">
        <f t="shared" si="138"/>
        <v>0</v>
      </c>
      <c r="BA282" s="433"/>
      <c r="BB282" s="276"/>
      <c r="BC282" s="274"/>
      <c r="BD282" s="274"/>
      <c r="BE282" s="127"/>
      <c r="BF282" s="126"/>
      <c r="BG282" s="274"/>
      <c r="BH282" s="274"/>
      <c r="BI282" s="274"/>
      <c r="BJ282" s="274"/>
      <c r="BK282" s="389">
        <f t="shared" si="139"/>
        <v>0</v>
      </c>
      <c r="BL282" s="140">
        <f t="shared" si="140"/>
        <v>0</v>
      </c>
      <c r="BM282" s="132"/>
      <c r="BN282" s="140">
        <f t="shared" si="141"/>
        <v>0</v>
      </c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41"/>
      <c r="CA282" s="141"/>
      <c r="CB282" s="390">
        <f t="shared" si="142"/>
        <v>0</v>
      </c>
      <c r="CC282" s="132"/>
    </row>
    <row r="283" ht="14.25" customHeight="1">
      <c r="A283" s="132"/>
      <c r="B283" s="215">
        <v>46275</v>
      </c>
      <c r="C283" s="133"/>
      <c r="D283" s="136"/>
      <c r="E283" s="135"/>
      <c r="F283" s="135"/>
      <c r="G283" s="445">
        <f t="shared" si="134"/>
        <v>0</v>
      </c>
      <c r="H283" s="140"/>
      <c r="I283" s="457"/>
      <c r="J283" s="454"/>
      <c r="K283" s="140"/>
      <c r="L283" s="140"/>
      <c r="M283" s="140"/>
      <c r="N283" s="140"/>
      <c r="O283" s="140"/>
      <c r="P283" s="456"/>
      <c r="Q283" s="456"/>
      <c r="R283" s="140"/>
      <c r="S283" s="140"/>
      <c r="T283" s="140"/>
      <c r="U283" s="140"/>
      <c r="V283" s="140"/>
      <c r="W283" s="140"/>
      <c r="X283" s="140"/>
      <c r="Y283" s="140"/>
      <c r="Z283" s="140"/>
      <c r="AA283" s="140"/>
      <c r="AB283" s="383">
        <f t="shared" si="135"/>
        <v>0</v>
      </c>
      <c r="AC283" s="140"/>
      <c r="AD283" s="140"/>
      <c r="AE283" s="140"/>
      <c r="AF283" s="140"/>
      <c r="AG283" s="140"/>
      <c r="AH283" s="140"/>
      <c r="AI283" s="140"/>
      <c r="AJ283" s="140"/>
      <c r="AK283" s="140"/>
      <c r="AL283" s="140"/>
      <c r="AM283" s="140"/>
      <c r="AN283" s="140"/>
      <c r="AO283" s="140"/>
      <c r="AP283" s="384">
        <f t="shared" si="136"/>
        <v>0</v>
      </c>
      <c r="AQ283" s="136"/>
      <c r="AR283" s="136"/>
      <c r="AS283" s="136"/>
      <c r="AT283" s="385">
        <f t="shared" si="137"/>
        <v>0</v>
      </c>
      <c r="AU283" s="140"/>
      <c r="AV283" s="140"/>
      <c r="AW283" s="140"/>
      <c r="AX283" s="140"/>
      <c r="AY283" s="392"/>
      <c r="AZ283" s="432">
        <f t="shared" si="138"/>
        <v>0</v>
      </c>
      <c r="BA283" s="433"/>
      <c r="BB283" s="276"/>
      <c r="BC283" s="274"/>
      <c r="BD283" s="274"/>
      <c r="BE283" s="127"/>
      <c r="BF283" s="126"/>
      <c r="BG283" s="274"/>
      <c r="BH283" s="274"/>
      <c r="BI283" s="274"/>
      <c r="BJ283" s="274"/>
      <c r="BK283" s="389">
        <f t="shared" si="139"/>
        <v>0</v>
      </c>
      <c r="BL283" s="140">
        <f t="shared" si="140"/>
        <v>0</v>
      </c>
      <c r="BM283" s="132"/>
      <c r="BN283" s="140">
        <f t="shared" si="141"/>
        <v>0</v>
      </c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41"/>
      <c r="CA283" s="141"/>
      <c r="CB283" s="390">
        <f t="shared" si="142"/>
        <v>0</v>
      </c>
      <c r="CC283" s="132"/>
    </row>
    <row r="284" ht="14.25" customHeight="1">
      <c r="A284" s="132"/>
      <c r="B284" s="215">
        <v>46276</v>
      </c>
      <c r="C284" s="133"/>
      <c r="D284" s="136"/>
      <c r="E284" s="135"/>
      <c r="F284" s="135"/>
      <c r="G284" s="445">
        <f t="shared" si="134"/>
        <v>0</v>
      </c>
      <c r="H284" s="140"/>
      <c r="I284" s="457"/>
      <c r="J284" s="454"/>
      <c r="K284" s="140"/>
      <c r="L284" s="140"/>
      <c r="M284" s="140"/>
      <c r="N284" s="140"/>
      <c r="O284" s="140"/>
      <c r="P284" s="456"/>
      <c r="Q284" s="456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383">
        <f t="shared" si="135"/>
        <v>0</v>
      </c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384">
        <f t="shared" si="136"/>
        <v>0</v>
      </c>
      <c r="AQ284" s="136"/>
      <c r="AR284" s="136"/>
      <c r="AS284" s="136"/>
      <c r="AT284" s="385">
        <f t="shared" si="137"/>
        <v>0</v>
      </c>
      <c r="AU284" s="140"/>
      <c r="AV284" s="140"/>
      <c r="AW284" s="140"/>
      <c r="AX284" s="140"/>
      <c r="AY284" s="392"/>
      <c r="AZ284" s="432">
        <f t="shared" si="138"/>
        <v>0</v>
      </c>
      <c r="BA284" s="433"/>
      <c r="BB284" s="276"/>
      <c r="BC284" s="274"/>
      <c r="BD284" s="274"/>
      <c r="BE284" s="127"/>
      <c r="BF284" s="126"/>
      <c r="BG284" s="274"/>
      <c r="BH284" s="274"/>
      <c r="BI284" s="274"/>
      <c r="BJ284" s="274"/>
      <c r="BK284" s="389">
        <f t="shared" si="139"/>
        <v>0</v>
      </c>
      <c r="BL284" s="140">
        <f t="shared" si="140"/>
        <v>0</v>
      </c>
      <c r="BM284" s="132"/>
      <c r="BN284" s="140">
        <f t="shared" si="141"/>
        <v>0</v>
      </c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41"/>
      <c r="CA284" s="141"/>
      <c r="CB284" s="390">
        <f t="shared" si="142"/>
        <v>0</v>
      </c>
      <c r="CC284" s="132"/>
    </row>
    <row r="285" ht="14.25" customHeight="1">
      <c r="A285" s="132"/>
      <c r="B285" s="215">
        <v>46277</v>
      </c>
      <c r="C285" s="133"/>
      <c r="D285" s="136"/>
      <c r="E285" s="135"/>
      <c r="F285" s="135"/>
      <c r="G285" s="445">
        <f t="shared" si="134"/>
        <v>0</v>
      </c>
      <c r="H285" s="140"/>
      <c r="I285" s="457"/>
      <c r="J285" s="454"/>
      <c r="K285" s="140"/>
      <c r="L285" s="140"/>
      <c r="M285" s="140"/>
      <c r="N285" s="140"/>
      <c r="O285" s="140"/>
      <c r="P285" s="456"/>
      <c r="Q285" s="456"/>
      <c r="R285" s="140"/>
      <c r="S285" s="140"/>
      <c r="T285" s="140"/>
      <c r="U285" s="140"/>
      <c r="V285" s="140"/>
      <c r="W285" s="140"/>
      <c r="X285" s="140"/>
      <c r="Y285" s="140"/>
      <c r="Z285" s="140"/>
      <c r="AA285" s="140"/>
      <c r="AB285" s="383">
        <f t="shared" si="135"/>
        <v>0</v>
      </c>
      <c r="AC285" s="140"/>
      <c r="AD285" s="140"/>
      <c r="AE285" s="140"/>
      <c r="AF285" s="140"/>
      <c r="AG285" s="140"/>
      <c r="AH285" s="140"/>
      <c r="AI285" s="140"/>
      <c r="AJ285" s="140"/>
      <c r="AK285" s="140"/>
      <c r="AL285" s="140"/>
      <c r="AM285" s="140"/>
      <c r="AN285" s="140"/>
      <c r="AO285" s="140"/>
      <c r="AP285" s="384">
        <f t="shared" si="136"/>
        <v>0</v>
      </c>
      <c r="AQ285" s="136"/>
      <c r="AR285" s="136"/>
      <c r="AS285" s="136"/>
      <c r="AT285" s="385">
        <f t="shared" si="137"/>
        <v>0</v>
      </c>
      <c r="AU285" s="140"/>
      <c r="AV285" s="140"/>
      <c r="AW285" s="140"/>
      <c r="AX285" s="140"/>
      <c r="AY285" s="392"/>
      <c r="AZ285" s="432">
        <f t="shared" si="138"/>
        <v>0</v>
      </c>
      <c r="BA285" s="433"/>
      <c r="BB285" s="276"/>
      <c r="BC285" s="274"/>
      <c r="BD285" s="274"/>
      <c r="BE285" s="127"/>
      <c r="BF285" s="126"/>
      <c r="BG285" s="274"/>
      <c r="BH285" s="274"/>
      <c r="BI285" s="274"/>
      <c r="BJ285" s="274"/>
      <c r="BK285" s="389">
        <f t="shared" si="139"/>
        <v>0</v>
      </c>
      <c r="BL285" s="140">
        <f t="shared" si="140"/>
        <v>0</v>
      </c>
      <c r="BM285" s="132"/>
      <c r="BN285" s="140">
        <f t="shared" si="141"/>
        <v>0</v>
      </c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41"/>
      <c r="CA285" s="141"/>
      <c r="CB285" s="390">
        <f t="shared" si="142"/>
        <v>0</v>
      </c>
      <c r="CC285" s="132"/>
    </row>
    <row r="286" ht="14.25" customHeight="1">
      <c r="A286" s="132"/>
      <c r="B286" s="215">
        <v>46278</v>
      </c>
      <c r="C286" s="133"/>
      <c r="D286" s="136"/>
      <c r="E286" s="135"/>
      <c r="F286" s="135"/>
      <c r="G286" s="445">
        <f t="shared" si="134"/>
        <v>0</v>
      </c>
      <c r="H286" s="140"/>
      <c r="I286" s="457"/>
      <c r="J286" s="454"/>
      <c r="K286" s="140"/>
      <c r="L286" s="140"/>
      <c r="M286" s="140"/>
      <c r="N286" s="140"/>
      <c r="O286" s="140"/>
      <c r="P286" s="456"/>
      <c r="Q286" s="456"/>
      <c r="R286" s="140"/>
      <c r="S286" s="140"/>
      <c r="T286" s="140"/>
      <c r="U286" s="140"/>
      <c r="V286" s="140"/>
      <c r="W286" s="140"/>
      <c r="X286" s="140"/>
      <c r="Y286" s="140"/>
      <c r="Z286" s="140"/>
      <c r="AA286" s="140"/>
      <c r="AB286" s="383">
        <f t="shared" si="135"/>
        <v>0</v>
      </c>
      <c r="AC286" s="140"/>
      <c r="AD286" s="140"/>
      <c r="AE286" s="140"/>
      <c r="AF286" s="140"/>
      <c r="AG286" s="140"/>
      <c r="AH286" s="140"/>
      <c r="AI286" s="140"/>
      <c r="AJ286" s="140"/>
      <c r="AK286" s="140"/>
      <c r="AL286" s="140"/>
      <c r="AM286" s="140"/>
      <c r="AN286" s="140"/>
      <c r="AO286" s="140"/>
      <c r="AP286" s="384">
        <f t="shared" si="136"/>
        <v>0</v>
      </c>
      <c r="AQ286" s="136"/>
      <c r="AR286" s="136"/>
      <c r="AS286" s="136"/>
      <c r="AT286" s="385">
        <f t="shared" si="137"/>
        <v>0</v>
      </c>
      <c r="AU286" s="140"/>
      <c r="AV286" s="140"/>
      <c r="AW286" s="140"/>
      <c r="AX286" s="140"/>
      <c r="AY286" s="392"/>
      <c r="AZ286" s="432">
        <f t="shared" si="138"/>
        <v>0</v>
      </c>
      <c r="BA286" s="433"/>
      <c r="BB286" s="276"/>
      <c r="BC286" s="274"/>
      <c r="BD286" s="274"/>
      <c r="BE286" s="127"/>
      <c r="BF286" s="126"/>
      <c r="BG286" s="274"/>
      <c r="BH286" s="274"/>
      <c r="BI286" s="274"/>
      <c r="BJ286" s="274"/>
      <c r="BK286" s="389">
        <f t="shared" si="139"/>
        <v>0</v>
      </c>
      <c r="BL286" s="140">
        <f t="shared" si="140"/>
        <v>0</v>
      </c>
      <c r="BM286" s="132"/>
      <c r="BN286" s="140">
        <f t="shared" si="141"/>
        <v>0</v>
      </c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52"/>
      <c r="BZ286" s="141"/>
      <c r="CA286" s="141"/>
      <c r="CB286" s="390">
        <f t="shared" si="142"/>
        <v>0</v>
      </c>
      <c r="CC286" s="132"/>
    </row>
    <row r="287" ht="14.25" customHeight="1">
      <c r="A287" s="132"/>
      <c r="B287" s="215">
        <v>46279</v>
      </c>
      <c r="C287" s="133"/>
      <c r="D287" s="136"/>
      <c r="E287" s="135"/>
      <c r="F287" s="135"/>
      <c r="G287" s="445">
        <f t="shared" si="134"/>
        <v>0</v>
      </c>
      <c r="H287" s="140"/>
      <c r="I287" s="457"/>
      <c r="J287" s="454"/>
      <c r="K287" s="140"/>
      <c r="L287" s="140"/>
      <c r="M287" s="140"/>
      <c r="N287" s="140"/>
      <c r="O287" s="140"/>
      <c r="P287" s="456"/>
      <c r="Q287" s="456"/>
      <c r="R287" s="140"/>
      <c r="S287" s="140"/>
      <c r="T287" s="140"/>
      <c r="U287" s="140"/>
      <c r="V287" s="140"/>
      <c r="W287" s="140"/>
      <c r="X287" s="140"/>
      <c r="Y287" s="140"/>
      <c r="Z287" s="140"/>
      <c r="AA287" s="140"/>
      <c r="AB287" s="383">
        <f t="shared" si="135"/>
        <v>0</v>
      </c>
      <c r="AC287" s="132"/>
      <c r="AD287" s="140"/>
      <c r="AE287" s="140"/>
      <c r="AF287" s="140"/>
      <c r="AG287" s="140"/>
      <c r="AH287" s="140"/>
      <c r="AI287" s="140"/>
      <c r="AJ287" s="140"/>
      <c r="AK287" s="140"/>
      <c r="AL287" s="140"/>
      <c r="AM287" s="140"/>
      <c r="AN287" s="140"/>
      <c r="AO287" s="140"/>
      <c r="AP287" s="384">
        <f t="shared" si="136"/>
        <v>0</v>
      </c>
      <c r="AQ287" s="136"/>
      <c r="AR287" s="136"/>
      <c r="AS287" s="136"/>
      <c r="AT287" s="385">
        <f t="shared" si="137"/>
        <v>0</v>
      </c>
      <c r="AU287" s="140"/>
      <c r="AV287" s="140"/>
      <c r="AW287" s="140"/>
      <c r="AX287" s="140"/>
      <c r="AY287" s="392"/>
      <c r="AZ287" s="432">
        <f t="shared" si="138"/>
        <v>0</v>
      </c>
      <c r="BA287" s="433"/>
      <c r="BB287" s="276"/>
      <c r="BC287" s="274"/>
      <c r="BD287" s="274"/>
      <c r="BE287" s="127"/>
      <c r="BF287" s="126"/>
      <c r="BG287" s="274"/>
      <c r="BH287" s="274"/>
      <c r="BI287" s="274"/>
      <c r="BJ287" s="274"/>
      <c r="BK287" s="389">
        <f t="shared" si="139"/>
        <v>0</v>
      </c>
      <c r="BL287" s="140">
        <f t="shared" si="140"/>
        <v>0</v>
      </c>
      <c r="BM287" s="132"/>
      <c r="BN287" s="140">
        <f t="shared" si="141"/>
        <v>0</v>
      </c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41"/>
      <c r="CA287" s="141"/>
      <c r="CB287" s="390">
        <f t="shared" si="142"/>
        <v>0</v>
      </c>
      <c r="CC287" s="132"/>
    </row>
    <row r="288" ht="14.25" customHeight="1">
      <c r="A288" s="132"/>
      <c r="B288" s="215">
        <v>46280</v>
      </c>
      <c r="C288" s="133"/>
      <c r="D288" s="136"/>
      <c r="E288" s="135"/>
      <c r="F288" s="135"/>
      <c r="G288" s="445">
        <f t="shared" si="134"/>
        <v>0</v>
      </c>
      <c r="H288" s="140"/>
      <c r="I288" s="457"/>
      <c r="J288" s="454"/>
      <c r="K288" s="140"/>
      <c r="L288" s="140"/>
      <c r="M288" s="140"/>
      <c r="N288" s="140"/>
      <c r="O288" s="140"/>
      <c r="P288" s="456"/>
      <c r="Q288" s="456"/>
      <c r="R288" s="140"/>
      <c r="S288" s="140"/>
      <c r="T288" s="140"/>
      <c r="U288" s="140"/>
      <c r="V288" s="140"/>
      <c r="W288" s="140"/>
      <c r="X288" s="140"/>
      <c r="Y288" s="140"/>
      <c r="Z288" s="140"/>
      <c r="AA288" s="140"/>
      <c r="AB288" s="383">
        <f t="shared" si="135"/>
        <v>0</v>
      </c>
      <c r="AC288" s="140"/>
      <c r="AD288" s="140"/>
      <c r="AE288" s="140"/>
      <c r="AF288" s="140"/>
      <c r="AG288" s="140"/>
      <c r="AH288" s="140"/>
      <c r="AI288" s="140"/>
      <c r="AJ288" s="140"/>
      <c r="AK288" s="140"/>
      <c r="AL288" s="140"/>
      <c r="AM288" s="140"/>
      <c r="AN288" s="140"/>
      <c r="AO288" s="140"/>
      <c r="AP288" s="384">
        <f t="shared" si="136"/>
        <v>0</v>
      </c>
      <c r="AQ288" s="136"/>
      <c r="AR288" s="136"/>
      <c r="AS288" s="136"/>
      <c r="AT288" s="385">
        <f t="shared" si="137"/>
        <v>0</v>
      </c>
      <c r="AU288" s="140"/>
      <c r="AV288" s="140"/>
      <c r="AW288" s="140"/>
      <c r="AX288" s="140"/>
      <c r="AY288" s="392"/>
      <c r="AZ288" s="432">
        <f t="shared" si="138"/>
        <v>0</v>
      </c>
      <c r="BA288" s="433"/>
      <c r="BB288" s="276"/>
      <c r="BC288" s="274"/>
      <c r="BD288" s="274"/>
      <c r="BE288" s="127"/>
      <c r="BF288" s="126"/>
      <c r="BG288" s="274"/>
      <c r="BH288" s="274"/>
      <c r="BI288" s="274"/>
      <c r="BJ288" s="274"/>
      <c r="BK288" s="389">
        <f t="shared" si="139"/>
        <v>0</v>
      </c>
      <c r="BL288" s="140">
        <f t="shared" si="140"/>
        <v>0</v>
      </c>
      <c r="BM288" s="132"/>
      <c r="BN288" s="140">
        <f t="shared" si="141"/>
        <v>0</v>
      </c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141"/>
      <c r="CA288" s="141"/>
      <c r="CB288" s="390">
        <f t="shared" si="142"/>
        <v>0</v>
      </c>
      <c r="CC288" s="132"/>
    </row>
    <row r="289" ht="14.25" customHeight="1">
      <c r="A289" s="132"/>
      <c r="B289" s="215">
        <v>46281</v>
      </c>
      <c r="C289" s="133"/>
      <c r="D289" s="136"/>
      <c r="E289" s="135"/>
      <c r="F289" s="135"/>
      <c r="G289" s="445">
        <f t="shared" si="134"/>
        <v>0</v>
      </c>
      <c r="H289" s="140"/>
      <c r="I289" s="457"/>
      <c r="J289" s="454"/>
      <c r="K289" s="140"/>
      <c r="L289" s="140"/>
      <c r="M289" s="140"/>
      <c r="N289" s="140"/>
      <c r="O289" s="140"/>
      <c r="P289" s="456"/>
      <c r="Q289" s="456"/>
      <c r="R289" s="140"/>
      <c r="S289" s="140"/>
      <c r="T289" s="140"/>
      <c r="U289" s="140"/>
      <c r="V289" s="140"/>
      <c r="W289" s="140"/>
      <c r="X289" s="140"/>
      <c r="Y289" s="140"/>
      <c r="Z289" s="140"/>
      <c r="AA289" s="140"/>
      <c r="AB289" s="383">
        <f t="shared" si="135"/>
        <v>0</v>
      </c>
      <c r="AC289" s="140"/>
      <c r="AD289" s="140"/>
      <c r="AE289" s="140"/>
      <c r="AF289" s="140"/>
      <c r="AG289" s="140"/>
      <c r="AH289" s="140"/>
      <c r="AI289" s="140"/>
      <c r="AJ289" s="140"/>
      <c r="AK289" s="140"/>
      <c r="AL289" s="140"/>
      <c r="AM289" s="140"/>
      <c r="AN289" s="140"/>
      <c r="AO289" s="140"/>
      <c r="AP289" s="384">
        <f t="shared" si="136"/>
        <v>0</v>
      </c>
      <c r="AQ289" s="136"/>
      <c r="AR289" s="136"/>
      <c r="AS289" s="136"/>
      <c r="AT289" s="385">
        <f t="shared" si="137"/>
        <v>0</v>
      </c>
      <c r="AU289" s="140"/>
      <c r="AV289" s="140"/>
      <c r="AW289" s="140"/>
      <c r="AX289" s="140"/>
      <c r="AY289" s="392"/>
      <c r="AZ289" s="432">
        <f t="shared" si="138"/>
        <v>0</v>
      </c>
      <c r="BA289" s="433"/>
      <c r="BB289" s="276"/>
      <c r="BC289" s="274"/>
      <c r="BD289" s="274"/>
      <c r="BE289" s="127"/>
      <c r="BF289" s="126"/>
      <c r="BG289" s="274"/>
      <c r="BH289" s="274"/>
      <c r="BI289" s="274"/>
      <c r="BJ289" s="274"/>
      <c r="BK289" s="389">
        <f t="shared" si="139"/>
        <v>0</v>
      </c>
      <c r="BL289" s="140">
        <f t="shared" si="140"/>
        <v>0</v>
      </c>
      <c r="BM289" s="132"/>
      <c r="BN289" s="140">
        <f t="shared" si="141"/>
        <v>0</v>
      </c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41"/>
      <c r="CA289" s="141"/>
      <c r="CB289" s="390">
        <f t="shared" si="142"/>
        <v>0</v>
      </c>
      <c r="CC289" s="132"/>
    </row>
    <row r="290" ht="14.25" customHeight="1">
      <c r="A290" s="132"/>
      <c r="B290" s="215">
        <v>46282</v>
      </c>
      <c r="C290" s="133"/>
      <c r="D290" s="136"/>
      <c r="E290" s="135"/>
      <c r="F290" s="135"/>
      <c r="G290" s="445">
        <f t="shared" si="134"/>
        <v>0</v>
      </c>
      <c r="H290" s="140"/>
      <c r="I290" s="457"/>
      <c r="J290" s="454"/>
      <c r="K290" s="140"/>
      <c r="L290" s="140"/>
      <c r="M290" s="140"/>
      <c r="N290" s="140"/>
      <c r="O290" s="140"/>
      <c r="P290" s="456"/>
      <c r="Q290" s="456"/>
      <c r="R290" s="140"/>
      <c r="S290" s="140"/>
      <c r="T290" s="140"/>
      <c r="U290" s="140"/>
      <c r="V290" s="140"/>
      <c r="W290" s="140"/>
      <c r="X290" s="140"/>
      <c r="Y290" s="140"/>
      <c r="Z290" s="140"/>
      <c r="AA290" s="140"/>
      <c r="AB290" s="383">
        <f t="shared" si="135"/>
        <v>0</v>
      </c>
      <c r="AC290" s="140"/>
      <c r="AD290" s="140"/>
      <c r="AE290" s="140"/>
      <c r="AF290" s="140"/>
      <c r="AG290" s="140"/>
      <c r="AH290" s="140"/>
      <c r="AI290" s="140"/>
      <c r="AJ290" s="140"/>
      <c r="AK290" s="140"/>
      <c r="AL290" s="140"/>
      <c r="AM290" s="140"/>
      <c r="AN290" s="140"/>
      <c r="AO290" s="140"/>
      <c r="AP290" s="384">
        <f t="shared" si="136"/>
        <v>0</v>
      </c>
      <c r="AQ290" s="136"/>
      <c r="AR290" s="136"/>
      <c r="AS290" s="136"/>
      <c r="AT290" s="385">
        <f t="shared" si="137"/>
        <v>0</v>
      </c>
      <c r="AU290" s="140"/>
      <c r="AV290" s="140"/>
      <c r="AW290" s="140"/>
      <c r="AX290" s="140"/>
      <c r="AY290" s="392"/>
      <c r="AZ290" s="432">
        <f t="shared" si="138"/>
        <v>0</v>
      </c>
      <c r="BA290" s="433"/>
      <c r="BB290" s="276"/>
      <c r="BC290" s="274"/>
      <c r="BD290" s="274"/>
      <c r="BE290" s="127"/>
      <c r="BF290" s="126"/>
      <c r="BG290" s="274"/>
      <c r="BH290" s="274"/>
      <c r="BI290" s="274"/>
      <c r="BJ290" s="274"/>
      <c r="BK290" s="389">
        <f t="shared" si="139"/>
        <v>0</v>
      </c>
      <c r="BL290" s="140">
        <f t="shared" si="140"/>
        <v>0</v>
      </c>
      <c r="BM290" s="132"/>
      <c r="BN290" s="140">
        <f t="shared" si="141"/>
        <v>0</v>
      </c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41"/>
      <c r="CA290" s="141"/>
      <c r="CB290" s="390">
        <f t="shared" si="142"/>
        <v>0</v>
      </c>
      <c r="CC290" s="132"/>
    </row>
    <row r="291" ht="14.25" customHeight="1">
      <c r="A291" s="132"/>
      <c r="B291" s="215">
        <v>46283</v>
      </c>
      <c r="C291" s="133"/>
      <c r="D291" s="136"/>
      <c r="E291" s="135"/>
      <c r="F291" s="135"/>
      <c r="G291" s="445">
        <f t="shared" si="134"/>
        <v>0</v>
      </c>
      <c r="H291" s="140"/>
      <c r="I291" s="457"/>
      <c r="J291" s="454"/>
      <c r="K291" s="140"/>
      <c r="L291" s="140"/>
      <c r="M291" s="140"/>
      <c r="N291" s="140"/>
      <c r="O291" s="140"/>
      <c r="P291" s="456"/>
      <c r="Q291" s="456"/>
      <c r="R291" s="140"/>
      <c r="S291" s="140"/>
      <c r="T291" s="140"/>
      <c r="U291" s="140"/>
      <c r="V291" s="140"/>
      <c r="W291" s="140"/>
      <c r="X291" s="140"/>
      <c r="Y291" s="140"/>
      <c r="Z291" s="140"/>
      <c r="AA291" s="140"/>
      <c r="AB291" s="383">
        <f t="shared" si="135"/>
        <v>0</v>
      </c>
      <c r="AC291" s="140"/>
      <c r="AD291" s="140"/>
      <c r="AE291" s="140"/>
      <c r="AF291" s="140"/>
      <c r="AG291" s="140"/>
      <c r="AH291" s="140"/>
      <c r="AI291" s="140"/>
      <c r="AJ291" s="140"/>
      <c r="AK291" s="140"/>
      <c r="AL291" s="140"/>
      <c r="AM291" s="140"/>
      <c r="AN291" s="140"/>
      <c r="AO291" s="140"/>
      <c r="AP291" s="384">
        <f t="shared" si="136"/>
        <v>0</v>
      </c>
      <c r="AQ291" s="136"/>
      <c r="AR291" s="136"/>
      <c r="AS291" s="136"/>
      <c r="AT291" s="385">
        <f t="shared" si="137"/>
        <v>0</v>
      </c>
      <c r="AU291" s="140"/>
      <c r="AV291" s="140"/>
      <c r="AW291" s="140"/>
      <c r="AX291" s="140"/>
      <c r="AY291" s="392"/>
      <c r="AZ291" s="432">
        <f t="shared" si="138"/>
        <v>0</v>
      </c>
      <c r="BA291" s="433"/>
      <c r="BB291" s="276"/>
      <c r="BC291" s="274"/>
      <c r="BD291" s="274"/>
      <c r="BE291" s="127"/>
      <c r="BF291" s="126"/>
      <c r="BG291" s="274"/>
      <c r="BH291" s="274"/>
      <c r="BI291" s="274"/>
      <c r="BJ291" s="274"/>
      <c r="BK291" s="389">
        <f t="shared" si="139"/>
        <v>0</v>
      </c>
      <c r="BL291" s="140">
        <f t="shared" si="140"/>
        <v>0</v>
      </c>
      <c r="BM291" s="132"/>
      <c r="BN291" s="140">
        <f t="shared" si="141"/>
        <v>0</v>
      </c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41"/>
      <c r="CA291" s="141"/>
      <c r="CB291" s="390">
        <f t="shared" si="142"/>
        <v>0</v>
      </c>
      <c r="CC291" s="132"/>
    </row>
    <row r="292" ht="14.25" customHeight="1">
      <c r="A292" s="132"/>
      <c r="B292" s="215">
        <v>46284</v>
      </c>
      <c r="C292" s="133"/>
      <c r="D292" s="136"/>
      <c r="E292" s="135"/>
      <c r="F292" s="135"/>
      <c r="G292" s="445">
        <f t="shared" si="134"/>
        <v>0</v>
      </c>
      <c r="H292" s="140"/>
      <c r="I292" s="457"/>
      <c r="J292" s="454"/>
      <c r="K292" s="140"/>
      <c r="L292" s="140"/>
      <c r="M292" s="140"/>
      <c r="N292" s="140"/>
      <c r="O292" s="140"/>
      <c r="P292" s="456"/>
      <c r="Q292" s="456"/>
      <c r="R292" s="140"/>
      <c r="S292" s="140"/>
      <c r="T292" s="140"/>
      <c r="U292" s="140"/>
      <c r="V292" s="140"/>
      <c r="W292" s="140"/>
      <c r="X292" s="140"/>
      <c r="Y292" s="140"/>
      <c r="Z292" s="140"/>
      <c r="AA292" s="140"/>
      <c r="AB292" s="383">
        <f t="shared" si="135"/>
        <v>0</v>
      </c>
      <c r="AC292" s="140"/>
      <c r="AD292" s="140"/>
      <c r="AE292" s="140"/>
      <c r="AF292" s="140"/>
      <c r="AG292" s="140"/>
      <c r="AH292" s="140"/>
      <c r="AI292" s="140"/>
      <c r="AJ292" s="140"/>
      <c r="AK292" s="140"/>
      <c r="AL292" s="140"/>
      <c r="AM292" s="140"/>
      <c r="AN292" s="140"/>
      <c r="AO292" s="140"/>
      <c r="AP292" s="384">
        <f t="shared" si="136"/>
        <v>0</v>
      </c>
      <c r="AQ292" s="136"/>
      <c r="AR292" s="136"/>
      <c r="AS292" s="136"/>
      <c r="AT292" s="385">
        <f t="shared" si="137"/>
        <v>0</v>
      </c>
      <c r="AU292" s="140"/>
      <c r="AV292" s="140"/>
      <c r="AW292" s="140"/>
      <c r="AX292" s="140"/>
      <c r="AY292" s="392"/>
      <c r="AZ292" s="432">
        <f t="shared" si="138"/>
        <v>0</v>
      </c>
      <c r="BA292" s="433"/>
      <c r="BB292" s="276"/>
      <c r="BC292" s="274"/>
      <c r="BD292" s="274"/>
      <c r="BE292" s="127"/>
      <c r="BF292" s="126"/>
      <c r="BG292" s="274"/>
      <c r="BH292" s="274"/>
      <c r="BI292" s="274"/>
      <c r="BJ292" s="274"/>
      <c r="BK292" s="389">
        <f t="shared" si="139"/>
        <v>0</v>
      </c>
      <c r="BL292" s="140">
        <f t="shared" si="140"/>
        <v>0</v>
      </c>
      <c r="BM292" s="132"/>
      <c r="BN292" s="140">
        <f t="shared" si="141"/>
        <v>0</v>
      </c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41"/>
      <c r="BY292" s="141"/>
      <c r="BZ292" s="141"/>
      <c r="CA292" s="141"/>
      <c r="CB292" s="390">
        <f t="shared" si="142"/>
        <v>0</v>
      </c>
      <c r="CC292" s="132"/>
    </row>
    <row r="293" ht="14.25" customHeight="1">
      <c r="A293" s="132"/>
      <c r="B293" s="215">
        <v>46285</v>
      </c>
      <c r="C293" s="133"/>
      <c r="D293" s="136"/>
      <c r="E293" s="135"/>
      <c r="F293" s="135"/>
      <c r="G293" s="445">
        <f t="shared" si="134"/>
        <v>0</v>
      </c>
      <c r="H293" s="140"/>
      <c r="I293" s="457"/>
      <c r="J293" s="454"/>
      <c r="K293" s="545"/>
      <c r="L293" s="545"/>
      <c r="M293" s="545"/>
      <c r="N293" s="140"/>
      <c r="O293" s="140"/>
      <c r="P293" s="456"/>
      <c r="Q293" s="456"/>
      <c r="R293" s="140"/>
      <c r="S293" s="136"/>
      <c r="T293" s="136"/>
      <c r="U293" s="136"/>
      <c r="V293" s="140"/>
      <c r="W293" s="140"/>
      <c r="X293" s="140"/>
      <c r="Y293" s="140"/>
      <c r="Z293" s="140"/>
      <c r="AA293" s="140"/>
      <c r="AB293" s="383">
        <f t="shared" si="135"/>
        <v>0</v>
      </c>
      <c r="AC293" s="140"/>
      <c r="AD293" s="140"/>
      <c r="AE293" s="140"/>
      <c r="AF293" s="140"/>
      <c r="AG293" s="140"/>
      <c r="AH293" s="140"/>
      <c r="AI293" s="140"/>
      <c r="AJ293" s="140"/>
      <c r="AK293" s="140"/>
      <c r="AL293" s="140"/>
      <c r="AM293" s="140"/>
      <c r="AN293" s="140"/>
      <c r="AO293" s="140"/>
      <c r="AP293" s="384">
        <f t="shared" si="136"/>
        <v>0</v>
      </c>
      <c r="AQ293" s="136"/>
      <c r="AR293" s="136"/>
      <c r="AS293" s="136"/>
      <c r="AT293" s="385">
        <f t="shared" si="137"/>
        <v>0</v>
      </c>
      <c r="AU293" s="140"/>
      <c r="AV293" s="140"/>
      <c r="AW293" s="140"/>
      <c r="AX293" s="140"/>
      <c r="AY293" s="392"/>
      <c r="AZ293" s="432">
        <f t="shared" si="138"/>
        <v>0</v>
      </c>
      <c r="BA293" s="433"/>
      <c r="BB293" s="276"/>
      <c r="BC293" s="274"/>
      <c r="BD293" s="274"/>
      <c r="BE293" s="127"/>
      <c r="BF293" s="126"/>
      <c r="BG293" s="274"/>
      <c r="BH293" s="274"/>
      <c r="BI293" s="274"/>
      <c r="BJ293" s="274"/>
      <c r="BK293" s="389">
        <f t="shared" si="139"/>
        <v>0</v>
      </c>
      <c r="BL293" s="140">
        <f t="shared" si="140"/>
        <v>0</v>
      </c>
      <c r="BM293" s="132"/>
      <c r="BN293" s="140">
        <f t="shared" si="141"/>
        <v>0</v>
      </c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41"/>
      <c r="BY293" s="141"/>
      <c r="BZ293" s="141"/>
      <c r="CA293" s="141"/>
      <c r="CB293" s="390">
        <f t="shared" si="142"/>
        <v>0</v>
      </c>
      <c r="CC293" s="132"/>
    </row>
    <row r="294" ht="14.25" customHeight="1">
      <c r="A294" s="132"/>
      <c r="B294" s="215">
        <v>46286</v>
      </c>
      <c r="C294" s="133"/>
      <c r="D294" s="136"/>
      <c r="E294" s="135"/>
      <c r="F294" s="135"/>
      <c r="G294" s="445">
        <f t="shared" si="134"/>
        <v>0</v>
      </c>
      <c r="H294" s="140"/>
      <c r="I294" s="457"/>
      <c r="J294" s="454"/>
      <c r="K294" s="140"/>
      <c r="L294" s="140"/>
      <c r="M294" s="140"/>
      <c r="N294" s="140"/>
      <c r="O294" s="140"/>
      <c r="P294" s="456"/>
      <c r="Q294" s="456"/>
      <c r="R294" s="140"/>
      <c r="S294" s="136"/>
      <c r="T294" s="136"/>
      <c r="U294" s="136"/>
      <c r="V294" s="140"/>
      <c r="W294" s="140"/>
      <c r="X294" s="140"/>
      <c r="Y294" s="140"/>
      <c r="Z294" s="140"/>
      <c r="AA294" s="140"/>
      <c r="AB294" s="383">
        <f t="shared" si="135"/>
        <v>0</v>
      </c>
      <c r="AC294" s="140"/>
      <c r="AD294" s="140"/>
      <c r="AE294" s="140"/>
      <c r="AF294" s="140"/>
      <c r="AG294" s="140"/>
      <c r="AH294" s="140"/>
      <c r="AI294" s="140"/>
      <c r="AJ294" s="140"/>
      <c r="AK294" s="140"/>
      <c r="AL294" s="140"/>
      <c r="AM294" s="140"/>
      <c r="AN294" s="140"/>
      <c r="AO294" s="140"/>
      <c r="AP294" s="384">
        <f t="shared" si="136"/>
        <v>0</v>
      </c>
      <c r="AQ294" s="136"/>
      <c r="AR294" s="136"/>
      <c r="AS294" s="136"/>
      <c r="AT294" s="385">
        <f t="shared" si="137"/>
        <v>0</v>
      </c>
      <c r="AU294" s="140"/>
      <c r="AV294" s="140"/>
      <c r="AW294" s="140"/>
      <c r="AX294" s="140"/>
      <c r="AY294" s="392"/>
      <c r="AZ294" s="432">
        <f t="shared" si="138"/>
        <v>0</v>
      </c>
      <c r="BA294" s="433"/>
      <c r="BB294" s="276"/>
      <c r="BC294" s="274"/>
      <c r="BD294" s="274"/>
      <c r="BE294" s="127"/>
      <c r="BF294" s="126"/>
      <c r="BG294" s="274"/>
      <c r="BH294" s="274"/>
      <c r="BI294" s="274"/>
      <c r="BJ294" s="274"/>
      <c r="BK294" s="389">
        <f t="shared" si="139"/>
        <v>0</v>
      </c>
      <c r="BL294" s="140">
        <f t="shared" si="140"/>
        <v>0</v>
      </c>
      <c r="BM294" s="132"/>
      <c r="BN294" s="140">
        <f t="shared" si="141"/>
        <v>0</v>
      </c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41"/>
      <c r="BY294" s="141"/>
      <c r="BZ294" s="141"/>
      <c r="CA294" s="141"/>
      <c r="CB294" s="390">
        <f t="shared" si="142"/>
        <v>0</v>
      </c>
      <c r="CC294" s="132"/>
    </row>
    <row r="295" ht="14.25" customHeight="1">
      <c r="A295" s="132"/>
      <c r="B295" s="215">
        <v>46287</v>
      </c>
      <c r="C295" s="133"/>
      <c r="D295" s="136"/>
      <c r="E295" s="135"/>
      <c r="F295" s="135"/>
      <c r="G295" s="445">
        <f t="shared" si="134"/>
        <v>0</v>
      </c>
      <c r="H295" s="140"/>
      <c r="I295" s="457"/>
      <c r="J295" s="454"/>
      <c r="K295" s="545"/>
      <c r="L295" s="545"/>
      <c r="M295" s="545"/>
      <c r="N295" s="140"/>
      <c r="O295" s="140"/>
      <c r="P295" s="456"/>
      <c r="Q295" s="456"/>
      <c r="R295" s="140"/>
      <c r="S295" s="136"/>
      <c r="T295" s="136"/>
      <c r="U295" s="136"/>
      <c r="V295" s="140"/>
      <c r="W295" s="140"/>
      <c r="X295" s="140"/>
      <c r="Y295" s="140"/>
      <c r="Z295" s="140"/>
      <c r="AA295" s="140"/>
      <c r="AB295" s="383">
        <f t="shared" si="135"/>
        <v>0</v>
      </c>
      <c r="AC295" s="140"/>
      <c r="AD295" s="140"/>
      <c r="AE295" s="140"/>
      <c r="AF295" s="140"/>
      <c r="AG295" s="140"/>
      <c r="AH295" s="140"/>
      <c r="AI295" s="140"/>
      <c r="AJ295" s="140"/>
      <c r="AK295" s="140"/>
      <c r="AL295" s="140"/>
      <c r="AM295" s="140"/>
      <c r="AN295" s="140"/>
      <c r="AO295" s="140"/>
      <c r="AP295" s="384">
        <f t="shared" si="136"/>
        <v>0</v>
      </c>
      <c r="AQ295" s="136"/>
      <c r="AR295" s="136"/>
      <c r="AS295" s="136"/>
      <c r="AT295" s="385">
        <f t="shared" si="137"/>
        <v>0</v>
      </c>
      <c r="AU295" s="140"/>
      <c r="AV295" s="140"/>
      <c r="AW295" s="140"/>
      <c r="AX295" s="140"/>
      <c r="AY295" s="392"/>
      <c r="AZ295" s="432">
        <f t="shared" si="138"/>
        <v>0</v>
      </c>
      <c r="BA295" s="433"/>
      <c r="BB295" s="276"/>
      <c r="BC295" s="274"/>
      <c r="BD295" s="274"/>
      <c r="BE295" s="127"/>
      <c r="BF295" s="126"/>
      <c r="BG295" s="274"/>
      <c r="BH295" s="274"/>
      <c r="BI295" s="274"/>
      <c r="BJ295" s="274"/>
      <c r="BK295" s="389">
        <f t="shared" si="139"/>
        <v>0</v>
      </c>
      <c r="BL295" s="140">
        <f t="shared" si="140"/>
        <v>0</v>
      </c>
      <c r="BM295" s="132"/>
      <c r="BN295" s="140">
        <f t="shared" si="141"/>
        <v>0</v>
      </c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41"/>
      <c r="CA295" s="141"/>
      <c r="CB295" s="390">
        <f t="shared" si="142"/>
        <v>0</v>
      </c>
      <c r="CC295" s="132"/>
    </row>
    <row r="296" ht="15.75" customHeight="1">
      <c r="A296" s="132"/>
      <c r="B296" s="215">
        <v>46288</v>
      </c>
      <c r="C296" s="133"/>
      <c r="D296" s="136"/>
      <c r="E296" s="135"/>
      <c r="F296" s="135"/>
      <c r="G296" s="445">
        <f t="shared" si="134"/>
        <v>0</v>
      </c>
      <c r="H296" s="140"/>
      <c r="I296" s="457"/>
      <c r="J296" s="454"/>
      <c r="K296" s="140"/>
      <c r="L296" s="140"/>
      <c r="M296" s="140"/>
      <c r="N296" s="140"/>
      <c r="O296" s="140"/>
      <c r="P296" s="456"/>
      <c r="Q296" s="456"/>
      <c r="R296" s="140"/>
      <c r="S296" s="136"/>
      <c r="T296" s="136"/>
      <c r="U296" s="136"/>
      <c r="V296" s="140"/>
      <c r="W296" s="140"/>
      <c r="X296" s="140"/>
      <c r="Y296" s="140"/>
      <c r="Z296" s="140"/>
      <c r="AA296" s="140"/>
      <c r="AB296" s="383">
        <f t="shared" si="135"/>
        <v>0</v>
      </c>
      <c r="AC296" s="140"/>
      <c r="AD296" s="140"/>
      <c r="AE296" s="140"/>
      <c r="AF296" s="140"/>
      <c r="AG296" s="140"/>
      <c r="AH296" s="140"/>
      <c r="AI296" s="140"/>
      <c r="AJ296" s="140"/>
      <c r="AK296" s="140"/>
      <c r="AL296" s="140"/>
      <c r="AM296" s="140"/>
      <c r="AN296" s="140"/>
      <c r="AO296" s="140"/>
      <c r="AP296" s="384">
        <f t="shared" si="136"/>
        <v>0</v>
      </c>
      <c r="AQ296" s="136"/>
      <c r="AR296" s="136"/>
      <c r="AS296" s="136"/>
      <c r="AT296" s="385">
        <f t="shared" si="137"/>
        <v>0</v>
      </c>
      <c r="AU296" s="140"/>
      <c r="AV296" s="140"/>
      <c r="AW296" s="140"/>
      <c r="AX296" s="140"/>
      <c r="AY296" s="392"/>
      <c r="AZ296" s="432">
        <f t="shared" si="138"/>
        <v>0</v>
      </c>
      <c r="BA296" s="433"/>
      <c r="BB296" s="276"/>
      <c r="BC296" s="274"/>
      <c r="BD296" s="274"/>
      <c r="BE296" s="127"/>
      <c r="BF296" s="126"/>
      <c r="BG296" s="274"/>
      <c r="BH296" s="274"/>
      <c r="BI296" s="274"/>
      <c r="BJ296" s="274"/>
      <c r="BK296" s="389">
        <f t="shared" si="139"/>
        <v>0</v>
      </c>
      <c r="BL296" s="140">
        <f t="shared" si="140"/>
        <v>0</v>
      </c>
      <c r="BM296" s="132"/>
      <c r="BN296" s="140">
        <f t="shared" si="141"/>
        <v>0</v>
      </c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41"/>
      <c r="CA296" s="141"/>
      <c r="CB296" s="390">
        <f t="shared" si="142"/>
        <v>0</v>
      </c>
      <c r="CC296" s="132"/>
    </row>
    <row r="297" ht="14.25" customHeight="1">
      <c r="A297" s="132"/>
      <c r="B297" s="215">
        <v>46289</v>
      </c>
      <c r="C297" s="133"/>
      <c r="D297" s="136"/>
      <c r="E297" s="135"/>
      <c r="F297" s="135"/>
      <c r="G297" s="445">
        <f t="shared" si="134"/>
        <v>0</v>
      </c>
      <c r="H297" s="140"/>
      <c r="I297" s="457"/>
      <c r="J297" s="454"/>
      <c r="K297" s="140"/>
      <c r="L297" s="140"/>
      <c r="M297" s="140"/>
      <c r="N297" s="140"/>
      <c r="O297" s="140"/>
      <c r="P297" s="456"/>
      <c r="Q297" s="456"/>
      <c r="R297" s="140"/>
      <c r="S297" s="136"/>
      <c r="T297" s="136"/>
      <c r="U297" s="136"/>
      <c r="V297" s="140"/>
      <c r="W297" s="140"/>
      <c r="X297" s="140"/>
      <c r="Y297" s="140"/>
      <c r="Z297" s="140"/>
      <c r="AA297" s="140"/>
      <c r="AB297" s="383">
        <f t="shared" si="135"/>
        <v>0</v>
      </c>
      <c r="AC297" s="140"/>
      <c r="AD297" s="140"/>
      <c r="AE297" s="140"/>
      <c r="AF297" s="140"/>
      <c r="AG297" s="140"/>
      <c r="AH297" s="140"/>
      <c r="AI297" s="140"/>
      <c r="AJ297" s="140"/>
      <c r="AK297" s="140"/>
      <c r="AL297" s="140"/>
      <c r="AM297" s="140"/>
      <c r="AN297" s="140"/>
      <c r="AO297" s="140"/>
      <c r="AP297" s="384">
        <f t="shared" si="136"/>
        <v>0</v>
      </c>
      <c r="AQ297" s="136"/>
      <c r="AR297" s="136"/>
      <c r="AS297" s="136"/>
      <c r="AT297" s="385">
        <f t="shared" si="137"/>
        <v>0</v>
      </c>
      <c r="AU297" s="140"/>
      <c r="AV297" s="140"/>
      <c r="AW297" s="140"/>
      <c r="AX297" s="140"/>
      <c r="AY297" s="392"/>
      <c r="AZ297" s="432">
        <f t="shared" si="138"/>
        <v>0</v>
      </c>
      <c r="BA297" s="433"/>
      <c r="BB297" s="276"/>
      <c r="BC297" s="274"/>
      <c r="BD297" s="274"/>
      <c r="BE297" s="127"/>
      <c r="BF297" s="126"/>
      <c r="BG297" s="274"/>
      <c r="BH297" s="274"/>
      <c r="BI297" s="274"/>
      <c r="BJ297" s="274"/>
      <c r="BK297" s="389">
        <f t="shared" si="139"/>
        <v>0</v>
      </c>
      <c r="BL297" s="140">
        <f t="shared" si="140"/>
        <v>0</v>
      </c>
      <c r="BM297" s="132"/>
      <c r="BN297" s="140">
        <f t="shared" si="141"/>
        <v>0</v>
      </c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41"/>
      <c r="CA297" s="141"/>
      <c r="CB297" s="390">
        <f t="shared" si="142"/>
        <v>0</v>
      </c>
      <c r="CC297" s="132"/>
    </row>
    <row r="298" ht="14.25" customHeight="1">
      <c r="A298" s="132"/>
      <c r="B298" s="215">
        <v>46290</v>
      </c>
      <c r="C298" s="133"/>
      <c r="D298" s="136"/>
      <c r="E298" s="135"/>
      <c r="F298" s="135"/>
      <c r="G298" s="445">
        <f t="shared" si="134"/>
        <v>0</v>
      </c>
      <c r="H298" s="140"/>
      <c r="I298" s="457"/>
      <c r="J298" s="454"/>
      <c r="K298" s="140"/>
      <c r="L298" s="140"/>
      <c r="M298" s="140"/>
      <c r="N298" s="140"/>
      <c r="O298" s="140"/>
      <c r="P298" s="456"/>
      <c r="Q298" s="456"/>
      <c r="R298" s="140"/>
      <c r="S298" s="136"/>
      <c r="T298" s="136"/>
      <c r="U298" s="136"/>
      <c r="V298" s="140"/>
      <c r="W298" s="140"/>
      <c r="X298" s="140"/>
      <c r="Y298" s="140"/>
      <c r="Z298" s="140"/>
      <c r="AA298" s="140"/>
      <c r="AB298" s="383">
        <f t="shared" si="135"/>
        <v>0</v>
      </c>
      <c r="AC298" s="140"/>
      <c r="AD298" s="140"/>
      <c r="AE298" s="140"/>
      <c r="AF298" s="140"/>
      <c r="AG298" s="140"/>
      <c r="AH298" s="140"/>
      <c r="AI298" s="140"/>
      <c r="AJ298" s="140"/>
      <c r="AK298" s="140"/>
      <c r="AL298" s="140"/>
      <c r="AM298" s="140"/>
      <c r="AN298" s="140"/>
      <c r="AO298" s="140"/>
      <c r="AP298" s="384">
        <f t="shared" si="136"/>
        <v>0</v>
      </c>
      <c r="AQ298" s="136"/>
      <c r="AR298" s="136"/>
      <c r="AS298" s="136"/>
      <c r="AT298" s="385">
        <f t="shared" si="137"/>
        <v>0</v>
      </c>
      <c r="AU298" s="140"/>
      <c r="AV298" s="140"/>
      <c r="AW298" s="140"/>
      <c r="AX298" s="140"/>
      <c r="AY298" s="392"/>
      <c r="AZ298" s="432">
        <f t="shared" si="138"/>
        <v>0</v>
      </c>
      <c r="BA298" s="433"/>
      <c r="BB298" s="276"/>
      <c r="BC298" s="274"/>
      <c r="BD298" s="274"/>
      <c r="BE298" s="127"/>
      <c r="BF298" s="126"/>
      <c r="BG298" s="274"/>
      <c r="BH298" s="274"/>
      <c r="BI298" s="274"/>
      <c r="BJ298" s="274"/>
      <c r="BK298" s="389">
        <f t="shared" si="139"/>
        <v>0</v>
      </c>
      <c r="BL298" s="140">
        <f t="shared" si="140"/>
        <v>0</v>
      </c>
      <c r="BM298" s="132"/>
      <c r="BN298" s="140">
        <f t="shared" si="141"/>
        <v>0</v>
      </c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41"/>
      <c r="CA298" s="141"/>
      <c r="CB298" s="390">
        <f t="shared" si="142"/>
        <v>0</v>
      </c>
      <c r="CC298" s="132"/>
    </row>
    <row r="299" ht="14.25" customHeight="1">
      <c r="A299" s="132"/>
      <c r="B299" s="215">
        <v>46291</v>
      </c>
      <c r="C299" s="133"/>
      <c r="D299" s="136"/>
      <c r="E299" s="135"/>
      <c r="F299" s="135"/>
      <c r="G299" s="445">
        <f t="shared" si="134"/>
        <v>0</v>
      </c>
      <c r="H299" s="140"/>
      <c r="I299" s="457"/>
      <c r="J299" s="454"/>
      <c r="K299" s="140"/>
      <c r="L299" s="140"/>
      <c r="M299" s="140"/>
      <c r="N299" s="140"/>
      <c r="O299" s="140"/>
      <c r="P299" s="379"/>
      <c r="Q299" s="379"/>
      <c r="R299" s="140"/>
      <c r="S299" s="136"/>
      <c r="T299" s="136"/>
      <c r="U299" s="136"/>
      <c r="V299" s="140"/>
      <c r="W299" s="140"/>
      <c r="X299" s="140"/>
      <c r="Y299" s="140"/>
      <c r="Z299" s="140"/>
      <c r="AA299" s="140"/>
      <c r="AB299" s="383">
        <f t="shared" si="135"/>
        <v>0</v>
      </c>
      <c r="AC299" s="140"/>
      <c r="AD299" s="140"/>
      <c r="AE299" s="140"/>
      <c r="AF299" s="140"/>
      <c r="AG299" s="140"/>
      <c r="AH299" s="140"/>
      <c r="AI299" s="140"/>
      <c r="AJ299" s="140"/>
      <c r="AK299" s="140"/>
      <c r="AL299" s="140"/>
      <c r="AM299" s="140"/>
      <c r="AN299" s="140"/>
      <c r="AO299" s="140"/>
      <c r="AP299" s="384">
        <f t="shared" si="136"/>
        <v>0</v>
      </c>
      <c r="AQ299" s="136"/>
      <c r="AR299" s="136"/>
      <c r="AS299" s="136"/>
      <c r="AT299" s="385">
        <f t="shared" si="137"/>
        <v>0</v>
      </c>
      <c r="AU299" s="140"/>
      <c r="AV299" s="140"/>
      <c r="AW299" s="140"/>
      <c r="AX299" s="140"/>
      <c r="AY299" s="392"/>
      <c r="AZ299" s="432">
        <f t="shared" si="138"/>
        <v>0</v>
      </c>
      <c r="BA299" s="433"/>
      <c r="BB299" s="276"/>
      <c r="BC299" s="274"/>
      <c r="BD299" s="274"/>
      <c r="BE299" s="127"/>
      <c r="BF299" s="126"/>
      <c r="BG299" s="274"/>
      <c r="BH299" s="274"/>
      <c r="BI299" s="274"/>
      <c r="BJ299" s="274"/>
      <c r="BK299" s="389">
        <f t="shared" si="139"/>
        <v>0</v>
      </c>
      <c r="BL299" s="140">
        <f t="shared" si="140"/>
        <v>0</v>
      </c>
      <c r="BM299" s="132"/>
      <c r="BN299" s="140">
        <f t="shared" si="141"/>
        <v>0</v>
      </c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41"/>
      <c r="CA299" s="141"/>
      <c r="CB299" s="390">
        <f t="shared" si="142"/>
        <v>0</v>
      </c>
      <c r="CC299" s="132"/>
    </row>
    <row r="300" ht="14.25" customHeight="1">
      <c r="A300" s="132"/>
      <c r="B300" s="215">
        <v>46292</v>
      </c>
      <c r="C300" s="133"/>
      <c r="D300" s="136"/>
      <c r="E300" s="135"/>
      <c r="F300" s="135"/>
      <c r="G300" s="445">
        <f t="shared" si="134"/>
        <v>0</v>
      </c>
      <c r="H300" s="140"/>
      <c r="I300" s="457"/>
      <c r="J300" s="454"/>
      <c r="K300" s="140"/>
      <c r="L300" s="140"/>
      <c r="M300" s="140"/>
      <c r="N300" s="140"/>
      <c r="O300" s="140"/>
      <c r="P300" s="456"/>
      <c r="Q300" s="456"/>
      <c r="R300" s="140"/>
      <c r="S300" s="136"/>
      <c r="T300" s="136"/>
      <c r="U300" s="136"/>
      <c r="V300" s="140"/>
      <c r="W300" s="140"/>
      <c r="X300" s="140"/>
      <c r="Y300" s="140"/>
      <c r="Z300" s="140"/>
      <c r="AA300" s="140"/>
      <c r="AB300" s="383">
        <f t="shared" si="135"/>
        <v>0</v>
      </c>
      <c r="AC300" s="140"/>
      <c r="AD300" s="140"/>
      <c r="AE300" s="140"/>
      <c r="AF300" s="140"/>
      <c r="AG300" s="140"/>
      <c r="AH300" s="140"/>
      <c r="AI300" s="140"/>
      <c r="AJ300" s="140"/>
      <c r="AK300" s="140"/>
      <c r="AL300" s="140"/>
      <c r="AM300" s="140"/>
      <c r="AN300" s="140"/>
      <c r="AO300" s="140"/>
      <c r="AP300" s="384">
        <f t="shared" si="136"/>
        <v>0</v>
      </c>
      <c r="AQ300" s="136"/>
      <c r="AR300" s="136"/>
      <c r="AS300" s="136"/>
      <c r="AT300" s="385">
        <f t="shared" si="137"/>
        <v>0</v>
      </c>
      <c r="AU300" s="140"/>
      <c r="AV300" s="140"/>
      <c r="AW300" s="140"/>
      <c r="AX300" s="140"/>
      <c r="AY300" s="392"/>
      <c r="AZ300" s="432">
        <f t="shared" si="138"/>
        <v>0</v>
      </c>
      <c r="BA300" s="433"/>
      <c r="BB300" s="276"/>
      <c r="BC300" s="274"/>
      <c r="BD300" s="274"/>
      <c r="BE300" s="127"/>
      <c r="BF300" s="126"/>
      <c r="BG300" s="274"/>
      <c r="BH300" s="274"/>
      <c r="BI300" s="274"/>
      <c r="BJ300" s="274"/>
      <c r="BK300" s="389">
        <f t="shared" si="139"/>
        <v>0</v>
      </c>
      <c r="BL300" s="140">
        <f t="shared" si="140"/>
        <v>0</v>
      </c>
      <c r="BM300" s="132"/>
      <c r="BN300" s="140">
        <f t="shared" si="141"/>
        <v>0</v>
      </c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41"/>
      <c r="CA300" s="141"/>
      <c r="CB300" s="390">
        <f t="shared" si="142"/>
        <v>0</v>
      </c>
      <c r="CC300" s="132"/>
    </row>
    <row r="301" ht="14.25" customHeight="1">
      <c r="A301" s="132"/>
      <c r="B301" s="215">
        <v>46293</v>
      </c>
      <c r="C301" s="133"/>
      <c r="D301" s="136"/>
      <c r="E301" s="135"/>
      <c r="F301" s="135"/>
      <c r="G301" s="445">
        <f t="shared" si="134"/>
        <v>0</v>
      </c>
      <c r="H301" s="140"/>
      <c r="I301" s="457"/>
      <c r="J301" s="454"/>
      <c r="K301" s="545"/>
      <c r="L301" s="545"/>
      <c r="M301" s="545"/>
      <c r="N301" s="140"/>
      <c r="O301" s="140"/>
      <c r="P301" s="456"/>
      <c r="Q301" s="456"/>
      <c r="R301" s="140"/>
      <c r="S301" s="136"/>
      <c r="T301" s="136"/>
      <c r="U301" s="136"/>
      <c r="V301" s="140"/>
      <c r="W301" s="140"/>
      <c r="X301" s="140"/>
      <c r="Y301" s="140"/>
      <c r="Z301" s="140"/>
      <c r="AA301" s="140"/>
      <c r="AB301" s="383">
        <f t="shared" si="135"/>
        <v>0</v>
      </c>
      <c r="AC301" s="140"/>
      <c r="AD301" s="140"/>
      <c r="AE301" s="140"/>
      <c r="AF301" s="140"/>
      <c r="AG301" s="140"/>
      <c r="AH301" s="140"/>
      <c r="AI301" s="140"/>
      <c r="AJ301" s="140"/>
      <c r="AK301" s="140"/>
      <c r="AL301" s="140"/>
      <c r="AM301" s="140"/>
      <c r="AN301" s="140"/>
      <c r="AO301" s="140"/>
      <c r="AP301" s="384">
        <f t="shared" si="136"/>
        <v>0</v>
      </c>
      <c r="AQ301" s="136"/>
      <c r="AR301" s="136"/>
      <c r="AS301" s="136"/>
      <c r="AT301" s="385">
        <f t="shared" si="137"/>
        <v>0</v>
      </c>
      <c r="AU301" s="140"/>
      <c r="AV301" s="140"/>
      <c r="AW301" s="140"/>
      <c r="AX301" s="140"/>
      <c r="AY301" s="392"/>
      <c r="AZ301" s="432">
        <f t="shared" si="138"/>
        <v>0</v>
      </c>
      <c r="BA301" s="433"/>
      <c r="BB301" s="276"/>
      <c r="BC301" s="274"/>
      <c r="BD301" s="274"/>
      <c r="BE301" s="127"/>
      <c r="BF301" s="126"/>
      <c r="BG301" s="274"/>
      <c r="BH301" s="274"/>
      <c r="BI301" s="274"/>
      <c r="BJ301" s="274"/>
      <c r="BK301" s="389">
        <f t="shared" si="139"/>
        <v>0</v>
      </c>
      <c r="BL301" s="140">
        <f t="shared" si="140"/>
        <v>0</v>
      </c>
      <c r="BM301" s="132"/>
      <c r="BN301" s="140">
        <f t="shared" si="141"/>
        <v>0</v>
      </c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41"/>
      <c r="CA301" s="141"/>
      <c r="CB301" s="390">
        <f t="shared" si="142"/>
        <v>0</v>
      </c>
      <c r="CC301" s="132"/>
    </row>
    <row r="302" ht="14.25" customHeight="1">
      <c r="A302" s="132"/>
      <c r="B302" s="215">
        <v>46294</v>
      </c>
      <c r="C302" s="133"/>
      <c r="D302" s="136"/>
      <c r="E302" s="135"/>
      <c r="F302" s="135"/>
      <c r="G302" s="445">
        <f t="shared" si="134"/>
        <v>0</v>
      </c>
      <c r="H302" s="140"/>
      <c r="I302" s="457"/>
      <c r="J302" s="454"/>
      <c r="K302" s="140"/>
      <c r="L302" s="140"/>
      <c r="M302" s="140"/>
      <c r="N302" s="140"/>
      <c r="O302" s="140"/>
      <c r="P302" s="456"/>
      <c r="Q302" s="456"/>
      <c r="R302" s="140"/>
      <c r="S302" s="136"/>
      <c r="T302" s="136"/>
      <c r="U302" s="136"/>
      <c r="V302" s="140"/>
      <c r="W302" s="140"/>
      <c r="X302" s="140"/>
      <c r="Y302" s="140"/>
      <c r="Z302" s="140"/>
      <c r="AA302" s="140"/>
      <c r="AB302" s="383">
        <f t="shared" si="135"/>
        <v>0</v>
      </c>
      <c r="AC302" s="140"/>
      <c r="AD302" s="140"/>
      <c r="AE302" s="140"/>
      <c r="AF302" s="140"/>
      <c r="AG302" s="140"/>
      <c r="AH302" s="140"/>
      <c r="AI302" s="140"/>
      <c r="AJ302" s="140"/>
      <c r="AK302" s="140"/>
      <c r="AL302" s="140"/>
      <c r="AM302" s="140"/>
      <c r="AN302" s="140"/>
      <c r="AO302" s="140"/>
      <c r="AP302" s="384">
        <f t="shared" si="136"/>
        <v>0</v>
      </c>
      <c r="AQ302" s="136"/>
      <c r="AR302" s="136"/>
      <c r="AS302" s="136"/>
      <c r="AT302" s="385">
        <f t="shared" si="137"/>
        <v>0</v>
      </c>
      <c r="AU302" s="140"/>
      <c r="AV302" s="140"/>
      <c r="AW302" s="140"/>
      <c r="AX302" s="140"/>
      <c r="AY302" s="392"/>
      <c r="AZ302" s="432">
        <f t="shared" si="138"/>
        <v>0</v>
      </c>
      <c r="BA302" s="433"/>
      <c r="BB302" s="276"/>
      <c r="BC302" s="274"/>
      <c r="BD302" s="274"/>
      <c r="BE302" s="127"/>
      <c r="BF302" s="126"/>
      <c r="BG302" s="274"/>
      <c r="BH302" s="274"/>
      <c r="BI302" s="274"/>
      <c r="BJ302" s="274"/>
      <c r="BK302" s="389">
        <f t="shared" si="139"/>
        <v>0</v>
      </c>
      <c r="BL302" s="140">
        <f t="shared" si="140"/>
        <v>0</v>
      </c>
      <c r="BM302" s="132"/>
      <c r="BN302" s="140">
        <f t="shared" si="141"/>
        <v>0</v>
      </c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41"/>
      <c r="CA302" s="141"/>
      <c r="CB302" s="390">
        <f t="shared" si="142"/>
        <v>0</v>
      </c>
      <c r="CC302" s="132"/>
    </row>
    <row r="303" ht="14.25" customHeight="1">
      <c r="A303" s="3"/>
      <c r="B303" s="215">
        <v>46295</v>
      </c>
      <c r="C303" s="118"/>
      <c r="D303" s="123"/>
      <c r="E303" s="120"/>
      <c r="F303" s="120"/>
      <c r="G303" s="445">
        <f t="shared" si="134"/>
        <v>0</v>
      </c>
      <c r="H303" s="162"/>
      <c r="I303" s="457"/>
      <c r="J303" s="454"/>
      <c r="K303" s="140"/>
      <c r="L303" s="140"/>
      <c r="M303" s="140"/>
      <c r="N303" s="140"/>
      <c r="O303" s="140"/>
      <c r="P303" s="456"/>
      <c r="Q303" s="456"/>
      <c r="R303" s="140"/>
      <c r="S303" s="140"/>
      <c r="T303" s="140"/>
      <c r="U303" s="140"/>
      <c r="V303" s="140"/>
      <c r="W303" s="140"/>
      <c r="X303" s="140"/>
      <c r="Y303" s="140"/>
      <c r="Z303" s="140"/>
      <c r="AA303" s="140"/>
      <c r="AB303" s="383">
        <f t="shared" si="135"/>
        <v>0</v>
      </c>
      <c r="AC303" s="140"/>
      <c r="AD303" s="140"/>
      <c r="AE303" s="140"/>
      <c r="AF303" s="140"/>
      <c r="AG303" s="140"/>
      <c r="AH303" s="140"/>
      <c r="AI303" s="140"/>
      <c r="AJ303" s="140"/>
      <c r="AK303" s="140"/>
      <c r="AL303" s="140"/>
      <c r="AM303" s="140"/>
      <c r="AN303" s="140"/>
      <c r="AO303" s="140"/>
      <c r="AP303" s="384">
        <f t="shared" si="136"/>
        <v>0</v>
      </c>
      <c r="AQ303" s="123"/>
      <c r="AR303" s="123"/>
      <c r="AS303" s="123"/>
      <c r="AT303" s="385">
        <f t="shared" si="137"/>
        <v>0</v>
      </c>
      <c r="AU303" s="140"/>
      <c r="AV303" s="140"/>
      <c r="AW303" s="140"/>
      <c r="AX303" s="140"/>
      <c r="AY303" s="392"/>
      <c r="AZ303" s="432">
        <f t="shared" si="138"/>
        <v>0</v>
      </c>
      <c r="BA303" s="435"/>
      <c r="BB303" s="276"/>
      <c r="BC303" s="274"/>
      <c r="BD303" s="274"/>
      <c r="BE303" s="127"/>
      <c r="BF303" s="138"/>
      <c r="BG303" s="274"/>
      <c r="BH303" s="274"/>
      <c r="BI303" s="274"/>
      <c r="BJ303" s="274"/>
      <c r="BK303" s="389">
        <f t="shared" si="139"/>
        <v>0</v>
      </c>
      <c r="BL303" s="113">
        <f t="shared" si="140"/>
        <v>0</v>
      </c>
      <c r="BM303" s="3"/>
      <c r="BN303" s="113">
        <f t="shared" si="141"/>
        <v>0</v>
      </c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41"/>
      <c r="CA303" s="129"/>
      <c r="CB303" s="390">
        <f t="shared" si="142"/>
        <v>0</v>
      </c>
      <c r="CC303" s="3"/>
    </row>
    <row r="304" ht="20.25" customHeight="1">
      <c r="A304" s="3"/>
      <c r="B304" s="2" t="s">
        <v>83</v>
      </c>
      <c r="C304" s="407">
        <f ref="C304:J304" t="shared" si="143">SUM(C274:C303)</f>
        <v>0</v>
      </c>
      <c r="D304" s="407">
        <f t="shared" si="143"/>
        <v>0</v>
      </c>
      <c r="E304" s="407">
        <f t="shared" si="143"/>
        <v>0</v>
      </c>
      <c r="F304" s="407">
        <f t="shared" si="143"/>
        <v>0</v>
      </c>
      <c r="G304" s="407">
        <f t="shared" si="143"/>
        <v>0</v>
      </c>
      <c r="H304" s="407">
        <f t="shared" si="143"/>
        <v>0</v>
      </c>
      <c r="I304" s="407">
        <f t="shared" si="143"/>
        <v>0</v>
      </c>
      <c r="J304" s="407">
        <f t="shared" si="143"/>
        <v>0</v>
      </c>
      <c r="K304" s="407"/>
      <c r="L304" s="407">
        <f ref="L304:P304" t="shared" si="144">SUM(L274:L303)</f>
        <v>0</v>
      </c>
      <c r="M304" s="407">
        <f t="shared" si="144"/>
        <v>0</v>
      </c>
      <c r="N304" s="407">
        <f t="shared" si="144"/>
        <v>0</v>
      </c>
      <c r="O304" s="407">
        <f t="shared" si="144"/>
        <v>0</v>
      </c>
      <c r="P304" s="407">
        <f t="shared" si="144"/>
        <v>0</v>
      </c>
      <c r="Q304" s="407">
        <v>3</v>
      </c>
      <c r="R304" s="407">
        <f ref="R304:S304" t="shared" si="145">SUM(R274:R303)</f>
        <v>0</v>
      </c>
      <c r="S304" s="407">
        <f t="shared" si="145"/>
        <v>0</v>
      </c>
      <c r="T304" s="407"/>
      <c r="U304" s="407">
        <f ref="U304:Z304" t="shared" si="146">SUM(U274:U303)</f>
        <v>0</v>
      </c>
      <c r="V304" s="407">
        <f t="shared" si="146"/>
        <v>0</v>
      </c>
      <c r="W304" s="407">
        <f t="shared" si="146"/>
        <v>0</v>
      </c>
      <c r="X304" s="407">
        <f t="shared" si="146"/>
        <v>0</v>
      </c>
      <c r="Y304" s="407">
        <f t="shared" si="146"/>
        <v>0</v>
      </c>
      <c r="Z304" s="407">
        <f t="shared" si="146"/>
        <v>0</v>
      </c>
      <c r="AA304" s="140"/>
      <c r="AB304" s="407">
        <f ref="AB304:BL304" t="shared" si="147">SUM(AB274:AB303)</f>
        <v>0</v>
      </c>
      <c r="AC304" s="407">
        <f t="shared" si="147"/>
        <v>0</v>
      </c>
      <c r="AD304" s="407">
        <f t="shared" si="147"/>
        <v>0</v>
      </c>
      <c r="AE304" s="407">
        <f t="shared" si="147"/>
        <v>0</v>
      </c>
      <c r="AF304" s="407">
        <f t="shared" si="147"/>
        <v>0</v>
      </c>
      <c r="AG304" s="407">
        <f t="shared" si="147"/>
        <v>0</v>
      </c>
      <c r="AH304" s="407">
        <f t="shared" si="147"/>
        <v>0</v>
      </c>
      <c r="AI304" s="407">
        <f t="shared" si="147"/>
        <v>0</v>
      </c>
      <c r="AJ304" s="407">
        <f t="shared" si="147"/>
        <v>0</v>
      </c>
      <c r="AK304" s="407">
        <f t="shared" si="147"/>
        <v>0</v>
      </c>
      <c r="AL304" s="407">
        <f t="shared" si="147"/>
        <v>0</v>
      </c>
      <c r="AM304" s="407">
        <f t="shared" si="147"/>
        <v>0</v>
      </c>
      <c r="AN304" s="407">
        <f t="shared" si="147"/>
        <v>0</v>
      </c>
      <c r="AO304" s="407">
        <f t="shared" si="147"/>
        <v>0</v>
      </c>
      <c r="AP304" s="407">
        <f t="shared" si="147"/>
        <v>0</v>
      </c>
      <c r="AQ304" s="407">
        <f t="shared" si="147"/>
        <v>0</v>
      </c>
      <c r="AR304" s="407">
        <f t="shared" si="147"/>
        <v>0</v>
      </c>
      <c r="AS304" s="407">
        <f t="shared" si="147"/>
        <v>0</v>
      </c>
      <c r="AT304" s="407">
        <f t="shared" si="147"/>
        <v>0</v>
      </c>
      <c r="AU304" s="407">
        <f t="shared" si="147"/>
        <v>0</v>
      </c>
      <c r="AV304" s="407">
        <f t="shared" si="147"/>
        <v>0</v>
      </c>
      <c r="AW304" s="407">
        <f t="shared" si="147"/>
        <v>0</v>
      </c>
      <c r="AX304" s="407">
        <f t="shared" si="147"/>
        <v>0</v>
      </c>
      <c r="AY304" s="407">
        <f t="shared" si="147"/>
        <v>0</v>
      </c>
      <c r="AZ304" s="407">
        <f t="shared" si="147"/>
        <v>0</v>
      </c>
      <c r="BA304" s="439">
        <f t="shared" si="147"/>
        <v>0</v>
      </c>
      <c r="BB304" s="411">
        <f t="shared" si="147"/>
        <v>0</v>
      </c>
      <c r="BC304" s="407">
        <f t="shared" si="147"/>
        <v>0</v>
      </c>
      <c r="BD304" s="407">
        <f t="shared" si="147"/>
        <v>0</v>
      </c>
      <c r="BE304" s="407">
        <f t="shared" si="147"/>
        <v>0</v>
      </c>
      <c r="BF304" s="439">
        <f t="shared" si="147"/>
        <v>0</v>
      </c>
      <c r="BG304" s="407">
        <f t="shared" si="147"/>
        <v>0</v>
      </c>
      <c r="BH304" s="407">
        <f t="shared" si="147"/>
        <v>0</v>
      </c>
      <c r="BI304" s="407">
        <f t="shared" si="147"/>
        <v>0</v>
      </c>
      <c r="BJ304" s="407">
        <f t="shared" si="147"/>
        <v>0</v>
      </c>
      <c r="BK304" s="407">
        <f t="shared" si="147"/>
        <v>0</v>
      </c>
      <c r="BL304" s="407">
        <f t="shared" si="147"/>
        <v>0</v>
      </c>
      <c r="BM304" s="3"/>
      <c r="BN304" s="534">
        <f ref="BN304:BZ304" t="shared" si="148">SUM(BN273:BN303)</f>
        <v>0</v>
      </c>
      <c r="BO304" s="407">
        <f t="shared" si="148"/>
        <v>0</v>
      </c>
      <c r="BP304" s="407">
        <f t="shared" si="148"/>
        <v>0</v>
      </c>
      <c r="BQ304" s="407">
        <f t="shared" si="148"/>
        <v>0</v>
      </c>
      <c r="BR304" s="407">
        <f t="shared" si="148"/>
        <v>0</v>
      </c>
      <c r="BS304" s="407">
        <f t="shared" si="148"/>
        <v>0</v>
      </c>
      <c r="BT304" s="407">
        <f t="shared" si="148"/>
        <v>0</v>
      </c>
      <c r="BU304" s="407">
        <f t="shared" si="148"/>
        <v>0</v>
      </c>
      <c r="BV304" s="407">
        <f t="shared" si="148"/>
        <v>0</v>
      </c>
      <c r="BW304" s="407">
        <f t="shared" si="148"/>
        <v>0</v>
      </c>
      <c r="BX304" s="407">
        <f t="shared" si="148"/>
        <v>0</v>
      </c>
      <c r="BY304" s="407">
        <f t="shared" si="148"/>
        <v>0</v>
      </c>
      <c r="BZ304" s="407">
        <f t="shared" si="148"/>
        <v>0</v>
      </c>
      <c r="CA304" s="407"/>
      <c r="CB304" s="407">
        <f>SUM(CB273:CB303)</f>
        <v>0</v>
      </c>
      <c r="CC304" s="3"/>
    </row>
    <row r="305" ht="14.25" customHeight="1">
      <c r="A305" s="1"/>
      <c r="B305" s="2"/>
      <c r="C305" s="3"/>
      <c r="D305" s="3"/>
      <c r="E305" s="3"/>
      <c r="F305" s="3"/>
      <c r="G305" s="3"/>
      <c r="H305" s="3"/>
      <c r="I305" s="3"/>
      <c r="J305" s="414"/>
      <c r="K305" s="3"/>
      <c r="L305" s="3"/>
      <c r="M305" s="3"/>
      <c r="N305" s="3"/>
      <c r="O305" s="3"/>
      <c r="P305" s="1"/>
      <c r="Q305" s="1"/>
      <c r="R305" s="3"/>
      <c r="S305" s="3"/>
      <c r="T305" s="3"/>
      <c r="U305" s="3"/>
      <c r="V305" s="3"/>
      <c r="W305" s="3"/>
      <c r="X305" s="3"/>
      <c r="Y305" s="3"/>
      <c r="Z305" s="3"/>
      <c r="AA305" s="407">
        <f>SUM(AA274:AA304)</f>
        <v>0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96"/>
      <c r="AQ305" s="96"/>
      <c r="AR305" s="3"/>
      <c r="AS305" s="3"/>
      <c r="AT305" s="3"/>
      <c r="AU305" s="3"/>
      <c r="AV305" s="3"/>
      <c r="AW305" s="3"/>
      <c r="AX305" s="3"/>
      <c r="AY305" s="3"/>
      <c r="AZ305" s="3"/>
      <c r="BA305" s="1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</row>
    <row r="306" ht="14.25" customHeight="1">
      <c r="A306" s="1"/>
      <c r="B306" s="2"/>
      <c r="C306" s="3"/>
      <c r="D306" s="3"/>
      <c r="E306" s="3"/>
      <c r="F306" s="3"/>
      <c r="G306" s="3"/>
      <c r="H306" s="3"/>
      <c r="I306" s="3"/>
      <c r="J306" s="414"/>
      <c r="K306" s="3"/>
      <c r="L306" s="3"/>
      <c r="M306" s="3"/>
      <c r="N306" s="3"/>
      <c r="O306" s="3"/>
      <c r="P306" s="1"/>
      <c r="Q306" s="1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176"/>
      <c r="AQ306" s="176"/>
      <c r="AR306" s="3"/>
      <c r="AS306" s="3"/>
      <c r="AT306" s="3"/>
      <c r="AU306" s="3"/>
      <c r="AV306" s="3"/>
      <c r="AW306" s="3"/>
      <c r="AX306" s="3"/>
      <c r="AY306" s="3"/>
      <c r="AZ306" s="3"/>
      <c r="BA306" s="1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</row>
    <row r="307" ht="14.25" customHeight="1">
      <c r="A307" s="3"/>
      <c r="B307" s="215">
        <v>46296</v>
      </c>
      <c r="C307" s="94"/>
      <c r="D307" s="104"/>
      <c r="E307" s="97"/>
      <c r="F307" s="97"/>
      <c r="G307" s="513">
        <f ref="G307:G337" t="shared" si="149">+C307+D307+E307+F307</f>
        <v>0</v>
      </c>
      <c r="H307" s="195"/>
      <c r="I307" s="449"/>
      <c r="J307" s="446"/>
      <c r="K307" s="195"/>
      <c r="L307" s="195"/>
      <c r="M307" s="195"/>
      <c r="N307" s="195"/>
      <c r="O307" s="195"/>
      <c r="P307" s="447"/>
      <c r="Q307" s="447"/>
      <c r="R307" s="546"/>
      <c r="S307" s="195"/>
      <c r="T307" s="195"/>
      <c r="U307" s="195"/>
      <c r="V307" s="195"/>
      <c r="W307" s="195"/>
      <c r="X307" s="195"/>
      <c r="Y307" s="195"/>
      <c r="Z307" s="195"/>
      <c r="AA307" s="3"/>
      <c r="AB307" s="420">
        <f ref="AB307:AB323" t="shared" si="150">SUM(I307:Y307)</f>
        <v>0</v>
      </c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384">
        <f ref="AP307:AP337" t="shared" si="151">SUM(AC307:AO307)</f>
        <v>0</v>
      </c>
      <c r="AQ307" s="104"/>
      <c r="AR307" s="104"/>
      <c r="AS307" s="104"/>
      <c r="AT307" s="422">
        <f ref="AT307:AT337" t="shared" si="152">SUM(AQ307:AS307)</f>
        <v>0</v>
      </c>
      <c r="AU307" s="195"/>
      <c r="AV307" s="195"/>
      <c r="AW307" s="195"/>
      <c r="AX307" s="195"/>
      <c r="AY307" s="424"/>
      <c r="AZ307" s="547">
        <f ref="AZ307:AZ337" t="shared" si="153">+G307-AB307-AP307-AT307-AU307-AW307-AX307-AY307</f>
        <v>0</v>
      </c>
      <c r="BA307" s="427"/>
      <c r="BB307" s="286"/>
      <c r="BC307" s="269"/>
      <c r="BD307" s="269"/>
      <c r="BE307" s="110"/>
      <c r="BF307" s="109"/>
      <c r="BG307" s="269"/>
      <c r="BH307" s="269"/>
      <c r="BI307" s="269"/>
      <c r="BJ307" s="269"/>
      <c r="BK307" s="521">
        <f ref="BK307:BK337" t="shared" si="154">SUM(BA307:BJ307)-BI307</f>
        <v>0</v>
      </c>
      <c r="BL307" s="114">
        <f ref="BL307:BL337" t="shared" si="155">+AZ307-BK307</f>
        <v>0</v>
      </c>
      <c r="BM307" s="3"/>
      <c r="BN307" s="114">
        <f ref="BN307:BN337" t="shared" si="156">SUM(BO307:CA307)</f>
        <v>0</v>
      </c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430">
        <f ref="CB307:CB337" t="shared" si="157">+BL307-BN307</f>
        <v>0</v>
      </c>
      <c r="CC307" s="3"/>
    </row>
    <row r="308" ht="14.25" customHeight="1">
      <c r="A308" s="132"/>
      <c r="B308" s="215">
        <v>46297</v>
      </c>
      <c r="C308" s="133"/>
      <c r="D308" s="136"/>
      <c r="E308" s="135"/>
      <c r="F308" s="135"/>
      <c r="G308" s="445">
        <f t="shared" si="149"/>
        <v>0</v>
      </c>
      <c r="H308" s="140"/>
      <c r="I308" s="457"/>
      <c r="J308" s="454"/>
      <c r="K308" s="140"/>
      <c r="L308" s="140"/>
      <c r="M308" s="140"/>
      <c r="N308" s="140"/>
      <c r="O308" s="140"/>
      <c r="P308" s="456"/>
      <c r="Q308" s="456"/>
      <c r="R308" s="524"/>
      <c r="S308" s="140"/>
      <c r="T308" s="140"/>
      <c r="U308" s="140"/>
      <c r="V308" s="140"/>
      <c r="W308" s="140"/>
      <c r="X308" s="140"/>
      <c r="Y308" s="140"/>
      <c r="Z308" s="140"/>
      <c r="AA308" s="195"/>
      <c r="AB308" s="383">
        <f t="shared" si="150"/>
        <v>0</v>
      </c>
      <c r="AC308" s="140"/>
      <c r="AD308" s="140"/>
      <c r="AE308" s="140"/>
      <c r="AF308" s="140"/>
      <c r="AG308" s="140"/>
      <c r="AH308" s="140"/>
      <c r="AI308" s="140"/>
      <c r="AJ308" s="140"/>
      <c r="AK308" s="140"/>
      <c r="AL308" s="140"/>
      <c r="AM308" s="140"/>
      <c r="AN308" s="140"/>
      <c r="AO308" s="140"/>
      <c r="AP308" s="384">
        <f t="shared" si="151"/>
        <v>0</v>
      </c>
      <c r="AQ308" s="136"/>
      <c r="AR308" s="136"/>
      <c r="AS308" s="136"/>
      <c r="AT308" s="385">
        <f t="shared" si="152"/>
        <v>0</v>
      </c>
      <c r="AU308" s="140"/>
      <c r="AV308" s="140"/>
      <c r="AW308" s="140"/>
      <c r="AX308" s="140"/>
      <c r="AY308" s="392"/>
      <c r="AZ308" s="432">
        <f t="shared" si="153"/>
        <v>0</v>
      </c>
      <c r="BA308" s="433"/>
      <c r="BB308" s="276"/>
      <c r="BC308" s="274"/>
      <c r="BD308" s="274"/>
      <c r="BE308" s="127"/>
      <c r="BF308" s="126"/>
      <c r="BG308" s="274"/>
      <c r="BH308" s="274"/>
      <c r="BI308" s="274"/>
      <c r="BJ308" s="274"/>
      <c r="BK308" s="389">
        <f t="shared" si="154"/>
        <v>0</v>
      </c>
      <c r="BL308" s="140">
        <f t="shared" si="155"/>
        <v>0</v>
      </c>
      <c r="BM308" s="132"/>
      <c r="BN308" s="140">
        <f t="shared" si="156"/>
        <v>0</v>
      </c>
      <c r="BO308" s="141"/>
      <c r="BP308" s="141"/>
      <c r="BQ308" s="141"/>
      <c r="BR308" s="141"/>
      <c r="BS308" s="141"/>
      <c r="BT308" s="141"/>
      <c r="BU308" s="141"/>
      <c r="BV308" s="141"/>
      <c r="BW308" s="141"/>
      <c r="BX308" s="141"/>
      <c r="BY308" s="141"/>
      <c r="BZ308" s="141"/>
      <c r="CA308" s="141"/>
      <c r="CB308" s="390">
        <f t="shared" si="157"/>
        <v>0</v>
      </c>
      <c r="CC308" s="132"/>
    </row>
    <row r="309" ht="14.25" customHeight="1">
      <c r="A309" s="3"/>
      <c r="B309" s="215">
        <v>46298</v>
      </c>
      <c r="C309" s="118"/>
      <c r="D309" s="123"/>
      <c r="E309" s="120"/>
      <c r="F309" s="120"/>
      <c r="G309" s="445">
        <f t="shared" si="149"/>
        <v>0</v>
      </c>
      <c r="H309" s="140"/>
      <c r="I309" s="457"/>
      <c r="J309" s="454"/>
      <c r="K309" s="140"/>
      <c r="L309" s="140"/>
      <c r="M309" s="140"/>
      <c r="N309" s="140"/>
      <c r="O309" s="140"/>
      <c r="P309" s="456"/>
      <c r="Q309" s="456"/>
      <c r="R309" s="140"/>
      <c r="S309" s="140"/>
      <c r="T309" s="140"/>
      <c r="U309" s="140"/>
      <c r="V309" s="140"/>
      <c r="W309" s="140"/>
      <c r="X309" s="140"/>
      <c r="Y309" s="140"/>
      <c r="Z309" s="140"/>
      <c r="AA309" s="140"/>
      <c r="AB309" s="383">
        <f t="shared" si="150"/>
        <v>0</v>
      </c>
      <c r="AC309" s="140"/>
      <c r="AD309" s="140"/>
      <c r="AE309" s="140"/>
      <c r="AF309" s="140"/>
      <c r="AG309" s="140"/>
      <c r="AH309" s="140"/>
      <c r="AI309" s="140"/>
      <c r="AJ309" s="140"/>
      <c r="AK309" s="140"/>
      <c r="AL309" s="140"/>
      <c r="AM309" s="140"/>
      <c r="AN309" s="140"/>
      <c r="AO309" s="140"/>
      <c r="AP309" s="384">
        <f t="shared" si="151"/>
        <v>0</v>
      </c>
      <c r="AQ309" s="123"/>
      <c r="AR309" s="123"/>
      <c r="AS309" s="123"/>
      <c r="AT309" s="385">
        <f t="shared" si="152"/>
        <v>0</v>
      </c>
      <c r="AU309" s="140"/>
      <c r="AV309" s="140"/>
      <c r="AW309" s="140"/>
      <c r="AX309" s="140"/>
      <c r="AY309" s="392"/>
      <c r="AZ309" s="432">
        <f t="shared" si="153"/>
        <v>0</v>
      </c>
      <c r="BA309" s="433"/>
      <c r="BB309" s="276"/>
      <c r="BC309" s="274"/>
      <c r="BD309" s="274"/>
      <c r="BE309" s="127"/>
      <c r="BF309" s="126"/>
      <c r="BG309" s="274"/>
      <c r="BH309" s="274"/>
      <c r="BI309" s="274"/>
      <c r="BJ309" s="274"/>
      <c r="BK309" s="389">
        <f t="shared" si="154"/>
        <v>0</v>
      </c>
      <c r="BL309" s="113">
        <f t="shared" si="155"/>
        <v>0</v>
      </c>
      <c r="BM309" s="3"/>
      <c r="BN309" s="113">
        <f t="shared" si="156"/>
        <v>0</v>
      </c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29"/>
      <c r="CA309" s="129"/>
      <c r="CB309" s="390">
        <f t="shared" si="157"/>
        <v>0</v>
      </c>
      <c r="CC309" s="3"/>
    </row>
    <row r="310" ht="14.25" customHeight="1">
      <c r="A310" s="3"/>
      <c r="B310" s="215">
        <v>46299</v>
      </c>
      <c r="C310" s="118"/>
      <c r="D310" s="123"/>
      <c r="E310" s="120"/>
      <c r="F310" s="120"/>
      <c r="G310" s="445">
        <f t="shared" si="149"/>
        <v>0</v>
      </c>
      <c r="H310" s="140"/>
      <c r="I310" s="457"/>
      <c r="J310" s="454"/>
      <c r="K310" s="140"/>
      <c r="L310" s="140"/>
      <c r="M310" s="140"/>
      <c r="N310" s="140"/>
      <c r="O310" s="140"/>
      <c r="P310" s="548"/>
      <c r="Q310" s="548"/>
      <c r="R310" s="524"/>
      <c r="S310" s="140"/>
      <c r="T310" s="140"/>
      <c r="U310" s="140"/>
      <c r="V310" s="140"/>
      <c r="W310" s="140"/>
      <c r="X310" s="140"/>
      <c r="Y310" s="140"/>
      <c r="Z310" s="140"/>
      <c r="AA310" s="140"/>
      <c r="AB310" s="383">
        <f t="shared" si="150"/>
        <v>0</v>
      </c>
      <c r="AC310" s="140"/>
      <c r="AD310" s="140"/>
      <c r="AE310" s="140"/>
      <c r="AF310" s="140"/>
      <c r="AG310" s="140"/>
      <c r="AH310" s="140"/>
      <c r="AI310" s="140"/>
      <c r="AJ310" s="140"/>
      <c r="AK310" s="140"/>
      <c r="AL310" s="140"/>
      <c r="AM310" s="140"/>
      <c r="AN310" s="140"/>
      <c r="AO310" s="140"/>
      <c r="AP310" s="384">
        <f t="shared" si="151"/>
        <v>0</v>
      </c>
      <c r="AQ310" s="123"/>
      <c r="AR310" s="123"/>
      <c r="AS310" s="123"/>
      <c r="AT310" s="385">
        <f t="shared" si="152"/>
        <v>0</v>
      </c>
      <c r="AU310" s="140"/>
      <c r="AV310" s="140"/>
      <c r="AW310" s="140"/>
      <c r="AX310" s="140"/>
      <c r="AY310" s="392"/>
      <c r="AZ310" s="432">
        <f t="shared" si="153"/>
        <v>0</v>
      </c>
      <c r="BA310" s="433"/>
      <c r="BB310" s="276"/>
      <c r="BC310" s="274"/>
      <c r="BD310" s="274"/>
      <c r="BE310" s="127"/>
      <c r="BF310" s="126"/>
      <c r="BG310" s="274"/>
      <c r="BH310" s="274"/>
      <c r="BI310" s="274"/>
      <c r="BJ310" s="274"/>
      <c r="BK310" s="389">
        <f t="shared" si="154"/>
        <v>0</v>
      </c>
      <c r="BL310" s="113">
        <f t="shared" si="155"/>
        <v>0</v>
      </c>
      <c r="BM310" s="3"/>
      <c r="BN310" s="113">
        <f t="shared" si="156"/>
        <v>0</v>
      </c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29"/>
      <c r="CA310" s="129"/>
      <c r="CB310" s="390">
        <f t="shared" si="157"/>
        <v>0</v>
      </c>
      <c r="CC310" s="3"/>
    </row>
    <row r="311" ht="14.25" customHeight="1">
      <c r="A311" s="3"/>
      <c r="B311" s="215">
        <v>46300</v>
      </c>
      <c r="C311" s="118"/>
      <c r="D311" s="123"/>
      <c r="E311" s="120"/>
      <c r="F311" s="120"/>
      <c r="G311" s="445">
        <f t="shared" si="149"/>
        <v>0</v>
      </c>
      <c r="H311" s="140"/>
      <c r="I311" s="457"/>
      <c r="J311" s="454"/>
      <c r="K311" s="140"/>
      <c r="L311" s="140"/>
      <c r="M311" s="140"/>
      <c r="N311" s="140"/>
      <c r="O311" s="140"/>
      <c r="P311" s="456"/>
      <c r="Q311" s="456"/>
      <c r="R311" s="140"/>
      <c r="S311" s="140"/>
      <c r="T311" s="140"/>
      <c r="U311" s="140"/>
      <c r="V311" s="140"/>
      <c r="W311" s="140"/>
      <c r="X311" s="140"/>
      <c r="Y311" s="140"/>
      <c r="Z311" s="140"/>
      <c r="AA311" s="140"/>
      <c r="AB311" s="383">
        <f t="shared" si="150"/>
        <v>0</v>
      </c>
      <c r="AC311" s="140"/>
      <c r="AD311" s="140"/>
      <c r="AE311" s="140"/>
      <c r="AF311" s="140"/>
      <c r="AG311" s="140"/>
      <c r="AH311" s="140"/>
      <c r="AI311" s="140"/>
      <c r="AJ311" s="140"/>
      <c r="AK311" s="140"/>
      <c r="AL311" s="140"/>
      <c r="AM311" s="140"/>
      <c r="AN311" s="140"/>
      <c r="AO311" s="140"/>
      <c r="AP311" s="384">
        <f t="shared" si="151"/>
        <v>0</v>
      </c>
      <c r="AQ311" s="123"/>
      <c r="AR311" s="123"/>
      <c r="AS311" s="123"/>
      <c r="AT311" s="385">
        <f t="shared" si="152"/>
        <v>0</v>
      </c>
      <c r="AU311" s="140"/>
      <c r="AV311" s="140"/>
      <c r="AW311" s="140"/>
      <c r="AX311" s="140"/>
      <c r="AY311" s="392"/>
      <c r="AZ311" s="432">
        <f t="shared" si="153"/>
        <v>0</v>
      </c>
      <c r="BA311" s="433"/>
      <c r="BB311" s="276"/>
      <c r="BC311" s="274"/>
      <c r="BD311" s="274"/>
      <c r="BE311" s="127"/>
      <c r="BF311" s="126"/>
      <c r="BG311" s="274"/>
      <c r="BH311" s="274"/>
      <c r="BI311" s="274"/>
      <c r="BJ311" s="274"/>
      <c r="BK311" s="389">
        <f t="shared" si="154"/>
        <v>0</v>
      </c>
      <c r="BL311" s="113">
        <f t="shared" si="155"/>
        <v>0</v>
      </c>
      <c r="BM311" s="3"/>
      <c r="BN311" s="113">
        <f t="shared" si="156"/>
        <v>0</v>
      </c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29"/>
      <c r="CA311" s="129"/>
      <c r="CB311" s="390">
        <f t="shared" si="157"/>
        <v>0</v>
      </c>
      <c r="CC311" s="3"/>
    </row>
    <row r="312" ht="14.25" customHeight="1">
      <c r="A312" s="3"/>
      <c r="B312" s="215">
        <v>46301</v>
      </c>
      <c r="C312" s="118"/>
      <c r="D312" s="123"/>
      <c r="E312" s="120"/>
      <c r="F312" s="120"/>
      <c r="G312" s="445">
        <f t="shared" si="149"/>
        <v>0</v>
      </c>
      <c r="H312" s="140"/>
      <c r="I312" s="457"/>
      <c r="J312" s="454"/>
      <c r="K312" s="524"/>
      <c r="L312" s="524"/>
      <c r="M312" s="524"/>
      <c r="N312" s="140"/>
      <c r="O312" s="140"/>
      <c r="P312" s="456"/>
      <c r="Q312" s="456"/>
      <c r="R312" s="524"/>
      <c r="S312" s="140"/>
      <c r="T312" s="140"/>
      <c r="U312" s="140"/>
      <c r="V312" s="140"/>
      <c r="W312" s="140"/>
      <c r="X312" s="140"/>
      <c r="Y312" s="140"/>
      <c r="Z312" s="140"/>
      <c r="AA312" s="140"/>
      <c r="AB312" s="383">
        <f t="shared" si="150"/>
        <v>0</v>
      </c>
      <c r="AC312" s="140"/>
      <c r="AD312" s="140"/>
      <c r="AE312" s="140"/>
      <c r="AF312" s="140"/>
      <c r="AG312" s="140"/>
      <c r="AH312" s="140"/>
      <c r="AI312" s="140"/>
      <c r="AJ312" s="140"/>
      <c r="AK312" s="140"/>
      <c r="AL312" s="140"/>
      <c r="AM312" s="140"/>
      <c r="AN312" s="140"/>
      <c r="AO312" s="140"/>
      <c r="AP312" s="384">
        <f t="shared" si="151"/>
        <v>0</v>
      </c>
      <c r="AQ312" s="123"/>
      <c r="AR312" s="123"/>
      <c r="AS312" s="123"/>
      <c r="AT312" s="385">
        <f t="shared" si="152"/>
        <v>0</v>
      </c>
      <c r="AU312" s="140"/>
      <c r="AV312" s="140"/>
      <c r="AW312" s="140"/>
      <c r="AX312" s="140"/>
      <c r="AY312" s="392"/>
      <c r="AZ312" s="432">
        <f t="shared" si="153"/>
        <v>0</v>
      </c>
      <c r="BA312" s="433"/>
      <c r="BB312" s="276"/>
      <c r="BC312" s="274"/>
      <c r="BD312" s="274"/>
      <c r="BE312" s="127"/>
      <c r="BF312" s="126"/>
      <c r="BG312" s="274"/>
      <c r="BH312" s="274"/>
      <c r="BI312" s="274"/>
      <c r="BJ312" s="274"/>
      <c r="BK312" s="389">
        <f t="shared" si="154"/>
        <v>0</v>
      </c>
      <c r="BL312" s="113">
        <f t="shared" si="155"/>
        <v>0</v>
      </c>
      <c r="BM312" s="3"/>
      <c r="BN312" s="113">
        <f t="shared" si="156"/>
        <v>0</v>
      </c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29"/>
      <c r="CA312" s="129"/>
      <c r="CB312" s="390">
        <f t="shared" si="157"/>
        <v>0</v>
      </c>
      <c r="CC312" s="3"/>
    </row>
    <row r="313" ht="14.25" customHeight="1">
      <c r="A313" s="3"/>
      <c r="B313" s="215">
        <v>46302</v>
      </c>
      <c r="C313" s="118"/>
      <c r="D313" s="123"/>
      <c r="E313" s="120"/>
      <c r="F313" s="120"/>
      <c r="G313" s="445">
        <f t="shared" si="149"/>
        <v>0</v>
      </c>
      <c r="H313" s="140"/>
      <c r="I313" s="457"/>
      <c r="J313" s="454"/>
      <c r="K313" s="140"/>
      <c r="L313" s="140"/>
      <c r="M313" s="140"/>
      <c r="N313" s="140"/>
      <c r="O313" s="140"/>
      <c r="P313" s="456"/>
      <c r="Q313" s="456"/>
      <c r="R313" s="524"/>
      <c r="S313" s="140"/>
      <c r="T313" s="140"/>
      <c r="U313" s="140"/>
      <c r="V313" s="140"/>
      <c r="W313" s="140"/>
      <c r="X313" s="140"/>
      <c r="Y313" s="140"/>
      <c r="Z313" s="140"/>
      <c r="AA313" s="140"/>
      <c r="AB313" s="383">
        <f t="shared" si="150"/>
        <v>0</v>
      </c>
      <c r="AC313" s="140"/>
      <c r="AD313" s="140"/>
      <c r="AE313" s="140"/>
      <c r="AF313" s="140"/>
      <c r="AG313" s="140"/>
      <c r="AH313" s="140"/>
      <c r="AI313" s="140"/>
      <c r="AJ313" s="140"/>
      <c r="AK313" s="140"/>
      <c r="AL313" s="140"/>
      <c r="AM313" s="140"/>
      <c r="AN313" s="140"/>
      <c r="AO313" s="140"/>
      <c r="AP313" s="384">
        <f t="shared" si="151"/>
        <v>0</v>
      </c>
      <c r="AQ313" s="123"/>
      <c r="AR313" s="123"/>
      <c r="AS313" s="123"/>
      <c r="AT313" s="385">
        <f t="shared" si="152"/>
        <v>0</v>
      </c>
      <c r="AU313" s="140"/>
      <c r="AV313" s="140"/>
      <c r="AW313" s="140"/>
      <c r="AX313" s="140"/>
      <c r="AY313" s="392"/>
      <c r="AZ313" s="432">
        <f t="shared" si="153"/>
        <v>0</v>
      </c>
      <c r="BA313" s="433"/>
      <c r="BB313" s="276"/>
      <c r="BC313" s="274"/>
      <c r="BD313" s="274"/>
      <c r="BE313" s="127"/>
      <c r="BF313" s="126"/>
      <c r="BG313" s="274"/>
      <c r="BH313" s="274"/>
      <c r="BI313" s="274"/>
      <c r="BJ313" s="274"/>
      <c r="BK313" s="389">
        <f t="shared" si="154"/>
        <v>0</v>
      </c>
      <c r="BL313" s="113">
        <f t="shared" si="155"/>
        <v>0</v>
      </c>
      <c r="BM313" s="3"/>
      <c r="BN313" s="113">
        <f t="shared" si="156"/>
        <v>0</v>
      </c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29"/>
      <c r="CA313" s="129"/>
      <c r="CB313" s="390">
        <f t="shared" si="157"/>
        <v>0</v>
      </c>
      <c r="CC313" s="3"/>
    </row>
    <row r="314" ht="14.25" customHeight="1">
      <c r="A314" s="3"/>
      <c r="B314" s="215">
        <v>46303</v>
      </c>
      <c r="C314" s="118"/>
      <c r="D314" s="123"/>
      <c r="E314" s="120"/>
      <c r="F314" s="120"/>
      <c r="G314" s="445">
        <f t="shared" si="149"/>
        <v>0</v>
      </c>
      <c r="H314" s="140"/>
      <c r="I314" s="457"/>
      <c r="J314" s="454"/>
      <c r="K314" s="140"/>
      <c r="L314" s="140"/>
      <c r="M314" s="140"/>
      <c r="N314" s="140"/>
      <c r="O314" s="140"/>
      <c r="P314" s="548"/>
      <c r="Q314" s="548"/>
      <c r="R314" s="524"/>
      <c r="S314" s="140"/>
      <c r="T314" s="140"/>
      <c r="U314" s="140"/>
      <c r="V314" s="140"/>
      <c r="W314" s="140"/>
      <c r="X314" s="140"/>
      <c r="Y314" s="140"/>
      <c r="Z314" s="140"/>
      <c r="AA314" s="140"/>
      <c r="AB314" s="383">
        <f t="shared" si="150"/>
        <v>0</v>
      </c>
      <c r="AC314" s="140"/>
      <c r="AD314" s="140"/>
      <c r="AE314" s="140"/>
      <c r="AF314" s="140"/>
      <c r="AG314" s="140"/>
      <c r="AH314" s="140"/>
      <c r="AI314" s="140"/>
      <c r="AJ314" s="140"/>
      <c r="AK314" s="140"/>
      <c r="AL314" s="140"/>
      <c r="AM314" s="140"/>
      <c r="AN314" s="140"/>
      <c r="AO314" s="140"/>
      <c r="AP314" s="384">
        <f t="shared" si="151"/>
        <v>0</v>
      </c>
      <c r="AQ314" s="123"/>
      <c r="AR314" s="123"/>
      <c r="AS314" s="123"/>
      <c r="AT314" s="385">
        <f t="shared" si="152"/>
        <v>0</v>
      </c>
      <c r="AU314" s="140"/>
      <c r="AV314" s="140"/>
      <c r="AW314" s="140"/>
      <c r="AX314" s="140"/>
      <c r="AY314" s="392"/>
      <c r="AZ314" s="432">
        <f t="shared" si="153"/>
        <v>0</v>
      </c>
      <c r="BA314" s="433"/>
      <c r="BB314" s="276"/>
      <c r="BC314" s="274"/>
      <c r="BD314" s="274"/>
      <c r="BE314" s="127"/>
      <c r="BF314" s="126"/>
      <c r="BG314" s="274"/>
      <c r="BH314" s="274"/>
      <c r="BI314" s="274"/>
      <c r="BJ314" s="274"/>
      <c r="BK314" s="389">
        <f t="shared" si="154"/>
        <v>0</v>
      </c>
      <c r="BL314" s="113">
        <f t="shared" si="155"/>
        <v>0</v>
      </c>
      <c r="BM314" s="3"/>
      <c r="BN314" s="113">
        <f t="shared" si="156"/>
        <v>0</v>
      </c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390">
        <f t="shared" si="157"/>
        <v>0</v>
      </c>
      <c r="CC314" s="3"/>
    </row>
    <row r="315" ht="14.25" customHeight="1">
      <c r="A315" s="132"/>
      <c r="B315" s="215">
        <v>46304</v>
      </c>
      <c r="C315" s="133"/>
      <c r="D315" s="136"/>
      <c r="E315" s="135"/>
      <c r="F315" s="135"/>
      <c r="G315" s="445">
        <f t="shared" si="149"/>
        <v>0</v>
      </c>
      <c r="H315" s="140"/>
      <c r="I315" s="457"/>
      <c r="J315" s="454"/>
      <c r="K315" s="140"/>
      <c r="L315" s="140"/>
      <c r="M315" s="140"/>
      <c r="N315" s="140"/>
      <c r="O315" s="140"/>
      <c r="P315" s="456"/>
      <c r="Q315" s="456"/>
      <c r="R315" s="140"/>
      <c r="S315" s="140"/>
      <c r="T315" s="140"/>
      <c r="U315" s="140"/>
      <c r="V315" s="140"/>
      <c r="W315" s="140"/>
      <c r="X315" s="140"/>
      <c r="Y315" s="140"/>
      <c r="Z315" s="140"/>
      <c r="AA315" s="140"/>
      <c r="AB315" s="383">
        <f t="shared" si="150"/>
        <v>0</v>
      </c>
      <c r="AC315" s="140"/>
      <c r="AD315" s="140"/>
      <c r="AE315" s="140"/>
      <c r="AF315" s="140"/>
      <c r="AG315" s="140"/>
      <c r="AH315" s="140"/>
      <c r="AI315" s="140"/>
      <c r="AJ315" s="140"/>
      <c r="AK315" s="140"/>
      <c r="AL315" s="140"/>
      <c r="AM315" s="140"/>
      <c r="AN315" s="140"/>
      <c r="AO315" s="140"/>
      <c r="AP315" s="384">
        <f t="shared" si="151"/>
        <v>0</v>
      </c>
      <c r="AQ315" s="136"/>
      <c r="AR315" s="136"/>
      <c r="AS315" s="136"/>
      <c r="AT315" s="385">
        <f t="shared" si="152"/>
        <v>0</v>
      </c>
      <c r="AU315" s="140"/>
      <c r="AV315" s="140"/>
      <c r="AW315" s="140"/>
      <c r="AX315" s="140"/>
      <c r="AY315" s="392"/>
      <c r="AZ315" s="432">
        <f t="shared" si="153"/>
        <v>0</v>
      </c>
      <c r="BA315" s="433"/>
      <c r="BB315" s="276"/>
      <c r="BC315" s="274"/>
      <c r="BD315" s="274"/>
      <c r="BE315" s="127"/>
      <c r="BF315" s="126"/>
      <c r="BG315" s="274"/>
      <c r="BH315" s="274"/>
      <c r="BI315" s="274"/>
      <c r="BJ315" s="274"/>
      <c r="BK315" s="389">
        <f t="shared" si="154"/>
        <v>0</v>
      </c>
      <c r="BL315" s="140">
        <f t="shared" si="155"/>
        <v>0</v>
      </c>
      <c r="BM315" s="132"/>
      <c r="BN315" s="140">
        <f t="shared" si="156"/>
        <v>0</v>
      </c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41"/>
      <c r="BY315" s="141"/>
      <c r="BZ315" s="141"/>
      <c r="CA315" s="141"/>
      <c r="CB315" s="390">
        <f t="shared" si="157"/>
        <v>0</v>
      </c>
      <c r="CC315" s="132"/>
    </row>
    <row r="316" ht="14.25" customHeight="1">
      <c r="A316" s="132"/>
      <c r="B316" s="215">
        <v>46305</v>
      </c>
      <c r="C316" s="133"/>
      <c r="D316" s="136"/>
      <c r="E316" s="135"/>
      <c r="F316" s="135"/>
      <c r="G316" s="445">
        <f t="shared" si="149"/>
        <v>0</v>
      </c>
      <c r="H316" s="140"/>
      <c r="I316" s="457"/>
      <c r="J316" s="454"/>
      <c r="K316" s="524"/>
      <c r="L316" s="524"/>
      <c r="M316" s="524"/>
      <c r="N316" s="140"/>
      <c r="O316" s="140"/>
      <c r="P316" s="456"/>
      <c r="Q316" s="456"/>
      <c r="R316" s="140"/>
      <c r="S316" s="140"/>
      <c r="T316" s="140"/>
      <c r="U316" s="140"/>
      <c r="V316" s="140"/>
      <c r="W316" s="140"/>
      <c r="X316" s="140"/>
      <c r="Y316" s="140"/>
      <c r="Z316" s="140"/>
      <c r="AA316" s="140"/>
      <c r="AB316" s="383">
        <f t="shared" si="150"/>
        <v>0</v>
      </c>
      <c r="AC316" s="140"/>
      <c r="AD316" s="140"/>
      <c r="AE316" s="140"/>
      <c r="AF316" s="140"/>
      <c r="AG316" s="140"/>
      <c r="AH316" s="140"/>
      <c r="AI316" s="140"/>
      <c r="AJ316" s="140"/>
      <c r="AK316" s="140"/>
      <c r="AL316" s="140"/>
      <c r="AM316" s="140"/>
      <c r="AN316" s="140"/>
      <c r="AO316" s="140"/>
      <c r="AP316" s="384">
        <f t="shared" si="151"/>
        <v>0</v>
      </c>
      <c r="AQ316" s="136"/>
      <c r="AR316" s="136"/>
      <c r="AS316" s="136"/>
      <c r="AT316" s="385">
        <f t="shared" si="152"/>
        <v>0</v>
      </c>
      <c r="AU316" s="140"/>
      <c r="AV316" s="140"/>
      <c r="AW316" s="140"/>
      <c r="AX316" s="140"/>
      <c r="AY316" s="392"/>
      <c r="AZ316" s="432">
        <f t="shared" si="153"/>
        <v>0</v>
      </c>
      <c r="BA316" s="433"/>
      <c r="BB316" s="276"/>
      <c r="BC316" s="274"/>
      <c r="BD316" s="274"/>
      <c r="BE316" s="127"/>
      <c r="BF316" s="126"/>
      <c r="BG316" s="274"/>
      <c r="BH316" s="274"/>
      <c r="BI316" s="274"/>
      <c r="BJ316" s="274"/>
      <c r="BK316" s="389">
        <f t="shared" si="154"/>
        <v>0</v>
      </c>
      <c r="BL316" s="140">
        <f t="shared" si="155"/>
        <v>0</v>
      </c>
      <c r="BM316" s="132"/>
      <c r="BN316" s="140">
        <f t="shared" si="156"/>
        <v>0</v>
      </c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41"/>
      <c r="BY316" s="141"/>
      <c r="BZ316" s="141"/>
      <c r="CA316" s="141"/>
      <c r="CB316" s="390">
        <f t="shared" si="157"/>
        <v>0</v>
      </c>
      <c r="CC316" s="132"/>
    </row>
    <row r="317" ht="14.25" customHeight="1">
      <c r="A317" s="132"/>
      <c r="B317" s="215">
        <v>46306</v>
      </c>
      <c r="C317" s="133"/>
      <c r="D317" s="136"/>
      <c r="E317" s="135"/>
      <c r="F317" s="135"/>
      <c r="G317" s="445">
        <f t="shared" si="149"/>
        <v>0</v>
      </c>
      <c r="H317" s="140"/>
      <c r="I317" s="457"/>
      <c r="J317" s="454"/>
      <c r="K317" s="140"/>
      <c r="L317" s="140"/>
      <c r="M317" s="140"/>
      <c r="N317" s="140"/>
      <c r="O317" s="140"/>
      <c r="P317" s="456"/>
      <c r="Q317" s="456"/>
      <c r="R317" s="140"/>
      <c r="S317" s="140"/>
      <c r="T317" s="140"/>
      <c r="U317" s="140"/>
      <c r="V317" s="140"/>
      <c r="W317" s="140"/>
      <c r="X317" s="140"/>
      <c r="Y317" s="140"/>
      <c r="Z317" s="140"/>
      <c r="AA317" s="140"/>
      <c r="AB317" s="383">
        <f t="shared" si="150"/>
        <v>0</v>
      </c>
      <c r="AC317" s="140"/>
      <c r="AD317" s="140"/>
      <c r="AE317" s="140"/>
      <c r="AF317" s="140"/>
      <c r="AG317" s="140"/>
      <c r="AH317" s="140"/>
      <c r="AI317" s="140"/>
      <c r="AJ317" s="140"/>
      <c r="AK317" s="140"/>
      <c r="AL317" s="140"/>
      <c r="AM317" s="140"/>
      <c r="AN317" s="140"/>
      <c r="AO317" s="140"/>
      <c r="AP317" s="384">
        <f t="shared" si="151"/>
        <v>0</v>
      </c>
      <c r="AQ317" s="136"/>
      <c r="AR317" s="136"/>
      <c r="AS317" s="136"/>
      <c r="AT317" s="385">
        <f t="shared" si="152"/>
        <v>0</v>
      </c>
      <c r="AU317" s="140"/>
      <c r="AV317" s="140"/>
      <c r="AW317" s="140"/>
      <c r="AX317" s="140"/>
      <c r="AY317" s="392"/>
      <c r="AZ317" s="432">
        <f t="shared" si="153"/>
        <v>0</v>
      </c>
      <c r="BA317" s="433"/>
      <c r="BB317" s="276"/>
      <c r="BC317" s="274"/>
      <c r="BD317" s="274"/>
      <c r="BE317" s="127"/>
      <c r="BF317" s="126"/>
      <c r="BG317" s="274"/>
      <c r="BH317" s="274"/>
      <c r="BI317" s="274"/>
      <c r="BJ317" s="274"/>
      <c r="BK317" s="389">
        <f t="shared" si="154"/>
        <v>0</v>
      </c>
      <c r="BL317" s="140">
        <f t="shared" si="155"/>
        <v>0</v>
      </c>
      <c r="BM317" s="132"/>
      <c r="BN317" s="140">
        <f t="shared" si="156"/>
        <v>0</v>
      </c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41"/>
      <c r="BY317" s="141"/>
      <c r="BZ317" s="141"/>
      <c r="CA317" s="141"/>
      <c r="CB317" s="390">
        <f t="shared" si="157"/>
        <v>0</v>
      </c>
      <c r="CC317" s="132"/>
    </row>
    <row r="318" ht="14.25" customHeight="1">
      <c r="A318" s="132"/>
      <c r="B318" s="215">
        <v>46307</v>
      </c>
      <c r="C318" s="133"/>
      <c r="D318" s="136"/>
      <c r="E318" s="135"/>
      <c r="F318" s="135"/>
      <c r="G318" s="445">
        <f t="shared" si="149"/>
        <v>0</v>
      </c>
      <c r="H318" s="140"/>
      <c r="I318" s="457"/>
      <c r="J318" s="454"/>
      <c r="K318" s="140"/>
      <c r="L318" s="140"/>
      <c r="M318" s="140"/>
      <c r="N318" s="140"/>
      <c r="O318" s="140"/>
      <c r="P318" s="456"/>
      <c r="Q318" s="456"/>
      <c r="R318" s="140"/>
      <c r="S318" s="140"/>
      <c r="T318" s="140"/>
      <c r="U318" s="140"/>
      <c r="V318" s="140"/>
      <c r="W318" s="140"/>
      <c r="X318" s="140"/>
      <c r="Y318" s="140"/>
      <c r="Z318" s="140"/>
      <c r="AA318" s="140"/>
      <c r="AB318" s="383">
        <f t="shared" si="150"/>
        <v>0</v>
      </c>
      <c r="AC318" s="140"/>
      <c r="AD318" s="140"/>
      <c r="AE318" s="140"/>
      <c r="AF318" s="140"/>
      <c r="AG318" s="140"/>
      <c r="AH318" s="140"/>
      <c r="AI318" s="140"/>
      <c r="AJ318" s="140"/>
      <c r="AK318" s="140"/>
      <c r="AL318" s="140"/>
      <c r="AM318" s="140"/>
      <c r="AN318" s="140"/>
      <c r="AO318" s="140"/>
      <c r="AP318" s="384">
        <f t="shared" si="151"/>
        <v>0</v>
      </c>
      <c r="AQ318" s="136"/>
      <c r="AR318" s="136"/>
      <c r="AS318" s="136"/>
      <c r="AT318" s="385">
        <f t="shared" si="152"/>
        <v>0</v>
      </c>
      <c r="AU318" s="140"/>
      <c r="AV318" s="140"/>
      <c r="AW318" s="140"/>
      <c r="AX318" s="140"/>
      <c r="AY318" s="392"/>
      <c r="AZ318" s="432">
        <f t="shared" si="153"/>
        <v>0</v>
      </c>
      <c r="BA318" s="433"/>
      <c r="BB318" s="276"/>
      <c r="BC318" s="274"/>
      <c r="BD318" s="274"/>
      <c r="BE318" s="127"/>
      <c r="BF318" s="126"/>
      <c r="BG318" s="274"/>
      <c r="BH318" s="274"/>
      <c r="BI318" s="274"/>
      <c r="BJ318" s="274"/>
      <c r="BK318" s="389">
        <f t="shared" si="154"/>
        <v>0</v>
      </c>
      <c r="BL318" s="140">
        <f t="shared" si="155"/>
        <v>0</v>
      </c>
      <c r="BM318" s="132"/>
      <c r="BN318" s="140">
        <f t="shared" si="156"/>
        <v>0</v>
      </c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41"/>
      <c r="BY318" s="141"/>
      <c r="BZ318" s="141"/>
      <c r="CA318" s="141"/>
      <c r="CB318" s="390">
        <f t="shared" si="157"/>
        <v>0</v>
      </c>
      <c r="CC318" s="132"/>
    </row>
    <row r="319" ht="14.25" customHeight="1">
      <c r="A319" s="132"/>
      <c r="B319" s="215">
        <v>46308</v>
      </c>
      <c r="C319" s="133"/>
      <c r="D319" s="136"/>
      <c r="E319" s="135"/>
      <c r="F319" s="135"/>
      <c r="G319" s="445">
        <f t="shared" si="149"/>
        <v>0</v>
      </c>
      <c r="H319" s="140"/>
      <c r="I319" s="457"/>
      <c r="J319" s="454"/>
      <c r="K319" s="545"/>
      <c r="L319" s="545"/>
      <c r="M319" s="545"/>
      <c r="N319" s="140"/>
      <c r="O319" s="140"/>
      <c r="P319" s="456"/>
      <c r="Q319" s="456"/>
      <c r="R319" s="140"/>
      <c r="S319" s="140"/>
      <c r="T319" s="140"/>
      <c r="U319" s="140"/>
      <c r="V319" s="140"/>
      <c r="W319" s="140"/>
      <c r="X319" s="140"/>
      <c r="Y319" s="140"/>
      <c r="Z319" s="140"/>
      <c r="AA319" s="140"/>
      <c r="AB319" s="383">
        <f t="shared" si="150"/>
        <v>0</v>
      </c>
      <c r="AC319" s="140"/>
      <c r="AD319" s="140"/>
      <c r="AE319" s="140"/>
      <c r="AF319" s="140"/>
      <c r="AG319" s="140"/>
      <c r="AH319" s="140"/>
      <c r="AI319" s="140"/>
      <c r="AJ319" s="140"/>
      <c r="AK319" s="140"/>
      <c r="AL319" s="140"/>
      <c r="AM319" s="140"/>
      <c r="AN319" s="140"/>
      <c r="AO319" s="140"/>
      <c r="AP319" s="384">
        <f t="shared" si="151"/>
        <v>0</v>
      </c>
      <c r="AQ319" s="136"/>
      <c r="AR319" s="136"/>
      <c r="AS319" s="136"/>
      <c r="AT319" s="385">
        <f t="shared" si="152"/>
        <v>0</v>
      </c>
      <c r="AU319" s="140"/>
      <c r="AV319" s="140"/>
      <c r="AW319" s="140"/>
      <c r="AX319" s="140"/>
      <c r="AY319" s="392"/>
      <c r="AZ319" s="432">
        <f t="shared" si="153"/>
        <v>0</v>
      </c>
      <c r="BA319" s="433"/>
      <c r="BB319" s="276"/>
      <c r="BC319" s="274"/>
      <c r="BD319" s="274"/>
      <c r="BE319" s="127"/>
      <c r="BF319" s="126"/>
      <c r="BG319" s="274"/>
      <c r="BH319" s="274"/>
      <c r="BI319" s="274"/>
      <c r="BJ319" s="274"/>
      <c r="BK319" s="389">
        <f t="shared" si="154"/>
        <v>0</v>
      </c>
      <c r="BL319" s="140">
        <f t="shared" si="155"/>
        <v>0</v>
      </c>
      <c r="BM319" s="132"/>
      <c r="BN319" s="140">
        <f t="shared" si="156"/>
        <v>0</v>
      </c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41"/>
      <c r="BY319" s="141"/>
      <c r="BZ319" s="141"/>
      <c r="CA319" s="141"/>
      <c r="CB319" s="390">
        <f t="shared" si="157"/>
        <v>0</v>
      </c>
      <c r="CC319" s="132"/>
    </row>
    <row r="320" ht="14.25" customHeight="1">
      <c r="A320" s="132"/>
      <c r="B320" s="215">
        <v>46309</v>
      </c>
      <c r="C320" s="133"/>
      <c r="D320" s="136"/>
      <c r="E320" s="135"/>
      <c r="F320" s="135"/>
      <c r="G320" s="445">
        <f t="shared" si="149"/>
        <v>0</v>
      </c>
      <c r="H320" s="140"/>
      <c r="I320" s="457"/>
      <c r="J320" s="454"/>
      <c r="K320" s="140"/>
      <c r="L320" s="140"/>
      <c r="M320" s="140"/>
      <c r="N320" s="140"/>
      <c r="O320" s="140"/>
      <c r="P320" s="456"/>
      <c r="Q320" s="456"/>
      <c r="R320" s="140"/>
      <c r="S320" s="140"/>
      <c r="T320" s="140"/>
      <c r="U320" s="140"/>
      <c r="V320" s="140"/>
      <c r="W320" s="140"/>
      <c r="X320" s="140"/>
      <c r="Y320" s="140"/>
      <c r="Z320" s="140"/>
      <c r="AA320" s="140"/>
      <c r="AB320" s="383">
        <f t="shared" si="150"/>
        <v>0</v>
      </c>
      <c r="AC320" s="140"/>
      <c r="AD320" s="140"/>
      <c r="AE320" s="140"/>
      <c r="AF320" s="140"/>
      <c r="AG320" s="140"/>
      <c r="AH320" s="140"/>
      <c r="AI320" s="140"/>
      <c r="AJ320" s="140"/>
      <c r="AK320" s="140"/>
      <c r="AL320" s="140"/>
      <c r="AM320" s="140"/>
      <c r="AN320" s="140"/>
      <c r="AO320" s="140"/>
      <c r="AP320" s="384">
        <f t="shared" si="151"/>
        <v>0</v>
      </c>
      <c r="AQ320" s="136"/>
      <c r="AR320" s="136"/>
      <c r="AS320" s="136"/>
      <c r="AT320" s="385">
        <f t="shared" si="152"/>
        <v>0</v>
      </c>
      <c r="AU320" s="140"/>
      <c r="AV320" s="140"/>
      <c r="AW320" s="140"/>
      <c r="AX320" s="140"/>
      <c r="AY320" s="392"/>
      <c r="AZ320" s="432">
        <f t="shared" si="153"/>
        <v>0</v>
      </c>
      <c r="BA320" s="433"/>
      <c r="BB320" s="276"/>
      <c r="BC320" s="274"/>
      <c r="BD320" s="274"/>
      <c r="BE320" s="127"/>
      <c r="BF320" s="126"/>
      <c r="BG320" s="274"/>
      <c r="BH320" s="274"/>
      <c r="BI320" s="274"/>
      <c r="BJ320" s="274"/>
      <c r="BK320" s="389">
        <f t="shared" si="154"/>
        <v>0</v>
      </c>
      <c r="BL320" s="140">
        <f t="shared" si="155"/>
        <v>0</v>
      </c>
      <c r="BM320" s="132"/>
      <c r="BN320" s="140">
        <f t="shared" si="156"/>
        <v>0</v>
      </c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41"/>
      <c r="BY320" s="141"/>
      <c r="BZ320" s="141"/>
      <c r="CA320" s="141"/>
      <c r="CB320" s="390">
        <f t="shared" si="157"/>
        <v>0</v>
      </c>
      <c r="CC320" s="132"/>
    </row>
    <row r="321" ht="14.25" customHeight="1">
      <c r="A321" s="132"/>
      <c r="B321" s="215">
        <v>46310</v>
      </c>
      <c r="C321" s="133"/>
      <c r="D321" s="136"/>
      <c r="E321" s="135"/>
      <c r="F321" s="135"/>
      <c r="G321" s="445">
        <f t="shared" si="149"/>
        <v>0</v>
      </c>
      <c r="H321" s="140"/>
      <c r="I321" s="457"/>
      <c r="J321" s="454"/>
      <c r="K321" s="140"/>
      <c r="L321" s="140"/>
      <c r="M321" s="140"/>
      <c r="N321" s="140"/>
      <c r="O321" s="140"/>
      <c r="P321" s="456"/>
      <c r="Q321" s="456"/>
      <c r="R321" s="140"/>
      <c r="S321" s="140"/>
      <c r="T321" s="140"/>
      <c r="U321" s="140"/>
      <c r="V321" s="140"/>
      <c r="W321" s="140"/>
      <c r="X321" s="140"/>
      <c r="Y321" s="140"/>
      <c r="Z321" s="140"/>
      <c r="AA321" s="140"/>
      <c r="AB321" s="383">
        <f t="shared" si="150"/>
        <v>0</v>
      </c>
      <c r="AC321" s="140"/>
      <c r="AD321" s="140"/>
      <c r="AE321" s="140"/>
      <c r="AF321" s="140"/>
      <c r="AG321" s="140"/>
      <c r="AH321" s="140"/>
      <c r="AI321" s="140"/>
      <c r="AJ321" s="140"/>
      <c r="AK321" s="140"/>
      <c r="AL321" s="140"/>
      <c r="AM321" s="140"/>
      <c r="AN321" s="140"/>
      <c r="AO321" s="140"/>
      <c r="AP321" s="384">
        <f t="shared" si="151"/>
        <v>0</v>
      </c>
      <c r="AQ321" s="136"/>
      <c r="AR321" s="136"/>
      <c r="AS321" s="136"/>
      <c r="AT321" s="385">
        <f t="shared" si="152"/>
        <v>0</v>
      </c>
      <c r="AU321" s="140"/>
      <c r="AV321" s="140"/>
      <c r="AW321" s="140"/>
      <c r="AX321" s="140"/>
      <c r="AY321" s="392"/>
      <c r="AZ321" s="432">
        <f t="shared" si="153"/>
        <v>0</v>
      </c>
      <c r="BA321" s="433"/>
      <c r="BB321" s="276"/>
      <c r="BC321" s="274"/>
      <c r="BD321" s="274"/>
      <c r="BE321" s="127"/>
      <c r="BF321" s="126"/>
      <c r="BG321" s="274"/>
      <c r="BH321" s="274"/>
      <c r="BI321" s="274"/>
      <c r="BJ321" s="274"/>
      <c r="BK321" s="389">
        <f t="shared" si="154"/>
        <v>0</v>
      </c>
      <c r="BL321" s="140">
        <f t="shared" si="155"/>
        <v>0</v>
      </c>
      <c r="BM321" s="132"/>
      <c r="BN321" s="140">
        <f t="shared" si="156"/>
        <v>0</v>
      </c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41"/>
      <c r="BY321" s="141"/>
      <c r="BZ321" s="141"/>
      <c r="CA321" s="141"/>
      <c r="CB321" s="390">
        <f t="shared" si="157"/>
        <v>0</v>
      </c>
      <c r="CC321" s="132"/>
    </row>
    <row r="322" ht="14.25" customHeight="1">
      <c r="A322" s="132"/>
      <c r="B322" s="215">
        <v>46311</v>
      </c>
      <c r="C322" s="133"/>
      <c r="D322" s="136"/>
      <c r="E322" s="135"/>
      <c r="F322" s="135"/>
      <c r="G322" s="445">
        <f t="shared" si="149"/>
        <v>0</v>
      </c>
      <c r="H322" s="140"/>
      <c r="I322" s="457"/>
      <c r="J322" s="454"/>
      <c r="K322" s="140"/>
      <c r="L322" s="140"/>
      <c r="M322" s="140"/>
      <c r="N322" s="140"/>
      <c r="O322" s="140"/>
      <c r="P322" s="456"/>
      <c r="Q322" s="456"/>
      <c r="R322" s="140"/>
      <c r="S322" s="140"/>
      <c r="T322" s="140"/>
      <c r="U322" s="140"/>
      <c r="V322" s="140"/>
      <c r="W322" s="140"/>
      <c r="X322" s="140"/>
      <c r="Y322" s="140"/>
      <c r="Z322" s="140"/>
      <c r="AA322" s="140"/>
      <c r="AB322" s="383">
        <f t="shared" si="150"/>
        <v>0</v>
      </c>
      <c r="AC322" s="140"/>
      <c r="AD322" s="140"/>
      <c r="AE322" s="140"/>
      <c r="AF322" s="140"/>
      <c r="AG322" s="140"/>
      <c r="AH322" s="140"/>
      <c r="AI322" s="140"/>
      <c r="AJ322" s="140"/>
      <c r="AK322" s="140"/>
      <c r="AL322" s="140"/>
      <c r="AM322" s="140"/>
      <c r="AN322" s="140"/>
      <c r="AO322" s="140"/>
      <c r="AP322" s="384">
        <f t="shared" si="151"/>
        <v>0</v>
      </c>
      <c r="AQ322" s="136"/>
      <c r="AR322" s="136"/>
      <c r="AS322" s="136"/>
      <c r="AT322" s="385">
        <f t="shared" si="152"/>
        <v>0</v>
      </c>
      <c r="AU322" s="140"/>
      <c r="AV322" s="140"/>
      <c r="AW322" s="140"/>
      <c r="AX322" s="140"/>
      <c r="AY322" s="392"/>
      <c r="AZ322" s="432">
        <f t="shared" si="153"/>
        <v>0</v>
      </c>
      <c r="BA322" s="433"/>
      <c r="BB322" s="276"/>
      <c r="BC322" s="274"/>
      <c r="BD322" s="274"/>
      <c r="BE322" s="127"/>
      <c r="BF322" s="126"/>
      <c r="BG322" s="274"/>
      <c r="BH322" s="274"/>
      <c r="BI322" s="274"/>
      <c r="BJ322" s="274"/>
      <c r="BK322" s="389">
        <f t="shared" si="154"/>
        <v>0</v>
      </c>
      <c r="BL322" s="140">
        <f t="shared" si="155"/>
        <v>0</v>
      </c>
      <c r="BM322" s="132"/>
      <c r="BN322" s="140">
        <f t="shared" si="156"/>
        <v>0</v>
      </c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41"/>
      <c r="BY322" s="141"/>
      <c r="BZ322" s="141"/>
      <c r="CA322" s="141"/>
      <c r="CB322" s="390">
        <f t="shared" si="157"/>
        <v>0</v>
      </c>
      <c r="CC322" s="132"/>
    </row>
    <row r="323" ht="14.25" customHeight="1">
      <c r="A323" s="132"/>
      <c r="B323" s="215">
        <v>46312</v>
      </c>
      <c r="C323" s="133"/>
      <c r="D323" s="136"/>
      <c r="E323" s="135"/>
      <c r="F323" s="135"/>
      <c r="G323" s="445">
        <f t="shared" si="149"/>
        <v>0</v>
      </c>
      <c r="H323" s="140"/>
      <c r="I323" s="457"/>
      <c r="J323" s="454"/>
      <c r="K323" s="545"/>
      <c r="L323" s="545"/>
      <c r="M323" s="545"/>
      <c r="N323" s="140"/>
      <c r="O323" s="140"/>
      <c r="P323" s="456"/>
      <c r="Q323" s="456"/>
      <c r="R323" s="140"/>
      <c r="S323" s="140"/>
      <c r="T323" s="140"/>
      <c r="U323" s="140"/>
      <c r="V323" s="140"/>
      <c r="W323" s="140"/>
      <c r="X323" s="140"/>
      <c r="Y323" s="140"/>
      <c r="Z323" s="140"/>
      <c r="AA323" s="140"/>
      <c r="AB323" s="383">
        <f t="shared" si="150"/>
        <v>0</v>
      </c>
      <c r="AC323" s="140"/>
      <c r="AD323" s="140"/>
      <c r="AE323" s="140"/>
      <c r="AF323" s="140"/>
      <c r="AG323" s="140"/>
      <c r="AH323" s="140"/>
      <c r="AI323" s="140"/>
      <c r="AJ323" s="140"/>
      <c r="AK323" s="140"/>
      <c r="AL323" s="140"/>
      <c r="AM323" s="140"/>
      <c r="AN323" s="140"/>
      <c r="AO323" s="140"/>
      <c r="AP323" s="384">
        <f t="shared" si="151"/>
        <v>0</v>
      </c>
      <c r="AQ323" s="136"/>
      <c r="AR323" s="136"/>
      <c r="AS323" s="136"/>
      <c r="AT323" s="385">
        <f t="shared" si="152"/>
        <v>0</v>
      </c>
      <c r="AU323" s="140"/>
      <c r="AV323" s="140"/>
      <c r="AW323" s="140"/>
      <c r="AX323" s="140"/>
      <c r="AY323" s="392"/>
      <c r="AZ323" s="432">
        <f t="shared" si="153"/>
        <v>0</v>
      </c>
      <c r="BA323" s="433"/>
      <c r="BB323" s="276"/>
      <c r="BC323" s="274"/>
      <c r="BD323" s="274"/>
      <c r="BE323" s="127"/>
      <c r="BF323" s="126"/>
      <c r="BG323" s="274"/>
      <c r="BH323" s="274"/>
      <c r="BI323" s="274"/>
      <c r="BJ323" s="274"/>
      <c r="BK323" s="389">
        <f t="shared" si="154"/>
        <v>0</v>
      </c>
      <c r="BL323" s="140">
        <f t="shared" si="155"/>
        <v>0</v>
      </c>
      <c r="BM323" s="132"/>
      <c r="BN323" s="140">
        <f t="shared" si="156"/>
        <v>0</v>
      </c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41"/>
      <c r="BY323" s="141"/>
      <c r="BZ323" s="141"/>
      <c r="CA323" s="141"/>
      <c r="CB323" s="390">
        <f t="shared" si="157"/>
        <v>0</v>
      </c>
      <c r="CC323" s="132"/>
    </row>
    <row r="324" ht="14.25" customHeight="1">
      <c r="A324" s="132"/>
      <c r="B324" s="215">
        <v>46313</v>
      </c>
      <c r="C324" s="133"/>
      <c r="D324" s="136"/>
      <c r="E324" s="135"/>
      <c r="F324" s="135"/>
      <c r="G324" s="445">
        <f t="shared" si="149"/>
        <v>0</v>
      </c>
      <c r="H324" s="140"/>
      <c r="I324" s="457"/>
      <c r="J324" s="454"/>
      <c r="K324" s="140"/>
      <c r="L324" s="140"/>
      <c r="M324" s="140"/>
      <c r="N324" s="140"/>
      <c r="O324" s="140"/>
      <c r="P324" s="456"/>
      <c r="Q324" s="456"/>
      <c r="R324" s="140"/>
      <c r="S324" s="140"/>
      <c r="T324" s="140"/>
      <c r="U324" s="140"/>
      <c r="V324" s="140"/>
      <c r="W324" s="140"/>
      <c r="X324" s="140"/>
      <c r="Y324" s="140"/>
      <c r="Z324" s="140"/>
      <c r="AA324" s="140"/>
      <c r="AB324" s="383">
        <f>SUM(H324:AA324)</f>
        <v>0</v>
      </c>
      <c r="AC324" s="140"/>
      <c r="AD324" s="140"/>
      <c r="AE324" s="140"/>
      <c r="AF324" s="140"/>
      <c r="AG324" s="140"/>
      <c r="AH324" s="140"/>
      <c r="AI324" s="140"/>
      <c r="AJ324" s="140"/>
      <c r="AK324" s="140"/>
      <c r="AL324" s="140"/>
      <c r="AM324" s="140"/>
      <c r="AN324" s="140"/>
      <c r="AO324" s="140"/>
      <c r="AP324" s="384">
        <f t="shared" si="151"/>
        <v>0</v>
      </c>
      <c r="AQ324" s="136"/>
      <c r="AR324" s="136"/>
      <c r="AS324" s="136"/>
      <c r="AT324" s="385">
        <f t="shared" si="152"/>
        <v>0</v>
      </c>
      <c r="AU324" s="140"/>
      <c r="AV324" s="140"/>
      <c r="AW324" s="140"/>
      <c r="AX324" s="140"/>
      <c r="AY324" s="392"/>
      <c r="AZ324" s="432">
        <f t="shared" si="153"/>
        <v>0</v>
      </c>
      <c r="BA324" s="433"/>
      <c r="BB324" s="276"/>
      <c r="BC324" s="274"/>
      <c r="BD324" s="274"/>
      <c r="BE324" s="127"/>
      <c r="BF324" s="126"/>
      <c r="BG324" s="274"/>
      <c r="BH324" s="274"/>
      <c r="BI324" s="274"/>
      <c r="BJ324" s="274"/>
      <c r="BK324" s="389">
        <f t="shared" si="154"/>
        <v>0</v>
      </c>
      <c r="BL324" s="140">
        <f t="shared" si="155"/>
        <v>0</v>
      </c>
      <c r="BM324" s="132"/>
      <c r="BN324" s="140">
        <f t="shared" si="156"/>
        <v>0</v>
      </c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41"/>
      <c r="BY324" s="141"/>
      <c r="BZ324" s="141"/>
      <c r="CA324" s="141"/>
      <c r="CB324" s="390">
        <f t="shared" si="157"/>
        <v>0</v>
      </c>
      <c r="CC324" s="132"/>
    </row>
    <row r="325" ht="14.25" customHeight="1">
      <c r="A325" s="132"/>
      <c r="B325" s="215">
        <v>46314</v>
      </c>
      <c r="C325" s="133"/>
      <c r="D325" s="136"/>
      <c r="E325" s="135"/>
      <c r="F325" s="135"/>
      <c r="G325" s="445">
        <f t="shared" si="149"/>
        <v>0</v>
      </c>
      <c r="H325" s="140"/>
      <c r="I325" s="457"/>
      <c r="J325" s="454"/>
      <c r="K325" s="140"/>
      <c r="L325" s="140"/>
      <c r="M325" s="140"/>
      <c r="N325" s="140"/>
      <c r="O325" s="140"/>
      <c r="P325" s="456"/>
      <c r="Q325" s="456"/>
      <c r="R325" s="140"/>
      <c r="S325" s="140"/>
      <c r="T325" s="140"/>
      <c r="U325" s="140"/>
      <c r="V325" s="140"/>
      <c r="W325" s="140"/>
      <c r="X325" s="140"/>
      <c r="Y325" s="140"/>
      <c r="Z325" s="140"/>
      <c r="AA325" s="140"/>
      <c r="AB325" s="383">
        <f ref="AB325:AB337" t="shared" si="158">SUM(I325:Y325)</f>
        <v>0</v>
      </c>
      <c r="AC325" s="140"/>
      <c r="AD325" s="140"/>
      <c r="AE325" s="140"/>
      <c r="AF325" s="140"/>
      <c r="AG325" s="140"/>
      <c r="AH325" s="140"/>
      <c r="AI325" s="140"/>
      <c r="AJ325" s="140"/>
      <c r="AK325" s="140"/>
      <c r="AL325" s="140"/>
      <c r="AM325" s="140"/>
      <c r="AN325" s="140"/>
      <c r="AO325" s="140"/>
      <c r="AP325" s="384">
        <f t="shared" si="151"/>
        <v>0</v>
      </c>
      <c r="AQ325" s="136"/>
      <c r="AR325" s="136"/>
      <c r="AS325" s="136"/>
      <c r="AT325" s="385">
        <f t="shared" si="152"/>
        <v>0</v>
      </c>
      <c r="AU325" s="140"/>
      <c r="AV325" s="140"/>
      <c r="AW325" s="140"/>
      <c r="AX325" s="140"/>
      <c r="AY325" s="392"/>
      <c r="AZ325" s="432">
        <f t="shared" si="153"/>
        <v>0</v>
      </c>
      <c r="BA325" s="433"/>
      <c r="BB325" s="276"/>
      <c r="BC325" s="274"/>
      <c r="BD325" s="274"/>
      <c r="BE325" s="127"/>
      <c r="BF325" s="126"/>
      <c r="BG325" s="274"/>
      <c r="BH325" s="274"/>
      <c r="BI325" s="274"/>
      <c r="BJ325" s="274"/>
      <c r="BK325" s="389">
        <f t="shared" si="154"/>
        <v>0</v>
      </c>
      <c r="BL325" s="140">
        <f t="shared" si="155"/>
        <v>0</v>
      </c>
      <c r="BM325" s="132"/>
      <c r="BN325" s="140">
        <f t="shared" si="156"/>
        <v>0</v>
      </c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41"/>
      <c r="BY325" s="141"/>
      <c r="BZ325" s="141"/>
      <c r="CA325" s="141"/>
      <c r="CB325" s="390">
        <f t="shared" si="157"/>
        <v>0</v>
      </c>
      <c r="CC325" s="132"/>
    </row>
    <row r="326" ht="14.25" customHeight="1">
      <c r="A326" s="132"/>
      <c r="B326" s="215">
        <v>46315</v>
      </c>
      <c r="C326" s="133"/>
      <c r="D326" s="136"/>
      <c r="E326" s="135"/>
      <c r="F326" s="135"/>
      <c r="G326" s="445">
        <f t="shared" si="149"/>
        <v>0</v>
      </c>
      <c r="H326" s="140"/>
      <c r="I326" s="457"/>
      <c r="J326" s="454"/>
      <c r="K326" s="140"/>
      <c r="L326" s="140"/>
      <c r="M326" s="140"/>
      <c r="N326" s="140"/>
      <c r="O326" s="140"/>
      <c r="P326" s="456"/>
      <c r="Q326" s="456"/>
      <c r="R326" s="140"/>
      <c r="S326" s="140"/>
      <c r="T326" s="140"/>
      <c r="U326" s="140"/>
      <c r="V326" s="140"/>
      <c r="W326" s="140"/>
      <c r="X326" s="140"/>
      <c r="Y326" s="140"/>
      <c r="Z326" s="140"/>
      <c r="AA326" s="140"/>
      <c r="AB326" s="383">
        <f t="shared" si="158"/>
        <v>0</v>
      </c>
      <c r="AC326" s="140"/>
      <c r="AD326" s="140"/>
      <c r="AE326" s="140"/>
      <c r="AF326" s="140"/>
      <c r="AG326" s="140"/>
      <c r="AH326" s="140"/>
      <c r="AI326" s="140"/>
      <c r="AJ326" s="140"/>
      <c r="AK326" s="140"/>
      <c r="AL326" s="140"/>
      <c r="AM326" s="140"/>
      <c r="AN326" s="140"/>
      <c r="AO326" s="140"/>
      <c r="AP326" s="384">
        <f t="shared" si="151"/>
        <v>0</v>
      </c>
      <c r="AQ326" s="136"/>
      <c r="AR326" s="136"/>
      <c r="AS326" s="136"/>
      <c r="AT326" s="385">
        <f t="shared" si="152"/>
        <v>0</v>
      </c>
      <c r="AU326" s="140"/>
      <c r="AV326" s="140"/>
      <c r="AW326" s="140"/>
      <c r="AX326" s="140"/>
      <c r="AY326" s="392"/>
      <c r="AZ326" s="432">
        <f t="shared" si="153"/>
        <v>0</v>
      </c>
      <c r="BA326" s="433"/>
      <c r="BB326" s="276"/>
      <c r="BC326" s="274"/>
      <c r="BD326" s="274"/>
      <c r="BE326" s="127"/>
      <c r="BF326" s="126"/>
      <c r="BG326" s="274"/>
      <c r="BH326" s="274"/>
      <c r="BI326" s="274"/>
      <c r="BJ326" s="274"/>
      <c r="BK326" s="389">
        <f t="shared" si="154"/>
        <v>0</v>
      </c>
      <c r="BL326" s="140">
        <f t="shared" si="155"/>
        <v>0</v>
      </c>
      <c r="BM326" s="132"/>
      <c r="BN326" s="140">
        <f t="shared" si="156"/>
        <v>0</v>
      </c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41"/>
      <c r="BY326" s="141"/>
      <c r="BZ326" s="141"/>
      <c r="CA326" s="141"/>
      <c r="CB326" s="390">
        <f t="shared" si="157"/>
        <v>0</v>
      </c>
      <c r="CC326" s="132"/>
    </row>
    <row r="327" ht="14.25" customHeight="1">
      <c r="A327" s="132"/>
      <c r="B327" s="215">
        <v>46316</v>
      </c>
      <c r="C327" s="133"/>
      <c r="D327" s="136"/>
      <c r="E327" s="135"/>
      <c r="F327" s="135"/>
      <c r="G327" s="445">
        <f t="shared" si="149"/>
        <v>0</v>
      </c>
      <c r="H327" s="140"/>
      <c r="I327" s="457"/>
      <c r="J327" s="454"/>
      <c r="K327" s="140"/>
      <c r="L327" s="140"/>
      <c r="M327" s="140"/>
      <c r="N327" s="140"/>
      <c r="O327" s="140"/>
      <c r="P327" s="456"/>
      <c r="Q327" s="456"/>
      <c r="R327" s="140"/>
      <c r="S327" s="140"/>
      <c r="T327" s="140"/>
      <c r="U327" s="140"/>
      <c r="V327" s="140"/>
      <c r="W327" s="140"/>
      <c r="X327" s="140"/>
      <c r="Y327" s="140"/>
      <c r="Z327" s="140"/>
      <c r="AA327" s="140"/>
      <c r="AB327" s="383">
        <f t="shared" si="158"/>
        <v>0</v>
      </c>
      <c r="AC327" s="140"/>
      <c r="AD327" s="140"/>
      <c r="AE327" s="140"/>
      <c r="AF327" s="140"/>
      <c r="AG327" s="140"/>
      <c r="AH327" s="140"/>
      <c r="AI327" s="140"/>
      <c r="AJ327" s="140"/>
      <c r="AK327" s="140"/>
      <c r="AL327" s="140"/>
      <c r="AM327" s="140"/>
      <c r="AN327" s="140"/>
      <c r="AO327" s="140"/>
      <c r="AP327" s="384">
        <f t="shared" si="151"/>
        <v>0</v>
      </c>
      <c r="AQ327" s="136"/>
      <c r="AR327" s="136"/>
      <c r="AS327" s="136"/>
      <c r="AT327" s="385">
        <f t="shared" si="152"/>
        <v>0</v>
      </c>
      <c r="AU327" s="140"/>
      <c r="AV327" s="140"/>
      <c r="AW327" s="140"/>
      <c r="AX327" s="140"/>
      <c r="AY327" s="392"/>
      <c r="AZ327" s="432">
        <f t="shared" si="153"/>
        <v>0</v>
      </c>
      <c r="BA327" s="433"/>
      <c r="BB327" s="276"/>
      <c r="BC327" s="274"/>
      <c r="BD327" s="274"/>
      <c r="BE327" s="127"/>
      <c r="BF327" s="126"/>
      <c r="BG327" s="274"/>
      <c r="BH327" s="274"/>
      <c r="BI327" s="274"/>
      <c r="BJ327" s="274"/>
      <c r="BK327" s="389">
        <f t="shared" si="154"/>
        <v>0</v>
      </c>
      <c r="BL327" s="140">
        <f t="shared" si="155"/>
        <v>0</v>
      </c>
      <c r="BM327" s="132"/>
      <c r="BN327" s="140">
        <f t="shared" si="156"/>
        <v>0</v>
      </c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41"/>
      <c r="BY327" s="141"/>
      <c r="BZ327" s="141"/>
      <c r="CA327" s="141"/>
      <c r="CB327" s="390">
        <f t="shared" si="157"/>
        <v>0</v>
      </c>
      <c r="CC327" s="132"/>
    </row>
    <row r="328" ht="14.25" customHeight="1">
      <c r="A328" s="132"/>
      <c r="B328" s="215">
        <v>46317</v>
      </c>
      <c r="C328" s="133"/>
      <c r="D328" s="136"/>
      <c r="E328" s="135"/>
      <c r="F328" s="135"/>
      <c r="G328" s="445">
        <f t="shared" si="149"/>
        <v>0</v>
      </c>
      <c r="H328" s="140"/>
      <c r="I328" s="457"/>
      <c r="J328" s="454"/>
      <c r="K328" s="140"/>
      <c r="L328" s="140"/>
      <c r="M328" s="140"/>
      <c r="N328" s="140"/>
      <c r="O328" s="140"/>
      <c r="P328" s="456"/>
      <c r="Q328" s="456"/>
      <c r="R328" s="140"/>
      <c r="S328" s="140"/>
      <c r="T328" s="140"/>
      <c r="U328" s="140"/>
      <c r="V328" s="140"/>
      <c r="W328" s="140"/>
      <c r="X328" s="140"/>
      <c r="Y328" s="140"/>
      <c r="Z328" s="140"/>
      <c r="AA328" s="140"/>
      <c r="AB328" s="383">
        <f t="shared" si="158"/>
        <v>0</v>
      </c>
      <c r="AC328" s="140"/>
      <c r="AD328" s="140"/>
      <c r="AE328" s="140"/>
      <c r="AF328" s="140"/>
      <c r="AG328" s="140"/>
      <c r="AH328" s="140"/>
      <c r="AI328" s="140"/>
      <c r="AJ328" s="140"/>
      <c r="AK328" s="140"/>
      <c r="AL328" s="140"/>
      <c r="AM328" s="140"/>
      <c r="AN328" s="140"/>
      <c r="AO328" s="140"/>
      <c r="AP328" s="384">
        <f t="shared" si="151"/>
        <v>0</v>
      </c>
      <c r="AQ328" s="136"/>
      <c r="AR328" s="136"/>
      <c r="AS328" s="136"/>
      <c r="AT328" s="385">
        <f t="shared" si="152"/>
        <v>0</v>
      </c>
      <c r="AU328" s="140"/>
      <c r="AV328" s="140"/>
      <c r="AW328" s="140"/>
      <c r="AX328" s="140"/>
      <c r="AY328" s="392"/>
      <c r="AZ328" s="432">
        <f t="shared" si="153"/>
        <v>0</v>
      </c>
      <c r="BA328" s="433"/>
      <c r="BB328" s="276"/>
      <c r="BC328" s="274"/>
      <c r="BD328" s="274"/>
      <c r="BE328" s="127"/>
      <c r="BF328" s="126"/>
      <c r="BG328" s="274"/>
      <c r="BH328" s="274"/>
      <c r="BI328" s="274"/>
      <c r="BJ328" s="274"/>
      <c r="BK328" s="389">
        <f t="shared" si="154"/>
        <v>0</v>
      </c>
      <c r="BL328" s="140">
        <f t="shared" si="155"/>
        <v>0</v>
      </c>
      <c r="BM328" s="132"/>
      <c r="BN328" s="140">
        <f t="shared" si="156"/>
        <v>0</v>
      </c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41"/>
      <c r="BY328" s="141"/>
      <c r="BZ328" s="141"/>
      <c r="CA328" s="141"/>
      <c r="CB328" s="390">
        <f t="shared" si="157"/>
        <v>0</v>
      </c>
      <c r="CC328" s="132"/>
    </row>
    <row r="329" ht="14.25" customHeight="1">
      <c r="A329" s="132"/>
      <c r="B329" s="215">
        <v>46318</v>
      </c>
      <c r="C329" s="133"/>
      <c r="D329" s="136"/>
      <c r="E329" s="135"/>
      <c r="F329" s="135"/>
      <c r="G329" s="445">
        <f t="shared" si="149"/>
        <v>0</v>
      </c>
      <c r="H329" s="140"/>
      <c r="I329" s="457"/>
      <c r="J329" s="454"/>
      <c r="K329" s="140"/>
      <c r="L329" s="140"/>
      <c r="M329" s="140"/>
      <c r="N329" s="140"/>
      <c r="O329" s="140"/>
      <c r="P329" s="456"/>
      <c r="Q329" s="456"/>
      <c r="R329" s="140"/>
      <c r="S329" s="140"/>
      <c r="T329" s="140"/>
      <c r="U329" s="140"/>
      <c r="V329" s="140"/>
      <c r="W329" s="140"/>
      <c r="X329" s="140"/>
      <c r="Y329" s="140"/>
      <c r="Z329" s="140"/>
      <c r="AA329" s="140"/>
      <c r="AB329" s="383">
        <f t="shared" si="158"/>
        <v>0</v>
      </c>
      <c r="AC329" s="140"/>
      <c r="AD329" s="140"/>
      <c r="AE329" s="140"/>
      <c r="AF329" s="140"/>
      <c r="AG329" s="140"/>
      <c r="AH329" s="140"/>
      <c r="AI329" s="140"/>
      <c r="AJ329" s="140"/>
      <c r="AK329" s="140"/>
      <c r="AL329" s="140"/>
      <c r="AM329" s="140"/>
      <c r="AN329" s="140"/>
      <c r="AO329" s="140"/>
      <c r="AP329" s="384">
        <f t="shared" si="151"/>
        <v>0</v>
      </c>
      <c r="AQ329" s="136"/>
      <c r="AR329" s="136"/>
      <c r="AS329" s="136"/>
      <c r="AT329" s="385">
        <f t="shared" si="152"/>
        <v>0</v>
      </c>
      <c r="AU329" s="140"/>
      <c r="AV329" s="140"/>
      <c r="AW329" s="140"/>
      <c r="AX329" s="140"/>
      <c r="AY329" s="392"/>
      <c r="AZ329" s="432">
        <f t="shared" si="153"/>
        <v>0</v>
      </c>
      <c r="BA329" s="433"/>
      <c r="BB329" s="276"/>
      <c r="BC329" s="274"/>
      <c r="BD329" s="274"/>
      <c r="BE329" s="127"/>
      <c r="BF329" s="126"/>
      <c r="BG329" s="274"/>
      <c r="BH329" s="274"/>
      <c r="BI329" s="274"/>
      <c r="BJ329" s="274"/>
      <c r="BK329" s="389">
        <f t="shared" si="154"/>
        <v>0</v>
      </c>
      <c r="BL329" s="140">
        <f t="shared" si="155"/>
        <v>0</v>
      </c>
      <c r="BM329" s="132"/>
      <c r="BN329" s="140">
        <f t="shared" si="156"/>
        <v>0</v>
      </c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41"/>
      <c r="BY329" s="141"/>
      <c r="BZ329" s="141"/>
      <c r="CA329" s="141"/>
      <c r="CB329" s="390">
        <f t="shared" si="157"/>
        <v>0</v>
      </c>
      <c r="CC329" s="132"/>
    </row>
    <row r="330" ht="14.25" customHeight="1">
      <c r="A330" s="132"/>
      <c r="B330" s="215">
        <v>46319</v>
      </c>
      <c r="C330" s="133"/>
      <c r="D330" s="136"/>
      <c r="E330" s="135"/>
      <c r="F330" s="135"/>
      <c r="G330" s="445">
        <f t="shared" si="149"/>
        <v>0</v>
      </c>
      <c r="H330" s="140"/>
      <c r="I330" s="457"/>
      <c r="J330" s="454"/>
      <c r="K330" s="545"/>
      <c r="L330" s="545"/>
      <c r="M330" s="140"/>
      <c r="N330" s="140"/>
      <c r="O330" s="140"/>
      <c r="P330" s="456"/>
      <c r="Q330" s="456"/>
      <c r="R330" s="140"/>
      <c r="S330" s="140"/>
      <c r="T330" s="140"/>
      <c r="U330" s="140"/>
      <c r="V330" s="140"/>
      <c r="W330" s="140"/>
      <c r="X330" s="140"/>
      <c r="Y330" s="140"/>
      <c r="Z330" s="140"/>
      <c r="AA330" s="140"/>
      <c r="AB330" s="383">
        <f t="shared" si="158"/>
        <v>0</v>
      </c>
      <c r="AC330" s="140"/>
      <c r="AD330" s="140"/>
      <c r="AE330" s="140"/>
      <c r="AF330" s="140"/>
      <c r="AG330" s="140"/>
      <c r="AH330" s="140"/>
      <c r="AI330" s="140"/>
      <c r="AJ330" s="140"/>
      <c r="AK330" s="140"/>
      <c r="AL330" s="140"/>
      <c r="AM330" s="140"/>
      <c r="AN330" s="140"/>
      <c r="AO330" s="140"/>
      <c r="AP330" s="384">
        <f t="shared" si="151"/>
        <v>0</v>
      </c>
      <c r="AQ330" s="136"/>
      <c r="AR330" s="136"/>
      <c r="AS330" s="136"/>
      <c r="AT330" s="385">
        <f t="shared" si="152"/>
        <v>0</v>
      </c>
      <c r="AU330" s="140"/>
      <c r="AV330" s="140"/>
      <c r="AW330" s="140"/>
      <c r="AX330" s="140"/>
      <c r="AY330" s="392"/>
      <c r="AZ330" s="432">
        <f t="shared" si="153"/>
        <v>0</v>
      </c>
      <c r="BA330" s="433"/>
      <c r="BB330" s="276"/>
      <c r="BC330" s="274"/>
      <c r="BD330" s="274"/>
      <c r="BE330" s="127"/>
      <c r="BF330" s="126"/>
      <c r="BG330" s="274"/>
      <c r="BH330" s="274"/>
      <c r="BI330" s="274"/>
      <c r="BJ330" s="274"/>
      <c r="BK330" s="389">
        <f t="shared" si="154"/>
        <v>0</v>
      </c>
      <c r="BL330" s="140">
        <f t="shared" si="155"/>
        <v>0</v>
      </c>
      <c r="BM330" s="132"/>
      <c r="BN330" s="140">
        <f t="shared" si="156"/>
        <v>0</v>
      </c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41"/>
      <c r="BY330" s="141"/>
      <c r="BZ330" s="141"/>
      <c r="CA330" s="141"/>
      <c r="CB330" s="390">
        <f t="shared" si="157"/>
        <v>0</v>
      </c>
      <c r="CC330" s="132"/>
    </row>
    <row r="331" ht="14.25" customHeight="1">
      <c r="A331" s="132"/>
      <c r="B331" s="215">
        <v>46320</v>
      </c>
      <c r="C331" s="133"/>
      <c r="D331" s="136"/>
      <c r="E331" s="135"/>
      <c r="F331" s="135"/>
      <c r="G331" s="445">
        <f t="shared" si="149"/>
        <v>0</v>
      </c>
      <c r="H331" s="140"/>
      <c r="I331" s="457"/>
      <c r="J331" s="454"/>
      <c r="K331" s="140"/>
      <c r="L331" s="140"/>
      <c r="M331" s="140"/>
      <c r="N331" s="140"/>
      <c r="O331" s="140"/>
      <c r="P331" s="456"/>
      <c r="Q331" s="456"/>
      <c r="R331" s="140"/>
      <c r="S331" s="140"/>
      <c r="T331" s="140"/>
      <c r="U331" s="140"/>
      <c r="V331" s="140"/>
      <c r="W331" s="140"/>
      <c r="X331" s="140"/>
      <c r="Y331" s="140"/>
      <c r="Z331" s="140"/>
      <c r="AA331" s="140"/>
      <c r="AB331" s="383">
        <f t="shared" si="158"/>
        <v>0</v>
      </c>
      <c r="AC331" s="140"/>
      <c r="AD331" s="140"/>
      <c r="AE331" s="140"/>
      <c r="AF331" s="140"/>
      <c r="AG331" s="140"/>
      <c r="AH331" s="140"/>
      <c r="AI331" s="140"/>
      <c r="AJ331" s="140"/>
      <c r="AK331" s="140"/>
      <c r="AL331" s="140"/>
      <c r="AM331" s="140"/>
      <c r="AN331" s="140"/>
      <c r="AO331" s="140"/>
      <c r="AP331" s="384">
        <f t="shared" si="151"/>
        <v>0</v>
      </c>
      <c r="AQ331" s="136"/>
      <c r="AR331" s="136"/>
      <c r="AS331" s="136"/>
      <c r="AT331" s="385">
        <f t="shared" si="152"/>
        <v>0</v>
      </c>
      <c r="AU331" s="140"/>
      <c r="AV331" s="140"/>
      <c r="AW331" s="140"/>
      <c r="AX331" s="140"/>
      <c r="AY331" s="392"/>
      <c r="AZ331" s="432">
        <f t="shared" si="153"/>
        <v>0</v>
      </c>
      <c r="BA331" s="433"/>
      <c r="BB331" s="276"/>
      <c r="BC331" s="274"/>
      <c r="BD331" s="274"/>
      <c r="BE331" s="127"/>
      <c r="BF331" s="126"/>
      <c r="BG331" s="274"/>
      <c r="BH331" s="274"/>
      <c r="BI331" s="274"/>
      <c r="BJ331" s="274"/>
      <c r="BK331" s="389">
        <f t="shared" si="154"/>
        <v>0</v>
      </c>
      <c r="BL331" s="140">
        <f t="shared" si="155"/>
        <v>0</v>
      </c>
      <c r="BM331" s="132"/>
      <c r="BN331" s="140">
        <f t="shared" si="156"/>
        <v>0</v>
      </c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41"/>
      <c r="BY331" s="141"/>
      <c r="BZ331" s="141"/>
      <c r="CA331" s="141"/>
      <c r="CB331" s="390">
        <f t="shared" si="157"/>
        <v>0</v>
      </c>
      <c r="CC331" s="132"/>
    </row>
    <row r="332" ht="14.25" customHeight="1">
      <c r="A332" s="132"/>
      <c r="B332" s="215">
        <v>46321</v>
      </c>
      <c r="C332" s="133"/>
      <c r="D332" s="136"/>
      <c r="E332" s="135"/>
      <c r="F332" s="135"/>
      <c r="G332" s="445">
        <f t="shared" si="149"/>
        <v>0</v>
      </c>
      <c r="H332" s="140"/>
      <c r="I332" s="457"/>
      <c r="J332" s="454"/>
      <c r="K332" s="549"/>
      <c r="L332" s="549"/>
      <c r="M332" s="140"/>
      <c r="N332" s="140"/>
      <c r="O332" s="140"/>
      <c r="P332" s="379"/>
      <c r="Q332" s="379"/>
      <c r="R332" s="140"/>
      <c r="S332" s="140"/>
      <c r="T332" s="140"/>
      <c r="U332" s="140"/>
      <c r="V332" s="140"/>
      <c r="W332" s="140"/>
      <c r="X332" s="140"/>
      <c r="Y332" s="140"/>
      <c r="Z332" s="140"/>
      <c r="AA332" s="140"/>
      <c r="AB332" s="383">
        <f t="shared" si="158"/>
        <v>0</v>
      </c>
      <c r="AC332" s="140"/>
      <c r="AD332" s="140"/>
      <c r="AE332" s="140"/>
      <c r="AF332" s="140"/>
      <c r="AG332" s="140"/>
      <c r="AH332" s="140"/>
      <c r="AI332" s="140"/>
      <c r="AJ332" s="140"/>
      <c r="AK332" s="140"/>
      <c r="AL332" s="140"/>
      <c r="AM332" s="140"/>
      <c r="AN332" s="140"/>
      <c r="AO332" s="140"/>
      <c r="AP332" s="384">
        <f t="shared" si="151"/>
        <v>0</v>
      </c>
      <c r="AQ332" s="136"/>
      <c r="AR332" s="136"/>
      <c r="AS332" s="136"/>
      <c r="AT332" s="385">
        <f t="shared" si="152"/>
        <v>0</v>
      </c>
      <c r="AU332" s="140"/>
      <c r="AV332" s="140"/>
      <c r="AW332" s="140"/>
      <c r="AX332" s="140"/>
      <c r="AY332" s="392"/>
      <c r="AZ332" s="432">
        <f t="shared" si="153"/>
        <v>0</v>
      </c>
      <c r="BA332" s="433"/>
      <c r="BB332" s="276"/>
      <c r="BC332" s="274"/>
      <c r="BD332" s="274"/>
      <c r="BE332" s="127"/>
      <c r="BF332" s="126"/>
      <c r="BG332" s="274"/>
      <c r="BH332" s="274"/>
      <c r="BI332" s="274"/>
      <c r="BJ332" s="274"/>
      <c r="BK332" s="389">
        <f t="shared" si="154"/>
        <v>0</v>
      </c>
      <c r="BL332" s="140">
        <f t="shared" si="155"/>
        <v>0</v>
      </c>
      <c r="BM332" s="132"/>
      <c r="BN332" s="140">
        <f t="shared" si="156"/>
        <v>0</v>
      </c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41"/>
      <c r="BY332" s="141"/>
      <c r="BZ332" s="141"/>
      <c r="CA332" s="141"/>
      <c r="CB332" s="390">
        <f t="shared" si="157"/>
        <v>0</v>
      </c>
      <c r="CC332" s="132"/>
    </row>
    <row r="333" ht="17.25" customHeight="1">
      <c r="A333" s="132"/>
      <c r="B333" s="215">
        <v>46322</v>
      </c>
      <c r="C333" s="133"/>
      <c r="D333" s="136"/>
      <c r="E333" s="135"/>
      <c r="F333" s="135"/>
      <c r="G333" s="445">
        <f t="shared" si="149"/>
        <v>0</v>
      </c>
      <c r="H333" s="140"/>
      <c r="I333" s="457"/>
      <c r="J333" s="454"/>
      <c r="K333" s="140"/>
      <c r="L333" s="140"/>
      <c r="M333" s="140"/>
      <c r="N333" s="140"/>
      <c r="O333" s="140"/>
      <c r="P333" s="456"/>
      <c r="Q333" s="456"/>
      <c r="R333" s="140"/>
      <c r="S333" s="140"/>
      <c r="T333" s="140"/>
      <c r="U333" s="140"/>
      <c r="V333" s="140"/>
      <c r="W333" s="140"/>
      <c r="X333" s="140"/>
      <c r="Y333" s="140"/>
      <c r="Z333" s="140"/>
      <c r="AA333" s="140"/>
      <c r="AB333" s="383">
        <f t="shared" si="158"/>
        <v>0</v>
      </c>
      <c r="AC333" s="140"/>
      <c r="AD333" s="140"/>
      <c r="AE333" s="140"/>
      <c r="AF333" s="140"/>
      <c r="AG333" s="140"/>
      <c r="AH333" s="140"/>
      <c r="AI333" s="140"/>
      <c r="AJ333" s="140"/>
      <c r="AK333" s="140"/>
      <c r="AL333" s="140"/>
      <c r="AM333" s="140"/>
      <c r="AN333" s="140"/>
      <c r="AO333" s="140"/>
      <c r="AP333" s="384">
        <f t="shared" si="151"/>
        <v>0</v>
      </c>
      <c r="AQ333" s="136"/>
      <c r="AR333" s="136"/>
      <c r="AS333" s="136"/>
      <c r="AT333" s="385">
        <f t="shared" si="152"/>
        <v>0</v>
      </c>
      <c r="AU333" s="140"/>
      <c r="AV333" s="140"/>
      <c r="AW333" s="140"/>
      <c r="AX333" s="140"/>
      <c r="AY333" s="392"/>
      <c r="AZ333" s="432">
        <f t="shared" si="153"/>
        <v>0</v>
      </c>
      <c r="BA333" s="433"/>
      <c r="BB333" s="276"/>
      <c r="BC333" s="274"/>
      <c r="BD333" s="274"/>
      <c r="BE333" s="127"/>
      <c r="BF333" s="126"/>
      <c r="BG333" s="274"/>
      <c r="BH333" s="274"/>
      <c r="BI333" s="274"/>
      <c r="BJ333" s="274"/>
      <c r="BK333" s="389">
        <f t="shared" si="154"/>
        <v>0</v>
      </c>
      <c r="BL333" s="140">
        <f t="shared" si="155"/>
        <v>0</v>
      </c>
      <c r="BM333" s="132"/>
      <c r="BN333" s="140">
        <f t="shared" si="156"/>
        <v>0</v>
      </c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41"/>
      <c r="BY333" s="141"/>
      <c r="BZ333" s="141"/>
      <c r="CA333" s="141"/>
      <c r="CB333" s="390">
        <f t="shared" si="157"/>
        <v>0</v>
      </c>
      <c r="CC333" s="132"/>
    </row>
    <row r="334" ht="14.25" customHeight="1">
      <c r="A334" s="132"/>
      <c r="B334" s="215">
        <v>46323</v>
      </c>
      <c r="C334" s="133"/>
      <c r="D334" s="136"/>
      <c r="E334" s="135"/>
      <c r="F334" s="135"/>
      <c r="G334" s="445">
        <f t="shared" si="149"/>
        <v>0</v>
      </c>
      <c r="H334" s="140"/>
      <c r="I334" s="457"/>
      <c r="J334" s="454"/>
      <c r="K334" s="140"/>
      <c r="L334" s="140"/>
      <c r="M334" s="140"/>
      <c r="N334" s="140"/>
      <c r="O334" s="140"/>
      <c r="P334" s="456"/>
      <c r="Q334" s="456"/>
      <c r="R334" s="140"/>
      <c r="S334" s="140"/>
      <c r="T334" s="140"/>
      <c r="U334" s="140"/>
      <c r="V334" s="140"/>
      <c r="W334" s="140"/>
      <c r="X334" s="140"/>
      <c r="Y334" s="140"/>
      <c r="Z334" s="140"/>
      <c r="AA334" s="140"/>
      <c r="AB334" s="383">
        <f t="shared" si="158"/>
        <v>0</v>
      </c>
      <c r="AC334" s="140"/>
      <c r="AD334" s="140"/>
      <c r="AE334" s="140"/>
      <c r="AF334" s="140"/>
      <c r="AG334" s="140"/>
      <c r="AH334" s="140"/>
      <c r="AI334" s="140"/>
      <c r="AJ334" s="140"/>
      <c r="AK334" s="140"/>
      <c r="AL334" s="140"/>
      <c r="AM334" s="140"/>
      <c r="AN334" s="140"/>
      <c r="AO334" s="140"/>
      <c r="AP334" s="384">
        <f t="shared" si="151"/>
        <v>0</v>
      </c>
      <c r="AQ334" s="136"/>
      <c r="AR334" s="136"/>
      <c r="AS334" s="136"/>
      <c r="AT334" s="385">
        <f t="shared" si="152"/>
        <v>0</v>
      </c>
      <c r="AU334" s="140"/>
      <c r="AV334" s="140"/>
      <c r="AW334" s="140"/>
      <c r="AX334" s="140"/>
      <c r="AY334" s="392"/>
      <c r="AZ334" s="432">
        <f t="shared" si="153"/>
        <v>0</v>
      </c>
      <c r="BA334" s="433"/>
      <c r="BB334" s="276"/>
      <c r="BC334" s="274"/>
      <c r="BD334" s="274"/>
      <c r="BE334" s="127"/>
      <c r="BF334" s="126"/>
      <c r="BG334" s="274"/>
      <c r="BH334" s="274"/>
      <c r="BI334" s="274"/>
      <c r="BJ334" s="274"/>
      <c r="BK334" s="389">
        <f t="shared" si="154"/>
        <v>0</v>
      </c>
      <c r="BL334" s="140">
        <f t="shared" si="155"/>
        <v>0</v>
      </c>
      <c r="BM334" s="132"/>
      <c r="BN334" s="140">
        <f t="shared" si="156"/>
        <v>0</v>
      </c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41"/>
      <c r="BY334" s="141"/>
      <c r="BZ334" s="141"/>
      <c r="CA334" s="141"/>
      <c r="CB334" s="390">
        <f t="shared" si="157"/>
        <v>0</v>
      </c>
      <c r="CC334" s="132"/>
    </row>
    <row r="335" ht="14.25" customHeight="1">
      <c r="A335" s="132"/>
      <c r="B335" s="215">
        <v>46324</v>
      </c>
      <c r="C335" s="133"/>
      <c r="D335" s="136"/>
      <c r="E335" s="135"/>
      <c r="F335" s="135"/>
      <c r="G335" s="445">
        <f t="shared" si="149"/>
        <v>0</v>
      </c>
      <c r="H335" s="140"/>
      <c r="I335" s="457"/>
      <c r="J335" s="454"/>
      <c r="K335" s="140"/>
      <c r="L335" s="140"/>
      <c r="M335" s="140"/>
      <c r="N335" s="140"/>
      <c r="O335" s="140"/>
      <c r="P335" s="456"/>
      <c r="Q335" s="456"/>
      <c r="R335" s="140"/>
      <c r="S335" s="140"/>
      <c r="T335" s="140"/>
      <c r="U335" s="140"/>
      <c r="V335" s="140"/>
      <c r="W335" s="140"/>
      <c r="X335" s="140"/>
      <c r="Y335" s="140"/>
      <c r="Z335" s="140"/>
      <c r="AA335" s="140"/>
      <c r="AB335" s="383">
        <f t="shared" si="158"/>
        <v>0</v>
      </c>
      <c r="AC335" s="140"/>
      <c r="AD335" s="140"/>
      <c r="AE335" s="140"/>
      <c r="AF335" s="140"/>
      <c r="AG335" s="140"/>
      <c r="AH335" s="140"/>
      <c r="AI335" s="140"/>
      <c r="AJ335" s="140"/>
      <c r="AK335" s="140"/>
      <c r="AL335" s="140"/>
      <c r="AM335" s="140"/>
      <c r="AN335" s="140"/>
      <c r="AO335" s="140"/>
      <c r="AP335" s="384">
        <f t="shared" si="151"/>
        <v>0</v>
      </c>
      <c r="AQ335" s="136"/>
      <c r="AR335" s="136"/>
      <c r="AS335" s="136"/>
      <c r="AT335" s="385">
        <f t="shared" si="152"/>
        <v>0</v>
      </c>
      <c r="AU335" s="140"/>
      <c r="AV335" s="140"/>
      <c r="AW335" s="140"/>
      <c r="AX335" s="140"/>
      <c r="AY335" s="392"/>
      <c r="AZ335" s="432">
        <f t="shared" si="153"/>
        <v>0</v>
      </c>
      <c r="BA335" s="433"/>
      <c r="BB335" s="276"/>
      <c r="BC335" s="274"/>
      <c r="BD335" s="274"/>
      <c r="BE335" s="127"/>
      <c r="BF335" s="126"/>
      <c r="BG335" s="274"/>
      <c r="BH335" s="274"/>
      <c r="BI335" s="274"/>
      <c r="BJ335" s="274"/>
      <c r="BK335" s="389">
        <f t="shared" si="154"/>
        <v>0</v>
      </c>
      <c r="BL335" s="140">
        <f t="shared" si="155"/>
        <v>0</v>
      </c>
      <c r="BM335" s="132"/>
      <c r="BN335" s="140">
        <f t="shared" si="156"/>
        <v>0</v>
      </c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41"/>
      <c r="BY335" s="141"/>
      <c r="BZ335" s="141"/>
      <c r="CA335" s="141"/>
      <c r="CB335" s="390">
        <f t="shared" si="157"/>
        <v>0</v>
      </c>
      <c r="CC335" s="132"/>
    </row>
    <row r="336" ht="14.25" customHeight="1">
      <c r="A336" s="132"/>
      <c r="B336" s="215">
        <v>46325</v>
      </c>
      <c r="C336" s="133"/>
      <c r="D336" s="136"/>
      <c r="E336" s="135"/>
      <c r="F336" s="135"/>
      <c r="G336" s="445">
        <f t="shared" si="149"/>
        <v>0</v>
      </c>
      <c r="H336" s="140"/>
      <c r="I336" s="457"/>
      <c r="J336" s="454"/>
      <c r="K336" s="140"/>
      <c r="L336" s="140"/>
      <c r="M336" s="140"/>
      <c r="N336" s="140"/>
      <c r="O336" s="140"/>
      <c r="P336" s="456"/>
      <c r="Q336" s="456"/>
      <c r="R336" s="140"/>
      <c r="S336" s="140"/>
      <c r="T336" s="140"/>
      <c r="U336" s="140"/>
      <c r="V336" s="140"/>
      <c r="W336" s="140"/>
      <c r="X336" s="140"/>
      <c r="Y336" s="140"/>
      <c r="Z336" s="140"/>
      <c r="AA336" s="140"/>
      <c r="AB336" s="383">
        <f t="shared" si="158"/>
        <v>0</v>
      </c>
      <c r="AC336" s="140"/>
      <c r="AD336" s="140"/>
      <c r="AE336" s="140"/>
      <c r="AF336" s="140"/>
      <c r="AG336" s="140"/>
      <c r="AH336" s="140"/>
      <c r="AI336" s="140"/>
      <c r="AJ336" s="140"/>
      <c r="AK336" s="140"/>
      <c r="AL336" s="140"/>
      <c r="AM336" s="140"/>
      <c r="AN336" s="140"/>
      <c r="AO336" s="140"/>
      <c r="AP336" s="384">
        <f t="shared" si="151"/>
        <v>0</v>
      </c>
      <c r="AQ336" s="136"/>
      <c r="AR336" s="136"/>
      <c r="AS336" s="136"/>
      <c r="AT336" s="385">
        <f t="shared" si="152"/>
        <v>0</v>
      </c>
      <c r="AU336" s="140"/>
      <c r="AV336" s="140"/>
      <c r="AW336" s="140"/>
      <c r="AX336" s="140"/>
      <c r="AY336" s="392"/>
      <c r="AZ336" s="432">
        <f t="shared" si="153"/>
        <v>0</v>
      </c>
      <c r="BA336" s="433"/>
      <c r="BB336" s="276"/>
      <c r="BC336" s="274"/>
      <c r="BD336" s="274"/>
      <c r="BE336" s="127"/>
      <c r="BF336" s="126"/>
      <c r="BG336" s="274"/>
      <c r="BH336" s="274"/>
      <c r="BI336" s="274"/>
      <c r="BJ336" s="274"/>
      <c r="BK336" s="389">
        <f t="shared" si="154"/>
        <v>0</v>
      </c>
      <c r="BL336" s="140">
        <f t="shared" si="155"/>
        <v>0</v>
      </c>
      <c r="BM336" s="132"/>
      <c r="BN336" s="140">
        <f t="shared" si="156"/>
        <v>0</v>
      </c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41"/>
      <c r="BY336" s="141"/>
      <c r="BZ336" s="141"/>
      <c r="CA336" s="141"/>
      <c r="CB336" s="390">
        <f t="shared" si="157"/>
        <v>0</v>
      </c>
      <c r="CC336" s="132"/>
    </row>
    <row r="337" ht="14.25" customHeight="1">
      <c r="A337" s="3"/>
      <c r="B337" s="215">
        <v>46326</v>
      </c>
      <c r="C337" s="277"/>
      <c r="D337" s="278"/>
      <c r="E337" s="279"/>
      <c r="F337" s="279"/>
      <c r="G337" s="445">
        <f t="shared" si="149"/>
        <v>0</v>
      </c>
      <c r="H337" s="162"/>
      <c r="I337" s="503"/>
      <c r="J337" s="500"/>
      <c r="K337" s="162"/>
      <c r="L337" s="162"/>
      <c r="M337" s="162"/>
      <c r="N337" s="162"/>
      <c r="O337" s="162"/>
      <c r="P337" s="501"/>
      <c r="Q337" s="501"/>
      <c r="R337" s="162"/>
      <c r="S337" s="162"/>
      <c r="T337" s="162"/>
      <c r="U337" s="162"/>
      <c r="V337" s="162"/>
      <c r="W337" s="162"/>
      <c r="X337" s="162"/>
      <c r="Y337" s="162"/>
      <c r="Z337" s="140"/>
      <c r="AA337" s="140"/>
      <c r="AB337" s="383">
        <f t="shared" si="158"/>
        <v>0</v>
      </c>
      <c r="AC337" s="162"/>
      <c r="AD337" s="162"/>
      <c r="AE337" s="162"/>
      <c r="AF337" s="162"/>
      <c r="AG337" s="162"/>
      <c r="AH337" s="162"/>
      <c r="AI337" s="162"/>
      <c r="AJ337" s="162"/>
      <c r="AK337" s="162"/>
      <c r="AL337" s="162"/>
      <c r="AM337" s="162"/>
      <c r="AN337" s="162"/>
      <c r="AO337" s="162"/>
      <c r="AP337" s="384">
        <f t="shared" si="151"/>
        <v>0</v>
      </c>
      <c r="AQ337" s="278"/>
      <c r="AR337" s="278"/>
      <c r="AS337" s="278"/>
      <c r="AT337" s="385">
        <f t="shared" si="152"/>
        <v>0</v>
      </c>
      <c r="AU337" s="162"/>
      <c r="AV337" s="162"/>
      <c r="AW337" s="162"/>
      <c r="AX337" s="162"/>
      <c r="AY337" s="403"/>
      <c r="AZ337" s="432">
        <f t="shared" si="153"/>
        <v>0</v>
      </c>
      <c r="BA337" s="435"/>
      <c r="BB337" s="533"/>
      <c r="BC337" s="296"/>
      <c r="BD337" s="296"/>
      <c r="BE337" s="161"/>
      <c r="BF337" s="138"/>
      <c r="BG337" s="296"/>
      <c r="BH337" s="296"/>
      <c r="BI337" s="296"/>
      <c r="BJ337" s="296"/>
      <c r="BK337" s="389">
        <f t="shared" si="154"/>
        <v>0</v>
      </c>
      <c r="BL337" s="281">
        <f t="shared" si="155"/>
        <v>0</v>
      </c>
      <c r="BM337" s="3"/>
      <c r="BN337" s="281">
        <f t="shared" si="156"/>
        <v>0</v>
      </c>
      <c r="BO337" s="282"/>
      <c r="BP337" s="282"/>
      <c r="BQ337" s="282"/>
      <c r="BR337" s="282"/>
      <c r="BS337" s="282"/>
      <c r="BT337" s="282"/>
      <c r="BU337" s="282"/>
      <c r="BV337" s="282"/>
      <c r="BW337" s="282"/>
      <c r="BX337" s="129"/>
      <c r="BY337" s="282"/>
      <c r="BZ337" s="282"/>
      <c r="CA337" s="282"/>
      <c r="CB337" s="405">
        <f t="shared" si="157"/>
        <v>0</v>
      </c>
      <c r="CC337" s="3"/>
    </row>
    <row r="338" ht="14.25" customHeight="1">
      <c r="A338" s="3"/>
      <c r="B338" s="2" t="s">
        <v>84</v>
      </c>
      <c r="C338" s="407">
        <f ref="C338:J338" t="shared" si="159">SUM(C307:C337)</f>
        <v>0</v>
      </c>
      <c r="D338" s="407">
        <f t="shared" si="159"/>
        <v>0</v>
      </c>
      <c r="E338" s="407">
        <f t="shared" si="159"/>
        <v>0</v>
      </c>
      <c r="F338" s="407">
        <f t="shared" si="159"/>
        <v>0</v>
      </c>
      <c r="G338" s="407">
        <f t="shared" si="159"/>
        <v>0</v>
      </c>
      <c r="H338" s="439">
        <f t="shared" si="159"/>
        <v>0</v>
      </c>
      <c r="I338" s="407">
        <f t="shared" si="159"/>
        <v>0</v>
      </c>
      <c r="J338" s="407">
        <f t="shared" si="159"/>
        <v>0</v>
      </c>
      <c r="K338" s="407"/>
      <c r="L338" s="407">
        <f ref="L338:S338" t="shared" si="160">SUM(L307:L337)</f>
        <v>0</v>
      </c>
      <c r="M338" s="407">
        <f t="shared" si="160"/>
        <v>0</v>
      </c>
      <c r="N338" s="407">
        <f t="shared" si="160"/>
        <v>0</v>
      </c>
      <c r="O338" s="407">
        <f t="shared" si="160"/>
        <v>0</v>
      </c>
      <c r="P338" s="407">
        <f t="shared" si="160"/>
        <v>0</v>
      </c>
      <c r="Q338" s="407">
        <f t="shared" si="160"/>
        <v>0</v>
      </c>
      <c r="R338" s="407">
        <f t="shared" si="160"/>
        <v>0</v>
      </c>
      <c r="S338" s="407">
        <f t="shared" si="160"/>
        <v>0</v>
      </c>
      <c r="T338" s="407"/>
      <c r="U338" s="407">
        <f ref="U338:Z338" t="shared" si="161">SUM(U307:U337)</f>
        <v>0</v>
      </c>
      <c r="V338" s="407">
        <f t="shared" si="161"/>
        <v>0</v>
      </c>
      <c r="W338" s="407">
        <f t="shared" si="161"/>
        <v>0</v>
      </c>
      <c r="X338" s="407">
        <f t="shared" si="161"/>
        <v>0</v>
      </c>
      <c r="Y338" s="407">
        <f t="shared" si="161"/>
        <v>0</v>
      </c>
      <c r="Z338" s="407">
        <f t="shared" si="161"/>
        <v>0</v>
      </c>
      <c r="AA338" s="140"/>
      <c r="AB338" s="407">
        <f ref="AB338:AU338" t="shared" si="162">SUM(AB307:AB337)</f>
        <v>0</v>
      </c>
      <c r="AC338" s="407">
        <f t="shared" si="162"/>
        <v>0</v>
      </c>
      <c r="AD338" s="407">
        <f t="shared" si="162"/>
        <v>0</v>
      </c>
      <c r="AE338" s="407">
        <f t="shared" si="162"/>
        <v>0</v>
      </c>
      <c r="AF338" s="407">
        <f t="shared" si="162"/>
        <v>0</v>
      </c>
      <c r="AG338" s="407">
        <f t="shared" si="162"/>
        <v>0</v>
      </c>
      <c r="AH338" s="407">
        <f t="shared" si="162"/>
        <v>0</v>
      </c>
      <c r="AI338" s="407">
        <f t="shared" si="162"/>
        <v>0</v>
      </c>
      <c r="AJ338" s="407">
        <f t="shared" si="162"/>
        <v>0</v>
      </c>
      <c r="AK338" s="407">
        <f t="shared" si="162"/>
        <v>0</v>
      </c>
      <c r="AL338" s="407">
        <f t="shared" si="162"/>
        <v>0</v>
      </c>
      <c r="AM338" s="407">
        <f t="shared" si="162"/>
        <v>0</v>
      </c>
      <c r="AN338" s="407">
        <f t="shared" si="162"/>
        <v>0</v>
      </c>
      <c r="AO338" s="407">
        <f t="shared" si="162"/>
        <v>0</v>
      </c>
      <c r="AP338" s="407">
        <f t="shared" si="162"/>
        <v>0</v>
      </c>
      <c r="AQ338" s="407">
        <f t="shared" si="162"/>
        <v>0</v>
      </c>
      <c r="AR338" s="407">
        <f t="shared" si="162"/>
        <v>0</v>
      </c>
      <c r="AS338" s="407">
        <f t="shared" si="162"/>
        <v>0</v>
      </c>
      <c r="AT338" s="407">
        <f t="shared" si="162"/>
        <v>0</v>
      </c>
      <c r="AU338" s="407">
        <f t="shared" si="162"/>
        <v>0</v>
      </c>
      <c r="AV338" s="407"/>
      <c r="AW338" s="407">
        <f ref="AW338:BL338" t="shared" si="163">SUM(AW307:AW337)</f>
        <v>0</v>
      </c>
      <c r="AX338" s="407">
        <f t="shared" si="163"/>
        <v>0</v>
      </c>
      <c r="AY338" s="407">
        <f t="shared" si="163"/>
        <v>0</v>
      </c>
      <c r="AZ338" s="407">
        <f t="shared" si="163"/>
        <v>0</v>
      </c>
      <c r="BA338" s="439">
        <f t="shared" si="163"/>
        <v>0</v>
      </c>
      <c r="BB338" s="411">
        <f t="shared" si="163"/>
        <v>0</v>
      </c>
      <c r="BC338" s="407">
        <f t="shared" si="163"/>
        <v>0</v>
      </c>
      <c r="BD338" s="407">
        <f t="shared" si="163"/>
        <v>0</v>
      </c>
      <c r="BE338" s="407">
        <f t="shared" si="163"/>
        <v>0</v>
      </c>
      <c r="BF338" s="439">
        <f t="shared" si="163"/>
        <v>0</v>
      </c>
      <c r="BG338" s="407">
        <f t="shared" si="163"/>
        <v>0</v>
      </c>
      <c r="BH338" s="407">
        <f t="shared" si="163"/>
        <v>0</v>
      </c>
      <c r="BI338" s="407">
        <f t="shared" si="163"/>
        <v>0</v>
      </c>
      <c r="BJ338" s="407">
        <f t="shared" si="163"/>
        <v>0</v>
      </c>
      <c r="BK338" s="407">
        <f t="shared" si="163"/>
        <v>0</v>
      </c>
      <c r="BL338" s="508">
        <f t="shared" si="163"/>
        <v>0</v>
      </c>
      <c r="BM338" s="538"/>
      <c r="BN338" s="509">
        <f ref="BN338:BY338" t="shared" si="164">SUM(BN307:BN337)</f>
        <v>0</v>
      </c>
      <c r="BO338" s="407">
        <f t="shared" si="164"/>
        <v>0</v>
      </c>
      <c r="BP338" s="407">
        <f t="shared" si="164"/>
        <v>0</v>
      </c>
      <c r="BQ338" s="407">
        <f t="shared" si="164"/>
        <v>0</v>
      </c>
      <c r="BR338" s="407">
        <f t="shared" si="164"/>
        <v>0</v>
      </c>
      <c r="BS338" s="407">
        <f t="shared" si="164"/>
        <v>0</v>
      </c>
      <c r="BT338" s="407">
        <f t="shared" si="164"/>
        <v>0</v>
      </c>
      <c r="BU338" s="407">
        <f t="shared" si="164"/>
        <v>0</v>
      </c>
      <c r="BV338" s="407">
        <f t="shared" si="164"/>
        <v>0</v>
      </c>
      <c r="BW338" s="407">
        <f t="shared" si="164"/>
        <v>0</v>
      </c>
      <c r="BX338" s="407">
        <f t="shared" si="164"/>
        <v>0</v>
      </c>
      <c r="BY338" s="407">
        <f t="shared" si="164"/>
        <v>0</v>
      </c>
      <c r="BZ338" s="407"/>
      <c r="CA338" s="407"/>
      <c r="CB338" s="407">
        <f>SUM(CB307:CB337)</f>
        <v>0</v>
      </c>
      <c r="CC338" s="3"/>
    </row>
    <row r="339" ht="14.25" customHeight="1">
      <c r="A339" s="1"/>
      <c r="B339" s="2"/>
      <c r="C339" s="3"/>
      <c r="D339" s="3"/>
      <c r="E339" s="3"/>
      <c r="F339" s="3"/>
      <c r="G339" s="3"/>
      <c r="H339" s="3"/>
      <c r="I339" s="3"/>
      <c r="J339" s="414"/>
      <c r="K339" s="3"/>
      <c r="L339" s="3"/>
      <c r="M339" s="3"/>
      <c r="N339" s="3"/>
      <c r="O339" s="3"/>
      <c r="P339" s="1"/>
      <c r="Q339" s="1"/>
      <c r="R339" s="3"/>
      <c r="S339" s="3"/>
      <c r="T339" s="3"/>
      <c r="U339" s="3"/>
      <c r="V339" s="3"/>
      <c r="W339" s="3"/>
      <c r="X339" s="3"/>
      <c r="Y339" s="3"/>
      <c r="Z339" s="3"/>
      <c r="AA339" s="407">
        <f>SUM(AA308:AA338)</f>
        <v>0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550"/>
      <c r="BB339" s="551"/>
      <c r="BC339" s="551"/>
      <c r="BD339" s="551"/>
      <c r="BE339" s="551"/>
      <c r="BF339" s="551"/>
      <c r="BG339" s="551"/>
      <c r="BH339" s="551"/>
      <c r="BI339" s="551"/>
      <c r="BJ339" s="551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</row>
    <row r="340" ht="14.25" customHeight="1">
      <c r="A340" s="1"/>
      <c r="B340" s="2"/>
      <c r="C340" s="3"/>
      <c r="D340" s="3"/>
      <c r="E340" s="3"/>
      <c r="F340" s="3"/>
      <c r="G340" s="3"/>
      <c r="H340" s="3"/>
      <c r="I340" s="3"/>
      <c r="J340" s="414"/>
      <c r="K340" s="3"/>
      <c r="L340" s="3"/>
      <c r="M340" s="3"/>
      <c r="N340" s="3"/>
      <c r="O340" s="3"/>
      <c r="P340" s="1"/>
      <c r="Q340" s="1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176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550"/>
      <c r="BB340" s="551"/>
      <c r="BC340" s="551"/>
      <c r="BD340" s="551"/>
      <c r="BE340" s="551"/>
      <c r="BF340" s="551"/>
      <c r="BG340" s="551"/>
      <c r="BH340" s="551"/>
      <c r="BI340" s="551"/>
      <c r="BJ340" s="551"/>
      <c r="BK340" s="176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</row>
    <row r="341" ht="14.25" customHeight="1">
      <c r="A341" s="3"/>
      <c r="B341" s="306">
        <v>46327</v>
      </c>
      <c r="C341" s="94"/>
      <c r="D341" s="104"/>
      <c r="E341" s="97"/>
      <c r="F341" s="97"/>
      <c r="G341" s="415">
        <f ref="G341:G370" t="shared" si="165">+C341+D341+E341+F341</f>
        <v>0</v>
      </c>
      <c r="H341" s="535"/>
      <c r="I341" s="449"/>
      <c r="J341" s="446"/>
      <c r="K341" s="195"/>
      <c r="L341" s="195"/>
      <c r="M341" s="195"/>
      <c r="N341" s="195"/>
      <c r="O341" s="195"/>
      <c r="P341" s="447"/>
      <c r="Q341" s="447"/>
      <c r="R341" s="195"/>
      <c r="S341" s="195"/>
      <c r="T341" s="195"/>
      <c r="U341" s="195"/>
      <c r="V341" s="195"/>
      <c r="W341" s="195"/>
      <c r="X341" s="195"/>
      <c r="Y341" s="195"/>
      <c r="Z341" s="195"/>
      <c r="AA341" s="3"/>
      <c r="AB341" s="420">
        <f ref="AB341:AB361" t="shared" si="166">SUM(I341:Y341)</f>
        <v>0</v>
      </c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384">
        <f ref="AP341:AP370" t="shared" si="167">SUM(AC341:AO341)</f>
        <v>0</v>
      </c>
      <c r="AQ341" s="104"/>
      <c r="AR341" s="104"/>
      <c r="AS341" s="104"/>
      <c r="AT341" s="422">
        <f ref="AT341:AT370" t="shared" si="168">SUM(AQ341:AS341)</f>
        <v>0</v>
      </c>
      <c r="AU341" s="195"/>
      <c r="AV341" s="195"/>
      <c r="AW341" s="195"/>
      <c r="AX341" s="195"/>
      <c r="AY341" s="424"/>
      <c r="AZ341" s="547">
        <f ref="AZ341:AZ370" t="shared" si="169">+G341-AB341-AP341-AT341-AU341-AW341-AX341-AY341</f>
        <v>0</v>
      </c>
      <c r="BA341" s="427"/>
      <c r="BB341" s="286"/>
      <c r="BC341" s="269"/>
      <c r="BD341" s="269"/>
      <c r="BE341" s="110"/>
      <c r="BF341" s="109"/>
      <c r="BG341" s="269"/>
      <c r="BH341" s="269"/>
      <c r="BI341" s="269"/>
      <c r="BJ341" s="269"/>
      <c r="BK341" s="389">
        <f ref="BK341:BK370" t="shared" si="170">SUM(BA341:BJ341)-BI341</f>
        <v>0</v>
      </c>
      <c r="BL341" s="114">
        <f ref="BL341:BL370" t="shared" si="171">+AZ341-BK341</f>
        <v>0</v>
      </c>
      <c r="BM341" s="3"/>
      <c r="BN341" s="114">
        <f ref="BN341:BN370" t="shared" si="172">SUM(BO341:CA341)</f>
        <v>0</v>
      </c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430">
        <f ref="CB341:CB370" t="shared" si="173">+BL341-BN341</f>
        <v>0</v>
      </c>
      <c r="CC341" s="3"/>
    </row>
    <row r="342" ht="15.75" customHeight="1">
      <c r="A342" s="3"/>
      <c r="B342" s="306">
        <v>46328</v>
      </c>
      <c r="C342" s="118"/>
      <c r="D342" s="123"/>
      <c r="E342" s="120"/>
      <c r="F342" s="120"/>
      <c r="G342" s="431">
        <f t="shared" si="165"/>
        <v>0</v>
      </c>
      <c r="H342" s="525"/>
      <c r="I342" s="457"/>
      <c r="J342" s="454"/>
      <c r="K342" s="140"/>
      <c r="L342" s="140"/>
      <c r="M342" s="140"/>
      <c r="N342" s="140"/>
      <c r="O342" s="140"/>
      <c r="P342" s="456"/>
      <c r="Q342" s="456"/>
      <c r="R342" s="140"/>
      <c r="S342" s="140"/>
      <c r="T342" s="140"/>
      <c r="U342" s="140"/>
      <c r="V342" s="140"/>
      <c r="W342" s="140"/>
      <c r="X342" s="140"/>
      <c r="Y342" s="140"/>
      <c r="Z342" s="140"/>
      <c r="AA342" s="195"/>
      <c r="AB342" s="383">
        <f t="shared" si="166"/>
        <v>0</v>
      </c>
      <c r="AC342" s="140"/>
      <c r="AD342" s="140"/>
      <c r="AE342" s="140"/>
      <c r="AF342" s="140"/>
      <c r="AG342" s="140"/>
      <c r="AH342" s="140"/>
      <c r="AI342" s="140"/>
      <c r="AJ342" s="140"/>
      <c r="AK342" s="140"/>
      <c r="AL342" s="140"/>
      <c r="AM342" s="140"/>
      <c r="AN342" s="140"/>
      <c r="AO342" s="140"/>
      <c r="AP342" s="384">
        <f t="shared" si="167"/>
        <v>0</v>
      </c>
      <c r="AQ342" s="123"/>
      <c r="AR342" s="123"/>
      <c r="AS342" s="123"/>
      <c r="AT342" s="385">
        <f t="shared" si="168"/>
        <v>0</v>
      </c>
      <c r="AU342" s="140"/>
      <c r="AV342" s="140"/>
      <c r="AW342" s="140"/>
      <c r="AX342" s="140"/>
      <c r="AY342" s="392"/>
      <c r="AZ342" s="432">
        <f t="shared" si="169"/>
        <v>0</v>
      </c>
      <c r="BA342" s="433"/>
      <c r="BB342" s="276"/>
      <c r="BC342" s="274"/>
      <c r="BD342" s="274"/>
      <c r="BE342" s="127"/>
      <c r="BF342" s="126"/>
      <c r="BG342" s="274"/>
      <c r="BH342" s="274"/>
      <c r="BI342" s="274"/>
      <c r="BJ342" s="274"/>
      <c r="BK342" s="389">
        <f t="shared" si="170"/>
        <v>0</v>
      </c>
      <c r="BL342" s="113">
        <f t="shared" si="171"/>
        <v>0</v>
      </c>
      <c r="BM342" s="3"/>
      <c r="BN342" s="113">
        <f t="shared" si="172"/>
        <v>0</v>
      </c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29"/>
      <c r="CA342" s="129"/>
      <c r="CB342" s="390">
        <f t="shared" si="173"/>
        <v>0</v>
      </c>
      <c r="CC342" s="3"/>
    </row>
    <row r="343" ht="14.25" customHeight="1">
      <c r="A343" s="3"/>
      <c r="B343" s="306">
        <v>46329</v>
      </c>
      <c r="C343" s="118"/>
      <c r="D343" s="123"/>
      <c r="E343" s="120"/>
      <c r="F343" s="120"/>
      <c r="G343" s="431">
        <f t="shared" si="165"/>
        <v>0</v>
      </c>
      <c r="H343" s="525"/>
      <c r="I343" s="457"/>
      <c r="J343" s="454"/>
      <c r="K343" s="140"/>
      <c r="L343" s="140"/>
      <c r="M343" s="140"/>
      <c r="N343" s="140"/>
      <c r="O343" s="140"/>
      <c r="P343" s="456"/>
      <c r="Q343" s="456"/>
      <c r="R343" s="140"/>
      <c r="S343" s="140"/>
      <c r="T343" s="140"/>
      <c r="U343" s="140"/>
      <c r="V343" s="140"/>
      <c r="W343" s="140"/>
      <c r="X343" s="140"/>
      <c r="Y343" s="140"/>
      <c r="Z343" s="140"/>
      <c r="AA343" s="140"/>
      <c r="AB343" s="383">
        <f t="shared" si="166"/>
        <v>0</v>
      </c>
      <c r="AC343" s="140"/>
      <c r="AD343" s="140"/>
      <c r="AE343" s="140"/>
      <c r="AF343" s="140"/>
      <c r="AG343" s="140"/>
      <c r="AH343" s="140"/>
      <c r="AI343" s="140"/>
      <c r="AJ343" s="140"/>
      <c r="AK343" s="140"/>
      <c r="AL343" s="140"/>
      <c r="AM343" s="140"/>
      <c r="AN343" s="140"/>
      <c r="AO343" s="140"/>
      <c r="AP343" s="384">
        <f t="shared" si="167"/>
        <v>0</v>
      </c>
      <c r="AQ343" s="123"/>
      <c r="AR343" s="123"/>
      <c r="AS343" s="123"/>
      <c r="AT343" s="385">
        <f t="shared" si="168"/>
        <v>0</v>
      </c>
      <c r="AU343" s="140"/>
      <c r="AV343" s="140"/>
      <c r="AW343" s="140"/>
      <c r="AX343" s="140"/>
      <c r="AY343" s="392"/>
      <c r="AZ343" s="432">
        <f t="shared" si="169"/>
        <v>0</v>
      </c>
      <c r="BA343" s="433"/>
      <c r="BB343" s="276"/>
      <c r="BC343" s="274"/>
      <c r="BD343" s="274"/>
      <c r="BE343" s="127"/>
      <c r="BF343" s="126"/>
      <c r="BG343" s="274"/>
      <c r="BH343" s="274"/>
      <c r="BI343" s="274"/>
      <c r="BJ343" s="274"/>
      <c r="BK343" s="389">
        <f t="shared" si="170"/>
        <v>0</v>
      </c>
      <c r="BL343" s="113">
        <f t="shared" si="171"/>
        <v>0</v>
      </c>
      <c r="BM343" s="3"/>
      <c r="BN343" s="113">
        <f t="shared" si="172"/>
        <v>0</v>
      </c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390">
        <f t="shared" si="173"/>
        <v>0</v>
      </c>
      <c r="CC343" s="3"/>
    </row>
    <row r="344" ht="14.25" customHeight="1">
      <c r="A344" s="3"/>
      <c r="B344" s="306">
        <v>46330</v>
      </c>
      <c r="C344" s="552"/>
      <c r="D344" s="459"/>
      <c r="E344" s="120"/>
      <c r="F344" s="120"/>
      <c r="G344" s="431">
        <f t="shared" si="165"/>
        <v>0</v>
      </c>
      <c r="H344" s="525"/>
      <c r="I344" s="457"/>
      <c r="J344" s="454"/>
      <c r="K344" s="140"/>
      <c r="L344" s="140"/>
      <c r="M344" s="140"/>
      <c r="N344" s="140"/>
      <c r="O344" s="140"/>
      <c r="P344" s="456"/>
      <c r="Q344" s="456"/>
      <c r="R344" s="140"/>
      <c r="S344" s="140"/>
      <c r="T344" s="140"/>
      <c r="U344" s="140"/>
      <c r="V344" s="140"/>
      <c r="W344" s="140"/>
      <c r="X344" s="140"/>
      <c r="Y344" s="140"/>
      <c r="Z344" s="140"/>
      <c r="AA344" s="140"/>
      <c r="AB344" s="383">
        <f t="shared" si="166"/>
        <v>0</v>
      </c>
      <c r="AC344" s="140"/>
      <c r="AD344" s="140"/>
      <c r="AE344" s="140"/>
      <c r="AF344" s="140"/>
      <c r="AG344" s="140"/>
      <c r="AH344" s="140"/>
      <c r="AI344" s="140"/>
      <c r="AJ344" s="140"/>
      <c r="AK344" s="140"/>
      <c r="AL344" s="140"/>
      <c r="AM344" s="140"/>
      <c r="AN344" s="140"/>
      <c r="AO344" s="140"/>
      <c r="AP344" s="384">
        <f t="shared" si="167"/>
        <v>0</v>
      </c>
      <c r="AQ344" s="123"/>
      <c r="AR344" s="123"/>
      <c r="AS344" s="123"/>
      <c r="AT344" s="385">
        <f t="shared" si="168"/>
        <v>0</v>
      </c>
      <c r="AU344" s="140"/>
      <c r="AV344" s="140"/>
      <c r="AW344" s="140"/>
      <c r="AX344" s="140"/>
      <c r="AY344" s="392"/>
      <c r="AZ344" s="432">
        <f t="shared" si="169"/>
        <v>0</v>
      </c>
      <c r="BA344" s="433"/>
      <c r="BB344" s="276"/>
      <c r="BC344" s="274"/>
      <c r="BD344" s="274"/>
      <c r="BE344" s="127"/>
      <c r="BF344" s="126"/>
      <c r="BG344" s="274"/>
      <c r="BH344" s="274"/>
      <c r="BI344" s="274"/>
      <c r="BJ344" s="274"/>
      <c r="BK344" s="389">
        <f t="shared" si="170"/>
        <v>0</v>
      </c>
      <c r="BL344" s="113">
        <f t="shared" si="171"/>
        <v>0</v>
      </c>
      <c r="BM344" s="3"/>
      <c r="BN344" s="113">
        <f t="shared" si="172"/>
        <v>0</v>
      </c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390">
        <f t="shared" si="173"/>
        <v>0</v>
      </c>
      <c r="CC344" s="3"/>
    </row>
    <row r="345" ht="14.25" customHeight="1">
      <c r="A345" s="132"/>
      <c r="B345" s="306">
        <v>46331</v>
      </c>
      <c r="C345" s="133"/>
      <c r="D345" s="136"/>
      <c r="E345" s="135"/>
      <c r="F345" s="135"/>
      <c r="G345" s="431">
        <f t="shared" si="165"/>
        <v>0</v>
      </c>
      <c r="H345" s="525"/>
      <c r="I345" s="457"/>
      <c r="J345" s="454"/>
      <c r="K345" s="140"/>
      <c r="L345" s="140"/>
      <c r="M345" s="140"/>
      <c r="N345" s="140"/>
      <c r="O345" s="140"/>
      <c r="P345" s="456"/>
      <c r="Q345" s="456"/>
      <c r="R345" s="140"/>
      <c r="S345" s="140"/>
      <c r="T345" s="140"/>
      <c r="U345" s="140"/>
      <c r="V345" s="140"/>
      <c r="W345" s="140"/>
      <c r="X345" s="140"/>
      <c r="Y345" s="140"/>
      <c r="Z345" s="140"/>
      <c r="AA345" s="140"/>
      <c r="AB345" s="383">
        <f t="shared" si="166"/>
        <v>0</v>
      </c>
      <c r="AC345" s="140"/>
      <c r="AD345" s="140"/>
      <c r="AE345" s="140"/>
      <c r="AF345" s="140"/>
      <c r="AG345" s="140"/>
      <c r="AH345" s="140"/>
      <c r="AI345" s="140"/>
      <c r="AJ345" s="140"/>
      <c r="AK345" s="140"/>
      <c r="AL345" s="140"/>
      <c r="AM345" s="140"/>
      <c r="AN345" s="140"/>
      <c r="AO345" s="140"/>
      <c r="AP345" s="384">
        <f t="shared" si="167"/>
        <v>0</v>
      </c>
      <c r="AQ345" s="136"/>
      <c r="AR345" s="136"/>
      <c r="AS345" s="136"/>
      <c r="AT345" s="385">
        <f t="shared" si="168"/>
        <v>0</v>
      </c>
      <c r="AU345" s="140"/>
      <c r="AV345" s="140"/>
      <c r="AW345" s="140"/>
      <c r="AX345" s="140"/>
      <c r="AY345" s="392"/>
      <c r="AZ345" s="432">
        <f t="shared" si="169"/>
        <v>0</v>
      </c>
      <c r="BA345" s="433"/>
      <c r="BB345" s="276"/>
      <c r="BC345" s="274"/>
      <c r="BD345" s="274"/>
      <c r="BE345" s="127"/>
      <c r="BF345" s="126"/>
      <c r="BG345" s="274"/>
      <c r="BH345" s="274"/>
      <c r="BI345" s="274"/>
      <c r="BJ345" s="274"/>
      <c r="BK345" s="389">
        <f t="shared" si="170"/>
        <v>0</v>
      </c>
      <c r="BL345" s="140">
        <f t="shared" si="171"/>
        <v>0</v>
      </c>
      <c r="BM345" s="132"/>
      <c r="BN345" s="140">
        <f t="shared" si="172"/>
        <v>0</v>
      </c>
      <c r="BO345" s="141"/>
      <c r="BP345" s="141"/>
      <c r="BQ345" s="141"/>
      <c r="BR345" s="141"/>
      <c r="BS345" s="141"/>
      <c r="BT345" s="141"/>
      <c r="BU345" s="141"/>
      <c r="BV345" s="141"/>
      <c r="BW345" s="141"/>
      <c r="BX345" s="141"/>
      <c r="BY345" s="141"/>
      <c r="BZ345" s="141"/>
      <c r="CA345" s="141"/>
      <c r="CB345" s="390">
        <f t="shared" si="173"/>
        <v>0</v>
      </c>
      <c r="CC345" s="132"/>
    </row>
    <row r="346" ht="14.25" customHeight="1">
      <c r="A346" s="132"/>
      <c r="B346" s="306">
        <v>46332</v>
      </c>
      <c r="C346" s="133"/>
      <c r="D346" s="136"/>
      <c r="E346" s="135"/>
      <c r="F346" s="135"/>
      <c r="G346" s="431">
        <f t="shared" si="165"/>
        <v>0</v>
      </c>
      <c r="H346" s="525"/>
      <c r="I346" s="457"/>
      <c r="J346" s="454"/>
      <c r="K346" s="140"/>
      <c r="L346" s="140"/>
      <c r="M346" s="140"/>
      <c r="N346" s="140"/>
      <c r="O346" s="140"/>
      <c r="P346" s="456"/>
      <c r="Q346" s="456"/>
      <c r="R346" s="140"/>
      <c r="S346" s="140"/>
      <c r="T346" s="140"/>
      <c r="U346" s="140"/>
      <c r="V346" s="140"/>
      <c r="W346" s="140"/>
      <c r="X346" s="140"/>
      <c r="Y346" s="140"/>
      <c r="Z346" s="140"/>
      <c r="AA346" s="140"/>
      <c r="AB346" s="383">
        <f t="shared" si="166"/>
        <v>0</v>
      </c>
      <c r="AC346" s="140"/>
      <c r="AD346" s="140"/>
      <c r="AE346" s="140"/>
      <c r="AF346" s="140"/>
      <c r="AG346" s="140"/>
      <c r="AH346" s="140"/>
      <c r="AI346" s="140"/>
      <c r="AJ346" s="140"/>
      <c r="AK346" s="140"/>
      <c r="AL346" s="140"/>
      <c r="AM346" s="140"/>
      <c r="AN346" s="140"/>
      <c r="AO346" s="140"/>
      <c r="AP346" s="384">
        <f t="shared" si="167"/>
        <v>0</v>
      </c>
      <c r="AQ346" s="136"/>
      <c r="AR346" s="136"/>
      <c r="AS346" s="136"/>
      <c r="AT346" s="385">
        <f t="shared" si="168"/>
        <v>0</v>
      </c>
      <c r="AU346" s="140"/>
      <c r="AV346" s="140"/>
      <c r="AW346" s="140"/>
      <c r="AX346" s="140"/>
      <c r="AY346" s="392"/>
      <c r="AZ346" s="432">
        <f t="shared" si="169"/>
        <v>0</v>
      </c>
      <c r="BA346" s="433"/>
      <c r="BB346" s="276"/>
      <c r="BC346" s="274"/>
      <c r="BD346" s="274"/>
      <c r="BE346" s="127"/>
      <c r="BF346" s="126"/>
      <c r="BG346" s="274"/>
      <c r="BH346" s="274"/>
      <c r="BI346" s="274"/>
      <c r="BJ346" s="274"/>
      <c r="BK346" s="389">
        <f t="shared" si="170"/>
        <v>0</v>
      </c>
      <c r="BL346" s="140">
        <f t="shared" si="171"/>
        <v>0</v>
      </c>
      <c r="BM346" s="132"/>
      <c r="BN346" s="140">
        <f t="shared" si="172"/>
        <v>0</v>
      </c>
      <c r="BO346" s="141"/>
      <c r="BP346" s="141"/>
      <c r="BQ346" s="141"/>
      <c r="BR346" s="141"/>
      <c r="BS346" s="141"/>
      <c r="BT346" s="141"/>
      <c r="BU346" s="141"/>
      <c r="BV346" s="141"/>
      <c r="BW346" s="141"/>
      <c r="BX346" s="141"/>
      <c r="BY346" s="141"/>
      <c r="BZ346" s="141"/>
      <c r="CA346" s="141"/>
      <c r="CB346" s="390">
        <f t="shared" si="173"/>
        <v>0</v>
      </c>
      <c r="CC346" s="132"/>
    </row>
    <row r="347" ht="14.25" customHeight="1">
      <c r="A347" s="132"/>
      <c r="B347" s="306">
        <v>46333</v>
      </c>
      <c r="C347" s="133"/>
      <c r="D347" s="136"/>
      <c r="E347" s="135"/>
      <c r="F347" s="135"/>
      <c r="G347" s="431">
        <f t="shared" si="165"/>
        <v>0</v>
      </c>
      <c r="H347" s="525"/>
      <c r="I347" s="457"/>
      <c r="J347" s="454"/>
      <c r="K347" s="140"/>
      <c r="L347" s="140"/>
      <c r="M347" s="140"/>
      <c r="N347" s="140"/>
      <c r="O347" s="140"/>
      <c r="P347" s="456"/>
      <c r="Q347" s="456"/>
      <c r="R347" s="140"/>
      <c r="S347" s="140"/>
      <c r="T347" s="140"/>
      <c r="U347" s="140"/>
      <c r="V347" s="140"/>
      <c r="W347" s="140"/>
      <c r="X347" s="140"/>
      <c r="Y347" s="140"/>
      <c r="Z347" s="140"/>
      <c r="AA347" s="140"/>
      <c r="AB347" s="383">
        <f t="shared" si="166"/>
        <v>0</v>
      </c>
      <c r="AC347" s="140"/>
      <c r="AD347" s="140"/>
      <c r="AE347" s="140"/>
      <c r="AF347" s="140"/>
      <c r="AG347" s="140"/>
      <c r="AH347" s="140"/>
      <c r="AI347" s="140"/>
      <c r="AJ347" s="140"/>
      <c r="AK347" s="140"/>
      <c r="AL347" s="140"/>
      <c r="AM347" s="140"/>
      <c r="AN347" s="140"/>
      <c r="AO347" s="140"/>
      <c r="AP347" s="384">
        <f t="shared" si="167"/>
        <v>0</v>
      </c>
      <c r="AQ347" s="136"/>
      <c r="AR347" s="136"/>
      <c r="AS347" s="136"/>
      <c r="AT347" s="385">
        <f t="shared" si="168"/>
        <v>0</v>
      </c>
      <c r="AU347" s="140"/>
      <c r="AV347" s="140"/>
      <c r="AW347" s="140"/>
      <c r="AX347" s="140"/>
      <c r="AY347" s="392"/>
      <c r="AZ347" s="432">
        <f t="shared" si="169"/>
        <v>0</v>
      </c>
      <c r="BA347" s="433"/>
      <c r="BB347" s="276"/>
      <c r="BC347" s="274"/>
      <c r="BD347" s="274"/>
      <c r="BE347" s="127"/>
      <c r="BF347" s="126"/>
      <c r="BG347" s="274"/>
      <c r="BH347" s="274"/>
      <c r="BI347" s="274"/>
      <c r="BJ347" s="274"/>
      <c r="BK347" s="389">
        <f t="shared" si="170"/>
        <v>0</v>
      </c>
      <c r="BL347" s="140">
        <f t="shared" si="171"/>
        <v>0</v>
      </c>
      <c r="BM347" s="132"/>
      <c r="BN347" s="140">
        <f t="shared" si="172"/>
        <v>0</v>
      </c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41"/>
      <c r="BY347" s="141"/>
      <c r="BZ347" s="141"/>
      <c r="CA347" s="141"/>
      <c r="CB347" s="390">
        <f t="shared" si="173"/>
        <v>0</v>
      </c>
      <c r="CC347" s="132"/>
    </row>
    <row r="348" ht="14.25" customHeight="1">
      <c r="A348" s="132"/>
      <c r="B348" s="306">
        <v>46334</v>
      </c>
      <c r="C348" s="133"/>
      <c r="D348" s="136"/>
      <c r="E348" s="135"/>
      <c r="F348" s="135"/>
      <c r="G348" s="431">
        <f t="shared" si="165"/>
        <v>0</v>
      </c>
      <c r="H348" s="525"/>
      <c r="I348" s="457"/>
      <c r="J348" s="454"/>
      <c r="K348" s="140"/>
      <c r="L348" s="140"/>
      <c r="M348" s="140"/>
      <c r="N348" s="140"/>
      <c r="O348" s="140"/>
      <c r="P348" s="456"/>
      <c r="Q348" s="456"/>
      <c r="R348" s="140"/>
      <c r="S348" s="140"/>
      <c r="T348" s="140"/>
      <c r="U348" s="140"/>
      <c r="V348" s="140"/>
      <c r="W348" s="140"/>
      <c r="X348" s="140"/>
      <c r="Y348" s="140"/>
      <c r="Z348" s="140"/>
      <c r="AA348" s="140"/>
      <c r="AB348" s="383">
        <f t="shared" si="166"/>
        <v>0</v>
      </c>
      <c r="AC348" s="140"/>
      <c r="AD348" s="140"/>
      <c r="AE348" s="140"/>
      <c r="AF348" s="140"/>
      <c r="AG348" s="140"/>
      <c r="AH348" s="140"/>
      <c r="AI348" s="140"/>
      <c r="AJ348" s="140"/>
      <c r="AK348" s="140"/>
      <c r="AL348" s="140"/>
      <c r="AM348" s="140"/>
      <c r="AN348" s="140"/>
      <c r="AO348" s="140"/>
      <c r="AP348" s="384">
        <f t="shared" si="167"/>
        <v>0</v>
      </c>
      <c r="AQ348" s="136"/>
      <c r="AR348" s="136"/>
      <c r="AS348" s="136"/>
      <c r="AT348" s="385">
        <f t="shared" si="168"/>
        <v>0</v>
      </c>
      <c r="AU348" s="140"/>
      <c r="AV348" s="140"/>
      <c r="AW348" s="140"/>
      <c r="AX348" s="140"/>
      <c r="AY348" s="392"/>
      <c r="AZ348" s="432">
        <f t="shared" si="169"/>
        <v>0</v>
      </c>
      <c r="BA348" s="433"/>
      <c r="BB348" s="276"/>
      <c r="BC348" s="274"/>
      <c r="BD348" s="274"/>
      <c r="BE348" s="127"/>
      <c r="BF348" s="126"/>
      <c r="BG348" s="274"/>
      <c r="BH348" s="274"/>
      <c r="BI348" s="274"/>
      <c r="BJ348" s="274"/>
      <c r="BK348" s="389">
        <f t="shared" si="170"/>
        <v>0</v>
      </c>
      <c r="BL348" s="140">
        <f t="shared" si="171"/>
        <v>0</v>
      </c>
      <c r="BM348" s="132"/>
      <c r="BN348" s="140">
        <f t="shared" si="172"/>
        <v>0</v>
      </c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41"/>
      <c r="BY348" s="141"/>
      <c r="BZ348" s="141"/>
      <c r="CA348" s="141"/>
      <c r="CB348" s="390">
        <f t="shared" si="173"/>
        <v>0</v>
      </c>
      <c r="CC348" s="132"/>
    </row>
    <row r="349" ht="14.25" customHeight="1">
      <c r="A349" s="132"/>
      <c r="B349" s="306">
        <v>46335</v>
      </c>
      <c r="C349" s="133"/>
      <c r="D349" s="136"/>
      <c r="E349" s="135"/>
      <c r="F349" s="135"/>
      <c r="G349" s="431">
        <f t="shared" si="165"/>
        <v>0</v>
      </c>
      <c r="H349" s="525"/>
      <c r="I349" s="457"/>
      <c r="J349" s="454"/>
      <c r="K349" s="140"/>
      <c r="L349" s="140"/>
      <c r="M349" s="140"/>
      <c r="N349" s="140"/>
      <c r="O349" s="140"/>
      <c r="P349" s="456"/>
      <c r="Q349" s="456"/>
      <c r="R349" s="140"/>
      <c r="S349" s="140"/>
      <c r="T349" s="140"/>
      <c r="U349" s="140"/>
      <c r="V349" s="140"/>
      <c r="W349" s="140"/>
      <c r="X349" s="140"/>
      <c r="Y349" s="140"/>
      <c r="Z349" s="140"/>
      <c r="AA349" s="140"/>
      <c r="AB349" s="383">
        <f t="shared" si="166"/>
        <v>0</v>
      </c>
      <c r="AC349" s="140"/>
      <c r="AD349" s="140"/>
      <c r="AE349" s="140"/>
      <c r="AF349" s="140"/>
      <c r="AG349" s="140"/>
      <c r="AH349" s="140"/>
      <c r="AI349" s="140"/>
      <c r="AJ349" s="140"/>
      <c r="AK349" s="140"/>
      <c r="AL349" s="140"/>
      <c r="AM349" s="140"/>
      <c r="AN349" s="140"/>
      <c r="AO349" s="140"/>
      <c r="AP349" s="384">
        <f t="shared" si="167"/>
        <v>0</v>
      </c>
      <c r="AQ349" s="136"/>
      <c r="AR349" s="136"/>
      <c r="AS349" s="136"/>
      <c r="AT349" s="385">
        <f t="shared" si="168"/>
        <v>0</v>
      </c>
      <c r="AU349" s="140"/>
      <c r="AV349" s="140"/>
      <c r="AW349" s="140"/>
      <c r="AX349" s="140"/>
      <c r="AY349" s="392"/>
      <c r="AZ349" s="432">
        <f t="shared" si="169"/>
        <v>0</v>
      </c>
      <c r="BA349" s="433"/>
      <c r="BB349" s="276"/>
      <c r="BC349" s="274"/>
      <c r="BD349" s="274"/>
      <c r="BE349" s="127"/>
      <c r="BF349" s="126"/>
      <c r="BG349" s="274"/>
      <c r="BH349" s="274"/>
      <c r="BI349" s="274"/>
      <c r="BJ349" s="274"/>
      <c r="BK349" s="389">
        <f t="shared" si="170"/>
        <v>0</v>
      </c>
      <c r="BL349" s="140">
        <f t="shared" si="171"/>
        <v>0</v>
      </c>
      <c r="BM349" s="132"/>
      <c r="BN349" s="140">
        <f t="shared" si="172"/>
        <v>0</v>
      </c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41"/>
      <c r="BY349" s="141"/>
      <c r="BZ349" s="141"/>
      <c r="CA349" s="141"/>
      <c r="CB349" s="390">
        <f t="shared" si="173"/>
        <v>0</v>
      </c>
      <c r="CC349" s="132"/>
    </row>
    <row r="350" ht="14.25" customHeight="1">
      <c r="A350" s="132"/>
      <c r="B350" s="306">
        <v>46336</v>
      </c>
      <c r="C350" s="133"/>
      <c r="D350" s="136"/>
      <c r="E350" s="135"/>
      <c r="F350" s="135"/>
      <c r="G350" s="431">
        <f t="shared" si="165"/>
        <v>0</v>
      </c>
      <c r="H350" s="525"/>
      <c r="I350" s="457"/>
      <c r="J350" s="454"/>
      <c r="K350" s="140"/>
      <c r="L350" s="140"/>
      <c r="M350" s="140"/>
      <c r="N350" s="140"/>
      <c r="O350" s="140"/>
      <c r="P350" s="456"/>
      <c r="Q350" s="456"/>
      <c r="R350" s="140"/>
      <c r="S350" s="140"/>
      <c r="T350" s="140"/>
      <c r="U350" s="140"/>
      <c r="V350" s="140"/>
      <c r="W350" s="140"/>
      <c r="X350" s="140"/>
      <c r="Y350" s="140"/>
      <c r="Z350" s="140"/>
      <c r="AA350" s="140"/>
      <c r="AB350" s="383">
        <f t="shared" si="166"/>
        <v>0</v>
      </c>
      <c r="AC350" s="140"/>
      <c r="AD350" s="140"/>
      <c r="AE350" s="140"/>
      <c r="AF350" s="140"/>
      <c r="AG350" s="140"/>
      <c r="AH350" s="140"/>
      <c r="AI350" s="140"/>
      <c r="AJ350" s="140"/>
      <c r="AK350" s="140"/>
      <c r="AL350" s="140"/>
      <c r="AM350" s="140"/>
      <c r="AN350" s="140"/>
      <c r="AO350" s="140"/>
      <c r="AP350" s="384">
        <f t="shared" si="167"/>
        <v>0</v>
      </c>
      <c r="AQ350" s="136"/>
      <c r="AR350" s="136"/>
      <c r="AS350" s="136"/>
      <c r="AT350" s="385">
        <f t="shared" si="168"/>
        <v>0</v>
      </c>
      <c r="AU350" s="140"/>
      <c r="AV350" s="140"/>
      <c r="AW350" s="140"/>
      <c r="AX350" s="140"/>
      <c r="AY350" s="392"/>
      <c r="AZ350" s="432">
        <f t="shared" si="169"/>
        <v>0</v>
      </c>
      <c r="BA350" s="433"/>
      <c r="BB350" s="276"/>
      <c r="BC350" s="274"/>
      <c r="BD350" s="274"/>
      <c r="BE350" s="127"/>
      <c r="BF350" s="126"/>
      <c r="BG350" s="274"/>
      <c r="BH350" s="274"/>
      <c r="BI350" s="274"/>
      <c r="BJ350" s="274"/>
      <c r="BK350" s="389">
        <f t="shared" si="170"/>
        <v>0</v>
      </c>
      <c r="BL350" s="140">
        <f t="shared" si="171"/>
        <v>0</v>
      </c>
      <c r="BM350" s="132"/>
      <c r="BN350" s="140">
        <f t="shared" si="172"/>
        <v>0</v>
      </c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41"/>
      <c r="BY350" s="141"/>
      <c r="BZ350" s="141"/>
      <c r="CA350" s="141"/>
      <c r="CB350" s="390">
        <f t="shared" si="173"/>
        <v>0</v>
      </c>
      <c r="CC350" s="132"/>
    </row>
    <row r="351" ht="14.25" customHeight="1">
      <c r="A351" s="132"/>
      <c r="B351" s="306">
        <v>46337</v>
      </c>
      <c r="C351" s="133"/>
      <c r="D351" s="136"/>
      <c r="E351" s="135"/>
      <c r="F351" s="135"/>
      <c r="G351" s="431">
        <f t="shared" si="165"/>
        <v>0</v>
      </c>
      <c r="H351" s="525"/>
      <c r="I351" s="457"/>
      <c r="J351" s="454"/>
      <c r="K351" s="140"/>
      <c r="L351" s="140"/>
      <c r="M351" s="140"/>
      <c r="N351" s="140"/>
      <c r="O351" s="140"/>
      <c r="P351" s="456"/>
      <c r="Q351" s="456"/>
      <c r="R351" s="140"/>
      <c r="S351" s="140"/>
      <c r="T351" s="140"/>
      <c r="U351" s="140"/>
      <c r="V351" s="140"/>
      <c r="W351" s="140"/>
      <c r="X351" s="140"/>
      <c r="Y351" s="140"/>
      <c r="Z351" s="140"/>
      <c r="AA351" s="140"/>
      <c r="AB351" s="383">
        <f t="shared" si="166"/>
        <v>0</v>
      </c>
      <c r="AC351" s="140"/>
      <c r="AD351" s="140"/>
      <c r="AE351" s="140"/>
      <c r="AF351" s="140"/>
      <c r="AG351" s="140"/>
      <c r="AH351" s="140"/>
      <c r="AI351" s="140"/>
      <c r="AJ351" s="140"/>
      <c r="AK351" s="140"/>
      <c r="AL351" s="140"/>
      <c r="AM351" s="140"/>
      <c r="AN351" s="140"/>
      <c r="AO351" s="140"/>
      <c r="AP351" s="384">
        <f t="shared" si="167"/>
        <v>0</v>
      </c>
      <c r="AQ351" s="136"/>
      <c r="AR351" s="136"/>
      <c r="AS351" s="136"/>
      <c r="AT351" s="385">
        <f t="shared" si="168"/>
        <v>0</v>
      </c>
      <c r="AU351" s="140"/>
      <c r="AV351" s="140"/>
      <c r="AW351" s="140"/>
      <c r="AX351" s="140"/>
      <c r="AY351" s="392"/>
      <c r="AZ351" s="432">
        <f t="shared" si="169"/>
        <v>0</v>
      </c>
      <c r="BA351" s="433"/>
      <c r="BB351" s="276"/>
      <c r="BC351" s="274"/>
      <c r="BD351" s="274"/>
      <c r="BE351" s="127"/>
      <c r="BF351" s="126"/>
      <c r="BG351" s="274"/>
      <c r="BH351" s="274"/>
      <c r="BI351" s="274"/>
      <c r="BJ351" s="274"/>
      <c r="BK351" s="389">
        <f t="shared" si="170"/>
        <v>0</v>
      </c>
      <c r="BL351" s="140">
        <f t="shared" si="171"/>
        <v>0</v>
      </c>
      <c r="BM351" s="132"/>
      <c r="BN351" s="140">
        <f t="shared" si="172"/>
        <v>0</v>
      </c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41"/>
      <c r="BY351" s="141"/>
      <c r="BZ351" s="141"/>
      <c r="CA351" s="141"/>
      <c r="CB351" s="390">
        <f t="shared" si="173"/>
        <v>0</v>
      </c>
      <c r="CC351" s="132"/>
    </row>
    <row r="352" ht="14.25" customHeight="1">
      <c r="A352" s="132"/>
      <c r="B352" s="306">
        <v>46338</v>
      </c>
      <c r="C352" s="133"/>
      <c r="D352" s="136"/>
      <c r="E352" s="135"/>
      <c r="F352" s="135"/>
      <c r="G352" s="431">
        <f t="shared" si="165"/>
        <v>0</v>
      </c>
      <c r="H352" s="525"/>
      <c r="I352" s="457"/>
      <c r="J352" s="454"/>
      <c r="K352" s="140"/>
      <c r="L352" s="140"/>
      <c r="M352" s="140"/>
      <c r="N352" s="140"/>
      <c r="O352" s="140"/>
      <c r="P352" s="456"/>
      <c r="Q352" s="456"/>
      <c r="R352" s="140"/>
      <c r="S352" s="140"/>
      <c r="T352" s="140"/>
      <c r="U352" s="140"/>
      <c r="V352" s="140"/>
      <c r="W352" s="140"/>
      <c r="X352" s="140"/>
      <c r="Y352" s="140"/>
      <c r="Z352" s="140"/>
      <c r="AA352" s="140"/>
      <c r="AB352" s="383">
        <f t="shared" si="166"/>
        <v>0</v>
      </c>
      <c r="AC352" s="140"/>
      <c r="AD352" s="140"/>
      <c r="AE352" s="140"/>
      <c r="AF352" s="140"/>
      <c r="AG352" s="140"/>
      <c r="AH352" s="140"/>
      <c r="AI352" s="140"/>
      <c r="AJ352" s="140"/>
      <c r="AK352" s="140"/>
      <c r="AL352" s="140"/>
      <c r="AM352" s="140"/>
      <c r="AN352" s="140"/>
      <c r="AO352" s="140"/>
      <c r="AP352" s="384">
        <f t="shared" si="167"/>
        <v>0</v>
      </c>
      <c r="AQ352" s="136"/>
      <c r="AR352" s="136"/>
      <c r="AS352" s="136"/>
      <c r="AT352" s="385">
        <f t="shared" si="168"/>
        <v>0</v>
      </c>
      <c r="AU352" s="140"/>
      <c r="AV352" s="140"/>
      <c r="AW352" s="140"/>
      <c r="AX352" s="140"/>
      <c r="AY352" s="392"/>
      <c r="AZ352" s="432">
        <f t="shared" si="169"/>
        <v>0</v>
      </c>
      <c r="BA352" s="433"/>
      <c r="BB352" s="276"/>
      <c r="BC352" s="274"/>
      <c r="BD352" s="274"/>
      <c r="BE352" s="127"/>
      <c r="BF352" s="126"/>
      <c r="BG352" s="274"/>
      <c r="BH352" s="274"/>
      <c r="BI352" s="274"/>
      <c r="BJ352" s="274"/>
      <c r="BK352" s="389">
        <f t="shared" si="170"/>
        <v>0</v>
      </c>
      <c r="BL352" s="140">
        <f t="shared" si="171"/>
        <v>0</v>
      </c>
      <c r="BM352" s="132"/>
      <c r="BN352" s="140">
        <f t="shared" si="172"/>
        <v>0</v>
      </c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41"/>
      <c r="BY352" s="141"/>
      <c r="BZ352" s="141"/>
      <c r="CA352" s="141"/>
      <c r="CB352" s="390">
        <f t="shared" si="173"/>
        <v>0</v>
      </c>
      <c r="CC352" s="132"/>
    </row>
    <row r="353" ht="14.25" customHeight="1">
      <c r="A353" s="132"/>
      <c r="B353" s="306">
        <v>46339</v>
      </c>
      <c r="C353" s="133"/>
      <c r="D353" s="136"/>
      <c r="E353" s="135"/>
      <c r="F353" s="135"/>
      <c r="G353" s="431">
        <f t="shared" si="165"/>
        <v>0</v>
      </c>
      <c r="H353" s="525"/>
      <c r="I353" s="457"/>
      <c r="J353" s="454"/>
      <c r="K353" s="140"/>
      <c r="L353" s="140"/>
      <c r="M353" s="140"/>
      <c r="N353" s="140"/>
      <c r="O353" s="140"/>
      <c r="P353" s="456"/>
      <c r="Q353" s="456"/>
      <c r="R353" s="140"/>
      <c r="S353" s="140"/>
      <c r="T353" s="140"/>
      <c r="U353" s="140"/>
      <c r="V353" s="140"/>
      <c r="W353" s="140"/>
      <c r="X353" s="140"/>
      <c r="Y353" s="140"/>
      <c r="Z353" s="140"/>
      <c r="AA353" s="140"/>
      <c r="AB353" s="383">
        <f t="shared" si="166"/>
        <v>0</v>
      </c>
      <c r="AC353" s="140"/>
      <c r="AD353" s="140"/>
      <c r="AE353" s="140"/>
      <c r="AF353" s="140"/>
      <c r="AG353" s="140"/>
      <c r="AH353" s="140"/>
      <c r="AI353" s="140"/>
      <c r="AJ353" s="140"/>
      <c r="AK353" s="140"/>
      <c r="AL353" s="140"/>
      <c r="AM353" s="140"/>
      <c r="AN353" s="140"/>
      <c r="AO353" s="140"/>
      <c r="AP353" s="384">
        <f t="shared" si="167"/>
        <v>0</v>
      </c>
      <c r="AQ353" s="136"/>
      <c r="AR353" s="136"/>
      <c r="AS353" s="136"/>
      <c r="AT353" s="385">
        <f t="shared" si="168"/>
        <v>0</v>
      </c>
      <c r="AU353" s="140"/>
      <c r="AV353" s="140"/>
      <c r="AW353" s="140"/>
      <c r="AX353" s="140"/>
      <c r="AY353" s="392"/>
      <c r="AZ353" s="432">
        <f t="shared" si="169"/>
        <v>0</v>
      </c>
      <c r="BA353" s="433"/>
      <c r="BB353" s="276"/>
      <c r="BC353" s="274"/>
      <c r="BD353" s="274"/>
      <c r="BE353" s="127"/>
      <c r="BF353" s="126"/>
      <c r="BG353" s="274"/>
      <c r="BH353" s="274"/>
      <c r="BI353" s="274"/>
      <c r="BJ353" s="274"/>
      <c r="BK353" s="389">
        <f t="shared" si="170"/>
        <v>0</v>
      </c>
      <c r="BL353" s="140">
        <f t="shared" si="171"/>
        <v>0</v>
      </c>
      <c r="BM353" s="132"/>
      <c r="BN353" s="140">
        <f t="shared" si="172"/>
        <v>0</v>
      </c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41"/>
      <c r="BY353" s="141"/>
      <c r="BZ353" s="141"/>
      <c r="CA353" s="141"/>
      <c r="CB353" s="390">
        <f t="shared" si="173"/>
        <v>0</v>
      </c>
      <c r="CC353" s="132"/>
    </row>
    <row r="354" ht="14.25" customHeight="1">
      <c r="A354" s="132"/>
      <c r="B354" s="306">
        <v>46340</v>
      </c>
      <c r="C354" s="133"/>
      <c r="D354" s="136"/>
      <c r="E354" s="135"/>
      <c r="F354" s="135"/>
      <c r="G354" s="431">
        <f t="shared" si="165"/>
        <v>0</v>
      </c>
      <c r="H354" s="525"/>
      <c r="I354" s="457"/>
      <c r="J354" s="454"/>
      <c r="K354" s="140"/>
      <c r="L354" s="140"/>
      <c r="M354" s="140"/>
      <c r="N354" s="140"/>
      <c r="O354" s="140"/>
      <c r="P354" s="456"/>
      <c r="Q354" s="456"/>
      <c r="R354" s="140"/>
      <c r="S354" s="140"/>
      <c r="T354" s="140"/>
      <c r="U354" s="140"/>
      <c r="V354" s="140"/>
      <c r="W354" s="140"/>
      <c r="X354" s="140"/>
      <c r="Y354" s="140"/>
      <c r="Z354" s="140"/>
      <c r="AA354" s="140"/>
      <c r="AB354" s="383">
        <f t="shared" si="166"/>
        <v>0</v>
      </c>
      <c r="AC354" s="140"/>
      <c r="AD354" s="140"/>
      <c r="AE354" s="140"/>
      <c r="AF354" s="140"/>
      <c r="AG354" s="140"/>
      <c r="AH354" s="140"/>
      <c r="AI354" s="140"/>
      <c r="AJ354" s="140"/>
      <c r="AK354" s="140"/>
      <c r="AL354" s="140"/>
      <c r="AM354" s="140"/>
      <c r="AN354" s="140"/>
      <c r="AO354" s="140"/>
      <c r="AP354" s="384">
        <f t="shared" si="167"/>
        <v>0</v>
      </c>
      <c r="AQ354" s="136"/>
      <c r="AR354" s="136"/>
      <c r="AS354" s="136"/>
      <c r="AT354" s="385">
        <f t="shared" si="168"/>
        <v>0</v>
      </c>
      <c r="AU354" s="140"/>
      <c r="AV354" s="140"/>
      <c r="AW354" s="140"/>
      <c r="AX354" s="140"/>
      <c r="AY354" s="392"/>
      <c r="AZ354" s="432">
        <f t="shared" si="169"/>
        <v>0</v>
      </c>
      <c r="BA354" s="433"/>
      <c r="BB354" s="276"/>
      <c r="BC354" s="274"/>
      <c r="BD354" s="274"/>
      <c r="BE354" s="127"/>
      <c r="BF354" s="126"/>
      <c r="BG354" s="274"/>
      <c r="BH354" s="274"/>
      <c r="BI354" s="274"/>
      <c r="BJ354" s="274"/>
      <c r="BK354" s="389">
        <f t="shared" si="170"/>
        <v>0</v>
      </c>
      <c r="BL354" s="140">
        <f t="shared" si="171"/>
        <v>0</v>
      </c>
      <c r="BM354" s="132"/>
      <c r="BN354" s="140">
        <f t="shared" si="172"/>
        <v>0</v>
      </c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41"/>
      <c r="BY354" s="141"/>
      <c r="BZ354" s="141"/>
      <c r="CA354" s="141"/>
      <c r="CB354" s="390">
        <f t="shared" si="173"/>
        <v>0</v>
      </c>
      <c r="CC354" s="132"/>
    </row>
    <row r="355" ht="14.25" customHeight="1">
      <c r="A355" s="132"/>
      <c r="B355" s="306">
        <v>46341</v>
      </c>
      <c r="C355" s="133"/>
      <c r="D355" s="136"/>
      <c r="E355" s="135"/>
      <c r="F355" s="135"/>
      <c r="G355" s="431">
        <f t="shared" si="165"/>
        <v>0</v>
      </c>
      <c r="H355" s="525"/>
      <c r="I355" s="457"/>
      <c r="J355" s="454"/>
      <c r="K355" s="140"/>
      <c r="L355" s="140"/>
      <c r="M355" s="140"/>
      <c r="N355" s="136"/>
      <c r="O355" s="136"/>
      <c r="P355" s="456"/>
      <c r="Q355" s="456"/>
      <c r="R355" s="140"/>
      <c r="S355" s="140"/>
      <c r="T355" s="140"/>
      <c r="U355" s="140"/>
      <c r="V355" s="140"/>
      <c r="W355" s="140"/>
      <c r="X355" s="140"/>
      <c r="Y355" s="140"/>
      <c r="Z355" s="140"/>
      <c r="AA355" s="140"/>
      <c r="AB355" s="383">
        <f t="shared" si="166"/>
        <v>0</v>
      </c>
      <c r="AC355" s="140"/>
      <c r="AD355" s="140"/>
      <c r="AE355" s="140"/>
      <c r="AF355" s="140"/>
      <c r="AG355" s="140"/>
      <c r="AH355" s="140"/>
      <c r="AI355" s="140"/>
      <c r="AJ355" s="140"/>
      <c r="AK355" s="140"/>
      <c r="AL355" s="140"/>
      <c r="AM355" s="140"/>
      <c r="AN355" s="140"/>
      <c r="AO355" s="140"/>
      <c r="AP355" s="384">
        <f t="shared" si="167"/>
        <v>0</v>
      </c>
      <c r="AQ355" s="136"/>
      <c r="AR355" s="136"/>
      <c r="AS355" s="136"/>
      <c r="AT355" s="385">
        <f t="shared" si="168"/>
        <v>0</v>
      </c>
      <c r="AU355" s="140"/>
      <c r="AV355" s="140"/>
      <c r="AW355" s="140"/>
      <c r="AX355" s="140"/>
      <c r="AY355" s="392"/>
      <c r="AZ355" s="432">
        <f t="shared" si="169"/>
        <v>0</v>
      </c>
      <c r="BA355" s="433"/>
      <c r="BB355" s="276"/>
      <c r="BC355" s="274"/>
      <c r="BD355" s="274"/>
      <c r="BE355" s="127"/>
      <c r="BF355" s="126"/>
      <c r="BG355" s="274"/>
      <c r="BH355" s="274"/>
      <c r="BI355" s="274"/>
      <c r="BJ355" s="274"/>
      <c r="BK355" s="389">
        <f t="shared" si="170"/>
        <v>0</v>
      </c>
      <c r="BL355" s="140">
        <f t="shared" si="171"/>
        <v>0</v>
      </c>
      <c r="BM355" s="132"/>
      <c r="BN355" s="140">
        <f t="shared" si="172"/>
        <v>0</v>
      </c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41"/>
      <c r="BY355" s="141"/>
      <c r="BZ355" s="141"/>
      <c r="CA355" s="141"/>
      <c r="CB355" s="390">
        <f t="shared" si="173"/>
        <v>0</v>
      </c>
      <c r="CC355" s="132"/>
    </row>
    <row r="356" ht="14.25" customHeight="1">
      <c r="A356" s="132"/>
      <c r="B356" s="306">
        <v>46342</v>
      </c>
      <c r="C356" s="133"/>
      <c r="D356" s="136"/>
      <c r="E356" s="135"/>
      <c r="F356" s="135"/>
      <c r="G356" s="431">
        <f t="shared" si="165"/>
        <v>0</v>
      </c>
      <c r="H356" s="525"/>
      <c r="I356" s="457"/>
      <c r="J356" s="454"/>
      <c r="K356" s="392"/>
      <c r="L356" s="392"/>
      <c r="M356" s="392"/>
      <c r="N356" s="135"/>
      <c r="O356" s="136"/>
      <c r="P356" s="554"/>
      <c r="Q356" s="554"/>
      <c r="R356" s="140"/>
      <c r="S356" s="140"/>
      <c r="T356" s="140"/>
      <c r="U356" s="140"/>
      <c r="V356" s="140"/>
      <c r="W356" s="140"/>
      <c r="X356" s="140"/>
      <c r="Y356" s="140"/>
      <c r="Z356" s="140"/>
      <c r="AA356" s="140"/>
      <c r="AB356" s="383">
        <f t="shared" si="166"/>
        <v>0</v>
      </c>
      <c r="AC356" s="140"/>
      <c r="AD356" s="140"/>
      <c r="AE356" s="140"/>
      <c r="AF356" s="140"/>
      <c r="AG356" s="140"/>
      <c r="AH356" s="140"/>
      <c r="AI356" s="140"/>
      <c r="AJ356" s="140"/>
      <c r="AK356" s="140"/>
      <c r="AL356" s="140"/>
      <c r="AM356" s="140"/>
      <c r="AN356" s="140"/>
      <c r="AO356" s="140"/>
      <c r="AP356" s="384">
        <f t="shared" si="167"/>
        <v>0</v>
      </c>
      <c r="AQ356" s="136"/>
      <c r="AR356" s="136"/>
      <c r="AS356" s="136"/>
      <c r="AT356" s="385">
        <f t="shared" si="168"/>
        <v>0</v>
      </c>
      <c r="AU356" s="140"/>
      <c r="AV356" s="140"/>
      <c r="AW356" s="140"/>
      <c r="AX356" s="140"/>
      <c r="AY356" s="392"/>
      <c r="AZ356" s="432">
        <f t="shared" si="169"/>
        <v>0</v>
      </c>
      <c r="BA356" s="433"/>
      <c r="BB356" s="276"/>
      <c r="BC356" s="274"/>
      <c r="BD356" s="274"/>
      <c r="BE356" s="127"/>
      <c r="BF356" s="126"/>
      <c r="BG356" s="274"/>
      <c r="BH356" s="274"/>
      <c r="BI356" s="274"/>
      <c r="BJ356" s="274"/>
      <c r="BK356" s="389">
        <f t="shared" si="170"/>
        <v>0</v>
      </c>
      <c r="BL356" s="140">
        <f t="shared" si="171"/>
        <v>0</v>
      </c>
      <c r="BM356" s="132"/>
      <c r="BN356" s="140">
        <f t="shared" si="172"/>
        <v>0</v>
      </c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41"/>
      <c r="BY356" s="141"/>
      <c r="BZ356" s="141"/>
      <c r="CA356" s="141"/>
      <c r="CB356" s="390">
        <f t="shared" si="173"/>
        <v>0</v>
      </c>
      <c r="CC356" s="132"/>
    </row>
    <row r="357" ht="14.25" customHeight="1">
      <c r="A357" s="132"/>
      <c r="B357" s="306">
        <v>46343</v>
      </c>
      <c r="C357" s="133"/>
      <c r="D357" s="136"/>
      <c r="E357" s="135"/>
      <c r="F357" s="135"/>
      <c r="G357" s="431">
        <f t="shared" si="165"/>
        <v>0</v>
      </c>
      <c r="H357" s="525"/>
      <c r="I357" s="457"/>
      <c r="J357" s="454"/>
      <c r="K357" s="392"/>
      <c r="L357" s="392"/>
      <c r="M357" s="392"/>
      <c r="N357" s="135"/>
      <c r="O357" s="136"/>
      <c r="P357" s="554"/>
      <c r="Q357" s="554"/>
      <c r="R357" s="140"/>
      <c r="S357" s="140"/>
      <c r="T357" s="140"/>
      <c r="U357" s="140"/>
      <c r="V357" s="140"/>
      <c r="W357" s="140"/>
      <c r="X357" s="140"/>
      <c r="Y357" s="140"/>
      <c r="Z357" s="140"/>
      <c r="AA357" s="140"/>
      <c r="AB357" s="383">
        <f t="shared" si="166"/>
        <v>0</v>
      </c>
      <c r="AC357" s="140"/>
      <c r="AD357" s="140"/>
      <c r="AE357" s="140"/>
      <c r="AF357" s="140"/>
      <c r="AG357" s="140"/>
      <c r="AH357" s="140"/>
      <c r="AI357" s="140"/>
      <c r="AJ357" s="140"/>
      <c r="AK357" s="140"/>
      <c r="AL357" s="140"/>
      <c r="AM357" s="140"/>
      <c r="AN357" s="140"/>
      <c r="AO357" s="140"/>
      <c r="AP357" s="384">
        <f t="shared" si="167"/>
        <v>0</v>
      </c>
      <c r="AQ357" s="136"/>
      <c r="AR357" s="136"/>
      <c r="AS357" s="136"/>
      <c r="AT357" s="385">
        <f t="shared" si="168"/>
        <v>0</v>
      </c>
      <c r="AU357" s="140"/>
      <c r="AV357" s="140"/>
      <c r="AW357" s="140"/>
      <c r="AX357" s="140"/>
      <c r="AY357" s="392"/>
      <c r="AZ357" s="432">
        <f t="shared" si="169"/>
        <v>0</v>
      </c>
      <c r="BA357" s="433"/>
      <c r="BB357" s="276"/>
      <c r="BC357" s="274"/>
      <c r="BD357" s="274"/>
      <c r="BE357" s="127"/>
      <c r="BF357" s="126"/>
      <c r="BG357" s="274"/>
      <c r="BH357" s="274"/>
      <c r="BI357" s="274"/>
      <c r="BJ357" s="274"/>
      <c r="BK357" s="389">
        <f t="shared" si="170"/>
        <v>0</v>
      </c>
      <c r="BL357" s="140">
        <f t="shared" si="171"/>
        <v>0</v>
      </c>
      <c r="BM357" s="132"/>
      <c r="BN357" s="140">
        <f t="shared" si="172"/>
        <v>0</v>
      </c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41"/>
      <c r="BY357" s="141"/>
      <c r="BZ357" s="141"/>
      <c r="CA357" s="141"/>
      <c r="CB357" s="390">
        <f t="shared" si="173"/>
        <v>0</v>
      </c>
      <c r="CC357" s="132"/>
    </row>
    <row r="358" ht="14.25" customHeight="1">
      <c r="A358" s="132"/>
      <c r="B358" s="306">
        <v>46344</v>
      </c>
      <c r="C358" s="133"/>
      <c r="D358" s="136"/>
      <c r="E358" s="135"/>
      <c r="F358" s="135"/>
      <c r="G358" s="431">
        <f t="shared" si="165"/>
        <v>0</v>
      </c>
      <c r="H358" s="525"/>
      <c r="I358" s="457"/>
      <c r="J358" s="454"/>
      <c r="K358" s="392"/>
      <c r="L358" s="392"/>
      <c r="M358" s="392"/>
      <c r="N358" s="135"/>
      <c r="O358" s="136"/>
      <c r="P358" s="554"/>
      <c r="Q358" s="554"/>
      <c r="R358" s="140"/>
      <c r="S358" s="140"/>
      <c r="T358" s="140"/>
      <c r="U358" s="140"/>
      <c r="V358" s="140"/>
      <c r="W358" s="140"/>
      <c r="X358" s="140"/>
      <c r="Y358" s="140"/>
      <c r="Z358" s="140"/>
      <c r="AA358" s="140"/>
      <c r="AB358" s="383">
        <f t="shared" si="166"/>
        <v>0</v>
      </c>
      <c r="AC358" s="140"/>
      <c r="AD358" s="140"/>
      <c r="AE358" s="140"/>
      <c r="AF358" s="140"/>
      <c r="AG358" s="140"/>
      <c r="AH358" s="140"/>
      <c r="AI358" s="140"/>
      <c r="AJ358" s="140"/>
      <c r="AK358" s="140"/>
      <c r="AL358" s="140"/>
      <c r="AM358" s="140"/>
      <c r="AN358" s="140"/>
      <c r="AO358" s="140"/>
      <c r="AP358" s="384">
        <f t="shared" si="167"/>
        <v>0</v>
      </c>
      <c r="AQ358" s="136"/>
      <c r="AR358" s="136"/>
      <c r="AS358" s="136"/>
      <c r="AT358" s="385">
        <f t="shared" si="168"/>
        <v>0</v>
      </c>
      <c r="AU358" s="140"/>
      <c r="AV358" s="140"/>
      <c r="AW358" s="140"/>
      <c r="AX358" s="140"/>
      <c r="AY358" s="392"/>
      <c r="AZ358" s="432">
        <f t="shared" si="169"/>
        <v>0</v>
      </c>
      <c r="BA358" s="433"/>
      <c r="BB358" s="276"/>
      <c r="BC358" s="274"/>
      <c r="BD358" s="274"/>
      <c r="BE358" s="127"/>
      <c r="BF358" s="126"/>
      <c r="BG358" s="274"/>
      <c r="BH358" s="274"/>
      <c r="BI358" s="274"/>
      <c r="BJ358" s="274"/>
      <c r="BK358" s="389">
        <f t="shared" si="170"/>
        <v>0</v>
      </c>
      <c r="BL358" s="140">
        <f t="shared" si="171"/>
        <v>0</v>
      </c>
      <c r="BM358" s="132"/>
      <c r="BN358" s="140">
        <f t="shared" si="172"/>
        <v>0</v>
      </c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41"/>
      <c r="BY358" s="141"/>
      <c r="BZ358" s="141"/>
      <c r="CA358" s="141"/>
      <c r="CB358" s="390">
        <f t="shared" si="173"/>
        <v>0</v>
      </c>
      <c r="CC358" s="132"/>
    </row>
    <row r="359" ht="14.25" customHeight="1">
      <c r="A359" s="132"/>
      <c r="B359" s="306">
        <v>46345</v>
      </c>
      <c r="C359" s="133"/>
      <c r="D359" s="136"/>
      <c r="E359" s="135"/>
      <c r="F359" s="135"/>
      <c r="G359" s="431">
        <f t="shared" si="165"/>
        <v>0</v>
      </c>
      <c r="H359" s="525"/>
      <c r="I359" s="457"/>
      <c r="J359" s="454"/>
      <c r="K359" s="392"/>
      <c r="L359" s="392"/>
      <c r="M359" s="392"/>
      <c r="N359" s="135"/>
      <c r="O359" s="136"/>
      <c r="P359" s="554"/>
      <c r="Q359" s="554"/>
      <c r="R359" s="140"/>
      <c r="S359" s="140"/>
      <c r="T359" s="140"/>
      <c r="U359" s="140"/>
      <c r="V359" s="140"/>
      <c r="W359" s="140"/>
      <c r="X359" s="140"/>
      <c r="Y359" s="140"/>
      <c r="Z359" s="140"/>
      <c r="AA359" s="140"/>
      <c r="AB359" s="383">
        <f t="shared" si="166"/>
        <v>0</v>
      </c>
      <c r="AC359" s="140"/>
      <c r="AD359" s="140"/>
      <c r="AE359" s="140"/>
      <c r="AF359" s="140"/>
      <c r="AG359" s="140"/>
      <c r="AH359" s="140"/>
      <c r="AI359" s="140"/>
      <c r="AJ359" s="140"/>
      <c r="AK359" s="140"/>
      <c r="AL359" s="140"/>
      <c r="AM359" s="140"/>
      <c r="AN359" s="140"/>
      <c r="AO359" s="140"/>
      <c r="AP359" s="384">
        <f t="shared" si="167"/>
        <v>0</v>
      </c>
      <c r="AQ359" s="136"/>
      <c r="AR359" s="136"/>
      <c r="AS359" s="136"/>
      <c r="AT359" s="385">
        <f t="shared" si="168"/>
        <v>0</v>
      </c>
      <c r="AU359" s="140"/>
      <c r="AV359" s="140"/>
      <c r="AW359" s="140"/>
      <c r="AX359" s="140"/>
      <c r="AY359" s="392"/>
      <c r="AZ359" s="432">
        <f t="shared" si="169"/>
        <v>0</v>
      </c>
      <c r="BA359" s="433"/>
      <c r="BB359" s="276"/>
      <c r="BC359" s="274"/>
      <c r="BD359" s="274"/>
      <c r="BE359" s="127"/>
      <c r="BF359" s="126"/>
      <c r="BG359" s="274"/>
      <c r="BH359" s="274"/>
      <c r="BI359" s="274"/>
      <c r="BJ359" s="274"/>
      <c r="BK359" s="389">
        <f t="shared" si="170"/>
        <v>0</v>
      </c>
      <c r="BL359" s="140">
        <f t="shared" si="171"/>
        <v>0</v>
      </c>
      <c r="BM359" s="132"/>
      <c r="BN359" s="140">
        <f t="shared" si="172"/>
        <v>0</v>
      </c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41"/>
      <c r="BY359" s="141"/>
      <c r="BZ359" s="141"/>
      <c r="CA359" s="141"/>
      <c r="CB359" s="390">
        <f t="shared" si="173"/>
        <v>0</v>
      </c>
      <c r="CC359" s="132"/>
    </row>
    <row r="360" ht="14.25" customHeight="1">
      <c r="A360" s="132"/>
      <c r="B360" s="306">
        <v>46346</v>
      </c>
      <c r="C360" s="133"/>
      <c r="D360" s="136"/>
      <c r="E360" s="135"/>
      <c r="F360" s="135"/>
      <c r="G360" s="431">
        <f t="shared" si="165"/>
        <v>0</v>
      </c>
      <c r="H360" s="525"/>
      <c r="I360" s="457"/>
      <c r="J360" s="454"/>
      <c r="K360" s="392"/>
      <c r="L360" s="392"/>
      <c r="M360" s="392"/>
      <c r="N360" s="135"/>
      <c r="O360" s="136"/>
      <c r="P360" s="554"/>
      <c r="Q360" s="554"/>
      <c r="R360" s="140"/>
      <c r="S360" s="140"/>
      <c r="T360" s="140"/>
      <c r="U360" s="140"/>
      <c r="V360" s="140"/>
      <c r="W360" s="140"/>
      <c r="X360" s="140"/>
      <c r="Y360" s="140"/>
      <c r="Z360" s="140"/>
      <c r="AA360" s="140"/>
      <c r="AB360" s="383">
        <f t="shared" si="166"/>
        <v>0</v>
      </c>
      <c r="AC360" s="140"/>
      <c r="AD360" s="140"/>
      <c r="AE360" s="140"/>
      <c r="AF360" s="140"/>
      <c r="AG360" s="140"/>
      <c r="AH360" s="140"/>
      <c r="AI360" s="140"/>
      <c r="AJ360" s="140"/>
      <c r="AK360" s="140"/>
      <c r="AL360" s="140"/>
      <c r="AM360" s="140"/>
      <c r="AN360" s="140"/>
      <c r="AO360" s="140"/>
      <c r="AP360" s="384">
        <f t="shared" si="167"/>
        <v>0</v>
      </c>
      <c r="AQ360" s="136"/>
      <c r="AR360" s="136"/>
      <c r="AS360" s="136"/>
      <c r="AT360" s="385">
        <f t="shared" si="168"/>
        <v>0</v>
      </c>
      <c r="AU360" s="140"/>
      <c r="AV360" s="140"/>
      <c r="AW360" s="140"/>
      <c r="AX360" s="140"/>
      <c r="AY360" s="392"/>
      <c r="AZ360" s="432">
        <f t="shared" si="169"/>
        <v>0</v>
      </c>
      <c r="BA360" s="433"/>
      <c r="BB360" s="276"/>
      <c r="BC360" s="274"/>
      <c r="BD360" s="274"/>
      <c r="BE360" s="127"/>
      <c r="BF360" s="126"/>
      <c r="BG360" s="274"/>
      <c r="BH360" s="274"/>
      <c r="BI360" s="274"/>
      <c r="BJ360" s="274"/>
      <c r="BK360" s="389">
        <f t="shared" si="170"/>
        <v>0</v>
      </c>
      <c r="BL360" s="140">
        <f t="shared" si="171"/>
        <v>0</v>
      </c>
      <c r="BM360" s="132"/>
      <c r="BN360" s="140">
        <f t="shared" si="172"/>
        <v>0</v>
      </c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41"/>
      <c r="BY360" s="141"/>
      <c r="BZ360" s="141"/>
      <c r="CA360" s="141"/>
      <c r="CB360" s="390">
        <f t="shared" si="173"/>
        <v>0</v>
      </c>
      <c r="CC360" s="132"/>
    </row>
    <row r="361" ht="14.25" customHeight="1">
      <c r="A361" s="132"/>
      <c r="B361" s="306">
        <v>46347</v>
      </c>
      <c r="C361" s="133"/>
      <c r="D361" s="136"/>
      <c r="E361" s="135"/>
      <c r="F361" s="135"/>
      <c r="G361" s="431">
        <f t="shared" si="165"/>
        <v>0</v>
      </c>
      <c r="H361" s="525"/>
      <c r="I361" s="457"/>
      <c r="J361" s="454"/>
      <c r="K361" s="392"/>
      <c r="L361" s="392"/>
      <c r="M361" s="392"/>
      <c r="N361" s="135"/>
      <c r="O361" s="136"/>
      <c r="P361" s="554"/>
      <c r="Q361" s="554"/>
      <c r="R361" s="140"/>
      <c r="S361" s="140"/>
      <c r="T361" s="140"/>
      <c r="U361" s="140"/>
      <c r="V361" s="140"/>
      <c r="W361" s="140"/>
      <c r="X361" s="140"/>
      <c r="Y361" s="140"/>
      <c r="Z361" s="140"/>
      <c r="AA361" s="140"/>
      <c r="AB361" s="383">
        <f t="shared" si="166"/>
        <v>0</v>
      </c>
      <c r="AC361" s="140"/>
      <c r="AD361" s="140"/>
      <c r="AE361" s="140"/>
      <c r="AF361" s="140"/>
      <c r="AG361" s="140"/>
      <c r="AH361" s="140"/>
      <c r="AI361" s="140"/>
      <c r="AJ361" s="140"/>
      <c r="AK361" s="140"/>
      <c r="AL361" s="140"/>
      <c r="AM361" s="140"/>
      <c r="AN361" s="140"/>
      <c r="AO361" s="140"/>
      <c r="AP361" s="384">
        <f t="shared" si="167"/>
        <v>0</v>
      </c>
      <c r="AQ361" s="136"/>
      <c r="AR361" s="136"/>
      <c r="AS361" s="136"/>
      <c r="AT361" s="385">
        <f t="shared" si="168"/>
        <v>0</v>
      </c>
      <c r="AU361" s="140"/>
      <c r="AV361" s="140"/>
      <c r="AW361" s="140"/>
      <c r="AX361" s="140"/>
      <c r="AY361" s="392"/>
      <c r="AZ361" s="432">
        <f t="shared" si="169"/>
        <v>0</v>
      </c>
      <c r="BA361" s="433"/>
      <c r="BB361" s="276"/>
      <c r="BC361" s="274"/>
      <c r="BD361" s="274"/>
      <c r="BE361" s="127"/>
      <c r="BF361" s="126"/>
      <c r="BG361" s="274"/>
      <c r="BH361" s="274"/>
      <c r="BI361" s="274"/>
      <c r="BJ361" s="274"/>
      <c r="BK361" s="389">
        <f t="shared" si="170"/>
        <v>0</v>
      </c>
      <c r="BL361" s="140">
        <f t="shared" si="171"/>
        <v>0</v>
      </c>
      <c r="BM361" s="132"/>
      <c r="BN361" s="140">
        <f t="shared" si="172"/>
        <v>0</v>
      </c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41"/>
      <c r="BY361" s="141"/>
      <c r="BZ361" s="141"/>
      <c r="CA361" s="141"/>
      <c r="CB361" s="390">
        <f t="shared" si="173"/>
        <v>0</v>
      </c>
      <c r="CC361" s="132"/>
    </row>
    <row r="362" ht="14.25" customHeight="1">
      <c r="A362" s="132"/>
      <c r="B362" s="306">
        <v>46348</v>
      </c>
      <c r="C362" s="133"/>
      <c r="D362" s="136"/>
      <c r="E362" s="135"/>
      <c r="F362" s="135"/>
      <c r="G362" s="431">
        <f t="shared" si="165"/>
        <v>0</v>
      </c>
      <c r="H362" s="525"/>
      <c r="I362" s="457"/>
      <c r="J362" s="454"/>
      <c r="K362" s="392"/>
      <c r="L362" s="392"/>
      <c r="M362" s="392"/>
      <c r="N362" s="135"/>
      <c r="O362" s="136"/>
      <c r="P362" s="554"/>
      <c r="Q362" s="554"/>
      <c r="R362" s="140"/>
      <c r="S362" s="140"/>
      <c r="T362" s="140"/>
      <c r="U362" s="140"/>
      <c r="V362" s="140"/>
      <c r="W362" s="140"/>
      <c r="X362" s="140"/>
      <c r="Y362" s="140"/>
      <c r="Z362" s="140"/>
      <c r="AA362" s="140"/>
      <c r="AB362" s="383">
        <f ref="AB362:AB370" t="shared" si="174">SUM(H362:AA362)</f>
        <v>0</v>
      </c>
      <c r="AC362" s="140"/>
      <c r="AD362" s="140"/>
      <c r="AE362" s="140"/>
      <c r="AF362" s="140"/>
      <c r="AG362" s="140"/>
      <c r="AH362" s="140"/>
      <c r="AI362" s="140"/>
      <c r="AJ362" s="140"/>
      <c r="AK362" s="140"/>
      <c r="AL362" s="140"/>
      <c r="AM362" s="140"/>
      <c r="AN362" s="140"/>
      <c r="AO362" s="140"/>
      <c r="AP362" s="384">
        <f t="shared" si="167"/>
        <v>0</v>
      </c>
      <c r="AQ362" s="136"/>
      <c r="AR362" s="136"/>
      <c r="AS362" s="136"/>
      <c r="AT362" s="385">
        <f t="shared" si="168"/>
        <v>0</v>
      </c>
      <c r="AU362" s="140"/>
      <c r="AV362" s="140"/>
      <c r="AW362" s="140"/>
      <c r="AX362" s="140"/>
      <c r="AY362" s="392"/>
      <c r="AZ362" s="432">
        <f t="shared" si="169"/>
        <v>0</v>
      </c>
      <c r="BA362" s="433"/>
      <c r="BB362" s="276"/>
      <c r="BC362" s="274"/>
      <c r="BD362" s="274"/>
      <c r="BE362" s="127"/>
      <c r="BF362" s="126"/>
      <c r="BG362" s="274"/>
      <c r="BH362" s="274"/>
      <c r="BI362" s="274"/>
      <c r="BJ362" s="274"/>
      <c r="BK362" s="389">
        <f t="shared" si="170"/>
        <v>0</v>
      </c>
      <c r="BL362" s="140">
        <f t="shared" si="171"/>
        <v>0</v>
      </c>
      <c r="BM362" s="132"/>
      <c r="BN362" s="140">
        <f t="shared" si="172"/>
        <v>0</v>
      </c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41"/>
      <c r="BY362" s="141"/>
      <c r="BZ362" s="141"/>
      <c r="CA362" s="141"/>
      <c r="CB362" s="390">
        <f t="shared" si="173"/>
        <v>0</v>
      </c>
      <c r="CC362" s="132"/>
    </row>
    <row r="363" ht="14.25" customHeight="1">
      <c r="A363" s="132"/>
      <c r="B363" s="306">
        <v>46349</v>
      </c>
      <c r="C363" s="133"/>
      <c r="D363" s="136"/>
      <c r="E363" s="135"/>
      <c r="F363" s="135"/>
      <c r="G363" s="431">
        <f t="shared" si="165"/>
        <v>0</v>
      </c>
      <c r="H363" s="525"/>
      <c r="I363" s="457"/>
      <c r="J363" s="454"/>
      <c r="K363" s="392"/>
      <c r="L363" s="392"/>
      <c r="M363" s="392"/>
      <c r="N363" s="392"/>
      <c r="O363" s="140"/>
      <c r="P363" s="554"/>
      <c r="Q363" s="554"/>
      <c r="R363" s="140"/>
      <c r="S363" s="140"/>
      <c r="T363" s="140"/>
      <c r="U363" s="140"/>
      <c r="V363" s="140"/>
      <c r="W363" s="140"/>
      <c r="X363" s="140"/>
      <c r="Y363" s="140"/>
      <c r="Z363" s="140"/>
      <c r="AA363" s="140"/>
      <c r="AB363" s="383">
        <f t="shared" si="174"/>
        <v>0</v>
      </c>
      <c r="AC363" s="140"/>
      <c r="AD363" s="140"/>
      <c r="AE363" s="140"/>
      <c r="AF363" s="140"/>
      <c r="AG363" s="140"/>
      <c r="AH363" s="140"/>
      <c r="AI363" s="140"/>
      <c r="AJ363" s="140"/>
      <c r="AK363" s="140"/>
      <c r="AL363" s="140"/>
      <c r="AM363" s="140"/>
      <c r="AN363" s="140"/>
      <c r="AO363" s="140"/>
      <c r="AP363" s="384">
        <f t="shared" si="167"/>
        <v>0</v>
      </c>
      <c r="AQ363" s="136"/>
      <c r="AR363" s="136"/>
      <c r="AS363" s="136"/>
      <c r="AT363" s="385">
        <f t="shared" si="168"/>
        <v>0</v>
      </c>
      <c r="AU363" s="140"/>
      <c r="AV363" s="140"/>
      <c r="AW363" s="140"/>
      <c r="AX363" s="140"/>
      <c r="AY363" s="392"/>
      <c r="AZ363" s="432">
        <f t="shared" si="169"/>
        <v>0</v>
      </c>
      <c r="BA363" s="433"/>
      <c r="BB363" s="276"/>
      <c r="BC363" s="274"/>
      <c r="BD363" s="274"/>
      <c r="BE363" s="127"/>
      <c r="BF363" s="126"/>
      <c r="BG363" s="274"/>
      <c r="BH363" s="274"/>
      <c r="BI363" s="274"/>
      <c r="BJ363" s="274"/>
      <c r="BK363" s="389">
        <f t="shared" si="170"/>
        <v>0</v>
      </c>
      <c r="BL363" s="140">
        <f t="shared" si="171"/>
        <v>0</v>
      </c>
      <c r="BM363" s="132"/>
      <c r="BN363" s="140">
        <f t="shared" si="172"/>
        <v>0</v>
      </c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41"/>
      <c r="BY363" s="141"/>
      <c r="BZ363" s="141"/>
      <c r="CA363" s="141"/>
      <c r="CB363" s="390">
        <f t="shared" si="173"/>
        <v>0</v>
      </c>
      <c r="CC363" s="132"/>
    </row>
    <row r="364" ht="14.25" customHeight="1">
      <c r="A364" s="132"/>
      <c r="B364" s="306">
        <v>46350</v>
      </c>
      <c r="C364" s="133"/>
      <c r="D364" s="136"/>
      <c r="E364" s="135"/>
      <c r="F364" s="135"/>
      <c r="G364" s="431">
        <f t="shared" si="165"/>
        <v>0</v>
      </c>
      <c r="H364" s="525"/>
      <c r="I364" s="457"/>
      <c r="J364" s="454"/>
      <c r="K364" s="140"/>
      <c r="L364" s="140"/>
      <c r="M364" s="140"/>
      <c r="N364" s="140"/>
      <c r="O364" s="140"/>
      <c r="P364" s="456"/>
      <c r="Q364" s="456"/>
      <c r="R364" s="140"/>
      <c r="S364" s="140"/>
      <c r="T364" s="140"/>
      <c r="U364" s="140"/>
      <c r="V364" s="140"/>
      <c r="W364" s="140"/>
      <c r="X364" s="140"/>
      <c r="Y364" s="140"/>
      <c r="Z364" s="140"/>
      <c r="AA364" s="140"/>
      <c r="AB364" s="383">
        <f t="shared" si="174"/>
        <v>0</v>
      </c>
      <c r="AC364" s="140"/>
      <c r="AD364" s="140"/>
      <c r="AE364" s="140"/>
      <c r="AF364" s="140"/>
      <c r="AG364" s="140"/>
      <c r="AH364" s="140"/>
      <c r="AI364" s="140"/>
      <c r="AJ364" s="140"/>
      <c r="AK364" s="140"/>
      <c r="AL364" s="140"/>
      <c r="AM364" s="140"/>
      <c r="AN364" s="140"/>
      <c r="AO364" s="140"/>
      <c r="AP364" s="384">
        <f t="shared" si="167"/>
        <v>0</v>
      </c>
      <c r="AQ364" s="136"/>
      <c r="AR364" s="136"/>
      <c r="AS364" s="136"/>
      <c r="AT364" s="385">
        <f t="shared" si="168"/>
        <v>0</v>
      </c>
      <c r="AU364" s="140"/>
      <c r="AV364" s="140"/>
      <c r="AW364" s="140"/>
      <c r="AX364" s="140"/>
      <c r="AY364" s="392"/>
      <c r="AZ364" s="432">
        <f t="shared" si="169"/>
        <v>0</v>
      </c>
      <c r="BA364" s="433"/>
      <c r="BB364" s="276"/>
      <c r="BC364" s="274"/>
      <c r="BD364" s="274"/>
      <c r="BE364" s="127"/>
      <c r="BF364" s="126"/>
      <c r="BG364" s="274"/>
      <c r="BH364" s="274"/>
      <c r="BI364" s="274"/>
      <c r="BJ364" s="274"/>
      <c r="BK364" s="389">
        <f t="shared" si="170"/>
        <v>0</v>
      </c>
      <c r="BL364" s="140">
        <f t="shared" si="171"/>
        <v>0</v>
      </c>
      <c r="BM364" s="132"/>
      <c r="BN364" s="140">
        <f t="shared" si="172"/>
        <v>0</v>
      </c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41"/>
      <c r="BY364" s="141"/>
      <c r="BZ364" s="141"/>
      <c r="CA364" s="141"/>
      <c r="CB364" s="390">
        <f t="shared" si="173"/>
        <v>0</v>
      </c>
      <c r="CC364" s="132"/>
    </row>
    <row r="365" ht="14.25" customHeight="1">
      <c r="A365" s="132"/>
      <c r="B365" s="306">
        <v>46351</v>
      </c>
      <c r="C365" s="133"/>
      <c r="D365" s="136"/>
      <c r="E365" s="135"/>
      <c r="F365" s="135"/>
      <c r="G365" s="431">
        <f t="shared" si="165"/>
        <v>0</v>
      </c>
      <c r="H365" s="525"/>
      <c r="I365" s="457"/>
      <c r="J365" s="454"/>
      <c r="K365" s="140"/>
      <c r="L365" s="140"/>
      <c r="M365" s="140"/>
      <c r="N365" s="140"/>
      <c r="O365" s="140"/>
      <c r="P365" s="456"/>
      <c r="Q365" s="456"/>
      <c r="R365" s="140"/>
      <c r="S365" s="140"/>
      <c r="T365" s="140"/>
      <c r="U365" s="140"/>
      <c r="V365" s="140"/>
      <c r="W365" s="140"/>
      <c r="X365" s="140"/>
      <c r="Y365" s="140"/>
      <c r="Z365" s="140"/>
      <c r="AA365" s="140"/>
      <c r="AB365" s="383">
        <f t="shared" si="174"/>
        <v>0</v>
      </c>
      <c r="AC365" s="140"/>
      <c r="AD365" s="140"/>
      <c r="AE365" s="140"/>
      <c r="AF365" s="140"/>
      <c r="AG365" s="140"/>
      <c r="AH365" s="140"/>
      <c r="AI365" s="140"/>
      <c r="AJ365" s="140"/>
      <c r="AK365" s="140"/>
      <c r="AL365" s="140"/>
      <c r="AM365" s="140"/>
      <c r="AN365" s="140"/>
      <c r="AO365" s="140"/>
      <c r="AP365" s="384">
        <f t="shared" si="167"/>
        <v>0</v>
      </c>
      <c r="AQ365" s="136"/>
      <c r="AR365" s="136"/>
      <c r="AS365" s="136"/>
      <c r="AT365" s="385">
        <f t="shared" si="168"/>
        <v>0</v>
      </c>
      <c r="AU365" s="140"/>
      <c r="AV365" s="140"/>
      <c r="AW365" s="140"/>
      <c r="AX365" s="140"/>
      <c r="AY365" s="392"/>
      <c r="AZ365" s="432">
        <f t="shared" si="169"/>
        <v>0</v>
      </c>
      <c r="BA365" s="433"/>
      <c r="BB365" s="276"/>
      <c r="BC365" s="274"/>
      <c r="BD365" s="274"/>
      <c r="BE365" s="127"/>
      <c r="BF365" s="126"/>
      <c r="BG365" s="274"/>
      <c r="BH365" s="274"/>
      <c r="BI365" s="274"/>
      <c r="BJ365" s="274"/>
      <c r="BK365" s="389">
        <f t="shared" si="170"/>
        <v>0</v>
      </c>
      <c r="BL365" s="140">
        <f t="shared" si="171"/>
        <v>0</v>
      </c>
      <c r="BM365" s="132"/>
      <c r="BN365" s="140">
        <f t="shared" si="172"/>
        <v>0</v>
      </c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41"/>
      <c r="BY365" s="141"/>
      <c r="BZ365" s="141"/>
      <c r="CA365" s="141"/>
      <c r="CB365" s="390">
        <f t="shared" si="173"/>
        <v>0</v>
      </c>
      <c r="CC365" s="132"/>
    </row>
    <row r="366" ht="14.25" customHeight="1">
      <c r="A366" s="132"/>
      <c r="B366" s="306">
        <v>46352</v>
      </c>
      <c r="C366" s="133"/>
      <c r="D366" s="135"/>
      <c r="E366" s="136"/>
      <c r="F366" s="132"/>
      <c r="G366" s="431">
        <f t="shared" si="165"/>
        <v>0</v>
      </c>
      <c r="H366" s="525"/>
      <c r="I366" s="457"/>
      <c r="J366" s="454"/>
      <c r="K366" s="140"/>
      <c r="L366" s="140"/>
      <c r="M366" s="140"/>
      <c r="N366" s="140"/>
      <c r="O366" s="140"/>
      <c r="P366" s="379"/>
      <c r="Q366" s="379"/>
      <c r="R366" s="140"/>
      <c r="S366" s="140"/>
      <c r="T366" s="140"/>
      <c r="U366" s="140"/>
      <c r="V366" s="140"/>
      <c r="W366" s="140"/>
      <c r="X366" s="140"/>
      <c r="Y366" s="140"/>
      <c r="Z366" s="140"/>
      <c r="AA366" s="140"/>
      <c r="AB366" s="383">
        <f t="shared" si="174"/>
        <v>0</v>
      </c>
      <c r="AC366" s="140"/>
      <c r="AD366" s="140"/>
      <c r="AE366" s="140"/>
      <c r="AF366" s="140"/>
      <c r="AG366" s="140"/>
      <c r="AH366" s="140"/>
      <c r="AI366" s="140"/>
      <c r="AJ366" s="140"/>
      <c r="AK366" s="140"/>
      <c r="AL366" s="140"/>
      <c r="AM366" s="140"/>
      <c r="AN366" s="140"/>
      <c r="AO366" s="140"/>
      <c r="AP366" s="384">
        <f t="shared" si="167"/>
        <v>0</v>
      </c>
      <c r="AQ366" s="136"/>
      <c r="AR366" s="136"/>
      <c r="AS366" s="136"/>
      <c r="AT366" s="385">
        <f t="shared" si="168"/>
        <v>0</v>
      </c>
      <c r="AU366" s="140"/>
      <c r="AV366" s="140"/>
      <c r="AW366" s="140"/>
      <c r="AX366" s="140"/>
      <c r="AY366" s="392"/>
      <c r="AZ366" s="432">
        <f t="shared" si="169"/>
        <v>0</v>
      </c>
      <c r="BA366" s="433"/>
      <c r="BB366" s="276"/>
      <c r="BC366" s="274"/>
      <c r="BD366" s="274"/>
      <c r="BE366" s="127"/>
      <c r="BF366" s="126"/>
      <c r="BG366" s="274"/>
      <c r="BH366" s="274"/>
      <c r="BI366" s="274"/>
      <c r="BJ366" s="274"/>
      <c r="BK366" s="389">
        <f t="shared" si="170"/>
        <v>0</v>
      </c>
      <c r="BL366" s="140">
        <f t="shared" si="171"/>
        <v>0</v>
      </c>
      <c r="BM366" s="132"/>
      <c r="BN366" s="140">
        <f t="shared" si="172"/>
        <v>0</v>
      </c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41"/>
      <c r="BY366" s="385"/>
      <c r="BZ366" s="141"/>
      <c r="CA366" s="141"/>
      <c r="CB366" s="390">
        <f t="shared" si="173"/>
        <v>0</v>
      </c>
      <c r="CC366" s="132"/>
    </row>
    <row r="367" ht="14.25" customHeight="1">
      <c r="A367" s="132"/>
      <c r="B367" s="306">
        <v>46353</v>
      </c>
      <c r="C367" s="133"/>
      <c r="D367" s="136"/>
      <c r="E367" s="135"/>
      <c r="F367" s="135"/>
      <c r="G367" s="431">
        <f t="shared" si="165"/>
        <v>0</v>
      </c>
      <c r="H367" s="525"/>
      <c r="I367" s="457"/>
      <c r="J367" s="454"/>
      <c r="K367" s="140"/>
      <c r="L367" s="140"/>
      <c r="M367" s="140"/>
      <c r="N367" s="140"/>
      <c r="O367" s="140"/>
      <c r="P367" s="456"/>
      <c r="Q367" s="456"/>
      <c r="R367" s="140"/>
      <c r="S367" s="140"/>
      <c r="T367" s="140"/>
      <c r="U367" s="140"/>
      <c r="V367" s="140"/>
      <c r="W367" s="140"/>
      <c r="X367" s="140"/>
      <c r="Y367" s="140"/>
      <c r="Z367" s="140"/>
      <c r="AA367" s="140"/>
      <c r="AB367" s="383">
        <f t="shared" si="174"/>
        <v>0</v>
      </c>
      <c r="AC367" s="140"/>
      <c r="AD367" s="140"/>
      <c r="AE367" s="140"/>
      <c r="AF367" s="140"/>
      <c r="AG367" s="140"/>
      <c r="AH367" s="140"/>
      <c r="AI367" s="140"/>
      <c r="AJ367" s="140"/>
      <c r="AK367" s="140"/>
      <c r="AL367" s="140"/>
      <c r="AM367" s="140"/>
      <c r="AN367" s="140"/>
      <c r="AO367" s="140"/>
      <c r="AP367" s="384">
        <f t="shared" si="167"/>
        <v>0</v>
      </c>
      <c r="AQ367" s="136"/>
      <c r="AR367" s="136"/>
      <c r="AS367" s="136"/>
      <c r="AT367" s="385">
        <f t="shared" si="168"/>
        <v>0</v>
      </c>
      <c r="AU367" s="140"/>
      <c r="AV367" s="140"/>
      <c r="AW367" s="140"/>
      <c r="AX367" s="140"/>
      <c r="AY367" s="392"/>
      <c r="AZ367" s="432">
        <f t="shared" si="169"/>
        <v>0</v>
      </c>
      <c r="BA367" s="433"/>
      <c r="BB367" s="276"/>
      <c r="BC367" s="274"/>
      <c r="BD367" s="274"/>
      <c r="BE367" s="127"/>
      <c r="BF367" s="126"/>
      <c r="BG367" s="274"/>
      <c r="BH367" s="274"/>
      <c r="BI367" s="274"/>
      <c r="BJ367" s="274"/>
      <c r="BK367" s="389">
        <f t="shared" si="170"/>
        <v>0</v>
      </c>
      <c r="BL367" s="140">
        <f t="shared" si="171"/>
        <v>0</v>
      </c>
      <c r="BM367" s="132"/>
      <c r="BN367" s="140">
        <f t="shared" si="172"/>
        <v>0</v>
      </c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41"/>
      <c r="BY367" s="141"/>
      <c r="BZ367" s="141"/>
      <c r="CA367" s="141"/>
      <c r="CB367" s="390">
        <f t="shared" si="173"/>
        <v>0</v>
      </c>
      <c r="CC367" s="132"/>
    </row>
    <row r="368" ht="14.25" customHeight="1">
      <c r="A368" s="132"/>
      <c r="B368" s="306">
        <v>46354</v>
      </c>
      <c r="C368" s="133"/>
      <c r="D368" s="136"/>
      <c r="E368" s="135"/>
      <c r="F368" s="135"/>
      <c r="G368" s="431">
        <f t="shared" si="165"/>
        <v>0</v>
      </c>
      <c r="H368" s="525"/>
      <c r="I368" s="457"/>
      <c r="J368" s="454"/>
      <c r="K368" s="140"/>
      <c r="L368" s="140"/>
      <c r="M368" s="140"/>
      <c r="N368" s="140"/>
      <c r="O368" s="140"/>
      <c r="P368" s="456"/>
      <c r="Q368" s="456"/>
      <c r="R368" s="140"/>
      <c r="S368" s="140"/>
      <c r="T368" s="140"/>
      <c r="U368" s="140"/>
      <c r="V368" s="140"/>
      <c r="W368" s="140"/>
      <c r="X368" s="140"/>
      <c r="Y368" s="140"/>
      <c r="Z368" s="140"/>
      <c r="AA368" s="140"/>
      <c r="AB368" s="383">
        <f t="shared" si="174"/>
        <v>0</v>
      </c>
      <c r="AC368" s="140"/>
      <c r="AD368" s="140"/>
      <c r="AE368" s="140"/>
      <c r="AF368" s="140"/>
      <c r="AG368" s="140"/>
      <c r="AH368" s="140"/>
      <c r="AI368" s="140"/>
      <c r="AJ368" s="140"/>
      <c r="AK368" s="140"/>
      <c r="AL368" s="140"/>
      <c r="AM368" s="140"/>
      <c r="AN368" s="140"/>
      <c r="AO368" s="140"/>
      <c r="AP368" s="384">
        <f t="shared" si="167"/>
        <v>0</v>
      </c>
      <c r="AQ368" s="136"/>
      <c r="AR368" s="136"/>
      <c r="AS368" s="136"/>
      <c r="AT368" s="385">
        <f t="shared" si="168"/>
        <v>0</v>
      </c>
      <c r="AU368" s="140"/>
      <c r="AV368" s="140"/>
      <c r="AW368" s="140"/>
      <c r="AX368" s="140"/>
      <c r="AY368" s="392"/>
      <c r="AZ368" s="432">
        <f t="shared" si="169"/>
        <v>0</v>
      </c>
      <c r="BA368" s="433"/>
      <c r="BB368" s="276"/>
      <c r="BC368" s="274"/>
      <c r="BD368" s="274"/>
      <c r="BE368" s="127"/>
      <c r="BF368" s="126"/>
      <c r="BG368" s="274"/>
      <c r="BH368" s="274"/>
      <c r="BI368" s="274"/>
      <c r="BJ368" s="274"/>
      <c r="BK368" s="389">
        <f t="shared" si="170"/>
        <v>0</v>
      </c>
      <c r="BL368" s="140">
        <f t="shared" si="171"/>
        <v>0</v>
      </c>
      <c r="BM368" s="132"/>
      <c r="BN368" s="140">
        <f t="shared" si="172"/>
        <v>0</v>
      </c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41"/>
      <c r="BY368" s="141"/>
      <c r="BZ368" s="141"/>
      <c r="CA368" s="141"/>
      <c r="CB368" s="390">
        <f t="shared" si="173"/>
        <v>0</v>
      </c>
      <c r="CC368" s="132"/>
    </row>
    <row r="369" ht="14.25" customHeight="1">
      <c r="A369" s="132"/>
      <c r="B369" s="306">
        <v>46355</v>
      </c>
      <c r="C369" s="133"/>
      <c r="D369" s="136"/>
      <c r="E369" s="135"/>
      <c r="F369" s="135"/>
      <c r="G369" s="431">
        <f t="shared" si="165"/>
        <v>0</v>
      </c>
      <c r="H369" s="525"/>
      <c r="I369" s="457"/>
      <c r="J369" s="454"/>
      <c r="K369" s="140"/>
      <c r="L369" s="140"/>
      <c r="M369" s="140"/>
      <c r="N369" s="140"/>
      <c r="O369" s="140"/>
      <c r="P369" s="456"/>
      <c r="Q369" s="456"/>
      <c r="R369" s="140"/>
      <c r="S369" s="140"/>
      <c r="T369" s="140"/>
      <c r="U369" s="140"/>
      <c r="V369" s="140"/>
      <c r="W369" s="140"/>
      <c r="X369" s="140"/>
      <c r="Y369" s="140"/>
      <c r="Z369" s="140"/>
      <c r="AA369" s="140"/>
      <c r="AB369" s="383">
        <f t="shared" si="174"/>
        <v>0</v>
      </c>
      <c r="AC369" s="140"/>
      <c r="AD369" s="140"/>
      <c r="AE369" s="140"/>
      <c r="AF369" s="140"/>
      <c r="AG369" s="140"/>
      <c r="AH369" s="140"/>
      <c r="AI369" s="140"/>
      <c r="AJ369" s="140"/>
      <c r="AK369" s="140"/>
      <c r="AL369" s="140"/>
      <c r="AM369" s="140"/>
      <c r="AN369" s="140"/>
      <c r="AO369" s="140"/>
      <c r="AP369" s="384">
        <f t="shared" si="167"/>
        <v>0</v>
      </c>
      <c r="AQ369" s="136"/>
      <c r="AR369" s="136"/>
      <c r="AS369" s="136"/>
      <c r="AT369" s="385">
        <f t="shared" si="168"/>
        <v>0</v>
      </c>
      <c r="AU369" s="140"/>
      <c r="AV369" s="140"/>
      <c r="AW369" s="140"/>
      <c r="AX369" s="140"/>
      <c r="AY369" s="392"/>
      <c r="AZ369" s="432">
        <f t="shared" si="169"/>
        <v>0</v>
      </c>
      <c r="BA369" s="433"/>
      <c r="BB369" s="276"/>
      <c r="BC369" s="274"/>
      <c r="BD369" s="274"/>
      <c r="BE369" s="127"/>
      <c r="BF369" s="126"/>
      <c r="BG369" s="274"/>
      <c r="BH369" s="274"/>
      <c r="BI369" s="274"/>
      <c r="BJ369" s="274"/>
      <c r="BK369" s="389">
        <f t="shared" si="170"/>
        <v>0</v>
      </c>
      <c r="BL369" s="140">
        <f t="shared" si="171"/>
        <v>0</v>
      </c>
      <c r="BM369" s="132"/>
      <c r="BN369" s="140">
        <f t="shared" si="172"/>
        <v>0</v>
      </c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41"/>
      <c r="BY369" s="385"/>
      <c r="BZ369" s="141"/>
      <c r="CA369" s="141"/>
      <c r="CB369" s="390">
        <f t="shared" si="173"/>
        <v>0</v>
      </c>
      <c r="CC369" s="132"/>
    </row>
    <row r="370" ht="14.25" customHeight="1">
      <c r="A370" s="132"/>
      <c r="B370" s="306">
        <v>46356</v>
      </c>
      <c r="C370" s="133"/>
      <c r="D370" s="136"/>
      <c r="E370" s="135"/>
      <c r="F370" s="135"/>
      <c r="G370" s="431">
        <f t="shared" si="165"/>
        <v>0</v>
      </c>
      <c r="H370" s="525"/>
      <c r="I370" s="457"/>
      <c r="J370" s="454"/>
      <c r="K370" s="140"/>
      <c r="L370" s="140"/>
      <c r="M370" s="140"/>
      <c r="N370" s="140"/>
      <c r="O370" s="140"/>
      <c r="P370" s="456"/>
      <c r="Q370" s="456"/>
      <c r="R370" s="140"/>
      <c r="S370" s="140"/>
      <c r="T370" s="140"/>
      <c r="U370" s="140"/>
      <c r="V370" s="140"/>
      <c r="W370" s="140"/>
      <c r="X370" s="140"/>
      <c r="Y370" s="140"/>
      <c r="Z370" s="140"/>
      <c r="AA370" s="140"/>
      <c r="AB370" s="383">
        <f t="shared" si="174"/>
        <v>0</v>
      </c>
      <c r="AC370" s="140"/>
      <c r="AD370" s="140"/>
      <c r="AE370" s="140"/>
      <c r="AF370" s="140"/>
      <c r="AG370" s="140"/>
      <c r="AH370" s="140"/>
      <c r="AI370" s="140"/>
      <c r="AJ370" s="140"/>
      <c r="AK370" s="140"/>
      <c r="AL370" s="140"/>
      <c r="AM370" s="140"/>
      <c r="AN370" s="140"/>
      <c r="AO370" s="140"/>
      <c r="AP370" s="384">
        <f t="shared" si="167"/>
        <v>0</v>
      </c>
      <c r="AQ370" s="136"/>
      <c r="AR370" s="136"/>
      <c r="AS370" s="136"/>
      <c r="AT370" s="385">
        <f t="shared" si="168"/>
        <v>0</v>
      </c>
      <c r="AU370" s="140"/>
      <c r="AV370" s="140"/>
      <c r="AW370" s="140"/>
      <c r="AX370" s="140"/>
      <c r="AY370" s="392"/>
      <c r="AZ370" s="432">
        <f t="shared" si="169"/>
        <v>0</v>
      </c>
      <c r="BA370" s="435"/>
      <c r="BB370" s="276"/>
      <c r="BC370" s="274"/>
      <c r="BD370" s="274"/>
      <c r="BE370" s="127"/>
      <c r="BF370" s="138"/>
      <c r="BG370" s="274"/>
      <c r="BH370" s="274"/>
      <c r="BI370" s="274"/>
      <c r="BJ370" s="274"/>
      <c r="BK370" s="389">
        <f t="shared" si="170"/>
        <v>0</v>
      </c>
      <c r="BL370" s="140">
        <f t="shared" si="171"/>
        <v>0</v>
      </c>
      <c r="BM370" s="132"/>
      <c r="BN370" s="140">
        <f t="shared" si="172"/>
        <v>0</v>
      </c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41"/>
      <c r="BY370" s="141"/>
      <c r="BZ370" s="141"/>
      <c r="CA370" s="141"/>
      <c r="CB370" s="390">
        <f t="shared" si="173"/>
        <v>0</v>
      </c>
      <c r="CC370" s="132"/>
    </row>
    <row r="371" ht="14.25" customHeight="1">
      <c r="A371" s="3"/>
      <c r="B371" s="2" t="s">
        <v>85</v>
      </c>
      <c r="C371" s="407">
        <f ref="C371:S371" t="shared" si="175">SUM(C341:C370)</f>
        <v>0</v>
      </c>
      <c r="D371" s="407">
        <f t="shared" si="175"/>
        <v>0</v>
      </c>
      <c r="E371" s="407">
        <f t="shared" si="175"/>
        <v>0</v>
      </c>
      <c r="F371" s="407">
        <f t="shared" si="175"/>
        <v>0</v>
      </c>
      <c r="G371" s="407">
        <f t="shared" si="175"/>
        <v>0</v>
      </c>
      <c r="H371" s="407">
        <f t="shared" si="175"/>
        <v>0</v>
      </c>
      <c r="I371" s="407">
        <f t="shared" si="175"/>
        <v>0</v>
      </c>
      <c r="J371" s="407">
        <f t="shared" si="175"/>
        <v>0</v>
      </c>
      <c r="K371" s="407">
        <f t="shared" si="175"/>
        <v>0</v>
      </c>
      <c r="L371" s="407">
        <f t="shared" si="175"/>
        <v>0</v>
      </c>
      <c r="M371" s="407">
        <f t="shared" si="175"/>
        <v>0</v>
      </c>
      <c r="N371" s="407">
        <f t="shared" si="175"/>
        <v>0</v>
      </c>
      <c r="O371" s="407">
        <f t="shared" si="175"/>
        <v>0</v>
      </c>
      <c r="P371" s="407">
        <f t="shared" si="175"/>
        <v>0</v>
      </c>
      <c r="Q371" s="407">
        <f t="shared" si="175"/>
        <v>0</v>
      </c>
      <c r="R371" s="407">
        <f t="shared" si="175"/>
        <v>0</v>
      </c>
      <c r="S371" s="407">
        <f t="shared" si="175"/>
        <v>0</v>
      </c>
      <c r="T371" s="407"/>
      <c r="U371" s="407">
        <f ref="U371:Z371" t="shared" si="176">SUM(U341:U370)</f>
        <v>0</v>
      </c>
      <c r="V371" s="407">
        <f t="shared" si="176"/>
        <v>0</v>
      </c>
      <c r="W371" s="407">
        <f t="shared" si="176"/>
        <v>0</v>
      </c>
      <c r="X371" s="407">
        <f t="shared" si="176"/>
        <v>0</v>
      </c>
      <c r="Y371" s="407">
        <f t="shared" si="176"/>
        <v>0</v>
      </c>
      <c r="Z371" s="407">
        <f t="shared" si="176"/>
        <v>0</v>
      </c>
      <c r="AA371" s="140"/>
      <c r="AB371" s="407">
        <f ref="AB371:AU371" t="shared" si="177">SUM(AB341:AB370)</f>
        <v>0</v>
      </c>
      <c r="AC371" s="407">
        <f t="shared" si="177"/>
        <v>0</v>
      </c>
      <c r="AD371" s="407">
        <f t="shared" si="177"/>
        <v>0</v>
      </c>
      <c r="AE371" s="407">
        <f t="shared" si="177"/>
        <v>0</v>
      </c>
      <c r="AF371" s="407">
        <f t="shared" si="177"/>
        <v>0</v>
      </c>
      <c r="AG371" s="407">
        <f t="shared" si="177"/>
        <v>0</v>
      </c>
      <c r="AH371" s="407">
        <f t="shared" si="177"/>
        <v>0</v>
      </c>
      <c r="AI371" s="407">
        <f t="shared" si="177"/>
        <v>0</v>
      </c>
      <c r="AJ371" s="407">
        <f t="shared" si="177"/>
        <v>0</v>
      </c>
      <c r="AK371" s="407">
        <f t="shared" si="177"/>
        <v>0</v>
      </c>
      <c r="AL371" s="407">
        <f t="shared" si="177"/>
        <v>0</v>
      </c>
      <c r="AM371" s="407">
        <f t="shared" si="177"/>
        <v>0</v>
      </c>
      <c r="AN371" s="407">
        <f t="shared" si="177"/>
        <v>0</v>
      </c>
      <c r="AO371" s="407">
        <f t="shared" si="177"/>
        <v>0</v>
      </c>
      <c r="AP371" s="407">
        <f t="shared" si="177"/>
        <v>0</v>
      </c>
      <c r="AQ371" s="407">
        <f t="shared" si="177"/>
        <v>0</v>
      </c>
      <c r="AR371" s="407">
        <f t="shared" si="177"/>
        <v>0</v>
      </c>
      <c r="AS371" s="407">
        <f t="shared" si="177"/>
        <v>0</v>
      </c>
      <c r="AT371" s="407">
        <f t="shared" si="177"/>
        <v>0</v>
      </c>
      <c r="AU371" s="407">
        <f t="shared" si="177"/>
        <v>0</v>
      </c>
      <c r="AV371" s="407"/>
      <c r="AW371" s="407">
        <f ref="AW371:BL371" t="shared" si="178">SUM(AW341:AW370)</f>
        <v>0</v>
      </c>
      <c r="AX371" s="407">
        <f t="shared" si="178"/>
        <v>0</v>
      </c>
      <c r="AY371" s="407">
        <f t="shared" si="178"/>
        <v>0</v>
      </c>
      <c r="AZ371" s="407">
        <f t="shared" si="178"/>
        <v>0</v>
      </c>
      <c r="BA371" s="439">
        <f t="shared" si="178"/>
        <v>0</v>
      </c>
      <c r="BB371" s="411">
        <f t="shared" si="178"/>
        <v>0</v>
      </c>
      <c r="BC371" s="407">
        <f t="shared" si="178"/>
        <v>0</v>
      </c>
      <c r="BD371" s="407">
        <f t="shared" si="178"/>
        <v>0</v>
      </c>
      <c r="BE371" s="407">
        <f t="shared" si="178"/>
        <v>0</v>
      </c>
      <c r="BF371" s="439">
        <f t="shared" si="178"/>
        <v>0</v>
      </c>
      <c r="BG371" s="407">
        <f t="shared" si="178"/>
        <v>0</v>
      </c>
      <c r="BH371" s="407">
        <f t="shared" si="178"/>
        <v>0</v>
      </c>
      <c r="BI371" s="407">
        <f t="shared" si="178"/>
        <v>0</v>
      </c>
      <c r="BJ371" s="407">
        <f t="shared" si="178"/>
        <v>0</v>
      </c>
      <c r="BK371" s="407">
        <f t="shared" si="178"/>
        <v>0</v>
      </c>
      <c r="BL371" s="508">
        <f t="shared" si="178"/>
        <v>0</v>
      </c>
      <c r="BM371" s="538"/>
      <c r="BN371" s="509">
        <f ref="BN371:CC371" t="shared" si="179">SUM(BN341:BN370)</f>
        <v>0</v>
      </c>
      <c r="BO371" s="407">
        <f t="shared" si="179"/>
        <v>0</v>
      </c>
      <c r="BP371" s="407">
        <f t="shared" si="179"/>
        <v>0</v>
      </c>
      <c r="BQ371" s="407">
        <f t="shared" si="179"/>
        <v>0</v>
      </c>
      <c r="BR371" s="407">
        <f t="shared" si="179"/>
        <v>0</v>
      </c>
      <c r="BS371" s="407">
        <f t="shared" si="179"/>
        <v>0</v>
      </c>
      <c r="BT371" s="407">
        <f t="shared" si="179"/>
        <v>0</v>
      </c>
      <c r="BU371" s="407">
        <f t="shared" si="179"/>
        <v>0</v>
      </c>
      <c r="BV371" s="407">
        <f t="shared" si="179"/>
        <v>0</v>
      </c>
      <c r="BW371" s="407">
        <f t="shared" si="179"/>
        <v>0</v>
      </c>
      <c r="BX371" s="407">
        <f t="shared" si="179"/>
        <v>0</v>
      </c>
      <c r="BY371" s="407">
        <f t="shared" si="179"/>
        <v>0</v>
      </c>
      <c r="BZ371" s="407">
        <f t="shared" si="179"/>
        <v>0</v>
      </c>
      <c r="CA371" s="407">
        <f t="shared" si="179"/>
        <v>0</v>
      </c>
      <c r="CB371" s="407">
        <f t="shared" si="179"/>
        <v>0</v>
      </c>
      <c r="CC371" s="407">
        <f t="shared" si="179"/>
        <v>0</v>
      </c>
    </row>
    <row r="372" ht="14.25" customHeight="1">
      <c r="A372" s="1"/>
      <c r="B372" s="2"/>
      <c r="C372" s="3"/>
      <c r="D372" s="3"/>
      <c r="E372" s="3"/>
      <c r="F372" s="3"/>
      <c r="G372" s="3"/>
      <c r="H372" s="3"/>
      <c r="I372" s="3"/>
      <c r="J372" s="414"/>
      <c r="K372" s="3"/>
      <c r="L372" s="3"/>
      <c r="M372" s="3"/>
      <c r="N372" s="3"/>
      <c r="O372" s="3"/>
      <c r="P372" s="1"/>
      <c r="Q372" s="1"/>
      <c r="R372" s="3"/>
      <c r="S372" s="3"/>
      <c r="T372" s="3"/>
      <c r="U372" s="3"/>
      <c r="V372" s="3"/>
      <c r="W372" s="3"/>
      <c r="X372" s="3"/>
      <c r="Y372" s="3"/>
      <c r="Z372" s="3"/>
      <c r="AA372" s="407">
        <f>SUM(AA342:AA371)</f>
        <v>0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97"/>
      <c r="AQ372" s="96"/>
      <c r="AR372" s="3"/>
      <c r="AS372" s="3"/>
      <c r="AT372" s="3"/>
      <c r="AU372" s="3"/>
      <c r="AV372" s="3"/>
      <c r="AW372" s="3"/>
      <c r="AX372" s="3"/>
      <c r="AY372" s="3"/>
      <c r="AZ372" s="3"/>
      <c r="BA372" s="1"/>
      <c r="BB372" s="3"/>
      <c r="BC372" s="132"/>
      <c r="BD372" s="3"/>
      <c r="BE372" s="3"/>
      <c r="BF372" s="132"/>
      <c r="BG372" s="3"/>
      <c r="BH372" s="3"/>
      <c r="BI372" s="3"/>
      <c r="BJ372" s="132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</row>
    <row r="373" ht="14.25" customHeight="1">
      <c r="A373" s="1"/>
      <c r="B373" s="2"/>
      <c r="C373" s="3"/>
      <c r="D373" s="3"/>
      <c r="E373" s="3"/>
      <c r="F373" s="3"/>
      <c r="G373" s="3"/>
      <c r="H373" s="3"/>
      <c r="I373" s="3"/>
      <c r="J373" s="414"/>
      <c r="K373" s="3"/>
      <c r="L373" s="3"/>
      <c r="M373" s="3"/>
      <c r="N373" s="3"/>
      <c r="O373" s="3"/>
      <c r="P373" s="1"/>
      <c r="Q373" s="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279"/>
      <c r="AQ373" s="176"/>
      <c r="AR373" s="3"/>
      <c r="AS373" s="3"/>
      <c r="AT373" s="3"/>
      <c r="AU373" s="3"/>
      <c r="AV373" s="3"/>
      <c r="AW373" s="3"/>
      <c r="AX373" s="3"/>
      <c r="AY373" s="3"/>
      <c r="AZ373" s="3"/>
      <c r="BA373" s="1"/>
      <c r="BB373" s="3"/>
      <c r="BC373" s="132"/>
      <c r="BD373" s="3"/>
      <c r="BE373" s="3"/>
      <c r="BF373" s="132"/>
      <c r="BG373" s="3"/>
      <c r="BH373" s="3"/>
      <c r="BI373" s="3"/>
      <c r="BJ373" s="132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</row>
    <row r="374" ht="14.25" customHeight="1">
      <c r="A374" s="3"/>
      <c r="B374" s="215">
        <v>46357</v>
      </c>
      <c r="C374" s="94"/>
      <c r="D374" s="104"/>
      <c r="E374" s="97"/>
      <c r="F374" s="97"/>
      <c r="G374" s="415">
        <f ref="G374:G404" t="shared" si="180">+C374+D374+E374+F374</f>
        <v>0</v>
      </c>
      <c r="H374" s="535"/>
      <c r="I374" s="449"/>
      <c r="J374" s="446"/>
      <c r="K374" s="195"/>
      <c r="L374" s="195"/>
      <c r="M374" s="195"/>
      <c r="N374" s="195"/>
      <c r="O374" s="195"/>
      <c r="P374" s="447"/>
      <c r="Q374" s="447"/>
      <c r="R374" s="195"/>
      <c r="S374" s="195"/>
      <c r="T374" s="195"/>
      <c r="U374" s="195"/>
      <c r="V374" s="195"/>
      <c r="W374" s="195"/>
      <c r="X374" s="195"/>
      <c r="Y374" s="195"/>
      <c r="Z374" s="195"/>
      <c r="AA374" s="3"/>
      <c r="AB374" s="420">
        <f ref="AB374:AB404" t="shared" si="181">SUM(I374:Y374)</f>
        <v>0</v>
      </c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424"/>
      <c r="AN374" s="555"/>
      <c r="AO374" s="449"/>
      <c r="AP374" s="384">
        <f ref="AP374:AP404" t="shared" si="182">SUM(AC374:AO374)</f>
        <v>0</v>
      </c>
      <c r="AQ374" s="104"/>
      <c r="AR374" s="104"/>
      <c r="AS374" s="104"/>
      <c r="AT374" s="422">
        <f ref="AT374:AT404" t="shared" si="183">SUM(AQ374:AS374)</f>
        <v>0</v>
      </c>
      <c r="AU374" s="195"/>
      <c r="AV374" s="195"/>
      <c r="AW374" s="195"/>
      <c r="AX374" s="195"/>
      <c r="AY374" s="424"/>
      <c r="AZ374" s="547">
        <f ref="AZ374:AZ404" t="shared" si="184">+G374-AB374-AP374-AT374-AU374-AW374-AX374-AY374</f>
        <v>0</v>
      </c>
      <c r="BA374" s="427"/>
      <c r="BB374" s="286"/>
      <c r="BC374" s="269"/>
      <c r="BD374" s="269"/>
      <c r="BE374" s="110"/>
      <c r="BF374" s="109"/>
      <c r="BG374" s="269"/>
      <c r="BH374" s="269"/>
      <c r="BI374" s="269"/>
      <c r="BJ374" s="269"/>
      <c r="BK374" s="521">
        <f ref="BK374:BK404" t="shared" si="185">SUM(BA374:BJ374)-BI374</f>
        <v>0</v>
      </c>
      <c r="BL374" s="114">
        <f ref="BL374:BL404" t="shared" si="186">+AZ374-BK374</f>
        <v>0</v>
      </c>
      <c r="BM374" s="3"/>
      <c r="BN374" s="114">
        <f ref="BN374:BN404" t="shared" si="187">SUM(BO374:CA374)</f>
        <v>0</v>
      </c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96"/>
      <c r="CA374" s="115"/>
      <c r="CB374" s="430">
        <f ref="CB374:CB404" t="shared" si="188">+BL374-BN374</f>
        <v>0</v>
      </c>
      <c r="CC374" s="3"/>
    </row>
    <row r="375" ht="14.25" customHeight="1">
      <c r="A375" s="3"/>
      <c r="B375" s="215">
        <v>46358</v>
      </c>
      <c r="C375" s="118"/>
      <c r="D375" s="123"/>
      <c r="E375" s="120"/>
      <c r="F375" s="120"/>
      <c r="G375" s="431">
        <f t="shared" si="180"/>
        <v>0</v>
      </c>
      <c r="H375" s="525"/>
      <c r="I375" s="457"/>
      <c r="J375" s="454"/>
      <c r="K375" s="140"/>
      <c r="L375" s="140"/>
      <c r="M375" s="140"/>
      <c r="N375" s="140"/>
      <c r="O375" s="140"/>
      <c r="P375" s="456"/>
      <c r="Q375" s="456"/>
      <c r="R375" s="140"/>
      <c r="S375" s="140"/>
      <c r="T375" s="140"/>
      <c r="U375" s="140"/>
      <c r="V375" s="140"/>
      <c r="W375" s="140"/>
      <c r="X375" s="140"/>
      <c r="Y375" s="140"/>
      <c r="Z375" s="140"/>
      <c r="AA375" s="195"/>
      <c r="AB375" s="383">
        <f t="shared" si="181"/>
        <v>0</v>
      </c>
      <c r="AC375" s="140"/>
      <c r="AD375" s="140"/>
      <c r="AE375" s="140"/>
      <c r="AF375" s="140"/>
      <c r="AG375" s="140"/>
      <c r="AH375" s="140"/>
      <c r="AI375" s="140"/>
      <c r="AJ375" s="140"/>
      <c r="AK375" s="140"/>
      <c r="AL375" s="140"/>
      <c r="AM375" s="140"/>
      <c r="AN375" s="140"/>
      <c r="AO375" s="140"/>
      <c r="AP375" s="384">
        <f t="shared" si="182"/>
        <v>0</v>
      </c>
      <c r="AQ375" s="123"/>
      <c r="AR375" s="123"/>
      <c r="AS375" s="123"/>
      <c r="AT375" s="385">
        <f t="shared" si="183"/>
        <v>0</v>
      </c>
      <c r="AU375" s="140"/>
      <c r="AV375" s="140"/>
      <c r="AW375" s="140"/>
      <c r="AX375" s="140"/>
      <c r="AY375" s="392"/>
      <c r="AZ375" s="432">
        <f t="shared" si="184"/>
        <v>0</v>
      </c>
      <c r="BA375" s="433"/>
      <c r="BB375" s="276"/>
      <c r="BC375" s="274"/>
      <c r="BD375" s="274"/>
      <c r="BE375" s="127"/>
      <c r="BF375" s="126"/>
      <c r="BG375" s="274"/>
      <c r="BH375" s="274"/>
      <c r="BI375" s="274"/>
      <c r="BJ375" s="274"/>
      <c r="BK375" s="389">
        <f t="shared" si="185"/>
        <v>0</v>
      </c>
      <c r="BL375" s="113">
        <f t="shared" si="186"/>
        <v>0</v>
      </c>
      <c r="BM375" s="3"/>
      <c r="BN375" s="113">
        <f t="shared" si="187"/>
        <v>0</v>
      </c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390">
        <f t="shared" si="188"/>
        <v>0</v>
      </c>
      <c r="CC375" s="3"/>
    </row>
    <row r="376" ht="14.25" customHeight="1">
      <c r="A376" s="132"/>
      <c r="B376" s="215">
        <v>46359</v>
      </c>
      <c r="C376" s="133"/>
      <c r="D376" s="136"/>
      <c r="E376" s="135"/>
      <c r="F376" s="135"/>
      <c r="G376" s="431">
        <f t="shared" si="180"/>
        <v>0</v>
      </c>
      <c r="H376" s="525"/>
      <c r="I376" s="457"/>
      <c r="J376" s="454"/>
      <c r="K376" s="140"/>
      <c r="L376" s="140"/>
      <c r="M376" s="140"/>
      <c r="N376" s="140"/>
      <c r="O376" s="140"/>
      <c r="P376" s="456"/>
      <c r="Q376" s="456"/>
      <c r="R376" s="140"/>
      <c r="S376" s="140"/>
      <c r="T376" s="140"/>
      <c r="U376" s="140"/>
      <c r="V376" s="140"/>
      <c r="W376" s="140"/>
      <c r="X376" s="140"/>
      <c r="Y376" s="140"/>
      <c r="Z376" s="140"/>
      <c r="AA376" s="140"/>
      <c r="AB376" s="383">
        <f t="shared" si="181"/>
        <v>0</v>
      </c>
      <c r="AC376" s="140"/>
      <c r="AD376" s="140"/>
      <c r="AE376" s="140"/>
      <c r="AF376" s="140"/>
      <c r="AG376" s="140"/>
      <c r="AH376" s="140"/>
      <c r="AI376" s="140"/>
      <c r="AJ376" s="140"/>
      <c r="AK376" s="140"/>
      <c r="AL376" s="140"/>
      <c r="AM376" s="140"/>
      <c r="AN376" s="140"/>
      <c r="AO376" s="140"/>
      <c r="AP376" s="384">
        <f t="shared" si="182"/>
        <v>0</v>
      </c>
      <c r="AQ376" s="136"/>
      <c r="AR376" s="136"/>
      <c r="AS376" s="136"/>
      <c r="AT376" s="385">
        <f t="shared" si="183"/>
        <v>0</v>
      </c>
      <c r="AU376" s="140"/>
      <c r="AV376" s="140"/>
      <c r="AW376" s="140"/>
      <c r="AX376" s="140"/>
      <c r="AY376" s="392"/>
      <c r="AZ376" s="432">
        <f t="shared" si="184"/>
        <v>0</v>
      </c>
      <c r="BA376" s="433"/>
      <c r="BB376" s="276"/>
      <c r="BC376" s="274"/>
      <c r="BD376" s="274"/>
      <c r="BE376" s="127"/>
      <c r="BF376" s="126"/>
      <c r="BG376" s="274"/>
      <c r="BH376" s="274"/>
      <c r="BI376" s="274"/>
      <c r="BJ376" s="274"/>
      <c r="BK376" s="389">
        <f t="shared" si="185"/>
        <v>0</v>
      </c>
      <c r="BL376" s="140">
        <f t="shared" si="186"/>
        <v>0</v>
      </c>
      <c r="BM376" s="132"/>
      <c r="BN376" s="140">
        <f t="shared" si="187"/>
        <v>0</v>
      </c>
      <c r="BO376" s="141"/>
      <c r="BP376" s="141"/>
      <c r="BQ376" s="141"/>
      <c r="BR376" s="141"/>
      <c r="BS376" s="141"/>
      <c r="BT376" s="141"/>
      <c r="BU376" s="141"/>
      <c r="BV376" s="141"/>
      <c r="BW376" s="141"/>
      <c r="BX376" s="141"/>
      <c r="BY376" s="141"/>
      <c r="BZ376" s="141"/>
      <c r="CA376" s="141"/>
      <c r="CB376" s="390">
        <f t="shared" si="188"/>
        <v>0</v>
      </c>
      <c r="CC376" s="132"/>
    </row>
    <row r="377" ht="14.25" customHeight="1">
      <c r="A377" s="132"/>
      <c r="B377" s="215">
        <v>46360</v>
      </c>
      <c r="C377" s="133"/>
      <c r="D377" s="136"/>
      <c r="E377" s="135"/>
      <c r="F377" s="135"/>
      <c r="G377" s="431">
        <f t="shared" si="180"/>
        <v>0</v>
      </c>
      <c r="H377" s="525"/>
      <c r="I377" s="457"/>
      <c r="J377" s="454"/>
      <c r="K377" s="140"/>
      <c r="L377" s="140"/>
      <c r="M377" s="140"/>
      <c r="N377" s="140"/>
      <c r="O377" s="140"/>
      <c r="P377" s="456"/>
      <c r="Q377" s="456"/>
      <c r="R377" s="140"/>
      <c r="S377" s="140"/>
      <c r="T377" s="140"/>
      <c r="U377" s="140"/>
      <c r="V377" s="140"/>
      <c r="W377" s="140"/>
      <c r="X377" s="140"/>
      <c r="Y377" s="140"/>
      <c r="Z377" s="140"/>
      <c r="AA377" s="140"/>
      <c r="AB377" s="383">
        <f t="shared" si="181"/>
        <v>0</v>
      </c>
      <c r="AC377" s="140"/>
      <c r="AD377" s="140"/>
      <c r="AE377" s="140"/>
      <c r="AF377" s="140"/>
      <c r="AG377" s="140"/>
      <c r="AH377" s="140"/>
      <c r="AI377" s="140"/>
      <c r="AJ377" s="140"/>
      <c r="AK377" s="140"/>
      <c r="AL377" s="140"/>
      <c r="AM377" s="140"/>
      <c r="AN377" s="140"/>
      <c r="AO377" s="140"/>
      <c r="AP377" s="384">
        <f t="shared" si="182"/>
        <v>0</v>
      </c>
      <c r="AQ377" s="136"/>
      <c r="AR377" s="136"/>
      <c r="AS377" s="136"/>
      <c r="AT377" s="385">
        <f t="shared" si="183"/>
        <v>0</v>
      </c>
      <c r="AU377" s="140"/>
      <c r="AV377" s="140"/>
      <c r="AW377" s="140"/>
      <c r="AX377" s="140"/>
      <c r="AY377" s="392"/>
      <c r="AZ377" s="432">
        <f t="shared" si="184"/>
        <v>0</v>
      </c>
      <c r="BA377" s="433"/>
      <c r="BB377" s="276"/>
      <c r="BC377" s="274"/>
      <c r="BD377" s="274"/>
      <c r="BE377" s="127"/>
      <c r="BF377" s="126"/>
      <c r="BG377" s="274"/>
      <c r="BH377" s="274"/>
      <c r="BI377" s="274"/>
      <c r="BJ377" s="274"/>
      <c r="BK377" s="389">
        <f t="shared" si="185"/>
        <v>0</v>
      </c>
      <c r="BL377" s="140">
        <f t="shared" si="186"/>
        <v>0</v>
      </c>
      <c r="BM377" s="132"/>
      <c r="BN377" s="140">
        <f t="shared" si="187"/>
        <v>0</v>
      </c>
      <c r="BO377" s="141"/>
      <c r="BP377" s="141"/>
      <c r="BQ377" s="141"/>
      <c r="BR377" s="141"/>
      <c r="BS377" s="141"/>
      <c r="BT377" s="141"/>
      <c r="BU377" s="141"/>
      <c r="BV377" s="141"/>
      <c r="BW377" s="141"/>
      <c r="BX377" s="141"/>
      <c r="BY377" s="141"/>
      <c r="BZ377" s="141"/>
      <c r="CA377" s="141"/>
      <c r="CB377" s="390">
        <f t="shared" si="188"/>
        <v>0</v>
      </c>
      <c r="CC377" s="132"/>
    </row>
    <row r="378" ht="14.25" customHeight="1">
      <c r="A378" s="132"/>
      <c r="B378" s="215">
        <v>46361</v>
      </c>
      <c r="C378" s="133"/>
      <c r="D378" s="136"/>
      <c r="E378" s="135"/>
      <c r="F378" s="135"/>
      <c r="G378" s="431">
        <f t="shared" si="180"/>
        <v>0</v>
      </c>
      <c r="H378" s="525"/>
      <c r="I378" s="457"/>
      <c r="J378" s="454"/>
      <c r="K378" s="140"/>
      <c r="L378" s="140"/>
      <c r="M378" s="140"/>
      <c r="N378" s="140"/>
      <c r="O378" s="140"/>
      <c r="P378" s="456"/>
      <c r="Q378" s="456"/>
      <c r="R378" s="140"/>
      <c r="S378" s="140"/>
      <c r="T378" s="140"/>
      <c r="U378" s="140"/>
      <c r="V378" s="140"/>
      <c r="W378" s="140"/>
      <c r="X378" s="140"/>
      <c r="Y378" s="140"/>
      <c r="Z378" s="140"/>
      <c r="AA378" s="140"/>
      <c r="AB378" s="383">
        <f t="shared" si="181"/>
        <v>0</v>
      </c>
      <c r="AC378" s="140"/>
      <c r="AD378" s="140"/>
      <c r="AE378" s="140"/>
      <c r="AF378" s="140"/>
      <c r="AG378" s="140"/>
      <c r="AH378" s="140"/>
      <c r="AI378" s="140"/>
      <c r="AJ378" s="140"/>
      <c r="AK378" s="140"/>
      <c r="AL378" s="140"/>
      <c r="AM378" s="140"/>
      <c r="AN378" s="140"/>
      <c r="AO378" s="140"/>
      <c r="AP378" s="384">
        <f t="shared" si="182"/>
        <v>0</v>
      </c>
      <c r="AQ378" s="136"/>
      <c r="AR378" s="136"/>
      <c r="AS378" s="136"/>
      <c r="AT378" s="385">
        <f t="shared" si="183"/>
        <v>0</v>
      </c>
      <c r="AU378" s="140"/>
      <c r="AV378" s="140"/>
      <c r="AW378" s="140"/>
      <c r="AX378" s="140"/>
      <c r="AY378" s="392"/>
      <c r="AZ378" s="432">
        <f t="shared" si="184"/>
        <v>0</v>
      </c>
      <c r="BA378" s="433"/>
      <c r="BB378" s="276"/>
      <c r="BC378" s="274"/>
      <c r="BD378" s="274"/>
      <c r="BE378" s="127"/>
      <c r="BF378" s="126"/>
      <c r="BG378" s="274"/>
      <c r="BH378" s="274"/>
      <c r="BI378" s="274"/>
      <c r="BJ378" s="274"/>
      <c r="BK378" s="389">
        <f t="shared" si="185"/>
        <v>0</v>
      </c>
      <c r="BL378" s="140">
        <f t="shared" si="186"/>
        <v>0</v>
      </c>
      <c r="BM378" s="132"/>
      <c r="BN378" s="140">
        <f t="shared" si="187"/>
        <v>0</v>
      </c>
      <c r="BO378" s="141"/>
      <c r="BP378" s="141"/>
      <c r="BQ378" s="141"/>
      <c r="BR378" s="141"/>
      <c r="BS378" s="141"/>
      <c r="BT378" s="141"/>
      <c r="BU378" s="141"/>
      <c r="BV378" s="141"/>
      <c r="BW378" s="141"/>
      <c r="BX378" s="141"/>
      <c r="BY378" s="141"/>
      <c r="BZ378" s="141"/>
      <c r="CA378" s="141"/>
      <c r="CB378" s="390">
        <f t="shared" si="188"/>
        <v>0</v>
      </c>
      <c r="CC378" s="132"/>
    </row>
    <row r="379" ht="14.25" customHeight="1">
      <c r="A379" s="132"/>
      <c r="B379" s="215">
        <v>46362</v>
      </c>
      <c r="C379" s="136"/>
      <c r="D379" s="136"/>
      <c r="E379" s="135"/>
      <c r="F379" s="135"/>
      <c r="G379" s="431">
        <f t="shared" si="180"/>
        <v>0</v>
      </c>
      <c r="H379" s="525"/>
      <c r="I379" s="457"/>
      <c r="J379" s="454"/>
      <c r="K379" s="140"/>
      <c r="L379" s="140"/>
      <c r="M379" s="140"/>
      <c r="N379" s="140"/>
      <c r="O379" s="140"/>
      <c r="P379" s="456"/>
      <c r="Q379" s="456"/>
      <c r="R379" s="140"/>
      <c r="S379" s="140"/>
      <c r="T379" s="140"/>
      <c r="U379" s="140"/>
      <c r="V379" s="140"/>
      <c r="W379" s="140"/>
      <c r="X379" s="140"/>
      <c r="Y379" s="140"/>
      <c r="Z379" s="140"/>
      <c r="AA379" s="140"/>
      <c r="AB379" s="383">
        <f t="shared" si="181"/>
        <v>0</v>
      </c>
      <c r="AC379" s="140"/>
      <c r="AD379" s="140"/>
      <c r="AE379" s="140"/>
      <c r="AF379" s="140"/>
      <c r="AG379" s="140"/>
      <c r="AH379" s="140"/>
      <c r="AI379" s="140"/>
      <c r="AJ379" s="140"/>
      <c r="AK379" s="140"/>
      <c r="AL379" s="140"/>
      <c r="AM379" s="140"/>
      <c r="AN379" s="140"/>
      <c r="AO379" s="140"/>
      <c r="AP379" s="384">
        <f t="shared" si="182"/>
        <v>0</v>
      </c>
      <c r="AQ379" s="136"/>
      <c r="AR379" s="136"/>
      <c r="AS379" s="136"/>
      <c r="AT379" s="385">
        <f t="shared" si="183"/>
        <v>0</v>
      </c>
      <c r="AU379" s="140"/>
      <c r="AV379" s="140"/>
      <c r="AW379" s="140"/>
      <c r="AX379" s="140"/>
      <c r="AY379" s="392"/>
      <c r="AZ379" s="432">
        <f t="shared" si="184"/>
        <v>0</v>
      </c>
      <c r="BA379" s="433"/>
      <c r="BB379" s="276"/>
      <c r="BC379" s="274"/>
      <c r="BD379" s="274"/>
      <c r="BE379" s="127"/>
      <c r="BF379" s="126"/>
      <c r="BG379" s="274"/>
      <c r="BH379" s="274"/>
      <c r="BI379" s="274"/>
      <c r="BJ379" s="274"/>
      <c r="BK379" s="389">
        <f t="shared" si="185"/>
        <v>0</v>
      </c>
      <c r="BL379" s="140">
        <f t="shared" si="186"/>
        <v>0</v>
      </c>
      <c r="BM379" s="132"/>
      <c r="BN379" s="140">
        <f t="shared" si="187"/>
        <v>0</v>
      </c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1"/>
      <c r="BY379" s="141"/>
      <c r="BZ379" s="141"/>
      <c r="CA379" s="141"/>
      <c r="CB379" s="390">
        <f t="shared" si="188"/>
        <v>0</v>
      </c>
      <c r="CC379" s="132"/>
    </row>
    <row r="380" ht="14.25" customHeight="1">
      <c r="A380" s="132"/>
      <c r="B380" s="215">
        <v>46363</v>
      </c>
      <c r="C380" s="133"/>
      <c r="D380" s="136"/>
      <c r="E380" s="135"/>
      <c r="F380" s="135"/>
      <c r="G380" s="431">
        <f t="shared" si="180"/>
        <v>0</v>
      </c>
      <c r="H380" s="525"/>
      <c r="I380" s="457"/>
      <c r="J380" s="454"/>
      <c r="K380" s="140"/>
      <c r="L380" s="140"/>
      <c r="M380" s="140"/>
      <c r="N380" s="140"/>
      <c r="O380" s="140"/>
      <c r="P380" s="456"/>
      <c r="Q380" s="456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383">
        <f t="shared" si="181"/>
        <v>0</v>
      </c>
      <c r="AC380" s="140"/>
      <c r="AD380" s="140"/>
      <c r="AE380" s="140"/>
      <c r="AF380" s="140"/>
      <c r="AG380" s="140"/>
      <c r="AH380" s="140"/>
      <c r="AI380" s="140"/>
      <c r="AJ380" s="140"/>
      <c r="AK380" s="140"/>
      <c r="AL380" s="140"/>
      <c r="AM380" s="140"/>
      <c r="AN380" s="140"/>
      <c r="AO380" s="140"/>
      <c r="AP380" s="384">
        <f t="shared" si="182"/>
        <v>0</v>
      </c>
      <c r="AQ380" s="136"/>
      <c r="AR380" s="136"/>
      <c r="AS380" s="136"/>
      <c r="AT380" s="385">
        <f t="shared" si="183"/>
        <v>0</v>
      </c>
      <c r="AU380" s="140"/>
      <c r="AV380" s="140"/>
      <c r="AW380" s="140"/>
      <c r="AX380" s="140"/>
      <c r="AY380" s="392"/>
      <c r="AZ380" s="432">
        <f t="shared" si="184"/>
        <v>0</v>
      </c>
      <c r="BA380" s="433"/>
      <c r="BB380" s="276"/>
      <c r="BC380" s="274"/>
      <c r="BD380" s="274"/>
      <c r="BE380" s="127"/>
      <c r="BF380" s="126"/>
      <c r="BG380" s="274"/>
      <c r="BH380" s="274"/>
      <c r="BI380" s="274"/>
      <c r="BJ380" s="274"/>
      <c r="BK380" s="389">
        <f t="shared" si="185"/>
        <v>0</v>
      </c>
      <c r="BL380" s="140">
        <f t="shared" si="186"/>
        <v>0</v>
      </c>
      <c r="BM380" s="132"/>
      <c r="BN380" s="140">
        <f t="shared" si="187"/>
        <v>0</v>
      </c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1"/>
      <c r="BY380" s="141"/>
      <c r="BZ380" s="141"/>
      <c r="CA380" s="141"/>
      <c r="CB380" s="390">
        <f t="shared" si="188"/>
        <v>0</v>
      </c>
      <c r="CC380" s="132"/>
    </row>
    <row r="381" ht="14.25" customHeight="1">
      <c r="A381" s="132"/>
      <c r="B381" s="215">
        <v>46364</v>
      </c>
      <c r="C381" s="133"/>
      <c r="D381" s="136"/>
      <c r="E381" s="135"/>
      <c r="F381" s="135"/>
      <c r="G381" s="431">
        <f t="shared" si="180"/>
        <v>0</v>
      </c>
      <c r="H381" s="525"/>
      <c r="I381" s="457"/>
      <c r="J381" s="454"/>
      <c r="K381" s="140"/>
      <c r="L381" s="140"/>
      <c r="M381" s="140"/>
      <c r="N381" s="140"/>
      <c r="O381" s="140"/>
      <c r="P381" s="456"/>
      <c r="Q381" s="456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383">
        <f t="shared" si="181"/>
        <v>0</v>
      </c>
      <c r="AC381" s="140"/>
      <c r="AD381" s="140"/>
      <c r="AE381" s="140"/>
      <c r="AF381" s="140"/>
      <c r="AG381" s="140"/>
      <c r="AH381" s="140"/>
      <c r="AI381" s="140"/>
      <c r="AJ381" s="140"/>
      <c r="AK381" s="140"/>
      <c r="AL381" s="140"/>
      <c r="AM381" s="140"/>
      <c r="AN381" s="140"/>
      <c r="AO381" s="140"/>
      <c r="AP381" s="384">
        <f t="shared" si="182"/>
        <v>0</v>
      </c>
      <c r="AQ381" s="136"/>
      <c r="AR381" s="136"/>
      <c r="AS381" s="136"/>
      <c r="AT381" s="385">
        <f t="shared" si="183"/>
        <v>0</v>
      </c>
      <c r="AU381" s="140"/>
      <c r="AV381" s="140"/>
      <c r="AW381" s="140"/>
      <c r="AX381" s="140"/>
      <c r="AY381" s="392"/>
      <c r="AZ381" s="432">
        <f t="shared" si="184"/>
        <v>0</v>
      </c>
      <c r="BA381" s="433"/>
      <c r="BB381" s="276"/>
      <c r="BC381" s="274"/>
      <c r="BD381" s="274"/>
      <c r="BE381" s="127"/>
      <c r="BF381" s="126"/>
      <c r="BG381" s="274"/>
      <c r="BH381" s="274"/>
      <c r="BI381" s="274"/>
      <c r="BJ381" s="274"/>
      <c r="BK381" s="389">
        <f t="shared" si="185"/>
        <v>0</v>
      </c>
      <c r="BL381" s="140">
        <f t="shared" si="186"/>
        <v>0</v>
      </c>
      <c r="BM381" s="132"/>
      <c r="BN381" s="140">
        <f t="shared" si="187"/>
        <v>0</v>
      </c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1"/>
      <c r="BY381" s="141"/>
      <c r="BZ381" s="141"/>
      <c r="CA381" s="141"/>
      <c r="CB381" s="390">
        <f t="shared" si="188"/>
        <v>0</v>
      </c>
      <c r="CC381" s="132"/>
    </row>
    <row r="382" ht="14.25" customHeight="1">
      <c r="A382" s="132"/>
      <c r="B382" s="215">
        <v>46365</v>
      </c>
      <c r="C382" s="133"/>
      <c r="D382" s="136"/>
      <c r="E382" s="135"/>
      <c r="F382" s="135"/>
      <c r="G382" s="431">
        <f t="shared" si="180"/>
        <v>0</v>
      </c>
      <c r="H382" s="525"/>
      <c r="I382" s="457"/>
      <c r="J382" s="454"/>
      <c r="K382" s="140"/>
      <c r="L382" s="140"/>
      <c r="M382" s="140"/>
      <c r="N382" s="140"/>
      <c r="O382" s="140"/>
      <c r="P382" s="456"/>
      <c r="Q382" s="456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383">
        <f t="shared" si="181"/>
        <v>0</v>
      </c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  <c r="AM382" s="140"/>
      <c r="AN382" s="140"/>
      <c r="AO382" s="140"/>
      <c r="AP382" s="384">
        <f t="shared" si="182"/>
        <v>0</v>
      </c>
      <c r="AQ382" s="136"/>
      <c r="AR382" s="136"/>
      <c r="AS382" s="136"/>
      <c r="AT382" s="385">
        <f t="shared" si="183"/>
        <v>0</v>
      </c>
      <c r="AU382" s="140"/>
      <c r="AV382" s="140"/>
      <c r="AW382" s="140"/>
      <c r="AX382" s="140"/>
      <c r="AY382" s="392"/>
      <c r="AZ382" s="432">
        <f t="shared" si="184"/>
        <v>0</v>
      </c>
      <c r="BA382" s="433"/>
      <c r="BB382" s="276"/>
      <c r="BC382" s="274"/>
      <c r="BD382" s="274"/>
      <c r="BE382" s="127"/>
      <c r="BF382" s="126"/>
      <c r="BG382" s="274"/>
      <c r="BH382" s="274"/>
      <c r="BI382" s="274"/>
      <c r="BJ382" s="274"/>
      <c r="BK382" s="389">
        <f t="shared" si="185"/>
        <v>0</v>
      </c>
      <c r="BL382" s="140">
        <f t="shared" si="186"/>
        <v>0</v>
      </c>
      <c r="BM382" s="132"/>
      <c r="BN382" s="140">
        <f t="shared" si="187"/>
        <v>0</v>
      </c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1"/>
      <c r="BY382" s="141"/>
      <c r="BZ382" s="141"/>
      <c r="CA382" s="141"/>
      <c r="CB382" s="390">
        <f t="shared" si="188"/>
        <v>0</v>
      </c>
      <c r="CC382" s="132"/>
    </row>
    <row r="383" ht="14.25" customHeight="1">
      <c r="A383" s="132"/>
      <c r="B383" s="215">
        <v>46366</v>
      </c>
      <c r="C383" s="133"/>
      <c r="D383" s="136"/>
      <c r="E383" s="135"/>
      <c r="F383" s="135"/>
      <c r="G383" s="431">
        <f t="shared" si="180"/>
        <v>0</v>
      </c>
      <c r="H383" s="525"/>
      <c r="I383" s="457"/>
      <c r="J383" s="454"/>
      <c r="K383" s="140"/>
      <c r="L383" s="140"/>
      <c r="M383" s="140"/>
      <c r="N383" s="140"/>
      <c r="O383" s="140"/>
      <c r="P383" s="456"/>
      <c r="Q383" s="456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383">
        <f t="shared" si="181"/>
        <v>0</v>
      </c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  <c r="AM383" s="140"/>
      <c r="AN383" s="140"/>
      <c r="AO383" s="140"/>
      <c r="AP383" s="384">
        <f t="shared" si="182"/>
        <v>0</v>
      </c>
      <c r="AQ383" s="136"/>
      <c r="AR383" s="136"/>
      <c r="AS383" s="136"/>
      <c r="AT383" s="385">
        <f t="shared" si="183"/>
        <v>0</v>
      </c>
      <c r="AU383" s="140"/>
      <c r="AV383" s="140"/>
      <c r="AW383" s="140"/>
      <c r="AX383" s="140"/>
      <c r="AY383" s="392"/>
      <c r="AZ383" s="432">
        <f t="shared" si="184"/>
        <v>0</v>
      </c>
      <c r="BA383" s="433"/>
      <c r="BB383" s="276"/>
      <c r="BC383" s="274"/>
      <c r="BD383" s="274"/>
      <c r="BE383" s="127"/>
      <c r="BF383" s="126"/>
      <c r="BG383" s="274"/>
      <c r="BH383" s="274"/>
      <c r="BI383" s="274"/>
      <c r="BJ383" s="274"/>
      <c r="BK383" s="389">
        <f t="shared" si="185"/>
        <v>0</v>
      </c>
      <c r="BL383" s="140">
        <f t="shared" si="186"/>
        <v>0</v>
      </c>
      <c r="BM383" s="132"/>
      <c r="BN383" s="140">
        <f t="shared" si="187"/>
        <v>0</v>
      </c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1"/>
      <c r="BY383" s="141"/>
      <c r="BZ383" s="141"/>
      <c r="CA383" s="141"/>
      <c r="CB383" s="390">
        <f t="shared" si="188"/>
        <v>0</v>
      </c>
      <c r="CC383" s="132"/>
    </row>
    <row r="384" ht="14.25" customHeight="1">
      <c r="A384" s="132"/>
      <c r="B384" s="215">
        <v>46367</v>
      </c>
      <c r="C384" s="133"/>
      <c r="D384" s="136"/>
      <c r="E384" s="135"/>
      <c r="F384" s="135"/>
      <c r="G384" s="431">
        <f t="shared" si="180"/>
        <v>0</v>
      </c>
      <c r="H384" s="525"/>
      <c r="I384" s="457"/>
      <c r="J384" s="454"/>
      <c r="K384" s="140"/>
      <c r="L384" s="140"/>
      <c r="M384" s="140"/>
      <c r="N384" s="140"/>
      <c r="O384" s="140"/>
      <c r="P384" s="456"/>
      <c r="Q384" s="456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383">
        <f t="shared" si="181"/>
        <v>0</v>
      </c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  <c r="AM384" s="140"/>
      <c r="AN384" s="140"/>
      <c r="AO384" s="140"/>
      <c r="AP384" s="384">
        <f t="shared" si="182"/>
        <v>0</v>
      </c>
      <c r="AQ384" s="136"/>
      <c r="AR384" s="136"/>
      <c r="AS384" s="136"/>
      <c r="AT384" s="385">
        <f t="shared" si="183"/>
        <v>0</v>
      </c>
      <c r="AU384" s="140"/>
      <c r="AV384" s="140"/>
      <c r="AW384" s="140"/>
      <c r="AX384" s="140"/>
      <c r="AY384" s="392"/>
      <c r="AZ384" s="432">
        <f t="shared" si="184"/>
        <v>0</v>
      </c>
      <c r="BA384" s="433"/>
      <c r="BB384" s="276"/>
      <c r="BC384" s="274"/>
      <c r="BD384" s="274"/>
      <c r="BE384" s="127"/>
      <c r="BF384" s="126"/>
      <c r="BG384" s="274"/>
      <c r="BH384" s="274"/>
      <c r="BI384" s="274"/>
      <c r="BJ384" s="274"/>
      <c r="BK384" s="389">
        <f t="shared" si="185"/>
        <v>0</v>
      </c>
      <c r="BL384" s="140">
        <f t="shared" si="186"/>
        <v>0</v>
      </c>
      <c r="BM384" s="132"/>
      <c r="BN384" s="140">
        <f t="shared" si="187"/>
        <v>0</v>
      </c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1"/>
      <c r="BY384" s="141"/>
      <c r="BZ384" s="141"/>
      <c r="CA384" s="141"/>
      <c r="CB384" s="390">
        <f t="shared" si="188"/>
        <v>0</v>
      </c>
      <c r="CC384" s="132"/>
    </row>
    <row r="385" ht="14.25" customHeight="1">
      <c r="A385" s="132"/>
      <c r="B385" s="215">
        <v>46368</v>
      </c>
      <c r="C385" s="133"/>
      <c r="D385" s="136"/>
      <c r="E385" s="135"/>
      <c r="F385" s="135"/>
      <c r="G385" s="431">
        <f t="shared" si="180"/>
        <v>0</v>
      </c>
      <c r="H385" s="525"/>
      <c r="I385" s="457"/>
      <c r="J385" s="454"/>
      <c r="K385" s="140"/>
      <c r="L385" s="140"/>
      <c r="M385" s="140"/>
      <c r="N385" s="140"/>
      <c r="O385" s="140"/>
      <c r="P385" s="456"/>
      <c r="Q385" s="456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383">
        <f t="shared" si="181"/>
        <v>0</v>
      </c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  <c r="AM385" s="140"/>
      <c r="AN385" s="140"/>
      <c r="AO385" s="140"/>
      <c r="AP385" s="384">
        <f t="shared" si="182"/>
        <v>0</v>
      </c>
      <c r="AQ385" s="136"/>
      <c r="AR385" s="136"/>
      <c r="AS385" s="136"/>
      <c r="AT385" s="385">
        <f t="shared" si="183"/>
        <v>0</v>
      </c>
      <c r="AU385" s="140"/>
      <c r="AV385" s="140"/>
      <c r="AW385" s="140"/>
      <c r="AX385" s="140"/>
      <c r="AY385" s="392"/>
      <c r="AZ385" s="432">
        <f t="shared" si="184"/>
        <v>0</v>
      </c>
      <c r="BA385" s="433"/>
      <c r="BB385" s="276"/>
      <c r="BC385" s="274"/>
      <c r="BD385" s="274"/>
      <c r="BE385" s="127"/>
      <c r="BF385" s="126"/>
      <c r="BG385" s="274"/>
      <c r="BH385" s="274"/>
      <c r="BI385" s="274"/>
      <c r="BJ385" s="274"/>
      <c r="BK385" s="389">
        <f t="shared" si="185"/>
        <v>0</v>
      </c>
      <c r="BL385" s="140">
        <f t="shared" si="186"/>
        <v>0</v>
      </c>
      <c r="BM385" s="132"/>
      <c r="BN385" s="140">
        <f t="shared" si="187"/>
        <v>0</v>
      </c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1"/>
      <c r="BY385" s="141"/>
      <c r="BZ385" s="141"/>
      <c r="CA385" s="141"/>
      <c r="CB385" s="390">
        <f t="shared" si="188"/>
        <v>0</v>
      </c>
      <c r="CC385" s="132"/>
    </row>
    <row r="386" ht="14.25" customHeight="1">
      <c r="A386" s="132"/>
      <c r="B386" s="215">
        <v>46369</v>
      </c>
      <c r="C386" s="133"/>
      <c r="D386" s="136"/>
      <c r="E386" s="135"/>
      <c r="F386" s="135"/>
      <c r="G386" s="431">
        <f t="shared" si="180"/>
        <v>0</v>
      </c>
      <c r="H386" s="525"/>
      <c r="I386" s="457"/>
      <c r="J386" s="454"/>
      <c r="K386" s="140"/>
      <c r="L386" s="140"/>
      <c r="M386" s="140"/>
      <c r="N386" s="140"/>
      <c r="O386" s="140"/>
      <c r="P386" s="456"/>
      <c r="Q386" s="456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  <c r="AB386" s="383">
        <f t="shared" si="181"/>
        <v>0</v>
      </c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  <c r="AM386" s="140"/>
      <c r="AN386" s="140"/>
      <c r="AO386" s="140"/>
      <c r="AP386" s="384">
        <f t="shared" si="182"/>
        <v>0</v>
      </c>
      <c r="AQ386" s="136"/>
      <c r="AR386" s="136"/>
      <c r="AS386" s="136"/>
      <c r="AT386" s="385">
        <f t="shared" si="183"/>
        <v>0</v>
      </c>
      <c r="AU386" s="140"/>
      <c r="AV386" s="140"/>
      <c r="AW386" s="140"/>
      <c r="AX386" s="140"/>
      <c r="AY386" s="392"/>
      <c r="AZ386" s="432">
        <f t="shared" si="184"/>
        <v>0</v>
      </c>
      <c r="BA386" s="433"/>
      <c r="BB386" s="276"/>
      <c r="BC386" s="274"/>
      <c r="BD386" s="274"/>
      <c r="BE386" s="127"/>
      <c r="BF386" s="126"/>
      <c r="BG386" s="274"/>
      <c r="BH386" s="274"/>
      <c r="BI386" s="274"/>
      <c r="BJ386" s="274"/>
      <c r="BK386" s="389">
        <f t="shared" si="185"/>
        <v>0</v>
      </c>
      <c r="BL386" s="140">
        <f t="shared" si="186"/>
        <v>0</v>
      </c>
      <c r="BM386" s="132"/>
      <c r="BN386" s="140">
        <f t="shared" si="187"/>
        <v>0</v>
      </c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1"/>
      <c r="BY386" s="141"/>
      <c r="BZ386" s="141"/>
      <c r="CA386" s="141"/>
      <c r="CB386" s="390">
        <f t="shared" si="188"/>
        <v>0</v>
      </c>
      <c r="CC386" s="132"/>
    </row>
    <row r="387" ht="14.25" customHeight="1">
      <c r="A387" s="132"/>
      <c r="B387" s="215">
        <v>46370</v>
      </c>
      <c r="C387" s="133"/>
      <c r="D387" s="136"/>
      <c r="E387" s="135"/>
      <c r="F387" s="135"/>
      <c r="G387" s="431">
        <f t="shared" si="180"/>
        <v>0</v>
      </c>
      <c r="H387" s="525"/>
      <c r="I387" s="457"/>
      <c r="J387" s="454"/>
      <c r="K387" s="140"/>
      <c r="L387" s="140"/>
      <c r="M387" s="140"/>
      <c r="N387" s="140"/>
      <c r="O387" s="140"/>
      <c r="P387" s="456"/>
      <c r="Q387" s="456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  <c r="AB387" s="383">
        <f t="shared" si="181"/>
        <v>0</v>
      </c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  <c r="AM387" s="140"/>
      <c r="AN387" s="140"/>
      <c r="AO387" s="140"/>
      <c r="AP387" s="384">
        <f t="shared" si="182"/>
        <v>0</v>
      </c>
      <c r="AQ387" s="136"/>
      <c r="AR387" s="136"/>
      <c r="AS387" s="136"/>
      <c r="AT387" s="385">
        <f t="shared" si="183"/>
        <v>0</v>
      </c>
      <c r="AU387" s="140"/>
      <c r="AV387" s="140"/>
      <c r="AW387" s="140"/>
      <c r="AX387" s="140"/>
      <c r="AY387" s="392"/>
      <c r="AZ387" s="432">
        <f t="shared" si="184"/>
        <v>0</v>
      </c>
      <c r="BA387" s="433"/>
      <c r="BB387" s="276"/>
      <c r="BC387" s="274"/>
      <c r="BD387" s="274"/>
      <c r="BE387" s="127"/>
      <c r="BF387" s="126"/>
      <c r="BG387" s="274"/>
      <c r="BH387" s="274"/>
      <c r="BI387" s="274"/>
      <c r="BJ387" s="274"/>
      <c r="BK387" s="389">
        <f t="shared" si="185"/>
        <v>0</v>
      </c>
      <c r="BL387" s="140">
        <f t="shared" si="186"/>
        <v>0</v>
      </c>
      <c r="BM387" s="132"/>
      <c r="BN387" s="140">
        <f t="shared" si="187"/>
        <v>0</v>
      </c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1"/>
      <c r="BY387" s="141"/>
      <c r="BZ387" s="141"/>
      <c r="CA387" s="141"/>
      <c r="CB387" s="390">
        <f t="shared" si="188"/>
        <v>0</v>
      </c>
      <c r="CC387" s="132"/>
    </row>
    <row r="388" ht="14.25" customHeight="1">
      <c r="A388" s="132"/>
      <c r="B388" s="215">
        <v>46371</v>
      </c>
      <c r="C388" s="133"/>
      <c r="D388" s="136"/>
      <c r="E388" s="135"/>
      <c r="F388" s="135"/>
      <c r="G388" s="431">
        <f t="shared" si="180"/>
        <v>0</v>
      </c>
      <c r="H388" s="525"/>
      <c r="I388" s="457"/>
      <c r="J388" s="454"/>
      <c r="K388" s="140"/>
      <c r="L388" s="140"/>
      <c r="M388" s="140"/>
      <c r="N388" s="140"/>
      <c r="O388" s="140"/>
      <c r="P388" s="456"/>
      <c r="Q388" s="456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  <c r="AB388" s="383">
        <f t="shared" si="181"/>
        <v>0</v>
      </c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  <c r="AM388" s="140"/>
      <c r="AN388" s="140"/>
      <c r="AO388" s="140"/>
      <c r="AP388" s="384">
        <f t="shared" si="182"/>
        <v>0</v>
      </c>
      <c r="AQ388" s="136"/>
      <c r="AR388" s="136"/>
      <c r="AS388" s="136"/>
      <c r="AT388" s="385">
        <f t="shared" si="183"/>
        <v>0</v>
      </c>
      <c r="AU388" s="140"/>
      <c r="AV388" s="140"/>
      <c r="AW388" s="140"/>
      <c r="AX388" s="140"/>
      <c r="AY388" s="392"/>
      <c r="AZ388" s="432">
        <f t="shared" si="184"/>
        <v>0</v>
      </c>
      <c r="BA388" s="433"/>
      <c r="BB388" s="276"/>
      <c r="BC388" s="274"/>
      <c r="BD388" s="274"/>
      <c r="BE388" s="127"/>
      <c r="BF388" s="126"/>
      <c r="BG388" s="274"/>
      <c r="BH388" s="274"/>
      <c r="BI388" s="274"/>
      <c r="BJ388" s="274"/>
      <c r="BK388" s="389">
        <f t="shared" si="185"/>
        <v>0</v>
      </c>
      <c r="BL388" s="140">
        <f t="shared" si="186"/>
        <v>0</v>
      </c>
      <c r="BM388" s="132"/>
      <c r="BN388" s="140">
        <f t="shared" si="187"/>
        <v>0</v>
      </c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1"/>
      <c r="BY388" s="141"/>
      <c r="BZ388" s="141"/>
      <c r="CA388" s="141"/>
      <c r="CB388" s="390">
        <f t="shared" si="188"/>
        <v>0</v>
      </c>
      <c r="CC388" s="132"/>
    </row>
    <row r="389" ht="14.25" customHeight="1">
      <c r="A389" s="132"/>
      <c r="B389" s="215">
        <v>46372</v>
      </c>
      <c r="C389" s="133"/>
      <c r="D389" s="136"/>
      <c r="E389" s="135"/>
      <c r="F389" s="135"/>
      <c r="G389" s="431">
        <f t="shared" si="180"/>
        <v>0</v>
      </c>
      <c r="H389" s="525"/>
      <c r="I389" s="457"/>
      <c r="J389" s="454"/>
      <c r="K389" s="140"/>
      <c r="L389" s="140"/>
      <c r="M389" s="140"/>
      <c r="N389" s="140"/>
      <c r="O389" s="140"/>
      <c r="P389" s="456"/>
      <c r="Q389" s="456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  <c r="AB389" s="383">
        <f t="shared" si="181"/>
        <v>0</v>
      </c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  <c r="AM389" s="140"/>
      <c r="AN389" s="140"/>
      <c r="AO389" s="140"/>
      <c r="AP389" s="384">
        <f t="shared" si="182"/>
        <v>0</v>
      </c>
      <c r="AQ389" s="136"/>
      <c r="AR389" s="136"/>
      <c r="AS389" s="136"/>
      <c r="AT389" s="385">
        <f t="shared" si="183"/>
        <v>0</v>
      </c>
      <c r="AU389" s="140"/>
      <c r="AV389" s="140"/>
      <c r="AW389" s="140"/>
      <c r="AX389" s="140"/>
      <c r="AY389" s="392"/>
      <c r="AZ389" s="432">
        <f t="shared" si="184"/>
        <v>0</v>
      </c>
      <c r="BA389" s="433"/>
      <c r="BB389" s="276"/>
      <c r="BC389" s="274"/>
      <c r="BD389" s="274"/>
      <c r="BE389" s="127"/>
      <c r="BF389" s="126"/>
      <c r="BG389" s="274"/>
      <c r="BH389" s="274"/>
      <c r="BI389" s="274"/>
      <c r="BJ389" s="274"/>
      <c r="BK389" s="389">
        <f t="shared" si="185"/>
        <v>0</v>
      </c>
      <c r="BL389" s="140">
        <f t="shared" si="186"/>
        <v>0</v>
      </c>
      <c r="BM389" s="132"/>
      <c r="BN389" s="140">
        <f t="shared" si="187"/>
        <v>0</v>
      </c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1"/>
      <c r="BY389" s="141"/>
      <c r="BZ389" s="141"/>
      <c r="CA389" s="141"/>
      <c r="CB389" s="390">
        <f t="shared" si="188"/>
        <v>0</v>
      </c>
      <c r="CC389" s="132"/>
    </row>
    <row r="390" ht="14.25" customHeight="1">
      <c r="A390" s="132"/>
      <c r="B390" s="215">
        <v>46373</v>
      </c>
      <c r="C390" s="133"/>
      <c r="D390" s="136"/>
      <c r="E390" s="135"/>
      <c r="F390" s="135"/>
      <c r="G390" s="431">
        <f t="shared" si="180"/>
        <v>0</v>
      </c>
      <c r="H390" s="525"/>
      <c r="I390" s="457"/>
      <c r="J390" s="454"/>
      <c r="K390" s="140"/>
      <c r="L390" s="140"/>
      <c r="M390" s="140"/>
      <c r="N390" s="140"/>
      <c r="O390" s="140"/>
      <c r="P390" s="456"/>
      <c r="Q390" s="456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  <c r="AB390" s="383">
        <f t="shared" si="181"/>
        <v>0</v>
      </c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  <c r="AM390" s="140"/>
      <c r="AN390" s="140"/>
      <c r="AO390" s="140"/>
      <c r="AP390" s="384">
        <f t="shared" si="182"/>
        <v>0</v>
      </c>
      <c r="AQ390" s="136"/>
      <c r="AR390" s="136"/>
      <c r="AS390" s="136"/>
      <c r="AT390" s="385">
        <f t="shared" si="183"/>
        <v>0</v>
      </c>
      <c r="AU390" s="140"/>
      <c r="AV390" s="140"/>
      <c r="AW390" s="140"/>
      <c r="AX390" s="140"/>
      <c r="AY390" s="392"/>
      <c r="AZ390" s="432">
        <f t="shared" si="184"/>
        <v>0</v>
      </c>
      <c r="BA390" s="433"/>
      <c r="BB390" s="276"/>
      <c r="BC390" s="274"/>
      <c r="BD390" s="274"/>
      <c r="BE390" s="127"/>
      <c r="BF390" s="126"/>
      <c r="BG390" s="274"/>
      <c r="BH390" s="274"/>
      <c r="BI390" s="274"/>
      <c r="BJ390" s="274"/>
      <c r="BK390" s="389">
        <f t="shared" si="185"/>
        <v>0</v>
      </c>
      <c r="BL390" s="140">
        <f t="shared" si="186"/>
        <v>0</v>
      </c>
      <c r="BM390" s="132"/>
      <c r="BN390" s="140">
        <f t="shared" si="187"/>
        <v>0</v>
      </c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1"/>
      <c r="BY390" s="141"/>
      <c r="BZ390" s="141"/>
      <c r="CA390" s="141"/>
      <c r="CB390" s="390">
        <f t="shared" si="188"/>
        <v>0</v>
      </c>
      <c r="CC390" s="132"/>
    </row>
    <row r="391" ht="14.25" customHeight="1">
      <c r="A391" s="132"/>
      <c r="B391" s="215">
        <v>46374</v>
      </c>
      <c r="C391" s="133"/>
      <c r="D391" s="136"/>
      <c r="E391" s="135"/>
      <c r="F391" s="135"/>
      <c r="G391" s="431">
        <f t="shared" si="180"/>
        <v>0</v>
      </c>
      <c r="H391" s="525"/>
      <c r="I391" s="457"/>
      <c r="J391" s="454"/>
      <c r="K391" s="140"/>
      <c r="L391" s="140"/>
      <c r="M391" s="140"/>
      <c r="N391" s="140"/>
      <c r="O391" s="140"/>
      <c r="P391" s="456"/>
      <c r="Q391" s="456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  <c r="AB391" s="383">
        <f t="shared" si="181"/>
        <v>0</v>
      </c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  <c r="AM391" s="140"/>
      <c r="AN391" s="140"/>
      <c r="AO391" s="140"/>
      <c r="AP391" s="384">
        <f t="shared" si="182"/>
        <v>0</v>
      </c>
      <c r="AQ391" s="136"/>
      <c r="AR391" s="136"/>
      <c r="AS391" s="136"/>
      <c r="AT391" s="385">
        <f t="shared" si="183"/>
        <v>0</v>
      </c>
      <c r="AU391" s="140"/>
      <c r="AV391" s="140"/>
      <c r="AW391" s="140"/>
      <c r="AX391" s="140"/>
      <c r="AY391" s="392"/>
      <c r="AZ391" s="432">
        <f t="shared" si="184"/>
        <v>0</v>
      </c>
      <c r="BA391" s="433"/>
      <c r="BB391" s="276"/>
      <c r="BC391" s="274"/>
      <c r="BD391" s="274"/>
      <c r="BE391" s="127"/>
      <c r="BF391" s="126"/>
      <c r="BG391" s="274"/>
      <c r="BH391" s="274"/>
      <c r="BI391" s="274"/>
      <c r="BJ391" s="274"/>
      <c r="BK391" s="389">
        <f t="shared" si="185"/>
        <v>0</v>
      </c>
      <c r="BL391" s="140">
        <f t="shared" si="186"/>
        <v>0</v>
      </c>
      <c r="BM391" s="132"/>
      <c r="BN391" s="140">
        <f t="shared" si="187"/>
        <v>0</v>
      </c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1"/>
      <c r="BY391" s="141"/>
      <c r="BZ391" s="141"/>
      <c r="CA391" s="141"/>
      <c r="CB391" s="390">
        <f t="shared" si="188"/>
        <v>0</v>
      </c>
      <c r="CC391" s="132"/>
    </row>
    <row r="392" ht="14.25" customHeight="1">
      <c r="A392" s="132"/>
      <c r="B392" s="215">
        <v>46375</v>
      </c>
      <c r="C392" s="133"/>
      <c r="D392" s="136"/>
      <c r="E392" s="135"/>
      <c r="F392" s="135"/>
      <c r="G392" s="431">
        <f t="shared" si="180"/>
        <v>0</v>
      </c>
      <c r="H392" s="525"/>
      <c r="I392" s="457"/>
      <c r="J392" s="454"/>
      <c r="K392" s="140"/>
      <c r="L392" s="140"/>
      <c r="M392" s="140"/>
      <c r="N392" s="140"/>
      <c r="O392" s="140"/>
      <c r="P392" s="456"/>
      <c r="Q392" s="456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  <c r="AB392" s="383">
        <f t="shared" si="181"/>
        <v>0</v>
      </c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  <c r="AM392" s="140"/>
      <c r="AN392" s="140"/>
      <c r="AO392" s="140"/>
      <c r="AP392" s="384">
        <f t="shared" si="182"/>
        <v>0</v>
      </c>
      <c r="AQ392" s="136"/>
      <c r="AR392" s="136"/>
      <c r="AS392" s="136"/>
      <c r="AT392" s="385">
        <f t="shared" si="183"/>
        <v>0</v>
      </c>
      <c r="AU392" s="140"/>
      <c r="AV392" s="140"/>
      <c r="AW392" s="140"/>
      <c r="AX392" s="140"/>
      <c r="AY392" s="392"/>
      <c r="AZ392" s="432">
        <f t="shared" si="184"/>
        <v>0</v>
      </c>
      <c r="BA392" s="433"/>
      <c r="BB392" s="276"/>
      <c r="BC392" s="274"/>
      <c r="BD392" s="274"/>
      <c r="BE392" s="127"/>
      <c r="BF392" s="126"/>
      <c r="BG392" s="274"/>
      <c r="BH392" s="274"/>
      <c r="BI392" s="274"/>
      <c r="BJ392" s="274"/>
      <c r="BK392" s="389">
        <f t="shared" si="185"/>
        <v>0</v>
      </c>
      <c r="BL392" s="140">
        <f t="shared" si="186"/>
        <v>0</v>
      </c>
      <c r="BM392" s="132"/>
      <c r="BN392" s="140">
        <f t="shared" si="187"/>
        <v>0</v>
      </c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1"/>
      <c r="BY392" s="141"/>
      <c r="BZ392" s="141"/>
      <c r="CA392" s="141"/>
      <c r="CB392" s="390">
        <f t="shared" si="188"/>
        <v>0</v>
      </c>
      <c r="CC392" s="132"/>
    </row>
    <row r="393" ht="14.25" customHeight="1">
      <c r="A393" s="132"/>
      <c r="B393" s="215">
        <v>46376</v>
      </c>
      <c r="C393" s="133"/>
      <c r="D393" s="136"/>
      <c r="E393" s="135"/>
      <c r="F393" s="135"/>
      <c r="G393" s="431">
        <f t="shared" si="180"/>
        <v>0</v>
      </c>
      <c r="H393" s="525"/>
      <c r="I393" s="457"/>
      <c r="J393" s="454"/>
      <c r="K393" s="140"/>
      <c r="L393" s="140"/>
      <c r="M393" s="140"/>
      <c r="N393" s="140"/>
      <c r="O393" s="140"/>
      <c r="P393" s="456"/>
      <c r="Q393" s="456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  <c r="AB393" s="383">
        <f t="shared" si="181"/>
        <v>0</v>
      </c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  <c r="AM393" s="140"/>
      <c r="AN393" s="140"/>
      <c r="AO393" s="140"/>
      <c r="AP393" s="384">
        <f t="shared" si="182"/>
        <v>0</v>
      </c>
      <c r="AQ393" s="136"/>
      <c r="AR393" s="136"/>
      <c r="AS393" s="136"/>
      <c r="AT393" s="385">
        <f t="shared" si="183"/>
        <v>0</v>
      </c>
      <c r="AU393" s="140"/>
      <c r="AV393" s="140"/>
      <c r="AW393" s="140"/>
      <c r="AX393" s="140"/>
      <c r="AY393" s="392"/>
      <c r="AZ393" s="432">
        <f t="shared" si="184"/>
        <v>0</v>
      </c>
      <c r="BA393" s="433"/>
      <c r="BB393" s="276"/>
      <c r="BC393" s="274"/>
      <c r="BD393" s="274"/>
      <c r="BE393" s="127"/>
      <c r="BF393" s="126"/>
      <c r="BG393" s="274"/>
      <c r="BH393" s="274"/>
      <c r="BI393" s="274"/>
      <c r="BJ393" s="274"/>
      <c r="BK393" s="389">
        <f t="shared" si="185"/>
        <v>0</v>
      </c>
      <c r="BL393" s="140">
        <f t="shared" si="186"/>
        <v>0</v>
      </c>
      <c r="BM393" s="132"/>
      <c r="BN393" s="140">
        <f t="shared" si="187"/>
        <v>0</v>
      </c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1"/>
      <c r="BY393" s="141"/>
      <c r="BZ393" s="141"/>
      <c r="CA393" s="141"/>
      <c r="CB393" s="390">
        <f t="shared" si="188"/>
        <v>0</v>
      </c>
      <c r="CC393" s="132"/>
    </row>
    <row r="394" ht="14.25" customHeight="1">
      <c r="A394" s="132"/>
      <c r="B394" s="215">
        <v>46377</v>
      </c>
      <c r="C394" s="133"/>
      <c r="D394" s="136"/>
      <c r="E394" s="135"/>
      <c r="F394" s="135"/>
      <c r="G394" s="431">
        <f t="shared" si="180"/>
        <v>0</v>
      </c>
      <c r="H394" s="525"/>
      <c r="I394" s="457"/>
      <c r="J394" s="454"/>
      <c r="K394" s="140"/>
      <c r="L394" s="140"/>
      <c r="M394" s="140"/>
      <c r="N394" s="140"/>
      <c r="O394" s="140"/>
      <c r="P394" s="456"/>
      <c r="Q394" s="456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  <c r="AB394" s="383">
        <f t="shared" si="181"/>
        <v>0</v>
      </c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  <c r="AM394" s="140"/>
      <c r="AN394" s="140"/>
      <c r="AO394" s="140"/>
      <c r="AP394" s="384">
        <f t="shared" si="182"/>
        <v>0</v>
      </c>
      <c r="AQ394" s="136"/>
      <c r="AR394" s="136"/>
      <c r="AS394" s="136"/>
      <c r="AT394" s="385">
        <f t="shared" si="183"/>
        <v>0</v>
      </c>
      <c r="AU394" s="140"/>
      <c r="AV394" s="140"/>
      <c r="AW394" s="140"/>
      <c r="AX394" s="140"/>
      <c r="AY394" s="392"/>
      <c r="AZ394" s="432">
        <f t="shared" si="184"/>
        <v>0</v>
      </c>
      <c r="BA394" s="433"/>
      <c r="BB394" s="276"/>
      <c r="BC394" s="274"/>
      <c r="BD394" s="274"/>
      <c r="BE394" s="127"/>
      <c r="BF394" s="126"/>
      <c r="BG394" s="274"/>
      <c r="BH394" s="274"/>
      <c r="BI394" s="274"/>
      <c r="BJ394" s="274"/>
      <c r="BK394" s="389">
        <f t="shared" si="185"/>
        <v>0</v>
      </c>
      <c r="BL394" s="140">
        <f t="shared" si="186"/>
        <v>0</v>
      </c>
      <c r="BM394" s="132"/>
      <c r="BN394" s="140">
        <f t="shared" si="187"/>
        <v>0</v>
      </c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1"/>
      <c r="BY394" s="141"/>
      <c r="BZ394" s="141"/>
      <c r="CA394" s="141"/>
      <c r="CB394" s="390">
        <f t="shared" si="188"/>
        <v>0</v>
      </c>
      <c r="CC394" s="132"/>
    </row>
    <row r="395" ht="14.25" customHeight="1">
      <c r="A395" s="132"/>
      <c r="B395" s="215">
        <v>46378</v>
      </c>
      <c r="C395" s="133"/>
      <c r="D395" s="136"/>
      <c r="E395" s="135"/>
      <c r="F395" s="135"/>
      <c r="G395" s="431">
        <f t="shared" si="180"/>
        <v>0</v>
      </c>
      <c r="H395" s="525"/>
      <c r="I395" s="457"/>
      <c r="J395" s="454"/>
      <c r="K395" s="140"/>
      <c r="L395" s="140"/>
      <c r="M395" s="140"/>
      <c r="N395" s="140"/>
      <c r="O395" s="140"/>
      <c r="P395" s="456"/>
      <c r="Q395" s="456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  <c r="AB395" s="383">
        <f t="shared" si="181"/>
        <v>0</v>
      </c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  <c r="AM395" s="140"/>
      <c r="AN395" s="140"/>
      <c r="AO395" s="140"/>
      <c r="AP395" s="384">
        <f t="shared" si="182"/>
        <v>0</v>
      </c>
      <c r="AQ395" s="136"/>
      <c r="AR395" s="136"/>
      <c r="AS395" s="136"/>
      <c r="AT395" s="385">
        <f t="shared" si="183"/>
        <v>0</v>
      </c>
      <c r="AU395" s="140"/>
      <c r="AV395" s="140"/>
      <c r="AW395" s="140"/>
      <c r="AX395" s="140"/>
      <c r="AY395" s="392"/>
      <c r="AZ395" s="432">
        <f t="shared" si="184"/>
        <v>0</v>
      </c>
      <c r="BA395" s="433"/>
      <c r="BB395" s="276"/>
      <c r="BC395" s="274"/>
      <c r="BD395" s="274"/>
      <c r="BE395" s="127"/>
      <c r="BF395" s="126"/>
      <c r="BG395" s="274"/>
      <c r="BH395" s="274"/>
      <c r="BI395" s="274"/>
      <c r="BJ395" s="274"/>
      <c r="BK395" s="389">
        <f t="shared" si="185"/>
        <v>0</v>
      </c>
      <c r="BL395" s="140">
        <f t="shared" si="186"/>
        <v>0</v>
      </c>
      <c r="BM395" s="132"/>
      <c r="BN395" s="140">
        <f t="shared" si="187"/>
        <v>0</v>
      </c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1"/>
      <c r="BY395" s="141"/>
      <c r="BZ395" s="141"/>
      <c r="CA395" s="141"/>
      <c r="CB395" s="390">
        <f t="shared" si="188"/>
        <v>0</v>
      </c>
      <c r="CC395" s="132"/>
    </row>
    <row r="396" ht="14.25" customHeight="1">
      <c r="A396" s="132"/>
      <c r="B396" s="215">
        <v>46379</v>
      </c>
      <c r="C396" s="133"/>
      <c r="D396" s="136"/>
      <c r="E396" s="135"/>
      <c r="F396" s="135"/>
      <c r="G396" s="431">
        <f t="shared" si="180"/>
        <v>0</v>
      </c>
      <c r="H396" s="525"/>
      <c r="I396" s="457"/>
      <c r="J396" s="454"/>
      <c r="K396" s="140"/>
      <c r="L396" s="140"/>
      <c r="M396" s="140"/>
      <c r="N396" s="140"/>
      <c r="O396" s="140"/>
      <c r="P396" s="456"/>
      <c r="Q396" s="456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  <c r="AB396" s="383">
        <f t="shared" si="181"/>
        <v>0</v>
      </c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  <c r="AM396" s="140"/>
      <c r="AN396" s="140"/>
      <c r="AO396" s="140"/>
      <c r="AP396" s="384">
        <f t="shared" si="182"/>
        <v>0</v>
      </c>
      <c r="AQ396" s="136"/>
      <c r="AR396" s="136"/>
      <c r="AS396" s="136"/>
      <c r="AT396" s="385">
        <f t="shared" si="183"/>
        <v>0</v>
      </c>
      <c r="AU396" s="140"/>
      <c r="AV396" s="140"/>
      <c r="AW396" s="140"/>
      <c r="AX396" s="140"/>
      <c r="AY396" s="392"/>
      <c r="AZ396" s="432">
        <f t="shared" si="184"/>
        <v>0</v>
      </c>
      <c r="BA396" s="433"/>
      <c r="BB396" s="276"/>
      <c r="BC396" s="274"/>
      <c r="BD396" s="274"/>
      <c r="BE396" s="127"/>
      <c r="BF396" s="126"/>
      <c r="BG396" s="274"/>
      <c r="BH396" s="274"/>
      <c r="BI396" s="274"/>
      <c r="BJ396" s="274"/>
      <c r="BK396" s="389">
        <f t="shared" si="185"/>
        <v>0</v>
      </c>
      <c r="BL396" s="140">
        <f t="shared" si="186"/>
        <v>0</v>
      </c>
      <c r="BM396" s="132"/>
      <c r="BN396" s="140">
        <f t="shared" si="187"/>
        <v>0</v>
      </c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1"/>
      <c r="BY396" s="141"/>
      <c r="BZ396" s="141"/>
      <c r="CA396" s="141"/>
      <c r="CB396" s="390">
        <f t="shared" si="188"/>
        <v>0</v>
      </c>
      <c r="CC396" s="132"/>
    </row>
    <row r="397" ht="14.25" customHeight="1">
      <c r="A397" s="132"/>
      <c r="B397" s="215">
        <v>46380</v>
      </c>
      <c r="C397" s="133"/>
      <c r="D397" s="136"/>
      <c r="E397" s="135"/>
      <c r="F397" s="135"/>
      <c r="G397" s="431">
        <f t="shared" si="180"/>
        <v>0</v>
      </c>
      <c r="H397" s="525"/>
      <c r="I397" s="457"/>
      <c r="J397" s="454"/>
      <c r="K397" s="140"/>
      <c r="L397" s="140"/>
      <c r="M397" s="140"/>
      <c r="N397" s="140"/>
      <c r="O397" s="140"/>
      <c r="P397" s="456"/>
      <c r="Q397" s="456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  <c r="AB397" s="383">
        <f t="shared" si="181"/>
        <v>0</v>
      </c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  <c r="AM397" s="140"/>
      <c r="AN397" s="140"/>
      <c r="AO397" s="140"/>
      <c r="AP397" s="384">
        <f t="shared" si="182"/>
        <v>0</v>
      </c>
      <c r="AQ397" s="136"/>
      <c r="AR397" s="136"/>
      <c r="AS397" s="136"/>
      <c r="AT397" s="385">
        <f t="shared" si="183"/>
        <v>0</v>
      </c>
      <c r="AU397" s="140"/>
      <c r="AV397" s="140"/>
      <c r="AW397" s="140"/>
      <c r="AX397" s="140"/>
      <c r="AY397" s="392"/>
      <c r="AZ397" s="432">
        <f t="shared" si="184"/>
        <v>0</v>
      </c>
      <c r="BA397" s="433"/>
      <c r="BB397" s="276"/>
      <c r="BC397" s="274"/>
      <c r="BD397" s="274"/>
      <c r="BE397" s="127"/>
      <c r="BF397" s="126"/>
      <c r="BG397" s="274"/>
      <c r="BH397" s="274"/>
      <c r="BI397" s="274"/>
      <c r="BJ397" s="274"/>
      <c r="BK397" s="389">
        <f t="shared" si="185"/>
        <v>0</v>
      </c>
      <c r="BL397" s="140">
        <f t="shared" si="186"/>
        <v>0</v>
      </c>
      <c r="BM397" s="132"/>
      <c r="BN397" s="140">
        <f t="shared" si="187"/>
        <v>0</v>
      </c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1"/>
      <c r="BY397" s="141"/>
      <c r="BZ397" s="141"/>
      <c r="CA397" s="141"/>
      <c r="CB397" s="390">
        <f t="shared" si="188"/>
        <v>0</v>
      </c>
      <c r="CC397" s="132"/>
    </row>
    <row r="398" ht="14.25" customHeight="1">
      <c r="A398" s="132"/>
      <c r="B398" s="215">
        <v>46381</v>
      </c>
      <c r="C398" s="133"/>
      <c r="D398" s="136"/>
      <c r="E398" s="135"/>
      <c r="F398" s="135"/>
      <c r="G398" s="431">
        <f t="shared" si="180"/>
        <v>0</v>
      </c>
      <c r="H398" s="525"/>
      <c r="I398" s="457"/>
      <c r="J398" s="454"/>
      <c r="K398" s="140"/>
      <c r="L398" s="140"/>
      <c r="M398" s="140"/>
      <c r="N398" s="140"/>
      <c r="O398" s="140"/>
      <c r="P398" s="456"/>
      <c r="Q398" s="456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  <c r="AB398" s="383">
        <f t="shared" si="181"/>
        <v>0</v>
      </c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  <c r="AM398" s="140"/>
      <c r="AN398" s="140"/>
      <c r="AO398" s="140"/>
      <c r="AP398" s="384">
        <f t="shared" si="182"/>
        <v>0</v>
      </c>
      <c r="AQ398" s="136"/>
      <c r="AR398" s="136"/>
      <c r="AS398" s="136"/>
      <c r="AT398" s="385">
        <f t="shared" si="183"/>
        <v>0</v>
      </c>
      <c r="AU398" s="140"/>
      <c r="AV398" s="140"/>
      <c r="AW398" s="140"/>
      <c r="AX398" s="140"/>
      <c r="AY398" s="392"/>
      <c r="AZ398" s="432">
        <f t="shared" si="184"/>
        <v>0</v>
      </c>
      <c r="BA398" s="433"/>
      <c r="BB398" s="276"/>
      <c r="BC398" s="274"/>
      <c r="BD398" s="274"/>
      <c r="BE398" s="127"/>
      <c r="BF398" s="126"/>
      <c r="BG398" s="274"/>
      <c r="BH398" s="274"/>
      <c r="BI398" s="274"/>
      <c r="BJ398" s="274"/>
      <c r="BK398" s="389">
        <f t="shared" si="185"/>
        <v>0</v>
      </c>
      <c r="BL398" s="140">
        <f t="shared" si="186"/>
        <v>0</v>
      </c>
      <c r="BM398" s="132"/>
      <c r="BN398" s="140">
        <f t="shared" si="187"/>
        <v>0</v>
      </c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1"/>
      <c r="BY398" s="141"/>
      <c r="BZ398" s="141"/>
      <c r="CA398" s="141"/>
      <c r="CB398" s="390">
        <f t="shared" si="188"/>
        <v>0</v>
      </c>
      <c r="CC398" s="132"/>
    </row>
    <row r="399" ht="14.25" customHeight="1">
      <c r="A399" s="132"/>
      <c r="B399" s="215">
        <v>46382</v>
      </c>
      <c r="C399" s="133"/>
      <c r="D399" s="136"/>
      <c r="E399" s="135"/>
      <c r="F399" s="135"/>
      <c r="G399" s="431">
        <f t="shared" si="180"/>
        <v>0</v>
      </c>
      <c r="H399" s="525"/>
      <c r="I399" s="457"/>
      <c r="J399" s="454"/>
      <c r="K399" s="140"/>
      <c r="L399" s="140"/>
      <c r="M399" s="140"/>
      <c r="N399" s="140"/>
      <c r="O399" s="140"/>
      <c r="P399" s="379"/>
      <c r="Q399" s="379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  <c r="AB399" s="383">
        <f t="shared" si="181"/>
        <v>0</v>
      </c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  <c r="AM399" s="140"/>
      <c r="AN399" s="140"/>
      <c r="AO399" s="140"/>
      <c r="AP399" s="384">
        <f t="shared" si="182"/>
        <v>0</v>
      </c>
      <c r="AQ399" s="136"/>
      <c r="AR399" s="136"/>
      <c r="AS399" s="136"/>
      <c r="AT399" s="385">
        <f t="shared" si="183"/>
        <v>0</v>
      </c>
      <c r="AU399" s="140"/>
      <c r="AV399" s="140"/>
      <c r="AW399" s="140"/>
      <c r="AX399" s="140"/>
      <c r="AY399" s="392"/>
      <c r="AZ399" s="432">
        <f t="shared" si="184"/>
        <v>0</v>
      </c>
      <c r="BA399" s="433"/>
      <c r="BB399" s="276"/>
      <c r="BC399" s="274"/>
      <c r="BD399" s="274"/>
      <c r="BE399" s="127"/>
      <c r="BF399" s="126"/>
      <c r="BG399" s="274"/>
      <c r="BH399" s="274"/>
      <c r="BI399" s="274"/>
      <c r="BJ399" s="274"/>
      <c r="BK399" s="389">
        <f t="shared" si="185"/>
        <v>0</v>
      </c>
      <c r="BL399" s="140">
        <f t="shared" si="186"/>
        <v>0</v>
      </c>
      <c r="BM399" s="132"/>
      <c r="BN399" s="140">
        <f t="shared" si="187"/>
        <v>0</v>
      </c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1"/>
      <c r="BY399" s="141"/>
      <c r="BZ399" s="141"/>
      <c r="CA399" s="141"/>
      <c r="CB399" s="390">
        <f t="shared" si="188"/>
        <v>0</v>
      </c>
      <c r="CC399" s="132"/>
    </row>
    <row r="400" ht="14.25" customHeight="1">
      <c r="A400" s="132"/>
      <c r="B400" s="215">
        <v>46383</v>
      </c>
      <c r="C400" s="133"/>
      <c r="D400" s="136"/>
      <c r="E400" s="135"/>
      <c r="F400" s="135"/>
      <c r="G400" s="431">
        <f t="shared" si="180"/>
        <v>0</v>
      </c>
      <c r="H400" s="525"/>
      <c r="I400" s="457"/>
      <c r="J400" s="454"/>
      <c r="K400" s="140"/>
      <c r="L400" s="140"/>
      <c r="M400" s="140"/>
      <c r="N400" s="140"/>
      <c r="O400" s="140"/>
      <c r="P400" s="456"/>
      <c r="Q400" s="456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  <c r="AB400" s="383">
        <f t="shared" si="181"/>
        <v>0</v>
      </c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  <c r="AM400" s="140"/>
      <c r="AN400" s="140"/>
      <c r="AO400" s="140"/>
      <c r="AP400" s="384">
        <f t="shared" si="182"/>
        <v>0</v>
      </c>
      <c r="AQ400" s="136"/>
      <c r="AR400" s="136"/>
      <c r="AS400" s="136"/>
      <c r="AT400" s="385">
        <f t="shared" si="183"/>
        <v>0</v>
      </c>
      <c r="AU400" s="140"/>
      <c r="AV400" s="140"/>
      <c r="AW400" s="140"/>
      <c r="AX400" s="140"/>
      <c r="AY400" s="392"/>
      <c r="AZ400" s="432">
        <f t="shared" si="184"/>
        <v>0</v>
      </c>
      <c r="BA400" s="433"/>
      <c r="BB400" s="276"/>
      <c r="BC400" s="274"/>
      <c r="BD400" s="274"/>
      <c r="BE400" s="127"/>
      <c r="BF400" s="126"/>
      <c r="BG400" s="274"/>
      <c r="BH400" s="274"/>
      <c r="BI400" s="274"/>
      <c r="BJ400" s="274"/>
      <c r="BK400" s="389">
        <f t="shared" si="185"/>
        <v>0</v>
      </c>
      <c r="BL400" s="140">
        <f t="shared" si="186"/>
        <v>0</v>
      </c>
      <c r="BM400" s="132"/>
      <c r="BN400" s="140">
        <f t="shared" si="187"/>
        <v>0</v>
      </c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1"/>
      <c r="BY400" s="141"/>
      <c r="BZ400" s="141"/>
      <c r="CA400" s="141"/>
      <c r="CB400" s="390">
        <f t="shared" si="188"/>
        <v>0</v>
      </c>
      <c r="CC400" s="132"/>
    </row>
    <row r="401" ht="14.25" customHeight="1">
      <c r="A401" s="132"/>
      <c r="B401" s="215">
        <v>46384</v>
      </c>
      <c r="C401" s="133"/>
      <c r="D401" s="136"/>
      <c r="E401" s="135"/>
      <c r="F401" s="135"/>
      <c r="G401" s="431">
        <f t="shared" si="180"/>
        <v>0</v>
      </c>
      <c r="H401" s="525"/>
      <c r="I401" s="457"/>
      <c r="J401" s="454"/>
      <c r="K401" s="140"/>
      <c r="L401" s="140"/>
      <c r="M401" s="140"/>
      <c r="N401" s="140"/>
      <c r="O401" s="140"/>
      <c r="P401" s="456"/>
      <c r="Q401" s="456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  <c r="AB401" s="383">
        <f t="shared" si="181"/>
        <v>0</v>
      </c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  <c r="AM401" s="140"/>
      <c r="AN401" s="140"/>
      <c r="AO401" s="140"/>
      <c r="AP401" s="384">
        <f t="shared" si="182"/>
        <v>0</v>
      </c>
      <c r="AQ401" s="136"/>
      <c r="AR401" s="136"/>
      <c r="AS401" s="136"/>
      <c r="AT401" s="385">
        <f t="shared" si="183"/>
        <v>0</v>
      </c>
      <c r="AU401" s="140"/>
      <c r="AV401" s="140"/>
      <c r="AW401" s="140"/>
      <c r="AX401" s="140"/>
      <c r="AY401" s="392"/>
      <c r="AZ401" s="432">
        <f t="shared" si="184"/>
        <v>0</v>
      </c>
      <c r="BA401" s="433"/>
      <c r="BB401" s="276"/>
      <c r="BC401" s="274"/>
      <c r="BD401" s="274"/>
      <c r="BE401" s="127"/>
      <c r="BF401" s="126"/>
      <c r="BG401" s="274"/>
      <c r="BH401" s="274"/>
      <c r="BI401" s="274"/>
      <c r="BJ401" s="274"/>
      <c r="BK401" s="389">
        <f t="shared" si="185"/>
        <v>0</v>
      </c>
      <c r="BL401" s="140">
        <f t="shared" si="186"/>
        <v>0</v>
      </c>
      <c r="BM401" s="132"/>
      <c r="BN401" s="140">
        <f t="shared" si="187"/>
        <v>0</v>
      </c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1"/>
      <c r="BY401" s="141"/>
      <c r="BZ401" s="141"/>
      <c r="CA401" s="141"/>
      <c r="CB401" s="390">
        <f t="shared" si="188"/>
        <v>0</v>
      </c>
      <c r="CC401" s="132"/>
    </row>
    <row r="402" ht="14.25" customHeight="1">
      <c r="A402" s="132"/>
      <c r="B402" s="215">
        <v>46385</v>
      </c>
      <c r="C402" s="133"/>
      <c r="D402" s="136"/>
      <c r="E402" s="135"/>
      <c r="F402" s="135"/>
      <c r="G402" s="431">
        <f t="shared" si="180"/>
        <v>0</v>
      </c>
      <c r="H402" s="525"/>
      <c r="I402" s="457"/>
      <c r="J402" s="454"/>
      <c r="K402" s="140"/>
      <c r="L402" s="140"/>
      <c r="M402" s="140"/>
      <c r="N402" s="140"/>
      <c r="O402" s="140"/>
      <c r="P402" s="456"/>
      <c r="Q402" s="456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  <c r="AB402" s="383">
        <f t="shared" si="181"/>
        <v>0</v>
      </c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  <c r="AM402" s="140"/>
      <c r="AN402" s="140"/>
      <c r="AO402" s="140"/>
      <c r="AP402" s="384">
        <f t="shared" si="182"/>
        <v>0</v>
      </c>
      <c r="AQ402" s="136"/>
      <c r="AR402" s="136"/>
      <c r="AS402" s="136"/>
      <c r="AT402" s="385">
        <f t="shared" si="183"/>
        <v>0</v>
      </c>
      <c r="AU402" s="140"/>
      <c r="AV402" s="140"/>
      <c r="AW402" s="140"/>
      <c r="AX402" s="140"/>
      <c r="AY402" s="392"/>
      <c r="AZ402" s="432">
        <f t="shared" si="184"/>
        <v>0</v>
      </c>
      <c r="BA402" s="433"/>
      <c r="BB402" s="276"/>
      <c r="BC402" s="274"/>
      <c r="BD402" s="274"/>
      <c r="BE402" s="127"/>
      <c r="BF402" s="126"/>
      <c r="BG402" s="274"/>
      <c r="BH402" s="274"/>
      <c r="BI402" s="274"/>
      <c r="BJ402" s="274"/>
      <c r="BK402" s="389">
        <f t="shared" si="185"/>
        <v>0</v>
      </c>
      <c r="BL402" s="140">
        <f t="shared" si="186"/>
        <v>0</v>
      </c>
      <c r="BM402" s="132"/>
      <c r="BN402" s="140">
        <f t="shared" si="187"/>
        <v>0</v>
      </c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1"/>
      <c r="BY402" s="141"/>
      <c r="BZ402" s="141"/>
      <c r="CA402" s="141"/>
      <c r="CB402" s="390">
        <f t="shared" si="188"/>
        <v>0</v>
      </c>
      <c r="CC402" s="132"/>
    </row>
    <row r="403" ht="14.25" customHeight="1">
      <c r="A403" s="132"/>
      <c r="B403" s="215">
        <v>46386</v>
      </c>
      <c r="C403" s="133"/>
      <c r="D403" s="136"/>
      <c r="E403" s="135"/>
      <c r="F403" s="135"/>
      <c r="G403" s="431">
        <f t="shared" si="180"/>
        <v>0</v>
      </c>
      <c r="H403" s="525"/>
      <c r="I403" s="457"/>
      <c r="J403" s="454"/>
      <c r="K403" s="140"/>
      <c r="L403" s="140"/>
      <c r="M403" s="140"/>
      <c r="N403" s="140"/>
      <c r="O403" s="140"/>
      <c r="P403" s="456"/>
      <c r="Q403" s="456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  <c r="AB403" s="383">
        <f t="shared" si="181"/>
        <v>0</v>
      </c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  <c r="AM403" s="140"/>
      <c r="AN403" s="140"/>
      <c r="AO403" s="140"/>
      <c r="AP403" s="384">
        <f t="shared" si="182"/>
        <v>0</v>
      </c>
      <c r="AQ403" s="136"/>
      <c r="AR403" s="136"/>
      <c r="AS403" s="136"/>
      <c r="AT403" s="385">
        <f t="shared" si="183"/>
        <v>0</v>
      </c>
      <c r="AU403" s="140"/>
      <c r="AV403" s="140"/>
      <c r="AW403" s="140"/>
      <c r="AX403" s="140"/>
      <c r="AY403" s="392"/>
      <c r="AZ403" s="432">
        <f t="shared" si="184"/>
        <v>0</v>
      </c>
      <c r="BA403" s="433"/>
      <c r="BB403" s="276"/>
      <c r="BC403" s="274"/>
      <c r="BD403" s="274"/>
      <c r="BE403" s="127"/>
      <c r="BF403" s="126"/>
      <c r="BG403" s="274"/>
      <c r="BH403" s="274"/>
      <c r="BI403" s="274"/>
      <c r="BJ403" s="274"/>
      <c r="BK403" s="389">
        <f t="shared" si="185"/>
        <v>0</v>
      </c>
      <c r="BL403" s="140">
        <f t="shared" si="186"/>
        <v>0</v>
      </c>
      <c r="BM403" s="132"/>
      <c r="BN403" s="140">
        <f t="shared" si="187"/>
        <v>0</v>
      </c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41"/>
      <c r="BY403" s="141"/>
      <c r="BZ403" s="141"/>
      <c r="CA403" s="141"/>
      <c r="CB403" s="390">
        <f t="shared" si="188"/>
        <v>0</v>
      </c>
      <c r="CC403" s="132"/>
    </row>
    <row r="404" ht="14.25" customHeight="1">
      <c r="A404" s="132"/>
      <c r="B404" s="215">
        <v>46387</v>
      </c>
      <c r="C404" s="153"/>
      <c r="D404" s="159"/>
      <c r="E404" s="156"/>
      <c r="F404" s="156"/>
      <c r="G404" s="431">
        <f t="shared" si="180"/>
        <v>0</v>
      </c>
      <c r="H404" s="525"/>
      <c r="I404" s="503"/>
      <c r="J404" s="500"/>
      <c r="K404" s="162"/>
      <c r="L404" s="162"/>
      <c r="M404" s="162"/>
      <c r="N404" s="162"/>
      <c r="O404" s="162"/>
      <c r="P404" s="501"/>
      <c r="Q404" s="501"/>
      <c r="R404" s="162"/>
      <c r="S404" s="162"/>
      <c r="T404" s="162"/>
      <c r="U404" s="162"/>
      <c r="V404" s="162"/>
      <c r="W404" s="162"/>
      <c r="X404" s="162"/>
      <c r="Y404" s="162"/>
      <c r="Z404" s="140"/>
      <c r="AA404" s="140"/>
      <c r="AB404" s="383">
        <f t="shared" si="181"/>
        <v>0</v>
      </c>
      <c r="AC404" s="162"/>
      <c r="AD404" s="162"/>
      <c r="AE404" s="162"/>
      <c r="AF404" s="162"/>
      <c r="AG404" s="162"/>
      <c r="AH404" s="162"/>
      <c r="AI404" s="162"/>
      <c r="AJ404" s="162"/>
      <c r="AK404" s="162"/>
      <c r="AL404" s="162"/>
      <c r="AM404" s="162"/>
      <c r="AN404" s="162"/>
      <c r="AO404" s="162"/>
      <c r="AP404" s="384">
        <f t="shared" si="182"/>
        <v>0</v>
      </c>
      <c r="AQ404" s="159"/>
      <c r="AR404" s="159"/>
      <c r="AS404" s="159"/>
      <c r="AT404" s="385">
        <f t="shared" si="183"/>
        <v>0</v>
      </c>
      <c r="AU404" s="162"/>
      <c r="AV404" s="162"/>
      <c r="AW404" s="162"/>
      <c r="AX404" s="162"/>
      <c r="AY404" s="556"/>
      <c r="AZ404" s="432">
        <f t="shared" si="184"/>
        <v>0</v>
      </c>
      <c r="BA404" s="435"/>
      <c r="BB404" s="533"/>
      <c r="BC404" s="296"/>
      <c r="BD404" s="296"/>
      <c r="BE404" s="161"/>
      <c r="BF404" s="138"/>
      <c r="BG404" s="296"/>
      <c r="BH404" s="296"/>
      <c r="BI404" s="296"/>
      <c r="BJ404" s="296"/>
      <c r="BK404" s="389">
        <f t="shared" si="185"/>
        <v>0</v>
      </c>
      <c r="BL404" s="162">
        <f t="shared" si="186"/>
        <v>0</v>
      </c>
      <c r="BM404" s="132"/>
      <c r="BN404" s="162">
        <f t="shared" si="187"/>
        <v>0</v>
      </c>
      <c r="BO404" s="163"/>
      <c r="BP404" s="163"/>
      <c r="BQ404" s="163"/>
      <c r="BR404" s="163"/>
      <c r="BS404" s="163"/>
      <c r="BT404" s="163"/>
      <c r="BU404" s="163"/>
      <c r="BV404" s="163"/>
      <c r="BW404" s="163"/>
      <c r="BX404" s="141"/>
      <c r="BY404" s="163"/>
      <c r="BZ404" s="141"/>
      <c r="CA404" s="163"/>
      <c r="CB404" s="405">
        <f t="shared" si="188"/>
        <v>0</v>
      </c>
      <c r="CC404" s="132"/>
    </row>
    <row r="405" ht="14.25" customHeight="1">
      <c r="A405" s="3"/>
      <c r="B405" s="2" t="s">
        <v>86</v>
      </c>
      <c r="C405" s="407">
        <f ref="C405:G405" t="shared" si="189">SUM(C374:C404)</f>
        <v>0</v>
      </c>
      <c r="D405" s="407">
        <f t="shared" si="189"/>
        <v>0</v>
      </c>
      <c r="E405" s="407">
        <f t="shared" si="189"/>
        <v>0</v>
      </c>
      <c r="F405" s="407">
        <f t="shared" si="189"/>
        <v>0</v>
      </c>
      <c r="G405" s="407">
        <f t="shared" si="189"/>
        <v>0</v>
      </c>
      <c r="H405" s="407"/>
      <c r="I405" s="407">
        <f ref="I405:S405" t="shared" si="190">SUM(I374:I404)</f>
        <v>0</v>
      </c>
      <c r="J405" s="407">
        <f t="shared" si="190"/>
        <v>0</v>
      </c>
      <c r="K405" s="407">
        <f t="shared" si="190"/>
        <v>0</v>
      </c>
      <c r="L405" s="407">
        <f t="shared" si="190"/>
        <v>0</v>
      </c>
      <c r="M405" s="407">
        <f t="shared" si="190"/>
        <v>0</v>
      </c>
      <c r="N405" s="407">
        <f t="shared" si="190"/>
        <v>0</v>
      </c>
      <c r="O405" s="407">
        <f t="shared" si="190"/>
        <v>0</v>
      </c>
      <c r="P405" s="407">
        <f t="shared" si="190"/>
        <v>0</v>
      </c>
      <c r="Q405" s="407">
        <f t="shared" si="190"/>
        <v>0</v>
      </c>
      <c r="R405" s="407">
        <f t="shared" si="190"/>
        <v>0</v>
      </c>
      <c r="S405" s="407">
        <f t="shared" si="190"/>
        <v>0</v>
      </c>
      <c r="T405" s="407"/>
      <c r="U405" s="407">
        <f ref="U405:Z405" t="shared" si="191">SUM(U374:U404)</f>
        <v>0</v>
      </c>
      <c r="V405" s="407">
        <f t="shared" si="191"/>
        <v>0</v>
      </c>
      <c r="W405" s="407">
        <f t="shared" si="191"/>
        <v>0</v>
      </c>
      <c r="X405" s="407">
        <f t="shared" si="191"/>
        <v>0</v>
      </c>
      <c r="Y405" s="407">
        <f t="shared" si="191"/>
        <v>0</v>
      </c>
      <c r="Z405" s="407">
        <f t="shared" si="191"/>
        <v>0</v>
      </c>
      <c r="AA405" s="140"/>
      <c r="AB405" s="407">
        <f ref="AB405:AU405" t="shared" si="192">SUM(AB374:AB404)</f>
        <v>0</v>
      </c>
      <c r="AC405" s="407">
        <f t="shared" si="192"/>
        <v>0</v>
      </c>
      <c r="AD405" s="407">
        <f t="shared" si="192"/>
        <v>0</v>
      </c>
      <c r="AE405" s="407">
        <f t="shared" si="192"/>
        <v>0</v>
      </c>
      <c r="AF405" s="407">
        <f t="shared" si="192"/>
        <v>0</v>
      </c>
      <c r="AG405" s="407">
        <f t="shared" si="192"/>
        <v>0</v>
      </c>
      <c r="AH405" s="407">
        <f t="shared" si="192"/>
        <v>0</v>
      </c>
      <c r="AI405" s="407">
        <f t="shared" si="192"/>
        <v>0</v>
      </c>
      <c r="AJ405" s="407">
        <f t="shared" si="192"/>
        <v>0</v>
      </c>
      <c r="AK405" s="407">
        <f t="shared" si="192"/>
        <v>0</v>
      </c>
      <c r="AL405" s="407">
        <f t="shared" si="192"/>
        <v>0</v>
      </c>
      <c r="AM405" s="407">
        <f t="shared" si="192"/>
        <v>0</v>
      </c>
      <c r="AN405" s="407">
        <f t="shared" si="192"/>
        <v>0</v>
      </c>
      <c r="AO405" s="407">
        <f t="shared" si="192"/>
        <v>0</v>
      </c>
      <c r="AP405" s="407">
        <f t="shared" si="192"/>
        <v>0</v>
      </c>
      <c r="AQ405" s="407">
        <f t="shared" si="192"/>
        <v>0</v>
      </c>
      <c r="AR405" s="407">
        <f t="shared" si="192"/>
        <v>0</v>
      </c>
      <c r="AS405" s="407">
        <f t="shared" si="192"/>
        <v>0</v>
      </c>
      <c r="AT405" s="407">
        <f t="shared" si="192"/>
        <v>0</v>
      </c>
      <c r="AU405" s="407">
        <f t="shared" si="192"/>
        <v>0</v>
      </c>
      <c r="AV405" s="407"/>
      <c r="AW405" s="407">
        <f ref="AW405:BL405" t="shared" si="193">SUM(AW374:AW404)</f>
        <v>0</v>
      </c>
      <c r="AX405" s="407">
        <f t="shared" si="193"/>
        <v>0</v>
      </c>
      <c r="AY405" s="407">
        <f t="shared" si="193"/>
        <v>0</v>
      </c>
      <c r="AZ405" s="407">
        <f t="shared" si="193"/>
        <v>0</v>
      </c>
      <c r="BA405" s="439">
        <f t="shared" si="193"/>
        <v>0</v>
      </c>
      <c r="BB405" s="411">
        <f t="shared" si="193"/>
        <v>0</v>
      </c>
      <c r="BC405" s="407">
        <f t="shared" si="193"/>
        <v>0</v>
      </c>
      <c r="BD405" s="407">
        <f t="shared" si="193"/>
        <v>0</v>
      </c>
      <c r="BE405" s="407">
        <f t="shared" si="193"/>
        <v>0</v>
      </c>
      <c r="BF405" s="439">
        <f t="shared" si="193"/>
        <v>0</v>
      </c>
      <c r="BG405" s="407">
        <f t="shared" si="193"/>
        <v>0</v>
      </c>
      <c r="BH405" s="407">
        <f t="shared" si="193"/>
        <v>0</v>
      </c>
      <c r="BI405" s="407">
        <f t="shared" si="193"/>
        <v>0</v>
      </c>
      <c r="BJ405" s="407">
        <f t="shared" si="193"/>
        <v>0</v>
      </c>
      <c r="BK405" s="407">
        <f t="shared" si="193"/>
        <v>0</v>
      </c>
      <c r="BL405" s="407">
        <f t="shared" si="193"/>
        <v>0</v>
      </c>
      <c r="BM405" s="538"/>
      <c r="BN405" s="509">
        <f ref="BN405:CC405" t="shared" si="194">SUM(BN375:BN404)</f>
        <v>0</v>
      </c>
      <c r="BO405" s="407">
        <f t="shared" si="194"/>
        <v>0</v>
      </c>
      <c r="BP405" s="407">
        <f t="shared" si="194"/>
        <v>0</v>
      </c>
      <c r="BQ405" s="407">
        <f t="shared" si="194"/>
        <v>0</v>
      </c>
      <c r="BR405" s="407">
        <f t="shared" si="194"/>
        <v>0</v>
      </c>
      <c r="BS405" s="407">
        <f t="shared" si="194"/>
        <v>0</v>
      </c>
      <c r="BT405" s="407">
        <f t="shared" si="194"/>
        <v>0</v>
      </c>
      <c r="BU405" s="407">
        <f t="shared" si="194"/>
        <v>0</v>
      </c>
      <c r="BV405" s="407">
        <f t="shared" si="194"/>
        <v>0</v>
      </c>
      <c r="BW405" s="407">
        <f t="shared" si="194"/>
        <v>0</v>
      </c>
      <c r="BX405" s="407">
        <f t="shared" si="194"/>
        <v>0</v>
      </c>
      <c r="BY405" s="407">
        <f t="shared" si="194"/>
        <v>0</v>
      </c>
      <c r="BZ405" s="407">
        <f t="shared" si="194"/>
        <v>0</v>
      </c>
      <c r="CA405" s="407">
        <f t="shared" si="194"/>
        <v>0</v>
      </c>
      <c r="CB405" s="407">
        <f t="shared" si="194"/>
        <v>0</v>
      </c>
      <c r="CC405" s="407">
        <f t="shared" si="194"/>
        <v>0</v>
      </c>
    </row>
    <row r="406" ht="14.25" customHeight="1">
      <c r="A406" s="3"/>
      <c r="B406" s="2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407">
        <f>SUM(AA375:AA405)</f>
        <v>0</v>
      </c>
      <c r="AB406" s="557"/>
      <c r="AC406" s="557"/>
      <c r="AD406" s="557"/>
      <c r="AE406" s="557"/>
      <c r="AF406" s="557"/>
      <c r="AG406" s="557"/>
      <c r="AH406" s="557"/>
      <c r="AI406" s="557"/>
      <c r="AJ406" s="557"/>
      <c r="AK406" s="557"/>
      <c r="AL406" s="557"/>
      <c r="AM406" s="557"/>
      <c r="AN406" s="557"/>
      <c r="AO406" s="557"/>
      <c r="AP406" s="557"/>
      <c r="AQ406" s="557"/>
      <c r="AR406" s="557"/>
      <c r="AS406" s="557"/>
      <c r="AT406" s="557"/>
      <c r="AU406" s="557"/>
      <c r="AV406" s="557"/>
      <c r="AW406" s="557"/>
      <c r="AX406" s="557"/>
      <c r="AY406" s="557"/>
      <c r="AZ406" s="557"/>
      <c r="BA406" s="557"/>
      <c r="BB406" s="558"/>
      <c r="BC406" s="557"/>
      <c r="BD406" s="557"/>
      <c r="BE406" s="557"/>
      <c r="BF406" s="557"/>
      <c r="BG406" s="557"/>
      <c r="BH406" s="557"/>
      <c r="BI406" s="557"/>
      <c r="BJ406" s="557"/>
      <c r="BK406" s="557"/>
      <c r="BL406" s="557"/>
      <c r="BM406" s="316"/>
      <c r="BN406" s="557"/>
      <c r="BO406" s="557"/>
      <c r="BP406" s="557"/>
      <c r="BQ406" s="557"/>
      <c r="BR406" s="557"/>
      <c r="BS406" s="557"/>
      <c r="BT406" s="557"/>
      <c r="BU406" s="557"/>
      <c r="BV406" s="557"/>
      <c r="BW406" s="557"/>
      <c r="BX406" s="557"/>
      <c r="BY406" s="557"/>
      <c r="BZ406" s="557"/>
      <c r="CA406" s="557"/>
      <c r="CB406" s="557"/>
      <c r="CC406" s="557"/>
    </row>
  </sheetData>
  <mergeCells>
    <mergeCell ref="H4:H5"/>
  </mergeCells>
  <pageMargins left="0.7" right="0.7" top="0.75" bottom="0.75" header="0" footer="0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5623"/>
  </sheetPr>
  <dimension ref="A1:CA405"/>
  <sheetViews>
    <sheetView showGridLines="0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115" sqref="N115"/>
    </sheetView>
  </sheetViews>
  <sheetFormatPr baseColWidth="10" defaultColWidth="14.42578125" defaultRowHeight="15" customHeight="1" x14ac:dyDescent="0.25"/>
  <cols>
    <col min="1" max="1" width="2.7109375" customWidth="1"/>
    <col min="2" max="2" width="20.140625" customWidth="1"/>
    <col min="3" max="4" width="13.42578125" customWidth="1"/>
    <col min="5" max="6" width="12.42578125" customWidth="1"/>
    <col min="7" max="7" width="13.42578125" customWidth="1"/>
    <col min="8" max="9" width="13.140625" customWidth="1"/>
    <col min="10" max="10" width="26.42578125" customWidth="1"/>
    <col min="11" max="11" width="15.5703125" customWidth="1"/>
    <col min="12" max="12" width="19.5703125" customWidth="1"/>
    <col min="13" max="13" width="24.42578125" customWidth="1"/>
    <col min="14" max="14" width="22.28515625" customWidth="1"/>
    <col min="15" max="15" width="22" customWidth="1"/>
    <col min="16" max="16" width="11.85546875" customWidth="1"/>
    <col min="17" max="17" width="14" customWidth="1"/>
    <col min="18" max="18" width="20" customWidth="1"/>
    <col min="19" max="19" width="15.42578125" customWidth="1"/>
    <col min="20" max="20" width="15" customWidth="1"/>
    <col min="22" max="22" width="19.140625" customWidth="1"/>
    <col min="23" max="23" width="23.140625" customWidth="1"/>
    <col min="24" max="25" width="16.85546875" customWidth="1"/>
    <col min="26" max="26" width="13.28515625" customWidth="1"/>
    <col min="27" max="27" width="17" customWidth="1"/>
    <col min="28" max="28" width="23.28515625" customWidth="1"/>
    <col min="29" max="29" width="13" customWidth="1"/>
    <col min="30" max="30" hidden="1" width="15" customWidth="1"/>
    <col min="31" max="37" hidden="1" width="14.28515625" customWidth="1"/>
    <col min="38" max="38" width="20.85546875" customWidth="1"/>
    <col min="39" max="39" width="14.5703125" customWidth="1"/>
    <col min="40" max="40" width="12" customWidth="1"/>
    <col min="41" max="43" width="12.85546875" customWidth="1"/>
    <col min="44" max="44" width="16.42578125" customWidth="1"/>
    <col min="45" max="47" width="15.140625" customWidth="1"/>
    <col min="48" max="48" width="12.7109375" customWidth="1"/>
    <col min="49" max="49" width="13.140625" customWidth="1"/>
    <col min="50" max="50" width="13.7109375" customWidth="1"/>
    <col min="51" max="51" width="15.42578125" customWidth="1"/>
    <col min="52" max="52" width="11.85546875" customWidth="1"/>
    <col min="53" max="55" hidden="1" width="11.85546875" customWidth="1"/>
    <col min="56" max="56" width="11.85546875" customWidth="1"/>
    <col min="57" max="58" width="12.42578125" customWidth="1"/>
    <col min="59" max="59" width="13.42578125" customWidth="1"/>
    <col min="60" max="60" width="11.85546875" customWidth="1"/>
    <col min="61" max="61" width="13" customWidth="1"/>
    <col min="62" max="62" width="16.42578125" customWidth="1"/>
    <col min="63" max="63" width="4" customWidth="1"/>
    <col min="64" max="64" width="11.42578125" customWidth="1"/>
    <col min="65" max="67" width="12.7109375" customWidth="1"/>
    <col min="68" max="70" hidden="1" width="12.7109375" customWidth="1"/>
    <col min="71" max="71" hidden="1" width="15" customWidth="1"/>
    <col min="73" max="73" hidden="1" width="14.42578125" customWidth="1"/>
    <col min="74" max="74" width="10.85546875" customWidth="1"/>
    <col min="75" max="77" width="12.7109375" customWidth="1"/>
    <col min="78" max="78" width="11.42578125" customWidth="1"/>
    <col min="79" max="79" width="2.140625" customWidth="1"/>
  </cols>
  <sheetData>
    <row r="1" ht="13.5" customHeight="1">
      <c r="A1" s="559"/>
      <c r="B1" s="560" t="s">
        <v>1</v>
      </c>
      <c r="C1" s="559"/>
      <c r="D1" s="559"/>
      <c r="E1" s="559"/>
      <c r="F1" s="559"/>
      <c r="G1" s="561"/>
      <c r="H1" s="561"/>
      <c r="I1" s="561"/>
      <c r="J1" s="561"/>
      <c r="K1" s="561"/>
      <c r="L1" s="561"/>
      <c r="M1" s="559"/>
      <c r="N1" s="559"/>
      <c r="O1" s="559"/>
      <c r="P1" s="562"/>
      <c r="Q1" s="559"/>
      <c r="R1" s="561"/>
      <c r="S1" s="559"/>
      <c r="T1" s="559"/>
      <c r="U1" s="561"/>
      <c r="V1" s="561"/>
      <c r="W1" s="561"/>
      <c r="X1" s="561"/>
      <c r="Y1" s="561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63"/>
      <c r="AZ1" s="563"/>
      <c r="BA1" s="563"/>
      <c r="BB1" s="563"/>
      <c r="BC1" s="563"/>
      <c r="BD1" s="563"/>
      <c r="BE1" s="559"/>
      <c r="BF1" s="559"/>
      <c r="BG1" s="559"/>
      <c r="BH1" s="559"/>
      <c r="BI1" s="563"/>
      <c r="BJ1" s="563"/>
      <c r="BK1" s="559"/>
      <c r="BL1" s="559"/>
      <c r="BM1" s="559"/>
      <c r="BN1" s="559"/>
      <c r="BO1" s="559"/>
      <c r="BP1" s="563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</row>
    <row r="2" ht="15" customHeight="1">
      <c r="A2" s="313"/>
      <c r="B2" s="315" t="s">
        <v>133</v>
      </c>
      <c r="C2" s="315"/>
      <c r="D2" s="313"/>
      <c r="E2" s="313"/>
      <c r="F2" s="313"/>
      <c r="G2" s="316"/>
      <c r="H2" s="316"/>
      <c r="I2" s="316"/>
      <c r="J2" s="316"/>
      <c r="K2" s="316"/>
      <c r="L2" s="316"/>
      <c r="M2" s="313"/>
      <c r="N2" s="316"/>
      <c r="O2" s="313"/>
      <c r="P2" s="318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13"/>
      <c r="BE2" s="313"/>
      <c r="BF2" s="313"/>
      <c r="BG2" s="313"/>
      <c r="BH2" s="313"/>
      <c r="BI2" s="3"/>
      <c r="BJ2" s="313"/>
      <c r="BK2" s="313"/>
      <c r="BL2" s="313" t="s">
        <v>3</v>
      </c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  <c r="BZ2" s="313"/>
      <c r="CA2" s="313"/>
    </row>
    <row r="3" ht="12.75" customHeight="1">
      <c r="A3" s="22"/>
      <c r="B3" s="23"/>
      <c r="C3" s="22"/>
      <c r="D3" s="22"/>
      <c r="E3" s="22"/>
      <c r="F3" s="22"/>
      <c r="G3" s="24"/>
      <c r="H3" s="24"/>
      <c r="I3" s="24"/>
      <c r="J3" s="24"/>
      <c r="K3" s="24"/>
      <c r="L3" s="24"/>
      <c r="M3" s="24"/>
      <c r="N3" s="24"/>
      <c r="O3" s="24"/>
      <c r="P3" s="56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5" t="s">
        <v>4</v>
      </c>
      <c r="AO3" s="22"/>
      <c r="AP3" s="22"/>
      <c r="AQ3" s="22"/>
      <c r="AR3" s="26" t="s">
        <v>5</v>
      </c>
      <c r="AS3" s="24"/>
      <c r="AT3" s="24"/>
      <c r="AU3" s="24"/>
      <c r="AV3" s="24"/>
      <c r="AW3" s="27"/>
      <c r="AX3" s="32"/>
      <c r="AY3" s="32"/>
      <c r="AZ3" s="27"/>
      <c r="BA3" s="27"/>
      <c r="BB3" s="27"/>
      <c r="BC3" s="27"/>
      <c r="BD3" s="27"/>
      <c r="BE3" s="565"/>
      <c r="BF3" s="32"/>
      <c r="BG3" s="27"/>
      <c r="BH3" s="27"/>
      <c r="BI3" s="27"/>
      <c r="BJ3" s="27"/>
      <c r="BK3" s="27"/>
      <c r="BL3" s="27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7"/>
      <c r="CA3" s="22"/>
    </row>
    <row r="4" ht="9.75" customHeight="1">
      <c r="A4" s="33"/>
      <c r="B4" s="34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569" t="s">
        <v>8</v>
      </c>
      <c r="H4" s="570" t="s">
        <v>10</v>
      </c>
      <c r="I4" s="570" t="s">
        <v>10</v>
      </c>
      <c r="J4" s="570"/>
      <c r="K4" s="570" t="s">
        <v>12</v>
      </c>
      <c r="L4" s="571" t="s">
        <v>10</v>
      </c>
      <c r="M4" s="571" t="s">
        <v>10</v>
      </c>
      <c r="N4" s="571" t="s">
        <v>10</v>
      </c>
      <c r="O4" s="571" t="s">
        <v>10</v>
      </c>
      <c r="P4" s="571" t="s">
        <v>10</v>
      </c>
      <c r="Q4" s="571" t="s">
        <v>10</v>
      </c>
      <c r="R4" s="571" t="s">
        <v>10</v>
      </c>
      <c r="S4" s="571" t="s">
        <v>10</v>
      </c>
      <c r="T4" s="571" t="s">
        <v>10</v>
      </c>
      <c r="U4" s="571" t="s">
        <v>10</v>
      </c>
      <c r="V4" s="571" t="s">
        <v>10</v>
      </c>
      <c r="W4" s="571" t="s">
        <v>10</v>
      </c>
      <c r="X4" s="571" t="s">
        <v>10</v>
      </c>
      <c r="Y4" s="571" t="s">
        <v>10</v>
      </c>
      <c r="Z4" s="571" t="s">
        <v>11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571" t="s">
        <v>12</v>
      </c>
      <c r="AJ4" s="571" t="s">
        <v>12</v>
      </c>
      <c r="AK4" s="571" t="s">
        <v>12</v>
      </c>
      <c r="AL4" s="571"/>
      <c r="AM4" s="571" t="s">
        <v>12</v>
      </c>
      <c r="AN4" s="571" t="s">
        <v>12</v>
      </c>
      <c r="AO4" s="572" t="s">
        <v>13</v>
      </c>
      <c r="AP4" s="573" t="s">
        <v>13</v>
      </c>
      <c r="AQ4" s="573" t="s">
        <v>13</v>
      </c>
      <c r="AR4" s="59" t="s">
        <v>14</v>
      </c>
      <c r="AS4" s="574" t="s">
        <v>15</v>
      </c>
      <c r="AT4" s="575" t="s">
        <v>134</v>
      </c>
      <c r="AU4" s="575" t="s">
        <v>134</v>
      </c>
      <c r="AV4" s="576" t="s">
        <v>16</v>
      </c>
      <c r="AW4" s="577" t="s">
        <v>4</v>
      </c>
      <c r="AX4" s="578" t="s">
        <v>17</v>
      </c>
      <c r="AY4" s="579" t="s">
        <v>19</v>
      </c>
      <c r="AZ4" s="59" t="s">
        <v>20</v>
      </c>
      <c r="BA4" s="59" t="s">
        <v>20</v>
      </c>
      <c r="BB4" s="59" t="s">
        <v>20</v>
      </c>
      <c r="BC4" s="580" t="s">
        <v>20</v>
      </c>
      <c r="BD4" s="581" t="s">
        <v>20</v>
      </c>
      <c r="BE4" s="582" t="s">
        <v>20</v>
      </c>
      <c r="BF4" s="583" t="s">
        <v>21</v>
      </c>
      <c r="BG4" s="59" t="s">
        <v>22</v>
      </c>
      <c r="BH4" s="59" t="s">
        <v>24</v>
      </c>
      <c r="BI4" s="577" t="s">
        <v>5</v>
      </c>
      <c r="BJ4" s="58" t="s">
        <v>25</v>
      </c>
      <c r="BK4" s="33"/>
      <c r="BL4" s="58" t="s">
        <v>4</v>
      </c>
      <c r="BM4" s="59" t="s">
        <v>26</v>
      </c>
      <c r="BN4" s="59" t="s">
        <v>89</v>
      </c>
      <c r="BO4" s="59" t="s">
        <v>90</v>
      </c>
      <c r="BP4" s="59" t="s">
        <v>91</v>
      </c>
      <c r="BQ4" s="59" t="s">
        <v>92</v>
      </c>
      <c r="BR4" s="59" t="s">
        <v>93</v>
      </c>
      <c r="BS4" s="59" t="s">
        <v>94</v>
      </c>
      <c r="BT4" s="59" t="s">
        <v>95</v>
      </c>
      <c r="BU4" s="59" t="s">
        <v>95</v>
      </c>
      <c r="BV4" s="59" t="s">
        <v>27</v>
      </c>
      <c r="BW4" s="59" t="s">
        <v>28</v>
      </c>
      <c r="BX4" s="1926" t="s">
        <v>72</v>
      </c>
      <c r="BY4" s="59" t="s">
        <v>28</v>
      </c>
      <c r="BZ4" s="60" t="s">
        <v>29</v>
      </c>
      <c r="CA4" s="33"/>
    </row>
    <row r="5" ht="17.25" customHeight="1">
      <c r="A5" s="33"/>
      <c r="B5" s="63"/>
      <c r="C5" s="584" t="s">
        <v>30</v>
      </c>
      <c r="D5" s="584" t="s">
        <v>31</v>
      </c>
      <c r="E5" s="585" t="s">
        <v>32</v>
      </c>
      <c r="F5" s="586" t="s">
        <v>33</v>
      </c>
      <c r="G5" s="587" t="s">
        <v>34</v>
      </c>
      <c r="H5" s="362" t="s">
        <v>135</v>
      </c>
      <c r="I5" s="588" t="s">
        <v>136</v>
      </c>
      <c r="J5" s="589" t="s">
        <v>137</v>
      </c>
      <c r="K5" s="589" t="s">
        <v>138</v>
      </c>
      <c r="L5" s="588" t="s">
        <v>139</v>
      </c>
      <c r="M5" s="590" t="s">
        <v>140</v>
      </c>
      <c r="N5" s="591" t="s">
        <v>141</v>
      </c>
      <c r="O5" s="590" t="s">
        <v>142</v>
      </c>
      <c r="P5" s="592" t="s">
        <v>143</v>
      </c>
      <c r="Q5" s="590" t="s">
        <v>144</v>
      </c>
      <c r="R5" s="590" t="s">
        <v>145</v>
      </c>
      <c r="S5" s="593" t="s">
        <v>146</v>
      </c>
      <c r="T5" s="594" t="s">
        <v>147</v>
      </c>
      <c r="U5" s="592" t="s">
        <v>148</v>
      </c>
      <c r="V5" s="592" t="s">
        <v>149</v>
      </c>
      <c r="W5" s="592" t="s">
        <v>150</v>
      </c>
      <c r="X5" s="592" t="s">
        <v>151</v>
      </c>
      <c r="Y5" s="592" t="s">
        <v>152</v>
      </c>
      <c r="Z5" s="595" t="s">
        <v>48</v>
      </c>
      <c r="AA5" s="360" t="s">
        <v>153</v>
      </c>
      <c r="AB5" s="596" t="s">
        <v>154</v>
      </c>
      <c r="AC5" s="597" t="s">
        <v>155</v>
      </c>
      <c r="AD5" s="598">
        <v>5</v>
      </c>
      <c r="AE5" s="598">
        <v>5</v>
      </c>
      <c r="AF5" s="598">
        <v>6</v>
      </c>
      <c r="AG5" s="598">
        <v>7</v>
      </c>
      <c r="AH5" s="598">
        <v>8</v>
      </c>
      <c r="AI5" s="598">
        <v>9</v>
      </c>
      <c r="AJ5" s="598">
        <v>10</v>
      </c>
      <c r="AK5" s="598">
        <v>11</v>
      </c>
      <c r="AL5" s="598" t="s">
        <v>156</v>
      </c>
      <c r="AM5" s="598" t="s">
        <v>157</v>
      </c>
      <c r="AN5" s="595" t="s">
        <v>30</v>
      </c>
      <c r="AO5" s="599" t="s">
        <v>30</v>
      </c>
      <c r="AP5" s="600" t="s">
        <v>31</v>
      </c>
      <c r="AQ5" s="600" t="s">
        <v>32</v>
      </c>
      <c r="AR5" s="90" t="s">
        <v>34</v>
      </c>
      <c r="AS5" s="601" t="s">
        <v>48</v>
      </c>
      <c r="AT5" s="602" t="s">
        <v>31</v>
      </c>
      <c r="AU5" s="602" t="s">
        <v>32</v>
      </c>
      <c r="AV5" s="603" t="s">
        <v>60</v>
      </c>
      <c r="AW5" s="604" t="s">
        <v>61</v>
      </c>
      <c r="AX5" s="578" t="s">
        <v>62</v>
      </c>
      <c r="AY5" s="579" t="s">
        <v>65</v>
      </c>
      <c r="AZ5" s="605" t="s">
        <v>158</v>
      </c>
      <c r="BA5" s="605" t="s">
        <v>66</v>
      </c>
      <c r="BB5" s="605" t="s">
        <v>67</v>
      </c>
      <c r="BC5" s="606" t="s">
        <v>68</v>
      </c>
      <c r="BD5" s="607" t="s">
        <v>31</v>
      </c>
      <c r="BE5" s="608" t="s">
        <v>32</v>
      </c>
      <c r="BF5" s="609" t="s">
        <v>32</v>
      </c>
      <c r="BG5" s="605"/>
      <c r="BH5" s="605" t="s">
        <v>69</v>
      </c>
      <c r="BI5" s="610" t="s">
        <v>70</v>
      </c>
      <c r="BJ5" s="89" t="s">
        <v>71</v>
      </c>
      <c r="BK5" s="33"/>
      <c r="BL5" s="89" t="s">
        <v>72</v>
      </c>
      <c r="BM5" s="90"/>
      <c r="BN5" s="90" t="s">
        <v>125</v>
      </c>
      <c r="BO5" s="90"/>
      <c r="BP5" s="90" t="s">
        <v>126</v>
      </c>
      <c r="BQ5" s="90" t="s">
        <v>127</v>
      </c>
      <c r="BR5" s="90" t="s">
        <v>128</v>
      </c>
      <c r="BS5" s="90" t="s">
        <v>129</v>
      </c>
      <c r="BT5" s="90" t="s">
        <v>130</v>
      </c>
      <c r="BU5" s="90" t="s">
        <v>131</v>
      </c>
      <c r="BV5" s="90" t="s">
        <v>73</v>
      </c>
      <c r="BW5" s="90" t="s">
        <v>74</v>
      </c>
      <c r="BX5" s="1925"/>
      <c r="BY5" s="90" t="s">
        <v>52</v>
      </c>
      <c r="BZ5" s="91"/>
      <c r="CA5" s="33"/>
    </row>
    <row r="6" ht="14.25" customHeight="1">
      <c r="A6" s="3"/>
      <c r="B6" s="215">
        <v>46023</v>
      </c>
      <c r="C6" s="118">
        <f>14519.67-D6-E6</f>
      </c>
      <c r="D6" s="119">
        <v>1045.12</v>
      </c>
      <c r="E6" s="458">
        <v>3723.28</v>
      </c>
      <c r="F6" s="458">
        <v>464</v>
      </c>
      <c r="G6" s="147">
        <f ref="G6:G36" t="shared" si="0">+C6+D6+E6+F6</f>
        <v>0</v>
      </c>
      <c r="H6" s="144"/>
      <c r="I6" s="144"/>
      <c r="J6" s="144"/>
      <c r="K6" s="144"/>
      <c r="L6" s="145">
        <v>361.1</v>
      </c>
      <c r="M6" s="143"/>
      <c r="N6" s="143"/>
      <c r="O6" s="144"/>
      <c r="P6" s="611"/>
      <c r="Q6" s="143"/>
      <c r="R6" s="143"/>
      <c r="S6" s="143"/>
      <c r="T6" s="143"/>
      <c r="U6" s="143"/>
      <c r="V6" s="143"/>
      <c r="W6" s="143"/>
      <c r="X6" s="143"/>
      <c r="Y6" s="143"/>
      <c r="Z6" s="103">
        <f ref="Z6:Z36" t="shared" si="1">SUM(H6:Y6)</f>
        <v>0</v>
      </c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03">
        <f ref="AN6:AN36" t="shared" si="2">SUM(AA6:AM6)</f>
        <v>0</v>
      </c>
      <c r="AO6" s="119">
        <v>6524.56</v>
      </c>
      <c r="AP6" s="119">
        <v>767.21</v>
      </c>
      <c r="AQ6" s="119">
        <v>1812.88</v>
      </c>
      <c r="AR6" s="105">
        <f ref="AR6:AR36" t="shared" si="3">SUM(AO6:AQ6)</f>
        <v>0</v>
      </c>
      <c r="AS6" s="143"/>
      <c r="AT6" s="143"/>
      <c r="AU6" s="143"/>
      <c r="AV6" s="146"/>
      <c r="AW6" s="219">
        <f ref="AW6:AW36" t="shared" si="4">+G6-Z6-AN6-AR6-AS6-AT6-AU6-AV6</f>
        <v>0</v>
      </c>
      <c r="AX6" s="1726">
        <v>2865.2</v>
      </c>
      <c r="AY6" s="1537"/>
      <c r="AZ6" s="1537"/>
      <c r="BA6" s="1548"/>
      <c r="BB6" s="1548"/>
      <c r="BC6" s="1548"/>
      <c r="BD6" s="1726">
        <v>277.8</v>
      </c>
      <c r="BE6" s="1726">
        <v>1910.4</v>
      </c>
      <c r="BF6" s="1726">
        <v>464</v>
      </c>
      <c r="BG6" s="1537"/>
      <c r="BH6" s="1537"/>
      <c r="BI6" s="222">
        <f ref="BI6:BI36" t="shared" si="5">SUM(AX6:BH6)-BG6</f>
        <v>0</v>
      </c>
      <c r="BJ6" s="113">
        <f ref="BJ6:BJ36" t="shared" si="6">+AW6-BI6</f>
        <v>0</v>
      </c>
      <c r="BK6" s="3"/>
      <c r="BL6" s="114">
        <f ref="BL6:BL36" t="shared" si="7">SUM(BM6:BY6)</f>
        <v>0</v>
      </c>
      <c r="BM6" s="115"/>
      <c r="BN6" s="115"/>
      <c r="BO6" s="115"/>
      <c r="BP6" s="115"/>
      <c r="BQ6" s="115"/>
      <c r="BR6" s="115"/>
      <c r="BS6" s="115"/>
      <c r="BT6" s="115"/>
      <c r="BU6" s="115"/>
      <c r="BV6" s="115"/>
      <c r="BW6" s="115"/>
      <c r="BX6" s="115"/>
      <c r="BY6" s="115"/>
      <c r="BZ6" s="116">
        <f ref="BZ6:BZ36" t="shared" si="8">+BJ6-BL6</f>
        <v>0</v>
      </c>
      <c r="CA6" s="3"/>
    </row>
    <row r="7" ht="14.25" customHeight="1">
      <c r="A7" s="3"/>
      <c r="B7" s="215">
        <v>46024</v>
      </c>
      <c r="C7" s="118">
        <f>19684.26-D7-E7</f>
      </c>
      <c r="D7" s="119">
        <v>1367.41</v>
      </c>
      <c r="E7" s="458">
        <v>6524.33</v>
      </c>
      <c r="F7" s="458">
        <v>1061.9</v>
      </c>
      <c r="G7" s="147">
        <f t="shared" si="0"/>
        <v>0</v>
      </c>
      <c r="H7" s="144"/>
      <c r="I7" s="144"/>
      <c r="J7" s="144"/>
      <c r="K7" s="144"/>
      <c r="L7" s="143"/>
      <c r="M7" s="143"/>
      <c r="N7" s="143"/>
      <c r="O7" s="144"/>
      <c r="P7" s="611"/>
      <c r="Q7" s="143"/>
      <c r="R7" s="143"/>
      <c r="S7" s="143"/>
      <c r="T7" s="145">
        <v>37.77</v>
      </c>
      <c r="U7" s="143"/>
      <c r="V7" s="143"/>
      <c r="W7" s="143"/>
      <c r="X7" s="143"/>
      <c r="Y7" s="143"/>
      <c r="Z7" s="103">
        <f t="shared" si="1"/>
        <v>0</v>
      </c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03">
        <f t="shared" si="2"/>
        <v>0</v>
      </c>
      <c r="AO7" s="119">
        <v>8587.01</v>
      </c>
      <c r="AP7" s="119">
        <v>980.84</v>
      </c>
      <c r="AQ7" s="119">
        <v>2903.43</v>
      </c>
      <c r="AR7" s="105">
        <f t="shared" si="3"/>
        <v>0</v>
      </c>
      <c r="AS7" s="143"/>
      <c r="AT7" s="143"/>
      <c r="AU7" s="143"/>
      <c r="AV7" s="146"/>
      <c r="AW7" s="224">
        <f t="shared" si="4"/>
        <v>0</v>
      </c>
      <c r="AX7" s="1727">
        <v>3167.6</v>
      </c>
      <c r="AY7" s="1546"/>
      <c r="AZ7" s="1546"/>
      <c r="BA7" s="1548"/>
      <c r="BB7" s="1548"/>
      <c r="BC7" s="1548"/>
      <c r="BD7" s="1727">
        <v>386.5</v>
      </c>
      <c r="BE7" s="1727">
        <v>3620.9</v>
      </c>
      <c r="BF7" s="1727">
        <v>1061.9</v>
      </c>
      <c r="BG7" s="1546"/>
      <c r="BH7" s="1546"/>
      <c r="BI7" s="222">
        <f t="shared" si="5"/>
        <v>0</v>
      </c>
      <c r="BJ7" s="113">
        <f t="shared" si="6"/>
        <v>0</v>
      </c>
      <c r="BK7" s="3"/>
      <c r="BL7" s="113">
        <f t="shared" si="7"/>
        <v>0</v>
      </c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30">
        <f t="shared" si="8"/>
        <v>0</v>
      </c>
      <c r="CA7" s="3"/>
    </row>
    <row r="8" ht="14.25" customHeight="1">
      <c r="A8" s="3"/>
      <c r="B8" s="215">
        <v>46025</v>
      </c>
      <c r="C8" s="118">
        <f>21797.02-D8-E8</f>
      </c>
      <c r="D8" s="119">
        <v>1278.81</v>
      </c>
      <c r="E8" s="458">
        <v>6748.69</v>
      </c>
      <c r="F8" s="458">
        <v>1089.2</v>
      </c>
      <c r="G8" s="147">
        <f t="shared" si="0"/>
        <v>0</v>
      </c>
      <c r="H8" s="199">
        <v>40</v>
      </c>
      <c r="I8" s="144"/>
      <c r="J8" s="144"/>
      <c r="K8" s="144"/>
      <c r="L8" s="143">
        <v>502.76</v>
      </c>
      <c r="M8" s="143"/>
      <c r="N8" s="143"/>
      <c r="O8" s="144"/>
      <c r="P8" s="611"/>
      <c r="Q8" s="143"/>
      <c r="R8" s="143"/>
      <c r="S8" s="143"/>
      <c r="T8" s="143">
        <v>65.15</v>
      </c>
      <c r="U8" s="143"/>
      <c r="V8" s="143"/>
      <c r="W8" s="143"/>
      <c r="X8" s="143"/>
      <c r="Y8" s="143"/>
      <c r="Z8" s="103">
        <f t="shared" si="1"/>
        <v>0</v>
      </c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03">
        <f t="shared" si="2"/>
        <v>0</v>
      </c>
      <c r="AO8" s="119">
        <v>10371.92</v>
      </c>
      <c r="AP8" s="119">
        <v>821.07</v>
      </c>
      <c r="AQ8" s="119">
        <v>3201.59</v>
      </c>
      <c r="AR8" s="105">
        <f t="shared" si="3"/>
        <v>0</v>
      </c>
      <c r="AS8" s="143"/>
      <c r="AT8" s="143"/>
      <c r="AU8" s="143"/>
      <c r="AV8" s="146"/>
      <c r="AW8" s="224">
        <f t="shared" si="4"/>
        <v>0</v>
      </c>
      <c r="AX8" s="1727">
        <v>2887.7</v>
      </c>
      <c r="AY8" s="1546"/>
      <c r="AZ8" s="1546"/>
      <c r="BA8" s="1548"/>
      <c r="BB8" s="1548"/>
      <c r="BC8" s="1548"/>
      <c r="BD8" s="1727">
        <v>358.5</v>
      </c>
      <c r="BE8" s="1727">
        <v>3547.1</v>
      </c>
      <c r="BF8" s="1727">
        <v>1089.2</v>
      </c>
      <c r="BG8" s="1546"/>
      <c r="BH8" s="1546"/>
      <c r="BI8" s="222">
        <f t="shared" si="5"/>
        <v>0</v>
      </c>
      <c r="BJ8" s="113">
        <f t="shared" si="6"/>
        <v>0</v>
      </c>
      <c r="BK8" s="3"/>
      <c r="BL8" s="113">
        <f t="shared" si="7"/>
        <v>0</v>
      </c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30">
        <f t="shared" si="8"/>
        <v>0</v>
      </c>
      <c r="CA8" s="3"/>
    </row>
    <row r="9" ht="14.25" customHeight="1">
      <c r="A9" s="132"/>
      <c r="B9" s="215">
        <v>46026</v>
      </c>
      <c r="C9" s="133">
        <f>21482.07-D9-E9</f>
      </c>
      <c r="D9" s="134">
        <v>1118.1</v>
      </c>
      <c r="E9" s="460">
        <v>6146.03</v>
      </c>
      <c r="F9" s="460">
        <v>1095</v>
      </c>
      <c r="G9" s="147">
        <f t="shared" si="0"/>
        <v>0</v>
      </c>
      <c r="H9" s="144"/>
      <c r="I9" s="144"/>
      <c r="J9" s="144"/>
      <c r="K9" s="144"/>
      <c r="L9" s="143"/>
      <c r="M9" s="143"/>
      <c r="N9" s="143"/>
      <c r="O9" s="144"/>
      <c r="P9" s="611"/>
      <c r="Q9" s="143"/>
      <c r="R9" s="143"/>
      <c r="S9" s="143"/>
      <c r="T9" s="143"/>
      <c r="U9" s="143"/>
      <c r="V9" s="143"/>
      <c r="W9" s="143"/>
      <c r="X9" s="143"/>
      <c r="Y9" s="143"/>
      <c r="Z9" s="103">
        <f t="shared" si="1"/>
        <v>0</v>
      </c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03">
        <f t="shared" si="2"/>
        <v>0</v>
      </c>
      <c r="AO9" s="134">
        <v>11259.35</v>
      </c>
      <c r="AP9" s="134">
        <v>931.09</v>
      </c>
      <c r="AQ9" s="134">
        <v>2769.03</v>
      </c>
      <c r="AR9" s="105">
        <f t="shared" si="3"/>
        <v>0</v>
      </c>
      <c r="AS9" s="143"/>
      <c r="AT9" s="143"/>
      <c r="AU9" s="143"/>
      <c r="AV9" s="146"/>
      <c r="AW9" s="224">
        <f t="shared" si="4"/>
        <v>0</v>
      </c>
      <c r="AX9" s="1727">
        <v>2958.5</v>
      </c>
      <c r="AY9" s="1546"/>
      <c r="AZ9" s="1546"/>
      <c r="BA9" s="1548"/>
      <c r="BB9" s="1548"/>
      <c r="BC9" s="1548"/>
      <c r="BD9" s="1727">
        <v>187</v>
      </c>
      <c r="BE9" s="1727">
        <v>3377</v>
      </c>
      <c r="BF9" s="1727">
        <v>1095</v>
      </c>
      <c r="BG9" s="1546"/>
      <c r="BH9" s="1546"/>
      <c r="BI9" s="222">
        <f t="shared" si="5"/>
        <v>0</v>
      </c>
      <c r="BJ9" s="140">
        <f t="shared" si="6"/>
        <v>0</v>
      </c>
      <c r="BK9" s="132"/>
      <c r="BL9" s="140">
        <f t="shared" si="7"/>
        <v>0</v>
      </c>
      <c r="BM9" s="141"/>
      <c r="BN9" s="141"/>
      <c r="BO9" s="141"/>
      <c r="BP9" s="141"/>
      <c r="BQ9" s="141"/>
      <c r="BR9" s="141"/>
      <c r="BS9" s="141"/>
      <c r="BT9" s="141"/>
      <c r="BU9" s="141"/>
      <c r="BV9" s="141"/>
      <c r="BW9" s="141"/>
      <c r="BX9" s="141"/>
      <c r="BY9" s="141"/>
      <c r="BZ9" s="130">
        <f t="shared" si="8"/>
        <v>0</v>
      </c>
      <c r="CA9" s="132"/>
    </row>
    <row r="10" ht="14.25" customHeight="1">
      <c r="A10" s="132"/>
      <c r="B10" s="215">
        <v>46027</v>
      </c>
      <c r="C10" s="133">
        <f>25749.50-D10-E10</f>
      </c>
      <c r="D10" s="134">
        <v>1656.59</v>
      </c>
      <c r="E10" s="460">
        <v>7851.05</v>
      </c>
      <c r="F10" s="460">
        <v>1289.5</v>
      </c>
      <c r="G10" s="147">
        <f t="shared" si="0"/>
        <v>0</v>
      </c>
      <c r="H10" s="199">
        <v>40</v>
      </c>
      <c r="I10" s="199">
        <v>25.18</v>
      </c>
      <c r="J10" s="144"/>
      <c r="K10" s="144"/>
      <c r="L10" s="143">
        <v>738</v>
      </c>
      <c r="M10" s="143"/>
      <c r="N10" s="143"/>
      <c r="O10" s="144"/>
      <c r="P10" s="611"/>
      <c r="Q10" s="143"/>
      <c r="R10" s="143"/>
      <c r="S10" s="143"/>
      <c r="T10" s="143"/>
      <c r="U10" s="143"/>
      <c r="V10" s="143"/>
      <c r="W10" s="143"/>
      <c r="X10" s="143"/>
      <c r="Y10" s="145">
        <v>66.45</v>
      </c>
      <c r="Z10" s="103">
        <f t="shared" si="1"/>
        <v>0</v>
      </c>
      <c r="AA10" s="143"/>
      <c r="AB10" s="143"/>
      <c r="AC10" s="145">
        <v>125.9</v>
      </c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03">
        <f t="shared" si="2"/>
        <v>0</v>
      </c>
      <c r="AO10" s="134">
        <v>11370.5</v>
      </c>
      <c r="AP10" s="134">
        <v>1007.8</v>
      </c>
      <c r="AQ10" s="134">
        <v>4289.25</v>
      </c>
      <c r="AR10" s="105">
        <f t="shared" si="3"/>
        <v>0</v>
      </c>
      <c r="AS10" s="143"/>
      <c r="AT10" s="143"/>
      <c r="AU10" s="143"/>
      <c r="AV10" s="146"/>
      <c r="AW10" s="224">
        <f t="shared" si="4"/>
        <v>0</v>
      </c>
      <c r="AX10" s="1727">
        <v>3900.5</v>
      </c>
      <c r="AY10" s="1546"/>
      <c r="AZ10" s="1546"/>
      <c r="BA10" s="1548"/>
      <c r="BB10" s="1548"/>
      <c r="BC10" s="1548"/>
      <c r="BD10" s="1727">
        <v>622.6</v>
      </c>
      <c r="BE10" s="1727">
        <v>3561.8</v>
      </c>
      <c r="BF10" s="1727">
        <v>1289.5</v>
      </c>
      <c r="BG10" s="1546"/>
      <c r="BH10" s="1546"/>
      <c r="BI10" s="222">
        <f t="shared" si="5"/>
        <v>0</v>
      </c>
      <c r="BJ10" s="140">
        <f t="shared" si="6"/>
        <v>0</v>
      </c>
      <c r="BK10" s="132"/>
      <c r="BL10" s="140">
        <f t="shared" si="7"/>
        <v>0</v>
      </c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30">
        <f t="shared" si="8"/>
        <v>0</v>
      </c>
      <c r="CA10" s="132"/>
    </row>
    <row r="11" ht="14.25" customHeight="1">
      <c r="A11" s="132"/>
      <c r="B11" s="215">
        <v>46028</v>
      </c>
      <c r="C11" s="133">
        <f>26259.10-D11-E11</f>
      </c>
      <c r="D11" s="134">
        <v>1641.8</v>
      </c>
      <c r="E11" s="460">
        <v>8009.43</v>
      </c>
      <c r="F11" s="460">
        <v>1230.3</v>
      </c>
      <c r="G11" s="147">
        <f t="shared" si="0"/>
        <v>0</v>
      </c>
      <c r="H11" s="144"/>
      <c r="I11" s="151">
        <v>132.9</v>
      </c>
      <c r="J11" s="148"/>
      <c r="K11" s="148"/>
      <c r="L11" s="200">
        <v>56.41</v>
      </c>
      <c r="M11" s="143"/>
      <c r="N11" s="145">
        <v>151.08</v>
      </c>
      <c r="O11" s="148"/>
      <c r="P11" s="611"/>
      <c r="Q11" s="143"/>
      <c r="R11" s="143"/>
      <c r="S11" s="143"/>
      <c r="T11" s="143">
        <v>153.57</v>
      </c>
      <c r="U11" s="143"/>
      <c r="V11" s="145">
        <v>100.82</v>
      </c>
      <c r="W11" s="143"/>
      <c r="X11" s="143"/>
      <c r="Y11" s="145">
        <v>277.35</v>
      </c>
      <c r="Z11" s="103">
        <f t="shared" si="1"/>
        <v>0</v>
      </c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03">
        <f t="shared" si="2"/>
        <v>0</v>
      </c>
      <c r="AO11" s="134">
        <v>11288.21</v>
      </c>
      <c r="AP11" s="134">
        <v>964.25</v>
      </c>
      <c r="AQ11" s="134">
        <v>3753.13</v>
      </c>
      <c r="AR11" s="105">
        <f t="shared" si="3"/>
        <v>0</v>
      </c>
      <c r="AS11" s="143"/>
      <c r="AT11" s="143"/>
      <c r="AU11" s="143"/>
      <c r="AV11" s="146"/>
      <c r="AW11" s="224">
        <f t="shared" si="4"/>
        <v>0</v>
      </c>
      <c r="AX11" s="1727">
        <v>4629.7</v>
      </c>
      <c r="AY11" s="1546"/>
      <c r="AZ11" s="1546"/>
      <c r="BA11" s="1548"/>
      <c r="BB11" s="1548"/>
      <c r="BC11" s="1548"/>
      <c r="BD11" s="1727">
        <v>495.2</v>
      </c>
      <c r="BE11" s="1727">
        <v>4256.3</v>
      </c>
      <c r="BF11" s="1727">
        <v>1230.3</v>
      </c>
      <c r="BG11" s="1546"/>
      <c r="BH11" s="1546"/>
      <c r="BI11" s="222">
        <f t="shared" si="5"/>
        <v>0</v>
      </c>
      <c r="BJ11" s="140">
        <f t="shared" si="6"/>
        <v>0</v>
      </c>
      <c r="BK11" s="132"/>
      <c r="BL11" s="140">
        <f t="shared" si="7"/>
        <v>0</v>
      </c>
      <c r="BM11" s="141"/>
      <c r="BN11" s="141"/>
      <c r="BO11" s="141"/>
      <c r="BP11" s="141"/>
      <c r="BQ11" s="141"/>
      <c r="BR11" s="141"/>
      <c r="BS11" s="141"/>
      <c r="BT11" s="141"/>
      <c r="BU11" s="141"/>
      <c r="BV11" s="141"/>
      <c r="BW11" s="141"/>
      <c r="BX11" s="141"/>
      <c r="BY11" s="141"/>
      <c r="BZ11" s="130">
        <f t="shared" si="8"/>
        <v>0</v>
      </c>
      <c r="CA11" s="132"/>
    </row>
    <row r="12" ht="14.25" customHeight="1">
      <c r="A12" s="132"/>
      <c r="B12" s="215">
        <v>46029</v>
      </c>
      <c r="C12" s="133">
        <f>26572.59-D12-E12</f>
      </c>
      <c r="D12" s="134">
        <v>1715.99</v>
      </c>
      <c r="E12" s="460">
        <v>8511.8</v>
      </c>
      <c r="F12" s="460">
        <v>1265.4</v>
      </c>
      <c r="G12" s="147">
        <f t="shared" si="0"/>
        <v>0</v>
      </c>
      <c r="H12" s="144"/>
      <c r="I12" s="144"/>
      <c r="J12" s="144"/>
      <c r="K12" s="144"/>
      <c r="L12" s="143">
        <v>382.16</v>
      </c>
      <c r="M12" s="143"/>
      <c r="N12" s="143"/>
      <c r="O12" s="144"/>
      <c r="P12" s="611"/>
      <c r="Q12" s="143"/>
      <c r="R12" s="143"/>
      <c r="S12" s="143"/>
      <c r="T12" s="143">
        <v>163.19</v>
      </c>
      <c r="U12" s="143"/>
      <c r="V12" s="143"/>
      <c r="W12" s="143"/>
      <c r="X12" s="143"/>
      <c r="Y12" s="143"/>
      <c r="Z12" s="103">
        <f t="shared" si="1"/>
        <v>0</v>
      </c>
      <c r="AA12" s="143"/>
      <c r="AB12" s="143"/>
      <c r="AC12" s="145">
        <v>96.4</v>
      </c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03">
        <f t="shared" si="2"/>
        <v>0</v>
      </c>
      <c r="AO12" s="134">
        <v>12574.4</v>
      </c>
      <c r="AP12" s="134">
        <v>1052.46</v>
      </c>
      <c r="AQ12" s="134">
        <v>3813.9</v>
      </c>
      <c r="AR12" s="105">
        <f t="shared" si="3"/>
        <v>0</v>
      </c>
      <c r="AS12" s="143"/>
      <c r="AT12" s="143"/>
      <c r="AU12" s="143"/>
      <c r="AV12" s="146"/>
      <c r="AW12" s="224">
        <f t="shared" si="4"/>
        <v>0</v>
      </c>
      <c r="AX12" s="1727">
        <v>3196.3</v>
      </c>
      <c r="AY12" s="1546"/>
      <c r="AZ12" s="1546"/>
      <c r="BA12" s="1548"/>
      <c r="BB12" s="1548"/>
      <c r="BC12" s="1548"/>
      <c r="BD12" s="1727">
        <v>595.3</v>
      </c>
      <c r="BE12" s="1727">
        <v>4697.9</v>
      </c>
      <c r="BF12" s="1727">
        <v>1265.4</v>
      </c>
      <c r="BG12" s="1546"/>
      <c r="BH12" s="1546"/>
      <c r="BI12" s="222">
        <f t="shared" si="5"/>
        <v>0</v>
      </c>
      <c r="BJ12" s="140">
        <f t="shared" si="6"/>
        <v>0</v>
      </c>
      <c r="BK12" s="132"/>
      <c r="BL12" s="140">
        <f t="shared" si="7"/>
        <v>0</v>
      </c>
      <c r="BM12" s="141"/>
      <c r="BN12" s="141"/>
      <c r="BO12" s="141"/>
      <c r="BP12" s="141"/>
      <c r="BQ12" s="141"/>
      <c r="BR12" s="141"/>
      <c r="BS12" s="141"/>
      <c r="BT12" s="141"/>
      <c r="BU12" s="141"/>
      <c r="BV12" s="141"/>
      <c r="BW12" s="141"/>
      <c r="BX12" s="141"/>
      <c r="BY12" s="141"/>
      <c r="BZ12" s="130">
        <f t="shared" si="8"/>
        <v>0</v>
      </c>
      <c r="CA12" s="132"/>
    </row>
    <row r="13" ht="14.25" customHeight="1">
      <c r="A13" s="132"/>
      <c r="B13" s="215">
        <v>46030</v>
      </c>
      <c r="C13" s="133">
        <f>20999.34-D13-E13</f>
      </c>
      <c r="D13" s="134">
        <v>1833.49</v>
      </c>
      <c r="E13" s="460">
        <v>2968.05</v>
      </c>
      <c r="F13" s="460">
        <v>481.8</v>
      </c>
      <c r="G13" s="147">
        <f t="shared" si="0"/>
        <v>0</v>
      </c>
      <c r="H13" s="199">
        <v>147.97</v>
      </c>
      <c r="I13" s="199">
        <v>75.54</v>
      </c>
      <c r="J13" s="199">
        <v>85.57</v>
      </c>
      <c r="K13" s="144"/>
      <c r="L13" s="143">
        <v>557.15</v>
      </c>
      <c r="M13" s="143"/>
      <c r="N13" s="143"/>
      <c r="O13" s="144"/>
      <c r="P13" s="611"/>
      <c r="Q13" s="143"/>
      <c r="R13" s="143"/>
      <c r="S13" s="143"/>
      <c r="T13" s="145">
        <v>125.58</v>
      </c>
      <c r="U13" s="145">
        <v>151.08</v>
      </c>
      <c r="V13" s="143"/>
      <c r="W13" s="143"/>
      <c r="X13" s="143"/>
      <c r="Y13" s="145">
        <v>265.8</v>
      </c>
      <c r="Z13" s="103">
        <f t="shared" si="1"/>
        <v>0</v>
      </c>
      <c r="AA13" s="143"/>
      <c r="AB13" s="143"/>
      <c r="AC13" s="145">
        <v>62.95</v>
      </c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03">
        <f t="shared" si="2"/>
        <v>0</v>
      </c>
      <c r="AO13" s="134">
        <v>10331.19</v>
      </c>
      <c r="AP13" s="134">
        <v>1003.3</v>
      </c>
      <c r="AQ13" s="134">
        <v>1521.55</v>
      </c>
      <c r="AR13" s="105">
        <f t="shared" si="3"/>
        <v>0</v>
      </c>
      <c r="AS13" s="143"/>
      <c r="AT13" s="143"/>
      <c r="AU13" s="143"/>
      <c r="AV13" s="146"/>
      <c r="AW13" s="224">
        <f t="shared" si="4"/>
        <v>0</v>
      </c>
      <c r="AX13" s="1727">
        <v>4517.9</v>
      </c>
      <c r="AY13" s="1546"/>
      <c r="AZ13" s="1546"/>
      <c r="BA13" s="1548"/>
      <c r="BB13" s="1548"/>
      <c r="BC13" s="1548"/>
      <c r="BD13" s="1727">
        <v>706.7</v>
      </c>
      <c r="BE13" s="1727">
        <v>1446.5</v>
      </c>
      <c r="BF13" s="1727">
        <v>481.8</v>
      </c>
      <c r="BG13" s="1546"/>
      <c r="BH13" s="1546"/>
      <c r="BI13" s="222">
        <f t="shared" si="5"/>
        <v>0</v>
      </c>
      <c r="BJ13" s="140">
        <f t="shared" si="6"/>
        <v>0</v>
      </c>
      <c r="BK13" s="132"/>
      <c r="BL13" s="140">
        <f t="shared" si="7"/>
        <v>0</v>
      </c>
      <c r="BM13" s="141"/>
      <c r="BN13" s="141"/>
      <c r="BO13" s="141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30">
        <f t="shared" si="8"/>
        <v>0</v>
      </c>
      <c r="CA13" s="132"/>
    </row>
    <row r="14" ht="14.25" customHeight="1">
      <c r="A14" s="132"/>
      <c r="B14" s="215">
        <v>46031</v>
      </c>
      <c r="C14" s="133">
        <f>23658.34-D14-E14</f>
      </c>
      <c r="D14" s="134">
        <v>1346.84</v>
      </c>
      <c r="E14" s="460">
        <v>3853.13</v>
      </c>
      <c r="F14" s="460">
        <v>648.8</v>
      </c>
      <c r="G14" s="147">
        <f t="shared" si="0"/>
        <v>0</v>
      </c>
      <c r="H14" s="199"/>
      <c r="I14" s="199"/>
      <c r="J14" s="199"/>
      <c r="K14" s="144"/>
      <c r="L14" s="143">
        <v>475.18</v>
      </c>
      <c r="M14" s="143"/>
      <c r="N14" s="145">
        <v>151.08</v>
      </c>
      <c r="O14" s="144"/>
      <c r="P14" s="611"/>
      <c r="Q14" s="143"/>
      <c r="R14" s="143"/>
      <c r="S14" s="143"/>
      <c r="T14" s="145">
        <v>30.42</v>
      </c>
      <c r="U14" s="145"/>
      <c r="V14" s="143"/>
      <c r="W14" s="143"/>
      <c r="X14" s="143"/>
      <c r="Y14" s="145">
        <v>118.57</v>
      </c>
      <c r="Z14" s="103">
        <f t="shared" si="1"/>
        <v>0</v>
      </c>
      <c r="AA14" s="143"/>
      <c r="AB14" s="143"/>
      <c r="AC14" s="145"/>
      <c r="AD14" s="143"/>
      <c r="AE14" s="143"/>
      <c r="AF14" s="143"/>
      <c r="AG14" s="143"/>
      <c r="AH14" s="143"/>
      <c r="AI14" s="143"/>
      <c r="AJ14" s="143"/>
      <c r="AK14" s="143"/>
      <c r="AL14" s="145">
        <v>106.5</v>
      </c>
      <c r="AM14" s="143"/>
      <c r="AN14" s="103">
        <f t="shared" si="2"/>
        <v>0</v>
      </c>
      <c r="AO14" s="134">
        <v>13034.62</v>
      </c>
      <c r="AP14" s="134">
        <v>934.02</v>
      </c>
      <c r="AQ14" s="134">
        <v>1752.63</v>
      </c>
      <c r="AR14" s="105">
        <f t="shared" si="3"/>
        <v>0</v>
      </c>
      <c r="AS14" s="143"/>
      <c r="AT14" s="143"/>
      <c r="AU14" s="143"/>
      <c r="AV14" s="146"/>
      <c r="AW14" s="224">
        <f t="shared" si="4"/>
        <v>0</v>
      </c>
      <c r="AX14" s="1727">
        <v>2704.2</v>
      </c>
      <c r="AY14" s="1546"/>
      <c r="AZ14" s="1546"/>
      <c r="BA14" s="1548"/>
      <c r="BB14" s="1548"/>
      <c r="BC14" s="1548"/>
      <c r="BD14" s="1727">
        <v>381.5</v>
      </c>
      <c r="BE14" s="1727">
        <v>2100.5</v>
      </c>
      <c r="BF14" s="1727">
        <v>648.8</v>
      </c>
      <c r="BG14" s="1546"/>
      <c r="BH14" s="1546"/>
      <c r="BI14" s="222">
        <f t="shared" si="5"/>
        <v>0</v>
      </c>
      <c r="BJ14" s="140">
        <f t="shared" si="6"/>
        <v>0</v>
      </c>
      <c r="BK14" s="132"/>
      <c r="BL14" s="140">
        <f t="shared" si="7"/>
        <v>0</v>
      </c>
      <c r="BM14" s="141"/>
      <c r="BN14" s="141"/>
      <c r="BO14" s="141"/>
      <c r="BP14" s="141"/>
      <c r="BQ14" s="141"/>
      <c r="BR14" s="141"/>
      <c r="BS14" s="141"/>
      <c r="BT14" s="141"/>
      <c r="BU14" s="141"/>
      <c r="BV14" s="141"/>
      <c r="BW14" s="141"/>
      <c r="BX14" s="150"/>
      <c r="BY14" s="141">
        <v>1867.89</v>
      </c>
      <c r="BZ14" s="130">
        <f t="shared" si="8"/>
        <v>0</v>
      </c>
      <c r="CA14" s="132"/>
    </row>
    <row r="15" ht="14.25" customHeight="1">
      <c r="A15" s="132"/>
      <c r="B15" s="215">
        <v>46032</v>
      </c>
      <c r="C15" s="133">
        <f>29906.86-D15-E15</f>
      </c>
      <c r="D15" s="134">
        <v>1867.22</v>
      </c>
      <c r="E15" s="460">
        <v>8577.05</v>
      </c>
      <c r="F15" s="460">
        <v>1401.9</v>
      </c>
      <c r="G15" s="147">
        <f t="shared" si="0"/>
        <v>0</v>
      </c>
      <c r="H15" s="144"/>
      <c r="I15" s="144"/>
      <c r="J15" s="144"/>
      <c r="K15" s="144"/>
      <c r="L15" s="145">
        <v>715.87</v>
      </c>
      <c r="M15" s="143"/>
      <c r="N15" s="143"/>
      <c r="O15" s="144"/>
      <c r="P15" s="611"/>
      <c r="Q15" s="143"/>
      <c r="R15" s="143"/>
      <c r="S15" s="143"/>
      <c r="T15" s="143">
        <v>211.94</v>
      </c>
      <c r="U15" s="143"/>
      <c r="V15" s="143"/>
      <c r="W15" s="143"/>
      <c r="X15" s="143"/>
      <c r="Y15" s="143"/>
      <c r="Z15" s="103">
        <f t="shared" si="1"/>
        <v>0</v>
      </c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03">
        <f t="shared" si="2"/>
        <v>0</v>
      </c>
      <c r="AO15" s="134">
        <v>13600.36</v>
      </c>
      <c r="AP15" s="134">
        <v>1367.11</v>
      </c>
      <c r="AQ15" s="134">
        <v>4016.15</v>
      </c>
      <c r="AR15" s="105">
        <f t="shared" si="3"/>
        <v>0</v>
      </c>
      <c r="AS15" s="143"/>
      <c r="AT15" s="143"/>
      <c r="AU15" s="143"/>
      <c r="AV15" s="146"/>
      <c r="AW15" s="224">
        <f t="shared" si="4"/>
        <v>0</v>
      </c>
      <c r="AX15" s="1727">
        <v>4933.9</v>
      </c>
      <c r="AY15" s="1546"/>
      <c r="AZ15" s="1546"/>
      <c r="BA15" s="1548"/>
      <c r="BB15" s="1548"/>
      <c r="BC15" s="1548"/>
      <c r="BD15" s="1727">
        <v>499.7</v>
      </c>
      <c r="BE15" s="1727">
        <v>4560.9</v>
      </c>
      <c r="BF15" s="1727">
        <v>1401.9</v>
      </c>
      <c r="BG15" s="1546"/>
      <c r="BH15" s="1546"/>
      <c r="BI15" s="222">
        <f t="shared" si="5"/>
        <v>0</v>
      </c>
      <c r="BJ15" s="140">
        <f t="shared" si="6"/>
        <v>0</v>
      </c>
      <c r="BK15" s="132"/>
      <c r="BL15" s="140">
        <f t="shared" si="7"/>
        <v>0</v>
      </c>
      <c r="BM15" s="141"/>
      <c r="BN15" s="141"/>
      <c r="BO15" s="141"/>
      <c r="BP15" s="141"/>
      <c r="BQ15" s="141"/>
      <c r="BR15" s="141"/>
      <c r="BS15" s="141"/>
      <c r="BT15" s="141"/>
      <c r="BU15" s="141"/>
      <c r="BV15" s="141"/>
      <c r="BW15" s="141"/>
      <c r="BX15" s="141"/>
      <c r="BY15" s="141"/>
      <c r="BZ15" s="130">
        <f t="shared" si="8"/>
        <v>0</v>
      </c>
      <c r="CA15" s="132"/>
    </row>
    <row r="16" ht="14.25" customHeight="1">
      <c r="A16" s="132"/>
      <c r="B16" s="215">
        <v>46033</v>
      </c>
      <c r="C16" s="133">
        <f>24606.36-D16-E16</f>
      </c>
      <c r="D16" s="134">
        <v>1544.57</v>
      </c>
      <c r="E16" s="460">
        <v>5459.32</v>
      </c>
      <c r="F16" s="460">
        <v>933</v>
      </c>
      <c r="G16" s="147">
        <f t="shared" si="0"/>
        <v>0</v>
      </c>
      <c r="H16" s="144"/>
      <c r="I16" s="144"/>
      <c r="J16" s="144"/>
      <c r="K16" s="144"/>
      <c r="L16" s="145">
        <v>145.05</v>
      </c>
      <c r="M16" s="143"/>
      <c r="N16" s="143"/>
      <c r="O16" s="144"/>
      <c r="P16" s="611"/>
      <c r="Q16" s="143"/>
      <c r="R16" s="143"/>
      <c r="S16" s="143"/>
      <c r="T16" s="143"/>
      <c r="U16" s="143"/>
      <c r="V16" s="143"/>
      <c r="W16" s="143"/>
      <c r="X16" s="143"/>
      <c r="Y16" s="143"/>
      <c r="Z16" s="103">
        <f t="shared" si="1"/>
        <v>0</v>
      </c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03">
        <f t="shared" si="2"/>
        <v>0</v>
      </c>
      <c r="AO16" s="134">
        <v>14456.28</v>
      </c>
      <c r="AP16" s="134">
        <v>1197.27</v>
      </c>
      <c r="AQ16" s="134">
        <v>2783.52</v>
      </c>
      <c r="AR16" s="105">
        <f t="shared" si="3"/>
        <v>0</v>
      </c>
      <c r="AS16" s="143"/>
      <c r="AT16" s="143"/>
      <c r="AU16" s="143"/>
      <c r="AV16" s="146"/>
      <c r="AW16" s="224">
        <f t="shared" si="4"/>
        <v>0</v>
      </c>
      <c r="AX16" s="1727">
        <v>3000.7</v>
      </c>
      <c r="AY16" s="1546"/>
      <c r="AZ16" s="1546"/>
      <c r="BA16" s="1548"/>
      <c r="BB16" s="1548"/>
      <c r="BC16" s="1548"/>
      <c r="BD16" s="1727">
        <v>347.2</v>
      </c>
      <c r="BE16" s="1727">
        <v>2675.8</v>
      </c>
      <c r="BF16" s="1727">
        <v>933</v>
      </c>
      <c r="BG16" s="1546"/>
      <c r="BH16" s="1546"/>
      <c r="BI16" s="222">
        <f t="shared" si="5"/>
        <v>0</v>
      </c>
      <c r="BJ16" s="140">
        <f t="shared" si="6"/>
        <v>0</v>
      </c>
      <c r="BK16" s="132"/>
      <c r="BL16" s="140">
        <f t="shared" si="7"/>
        <v>0</v>
      </c>
      <c r="BM16" s="141"/>
      <c r="BN16" s="141"/>
      <c r="BO16" s="141"/>
      <c r="BP16" s="141"/>
      <c r="BQ16" s="141"/>
      <c r="BR16" s="141"/>
      <c r="BS16" s="141"/>
      <c r="BT16" s="141"/>
      <c r="BU16" s="141"/>
      <c r="BV16" s="141"/>
      <c r="BW16" s="141"/>
      <c r="BX16" s="141"/>
      <c r="BY16" s="141"/>
      <c r="BZ16" s="130">
        <f t="shared" si="8"/>
        <v>0</v>
      </c>
      <c r="CA16" s="132"/>
    </row>
    <row r="17" ht="14.25" customHeight="1">
      <c r="A17" s="132"/>
      <c r="B17" s="215">
        <v>46034</v>
      </c>
      <c r="C17" s="133">
        <f>26117.95-D17-E17</f>
      </c>
      <c r="D17" s="134">
        <v>1553.98</v>
      </c>
      <c r="E17" s="460">
        <v>8591.92</v>
      </c>
      <c r="F17" s="460">
        <v>1213.6</v>
      </c>
      <c r="G17" s="147">
        <f t="shared" si="0"/>
        <v>0</v>
      </c>
      <c r="H17" s="144"/>
      <c r="I17" s="144"/>
      <c r="J17" s="144"/>
      <c r="K17" s="144"/>
      <c r="L17" s="145">
        <v>151.6</v>
      </c>
      <c r="M17" s="143"/>
      <c r="N17" s="143"/>
      <c r="O17" s="144"/>
      <c r="P17" s="611"/>
      <c r="Q17" s="143"/>
      <c r="R17" s="143"/>
      <c r="S17" s="143"/>
      <c r="T17" s="143">
        <v>454.15</v>
      </c>
      <c r="U17" s="143"/>
      <c r="V17" s="145">
        <v>89.78</v>
      </c>
      <c r="W17" s="143"/>
      <c r="X17" s="143"/>
      <c r="Y17" s="143"/>
      <c r="Z17" s="103">
        <f t="shared" si="1"/>
        <v>0</v>
      </c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03">
        <f t="shared" si="2"/>
        <v>0</v>
      </c>
      <c r="AO17" s="134">
        <v>12056.48</v>
      </c>
      <c r="AP17" s="134">
        <v>1036.63</v>
      </c>
      <c r="AQ17" s="134">
        <v>4249.22</v>
      </c>
      <c r="AR17" s="105">
        <f t="shared" si="3"/>
        <v>0</v>
      </c>
      <c r="AS17" s="143"/>
      <c r="AT17" s="143"/>
      <c r="AU17" s="143"/>
      <c r="AV17" s="146"/>
      <c r="AW17" s="224">
        <f t="shared" si="4"/>
        <v>0</v>
      </c>
      <c r="AX17" s="1727">
        <v>3364.4</v>
      </c>
      <c r="AY17" s="1546"/>
      <c r="AZ17" s="1546"/>
      <c r="BA17" s="1548"/>
      <c r="BB17" s="1548"/>
      <c r="BC17" s="1548"/>
      <c r="BD17" s="1727">
        <v>371.9</v>
      </c>
      <c r="BE17" s="1727">
        <v>4342.7</v>
      </c>
      <c r="BF17" s="1727">
        <v>1213.6</v>
      </c>
      <c r="BG17" s="1546"/>
      <c r="BH17" s="1546"/>
      <c r="BI17" s="222">
        <f t="shared" si="5"/>
        <v>0</v>
      </c>
      <c r="BJ17" s="140">
        <f t="shared" si="6"/>
        <v>0</v>
      </c>
      <c r="BK17" s="132"/>
      <c r="BL17" s="140">
        <f t="shared" si="7"/>
        <v>0</v>
      </c>
      <c r="BM17" s="141"/>
      <c r="BN17" s="141"/>
      <c r="BO17" s="141"/>
      <c r="BP17" s="141"/>
      <c r="BQ17" s="141"/>
      <c r="BR17" s="141"/>
      <c r="BS17" s="141"/>
      <c r="BT17" s="141"/>
      <c r="BU17" s="141"/>
      <c r="BV17" s="141"/>
      <c r="BW17" s="141"/>
      <c r="BX17" s="141"/>
      <c r="BY17" s="141"/>
      <c r="BZ17" s="130">
        <f t="shared" si="8"/>
        <v>0</v>
      </c>
      <c r="CA17" s="132"/>
    </row>
    <row r="18" ht="14.25" customHeight="1">
      <c r="A18" s="132"/>
      <c r="B18" s="215">
        <v>46035</v>
      </c>
      <c r="C18" s="133">
        <f>27056.21-D18-E18</f>
      </c>
      <c r="D18" s="134">
        <v>1731.65</v>
      </c>
      <c r="E18" s="460">
        <v>7846.03</v>
      </c>
      <c r="F18" s="460">
        <v>1293.4</v>
      </c>
      <c r="G18" s="147">
        <f t="shared" si="0"/>
        <v>0</v>
      </c>
      <c r="H18" s="144"/>
      <c r="I18" s="144"/>
      <c r="J18" s="144"/>
      <c r="K18" s="144"/>
      <c r="L18" s="143">
        <v>802.59</v>
      </c>
      <c r="M18" s="143"/>
      <c r="N18" s="145">
        <v>221.88</v>
      </c>
      <c r="O18" s="144"/>
      <c r="P18" s="611"/>
      <c r="Q18" s="143"/>
      <c r="R18" s="143"/>
      <c r="S18" s="143"/>
      <c r="T18" s="145">
        <v>32.59</v>
      </c>
      <c r="U18" s="143"/>
      <c r="V18" s="143"/>
      <c r="W18" s="143"/>
      <c r="X18" s="143"/>
      <c r="Y18" s="143"/>
      <c r="Z18" s="103">
        <f t="shared" si="1"/>
        <v>0</v>
      </c>
      <c r="AA18" s="143"/>
      <c r="AB18" s="143"/>
      <c r="AC18" s="145">
        <v>192.8</v>
      </c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03">
        <f t="shared" si="2"/>
        <v>0</v>
      </c>
      <c r="AO18" s="134">
        <v>12106.9</v>
      </c>
      <c r="AP18" s="134">
        <v>1019.75</v>
      </c>
      <c r="AQ18" s="134">
        <v>3657.03</v>
      </c>
      <c r="AR18" s="105">
        <f t="shared" si="3"/>
        <v>0</v>
      </c>
      <c r="AS18" s="143"/>
      <c r="AT18" s="143"/>
      <c r="AU18" s="143"/>
      <c r="AV18" s="146"/>
      <c r="AW18" s="224">
        <f t="shared" si="4"/>
        <v>0</v>
      </c>
      <c r="AX18" s="1727">
        <v>4316.1</v>
      </c>
      <c r="AY18" s="1546"/>
      <c r="AZ18" s="1546"/>
      <c r="BA18" s="1548"/>
      <c r="BB18" s="1548"/>
      <c r="BC18" s="1548"/>
      <c r="BD18" s="1727">
        <v>516.2</v>
      </c>
      <c r="BE18" s="1727">
        <v>4189</v>
      </c>
      <c r="BF18" s="1727">
        <v>1293.4</v>
      </c>
      <c r="BG18" s="1546"/>
      <c r="BH18" s="1546"/>
      <c r="BI18" s="222">
        <f t="shared" si="5"/>
        <v>0</v>
      </c>
      <c r="BJ18" s="140">
        <f t="shared" si="6"/>
        <v>0</v>
      </c>
      <c r="BK18" s="132"/>
      <c r="BL18" s="140">
        <f t="shared" si="7"/>
        <v>0</v>
      </c>
      <c r="BM18" s="141"/>
      <c r="BN18" s="141"/>
      <c r="BO18" s="141"/>
      <c r="BP18" s="141"/>
      <c r="BQ18" s="141"/>
      <c r="BR18" s="141"/>
      <c r="BS18" s="141"/>
      <c r="BT18" s="141"/>
      <c r="BU18" s="141"/>
      <c r="BV18" s="141"/>
      <c r="BW18" s="141"/>
      <c r="BX18" s="141"/>
      <c r="BY18" s="141"/>
      <c r="BZ18" s="130">
        <f t="shared" si="8"/>
        <v>0</v>
      </c>
      <c r="CA18" s="132"/>
    </row>
    <row r="19" ht="14.25" customHeight="1">
      <c r="A19" s="132"/>
      <c r="B19" s="215">
        <v>46036</v>
      </c>
      <c r="C19" s="133">
        <f>28192.65-D19-E19</f>
      </c>
      <c r="D19" s="134">
        <v>1904.54</v>
      </c>
      <c r="E19" s="460">
        <v>8588.47</v>
      </c>
      <c r="F19" s="460">
        <v>1324.8</v>
      </c>
      <c r="G19" s="147">
        <f t="shared" si="0"/>
        <v>0</v>
      </c>
      <c r="H19" s="144"/>
      <c r="I19" s="199">
        <v>50.36</v>
      </c>
      <c r="J19" s="144"/>
      <c r="K19" s="144"/>
      <c r="L19" s="145">
        <v>59.86</v>
      </c>
      <c r="M19" s="143"/>
      <c r="N19" s="145">
        <v>302.16</v>
      </c>
      <c r="O19" s="144"/>
      <c r="P19" s="611"/>
      <c r="Q19" s="143"/>
      <c r="R19" s="143"/>
      <c r="S19" s="143"/>
      <c r="T19" s="145">
        <v>76.02</v>
      </c>
      <c r="U19" s="143"/>
      <c r="V19" s="143"/>
      <c r="W19" s="143"/>
      <c r="X19" s="143"/>
      <c r="Y19" s="143"/>
      <c r="Z19" s="103">
        <f t="shared" si="1"/>
        <v>0</v>
      </c>
      <c r="AA19" s="143"/>
      <c r="AB19" s="143"/>
      <c r="AC19" s="145">
        <v>66.9</v>
      </c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03">
        <f t="shared" si="2"/>
        <v>0</v>
      </c>
      <c r="AO19" s="134">
        <v>13251.94</v>
      </c>
      <c r="AP19" s="134">
        <v>1153.34</v>
      </c>
      <c r="AQ19" s="134">
        <v>4653.47</v>
      </c>
      <c r="AR19" s="105">
        <f t="shared" si="3"/>
        <v>0</v>
      </c>
      <c r="AS19" s="143"/>
      <c r="AT19" s="143"/>
      <c r="AU19" s="143"/>
      <c r="AV19" s="146"/>
      <c r="AW19" s="224">
        <f t="shared" si="4"/>
        <v>0</v>
      </c>
      <c r="AX19" s="1563">
        <v>4018.4</v>
      </c>
      <c r="AY19" s="1546"/>
      <c r="AZ19" s="1546"/>
      <c r="BA19" s="1548"/>
      <c r="BB19" s="1548"/>
      <c r="BC19" s="1548"/>
      <c r="BD19" s="1563">
        <v>624.1</v>
      </c>
      <c r="BE19" s="1626">
        <v>3935</v>
      </c>
      <c r="BF19" s="1626">
        <v>1324.8</v>
      </c>
      <c r="BG19" s="1546"/>
      <c r="BH19" s="1546"/>
      <c r="BI19" s="222">
        <f t="shared" si="5"/>
        <v>0</v>
      </c>
      <c r="BJ19" s="140">
        <f t="shared" si="6"/>
        <v>0</v>
      </c>
      <c r="BK19" s="132"/>
      <c r="BL19" s="140">
        <f t="shared" si="7"/>
        <v>0</v>
      </c>
      <c r="BM19" s="141"/>
      <c r="BN19" s="141"/>
      <c r="BO19" s="141"/>
      <c r="BP19" s="141"/>
      <c r="BQ19" s="141"/>
      <c r="BR19" s="141"/>
      <c r="BS19" s="141"/>
      <c r="BT19" s="141"/>
      <c r="BU19" s="141"/>
      <c r="BV19" s="141"/>
      <c r="BW19" s="141"/>
      <c r="BX19" s="141"/>
      <c r="BY19" s="141"/>
      <c r="BZ19" s="130">
        <f t="shared" si="8"/>
        <v>0</v>
      </c>
      <c r="CA19" s="132"/>
    </row>
    <row r="20" ht="15" customHeight="1">
      <c r="A20" s="132"/>
      <c r="B20" s="215">
        <v>46037</v>
      </c>
      <c r="C20" s="133">
        <f>29790.18-D20-E20</f>
      </c>
      <c r="D20" s="134">
        <v>1545.54</v>
      </c>
      <c r="E20" s="460">
        <v>8788.02</v>
      </c>
      <c r="F20" s="460">
        <v>1206.1</v>
      </c>
      <c r="G20" s="147">
        <f t="shared" si="0"/>
        <v>0</v>
      </c>
      <c r="H20" s="144"/>
      <c r="I20" s="144"/>
      <c r="J20" s="199">
        <v>72.2</v>
      </c>
      <c r="K20" s="144"/>
      <c r="L20" s="143">
        <v>792.82</v>
      </c>
      <c r="M20" s="143"/>
      <c r="N20" s="145">
        <v>151.08</v>
      </c>
      <c r="O20" s="144"/>
      <c r="P20" s="611"/>
      <c r="Q20" s="143"/>
      <c r="R20" s="143"/>
      <c r="S20" s="143"/>
      <c r="T20" s="143">
        <v>71.89</v>
      </c>
      <c r="U20" s="143"/>
      <c r="V20" s="143"/>
      <c r="W20" s="143"/>
      <c r="X20" s="143"/>
      <c r="Y20" s="143">
        <v>406.28</v>
      </c>
      <c r="Z20" s="103">
        <f t="shared" si="1"/>
        <v>0</v>
      </c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03">
        <f t="shared" si="2"/>
        <v>0</v>
      </c>
      <c r="AO20" s="134">
        <v>14594.88</v>
      </c>
      <c r="AP20" s="134">
        <v>1050.08</v>
      </c>
      <c r="AQ20" s="200">
        <v>4113.52</v>
      </c>
      <c r="AR20" s="105">
        <f t="shared" si="3"/>
        <v>0</v>
      </c>
      <c r="AS20" s="143"/>
      <c r="AT20" s="143"/>
      <c r="AU20" s="143"/>
      <c r="AV20" s="146"/>
      <c r="AW20" s="224">
        <f t="shared" si="4"/>
        <v>0</v>
      </c>
      <c r="AX20" s="1563">
        <v>3449.4</v>
      </c>
      <c r="AY20" s="1546"/>
      <c r="AZ20" s="1546"/>
      <c r="BA20" s="1548"/>
      <c r="BB20" s="1548"/>
      <c r="BC20" s="1548"/>
      <c r="BD20" s="1563">
        <v>412.7</v>
      </c>
      <c r="BE20" s="1626">
        <v>4674.5</v>
      </c>
      <c r="BF20" s="1626">
        <v>1206.1</v>
      </c>
      <c r="BG20" s="1546"/>
      <c r="BH20" s="1546"/>
      <c r="BI20" s="222">
        <f t="shared" si="5"/>
        <v>0</v>
      </c>
      <c r="BJ20" s="140">
        <f t="shared" si="6"/>
        <v>0</v>
      </c>
      <c r="BK20" s="132"/>
      <c r="BL20" s="140">
        <f t="shared" si="7"/>
        <v>0</v>
      </c>
      <c r="BM20" s="141"/>
      <c r="BN20" s="141"/>
      <c r="BO20" s="141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30">
        <f t="shared" si="8"/>
        <v>0</v>
      </c>
      <c r="CA20" s="132"/>
    </row>
    <row r="21" ht="14.25" customHeight="1">
      <c r="A21" s="132"/>
      <c r="B21" s="215">
        <v>46038</v>
      </c>
      <c r="C21" s="133">
        <f>33624.79-D21-E21</f>
      </c>
      <c r="D21" s="134">
        <v>1951.02</v>
      </c>
      <c r="E21" s="460">
        <v>9774.13</v>
      </c>
      <c r="F21" s="460">
        <v>1473.7</v>
      </c>
      <c r="G21" s="147">
        <f t="shared" si="0"/>
        <v>0</v>
      </c>
      <c r="H21" s="199">
        <v>50</v>
      </c>
      <c r="I21" s="144"/>
      <c r="J21" s="144"/>
      <c r="K21" s="144"/>
      <c r="L21" s="143">
        <v>864.44</v>
      </c>
      <c r="M21" s="143"/>
      <c r="N21" s="143"/>
      <c r="O21" s="144"/>
      <c r="P21" s="611"/>
      <c r="Q21" s="143"/>
      <c r="R21" s="143"/>
      <c r="S21" s="143"/>
      <c r="T21" s="145">
        <v>88.44</v>
      </c>
      <c r="U21" s="143"/>
      <c r="V21" s="143"/>
      <c r="W21" s="143"/>
      <c r="X21" s="143"/>
      <c r="Y21" s="145">
        <v>132.9</v>
      </c>
      <c r="Z21" s="103">
        <f t="shared" si="1"/>
        <v>0</v>
      </c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03">
        <f t="shared" si="2"/>
        <v>0</v>
      </c>
      <c r="AO21" s="134">
        <v>16213.63</v>
      </c>
      <c r="AP21" s="134">
        <v>1227.02</v>
      </c>
      <c r="AQ21" s="134">
        <v>4820.53</v>
      </c>
      <c r="AR21" s="105">
        <f t="shared" si="3"/>
        <v>0</v>
      </c>
      <c r="AS21" s="143"/>
      <c r="AT21" s="143"/>
      <c r="AU21" s="143"/>
      <c r="AV21" s="146"/>
      <c r="AW21" s="224">
        <f t="shared" si="4"/>
        <v>0</v>
      </c>
      <c r="AX21" s="1563">
        <v>4608.7</v>
      </c>
      <c r="AY21" s="1546"/>
      <c r="AZ21" s="1546"/>
      <c r="BA21" s="1548"/>
      <c r="BB21" s="1548"/>
      <c r="BC21" s="1548"/>
      <c r="BD21" s="1563">
        <v>665.5</v>
      </c>
      <c r="BE21" s="1626">
        <v>4953.6</v>
      </c>
      <c r="BF21" s="1626">
        <v>1473.7</v>
      </c>
      <c r="BG21" s="1546"/>
      <c r="BH21" s="1546"/>
      <c r="BI21" s="222">
        <f t="shared" si="5"/>
        <v>0</v>
      </c>
      <c r="BJ21" s="140">
        <f t="shared" si="6"/>
        <v>0</v>
      </c>
      <c r="BK21" s="132"/>
      <c r="BL21" s="140">
        <f t="shared" si="7"/>
        <v>0</v>
      </c>
      <c r="BM21" s="141"/>
      <c r="BN21" s="141"/>
      <c r="BO21" s="141"/>
      <c r="BP21" s="141"/>
      <c r="BQ21" s="141"/>
      <c r="BR21" s="141"/>
      <c r="BS21" s="141"/>
      <c r="BT21" s="141"/>
      <c r="BU21" s="141"/>
      <c r="BV21" s="141"/>
      <c r="BW21" s="141"/>
      <c r="BX21" s="141"/>
      <c r="BY21" s="141"/>
      <c r="BZ21" s="130">
        <f t="shared" si="8"/>
        <v>0</v>
      </c>
      <c r="CA21" s="132"/>
    </row>
    <row r="22" ht="14.25" customHeight="1">
      <c r="A22" s="132"/>
      <c r="B22" s="215">
        <v>46039</v>
      </c>
      <c r="C22" s="133">
        <f>33384.22-D22-E22</f>
      </c>
      <c r="D22" s="134">
        <v>1841.23</v>
      </c>
      <c r="E22" s="460">
        <v>10280.15</v>
      </c>
      <c r="F22" s="460">
        <v>1529.6</v>
      </c>
      <c r="G22" s="147">
        <f t="shared" si="0"/>
        <v>0</v>
      </c>
      <c r="H22" s="144"/>
      <c r="I22" s="144"/>
      <c r="J22" s="144"/>
      <c r="K22" s="144"/>
      <c r="L22" s="143">
        <v>304.97</v>
      </c>
      <c r="M22" s="143"/>
      <c r="N22" s="143"/>
      <c r="O22" s="144"/>
      <c r="P22" s="611"/>
      <c r="Q22" s="143"/>
      <c r="R22" s="143"/>
      <c r="S22" s="143"/>
      <c r="T22" s="143">
        <v>248.04</v>
      </c>
      <c r="U22" s="143"/>
      <c r="V22" s="143"/>
      <c r="W22" s="143"/>
      <c r="X22" s="143"/>
      <c r="Y22" s="143"/>
      <c r="Z22" s="103">
        <f t="shared" si="1"/>
        <v>0</v>
      </c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5">
        <v>166.54</v>
      </c>
      <c r="AM22" s="143"/>
      <c r="AN22" s="103">
        <f t="shared" si="2"/>
        <v>0</v>
      </c>
      <c r="AO22" s="134">
        <v>15645</v>
      </c>
      <c r="AP22" s="134">
        <v>1278.21</v>
      </c>
      <c r="AQ22" s="134">
        <v>5087.45</v>
      </c>
      <c r="AR22" s="105">
        <f t="shared" si="3"/>
        <v>0</v>
      </c>
      <c r="AS22" s="143"/>
      <c r="AT22" s="143"/>
      <c r="AU22" s="143"/>
      <c r="AV22" s="146"/>
      <c r="AW22" s="224">
        <f t="shared" si="4"/>
        <v>0</v>
      </c>
      <c r="AX22" s="1563">
        <v>4922.6</v>
      </c>
      <c r="AY22" s="1546"/>
      <c r="AZ22" s="1546"/>
      <c r="BA22" s="1548"/>
      <c r="BB22" s="1548"/>
      <c r="BC22" s="1548"/>
      <c r="BD22" s="1563">
        <v>538.1</v>
      </c>
      <c r="BE22" s="1626">
        <v>5192.7</v>
      </c>
      <c r="BF22" s="1626">
        <v>1529.6</v>
      </c>
      <c r="BG22" s="1546"/>
      <c r="BH22" s="1546"/>
      <c r="BI22" s="222">
        <f t="shared" si="5"/>
        <v>0</v>
      </c>
      <c r="BJ22" s="140">
        <f t="shared" si="6"/>
        <v>0</v>
      </c>
      <c r="BK22" s="132"/>
      <c r="BL22" s="140">
        <f t="shared" si="7"/>
        <v>0</v>
      </c>
      <c r="BM22" s="141"/>
      <c r="BN22" s="141"/>
      <c r="BO22" s="141"/>
      <c r="BP22" s="141"/>
      <c r="BQ22" s="141"/>
      <c r="BR22" s="141"/>
      <c r="BS22" s="141"/>
      <c r="BT22" s="141"/>
      <c r="BU22" s="141"/>
      <c r="BV22" s="141"/>
      <c r="BW22" s="141"/>
      <c r="BX22" s="141"/>
      <c r="BY22" s="141"/>
      <c r="BZ22" s="130">
        <f t="shared" si="8"/>
        <v>0</v>
      </c>
      <c r="CA22" s="132"/>
    </row>
    <row r="23" ht="14.25" customHeight="1">
      <c r="A23" s="132"/>
      <c r="B23" s="215">
        <v>46040</v>
      </c>
      <c r="C23" s="133">
        <f>22442.33-D23-E23</f>
      </c>
      <c r="D23" s="134">
        <v>1362.18</v>
      </c>
      <c r="E23" s="460">
        <v>6331.15</v>
      </c>
      <c r="F23" s="460">
        <v>1018.7</v>
      </c>
      <c r="G23" s="147">
        <f t="shared" si="0"/>
        <v>0</v>
      </c>
      <c r="H23" s="144"/>
      <c r="I23" s="144"/>
      <c r="J23" s="144"/>
      <c r="K23" s="144"/>
      <c r="L23" s="143"/>
      <c r="M23" s="143"/>
      <c r="N23" s="143"/>
      <c r="O23" s="144"/>
      <c r="P23" s="611"/>
      <c r="Q23" s="143"/>
      <c r="R23" s="143"/>
      <c r="S23" s="143"/>
      <c r="T23" s="143"/>
      <c r="U23" s="143"/>
      <c r="V23" s="143"/>
      <c r="W23" s="143"/>
      <c r="X23" s="143"/>
      <c r="Y23" s="143"/>
      <c r="Z23" s="103">
        <f t="shared" si="1"/>
        <v>0</v>
      </c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03">
        <f t="shared" si="2"/>
        <v>0</v>
      </c>
      <c r="AO23" s="134">
        <v>11783.54</v>
      </c>
      <c r="AP23" s="134">
        <v>866.62</v>
      </c>
      <c r="AQ23" s="134">
        <v>2846.15</v>
      </c>
      <c r="AR23" s="105">
        <f t="shared" si="3"/>
        <v>0</v>
      </c>
      <c r="AS23" s="143"/>
      <c r="AT23" s="143"/>
      <c r="AU23" s="143"/>
      <c r="AV23" s="146"/>
      <c r="AW23" s="224">
        <f t="shared" si="4"/>
        <v>0</v>
      </c>
      <c r="AX23" s="1563">
        <v>2964.9</v>
      </c>
      <c r="AY23" s="1546"/>
      <c r="AZ23" s="1546"/>
      <c r="BA23" s="1548"/>
      <c r="BB23" s="1548"/>
      <c r="BC23" s="1548"/>
      <c r="BD23" s="1563">
        <v>495.6</v>
      </c>
      <c r="BE23" s="1626">
        <v>3485</v>
      </c>
      <c r="BF23" s="1626">
        <v>1018.7</v>
      </c>
      <c r="BG23" s="1546"/>
      <c r="BH23" s="1546"/>
      <c r="BI23" s="222">
        <f t="shared" si="5"/>
        <v>0</v>
      </c>
      <c r="BJ23" s="140">
        <f t="shared" si="6"/>
        <v>0</v>
      </c>
      <c r="BK23" s="132"/>
      <c r="BL23" s="140">
        <f t="shared" si="7"/>
        <v>0</v>
      </c>
      <c r="BM23" s="141"/>
      <c r="BN23" s="141"/>
      <c r="BO23" s="141"/>
      <c r="BP23" s="141"/>
      <c r="BQ23" s="141"/>
      <c r="BR23" s="141"/>
      <c r="BS23" s="141"/>
      <c r="BT23" s="141"/>
      <c r="BU23" s="141"/>
      <c r="BV23" s="141"/>
      <c r="BW23" s="141"/>
      <c r="BX23" s="141"/>
      <c r="BY23" s="141"/>
      <c r="BZ23" s="130">
        <f t="shared" si="8"/>
        <v>0</v>
      </c>
      <c r="CA23" s="132"/>
    </row>
    <row r="24" ht="14.25" customHeight="1">
      <c r="A24" s="132"/>
      <c r="B24" s="215">
        <v>46041</v>
      </c>
      <c r="C24" s="133">
        <f>29562.31-D24-E24</f>
      </c>
      <c r="D24" s="134">
        <v>1938.34</v>
      </c>
      <c r="E24" s="460">
        <v>6987.1</v>
      </c>
      <c r="F24" s="460">
        <v>1000.1</v>
      </c>
      <c r="G24" s="147">
        <f t="shared" si="0"/>
        <v>0</v>
      </c>
      <c r="H24" s="144"/>
      <c r="I24" s="144"/>
      <c r="J24" s="144"/>
      <c r="K24" s="144"/>
      <c r="L24" s="143">
        <v>833.86</v>
      </c>
      <c r="M24" s="143"/>
      <c r="N24" s="143">
        <v>524.04</v>
      </c>
      <c r="O24" s="144"/>
      <c r="P24" s="611"/>
      <c r="Q24" s="143"/>
      <c r="R24" s="143"/>
      <c r="S24" s="143"/>
      <c r="T24" s="143">
        <v>303.91</v>
      </c>
      <c r="U24" s="143"/>
      <c r="V24" s="143"/>
      <c r="W24" s="143"/>
      <c r="X24" s="143"/>
      <c r="Y24" s="143"/>
      <c r="Z24" s="103">
        <f t="shared" si="1"/>
        <v>0</v>
      </c>
      <c r="AA24" s="143"/>
      <c r="AB24" s="143"/>
      <c r="AC24" s="145">
        <v>33.45</v>
      </c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03">
        <f t="shared" si="2"/>
        <v>0</v>
      </c>
      <c r="AO24" s="134">
        <v>14242.01</v>
      </c>
      <c r="AP24" s="134">
        <v>999.59</v>
      </c>
      <c r="AQ24" s="134">
        <v>3395.4</v>
      </c>
      <c r="AR24" s="105">
        <f t="shared" si="3"/>
        <v>0</v>
      </c>
      <c r="AS24" s="143"/>
      <c r="AT24" s="143"/>
      <c r="AU24" s="143"/>
      <c r="AV24" s="146"/>
      <c r="AW24" s="224">
        <f t="shared" si="4"/>
        <v>0</v>
      </c>
      <c r="AX24" s="1563">
        <v>4892.5</v>
      </c>
      <c r="AY24" s="1546"/>
      <c r="AZ24" s="1546"/>
      <c r="BA24" s="1548"/>
      <c r="BB24" s="1548"/>
      <c r="BC24" s="1548"/>
      <c r="BD24" s="1563">
        <v>745.7</v>
      </c>
      <c r="BE24" s="1626">
        <v>3591.7</v>
      </c>
      <c r="BF24" s="1626">
        <v>1000.1</v>
      </c>
      <c r="BG24" s="1546"/>
      <c r="BH24" s="1546"/>
      <c r="BI24" s="222">
        <f t="shared" si="5"/>
        <v>0</v>
      </c>
      <c r="BJ24" s="140">
        <f t="shared" si="6"/>
        <v>0</v>
      </c>
      <c r="BK24" s="132"/>
      <c r="BL24" s="140">
        <f t="shared" si="7"/>
        <v>0</v>
      </c>
      <c r="BM24" s="141"/>
      <c r="BN24" s="141"/>
      <c r="BO24" s="141"/>
      <c r="BP24" s="141"/>
      <c r="BQ24" s="141"/>
      <c r="BR24" s="141"/>
      <c r="BS24" s="141"/>
      <c r="BT24" s="141"/>
      <c r="BU24" s="141"/>
      <c r="BV24" s="141"/>
      <c r="BW24" s="141"/>
      <c r="BX24" s="141"/>
      <c r="BY24" s="141"/>
      <c r="BZ24" s="130">
        <f t="shared" si="8"/>
        <v>0</v>
      </c>
      <c r="CA24" s="132"/>
    </row>
    <row r="25" ht="15" customHeight="1">
      <c r="A25" s="132"/>
      <c r="B25" s="215">
        <v>46042</v>
      </c>
      <c r="C25" s="133">
        <f>28348.40-D25-E25</f>
      </c>
      <c r="D25" s="134">
        <v>1654.71</v>
      </c>
      <c r="E25" s="460">
        <v>8628.2</v>
      </c>
      <c r="F25" s="460">
        <v>1240.9</v>
      </c>
      <c r="G25" s="147">
        <f t="shared" si="0"/>
        <v>0</v>
      </c>
      <c r="H25" s="199">
        <v>50</v>
      </c>
      <c r="I25" s="144"/>
      <c r="J25" s="144"/>
      <c r="K25" s="144"/>
      <c r="L25" s="143">
        <v>444.32</v>
      </c>
      <c r="M25" s="143"/>
      <c r="N25" s="145">
        <v>221.88</v>
      </c>
      <c r="O25" s="144"/>
      <c r="P25" s="611"/>
      <c r="Q25" s="143"/>
      <c r="R25" s="143"/>
      <c r="S25" s="143"/>
      <c r="T25" s="143">
        <v>433.14</v>
      </c>
      <c r="U25" s="143"/>
      <c r="V25" s="145">
        <v>89.39</v>
      </c>
      <c r="W25" s="143"/>
      <c r="X25" s="143"/>
      <c r="Y25" s="145">
        <v>132.9</v>
      </c>
      <c r="Z25" s="103">
        <f t="shared" si="1"/>
        <v>0</v>
      </c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03">
        <f t="shared" si="2"/>
        <v>0</v>
      </c>
      <c r="AO25" s="134">
        <v>12729.59</v>
      </c>
      <c r="AP25" s="134">
        <v>919.49</v>
      </c>
      <c r="AQ25" s="134">
        <v>3916.9</v>
      </c>
      <c r="AR25" s="105">
        <f t="shared" si="3"/>
        <v>0</v>
      </c>
      <c r="AS25" s="143"/>
      <c r="AT25" s="143"/>
      <c r="AU25" s="143"/>
      <c r="AV25" s="146"/>
      <c r="AW25" s="224">
        <f t="shared" si="4"/>
        <v>0</v>
      </c>
      <c r="AX25" s="1563">
        <v>4061.2</v>
      </c>
      <c r="AY25" s="1546"/>
      <c r="AZ25" s="1546"/>
      <c r="BA25" s="1548"/>
      <c r="BB25" s="1548"/>
      <c r="BC25" s="1548"/>
      <c r="BD25" s="1563">
        <v>634.9</v>
      </c>
      <c r="BE25" s="1626">
        <v>4711.3</v>
      </c>
      <c r="BF25" s="1626">
        <v>1240.9</v>
      </c>
      <c r="BG25" s="1546"/>
      <c r="BH25" s="1546"/>
      <c r="BI25" s="222">
        <f t="shared" si="5"/>
        <v>0</v>
      </c>
      <c r="BJ25" s="140">
        <f t="shared" si="6"/>
        <v>0</v>
      </c>
      <c r="BK25" s="132"/>
      <c r="BL25" s="140">
        <f t="shared" si="7"/>
        <v>0</v>
      </c>
      <c r="BM25" s="141"/>
      <c r="BN25" s="141"/>
      <c r="BO25" s="141"/>
      <c r="BP25" s="141"/>
      <c r="BQ25" s="141"/>
      <c r="BR25" s="141"/>
      <c r="BS25" s="141"/>
      <c r="BT25" s="141"/>
      <c r="BU25" s="141"/>
      <c r="BV25" s="141"/>
      <c r="BW25" s="141"/>
      <c r="BX25" s="141"/>
      <c r="BY25" s="141"/>
      <c r="BZ25" s="130">
        <f t="shared" si="8"/>
        <v>0</v>
      </c>
      <c r="CA25" s="132"/>
    </row>
    <row r="26" ht="14.25" customHeight="1">
      <c r="A26" s="132"/>
      <c r="B26" s="215">
        <v>46043</v>
      </c>
      <c r="C26" s="133">
        <f>28062.65-D26-E26</f>
      </c>
      <c r="D26" s="134">
        <v>1968</v>
      </c>
      <c r="E26" s="460">
        <v>6205.26</v>
      </c>
      <c r="F26" s="460">
        <v>1080.8</v>
      </c>
      <c r="G26" s="147">
        <f t="shared" si="0"/>
        <v>0</v>
      </c>
      <c r="H26" s="144"/>
      <c r="I26" s="144"/>
      <c r="J26" s="199">
        <v>354.65</v>
      </c>
      <c r="K26" s="144"/>
      <c r="L26" s="145">
        <v>249.19</v>
      </c>
      <c r="M26" s="143"/>
      <c r="N26" s="143"/>
      <c r="O26" s="144"/>
      <c r="P26" s="611"/>
      <c r="Q26" s="143"/>
      <c r="R26" s="143"/>
      <c r="S26" s="143"/>
      <c r="T26" s="145">
        <v>50</v>
      </c>
      <c r="U26" s="143"/>
      <c r="V26" s="143"/>
      <c r="W26" s="143"/>
      <c r="X26" s="143"/>
      <c r="Y26" s="145">
        <v>66.45</v>
      </c>
      <c r="Z26" s="103">
        <f t="shared" si="1"/>
        <v>0</v>
      </c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5">
        <v>171.75</v>
      </c>
      <c r="AM26" s="143"/>
      <c r="AN26" s="103">
        <f t="shared" si="2"/>
        <v>0</v>
      </c>
      <c r="AO26" s="134">
        <v>13837.99</v>
      </c>
      <c r="AP26" s="134">
        <v>1300.01</v>
      </c>
      <c r="AQ26" s="134">
        <v>3017.66</v>
      </c>
      <c r="AR26" s="105">
        <f t="shared" si="3"/>
        <v>0</v>
      </c>
      <c r="AS26" s="143"/>
      <c r="AT26" s="143"/>
      <c r="AU26" s="143"/>
      <c r="AV26" s="146"/>
      <c r="AW26" s="224">
        <f t="shared" si="4"/>
        <v>0</v>
      </c>
      <c r="AX26" s="1563">
        <v>5159</v>
      </c>
      <c r="AY26" s="1546"/>
      <c r="AZ26" s="1546"/>
      <c r="BA26" s="1548"/>
      <c r="BB26" s="1548"/>
      <c r="BC26" s="1548"/>
      <c r="BD26" s="1563">
        <v>668</v>
      </c>
      <c r="BE26" s="1626">
        <v>3187.6</v>
      </c>
      <c r="BF26" s="1626">
        <v>1080.8</v>
      </c>
      <c r="BG26" s="1546"/>
      <c r="BH26" s="1546"/>
      <c r="BI26" s="222">
        <f t="shared" si="5"/>
        <v>0</v>
      </c>
      <c r="BJ26" s="140">
        <f t="shared" si="6"/>
        <v>0</v>
      </c>
      <c r="BK26" s="132"/>
      <c r="BL26" s="140">
        <f t="shared" si="7"/>
        <v>0</v>
      </c>
      <c r="BM26" s="141"/>
      <c r="BN26" s="141"/>
      <c r="BO26" s="141"/>
      <c r="BP26" s="141"/>
      <c r="BQ26" s="141"/>
      <c r="BR26" s="141"/>
      <c r="BS26" s="141"/>
      <c r="BT26" s="141"/>
      <c r="BU26" s="141"/>
      <c r="BV26" s="141"/>
      <c r="BW26" s="141"/>
      <c r="BX26" s="141"/>
      <c r="BY26" s="141"/>
      <c r="BZ26" s="130">
        <f t="shared" si="8"/>
        <v>0</v>
      </c>
      <c r="CA26" s="132"/>
    </row>
    <row r="27" ht="14.25" customHeight="1">
      <c r="A27" s="132"/>
      <c r="B27" s="215">
        <v>46044</v>
      </c>
      <c r="C27" s="133">
        <f>28787.43-D27-E27</f>
      </c>
      <c r="D27" s="134">
        <v>1513.35</v>
      </c>
      <c r="E27" s="460">
        <v>8446.65</v>
      </c>
      <c r="F27" s="460">
        <v>1331.8</v>
      </c>
      <c r="G27" s="147">
        <f t="shared" si="0"/>
        <v>0</v>
      </c>
      <c r="H27" s="144"/>
      <c r="I27" s="144"/>
      <c r="J27" s="144"/>
      <c r="K27" s="144"/>
      <c r="L27" s="143">
        <v>893.85</v>
      </c>
      <c r="M27" s="143"/>
      <c r="N27" s="143"/>
      <c r="O27" s="144"/>
      <c r="P27" s="611"/>
      <c r="Q27" s="143"/>
      <c r="R27" s="143"/>
      <c r="S27" s="143"/>
      <c r="T27" s="143">
        <v>55.7</v>
      </c>
      <c r="U27" s="143"/>
      <c r="V27" s="143"/>
      <c r="W27" s="143"/>
      <c r="X27" s="143"/>
      <c r="Y27" s="145">
        <v>66.45</v>
      </c>
      <c r="Z27" s="103">
        <f t="shared" si="1"/>
        <v>0</v>
      </c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03">
        <f t="shared" si="2"/>
        <v>0</v>
      </c>
      <c r="AO27" s="134">
        <v>13169.88</v>
      </c>
      <c r="AP27" s="134">
        <v>728.01</v>
      </c>
      <c r="AQ27" s="134">
        <v>4308.85</v>
      </c>
      <c r="AR27" s="105">
        <f t="shared" si="3"/>
        <v>0</v>
      </c>
      <c r="AS27" s="143"/>
      <c r="AT27" s="143"/>
      <c r="AU27" s="143"/>
      <c r="AV27" s="146"/>
      <c r="AW27" s="224">
        <f t="shared" si="4"/>
        <v>0</v>
      </c>
      <c r="AX27" s="1563">
        <v>4753</v>
      </c>
      <c r="AY27" s="1546"/>
      <c r="AZ27" s="1546"/>
      <c r="BA27" s="1548"/>
      <c r="BB27" s="1548"/>
      <c r="BC27" s="1548"/>
      <c r="BD27" s="1563">
        <v>673.5</v>
      </c>
      <c r="BE27" s="1626">
        <v>4137.8</v>
      </c>
      <c r="BF27" s="1626">
        <v>1331.8</v>
      </c>
      <c r="BG27" s="1546"/>
      <c r="BH27" s="1546"/>
      <c r="BI27" s="222">
        <f t="shared" si="5"/>
        <v>0</v>
      </c>
      <c r="BJ27" s="140">
        <f t="shared" si="6"/>
        <v>0</v>
      </c>
      <c r="BK27" s="132"/>
      <c r="BL27" s="140">
        <f t="shared" si="7"/>
        <v>0</v>
      </c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30">
        <f t="shared" si="8"/>
        <v>0</v>
      </c>
      <c r="CA27" s="132"/>
    </row>
    <row r="28" ht="14.25" customHeight="1">
      <c r="A28" s="132"/>
      <c r="B28" s="215">
        <v>46045</v>
      </c>
      <c r="C28" s="133">
        <f>29880.80-D28-E28</f>
      </c>
      <c r="D28" s="134">
        <v>1787.24</v>
      </c>
      <c r="E28" s="460">
        <v>8936.84</v>
      </c>
      <c r="F28" s="460">
        <v>1507.5</v>
      </c>
      <c r="G28" s="147">
        <f t="shared" si="0"/>
        <v>0</v>
      </c>
      <c r="H28" s="144">
        <v>70</v>
      </c>
      <c r="I28" s="144"/>
      <c r="J28" s="144"/>
      <c r="K28" s="144"/>
      <c r="L28" s="143">
        <v>496.51</v>
      </c>
      <c r="M28" s="143"/>
      <c r="N28" s="145">
        <v>151.08</v>
      </c>
      <c r="O28" s="144"/>
      <c r="P28" s="611"/>
      <c r="Q28" s="143"/>
      <c r="R28" s="143"/>
      <c r="S28" s="143"/>
      <c r="T28" s="145">
        <v>131.91</v>
      </c>
      <c r="U28" s="143"/>
      <c r="V28" s="143"/>
      <c r="W28" s="143"/>
      <c r="X28" s="143"/>
      <c r="Y28" s="143"/>
      <c r="Z28" s="103">
        <f t="shared" si="1"/>
        <v>0</v>
      </c>
      <c r="AA28" s="143"/>
      <c r="AB28" s="143"/>
      <c r="AC28" s="145">
        <v>33.45</v>
      </c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03">
        <f t="shared" si="2"/>
        <v>0</v>
      </c>
      <c r="AO28" s="134">
        <v>14409.06</v>
      </c>
      <c r="AP28" s="134">
        <v>1230.32</v>
      </c>
      <c r="AQ28" s="134">
        <v>4782.84</v>
      </c>
      <c r="AR28" s="105">
        <f t="shared" si="3"/>
        <v>0</v>
      </c>
      <c r="AS28" s="143"/>
      <c r="AT28" s="143"/>
      <c r="AU28" s="143"/>
      <c r="AV28" s="146"/>
      <c r="AW28" s="224">
        <f t="shared" si="4"/>
        <v>0</v>
      </c>
      <c r="AX28" s="1563">
        <v>3898</v>
      </c>
      <c r="AY28" s="1546"/>
      <c r="AZ28" s="1546"/>
      <c r="BA28" s="1548"/>
      <c r="BB28" s="1548"/>
      <c r="BC28" s="1548"/>
      <c r="BD28" s="1563">
        <v>523.1</v>
      </c>
      <c r="BE28" s="1626">
        <v>4154</v>
      </c>
      <c r="BF28" s="1626">
        <v>1507.5</v>
      </c>
      <c r="BG28" s="1546"/>
      <c r="BH28" s="1546"/>
      <c r="BI28" s="222">
        <f t="shared" si="5"/>
        <v>0</v>
      </c>
      <c r="BJ28" s="140">
        <f t="shared" si="6"/>
        <v>0</v>
      </c>
      <c r="BK28" s="132"/>
      <c r="BL28" s="140">
        <f t="shared" si="7"/>
        <v>0</v>
      </c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30">
        <f t="shared" si="8"/>
        <v>0</v>
      </c>
      <c r="CA28" s="132"/>
    </row>
    <row r="29" ht="14.25" customHeight="1">
      <c r="A29" s="132"/>
      <c r="B29" s="215">
        <v>46046</v>
      </c>
      <c r="C29" s="133">
        <f>33984.52-D29-E29</f>
      </c>
      <c r="D29" s="134">
        <v>2502.32</v>
      </c>
      <c r="E29" s="460">
        <v>8501.83</v>
      </c>
      <c r="F29" s="460">
        <v>1385.9</v>
      </c>
      <c r="G29" s="147">
        <f t="shared" si="0"/>
        <v>0</v>
      </c>
      <c r="H29" s="144"/>
      <c r="I29" s="144"/>
      <c r="J29" s="144"/>
      <c r="K29" s="144"/>
      <c r="L29" s="145">
        <v>58.89</v>
      </c>
      <c r="M29" s="143"/>
      <c r="N29" s="145">
        <v>151.08</v>
      </c>
      <c r="O29" s="144"/>
      <c r="P29" s="611"/>
      <c r="Q29" s="143"/>
      <c r="R29" s="143"/>
      <c r="S29" s="143"/>
      <c r="T29" s="145">
        <v>45.63</v>
      </c>
      <c r="U29" s="143"/>
      <c r="V29" s="143"/>
      <c r="W29" s="143"/>
      <c r="X29" s="143"/>
      <c r="Y29" s="143"/>
      <c r="Z29" s="103">
        <f t="shared" si="1"/>
        <v>0</v>
      </c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5">
        <v>71.01</v>
      </c>
      <c r="AM29" s="143"/>
      <c r="AN29" s="103">
        <f t="shared" si="2"/>
        <v>0</v>
      </c>
      <c r="AO29" s="134">
        <v>16997.38</v>
      </c>
      <c r="AP29" s="134">
        <v>1811.05</v>
      </c>
      <c r="AQ29" s="134">
        <v>4420.13</v>
      </c>
      <c r="AR29" s="105">
        <f t="shared" si="3"/>
        <v>0</v>
      </c>
      <c r="AS29" s="143"/>
      <c r="AT29" s="143"/>
      <c r="AU29" s="143"/>
      <c r="AV29" s="146"/>
      <c r="AW29" s="224">
        <f t="shared" si="4"/>
        <v>0</v>
      </c>
      <c r="AX29" s="1563">
        <v>5754.4</v>
      </c>
      <c r="AY29" s="1546"/>
      <c r="AZ29" s="1546"/>
      <c r="BA29" s="1548"/>
      <c r="BB29" s="1548"/>
      <c r="BC29" s="1548"/>
      <c r="BD29" s="1563">
        <v>586.3</v>
      </c>
      <c r="BE29" s="1626">
        <v>4081.7</v>
      </c>
      <c r="BF29" s="1626">
        <v>1385.9</v>
      </c>
      <c r="BG29" s="1546"/>
      <c r="BH29" s="1546"/>
      <c r="BI29" s="222">
        <f t="shared" si="5"/>
        <v>0</v>
      </c>
      <c r="BJ29" s="140">
        <f t="shared" si="6"/>
        <v>0</v>
      </c>
      <c r="BK29" s="132"/>
      <c r="BL29" s="140">
        <f t="shared" si="7"/>
        <v>0</v>
      </c>
      <c r="BM29" s="141"/>
      <c r="BN29" s="141"/>
      <c r="BO29" s="141"/>
      <c r="BP29" s="141"/>
      <c r="BQ29" s="141"/>
      <c r="BR29" s="141"/>
      <c r="BS29" s="141"/>
      <c r="BT29" s="141"/>
      <c r="BU29" s="141"/>
      <c r="BV29" s="141"/>
      <c r="BW29" s="141"/>
      <c r="BX29" s="141"/>
      <c r="BY29" s="141"/>
      <c r="BZ29" s="130">
        <f t="shared" si="8"/>
        <v>0</v>
      </c>
      <c r="CA29" s="132"/>
    </row>
    <row r="30" ht="14.25" customHeight="1">
      <c r="A30" s="132"/>
      <c r="B30" s="215">
        <v>46047</v>
      </c>
      <c r="C30" s="133">
        <f>22546.06-D30-E30</f>
      </c>
      <c r="D30" s="134">
        <v>1303.74</v>
      </c>
      <c r="E30" s="460">
        <v>6630.8</v>
      </c>
      <c r="F30" s="460">
        <v>1265.7</v>
      </c>
      <c r="G30" s="147">
        <f t="shared" si="0"/>
        <v>0</v>
      </c>
      <c r="H30" s="144"/>
      <c r="I30" s="144"/>
      <c r="J30" s="144"/>
      <c r="K30" s="144"/>
      <c r="L30" s="143"/>
      <c r="M30" s="143"/>
      <c r="N30" s="143"/>
      <c r="O30" s="144"/>
      <c r="P30" s="611"/>
      <c r="Q30" s="143"/>
      <c r="R30" s="143"/>
      <c r="S30" s="143"/>
      <c r="T30" s="143"/>
      <c r="U30" s="143"/>
      <c r="V30" s="143"/>
      <c r="W30" s="143"/>
      <c r="X30" s="143"/>
      <c r="Y30" s="143"/>
      <c r="Z30" s="103">
        <f t="shared" si="1"/>
        <v>0</v>
      </c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03">
        <f t="shared" si="2"/>
        <v>0</v>
      </c>
      <c r="AO30" s="134">
        <v>11160.4</v>
      </c>
      <c r="AP30" s="134">
        <v>752.66</v>
      </c>
      <c r="AQ30" s="134">
        <v>3598.2</v>
      </c>
      <c r="AR30" s="105">
        <f t="shared" si="3"/>
        <v>0</v>
      </c>
      <c r="AS30" s="143"/>
      <c r="AT30" s="143"/>
      <c r="AU30" s="143"/>
      <c r="AV30" s="146"/>
      <c r="AW30" s="224">
        <f t="shared" si="4"/>
        <v>0</v>
      </c>
      <c r="AX30" s="1563">
        <v>3450.8</v>
      </c>
      <c r="AY30" s="1546"/>
      <c r="AZ30" s="1546"/>
      <c r="BA30" s="1548"/>
      <c r="BB30" s="1548"/>
      <c r="BC30" s="1548"/>
      <c r="BD30" s="1563">
        <v>551.1</v>
      </c>
      <c r="BE30" s="1626">
        <v>3032.6</v>
      </c>
      <c r="BF30" s="1626">
        <v>1265.7</v>
      </c>
      <c r="BG30" s="1546"/>
      <c r="BH30" s="1546"/>
      <c r="BI30" s="222">
        <f t="shared" si="5"/>
        <v>0</v>
      </c>
      <c r="BJ30" s="140">
        <f t="shared" si="6"/>
        <v>0</v>
      </c>
      <c r="BK30" s="132"/>
      <c r="BL30" s="140">
        <f t="shared" si="7"/>
        <v>0</v>
      </c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30">
        <f t="shared" si="8"/>
        <v>0</v>
      </c>
      <c r="CA30" s="132"/>
    </row>
    <row r="31" ht="14.25" customHeight="1">
      <c r="A31" s="132"/>
      <c r="B31" s="215">
        <v>46048</v>
      </c>
      <c r="C31" s="133">
        <f>28813.51-D31-E31</f>
      </c>
      <c r="D31" s="134">
        <v>1992.31</v>
      </c>
      <c r="E31" s="460">
        <v>8467.81</v>
      </c>
      <c r="F31" s="460">
        <v>1365.5</v>
      </c>
      <c r="G31" s="147">
        <f t="shared" si="0"/>
        <v>0</v>
      </c>
      <c r="H31" s="144"/>
      <c r="I31" s="144"/>
      <c r="J31" s="144"/>
      <c r="K31" s="144"/>
      <c r="L31" s="143">
        <v>1001.04</v>
      </c>
      <c r="M31" s="143"/>
      <c r="N31" s="143"/>
      <c r="O31" s="144"/>
      <c r="P31" s="611"/>
      <c r="Q31" s="143"/>
      <c r="R31" s="143"/>
      <c r="S31" s="143"/>
      <c r="T31" s="143">
        <v>397.7</v>
      </c>
      <c r="U31" s="143"/>
      <c r="V31" s="143"/>
      <c r="W31" s="143"/>
      <c r="X31" s="143"/>
      <c r="Y31" s="145">
        <v>199.35</v>
      </c>
      <c r="Z31" s="103">
        <f t="shared" si="1"/>
        <v>0</v>
      </c>
      <c r="AA31" s="143"/>
      <c r="AB31" s="143"/>
      <c r="AC31" s="145">
        <v>33.45</v>
      </c>
      <c r="AD31" s="143"/>
      <c r="AE31" s="143"/>
      <c r="AF31" s="143"/>
      <c r="AG31" s="143"/>
      <c r="AH31" s="143"/>
      <c r="AI31" s="143"/>
      <c r="AJ31" s="143"/>
      <c r="AK31" s="143"/>
      <c r="AL31" s="145">
        <v>267.46</v>
      </c>
      <c r="AM31" s="143"/>
      <c r="AN31" s="103">
        <f t="shared" si="2"/>
        <v>0</v>
      </c>
      <c r="AO31" s="134">
        <v>11998.11</v>
      </c>
      <c r="AP31" s="134">
        <v>973.46</v>
      </c>
      <c r="AQ31" s="134">
        <v>4414.11</v>
      </c>
      <c r="AR31" s="105">
        <f t="shared" si="3"/>
        <v>0</v>
      </c>
      <c r="AS31" s="143"/>
      <c r="AT31" s="143"/>
      <c r="AU31" s="143"/>
      <c r="AV31" s="146"/>
      <c r="AW31" s="224">
        <f t="shared" si="4"/>
        <v>0</v>
      </c>
      <c r="AX31" s="1563">
        <v>4683.5</v>
      </c>
      <c r="AY31" s="1546"/>
      <c r="AZ31" s="1546"/>
      <c r="BA31" s="1548"/>
      <c r="BB31" s="1548"/>
      <c r="BC31" s="1548"/>
      <c r="BD31" s="1563">
        <v>791</v>
      </c>
      <c r="BE31" s="1626">
        <v>4053.7</v>
      </c>
      <c r="BF31" s="1626">
        <v>1365.5</v>
      </c>
      <c r="BG31" s="1546"/>
      <c r="BH31" s="1546"/>
      <c r="BI31" s="222">
        <f t="shared" si="5"/>
        <v>0</v>
      </c>
      <c r="BJ31" s="140">
        <f t="shared" si="6"/>
        <v>0</v>
      </c>
      <c r="BK31" s="132"/>
      <c r="BL31" s="140">
        <f t="shared" si="7"/>
        <v>0</v>
      </c>
      <c r="BM31" s="141"/>
      <c r="BN31" s="141"/>
      <c r="BO31" s="141"/>
      <c r="BP31" s="141"/>
      <c r="BQ31" s="141"/>
      <c r="BR31" s="141"/>
      <c r="BS31" s="141"/>
      <c r="BT31" s="141"/>
      <c r="BU31" s="141"/>
      <c r="BV31" s="141"/>
      <c r="BW31" s="141"/>
      <c r="BX31" s="141"/>
      <c r="BY31" s="141"/>
      <c r="BZ31" s="130">
        <f t="shared" si="8"/>
        <v>0</v>
      </c>
      <c r="CA31" s="132"/>
    </row>
    <row r="32" ht="14.25" customHeight="1">
      <c r="A32" s="132"/>
      <c r="B32" s="215">
        <v>46049</v>
      </c>
      <c r="C32" s="133">
        <f>29722.18-D32-E32</f>
      </c>
      <c r="D32" s="134">
        <v>1499.21</v>
      </c>
      <c r="E32" s="460">
        <v>8682.54</v>
      </c>
      <c r="F32" s="460">
        <v>1396.9</v>
      </c>
      <c r="G32" s="147">
        <f t="shared" si="0"/>
        <v>0</v>
      </c>
      <c r="H32" s="144"/>
      <c r="I32" s="144"/>
      <c r="J32" s="144"/>
      <c r="K32" s="144"/>
      <c r="L32" s="143">
        <v>1049</v>
      </c>
      <c r="M32" s="143"/>
      <c r="N32" s="143">
        <v>524.04</v>
      </c>
      <c r="O32" s="199">
        <v>119.61</v>
      </c>
      <c r="P32" s="611"/>
      <c r="Q32" s="143"/>
      <c r="R32" s="143"/>
      <c r="S32" s="143"/>
      <c r="T32" s="143">
        <v>138.34</v>
      </c>
      <c r="U32" s="143"/>
      <c r="V32" s="143"/>
      <c r="W32" s="143"/>
      <c r="X32" s="143"/>
      <c r="Y32" s="143"/>
      <c r="Z32" s="103">
        <f t="shared" si="1"/>
        <v>0</v>
      </c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03">
        <f t="shared" si="2"/>
        <v>0</v>
      </c>
      <c r="AO32" s="134">
        <v>13049.1</v>
      </c>
      <c r="AP32" s="134">
        <v>938.42</v>
      </c>
      <c r="AQ32" s="134">
        <v>4397.74</v>
      </c>
      <c r="AR32" s="105">
        <f t="shared" si="3"/>
        <v>0</v>
      </c>
      <c r="AS32" s="143"/>
      <c r="AT32" s="143"/>
      <c r="AU32" s="143"/>
      <c r="AV32" s="146"/>
      <c r="AW32" s="224">
        <f t="shared" si="4"/>
        <v>0</v>
      </c>
      <c r="AX32" s="1563">
        <v>4659.2</v>
      </c>
      <c r="AY32" s="1546"/>
      <c r="AZ32" s="1546"/>
      <c r="BA32" s="1548"/>
      <c r="BB32" s="1548"/>
      <c r="BC32" s="1548"/>
      <c r="BD32" s="1563">
        <v>560.8</v>
      </c>
      <c r="BE32" s="1626">
        <v>4284.8</v>
      </c>
      <c r="BF32" s="1626">
        <v>1396.9</v>
      </c>
      <c r="BG32" s="1546"/>
      <c r="BH32" s="1546"/>
      <c r="BI32" s="222">
        <f t="shared" si="5"/>
        <v>0</v>
      </c>
      <c r="BJ32" s="140">
        <f t="shared" si="6"/>
        <v>0</v>
      </c>
      <c r="BK32" s="132"/>
      <c r="BL32" s="140">
        <f t="shared" si="7"/>
        <v>0</v>
      </c>
      <c r="BM32" s="141"/>
      <c r="BN32" s="141"/>
      <c r="BO32" s="141"/>
      <c r="BP32" s="141"/>
      <c r="BQ32" s="141"/>
      <c r="BR32" s="141"/>
      <c r="BS32" s="141"/>
      <c r="BT32" s="141"/>
      <c r="BU32" s="141"/>
      <c r="BV32" s="141"/>
      <c r="BW32" s="141"/>
      <c r="BX32" s="141"/>
      <c r="BY32" s="141"/>
      <c r="BZ32" s="130">
        <f t="shared" si="8"/>
        <v>0</v>
      </c>
      <c r="CA32" s="132"/>
    </row>
    <row r="33" ht="14.25" customHeight="1">
      <c r="A33" s="132"/>
      <c r="B33" s="215">
        <v>46050</v>
      </c>
      <c r="C33" s="133">
        <f>27111.11-D33-E33</f>
      </c>
      <c r="D33" s="134">
        <v>1391.35</v>
      </c>
      <c r="E33" s="460">
        <v>8890.66</v>
      </c>
      <c r="F33" s="460">
        <v>1297.5</v>
      </c>
      <c r="G33" s="147">
        <f t="shared" si="0"/>
        <v>0</v>
      </c>
      <c r="H33" s="144"/>
      <c r="I33" s="144"/>
      <c r="J33" s="199">
        <v>374.19</v>
      </c>
      <c r="K33" s="144"/>
      <c r="L33" s="145">
        <v>54.26</v>
      </c>
      <c r="M33" s="143">
        <v>93.74</v>
      </c>
      <c r="N33" s="143"/>
      <c r="O33" s="144"/>
      <c r="P33" s="611"/>
      <c r="Q33" s="143"/>
      <c r="R33" s="143"/>
      <c r="S33" s="143"/>
      <c r="T33" s="143">
        <v>127.46</v>
      </c>
      <c r="U33" s="143"/>
      <c r="V33" s="143"/>
      <c r="W33" s="143"/>
      <c r="X33" s="143"/>
      <c r="Y33" s="145">
        <v>332.25</v>
      </c>
      <c r="Z33" s="103">
        <f t="shared" si="1"/>
        <v>0</v>
      </c>
      <c r="AA33" s="143"/>
      <c r="AB33" s="143"/>
      <c r="AC33" s="145">
        <v>33.45</v>
      </c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03">
        <f t="shared" si="2"/>
        <v>0</v>
      </c>
      <c r="AO33" s="134">
        <v>12216.87</v>
      </c>
      <c r="AP33" s="134">
        <v>678.09</v>
      </c>
      <c r="AQ33" s="134">
        <v>4432.56</v>
      </c>
      <c r="AR33" s="105">
        <f t="shared" si="3"/>
        <v>0</v>
      </c>
      <c r="AS33" s="143"/>
      <c r="AT33" s="143"/>
      <c r="AU33" s="143"/>
      <c r="AV33" s="146"/>
      <c r="AW33" s="224">
        <f t="shared" si="4"/>
        <v>0</v>
      </c>
      <c r="AX33" s="1563">
        <v>3672.2</v>
      </c>
      <c r="AY33" s="1546"/>
      <c r="AZ33" s="1546"/>
      <c r="BA33" s="1548"/>
      <c r="BB33" s="1548"/>
      <c r="BC33" s="1548"/>
      <c r="BD33" s="1563">
        <v>637.4</v>
      </c>
      <c r="BE33" s="1626">
        <v>4458.1</v>
      </c>
      <c r="BF33" s="1626">
        <v>1297.5</v>
      </c>
      <c r="BG33" s="1546"/>
      <c r="BH33" s="1546"/>
      <c r="BI33" s="222">
        <f t="shared" si="5"/>
        <v>0</v>
      </c>
      <c r="BJ33" s="140">
        <f t="shared" si="6"/>
        <v>0</v>
      </c>
      <c r="BK33" s="132"/>
      <c r="BL33" s="140">
        <f t="shared" si="7"/>
        <v>0</v>
      </c>
      <c r="BM33" s="141"/>
      <c r="BN33" s="141"/>
      <c r="BO33" s="141"/>
      <c r="BP33" s="141"/>
      <c r="BQ33" s="141"/>
      <c r="BR33" s="141"/>
      <c r="BS33" s="141"/>
      <c r="BT33" s="141"/>
      <c r="BU33" s="141"/>
      <c r="BV33" s="141"/>
      <c r="BW33" s="141"/>
      <c r="BX33" s="141"/>
      <c r="BY33" s="141"/>
      <c r="BZ33" s="130">
        <f t="shared" si="8"/>
        <v>0</v>
      </c>
      <c r="CA33" s="132"/>
    </row>
    <row r="34" ht="14.25" customHeight="1">
      <c r="A34" s="132"/>
      <c r="B34" s="215">
        <v>46051</v>
      </c>
      <c r="C34" s="133">
        <f>25922.41-D34-E34</f>
      </c>
      <c r="D34" s="134">
        <v>1985.61</v>
      </c>
      <c r="E34" s="460">
        <v>5514.57</v>
      </c>
      <c r="F34" s="460">
        <v>903.1</v>
      </c>
      <c r="G34" s="147">
        <f t="shared" si="0"/>
        <v>0</v>
      </c>
      <c r="H34" s="144"/>
      <c r="I34" s="144"/>
      <c r="J34" s="144"/>
      <c r="K34" s="144"/>
      <c r="L34" s="143">
        <v>378.83</v>
      </c>
      <c r="M34" s="143"/>
      <c r="N34" s="145">
        <v>302.16</v>
      </c>
      <c r="O34" s="144"/>
      <c r="P34" s="611"/>
      <c r="Q34" s="143"/>
      <c r="R34" s="143"/>
      <c r="S34" s="143"/>
      <c r="T34" s="143">
        <v>295.53</v>
      </c>
      <c r="U34" s="143"/>
      <c r="V34" s="145">
        <v>91.01</v>
      </c>
      <c r="W34" s="143"/>
      <c r="X34" s="143"/>
      <c r="Y34" s="145">
        <v>462.25</v>
      </c>
      <c r="Z34" s="103">
        <f t="shared" si="1"/>
        <v>0</v>
      </c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5">
        <v>74.29</v>
      </c>
      <c r="AM34" s="143"/>
      <c r="AN34" s="103">
        <f t="shared" si="2"/>
        <v>0</v>
      </c>
      <c r="AO34" s="134">
        <v>13066.09</v>
      </c>
      <c r="AP34" s="134">
        <v>1415.51</v>
      </c>
      <c r="AQ34" s="134">
        <v>2848.47</v>
      </c>
      <c r="AR34" s="105">
        <f t="shared" si="3"/>
        <v>0</v>
      </c>
      <c r="AS34" s="143"/>
      <c r="AT34" s="143"/>
      <c r="AU34" s="143"/>
      <c r="AV34" s="146"/>
      <c r="AW34" s="224">
        <f t="shared" si="4"/>
        <v>0</v>
      </c>
      <c r="AX34" s="1563">
        <v>3900.7</v>
      </c>
      <c r="AY34" s="1546"/>
      <c r="AZ34" s="1546"/>
      <c r="BA34" s="1548"/>
      <c r="BB34" s="1548"/>
      <c r="BC34" s="1548"/>
      <c r="BD34" s="1563">
        <v>421.3</v>
      </c>
      <c r="BE34" s="1626">
        <v>2666.1</v>
      </c>
      <c r="BF34" s="1626">
        <v>903.1</v>
      </c>
      <c r="BG34" s="1546"/>
      <c r="BH34" s="1546"/>
      <c r="BI34" s="222">
        <f t="shared" si="5"/>
        <v>0</v>
      </c>
      <c r="BJ34" s="140">
        <f t="shared" si="6"/>
        <v>0</v>
      </c>
      <c r="BK34" s="132"/>
      <c r="BL34" s="140">
        <f t="shared" si="7"/>
        <v>0</v>
      </c>
      <c r="BM34" s="141"/>
      <c r="BN34" s="141"/>
      <c r="BO34" s="141"/>
      <c r="BP34" s="141"/>
      <c r="BQ34" s="141"/>
      <c r="BR34" s="141"/>
      <c r="BS34" s="141"/>
      <c r="BT34" s="141"/>
      <c r="BU34" s="141"/>
      <c r="BV34" s="141"/>
      <c r="BW34" s="141"/>
      <c r="BX34" s="141"/>
      <c r="BY34" s="141"/>
      <c r="BZ34" s="130">
        <f t="shared" si="8"/>
        <v>0</v>
      </c>
      <c r="CA34" s="132"/>
    </row>
    <row r="35" ht="14.25" customHeight="1">
      <c r="A35" s="132"/>
      <c r="B35" s="215">
        <v>46052</v>
      </c>
      <c r="C35" s="133">
        <f>27637.72-D35-E35</f>
      </c>
      <c r="D35" s="134">
        <v>1779.09</v>
      </c>
      <c r="E35" s="460">
        <v>6246.89</v>
      </c>
      <c r="F35" s="460">
        <v>1019.8</v>
      </c>
      <c r="G35" s="147">
        <f t="shared" si="0"/>
        <v>0</v>
      </c>
      <c r="H35" s="144"/>
      <c r="I35" s="144"/>
      <c r="J35" s="144"/>
      <c r="K35" s="144"/>
      <c r="L35" s="145">
        <v>230.27</v>
      </c>
      <c r="M35" s="143"/>
      <c r="N35" s="145">
        <v>151.08</v>
      </c>
      <c r="O35" s="199">
        <v>132.9</v>
      </c>
      <c r="P35" s="611"/>
      <c r="Q35" s="143"/>
      <c r="R35" s="143"/>
      <c r="S35" s="143"/>
      <c r="T35" s="145">
        <v>32.11</v>
      </c>
      <c r="U35" s="143"/>
      <c r="V35" s="143"/>
      <c r="W35" s="143"/>
      <c r="X35" s="143"/>
      <c r="Y35" s="145"/>
      <c r="Z35" s="103">
        <f t="shared" si="1"/>
        <v>0</v>
      </c>
      <c r="AA35" s="143"/>
      <c r="AB35" s="143"/>
      <c r="AC35" s="143">
        <v>33.45</v>
      </c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03">
        <f t="shared" si="2"/>
        <v>0</v>
      </c>
      <c r="AO35" s="134">
        <v>15659.83</v>
      </c>
      <c r="AP35" s="134">
        <v>1344.35</v>
      </c>
      <c r="AQ35" s="134">
        <v>3250.29</v>
      </c>
      <c r="AR35" s="105">
        <f t="shared" si="3"/>
        <v>0</v>
      </c>
      <c r="AS35" s="143"/>
      <c r="AT35" s="143"/>
      <c r="AU35" s="143"/>
      <c r="AV35" s="146"/>
      <c r="AW35" s="224">
        <f t="shared" si="4"/>
        <v>0</v>
      </c>
      <c r="AX35" s="1563">
        <v>3437.1</v>
      </c>
      <c r="AY35" s="1546"/>
      <c r="AZ35" s="1546"/>
      <c r="BA35" s="1548"/>
      <c r="BB35" s="1548"/>
      <c r="BC35" s="1548"/>
      <c r="BD35" s="1563">
        <v>369.1</v>
      </c>
      <c r="BE35" s="1626">
        <v>2996.6</v>
      </c>
      <c r="BF35" s="1626">
        <v>1019.8</v>
      </c>
      <c r="BG35" s="1546"/>
      <c r="BH35" s="1546"/>
      <c r="BI35" s="222">
        <f t="shared" si="5"/>
        <v>0</v>
      </c>
      <c r="BJ35" s="140">
        <f t="shared" si="6"/>
        <v>0</v>
      </c>
      <c r="BK35" s="132"/>
      <c r="BL35" s="140">
        <f t="shared" si="7"/>
        <v>0</v>
      </c>
      <c r="BM35" s="141"/>
      <c r="BN35" s="141"/>
      <c r="BO35" s="141"/>
      <c r="BP35" s="141"/>
      <c r="BQ35" s="141"/>
      <c r="BR35" s="141"/>
      <c r="BS35" s="141"/>
      <c r="BT35" s="141"/>
      <c r="BU35" s="141"/>
      <c r="BV35" s="141"/>
      <c r="BW35" s="141"/>
      <c r="BX35" s="141"/>
      <c r="BY35" s="141"/>
      <c r="BZ35" s="130">
        <f t="shared" si="8"/>
        <v>0</v>
      </c>
      <c r="CA35" s="132"/>
    </row>
    <row r="36" ht="14.25" customHeight="1">
      <c r="A36" s="132"/>
      <c r="B36" s="215">
        <v>46053</v>
      </c>
      <c r="C36" s="153">
        <f>34613.00-D36-E36</f>
      </c>
      <c r="D36" s="154">
        <v>2022.56</v>
      </c>
      <c r="E36" s="504">
        <v>9663</v>
      </c>
      <c r="F36" s="504">
        <v>1607.2</v>
      </c>
      <c r="G36" s="147">
        <f t="shared" si="0"/>
        <v>0</v>
      </c>
      <c r="H36" s="612"/>
      <c r="I36" s="612"/>
      <c r="J36" s="612"/>
      <c r="K36" s="612"/>
      <c r="L36" s="158">
        <v>987.88</v>
      </c>
      <c r="M36" s="157"/>
      <c r="N36" s="157"/>
      <c r="O36" s="612"/>
      <c r="P36" s="613"/>
      <c r="Q36" s="157"/>
      <c r="R36" s="157"/>
      <c r="S36" s="157"/>
      <c r="T36" s="158">
        <v>236.05</v>
      </c>
      <c r="U36" s="143"/>
      <c r="V36" s="614"/>
      <c r="W36" s="614"/>
      <c r="X36" s="615"/>
      <c r="Y36" s="616"/>
      <c r="Z36" s="103">
        <f t="shared" si="1"/>
        <v>0</v>
      </c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03">
        <f t="shared" si="2"/>
        <v>0</v>
      </c>
      <c r="AO36" s="154">
        <v>17440.63</v>
      </c>
      <c r="AP36" s="154">
        <v>1338.59</v>
      </c>
      <c r="AQ36" s="154">
        <v>4918.7</v>
      </c>
      <c r="AR36" s="105">
        <f t="shared" si="3"/>
        <v>0</v>
      </c>
      <c r="AS36" s="157"/>
      <c r="AT36" s="157"/>
      <c r="AU36" s="157"/>
      <c r="AV36" s="160"/>
      <c r="AW36" s="232">
        <f t="shared" si="4"/>
        <v>0</v>
      </c>
      <c r="AX36" s="1728">
        <v>4261.9</v>
      </c>
      <c r="AY36" s="1557"/>
      <c r="AZ36" s="1557"/>
      <c r="BA36" s="1548"/>
      <c r="BB36" s="1548"/>
      <c r="BC36" s="1548"/>
      <c r="BD36" s="1728">
        <v>683.7</v>
      </c>
      <c r="BE36" s="1660">
        <v>4744.3</v>
      </c>
      <c r="BF36" s="1660">
        <v>1607.2</v>
      </c>
      <c r="BG36" s="1557"/>
      <c r="BH36" s="1557"/>
      <c r="BI36" s="222">
        <f t="shared" si="5"/>
        <v>0</v>
      </c>
      <c r="BJ36" s="162">
        <f t="shared" si="6"/>
        <v>0</v>
      </c>
      <c r="BK36" s="132"/>
      <c r="BL36" s="162">
        <f t="shared" si="7"/>
        <v>0</v>
      </c>
      <c r="BM36" s="163"/>
      <c r="BN36" s="163"/>
      <c r="BO36" s="163"/>
      <c r="BP36" s="163"/>
      <c r="BQ36" s="163"/>
      <c r="BR36" s="163"/>
      <c r="BS36" s="163"/>
      <c r="BT36" s="163"/>
      <c r="BU36" s="163"/>
      <c r="BV36" s="141"/>
      <c r="BW36" s="163"/>
      <c r="BX36" s="163"/>
      <c r="BY36" s="163"/>
      <c r="BZ36" s="164">
        <f t="shared" si="8"/>
        <v>0</v>
      </c>
      <c r="CA36" s="132"/>
    </row>
    <row r="37" ht="14.25" customHeight="1">
      <c r="A37" s="3"/>
      <c r="B37" s="2" t="s">
        <v>4</v>
      </c>
      <c r="C37" s="166">
        <f ref="C37:H37" t="shared" si="9">SUM(C6:C36)</f>
        <v>0</v>
      </c>
      <c r="D37" s="166">
        <f t="shared" si="9"/>
        <v>0</v>
      </c>
      <c r="E37" s="166">
        <f t="shared" si="9"/>
        <v>0</v>
      </c>
      <c r="F37" s="166">
        <f t="shared" si="9"/>
        <v>0</v>
      </c>
      <c r="G37" s="166">
        <f t="shared" si="9"/>
        <v>0</v>
      </c>
      <c r="H37" s="166">
        <f t="shared" si="9"/>
        <v>0</v>
      </c>
      <c r="I37" s="166"/>
      <c r="J37" s="166">
        <f ref="J37:V37" t="shared" si="10">SUM(J6:J36)</f>
        <v>0</v>
      </c>
      <c r="K37" s="166">
        <f t="shared" si="10"/>
        <v>0</v>
      </c>
      <c r="L37" s="166">
        <f t="shared" si="10"/>
        <v>0</v>
      </c>
      <c r="M37" s="166">
        <f t="shared" si="10"/>
        <v>0</v>
      </c>
      <c r="N37" s="166">
        <f t="shared" si="10"/>
        <v>0</v>
      </c>
      <c r="O37" s="166">
        <f t="shared" si="10"/>
        <v>0</v>
      </c>
      <c r="P37" s="617">
        <f t="shared" si="10"/>
        <v>0</v>
      </c>
      <c r="Q37" s="166">
        <f t="shared" si="10"/>
        <v>0</v>
      </c>
      <c r="R37" s="166">
        <f t="shared" si="10"/>
        <v>0</v>
      </c>
      <c r="S37" s="166">
        <f t="shared" si="10"/>
        <v>0</v>
      </c>
      <c r="T37" s="166">
        <f t="shared" si="10"/>
        <v>0</v>
      </c>
      <c r="U37" s="166">
        <f t="shared" si="10"/>
        <v>0</v>
      </c>
      <c r="V37" s="166">
        <f t="shared" si="10"/>
        <v>0</v>
      </c>
      <c r="W37" s="166"/>
      <c r="X37" s="166">
        <f ref="X37:BJ37" t="shared" si="11">SUM(X6:X36)</f>
        <v>0</v>
      </c>
      <c r="Y37" s="166">
        <f t="shared" si="11"/>
        <v>0</v>
      </c>
      <c r="Z37" s="166">
        <f t="shared" si="11"/>
        <v>0</v>
      </c>
      <c r="AA37" s="166">
        <f t="shared" si="11"/>
        <v>0</v>
      </c>
      <c r="AB37" s="166">
        <f t="shared" si="11"/>
        <v>0</v>
      </c>
      <c r="AC37" s="166">
        <f t="shared" si="11"/>
        <v>0</v>
      </c>
      <c r="AD37" s="166">
        <f t="shared" si="11"/>
        <v>0</v>
      </c>
      <c r="AE37" s="166">
        <f t="shared" si="11"/>
        <v>0</v>
      </c>
      <c r="AF37" s="166">
        <f t="shared" si="11"/>
        <v>0</v>
      </c>
      <c r="AG37" s="166">
        <f t="shared" si="11"/>
        <v>0</v>
      </c>
      <c r="AH37" s="166">
        <f t="shared" si="11"/>
        <v>0</v>
      </c>
      <c r="AI37" s="166">
        <f t="shared" si="11"/>
        <v>0</v>
      </c>
      <c r="AJ37" s="166">
        <f t="shared" si="11"/>
        <v>0</v>
      </c>
      <c r="AK37" s="166">
        <f t="shared" si="11"/>
        <v>0</v>
      </c>
      <c r="AL37" s="166">
        <f t="shared" si="11"/>
        <v>0</v>
      </c>
      <c r="AM37" s="166">
        <f t="shared" si="11"/>
        <v>0</v>
      </c>
      <c r="AN37" s="166">
        <f t="shared" si="11"/>
        <v>0</v>
      </c>
      <c r="AO37" s="166">
        <f t="shared" si="11"/>
        <v>0</v>
      </c>
      <c r="AP37" s="166">
        <f t="shared" si="11"/>
        <v>0</v>
      </c>
      <c r="AQ37" s="166">
        <f t="shared" si="11"/>
        <v>0</v>
      </c>
      <c r="AR37" s="166">
        <f t="shared" si="11"/>
        <v>0</v>
      </c>
      <c r="AS37" s="166">
        <f t="shared" si="11"/>
        <v>0</v>
      </c>
      <c r="AT37" s="166">
        <f t="shared" si="11"/>
        <v>0</v>
      </c>
      <c r="AU37" s="166">
        <f t="shared" si="11"/>
        <v>0</v>
      </c>
      <c r="AV37" s="166">
        <f t="shared" si="11"/>
        <v>0</v>
      </c>
      <c r="AW37" s="166">
        <f t="shared" si="11"/>
        <v>0</v>
      </c>
      <c r="AX37" s="165">
        <f t="shared" si="11"/>
        <v>0</v>
      </c>
      <c r="AY37" s="165">
        <f t="shared" si="11"/>
        <v>0</v>
      </c>
      <c r="AZ37" s="165">
        <f t="shared" si="11"/>
        <v>0</v>
      </c>
      <c r="BA37" s="165">
        <f t="shared" si="11"/>
        <v>0</v>
      </c>
      <c r="BB37" s="165">
        <f t="shared" si="11"/>
        <v>0</v>
      </c>
      <c r="BC37" s="165">
        <f t="shared" si="11"/>
        <v>0</v>
      </c>
      <c r="BD37" s="165">
        <f t="shared" si="11"/>
        <v>0</v>
      </c>
      <c r="BE37" s="165">
        <f t="shared" si="11"/>
        <v>0</v>
      </c>
      <c r="BF37" s="165">
        <f t="shared" si="11"/>
        <v>0</v>
      </c>
      <c r="BG37" s="165">
        <f t="shared" si="11"/>
        <v>0</v>
      </c>
      <c r="BH37" s="165">
        <f t="shared" si="11"/>
        <v>0</v>
      </c>
      <c r="BI37" s="166">
        <f t="shared" si="11"/>
        <v>0</v>
      </c>
      <c r="BJ37" s="166">
        <f t="shared" si="11"/>
        <v>0</v>
      </c>
      <c r="BK37" s="132"/>
      <c r="BL37" s="166">
        <f ref="BL37:BZ37" t="shared" si="12">SUM(BL6:BL36)</f>
        <v>0</v>
      </c>
      <c r="BM37" s="166">
        <f t="shared" si="12"/>
        <v>0</v>
      </c>
      <c r="BN37" s="166">
        <f t="shared" si="12"/>
        <v>0</v>
      </c>
      <c r="BO37" s="166">
        <f t="shared" si="12"/>
        <v>0</v>
      </c>
      <c r="BP37" s="166">
        <f t="shared" si="12"/>
        <v>0</v>
      </c>
      <c r="BQ37" s="166">
        <f t="shared" si="12"/>
        <v>0</v>
      </c>
      <c r="BR37" s="166">
        <f t="shared" si="12"/>
        <v>0</v>
      </c>
      <c r="BS37" s="166">
        <f t="shared" si="12"/>
        <v>0</v>
      </c>
      <c r="BT37" s="166">
        <f t="shared" si="12"/>
        <v>0</v>
      </c>
      <c r="BU37" s="166">
        <f t="shared" si="12"/>
        <v>0</v>
      </c>
      <c r="BV37" s="166">
        <f t="shared" si="12"/>
        <v>0</v>
      </c>
      <c r="BW37" s="166">
        <f t="shared" si="12"/>
        <v>0</v>
      </c>
      <c r="BX37" s="166">
        <f t="shared" si="12"/>
        <v>0</v>
      </c>
      <c r="BY37" s="166">
        <f t="shared" si="12"/>
        <v>0</v>
      </c>
      <c r="BZ37" s="166">
        <f t="shared" si="12"/>
        <v>0</v>
      </c>
      <c r="CA37" s="132"/>
    </row>
    <row r="38" ht="14.25" customHeight="1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4"/>
      <c r="AX38" s="132"/>
      <c r="AY38" s="132"/>
      <c r="AZ38" s="132"/>
      <c r="BA38" s="3"/>
      <c r="BB38" s="3"/>
      <c r="BC38" s="3"/>
      <c r="BD38" s="132"/>
      <c r="BE38" s="132"/>
      <c r="BF38" s="132"/>
      <c r="BG38" s="132"/>
      <c r="BH38" s="132"/>
      <c r="BI38" s="4"/>
      <c r="BJ38" s="3"/>
      <c r="BK38" s="3"/>
      <c r="BL38" s="17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173"/>
      <c r="CA38" s="3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176"/>
      <c r="AO39" s="3"/>
      <c r="AP39" s="3"/>
      <c r="AQ39" s="3"/>
      <c r="AR39" s="4"/>
      <c r="AS39" s="3"/>
      <c r="AT39" s="3"/>
      <c r="AU39" s="3"/>
      <c r="AV39" s="3"/>
      <c r="AW39" s="4"/>
      <c r="AX39" s="132"/>
      <c r="AY39" s="132"/>
      <c r="AZ39" s="132"/>
      <c r="BA39" s="3"/>
      <c r="BB39" s="3"/>
      <c r="BC39" s="3"/>
      <c r="BD39" s="132"/>
      <c r="BE39" s="132"/>
      <c r="BF39" s="132"/>
      <c r="BG39" s="132"/>
      <c r="BH39" s="132"/>
      <c r="BI39" s="177"/>
      <c r="BJ39" s="3"/>
      <c r="BK39" s="3"/>
      <c r="BL39" s="178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6"/>
      <c r="BX39" s="176"/>
      <c r="BY39" s="176"/>
      <c r="BZ39" s="178"/>
      <c r="CA39" s="3"/>
    </row>
    <row r="40" ht="14.25" customHeight="1">
      <c r="A40" s="3"/>
      <c r="B40" s="618">
        <v>46054</v>
      </c>
      <c r="C40" s="94">
        <f>23431.26-D40-E40</f>
      </c>
      <c r="D40" s="95">
        <v>1435.8</v>
      </c>
      <c r="E40" s="246">
        <v>5370.6</v>
      </c>
      <c r="F40" s="246">
        <v>827.4</v>
      </c>
      <c r="G40" s="216">
        <f ref="G40:G68" t="shared" si="13">+C40+D40+E40+F40</f>
        <v>0</v>
      </c>
      <c r="H40" s="187"/>
      <c r="I40" s="187"/>
      <c r="J40" s="187"/>
      <c r="K40" s="187"/>
      <c r="L40" s="188">
        <v>30</v>
      </c>
      <c r="M40" s="186"/>
      <c r="N40" s="186"/>
      <c r="O40" s="187"/>
      <c r="P40" s="619"/>
      <c r="Q40" s="186"/>
      <c r="R40" s="186"/>
      <c r="S40" s="186"/>
      <c r="T40" s="186">
        <v>948.93</v>
      </c>
      <c r="U40" s="186"/>
      <c r="V40" s="186"/>
      <c r="W40" s="186"/>
      <c r="X40" s="186"/>
      <c r="Y40" s="186"/>
      <c r="Z40" s="189">
        <f ref="Z40:Z68" t="shared" si="14">SUM(H40:Y40)</f>
        <v>0</v>
      </c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03">
        <f ref="AN40:AN68" t="shared" si="15">SUM(AA40:AM40)</f>
        <v>0</v>
      </c>
      <c r="AO40" s="95">
        <v>11973.98</v>
      </c>
      <c r="AP40" s="95">
        <v>918.25</v>
      </c>
      <c r="AQ40" s="95">
        <v>2876.2</v>
      </c>
      <c r="AR40" s="191">
        <f ref="AR40:AR68" t="shared" si="16">SUM(AO40:AQ40)</f>
        <v>0</v>
      </c>
      <c r="AS40" s="186"/>
      <c r="AT40" s="186"/>
      <c r="AU40" s="186"/>
      <c r="AV40" s="193"/>
      <c r="AW40" s="620">
        <f ref="AW40:AW68" t="shared" si="17">+G40-Z40-AN40-AR40-AS40-AT40-AU40-AV40</f>
        <v>0</v>
      </c>
      <c r="AX40" s="1721">
        <v>3701.7</v>
      </c>
      <c r="AY40" s="1537"/>
      <c r="AZ40" s="1537"/>
      <c r="BA40" s="1539"/>
      <c r="BB40" s="1539"/>
      <c r="BC40" s="1539"/>
      <c r="BD40" s="1721">
        <v>487.5</v>
      </c>
      <c r="BE40" s="1721">
        <v>2494.4</v>
      </c>
      <c r="BF40" s="1721">
        <v>827.4</v>
      </c>
      <c r="BG40" s="1537"/>
      <c r="BH40" s="1708"/>
      <c r="BI40" s="222">
        <f ref="BI40:BI68" t="shared" si="18">SUM(AX40:BH40)-BG40</f>
        <v>0</v>
      </c>
      <c r="BJ40" s="114">
        <f ref="BJ40:BJ68" t="shared" si="19">+AW40-BI40</f>
        <v>0</v>
      </c>
      <c r="BK40" s="3"/>
      <c r="BL40" s="114">
        <f ref="BL40:BL68" t="shared" si="20">SUM(BM40:BY40)</f>
        <v>0</v>
      </c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41"/>
      <c r="BX40" s="115"/>
      <c r="BY40" s="115"/>
      <c r="BZ40" s="116">
        <f ref="BZ40:BZ68" t="shared" si="21">+BJ40-BL40</f>
        <v>0</v>
      </c>
      <c r="CA40" s="3"/>
    </row>
    <row r="41" ht="14.25" customHeight="1">
      <c r="A41" s="3"/>
      <c r="B41" s="618">
        <v>46055</v>
      </c>
      <c r="C41" s="118">
        <f>29607.46-D41-E41</f>
      </c>
      <c r="D41" s="119">
        <v>1574.58</v>
      </c>
      <c r="E41" s="119">
        <v>8123.95</v>
      </c>
      <c r="F41" s="226">
        <v>1161.3</v>
      </c>
      <c r="G41" s="147">
        <f t="shared" si="13"/>
        <v>0</v>
      </c>
      <c r="H41" s="144"/>
      <c r="I41" s="144"/>
      <c r="J41" s="199">
        <v>106.19</v>
      </c>
      <c r="K41" s="144"/>
      <c r="L41" s="143">
        <v>695.75</v>
      </c>
      <c r="M41" s="143"/>
      <c r="N41" s="145">
        <v>221.88</v>
      </c>
      <c r="O41" s="144"/>
      <c r="P41" s="611"/>
      <c r="Q41" s="143"/>
      <c r="R41" s="143"/>
      <c r="S41" s="143"/>
      <c r="T41" s="145">
        <v>38.89</v>
      </c>
      <c r="U41" s="145">
        <v>132.9</v>
      </c>
      <c r="V41" s="143"/>
      <c r="W41" s="143"/>
      <c r="X41" s="143"/>
      <c r="Y41" s="145">
        <v>260.48</v>
      </c>
      <c r="Z41" s="103">
        <f t="shared" si="14"/>
        <v>0</v>
      </c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03">
        <f t="shared" si="15"/>
        <v>0</v>
      </c>
      <c r="AO41" s="119">
        <v>13339.19</v>
      </c>
      <c r="AP41" s="119">
        <v>983.09</v>
      </c>
      <c r="AQ41" s="119">
        <v>3760.65</v>
      </c>
      <c r="AR41" s="105">
        <f t="shared" si="16"/>
        <v>0</v>
      </c>
      <c r="AS41" s="143"/>
      <c r="AT41" s="143"/>
      <c r="AU41" s="143"/>
      <c r="AV41" s="146"/>
      <c r="AW41" s="621">
        <f t="shared" si="17"/>
        <v>0</v>
      </c>
      <c r="AX41" s="1554">
        <v>5230.5</v>
      </c>
      <c r="AY41" s="1546"/>
      <c r="AZ41" s="1546"/>
      <c r="BA41" s="1548"/>
      <c r="BB41" s="1548"/>
      <c r="BC41" s="1548"/>
      <c r="BD41" s="1554">
        <v>474.5</v>
      </c>
      <c r="BE41" s="1554">
        <v>4363.2</v>
      </c>
      <c r="BF41" s="1554">
        <v>1161.3</v>
      </c>
      <c r="BG41" s="1546"/>
      <c r="BH41" s="1709"/>
      <c r="BI41" s="222">
        <f t="shared" si="18"/>
        <v>0</v>
      </c>
      <c r="BJ41" s="113">
        <f t="shared" si="19"/>
        <v>0</v>
      </c>
      <c r="BK41" s="3"/>
      <c r="BL41" s="113">
        <f t="shared" si="20"/>
        <v>0</v>
      </c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30">
        <f t="shared" si="21"/>
        <v>0</v>
      </c>
      <c r="CA41" s="3"/>
    </row>
    <row r="42" ht="14.25" customHeight="1">
      <c r="A42" s="132"/>
      <c r="B42" s="618">
        <v>46056</v>
      </c>
      <c r="C42" s="133">
        <f>28972.29-D42-E42</f>
      </c>
      <c r="D42" s="134">
        <v>1517.31</v>
      </c>
      <c r="E42" s="460">
        <v>7769.58</v>
      </c>
      <c r="F42" s="460">
        <v>1220.2</v>
      </c>
      <c r="G42" s="147">
        <f t="shared" si="13"/>
        <v>0</v>
      </c>
      <c r="H42" s="199">
        <v>180.04</v>
      </c>
      <c r="I42" s="144"/>
      <c r="J42" s="144"/>
      <c r="K42" s="144"/>
      <c r="L42" s="143">
        <v>555.61</v>
      </c>
      <c r="M42" s="143"/>
      <c r="N42" s="143">
        <v>372.96</v>
      </c>
      <c r="O42" s="144"/>
      <c r="P42" s="611"/>
      <c r="Q42" s="143"/>
      <c r="R42" s="143"/>
      <c r="S42" s="143"/>
      <c r="T42" s="145">
        <v>20</v>
      </c>
      <c r="U42" s="143"/>
      <c r="V42" s="143"/>
      <c r="W42" s="143"/>
      <c r="X42" s="143"/>
      <c r="Y42" s="143"/>
      <c r="Z42" s="103">
        <f t="shared" si="14"/>
        <v>0</v>
      </c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03">
        <f t="shared" si="15"/>
        <v>0</v>
      </c>
      <c r="AO42" s="134">
        <v>14210.2</v>
      </c>
      <c r="AP42" s="134">
        <v>618.71</v>
      </c>
      <c r="AQ42" s="134">
        <v>3681.38</v>
      </c>
      <c r="AR42" s="105">
        <f t="shared" si="16"/>
        <v>0</v>
      </c>
      <c r="AS42" s="143"/>
      <c r="AT42" s="143"/>
      <c r="AU42" s="143"/>
      <c r="AV42" s="146"/>
      <c r="AW42" s="621">
        <f t="shared" si="17"/>
        <v>0</v>
      </c>
      <c r="AX42" s="1554">
        <v>4389.7</v>
      </c>
      <c r="AY42" s="1546"/>
      <c r="AZ42" s="1546"/>
      <c r="BA42" s="1548"/>
      <c r="BB42" s="1548"/>
      <c r="BC42" s="1548"/>
      <c r="BD42" s="1554">
        <v>855.4</v>
      </c>
      <c r="BE42" s="1554">
        <v>4088.2</v>
      </c>
      <c r="BF42" s="1554">
        <v>1220.2</v>
      </c>
      <c r="BG42" s="1546"/>
      <c r="BH42" s="1709"/>
      <c r="BI42" s="222">
        <f t="shared" si="18"/>
        <v>0</v>
      </c>
      <c r="BJ42" s="140">
        <f t="shared" si="19"/>
        <v>0</v>
      </c>
      <c r="BK42" s="132"/>
      <c r="BL42" s="140">
        <f t="shared" si="20"/>
        <v>0</v>
      </c>
      <c r="BM42" s="141"/>
      <c r="BN42" s="141"/>
      <c r="BO42" s="141"/>
      <c r="BP42" s="141"/>
      <c r="BQ42" s="141"/>
      <c r="BR42" s="141"/>
      <c r="BS42" s="141"/>
      <c r="BT42" s="141"/>
      <c r="BU42" s="141"/>
      <c r="BV42" s="141"/>
      <c r="BW42" s="141"/>
      <c r="BX42" s="141"/>
      <c r="BY42" s="141"/>
      <c r="BZ42" s="130">
        <f t="shared" si="21"/>
        <v>0</v>
      </c>
      <c r="CA42" s="132"/>
    </row>
    <row r="43" ht="14.25" customHeight="1">
      <c r="A43" s="132"/>
      <c r="B43" s="618">
        <v>46057</v>
      </c>
      <c r="C43" s="133">
        <f>29394.98-D43-E43</f>
      </c>
      <c r="D43" s="134">
        <v>1427.71</v>
      </c>
      <c r="E43" s="460">
        <v>8987.29</v>
      </c>
      <c r="F43" s="460">
        <v>1579</v>
      </c>
      <c r="G43" s="147">
        <f t="shared" si="13"/>
        <v>0</v>
      </c>
      <c r="H43" s="144"/>
      <c r="I43" s="144"/>
      <c r="J43" s="199">
        <v>60.28</v>
      </c>
      <c r="K43" s="144"/>
      <c r="L43" s="143">
        <v>488.29</v>
      </c>
      <c r="M43" s="143"/>
      <c r="N43" s="143"/>
      <c r="O43" s="144"/>
      <c r="P43" s="611"/>
      <c r="Q43" s="143"/>
      <c r="R43" s="143"/>
      <c r="S43" s="143"/>
      <c r="T43" s="143">
        <v>479.07</v>
      </c>
      <c r="U43" s="143"/>
      <c r="V43" s="143"/>
      <c r="W43" s="143"/>
      <c r="X43" s="143"/>
      <c r="Y43" s="145">
        <v>255.54</v>
      </c>
      <c r="Z43" s="103">
        <f t="shared" si="14"/>
        <v>0</v>
      </c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43"/>
      <c r="AM43" s="143"/>
      <c r="AN43" s="103">
        <f t="shared" si="15"/>
        <v>0</v>
      </c>
      <c r="AO43" s="134">
        <v>13785.46</v>
      </c>
      <c r="AP43" s="134">
        <v>987.97</v>
      </c>
      <c r="AQ43" s="134">
        <v>4319.99</v>
      </c>
      <c r="AR43" s="105">
        <f t="shared" si="16"/>
        <v>0</v>
      </c>
      <c r="AS43" s="143"/>
      <c r="AT43" s="143"/>
      <c r="AU43" s="143"/>
      <c r="AV43" s="146"/>
      <c r="AW43" s="621">
        <f t="shared" si="17"/>
        <v>0</v>
      </c>
      <c r="AX43" s="1554">
        <v>3544.3</v>
      </c>
      <c r="AY43" s="1546"/>
      <c r="AZ43" s="1546"/>
      <c r="BA43" s="1548"/>
      <c r="BB43" s="1548"/>
      <c r="BC43" s="1548"/>
      <c r="BD43" s="1554">
        <v>336.4</v>
      </c>
      <c r="BE43" s="1554">
        <v>4667.3</v>
      </c>
      <c r="BF43" s="1554">
        <v>1579</v>
      </c>
      <c r="BG43" s="1546"/>
      <c r="BH43" s="1709"/>
      <c r="BI43" s="222">
        <f t="shared" si="18"/>
        <v>0</v>
      </c>
      <c r="BJ43" s="140">
        <f t="shared" si="19"/>
        <v>0</v>
      </c>
      <c r="BK43" s="132"/>
      <c r="BL43" s="140">
        <f t="shared" si="20"/>
        <v>0</v>
      </c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50"/>
      <c r="BY43" s="141">
        <v>470</v>
      </c>
      <c r="BZ43" s="130">
        <f t="shared" si="21"/>
        <v>0</v>
      </c>
      <c r="CA43" s="132"/>
    </row>
    <row r="44" ht="14.25" customHeight="1">
      <c r="A44" s="132"/>
      <c r="B44" s="618">
        <v>46058</v>
      </c>
      <c r="C44" s="133">
        <f>31221.23-D44-E44</f>
      </c>
      <c r="D44" s="134">
        <v>1598.34</v>
      </c>
      <c r="E44" s="460">
        <v>9173.83</v>
      </c>
      <c r="F44" s="460">
        <v>1365.3</v>
      </c>
      <c r="G44" s="147">
        <f t="shared" si="13"/>
        <v>0</v>
      </c>
      <c r="H44" s="144"/>
      <c r="I44" s="144"/>
      <c r="J44" s="144"/>
      <c r="K44" s="144"/>
      <c r="L44" s="143">
        <v>749.43</v>
      </c>
      <c r="M44" s="143"/>
      <c r="N44" s="143"/>
      <c r="O44" s="144"/>
      <c r="P44" s="611"/>
      <c r="Q44" s="143"/>
      <c r="R44" s="143"/>
      <c r="S44" s="143"/>
      <c r="T44" s="145">
        <v>145.43</v>
      </c>
      <c r="U44" s="143"/>
      <c r="V44" s="143"/>
      <c r="W44" s="143"/>
      <c r="X44" s="143"/>
      <c r="Y44" s="145">
        <v>66.45</v>
      </c>
      <c r="Z44" s="103">
        <f t="shared" si="14"/>
        <v>0</v>
      </c>
      <c r="AA44" s="143"/>
      <c r="AB44" s="143"/>
      <c r="AC44" s="145">
        <v>33.25</v>
      </c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03">
        <f t="shared" si="15"/>
        <v>0</v>
      </c>
      <c r="AO44" s="134">
        <v>14253.4</v>
      </c>
      <c r="AP44" s="134">
        <v>952.41</v>
      </c>
      <c r="AQ44" s="134">
        <v>4404.43</v>
      </c>
      <c r="AR44" s="105">
        <f t="shared" si="16"/>
        <v>0</v>
      </c>
      <c r="AS44" s="143"/>
      <c r="AT44" s="143"/>
      <c r="AU44" s="143"/>
      <c r="AV44" s="146"/>
      <c r="AW44" s="621">
        <f t="shared" si="17"/>
        <v>0</v>
      </c>
      <c r="AX44" s="1554">
        <v>5346.6</v>
      </c>
      <c r="AY44" s="1546"/>
      <c r="AZ44" s="1546"/>
      <c r="BA44" s="1548"/>
      <c r="BB44" s="1548"/>
      <c r="BC44" s="1548"/>
      <c r="BD44" s="1554">
        <v>499.8</v>
      </c>
      <c r="BE44" s="1554">
        <v>4769.4</v>
      </c>
      <c r="BF44" s="1554">
        <v>1365.3</v>
      </c>
      <c r="BG44" s="1546"/>
      <c r="BH44" s="1709"/>
      <c r="BI44" s="222">
        <f t="shared" si="18"/>
        <v>0</v>
      </c>
      <c r="BJ44" s="140">
        <f t="shared" si="19"/>
        <v>0</v>
      </c>
      <c r="BK44" s="132"/>
      <c r="BL44" s="140">
        <f t="shared" si="20"/>
        <v>0</v>
      </c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41"/>
      <c r="BY44" s="141"/>
      <c r="BZ44" s="130">
        <f t="shared" si="21"/>
        <v>0</v>
      </c>
      <c r="CA44" s="132"/>
    </row>
    <row r="45" ht="14.25" customHeight="1">
      <c r="A45" s="132"/>
      <c r="B45" s="618">
        <v>46059</v>
      </c>
      <c r="C45" s="133">
        <f>34010.57-D45-E45</f>
      </c>
      <c r="D45" s="134">
        <v>2429.97</v>
      </c>
      <c r="E45" s="460">
        <v>9379.35</v>
      </c>
      <c r="F45" s="460">
        <v>1365.9</v>
      </c>
      <c r="G45" s="147">
        <f t="shared" si="13"/>
        <v>0</v>
      </c>
      <c r="H45" s="144"/>
      <c r="I45" s="144"/>
      <c r="J45" s="144"/>
      <c r="K45" s="144"/>
      <c r="L45" s="143">
        <v>475.51</v>
      </c>
      <c r="M45" s="143"/>
      <c r="N45" s="143">
        <v>510.84</v>
      </c>
      <c r="O45" s="144"/>
      <c r="P45" s="611"/>
      <c r="Q45" s="143"/>
      <c r="R45" s="143"/>
      <c r="S45" s="143"/>
      <c r="T45" s="143">
        <v>158.94</v>
      </c>
      <c r="U45" s="145">
        <v>132.9</v>
      </c>
      <c r="V45" s="145">
        <v>94.71</v>
      </c>
      <c r="W45" s="143"/>
      <c r="X45" s="143"/>
      <c r="Y45" s="143"/>
      <c r="Z45" s="103">
        <f t="shared" si="14"/>
        <v>0</v>
      </c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5">
        <v>75.12</v>
      </c>
      <c r="AM45" s="143"/>
      <c r="AN45" s="103">
        <f t="shared" si="15"/>
        <v>0</v>
      </c>
      <c r="AO45" s="134">
        <v>15728.61</v>
      </c>
      <c r="AP45" s="134">
        <v>1641.36</v>
      </c>
      <c r="AQ45" s="134">
        <v>4390.95</v>
      </c>
      <c r="AR45" s="105">
        <f t="shared" si="16"/>
        <v>0</v>
      </c>
      <c r="AS45" s="143"/>
      <c r="AT45" s="143"/>
      <c r="AU45" s="143"/>
      <c r="AV45" s="149"/>
      <c r="AW45" s="621">
        <f t="shared" si="17"/>
        <v>0</v>
      </c>
      <c r="AX45" s="1554">
        <v>5118.7</v>
      </c>
      <c r="AY45" s="1546"/>
      <c r="AZ45" s="1546"/>
      <c r="BA45" s="1548"/>
      <c r="BB45" s="1548"/>
      <c r="BC45" s="1548"/>
      <c r="BD45" s="1554">
        <v>693.6</v>
      </c>
      <c r="BE45" s="1554">
        <v>4978.4</v>
      </c>
      <c r="BF45" s="1554">
        <v>1365.9</v>
      </c>
      <c r="BG45" s="1546"/>
      <c r="BH45" s="1709"/>
      <c r="BI45" s="222">
        <f t="shared" si="18"/>
        <v>0</v>
      </c>
      <c r="BJ45" s="140">
        <f t="shared" si="19"/>
        <v>0</v>
      </c>
      <c r="BK45" s="132"/>
      <c r="BL45" s="140">
        <f t="shared" si="20"/>
        <v>0</v>
      </c>
      <c r="BM45" s="141"/>
      <c r="BN45" s="141"/>
      <c r="BO45" s="141"/>
      <c r="BP45" s="141"/>
      <c r="BQ45" s="141"/>
      <c r="BR45" s="141"/>
      <c r="BS45" s="141"/>
      <c r="BT45" s="141"/>
      <c r="BU45" s="141"/>
      <c r="BV45" s="141"/>
      <c r="BW45" s="141"/>
      <c r="BX45" s="141"/>
      <c r="BY45" s="141"/>
      <c r="BZ45" s="130">
        <f t="shared" si="21"/>
        <v>0</v>
      </c>
      <c r="CA45" s="132"/>
    </row>
    <row r="46" ht="14.25" customHeight="1">
      <c r="A46" s="132"/>
      <c r="B46" s="618">
        <v>46060</v>
      </c>
      <c r="C46" s="133">
        <f>34154.46-D46-E46</f>
      </c>
      <c r="D46" s="134">
        <v>2126.46</v>
      </c>
      <c r="E46" s="460">
        <v>9149.44</v>
      </c>
      <c r="F46" s="460">
        <v>1322.7</v>
      </c>
      <c r="G46" s="147">
        <f t="shared" si="13"/>
        <v>0</v>
      </c>
      <c r="H46" s="144"/>
      <c r="I46" s="144"/>
      <c r="J46" s="144"/>
      <c r="K46" s="144"/>
      <c r="L46" s="143">
        <v>355.66</v>
      </c>
      <c r="M46" s="143"/>
      <c r="N46" s="143"/>
      <c r="O46" s="144"/>
      <c r="P46" s="611"/>
      <c r="Q46" s="143"/>
      <c r="R46" s="143"/>
      <c r="S46" s="143"/>
      <c r="T46" s="145">
        <v>136.7</v>
      </c>
      <c r="U46" s="143"/>
      <c r="V46" s="143"/>
      <c r="W46" s="143"/>
      <c r="X46" s="143"/>
      <c r="Y46" s="143"/>
      <c r="Z46" s="103">
        <f t="shared" si="14"/>
        <v>0</v>
      </c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03">
        <f t="shared" si="15"/>
        <v>0</v>
      </c>
      <c r="AO46" s="134">
        <v>17287.91</v>
      </c>
      <c r="AP46" s="134">
        <v>1309.31</v>
      </c>
      <c r="AQ46" s="134">
        <v>4468.44</v>
      </c>
      <c r="AR46" s="105">
        <f t="shared" si="16"/>
        <v>0</v>
      </c>
      <c r="AS46" s="143"/>
      <c r="AT46" s="143"/>
      <c r="AU46" s="143"/>
      <c r="AV46" s="146"/>
      <c r="AW46" s="621">
        <f t="shared" si="17"/>
        <v>0</v>
      </c>
      <c r="AX46" s="1554">
        <v>5210.4</v>
      </c>
      <c r="AY46" s="1546"/>
      <c r="AZ46" s="1546"/>
      <c r="BA46" s="1548"/>
      <c r="BB46" s="1548"/>
      <c r="BC46" s="1548"/>
      <c r="BD46" s="1554">
        <v>702</v>
      </c>
      <c r="BE46" s="1554">
        <v>4681</v>
      </c>
      <c r="BF46" s="1554">
        <v>1322.7</v>
      </c>
      <c r="BG46" s="1546"/>
      <c r="BH46" s="1709"/>
      <c r="BI46" s="222">
        <f t="shared" si="18"/>
        <v>0</v>
      </c>
      <c r="BJ46" s="140">
        <f t="shared" si="19"/>
        <v>0</v>
      </c>
      <c r="BK46" s="132"/>
      <c r="BL46" s="140">
        <f t="shared" si="20"/>
        <v>0</v>
      </c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41"/>
      <c r="BY46" s="141"/>
      <c r="BZ46" s="130">
        <f t="shared" si="21"/>
        <v>0</v>
      </c>
      <c r="CA46" s="132"/>
    </row>
    <row r="47" ht="14.25" customHeight="1">
      <c r="A47" s="132"/>
      <c r="B47" s="618">
        <v>46061</v>
      </c>
      <c r="C47" s="133">
        <f>22045.62-D47-E47</f>
      </c>
      <c r="D47" s="134">
        <v>1524.84</v>
      </c>
      <c r="E47" s="460">
        <v>5486.87</v>
      </c>
      <c r="F47" s="460">
        <v>912.1</v>
      </c>
      <c r="G47" s="147">
        <f t="shared" si="13"/>
        <v>0</v>
      </c>
      <c r="H47" s="144"/>
      <c r="I47" s="144"/>
      <c r="J47" s="144"/>
      <c r="K47" s="144"/>
      <c r="L47" s="145">
        <v>81.27</v>
      </c>
      <c r="M47" s="143"/>
      <c r="N47" s="143"/>
      <c r="O47" s="144"/>
      <c r="P47" s="611"/>
      <c r="Q47" s="143"/>
      <c r="R47" s="143"/>
      <c r="S47" s="143"/>
      <c r="T47" s="143"/>
      <c r="U47" s="143"/>
      <c r="V47" s="143"/>
      <c r="W47" s="143"/>
      <c r="X47" s="143"/>
      <c r="Y47" s="143"/>
      <c r="Z47" s="103">
        <f t="shared" si="14"/>
        <v>0</v>
      </c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03">
        <f t="shared" si="15"/>
        <v>0</v>
      </c>
      <c r="AO47" s="134">
        <v>11920.22</v>
      </c>
      <c r="AP47" s="134">
        <v>1037.38</v>
      </c>
      <c r="AQ47" s="134">
        <v>3026.37</v>
      </c>
      <c r="AR47" s="105">
        <f t="shared" si="16"/>
        <v>0</v>
      </c>
      <c r="AS47" s="143"/>
      <c r="AT47" s="143"/>
      <c r="AU47" s="143"/>
      <c r="AV47" s="146"/>
      <c r="AW47" s="621">
        <f t="shared" si="17"/>
        <v>0</v>
      </c>
      <c r="AX47" s="1554">
        <v>3032.4</v>
      </c>
      <c r="AY47" s="1546"/>
      <c r="AZ47" s="1546"/>
      <c r="BA47" s="1548"/>
      <c r="BB47" s="1548"/>
      <c r="BC47" s="1548"/>
      <c r="BD47" s="1554">
        <v>487.5</v>
      </c>
      <c r="BE47" s="1554">
        <v>2460.5</v>
      </c>
      <c r="BF47" s="1554">
        <v>912.1</v>
      </c>
      <c r="BG47" s="1546"/>
      <c r="BH47" s="1709"/>
      <c r="BI47" s="222">
        <f t="shared" si="18"/>
        <v>0</v>
      </c>
      <c r="BJ47" s="140">
        <f t="shared" si="19"/>
        <v>0</v>
      </c>
      <c r="BK47" s="132"/>
      <c r="BL47" s="140">
        <f t="shared" si="20"/>
        <v>0</v>
      </c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41"/>
      <c r="BY47" s="141"/>
      <c r="BZ47" s="130">
        <f t="shared" si="21"/>
        <v>0</v>
      </c>
      <c r="CA47" s="132"/>
    </row>
    <row r="48" ht="14.25" customHeight="1">
      <c r="A48" s="132"/>
      <c r="B48" s="618">
        <v>46062</v>
      </c>
      <c r="C48" s="133">
        <f>30778.16-D48-E48</f>
      </c>
      <c r="D48" s="134">
        <v>1860.5</v>
      </c>
      <c r="E48" s="460">
        <v>5145.83</v>
      </c>
      <c r="F48" s="460">
        <v>899.2</v>
      </c>
      <c r="G48" s="147">
        <f t="shared" si="13"/>
        <v>0</v>
      </c>
      <c r="H48" s="144"/>
      <c r="I48" s="144"/>
      <c r="J48" s="144"/>
      <c r="K48" s="144"/>
      <c r="L48" s="143">
        <v>418.41</v>
      </c>
      <c r="M48" s="143"/>
      <c r="N48" s="143"/>
      <c r="O48" s="144"/>
      <c r="P48" s="611"/>
      <c r="Q48" s="143"/>
      <c r="R48" s="143"/>
      <c r="S48" s="143"/>
      <c r="T48" s="143">
        <v>172.85</v>
      </c>
      <c r="U48" s="143"/>
      <c r="V48" s="143"/>
      <c r="W48" s="143"/>
      <c r="X48" s="143"/>
      <c r="Y48" s="145">
        <v>132.9</v>
      </c>
      <c r="Z48" s="103">
        <f t="shared" si="14"/>
        <v>0</v>
      </c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03">
        <f t="shared" si="15"/>
        <v>0</v>
      </c>
      <c r="AO48" s="134">
        <v>17676.93</v>
      </c>
      <c r="AP48" s="134">
        <v>1070.32</v>
      </c>
      <c r="AQ48" s="134">
        <v>3008.83</v>
      </c>
      <c r="AR48" s="105">
        <f t="shared" si="16"/>
        <v>0</v>
      </c>
      <c r="AS48" s="143"/>
      <c r="AT48" s="143"/>
      <c r="AU48" s="143"/>
      <c r="AV48" s="146"/>
      <c r="AW48" s="621">
        <f t="shared" si="17"/>
        <v>0</v>
      </c>
      <c r="AX48" s="1554">
        <v>5546.5</v>
      </c>
      <c r="AY48" s="1546"/>
      <c r="AZ48" s="1546"/>
      <c r="BA48" s="1548"/>
      <c r="BB48" s="1548"/>
      <c r="BC48" s="1548"/>
      <c r="BD48" s="1554">
        <v>614.1</v>
      </c>
      <c r="BE48" s="1554">
        <v>2137</v>
      </c>
      <c r="BF48" s="1554">
        <v>899.2</v>
      </c>
      <c r="BG48" s="1546"/>
      <c r="BH48" s="1709"/>
      <c r="BI48" s="222">
        <f t="shared" si="18"/>
        <v>0</v>
      </c>
      <c r="BJ48" s="140">
        <f t="shared" si="19"/>
        <v>0</v>
      </c>
      <c r="BK48" s="132"/>
      <c r="BL48" s="140">
        <f t="shared" si="20"/>
        <v>0</v>
      </c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41"/>
      <c r="BY48" s="141"/>
      <c r="BZ48" s="130">
        <f t="shared" si="21"/>
        <v>0</v>
      </c>
      <c r="CA48" s="132"/>
    </row>
    <row r="49" ht="14.25" customHeight="1">
      <c r="A49" s="132"/>
      <c r="B49" s="618">
        <v>46063</v>
      </c>
      <c r="C49" s="133">
        <f>33629.76-D49-E49</f>
      </c>
      <c r="D49" s="134">
        <v>1402.88</v>
      </c>
      <c r="E49" s="460">
        <v>8704.77</v>
      </c>
      <c r="F49" s="460">
        <v>1459.7</v>
      </c>
      <c r="G49" s="147">
        <f t="shared" si="13"/>
        <v>0</v>
      </c>
      <c r="H49" s="144"/>
      <c r="I49" s="144"/>
      <c r="J49" s="144"/>
      <c r="K49" s="144"/>
      <c r="L49" s="143">
        <v>561.15</v>
      </c>
      <c r="M49" s="143"/>
      <c r="N49" s="145">
        <v>294.96</v>
      </c>
      <c r="O49" s="144"/>
      <c r="P49" s="611"/>
      <c r="Q49" s="143"/>
      <c r="R49" s="143"/>
      <c r="S49" s="143"/>
      <c r="T49" s="145">
        <v>40</v>
      </c>
      <c r="U49" s="143"/>
      <c r="V49" s="143"/>
      <c r="W49" s="143"/>
      <c r="X49" s="143"/>
      <c r="Y49" s="145">
        <v>398.7</v>
      </c>
      <c r="Z49" s="103">
        <f t="shared" si="14"/>
        <v>0</v>
      </c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03">
        <f t="shared" si="15"/>
        <v>0</v>
      </c>
      <c r="AO49" s="134">
        <v>17503.79</v>
      </c>
      <c r="AP49" s="134">
        <v>865.01</v>
      </c>
      <c r="AQ49" s="134">
        <v>4371.77</v>
      </c>
      <c r="AR49" s="105">
        <f t="shared" si="16"/>
        <v>0</v>
      </c>
      <c r="AS49" s="143"/>
      <c r="AT49" s="143"/>
      <c r="AU49" s="143"/>
      <c r="AV49" s="146"/>
      <c r="AW49" s="621">
        <f t="shared" si="17"/>
        <v>0</v>
      </c>
      <c r="AX49" s="1554">
        <v>4772.7</v>
      </c>
      <c r="AY49" s="1546"/>
      <c r="AZ49" s="1546"/>
      <c r="BA49" s="1548"/>
      <c r="BB49" s="1548"/>
      <c r="BC49" s="1548"/>
      <c r="BD49" s="1554">
        <v>487.9</v>
      </c>
      <c r="BE49" s="1554">
        <v>4333</v>
      </c>
      <c r="BF49" s="1554">
        <v>1459.7</v>
      </c>
      <c r="BG49" s="1546"/>
      <c r="BH49" s="1709"/>
      <c r="BI49" s="222">
        <f t="shared" si="18"/>
        <v>0</v>
      </c>
      <c r="BJ49" s="140">
        <f t="shared" si="19"/>
        <v>0</v>
      </c>
      <c r="BK49" s="132"/>
      <c r="BL49" s="140">
        <f t="shared" si="20"/>
        <v>0</v>
      </c>
      <c r="BM49" s="141"/>
      <c r="BN49" s="141"/>
      <c r="BO49" s="141"/>
      <c r="BP49" s="141"/>
      <c r="BQ49" s="141"/>
      <c r="BR49" s="141"/>
      <c r="BS49" s="141"/>
      <c r="BT49" s="141"/>
      <c r="BU49" s="141"/>
      <c r="BV49" s="141"/>
      <c r="BW49" s="141"/>
      <c r="BX49" s="141"/>
      <c r="BY49" s="141"/>
      <c r="BZ49" s="130">
        <f t="shared" si="21"/>
        <v>0</v>
      </c>
      <c r="CA49" s="132"/>
    </row>
    <row r="50" ht="14.25" customHeight="1">
      <c r="A50" s="132"/>
      <c r="B50" s="618">
        <v>46064</v>
      </c>
      <c r="C50" s="133">
        <f>36019.93-D50-E50</f>
      </c>
      <c r="D50" s="134">
        <v>1683.31</v>
      </c>
      <c r="E50" s="460">
        <v>9300.98</v>
      </c>
      <c r="F50" s="460">
        <v>1189.6</v>
      </c>
      <c r="G50" s="147">
        <f t="shared" si="13"/>
        <v>0</v>
      </c>
      <c r="H50" s="144"/>
      <c r="I50" s="144"/>
      <c r="J50" s="144"/>
      <c r="K50" s="144"/>
      <c r="L50" s="143">
        <v>1216.65</v>
      </c>
      <c r="M50" s="143"/>
      <c r="N50" s="145">
        <v>215.88</v>
      </c>
      <c r="O50" s="199">
        <v>132.9</v>
      </c>
      <c r="P50" s="611"/>
      <c r="Q50" s="143"/>
      <c r="R50" s="143"/>
      <c r="S50" s="143"/>
      <c r="T50" s="143">
        <v>206.26</v>
      </c>
      <c r="U50" s="143"/>
      <c r="V50" s="143"/>
      <c r="W50" s="143"/>
      <c r="X50" s="143"/>
      <c r="Y50" s="143"/>
      <c r="Z50" s="103">
        <f t="shared" si="14"/>
        <v>0</v>
      </c>
      <c r="AA50" s="143"/>
      <c r="AB50" s="143"/>
      <c r="AC50" s="145">
        <v>66.51</v>
      </c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03">
        <f t="shared" si="15"/>
        <v>0</v>
      </c>
      <c r="AO50" s="134">
        <v>18104.34</v>
      </c>
      <c r="AP50" s="134">
        <v>1187.79</v>
      </c>
      <c r="AQ50" s="134">
        <v>4675.88</v>
      </c>
      <c r="AR50" s="105">
        <f t="shared" si="16"/>
        <v>0</v>
      </c>
      <c r="AS50" s="143"/>
      <c r="AT50" s="143"/>
      <c r="AU50" s="143"/>
      <c r="AV50" s="146"/>
      <c r="AW50" s="621">
        <f t="shared" si="17"/>
        <v>0</v>
      </c>
      <c r="AX50" s="1554">
        <v>5159.6</v>
      </c>
      <c r="AY50" s="1546"/>
      <c r="AZ50" s="1546"/>
      <c r="BA50" s="1548"/>
      <c r="BB50" s="1548"/>
      <c r="BC50" s="1548"/>
      <c r="BD50" s="1554">
        <v>429</v>
      </c>
      <c r="BE50" s="1554">
        <v>4625.1</v>
      </c>
      <c r="BF50" s="1554">
        <v>1189.6</v>
      </c>
      <c r="BG50" s="1546"/>
      <c r="BH50" s="1709"/>
      <c r="BI50" s="222">
        <f t="shared" si="18"/>
        <v>0</v>
      </c>
      <c r="BJ50" s="140">
        <f t="shared" si="19"/>
        <v>0</v>
      </c>
      <c r="BK50" s="132"/>
      <c r="BL50" s="140">
        <f t="shared" si="20"/>
        <v>0</v>
      </c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41"/>
      <c r="BY50" s="141"/>
      <c r="BZ50" s="130">
        <f t="shared" si="21"/>
        <v>0</v>
      </c>
      <c r="CA50" s="132"/>
    </row>
    <row r="51" ht="14.25" customHeight="1">
      <c r="A51" s="132"/>
      <c r="B51" s="618">
        <v>46065</v>
      </c>
      <c r="C51" s="133">
        <f>36496.49-D51-E51</f>
      </c>
      <c r="D51" s="134">
        <v>1953.72</v>
      </c>
      <c r="E51" s="460">
        <v>9586.53</v>
      </c>
      <c r="F51" s="460">
        <v>1457.1</v>
      </c>
      <c r="G51" s="147">
        <f t="shared" si="13"/>
        <v>0</v>
      </c>
      <c r="H51" s="144"/>
      <c r="I51" s="144"/>
      <c r="J51" s="144"/>
      <c r="K51" s="144"/>
      <c r="L51" s="145">
        <v>48.74</v>
      </c>
      <c r="M51" s="143"/>
      <c r="N51" s="143"/>
      <c r="O51" s="144"/>
      <c r="P51" s="611"/>
      <c r="Q51" s="143"/>
      <c r="R51" s="143"/>
      <c r="S51" s="143"/>
      <c r="T51" s="143">
        <v>35.16</v>
      </c>
      <c r="U51" s="143"/>
      <c r="V51" s="145">
        <v>102.27</v>
      </c>
      <c r="W51" s="143"/>
      <c r="X51" s="143"/>
      <c r="Y51" s="143"/>
      <c r="Z51" s="103">
        <f t="shared" si="14"/>
        <v>0</v>
      </c>
      <c r="AA51" s="143"/>
      <c r="AB51" s="143"/>
      <c r="AC51" s="145">
        <v>33.25</v>
      </c>
      <c r="AD51" s="143"/>
      <c r="AE51" s="143"/>
      <c r="AF51" s="143"/>
      <c r="AG51" s="143"/>
      <c r="AH51" s="143"/>
      <c r="AI51" s="143"/>
      <c r="AJ51" s="143"/>
      <c r="AK51" s="143"/>
      <c r="AL51" s="145">
        <v>75.03</v>
      </c>
      <c r="AM51" s="143"/>
      <c r="AN51" s="103">
        <f t="shared" si="15"/>
        <v>0</v>
      </c>
      <c r="AO51" s="134">
        <v>19666.8</v>
      </c>
      <c r="AP51" s="134">
        <v>913.24</v>
      </c>
      <c r="AQ51" s="134">
        <v>4596.33</v>
      </c>
      <c r="AR51" s="105">
        <f t="shared" si="16"/>
        <v>0</v>
      </c>
      <c r="AS51" s="143"/>
      <c r="AT51" s="143"/>
      <c r="AU51" s="143"/>
      <c r="AV51" s="146"/>
      <c r="AW51" s="621">
        <f t="shared" si="17"/>
        <v>0</v>
      </c>
      <c r="AX51" s="1554">
        <v>5179</v>
      </c>
      <c r="AY51" s="1546"/>
      <c r="AZ51" s="1546"/>
      <c r="BA51" s="1548"/>
      <c r="BB51" s="1548"/>
      <c r="BC51" s="1548"/>
      <c r="BD51" s="1554">
        <v>856.2</v>
      </c>
      <c r="BE51" s="1554">
        <v>4990.2</v>
      </c>
      <c r="BF51" s="1554">
        <v>1457.1</v>
      </c>
      <c r="BG51" s="1546"/>
      <c r="BH51" s="1709"/>
      <c r="BI51" s="222">
        <f t="shared" si="18"/>
        <v>0</v>
      </c>
      <c r="BJ51" s="140">
        <f t="shared" si="19"/>
        <v>0</v>
      </c>
      <c r="BK51" s="132"/>
      <c r="BL51" s="140">
        <f t="shared" si="20"/>
        <v>0</v>
      </c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41"/>
      <c r="BX51" s="141"/>
      <c r="BY51" s="141"/>
      <c r="BZ51" s="130">
        <f t="shared" si="21"/>
        <v>0</v>
      </c>
      <c r="CA51" s="132"/>
    </row>
    <row r="52" ht="14.25" customHeight="1">
      <c r="A52" s="132"/>
      <c r="B52" s="618">
        <v>46066</v>
      </c>
      <c r="C52" s="133">
        <f>37218.56-D52-E52</f>
      </c>
      <c r="D52" s="134">
        <v>1977.47</v>
      </c>
      <c r="E52" s="460">
        <v>10192.31</v>
      </c>
      <c r="F52" s="460">
        <v>1435.4</v>
      </c>
      <c r="G52" s="147">
        <f t="shared" si="13"/>
        <v>0</v>
      </c>
      <c r="H52" s="144"/>
      <c r="I52" s="144"/>
      <c r="J52" s="199">
        <v>71.15</v>
      </c>
      <c r="K52" s="144"/>
      <c r="L52" s="143">
        <v>241.22</v>
      </c>
      <c r="M52" s="143"/>
      <c r="N52" s="145">
        <v>153.48</v>
      </c>
      <c r="O52" s="144"/>
      <c r="P52" s="611"/>
      <c r="Q52" s="143"/>
      <c r="R52" s="143"/>
      <c r="S52" s="143"/>
      <c r="T52" s="143">
        <v>512.43</v>
      </c>
      <c r="U52" s="145">
        <v>138.9</v>
      </c>
      <c r="V52" s="143"/>
      <c r="W52" s="143"/>
      <c r="X52" s="143"/>
      <c r="Y52" s="145">
        <v>127.04</v>
      </c>
      <c r="Z52" s="103">
        <f t="shared" si="14"/>
        <v>0</v>
      </c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03">
        <f t="shared" si="15"/>
        <v>0</v>
      </c>
      <c r="AO52" s="134">
        <v>18825.81</v>
      </c>
      <c r="AP52" s="134">
        <v>1477.51</v>
      </c>
      <c r="AQ52" s="134">
        <v>4739.11</v>
      </c>
      <c r="AR52" s="105">
        <f t="shared" si="16"/>
        <v>0</v>
      </c>
      <c r="AS52" s="143"/>
      <c r="AT52" s="143"/>
      <c r="AU52" s="143"/>
      <c r="AV52" s="146"/>
      <c r="AW52" s="621">
        <f t="shared" si="17"/>
        <v>0</v>
      </c>
      <c r="AX52" s="1554">
        <v>5011.6</v>
      </c>
      <c r="AY52" s="1546"/>
      <c r="AZ52" s="1546"/>
      <c r="BA52" s="1548"/>
      <c r="BB52" s="1548"/>
      <c r="BC52" s="1548"/>
      <c r="BD52" s="1554">
        <v>466.6</v>
      </c>
      <c r="BE52" s="1554">
        <v>5453.3</v>
      </c>
      <c r="BF52" s="1554">
        <v>1435.4</v>
      </c>
      <c r="BG52" s="1546"/>
      <c r="BH52" s="1709"/>
      <c r="BI52" s="222">
        <f t="shared" si="18"/>
        <v>0</v>
      </c>
      <c r="BJ52" s="140">
        <f t="shared" si="19"/>
        <v>0</v>
      </c>
      <c r="BK52" s="132"/>
      <c r="BL52" s="140">
        <f t="shared" si="20"/>
        <v>0</v>
      </c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41"/>
      <c r="BY52" s="141"/>
      <c r="BZ52" s="130">
        <f t="shared" si="21"/>
        <v>0</v>
      </c>
      <c r="CA52" s="132"/>
    </row>
    <row r="53" ht="13.5" customHeight="1">
      <c r="A53" s="132"/>
      <c r="B53" s="618">
        <v>46067</v>
      </c>
      <c r="C53" s="133">
        <f>29304.46-D53-E53</f>
      </c>
      <c r="D53" s="134">
        <v>1577.12</v>
      </c>
      <c r="E53" s="460">
        <v>9568.3</v>
      </c>
      <c r="F53" s="460">
        <v>1580.1</v>
      </c>
      <c r="G53" s="147">
        <f t="shared" si="13"/>
        <v>0</v>
      </c>
      <c r="H53" s="144"/>
      <c r="I53" s="144"/>
      <c r="J53" s="144"/>
      <c r="K53" s="144"/>
      <c r="L53" s="145">
        <v>448.15</v>
      </c>
      <c r="M53" s="143"/>
      <c r="N53" s="143"/>
      <c r="O53" s="144"/>
      <c r="P53" s="611"/>
      <c r="Q53" s="143"/>
      <c r="R53" s="143"/>
      <c r="S53" s="143"/>
      <c r="T53" s="143"/>
      <c r="U53" s="143"/>
      <c r="V53" s="143"/>
      <c r="W53" s="143"/>
      <c r="X53" s="143"/>
      <c r="Y53" s="143"/>
      <c r="Z53" s="103">
        <f t="shared" si="14"/>
        <v>0</v>
      </c>
      <c r="AA53" s="140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03">
        <f t="shared" si="15"/>
        <v>0</v>
      </c>
      <c r="AO53" s="134">
        <v>13899.31</v>
      </c>
      <c r="AP53" s="134">
        <v>1002.3</v>
      </c>
      <c r="AQ53" s="134">
        <v>5020.6</v>
      </c>
      <c r="AR53" s="105">
        <f t="shared" si="16"/>
        <v>0</v>
      </c>
      <c r="AS53" s="143"/>
      <c r="AT53" s="143"/>
      <c r="AU53" s="143"/>
      <c r="AV53" s="146"/>
      <c r="AW53" s="621">
        <f t="shared" si="17"/>
        <v>0</v>
      </c>
      <c r="AX53" s="1554">
        <v>3811.6</v>
      </c>
      <c r="AY53" s="1546"/>
      <c r="AZ53" s="1546"/>
      <c r="BA53" s="1548"/>
      <c r="BB53" s="1548"/>
      <c r="BC53" s="1548"/>
      <c r="BD53" s="1554">
        <v>574.5</v>
      </c>
      <c r="BE53" s="1554">
        <v>4547.7</v>
      </c>
      <c r="BF53" s="1554">
        <v>1580.1</v>
      </c>
      <c r="BG53" s="1546"/>
      <c r="BH53" s="1709"/>
      <c r="BI53" s="222">
        <f t="shared" si="18"/>
        <v>0</v>
      </c>
      <c r="BJ53" s="140">
        <f t="shared" si="19"/>
        <v>0</v>
      </c>
      <c r="BK53" s="132"/>
      <c r="BL53" s="140">
        <f t="shared" si="20"/>
        <v>0</v>
      </c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41"/>
      <c r="BY53" s="141"/>
      <c r="BZ53" s="130">
        <f t="shared" si="21"/>
        <v>0</v>
      </c>
      <c r="CA53" s="132"/>
    </row>
    <row r="54" ht="14.25" customHeight="1">
      <c r="A54" s="132"/>
      <c r="B54" s="618">
        <v>46068</v>
      </c>
      <c r="C54" s="133">
        <f>19645.52-D54-E54</f>
      </c>
      <c r="D54" s="134">
        <v>1540.03</v>
      </c>
      <c r="E54" s="460">
        <v>6931.7</v>
      </c>
      <c r="F54" s="460">
        <v>1347.8</v>
      </c>
      <c r="G54" s="147">
        <f t="shared" si="13"/>
        <v>0</v>
      </c>
      <c r="H54" s="144"/>
      <c r="I54" s="144"/>
      <c r="J54" s="144"/>
      <c r="K54" s="144"/>
      <c r="L54" s="145">
        <v>200.01</v>
      </c>
      <c r="M54" s="143"/>
      <c r="N54" s="143"/>
      <c r="O54" s="144"/>
      <c r="P54" s="611"/>
      <c r="Q54" s="143"/>
      <c r="R54" s="143"/>
      <c r="S54" s="143"/>
      <c r="T54" s="143"/>
      <c r="U54" s="143"/>
      <c r="V54" s="143"/>
      <c r="W54" s="143"/>
      <c r="X54" s="143"/>
      <c r="Y54" s="143"/>
      <c r="Z54" s="103">
        <f t="shared" si="14"/>
        <v>0</v>
      </c>
      <c r="AA54" s="140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03">
        <f t="shared" si="15"/>
        <v>0</v>
      </c>
      <c r="AO54" s="134">
        <v>8408.69</v>
      </c>
      <c r="AP54" s="134">
        <v>1081.49</v>
      </c>
      <c r="AQ54" s="134">
        <v>3637.5</v>
      </c>
      <c r="AR54" s="105">
        <f t="shared" si="16"/>
        <v>0</v>
      </c>
      <c r="AS54" s="143"/>
      <c r="AT54" s="143"/>
      <c r="AU54" s="143"/>
      <c r="AV54" s="146"/>
      <c r="AW54" s="621">
        <f t="shared" si="17"/>
        <v>0</v>
      </c>
      <c r="AX54" s="1554">
        <v>2564.4</v>
      </c>
      <c r="AY54" s="1546"/>
      <c r="AZ54" s="1546"/>
      <c r="BA54" s="1548"/>
      <c r="BB54" s="1548"/>
      <c r="BC54" s="1548"/>
      <c r="BD54" s="1554">
        <v>458.5</v>
      </c>
      <c r="BE54" s="1554">
        <v>3294.2</v>
      </c>
      <c r="BF54" s="1554">
        <v>1347.8</v>
      </c>
      <c r="BG54" s="1546"/>
      <c r="BH54" s="1709"/>
      <c r="BI54" s="222">
        <f t="shared" si="18"/>
        <v>0</v>
      </c>
      <c r="BJ54" s="140">
        <f t="shared" si="19"/>
        <v>0</v>
      </c>
      <c r="BK54" s="132"/>
      <c r="BL54" s="140">
        <f t="shared" si="20"/>
        <v>0</v>
      </c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41"/>
      <c r="BY54" s="141"/>
      <c r="BZ54" s="130">
        <f t="shared" si="21"/>
        <v>0</v>
      </c>
      <c r="CA54" s="132"/>
    </row>
    <row r="55" ht="14.25" customHeight="1">
      <c r="A55" s="132"/>
      <c r="B55" s="618">
        <v>46069</v>
      </c>
      <c r="C55" s="133">
        <f>25263.23-D55-E55</f>
      </c>
      <c r="D55" s="134">
        <v>1350.41</v>
      </c>
      <c r="E55" s="460">
        <v>3584.84</v>
      </c>
      <c r="F55" s="460">
        <v>639.9</v>
      </c>
      <c r="G55" s="147">
        <f t="shared" si="13"/>
        <v>0</v>
      </c>
      <c r="H55" s="144"/>
      <c r="I55" s="144"/>
      <c r="J55" s="144"/>
      <c r="K55" s="144"/>
      <c r="L55" s="143">
        <v>372.65</v>
      </c>
      <c r="M55" s="143"/>
      <c r="N55" s="145">
        <v>215.88</v>
      </c>
      <c r="O55" s="144"/>
      <c r="P55" s="611"/>
      <c r="Q55" s="143"/>
      <c r="R55" s="143"/>
      <c r="S55" s="143"/>
      <c r="T55" s="143">
        <v>183.41</v>
      </c>
      <c r="U55" s="143"/>
      <c r="V55" s="143"/>
      <c r="W55" s="143"/>
      <c r="X55" s="143"/>
      <c r="Y55" s="143"/>
      <c r="Z55" s="103">
        <f t="shared" si="14"/>
        <v>0</v>
      </c>
      <c r="AA55" s="140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43"/>
      <c r="AM55" s="143"/>
      <c r="AN55" s="103">
        <f t="shared" si="15"/>
        <v>0</v>
      </c>
      <c r="AO55" s="134">
        <v>15442.6</v>
      </c>
      <c r="AP55" s="134">
        <v>884.41</v>
      </c>
      <c r="AQ55" s="134">
        <v>1689.34</v>
      </c>
      <c r="AR55" s="105">
        <f t="shared" si="16"/>
        <v>0</v>
      </c>
      <c r="AS55" s="143"/>
      <c r="AT55" s="143"/>
      <c r="AU55" s="143"/>
      <c r="AV55" s="146"/>
      <c r="AW55" s="621">
        <f t="shared" si="17"/>
        <v>0</v>
      </c>
      <c r="AX55" s="1554">
        <v>3967.4</v>
      </c>
      <c r="AY55" s="1546"/>
      <c r="AZ55" s="1546"/>
      <c r="BA55" s="1548"/>
      <c r="BB55" s="1548"/>
      <c r="BC55" s="1548"/>
      <c r="BD55" s="1554">
        <v>466</v>
      </c>
      <c r="BE55" s="1554">
        <v>1895.5</v>
      </c>
      <c r="BF55" s="1554">
        <v>639.9</v>
      </c>
      <c r="BG55" s="1546"/>
      <c r="BH55" s="1709"/>
      <c r="BI55" s="222">
        <f t="shared" si="18"/>
        <v>0</v>
      </c>
      <c r="BJ55" s="140">
        <f t="shared" si="19"/>
        <v>0</v>
      </c>
      <c r="BK55" s="132"/>
      <c r="BL55" s="140">
        <f t="shared" si="20"/>
        <v>0</v>
      </c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50"/>
      <c r="BX55" s="141"/>
      <c r="BY55" s="141">
        <v>145</v>
      </c>
      <c r="BZ55" s="130">
        <f t="shared" si="21"/>
        <v>0</v>
      </c>
      <c r="CA55" s="132"/>
    </row>
    <row r="56" ht="14.25" customHeight="1">
      <c r="A56" s="132"/>
      <c r="B56" s="618">
        <v>46070</v>
      </c>
      <c r="C56" s="133">
        <f>32879.71-D56-E56</f>
      </c>
      <c r="D56" s="134">
        <v>1456.61</v>
      </c>
      <c r="E56" s="460">
        <v>7329.1</v>
      </c>
      <c r="F56" s="460">
        <v>1333.5</v>
      </c>
      <c r="G56" s="147">
        <f t="shared" si="13"/>
        <v>0</v>
      </c>
      <c r="H56" s="144"/>
      <c r="I56" s="144"/>
      <c r="J56" s="144"/>
      <c r="K56" s="144"/>
      <c r="L56" s="143">
        <v>656.09</v>
      </c>
      <c r="M56" s="145">
        <v>147.4</v>
      </c>
      <c r="N56" s="145">
        <v>155.88</v>
      </c>
      <c r="O56" s="144"/>
      <c r="P56" s="611"/>
      <c r="Q56" s="143"/>
      <c r="R56" s="143"/>
      <c r="S56" s="145"/>
      <c r="T56" s="143">
        <v>1465.82</v>
      </c>
      <c r="U56" s="143"/>
      <c r="V56" s="143"/>
      <c r="W56" s="143"/>
      <c r="X56" s="143"/>
      <c r="Y56" s="145">
        <v>159.9</v>
      </c>
      <c r="Z56" s="103">
        <f t="shared" si="14"/>
        <v>0</v>
      </c>
      <c r="AA56" s="140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03">
        <f t="shared" si="15"/>
        <v>0</v>
      </c>
      <c r="AO56" s="134">
        <v>16208.74</v>
      </c>
      <c r="AP56" s="134">
        <v>902.11</v>
      </c>
      <c r="AQ56" s="134">
        <v>3705.3</v>
      </c>
      <c r="AR56" s="105">
        <f t="shared" si="16"/>
        <v>0</v>
      </c>
      <c r="AS56" s="143"/>
      <c r="AT56" s="143"/>
      <c r="AU56" s="143"/>
      <c r="AV56" s="146"/>
      <c r="AW56" s="621">
        <f t="shared" si="17"/>
        <v>0</v>
      </c>
      <c r="AX56" s="1554">
        <v>5288.5</v>
      </c>
      <c r="AY56" s="1546"/>
      <c r="AZ56" s="1546"/>
      <c r="BA56" s="1548"/>
      <c r="BB56" s="1548"/>
      <c r="BC56" s="1548"/>
      <c r="BD56" s="1554">
        <v>410.5</v>
      </c>
      <c r="BE56" s="1554">
        <v>3623.8</v>
      </c>
      <c r="BF56" s="1554">
        <v>1333.5</v>
      </c>
      <c r="BG56" s="1546"/>
      <c r="BH56" s="1709"/>
      <c r="BI56" s="222">
        <f t="shared" si="18"/>
        <v>0</v>
      </c>
      <c r="BJ56" s="140">
        <f t="shared" si="19"/>
        <v>0</v>
      </c>
      <c r="BK56" s="132"/>
      <c r="BL56" s="140">
        <f t="shared" si="20"/>
        <v>0</v>
      </c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41"/>
      <c r="BY56" s="141"/>
      <c r="BZ56" s="130">
        <f t="shared" si="21"/>
        <v>0</v>
      </c>
      <c r="CA56" s="132"/>
    </row>
    <row r="57" ht="14.25" customHeight="1">
      <c r="A57" s="132"/>
      <c r="B57" s="618">
        <v>46071</v>
      </c>
      <c r="C57" s="133">
        <f>30005.33-D57-E57</f>
      </c>
      <c r="D57" s="134">
        <v>1472.23</v>
      </c>
      <c r="E57" s="460">
        <v>7478.81</v>
      </c>
      <c r="F57" s="460">
        <v>1135.6</v>
      </c>
      <c r="G57" s="147">
        <f t="shared" si="13"/>
        <v>0</v>
      </c>
      <c r="H57" s="144"/>
      <c r="I57" s="144"/>
      <c r="J57" s="144"/>
      <c r="K57" s="144"/>
      <c r="L57" s="143">
        <v>688.36</v>
      </c>
      <c r="M57" s="143"/>
      <c r="N57" s="145">
        <v>215.88</v>
      </c>
      <c r="O57" s="144"/>
      <c r="P57" s="611"/>
      <c r="Q57" s="143"/>
      <c r="R57" s="143"/>
      <c r="S57" s="145"/>
      <c r="T57" s="145">
        <v>49.16</v>
      </c>
      <c r="U57" s="143"/>
      <c r="V57" s="145">
        <v>81.11</v>
      </c>
      <c r="W57" s="143"/>
      <c r="X57" s="143"/>
      <c r="Y57" s="145">
        <v>79.95</v>
      </c>
      <c r="Z57" s="103">
        <f t="shared" si="14"/>
        <v>0</v>
      </c>
      <c r="AA57" s="140"/>
      <c r="AB57" s="143"/>
      <c r="AC57" s="145">
        <v>33.25</v>
      </c>
      <c r="AD57" s="143"/>
      <c r="AE57" s="143"/>
      <c r="AF57" s="143"/>
      <c r="AG57" s="143"/>
      <c r="AH57" s="143"/>
      <c r="AI57" s="143"/>
      <c r="AJ57" s="143"/>
      <c r="AK57" s="143"/>
      <c r="AL57" s="145">
        <v>191.13</v>
      </c>
      <c r="AM57" s="143"/>
      <c r="AN57" s="103">
        <f t="shared" si="15"/>
        <v>0</v>
      </c>
      <c r="AO57" s="134">
        <v>15102.89</v>
      </c>
      <c r="AP57" s="134">
        <v>731.9</v>
      </c>
      <c r="AQ57" s="134">
        <v>3790.21</v>
      </c>
      <c r="AR57" s="105">
        <f t="shared" si="16"/>
        <v>0</v>
      </c>
      <c r="AS57" s="143"/>
      <c r="AT57" s="143"/>
      <c r="AU57" s="143"/>
      <c r="AV57" s="146"/>
      <c r="AW57" s="621">
        <f t="shared" si="17"/>
        <v>0</v>
      </c>
      <c r="AX57" s="1554">
        <v>4777</v>
      </c>
      <c r="AY57" s="1546"/>
      <c r="AZ57" s="1546"/>
      <c r="BA57" s="1548"/>
      <c r="BB57" s="1548"/>
      <c r="BC57" s="1548"/>
      <c r="BD57" s="1554">
        <v>523.6</v>
      </c>
      <c r="BE57" s="1554">
        <v>3688.6</v>
      </c>
      <c r="BF57" s="1554">
        <v>1135.6</v>
      </c>
      <c r="BG57" s="1546"/>
      <c r="BH57" s="1709"/>
      <c r="BI57" s="222">
        <f t="shared" si="18"/>
        <v>0</v>
      </c>
      <c r="BJ57" s="140">
        <f t="shared" si="19"/>
        <v>0</v>
      </c>
      <c r="BK57" s="132"/>
      <c r="BL57" s="140">
        <f t="shared" si="20"/>
        <v>0</v>
      </c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41"/>
      <c r="BY57" s="141"/>
      <c r="BZ57" s="130">
        <f t="shared" si="21"/>
        <v>0</v>
      </c>
      <c r="CA57" s="132"/>
    </row>
    <row r="58" ht="14.25" customHeight="1">
      <c r="A58" s="132"/>
      <c r="B58" s="618">
        <v>46072</v>
      </c>
      <c r="C58" s="133">
        <f>30432.04-D58-E58</f>
      </c>
      <c r="D58" s="134">
        <v>1802.1</v>
      </c>
      <c r="E58" s="460">
        <v>8421.62</v>
      </c>
      <c r="F58" s="460">
        <v>1308.2</v>
      </c>
      <c r="G58" s="147">
        <f t="shared" si="13"/>
        <v>0</v>
      </c>
      <c r="H58" s="144"/>
      <c r="I58" s="144"/>
      <c r="J58" s="199">
        <v>224.17</v>
      </c>
      <c r="K58" s="144"/>
      <c r="L58" s="143">
        <v>376.87</v>
      </c>
      <c r="M58" s="143"/>
      <c r="N58" s="145">
        <v>159.48</v>
      </c>
      <c r="O58" s="144"/>
      <c r="P58" s="611"/>
      <c r="Q58" s="144"/>
      <c r="R58" s="143"/>
      <c r="S58" s="143"/>
      <c r="T58" s="143">
        <v>79.37</v>
      </c>
      <c r="U58" s="143"/>
      <c r="V58" s="143"/>
      <c r="W58" s="143"/>
      <c r="X58" s="143"/>
      <c r="Y58" s="145">
        <v>154.3</v>
      </c>
      <c r="Z58" s="103">
        <f t="shared" si="14"/>
        <v>0</v>
      </c>
      <c r="AA58" s="140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45">
        <v>80.01</v>
      </c>
      <c r="AM58" s="143"/>
      <c r="AN58" s="103">
        <f t="shared" si="15"/>
        <v>0</v>
      </c>
      <c r="AO58" s="134">
        <v>14314.07</v>
      </c>
      <c r="AP58" s="134">
        <v>1285.92</v>
      </c>
      <c r="AQ58" s="134">
        <v>4734.62</v>
      </c>
      <c r="AR58" s="105">
        <f t="shared" si="16"/>
        <v>0</v>
      </c>
      <c r="AS58" s="143"/>
      <c r="AT58" s="143"/>
      <c r="AU58" s="143"/>
      <c r="AV58" s="146"/>
      <c r="AW58" s="621">
        <f t="shared" si="17"/>
        <v>0</v>
      </c>
      <c r="AX58" s="1554">
        <v>4819.3</v>
      </c>
      <c r="AY58" s="1546"/>
      <c r="AZ58" s="1546"/>
      <c r="BA58" s="1548"/>
      <c r="BB58" s="1548"/>
      <c r="BC58" s="1548"/>
      <c r="BD58" s="1554">
        <v>516.1</v>
      </c>
      <c r="BE58" s="1632">
        <v>3687</v>
      </c>
      <c r="BF58" s="1632">
        <v>1308.2</v>
      </c>
      <c r="BG58" s="1546"/>
      <c r="BH58" s="1709"/>
      <c r="BI58" s="222">
        <f t="shared" si="18"/>
        <v>0</v>
      </c>
      <c r="BJ58" s="140">
        <f t="shared" si="19"/>
        <v>0</v>
      </c>
      <c r="BK58" s="132"/>
      <c r="BL58" s="140">
        <f t="shared" si="20"/>
        <v>0</v>
      </c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30">
        <f t="shared" si="21"/>
        <v>0</v>
      </c>
      <c r="CA58" s="132"/>
    </row>
    <row r="59" ht="14.25" customHeight="1">
      <c r="A59" s="132"/>
      <c r="B59" s="618">
        <v>46073</v>
      </c>
      <c r="C59" s="133">
        <f>32803.11-D59-E59</f>
      </c>
      <c r="D59" s="134">
        <v>2046.53</v>
      </c>
      <c r="E59" s="460">
        <v>8551.85</v>
      </c>
      <c r="F59" s="460">
        <v>1473.4</v>
      </c>
      <c r="G59" s="147">
        <f t="shared" si="13"/>
        <v>0</v>
      </c>
      <c r="H59" s="199">
        <v>170.02</v>
      </c>
      <c r="I59" s="144"/>
      <c r="J59" s="144"/>
      <c r="K59" s="144"/>
      <c r="L59" s="145">
        <v>348.29</v>
      </c>
      <c r="M59" s="143"/>
      <c r="N59" s="143"/>
      <c r="O59" s="144"/>
      <c r="P59" s="611"/>
      <c r="Q59" s="143"/>
      <c r="R59" s="143"/>
      <c r="S59" s="143"/>
      <c r="T59" s="143">
        <v>408.33</v>
      </c>
      <c r="U59" s="145">
        <v>159.9</v>
      </c>
      <c r="V59" s="145">
        <v>77.47</v>
      </c>
      <c r="W59" s="143"/>
      <c r="X59" s="143"/>
      <c r="Y59" s="145">
        <v>269.85</v>
      </c>
      <c r="Z59" s="103">
        <f t="shared" si="14"/>
        <v>0</v>
      </c>
      <c r="AA59" s="140"/>
      <c r="AB59" s="143"/>
      <c r="AC59" s="145">
        <v>33.25</v>
      </c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03">
        <f t="shared" si="15"/>
        <v>0</v>
      </c>
      <c r="AO59" s="134">
        <v>15866.63</v>
      </c>
      <c r="AP59" s="134">
        <v>1163.82</v>
      </c>
      <c r="AQ59" s="134">
        <v>4182.65</v>
      </c>
      <c r="AR59" s="105">
        <f t="shared" si="16"/>
        <v>0</v>
      </c>
      <c r="AS59" s="143"/>
      <c r="AT59" s="143"/>
      <c r="AU59" s="143"/>
      <c r="AV59" s="146"/>
      <c r="AW59" s="621">
        <f t="shared" si="17"/>
        <v>0</v>
      </c>
      <c r="AX59" s="1563">
        <v>4982.5</v>
      </c>
      <c r="AY59" s="1546"/>
      <c r="AZ59" s="1546"/>
      <c r="BA59" s="1548"/>
      <c r="BB59" s="1548"/>
      <c r="BC59" s="1548"/>
      <c r="BD59" s="1554">
        <v>771.6</v>
      </c>
      <c r="BE59" s="1632">
        <v>4369.2</v>
      </c>
      <c r="BF59" s="1632">
        <v>1473.4</v>
      </c>
      <c r="BG59" s="1546"/>
      <c r="BH59" s="1709"/>
      <c r="BI59" s="222">
        <f t="shared" si="18"/>
        <v>0</v>
      </c>
      <c r="BJ59" s="140">
        <f t="shared" si="19"/>
        <v>0</v>
      </c>
      <c r="BK59" s="132"/>
      <c r="BL59" s="140">
        <f t="shared" si="20"/>
        <v>0</v>
      </c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41"/>
      <c r="BY59" s="141"/>
      <c r="BZ59" s="130">
        <f t="shared" si="21"/>
        <v>0</v>
      </c>
      <c r="CA59" s="132"/>
    </row>
    <row r="60" ht="14.25" customHeight="1">
      <c r="A60" s="132"/>
      <c r="B60" s="618">
        <v>46074</v>
      </c>
      <c r="C60" s="133">
        <f>28697.69-D60-E60</f>
      </c>
      <c r="D60" s="134">
        <v>1738.03</v>
      </c>
      <c r="E60" s="460">
        <v>7412.96</v>
      </c>
      <c r="F60" s="460">
        <v>1281.8</v>
      </c>
      <c r="G60" s="147">
        <f t="shared" si="13"/>
        <v>0</v>
      </c>
      <c r="H60" s="144"/>
      <c r="I60" s="144"/>
      <c r="J60" s="199">
        <v>270.02</v>
      </c>
      <c r="K60" s="144"/>
      <c r="L60" s="145">
        <v>420.89</v>
      </c>
      <c r="M60" s="143"/>
      <c r="N60" s="143"/>
      <c r="O60" s="144"/>
      <c r="P60" s="611"/>
      <c r="Q60" s="143"/>
      <c r="R60" s="143"/>
      <c r="S60" s="143"/>
      <c r="T60" s="143"/>
      <c r="U60" s="143"/>
      <c r="V60" s="143"/>
      <c r="W60" s="143"/>
      <c r="X60" s="143"/>
      <c r="Y60" s="143"/>
      <c r="Z60" s="103">
        <f t="shared" si="14"/>
        <v>0</v>
      </c>
      <c r="AA60" s="140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03">
        <f t="shared" si="15"/>
        <v>0</v>
      </c>
      <c r="AO60" s="134">
        <v>14695.72</v>
      </c>
      <c r="AP60" s="134">
        <v>1109.72</v>
      </c>
      <c r="AQ60" s="134">
        <v>3859.66</v>
      </c>
      <c r="AR60" s="105">
        <f t="shared" si="16"/>
        <v>0</v>
      </c>
      <c r="AS60" s="143"/>
      <c r="AT60" s="143"/>
      <c r="AU60" s="143"/>
      <c r="AV60" s="146"/>
      <c r="AW60" s="621">
        <f t="shared" si="17"/>
        <v>0</v>
      </c>
      <c r="AX60" s="1563">
        <v>4216.3</v>
      </c>
      <c r="AY60" s="1626"/>
      <c r="AZ60" s="1546"/>
      <c r="BA60" s="1548"/>
      <c r="BB60" s="1548"/>
      <c r="BC60" s="1548"/>
      <c r="BD60" s="1554">
        <v>571.3</v>
      </c>
      <c r="BE60" s="1632">
        <v>3553.3</v>
      </c>
      <c r="BF60" s="1632">
        <v>1281.8</v>
      </c>
      <c r="BG60" s="1546"/>
      <c r="BH60" s="1709"/>
      <c r="BI60" s="222">
        <f t="shared" si="18"/>
        <v>0</v>
      </c>
      <c r="BJ60" s="140">
        <f t="shared" si="19"/>
        <v>0</v>
      </c>
      <c r="BK60" s="132"/>
      <c r="BL60" s="140">
        <f t="shared" si="20"/>
        <v>0</v>
      </c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41"/>
      <c r="BY60" s="141"/>
      <c r="BZ60" s="130">
        <f t="shared" si="21"/>
        <v>0</v>
      </c>
      <c r="CA60" s="132"/>
    </row>
    <row r="61" ht="14.25" customHeight="1">
      <c r="A61" s="132"/>
      <c r="B61" s="618">
        <v>46075</v>
      </c>
      <c r="C61" s="133">
        <f>27896.22-D61-E61</f>
      </c>
      <c r="D61" s="134">
        <v>1737.45</v>
      </c>
      <c r="E61" s="460">
        <v>6194.85</v>
      </c>
      <c r="F61" s="460">
        <v>968.2</v>
      </c>
      <c r="G61" s="147">
        <f t="shared" si="13"/>
        <v>0</v>
      </c>
      <c r="H61" s="144"/>
      <c r="I61" s="144"/>
      <c r="J61" s="144"/>
      <c r="K61" s="144"/>
      <c r="L61" s="145">
        <v>217.25</v>
      </c>
      <c r="M61" s="143"/>
      <c r="N61" s="143"/>
      <c r="O61" s="144"/>
      <c r="P61" s="611"/>
      <c r="Q61" s="143"/>
      <c r="R61" s="143"/>
      <c r="S61" s="143"/>
      <c r="T61" s="143"/>
      <c r="U61" s="143"/>
      <c r="V61" s="143"/>
      <c r="W61" s="143"/>
      <c r="X61" s="143"/>
      <c r="Y61" s="143"/>
      <c r="Z61" s="103">
        <f t="shared" si="14"/>
        <v>0</v>
      </c>
      <c r="AA61" s="140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03">
        <f t="shared" si="15"/>
        <v>0</v>
      </c>
      <c r="AO61" s="134">
        <v>15956.68</v>
      </c>
      <c r="AP61" s="134">
        <v>1165.61</v>
      </c>
      <c r="AQ61" s="134">
        <v>2969.35</v>
      </c>
      <c r="AR61" s="105">
        <f t="shared" si="16"/>
        <v>0</v>
      </c>
      <c r="AS61" s="143"/>
      <c r="AT61" s="143"/>
      <c r="AU61" s="143"/>
      <c r="AV61" s="146"/>
      <c r="AW61" s="621">
        <f t="shared" si="17"/>
        <v>0</v>
      </c>
      <c r="AX61" s="1563">
        <v>3789.8</v>
      </c>
      <c r="AY61" s="1546"/>
      <c r="AZ61" s="1546"/>
      <c r="BA61" s="1548"/>
      <c r="BB61" s="1548"/>
      <c r="BC61" s="1548"/>
      <c r="BD61" s="1554">
        <v>571.5</v>
      </c>
      <c r="BE61" s="1632">
        <v>3225.5</v>
      </c>
      <c r="BF61" s="1632">
        <v>968.2</v>
      </c>
      <c r="BG61" s="1546"/>
      <c r="BH61" s="1709"/>
      <c r="BI61" s="222">
        <f t="shared" si="18"/>
        <v>0</v>
      </c>
      <c r="BJ61" s="140">
        <f t="shared" si="19"/>
        <v>0</v>
      </c>
      <c r="BK61" s="132"/>
      <c r="BL61" s="140">
        <f t="shared" si="20"/>
        <v>0</v>
      </c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30">
        <f t="shared" si="21"/>
        <v>0</v>
      </c>
      <c r="CA61" s="132"/>
    </row>
    <row r="62" ht="14.25" customHeight="1">
      <c r="A62" s="132"/>
      <c r="B62" s="618">
        <v>46076</v>
      </c>
      <c r="C62" s="133">
        <f>30613.23-D62-E62</f>
      </c>
      <c r="D62" s="134">
        <v>1694.27</v>
      </c>
      <c r="E62" s="460">
        <v>7845.06</v>
      </c>
      <c r="F62" s="460">
        <v>1162.4</v>
      </c>
      <c r="G62" s="147">
        <f t="shared" si="13"/>
        <v>0</v>
      </c>
      <c r="H62" s="144"/>
      <c r="I62" s="144"/>
      <c r="J62" s="144">
        <v>360.65</v>
      </c>
      <c r="K62" s="144"/>
      <c r="L62" s="143">
        <v>778.54</v>
      </c>
      <c r="M62" s="143"/>
      <c r="N62" s="143"/>
      <c r="O62" s="144"/>
      <c r="P62" s="611"/>
      <c r="Q62" s="143"/>
      <c r="R62" s="143"/>
      <c r="S62" s="143"/>
      <c r="T62" s="143">
        <v>505.18</v>
      </c>
      <c r="U62" s="143"/>
      <c r="V62" s="143"/>
      <c r="W62" s="143"/>
      <c r="X62" s="143"/>
      <c r="Y62" s="145">
        <v>127.92</v>
      </c>
      <c r="Z62" s="103">
        <f t="shared" si="14"/>
        <v>0</v>
      </c>
      <c r="AA62" s="140"/>
      <c r="AB62" s="143"/>
      <c r="AC62" s="145">
        <v>33.25</v>
      </c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03">
        <f t="shared" si="15"/>
        <v>0</v>
      </c>
      <c r="AO62" s="134">
        <v>14817.11</v>
      </c>
      <c r="AP62" s="134">
        <v>896.72</v>
      </c>
      <c r="AQ62" s="134">
        <v>3671.46</v>
      </c>
      <c r="AR62" s="105">
        <f t="shared" si="16"/>
        <v>0</v>
      </c>
      <c r="AS62" s="143"/>
      <c r="AT62" s="143"/>
      <c r="AU62" s="143"/>
      <c r="AV62" s="146"/>
      <c r="AW62" s="621">
        <f t="shared" si="17"/>
        <v>0</v>
      </c>
      <c r="AX62" s="1563">
        <v>4544</v>
      </c>
      <c r="AY62" s="1546"/>
      <c r="AZ62" s="1546"/>
      <c r="BA62" s="1548"/>
      <c r="BB62" s="1548"/>
      <c r="BC62" s="1548"/>
      <c r="BD62" s="1554">
        <v>610.5</v>
      </c>
      <c r="BE62" s="1632">
        <v>4173.6</v>
      </c>
      <c r="BF62" s="1632">
        <v>1162.4</v>
      </c>
      <c r="BG62" s="1546"/>
      <c r="BH62" s="1709"/>
      <c r="BI62" s="222">
        <f t="shared" si="18"/>
        <v>0</v>
      </c>
      <c r="BJ62" s="140">
        <f t="shared" si="19"/>
        <v>0</v>
      </c>
      <c r="BK62" s="132"/>
      <c r="BL62" s="140">
        <f t="shared" si="20"/>
        <v>0</v>
      </c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41"/>
      <c r="BY62" s="141"/>
      <c r="BZ62" s="130">
        <f t="shared" si="21"/>
        <v>0</v>
      </c>
      <c r="CA62" s="132"/>
    </row>
    <row r="63" ht="14.25" customHeight="1">
      <c r="A63" s="132"/>
      <c r="B63" s="618">
        <v>46077</v>
      </c>
      <c r="C63" s="133">
        <f>27801.74-D63-E63</f>
      </c>
      <c r="D63" s="134">
        <v>1905.72</v>
      </c>
      <c r="E63" s="460">
        <v>7596.83</v>
      </c>
      <c r="F63" s="460">
        <v>1303.4</v>
      </c>
      <c r="G63" s="147">
        <f t="shared" si="13"/>
        <v>0</v>
      </c>
      <c r="H63" s="144"/>
      <c r="I63" s="144"/>
      <c r="J63" s="144"/>
      <c r="K63" s="144"/>
      <c r="L63" s="145">
        <v>250.35</v>
      </c>
      <c r="M63" s="143"/>
      <c r="N63" s="143">
        <v>146.19</v>
      </c>
      <c r="O63" s="144"/>
      <c r="P63" s="611"/>
      <c r="Q63" s="143"/>
      <c r="R63" s="143"/>
      <c r="S63" s="145"/>
      <c r="T63" s="145">
        <v>85.12</v>
      </c>
      <c r="U63" s="143"/>
      <c r="V63" s="143"/>
      <c r="W63" s="143"/>
      <c r="X63" s="143"/>
      <c r="Y63" s="143">
        <v>339.8</v>
      </c>
      <c r="Z63" s="103">
        <f t="shared" si="14"/>
        <v>0</v>
      </c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5">
        <v>192.17</v>
      </c>
      <c r="AM63" s="143"/>
      <c r="AN63" s="103">
        <f t="shared" si="15"/>
        <v>0</v>
      </c>
      <c r="AO63" s="134">
        <v>13176.48</v>
      </c>
      <c r="AP63" s="134">
        <v>1032.07</v>
      </c>
      <c r="AQ63" s="134">
        <v>3740.43</v>
      </c>
      <c r="AR63" s="105">
        <f t="shared" si="16"/>
        <v>0</v>
      </c>
      <c r="AS63" s="143"/>
      <c r="AT63" s="143"/>
      <c r="AU63" s="143"/>
      <c r="AV63" s="146"/>
      <c r="AW63" s="621">
        <f t="shared" si="17"/>
        <v>0</v>
      </c>
      <c r="AX63" s="1563">
        <v>3947.7</v>
      </c>
      <c r="AY63" s="1546"/>
      <c r="AZ63" s="1546"/>
      <c r="BA63" s="1548"/>
      <c r="BB63" s="1548"/>
      <c r="BC63" s="1548"/>
      <c r="BD63" s="1554">
        <v>873.6</v>
      </c>
      <c r="BE63" s="1632">
        <v>3856.4</v>
      </c>
      <c r="BF63" s="1632">
        <v>1303.4</v>
      </c>
      <c r="BG63" s="1546"/>
      <c r="BH63" s="1709"/>
      <c r="BI63" s="222">
        <f t="shared" si="18"/>
        <v>0</v>
      </c>
      <c r="BJ63" s="140">
        <f t="shared" si="19"/>
        <v>0</v>
      </c>
      <c r="BK63" s="132"/>
      <c r="BL63" s="140">
        <f t="shared" si="20"/>
        <v>0</v>
      </c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30">
        <f t="shared" si="21"/>
        <v>0</v>
      </c>
      <c r="CA63" s="132"/>
    </row>
    <row r="64" ht="14.25" customHeight="1">
      <c r="A64" s="132"/>
      <c r="B64" s="618">
        <v>46078</v>
      </c>
      <c r="C64" s="133">
        <f>29258.92-D64-E64</f>
      </c>
      <c r="D64" s="134">
        <v>2030.98</v>
      </c>
      <c r="E64" s="460">
        <v>7936.56</v>
      </c>
      <c r="F64" s="460">
        <v>1146.7</v>
      </c>
      <c r="G64" s="147">
        <f t="shared" si="13"/>
        <v>0</v>
      </c>
      <c r="H64" s="144"/>
      <c r="I64" s="144"/>
      <c r="J64" s="144"/>
      <c r="K64" s="144"/>
      <c r="L64" s="143">
        <v>610.75</v>
      </c>
      <c r="M64" s="143"/>
      <c r="N64" s="143"/>
      <c r="O64" s="144"/>
      <c r="P64" s="611"/>
      <c r="Q64" s="143"/>
      <c r="R64" s="143"/>
      <c r="S64" s="143"/>
      <c r="T64" s="143">
        <v>367.07</v>
      </c>
      <c r="U64" s="145">
        <v>159.9</v>
      </c>
      <c r="V64" s="145">
        <v>84.83</v>
      </c>
      <c r="W64" s="143"/>
      <c r="X64" s="143"/>
      <c r="Y64" s="145">
        <v>159.9</v>
      </c>
      <c r="Z64" s="103">
        <f t="shared" si="14"/>
        <v>0</v>
      </c>
      <c r="AA64" s="143"/>
      <c r="AB64" s="143"/>
      <c r="AC64" s="145">
        <v>33.25</v>
      </c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03">
        <f t="shared" si="15"/>
        <v>0</v>
      </c>
      <c r="AO64" s="134">
        <v>13365.71</v>
      </c>
      <c r="AP64" s="134">
        <v>1138.61</v>
      </c>
      <c r="AQ64" s="134">
        <v>3854.06</v>
      </c>
      <c r="AR64" s="105">
        <f t="shared" si="16"/>
        <v>0</v>
      </c>
      <c r="AS64" s="143"/>
      <c r="AT64" s="143"/>
      <c r="AU64" s="143"/>
      <c r="AV64" s="146"/>
      <c r="AW64" s="621">
        <f t="shared" si="17"/>
        <v>0</v>
      </c>
      <c r="AX64" s="1563">
        <v>4627.6</v>
      </c>
      <c r="AY64" s="1546"/>
      <c r="AZ64" s="1546"/>
      <c r="BA64" s="1548"/>
      <c r="BB64" s="1548"/>
      <c r="BC64" s="1548"/>
      <c r="BD64" s="1554">
        <v>774.3</v>
      </c>
      <c r="BE64" s="1632">
        <v>4082.5</v>
      </c>
      <c r="BF64" s="1632">
        <v>1146.7</v>
      </c>
      <c r="BG64" s="1546"/>
      <c r="BH64" s="1709"/>
      <c r="BI64" s="222">
        <f t="shared" si="18"/>
        <v>0</v>
      </c>
      <c r="BJ64" s="140">
        <f t="shared" si="19"/>
        <v>0</v>
      </c>
      <c r="BK64" s="132"/>
      <c r="BL64" s="140">
        <f t="shared" si="20"/>
        <v>0</v>
      </c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30">
        <f t="shared" si="21"/>
        <v>0</v>
      </c>
      <c r="CA64" s="132"/>
    </row>
    <row r="65" ht="14.25" customHeight="1">
      <c r="A65" s="132"/>
      <c r="B65" s="618">
        <v>46079</v>
      </c>
      <c r="C65" s="133">
        <f>26436.63-D65-E65</f>
      </c>
      <c r="D65" s="134">
        <v>2086.84</v>
      </c>
      <c r="E65" s="460">
        <v>8132.69</v>
      </c>
      <c r="F65" s="460">
        <v>1458</v>
      </c>
      <c r="G65" s="147">
        <f t="shared" si="13"/>
        <v>0</v>
      </c>
      <c r="H65" s="144"/>
      <c r="I65" s="144"/>
      <c r="J65" s="144"/>
      <c r="K65" s="144"/>
      <c r="L65" s="145">
        <v>47.94</v>
      </c>
      <c r="M65" s="143"/>
      <c r="N65" s="145">
        <v>215.88</v>
      </c>
      <c r="O65" s="144"/>
      <c r="P65" s="611"/>
      <c r="Q65" s="143"/>
      <c r="R65" s="143"/>
      <c r="S65" s="143"/>
      <c r="T65" s="143"/>
      <c r="U65" s="143"/>
      <c r="V65" s="143"/>
      <c r="W65" s="143"/>
      <c r="X65" s="143"/>
      <c r="Y65" s="143"/>
      <c r="Z65" s="103">
        <f t="shared" si="14"/>
        <v>0</v>
      </c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03">
        <f t="shared" si="15"/>
        <v>0</v>
      </c>
      <c r="AO65" s="134">
        <v>12388.69</v>
      </c>
      <c r="AP65" s="134">
        <v>1401.34</v>
      </c>
      <c r="AQ65" s="134">
        <v>4448.99</v>
      </c>
      <c r="AR65" s="105">
        <f t="shared" si="16"/>
        <v>0</v>
      </c>
      <c r="AS65" s="143"/>
      <c r="AT65" s="143"/>
      <c r="AU65" s="143"/>
      <c r="AV65" s="146"/>
      <c r="AW65" s="621">
        <f t="shared" si="17"/>
        <v>0</v>
      </c>
      <c r="AX65" s="1563">
        <v>3611.8</v>
      </c>
      <c r="AY65" s="1546"/>
      <c r="AZ65" s="1546"/>
      <c r="BA65" s="1548"/>
      <c r="BB65" s="1548"/>
      <c r="BC65" s="1548"/>
      <c r="BD65" s="1554">
        <v>637.3</v>
      </c>
      <c r="BE65" s="1632">
        <v>3683.7</v>
      </c>
      <c r="BF65" s="1632">
        <v>1458</v>
      </c>
      <c r="BG65" s="1546"/>
      <c r="BH65" s="1709"/>
      <c r="BI65" s="222">
        <f t="shared" si="18"/>
        <v>0</v>
      </c>
      <c r="BJ65" s="140">
        <f t="shared" si="19"/>
        <v>0</v>
      </c>
      <c r="BK65" s="132"/>
      <c r="BL65" s="140">
        <f t="shared" si="20"/>
        <v>0</v>
      </c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41"/>
      <c r="BX65" s="141"/>
      <c r="BY65" s="141"/>
      <c r="BZ65" s="130">
        <f t="shared" si="21"/>
        <v>0</v>
      </c>
      <c r="CA65" s="132"/>
    </row>
    <row r="66" ht="14.25" customHeight="1">
      <c r="A66" s="132"/>
      <c r="B66" s="618">
        <v>46080</v>
      </c>
      <c r="C66" s="133">
        <f>29909.99-D66-E66</f>
      </c>
      <c r="D66" s="134">
        <v>2638.81</v>
      </c>
      <c r="E66" s="460">
        <v>8370.54</v>
      </c>
      <c r="F66" s="460">
        <v>1433.9</v>
      </c>
      <c r="G66" s="147">
        <f t="shared" si="13"/>
        <v>0</v>
      </c>
      <c r="H66" s="199">
        <v>50</v>
      </c>
      <c r="I66" s="144"/>
      <c r="J66" s="144"/>
      <c r="K66" s="144"/>
      <c r="L66" s="143">
        <v>584.08</v>
      </c>
      <c r="M66" s="143"/>
      <c r="N66" s="145">
        <v>215.88</v>
      </c>
      <c r="O66" s="144"/>
      <c r="P66" s="611"/>
      <c r="Q66" s="143"/>
      <c r="R66" s="143"/>
      <c r="S66" s="143"/>
      <c r="T66" s="143"/>
      <c r="U66" s="143"/>
      <c r="V66" s="143"/>
      <c r="W66" s="143"/>
      <c r="X66" s="143"/>
      <c r="Y66" s="145">
        <v>169.9</v>
      </c>
      <c r="Z66" s="103">
        <f t="shared" si="14"/>
        <v>0</v>
      </c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43"/>
      <c r="AM66" s="143"/>
      <c r="AN66" s="103">
        <f t="shared" si="15"/>
        <v>0</v>
      </c>
      <c r="AO66" s="134">
        <v>14598.8</v>
      </c>
      <c r="AP66" s="134">
        <v>1823.06</v>
      </c>
      <c r="AQ66" s="134">
        <v>4533.84</v>
      </c>
      <c r="AR66" s="105">
        <f t="shared" si="16"/>
        <v>0</v>
      </c>
      <c r="AS66" s="143"/>
      <c r="AT66" s="143"/>
      <c r="AU66" s="143"/>
      <c r="AV66" s="146"/>
      <c r="AW66" s="621">
        <f t="shared" si="17"/>
        <v>0</v>
      </c>
      <c r="AX66" s="1563">
        <v>3358.2</v>
      </c>
      <c r="AY66" s="1546"/>
      <c r="AZ66" s="1546"/>
      <c r="BA66" s="1548"/>
      <c r="BB66" s="1548"/>
      <c r="BC66" s="1548"/>
      <c r="BD66" s="1554">
        <v>739</v>
      </c>
      <c r="BE66" s="1632">
        <v>3836.7</v>
      </c>
      <c r="BF66" s="1632">
        <v>1433.9</v>
      </c>
      <c r="BG66" s="1546"/>
      <c r="BH66" s="1709"/>
      <c r="BI66" s="222">
        <f t="shared" si="18"/>
        <v>0</v>
      </c>
      <c r="BJ66" s="140">
        <f t="shared" si="19"/>
        <v>0</v>
      </c>
      <c r="BK66" s="132"/>
      <c r="BL66" s="140">
        <f t="shared" si="20"/>
        <v>0</v>
      </c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41"/>
      <c r="BY66" s="141"/>
      <c r="BZ66" s="130">
        <f t="shared" si="21"/>
        <v>0</v>
      </c>
      <c r="CA66" s="132"/>
    </row>
    <row r="67" ht="14.25" customHeight="1">
      <c r="A67" s="132"/>
      <c r="B67" s="618">
        <v>46081</v>
      </c>
      <c r="C67" s="153">
        <f>32932.55-D67-E67</f>
      </c>
      <c r="D67" s="154">
        <v>2840.47</v>
      </c>
      <c r="E67" s="504">
        <v>9100.11</v>
      </c>
      <c r="F67" s="504">
        <v>1567.4</v>
      </c>
      <c r="G67" s="622">
        <f t="shared" si="13"/>
        <v>0</v>
      </c>
      <c r="H67" s="612"/>
      <c r="I67" s="612"/>
      <c r="J67" s="612"/>
      <c r="K67" s="612"/>
      <c r="L67" s="158">
        <v>673.25</v>
      </c>
      <c r="M67" s="158">
        <v>131.62</v>
      </c>
      <c r="N67" s="157"/>
      <c r="O67" s="612"/>
      <c r="P67" s="613"/>
      <c r="Q67" s="157"/>
      <c r="R67" s="157"/>
      <c r="S67" s="158"/>
      <c r="T67" s="157">
        <v>45.12</v>
      </c>
      <c r="U67" s="157"/>
      <c r="V67" s="157"/>
      <c r="W67" s="157"/>
      <c r="X67" s="157"/>
      <c r="Y67" s="157"/>
      <c r="Z67" s="623">
        <f t="shared" si="14"/>
        <v>0</v>
      </c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623">
        <f t="shared" si="15"/>
        <v>0</v>
      </c>
      <c r="AO67" s="154">
        <v>15635.48</v>
      </c>
      <c r="AP67" s="154">
        <v>1892.65</v>
      </c>
      <c r="AQ67" s="154">
        <v>4435.21</v>
      </c>
      <c r="AR67" s="624">
        <f t="shared" si="16"/>
        <v>0</v>
      </c>
      <c r="AS67" s="157"/>
      <c r="AT67" s="157"/>
      <c r="AU67" s="157"/>
      <c r="AV67" s="160"/>
      <c r="AW67" s="625">
        <f t="shared" si="17"/>
        <v>0</v>
      </c>
      <c r="AX67" s="1563">
        <v>4591.4</v>
      </c>
      <c r="AY67" s="1546"/>
      <c r="AZ67" s="1546"/>
      <c r="BA67" s="1548"/>
      <c r="BB67" s="1548"/>
      <c r="BC67" s="1548"/>
      <c r="BD67" s="1554">
        <v>852.7</v>
      </c>
      <c r="BE67" s="1632">
        <v>4664.9</v>
      </c>
      <c r="BF67" s="1632">
        <v>1567.4</v>
      </c>
      <c r="BG67" s="1546"/>
      <c r="BH67" s="1709"/>
      <c r="BI67" s="626">
        <f t="shared" si="18"/>
        <v>0</v>
      </c>
      <c r="BJ67" s="162">
        <f t="shared" si="19"/>
        <v>0</v>
      </c>
      <c r="BK67" s="132"/>
      <c r="BL67" s="140">
        <f t="shared" si="20"/>
        <v>0</v>
      </c>
      <c r="BM67" s="141"/>
      <c r="BN67" s="141"/>
      <c r="BO67" s="141"/>
      <c r="BP67" s="141"/>
      <c r="BQ67" s="141"/>
      <c r="BR67" s="141"/>
      <c r="BS67" s="141"/>
      <c r="BT67" s="141"/>
      <c r="BU67" s="141"/>
      <c r="BV67" s="141"/>
      <c r="BW67" s="141"/>
      <c r="BX67" s="141"/>
      <c r="BY67" s="141"/>
      <c r="BZ67" s="130">
        <f t="shared" si="21"/>
        <v>0</v>
      </c>
      <c r="CA67" s="132"/>
    </row>
    <row r="68" ht="14.25" customHeight="1">
      <c r="A68" s="132"/>
      <c r="B68" s="627"/>
      <c r="C68" s="153"/>
      <c r="D68" s="159"/>
      <c r="E68" s="156"/>
      <c r="F68" s="156"/>
      <c r="G68" s="622">
        <f t="shared" si="13"/>
        <v>0</v>
      </c>
      <c r="H68" s="612"/>
      <c r="I68" s="612"/>
      <c r="J68" s="612"/>
      <c r="K68" s="612"/>
      <c r="L68" s="157"/>
      <c r="M68" s="157"/>
      <c r="N68" s="157"/>
      <c r="O68" s="612"/>
      <c r="P68" s="613"/>
      <c r="Q68" s="157"/>
      <c r="R68" s="157"/>
      <c r="S68" s="157"/>
      <c r="T68" s="157"/>
      <c r="U68" s="157"/>
      <c r="V68" s="157"/>
      <c r="W68" s="157"/>
      <c r="X68" s="157"/>
      <c r="Y68" s="157"/>
      <c r="Z68" s="623">
        <f t="shared" si="14"/>
        <v>0</v>
      </c>
      <c r="AA68" s="157"/>
      <c r="AB68" s="157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623">
        <f t="shared" si="15"/>
        <v>0</v>
      </c>
      <c r="AO68" s="159"/>
      <c r="AP68" s="159"/>
      <c r="AQ68" s="159"/>
      <c r="AR68" s="624">
        <f t="shared" si="16"/>
        <v>0</v>
      </c>
      <c r="AS68" s="157"/>
      <c r="AT68" s="157"/>
      <c r="AU68" s="157"/>
      <c r="AV68" s="160"/>
      <c r="AW68" s="625">
        <f t="shared" si="17"/>
        <v>0</v>
      </c>
      <c r="AX68" s="1557"/>
      <c r="AY68" s="1557"/>
      <c r="AZ68" s="1557"/>
      <c r="BA68" s="1586"/>
      <c r="BB68" s="1586"/>
      <c r="BC68" s="1586"/>
      <c r="BD68" s="1557"/>
      <c r="BE68" s="1557"/>
      <c r="BF68" s="1557"/>
      <c r="BG68" s="1557"/>
      <c r="BH68" s="1720"/>
      <c r="BI68" s="626">
        <f t="shared" si="18"/>
        <v>0</v>
      </c>
      <c r="BJ68" s="162">
        <f t="shared" si="19"/>
        <v>0</v>
      </c>
      <c r="BK68" s="132"/>
      <c r="BL68" s="140">
        <f t="shared" si="20"/>
        <v>0</v>
      </c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41"/>
      <c r="BY68" s="141"/>
      <c r="BZ68" s="130">
        <f t="shared" si="21"/>
        <v>0</v>
      </c>
      <c r="CA68" s="132"/>
    </row>
    <row r="69" ht="14.25" customHeight="1">
      <c r="A69" s="3"/>
      <c r="B69" s="2" t="s">
        <v>4</v>
      </c>
      <c r="C69" s="166">
        <f ref="C69:H69" t="shared" si="22">SUM(C37:C67)</f>
        <v>0</v>
      </c>
      <c r="D69" s="166">
        <f t="shared" si="22"/>
        <v>0</v>
      </c>
      <c r="E69" s="166">
        <f t="shared" si="22"/>
        <v>0</v>
      </c>
      <c r="F69" s="166">
        <f t="shared" si="22"/>
        <v>0</v>
      </c>
      <c r="G69" s="166">
        <f t="shared" si="22"/>
        <v>0</v>
      </c>
      <c r="H69" s="166">
        <f t="shared" si="22"/>
        <v>0</v>
      </c>
      <c r="I69" s="166"/>
      <c r="J69" s="166"/>
      <c r="K69" s="166"/>
      <c r="L69" s="166">
        <f ref="L69:M69" t="shared" si="23">SUM(L37:L67)</f>
        <v>0</v>
      </c>
      <c r="M69" s="166">
        <f t="shared" si="23"/>
        <v>0</v>
      </c>
      <c r="N69" s="166">
        <f>SUM(N37:N68)</f>
        <v>0</v>
      </c>
      <c r="O69" s="166">
        <f ref="O69:V69" t="shared" si="24">SUM(O37:O67)</f>
        <v>0</v>
      </c>
      <c r="P69" s="617">
        <f t="shared" si="24"/>
        <v>0</v>
      </c>
      <c r="Q69" s="166">
        <f t="shared" si="24"/>
        <v>0</v>
      </c>
      <c r="R69" s="166">
        <f t="shared" si="24"/>
        <v>0</v>
      </c>
      <c r="S69" s="166">
        <f t="shared" si="24"/>
        <v>0</v>
      </c>
      <c r="T69" s="166">
        <f t="shared" si="24"/>
        <v>0</v>
      </c>
      <c r="U69" s="166">
        <f t="shared" si="24"/>
        <v>0</v>
      </c>
      <c r="V69" s="166">
        <f t="shared" si="24"/>
        <v>0</v>
      </c>
      <c r="W69" s="166"/>
      <c r="X69" s="166">
        <f ref="X69:BJ69" t="shared" si="25">SUM(X37:X67)</f>
        <v>0</v>
      </c>
      <c r="Y69" s="166">
        <f t="shared" si="25"/>
        <v>0</v>
      </c>
      <c r="Z69" s="166">
        <f t="shared" si="25"/>
        <v>0</v>
      </c>
      <c r="AA69" s="166">
        <f t="shared" si="25"/>
        <v>0</v>
      </c>
      <c r="AB69" s="166">
        <f t="shared" si="25"/>
        <v>0</v>
      </c>
      <c r="AC69" s="166">
        <f t="shared" si="25"/>
        <v>0</v>
      </c>
      <c r="AD69" s="166">
        <f t="shared" si="25"/>
        <v>0</v>
      </c>
      <c r="AE69" s="166">
        <f t="shared" si="25"/>
        <v>0</v>
      </c>
      <c r="AF69" s="166">
        <f t="shared" si="25"/>
        <v>0</v>
      </c>
      <c r="AG69" s="166">
        <f t="shared" si="25"/>
        <v>0</v>
      </c>
      <c r="AH69" s="166">
        <f t="shared" si="25"/>
        <v>0</v>
      </c>
      <c r="AI69" s="166">
        <f t="shared" si="25"/>
        <v>0</v>
      </c>
      <c r="AJ69" s="166">
        <f t="shared" si="25"/>
        <v>0</v>
      </c>
      <c r="AK69" s="166">
        <f t="shared" si="25"/>
        <v>0</v>
      </c>
      <c r="AL69" s="166">
        <f t="shared" si="25"/>
        <v>0</v>
      </c>
      <c r="AM69" s="166">
        <f t="shared" si="25"/>
        <v>0</v>
      </c>
      <c r="AN69" s="166">
        <f t="shared" si="25"/>
        <v>0</v>
      </c>
      <c r="AO69" s="166">
        <f t="shared" si="25"/>
        <v>0</v>
      </c>
      <c r="AP69" s="166">
        <f t="shared" si="25"/>
        <v>0</v>
      </c>
      <c r="AQ69" s="166">
        <f t="shared" si="25"/>
        <v>0</v>
      </c>
      <c r="AR69" s="166">
        <f t="shared" si="25"/>
        <v>0</v>
      </c>
      <c r="AS69" s="166">
        <f t="shared" si="25"/>
        <v>0</v>
      </c>
      <c r="AT69" s="166">
        <f t="shared" si="25"/>
        <v>0</v>
      </c>
      <c r="AU69" s="166">
        <f t="shared" si="25"/>
        <v>0</v>
      </c>
      <c r="AV69" s="166">
        <f t="shared" si="25"/>
        <v>0</v>
      </c>
      <c r="AW69" s="166">
        <f t="shared" si="25"/>
        <v>0</v>
      </c>
      <c r="AX69" s="165">
        <f t="shared" si="25"/>
        <v>0</v>
      </c>
      <c r="AY69" s="165">
        <f t="shared" si="25"/>
        <v>0</v>
      </c>
      <c r="AZ69" s="165">
        <f t="shared" si="25"/>
        <v>0</v>
      </c>
      <c r="BA69" s="165">
        <f t="shared" si="25"/>
        <v>0</v>
      </c>
      <c r="BB69" s="165">
        <f t="shared" si="25"/>
        <v>0</v>
      </c>
      <c r="BC69" s="165">
        <f t="shared" si="25"/>
        <v>0</v>
      </c>
      <c r="BD69" s="165">
        <f t="shared" si="25"/>
        <v>0</v>
      </c>
      <c r="BE69" s="165">
        <f t="shared" si="25"/>
        <v>0</v>
      </c>
      <c r="BF69" s="165">
        <f t="shared" si="25"/>
        <v>0</v>
      </c>
      <c r="BG69" s="165">
        <f t="shared" si="25"/>
        <v>0</v>
      </c>
      <c r="BH69" s="165">
        <f t="shared" si="25"/>
        <v>0</v>
      </c>
      <c r="BI69" s="166">
        <f t="shared" si="25"/>
        <v>0</v>
      </c>
      <c r="BJ69" s="166">
        <f t="shared" si="25"/>
        <v>0</v>
      </c>
      <c r="BK69" s="132"/>
      <c r="BL69" s="166">
        <f ref="BL69:BZ69" t="shared" si="26">SUM(BL37:BL67)</f>
        <v>0</v>
      </c>
      <c r="BM69" s="166">
        <f t="shared" si="26"/>
        <v>0</v>
      </c>
      <c r="BN69" s="166">
        <f t="shared" si="26"/>
        <v>0</v>
      </c>
      <c r="BO69" s="166">
        <f t="shared" si="26"/>
        <v>0</v>
      </c>
      <c r="BP69" s="166">
        <f t="shared" si="26"/>
        <v>0</v>
      </c>
      <c r="BQ69" s="166">
        <f t="shared" si="26"/>
        <v>0</v>
      </c>
      <c r="BR69" s="166">
        <f t="shared" si="26"/>
        <v>0</v>
      </c>
      <c r="BS69" s="166">
        <f t="shared" si="26"/>
        <v>0</v>
      </c>
      <c r="BT69" s="166">
        <f t="shared" si="26"/>
        <v>0</v>
      </c>
      <c r="BU69" s="166">
        <f t="shared" si="26"/>
        <v>0</v>
      </c>
      <c r="BV69" s="166">
        <f t="shared" si="26"/>
        <v>0</v>
      </c>
      <c r="BW69" s="166">
        <f t="shared" si="26"/>
        <v>0</v>
      </c>
      <c r="BX69" s="166">
        <f t="shared" si="26"/>
        <v>0</v>
      </c>
      <c r="BY69" s="166">
        <f t="shared" si="26"/>
        <v>0</v>
      </c>
      <c r="BZ69" s="166">
        <f t="shared" si="26"/>
        <v>0</v>
      </c>
      <c r="CA69" s="132"/>
    </row>
    <row r="70" ht="14.25" customHeight="1">
      <c r="A70" s="1"/>
      <c r="B70" s="2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4"/>
      <c r="AS70" s="3"/>
      <c r="AT70" s="3"/>
      <c r="AU70" s="3"/>
      <c r="AV70" s="3"/>
      <c r="AW70" s="4"/>
      <c r="AX70" s="3"/>
      <c r="AY70" s="207"/>
      <c r="AZ70" s="628"/>
      <c r="BA70" s="3"/>
      <c r="BB70" s="207"/>
      <c r="BC70" s="207"/>
      <c r="BD70" s="628"/>
      <c r="BE70" s="628"/>
      <c r="BF70" s="628"/>
      <c r="BG70" s="628"/>
      <c r="BH70" s="628"/>
      <c r="BI70" s="4"/>
      <c r="BJ70" s="3"/>
      <c r="BK70" s="132"/>
      <c r="BL70" s="3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</row>
    <row r="71" ht="14.25" customHeight="1">
      <c r="A71" s="205"/>
      <c r="B71" s="206"/>
      <c r="C71" s="207"/>
      <c r="D71" s="207"/>
      <c r="E71" s="207"/>
      <c r="F71" s="207"/>
      <c r="G71" s="208"/>
      <c r="H71" s="207"/>
      <c r="I71" s="207"/>
      <c r="J71" s="207"/>
      <c r="K71" s="207"/>
      <c r="L71" s="207"/>
      <c r="M71" s="207"/>
      <c r="N71" s="207"/>
      <c r="O71" s="207"/>
      <c r="P71" s="205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9"/>
      <c r="AO71" s="207"/>
      <c r="AP71" s="207"/>
      <c r="AQ71" s="207"/>
      <c r="AR71" s="208"/>
      <c r="AS71" s="207"/>
      <c r="AT71" s="207"/>
      <c r="AU71" s="207"/>
      <c r="AV71" s="207"/>
      <c r="AW71" s="210"/>
      <c r="AX71" s="207"/>
      <c r="AY71" s="207"/>
      <c r="AZ71" s="316"/>
      <c r="BA71" s="207"/>
      <c r="BB71" s="207"/>
      <c r="BC71" s="207"/>
      <c r="BD71" s="316"/>
      <c r="BE71" s="316"/>
      <c r="BF71" s="316"/>
      <c r="BG71" s="316"/>
      <c r="BH71" s="316"/>
      <c r="BI71" s="214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</row>
    <row r="72" ht="14.25" customHeight="1">
      <c r="A72" s="3"/>
      <c r="B72" s="629">
        <v>46082</v>
      </c>
      <c r="C72" s="94">
        <f>32780.28-D72-E72</f>
      </c>
      <c r="D72" s="95">
        <v>1921.31</v>
      </c>
      <c r="E72" s="246">
        <v>6999.26</v>
      </c>
      <c r="F72" s="246">
        <v>1168.2</v>
      </c>
      <c r="G72" s="216">
        <f ref="G72:G102" t="shared" si="27">+C72+D72+E72+F72</f>
        <v>0</v>
      </c>
      <c r="H72" s="192">
        <v>80</v>
      </c>
      <c r="I72" s="187"/>
      <c r="J72" s="187"/>
      <c r="K72" s="187"/>
      <c r="L72" s="188">
        <v>33.64</v>
      </c>
      <c r="M72" s="186"/>
      <c r="N72" s="186"/>
      <c r="O72" s="187"/>
      <c r="P72" s="619"/>
      <c r="Q72" s="186"/>
      <c r="R72" s="186"/>
      <c r="S72" s="186"/>
      <c r="T72" s="188">
        <v>35.11</v>
      </c>
      <c r="U72" s="186"/>
      <c r="V72" s="186"/>
      <c r="W72" s="186"/>
      <c r="X72" s="186"/>
      <c r="Y72" s="186"/>
      <c r="Z72" s="189">
        <f ref="Z72:Z102" t="shared" si="28">SUM(H72:Y72)</f>
        <v>0</v>
      </c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03">
        <f ref="AN72:AN102" t="shared" si="29">SUM(AA72:AM72)</f>
        <v>0</v>
      </c>
      <c r="AO72" s="95">
        <v>18992.22</v>
      </c>
      <c r="AP72" s="95">
        <v>1291.72</v>
      </c>
      <c r="AQ72" s="95">
        <v>3528.26</v>
      </c>
      <c r="AR72" s="191">
        <f ref="AR72:AR102" t="shared" si="30">SUM(AO72:AQ72)</f>
        <v>0</v>
      </c>
      <c r="AS72" s="186"/>
      <c r="AT72" s="186"/>
      <c r="AU72" s="186"/>
      <c r="AV72" s="193"/>
      <c r="AW72" s="224">
        <f ref="AW72:AW102" t="shared" si="31">+G72-Z72-AN72-AR72-AS72-AT72-AU72-AV72</f>
        <v>0</v>
      </c>
      <c r="AX72" s="1721">
        <v>4752.2</v>
      </c>
      <c r="AY72" s="1537"/>
      <c r="AZ72" s="1687"/>
      <c r="BA72" s="1688"/>
      <c r="BB72" s="1688"/>
      <c r="BC72" s="1548"/>
      <c r="BD72" s="1721">
        <v>595.5</v>
      </c>
      <c r="BE72" s="1721">
        <v>3471</v>
      </c>
      <c r="BF72" s="1721">
        <v>1168.2</v>
      </c>
      <c r="BG72" s="1537"/>
      <c r="BH72" s="1537"/>
      <c r="BI72" s="222">
        <f ref="BI72:BI102" t="shared" si="32">SUM(AX72:BH72)-BG72</f>
        <v>0</v>
      </c>
      <c r="BJ72" s="114">
        <f ref="BJ72:BJ102" t="shared" si="33">+AW72-BI72</f>
        <v>0</v>
      </c>
      <c r="BK72" s="3"/>
      <c r="BL72" s="114">
        <f ref="BL72:BL102" t="shared" si="34">SUM(BM72:BY72)</f>
        <v>0</v>
      </c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5"/>
      <c r="BZ72" s="630">
        <f ref="BZ72:BZ102" t="shared" si="35">+BJ72-BL72</f>
        <v>0</v>
      </c>
      <c r="CA72" s="3"/>
    </row>
    <row r="73" ht="14.25" customHeight="1">
      <c r="A73" s="3"/>
      <c r="B73" s="629">
        <v>46083</v>
      </c>
      <c r="C73" s="118">
        <f>40384.16-D73-E73</f>
      </c>
      <c r="D73" s="119">
        <v>2522.93</v>
      </c>
      <c r="E73" s="458">
        <v>4946.47</v>
      </c>
      <c r="F73" s="458">
        <v>675.1</v>
      </c>
      <c r="G73" s="147">
        <f t="shared" si="27"/>
        <v>0</v>
      </c>
      <c r="H73" s="144"/>
      <c r="I73" s="144"/>
      <c r="J73" s="144"/>
      <c r="K73" s="144"/>
      <c r="L73" s="143">
        <v>608.92</v>
      </c>
      <c r="M73" s="143"/>
      <c r="N73" s="143"/>
      <c r="O73" s="144"/>
      <c r="P73" s="611"/>
      <c r="Q73" s="143"/>
      <c r="R73" s="143"/>
      <c r="S73" s="145"/>
      <c r="T73" s="143">
        <v>462.29</v>
      </c>
      <c r="U73" s="143"/>
      <c r="V73" s="143"/>
      <c r="W73" s="143"/>
      <c r="X73" s="143"/>
      <c r="Y73" s="143"/>
      <c r="Z73" s="103">
        <f t="shared" si="28"/>
        <v>0</v>
      </c>
      <c r="AA73" s="143"/>
      <c r="AB73" s="143"/>
      <c r="AC73" s="145">
        <v>33.25</v>
      </c>
      <c r="AD73" s="143"/>
      <c r="AE73" s="143"/>
      <c r="AF73" s="143"/>
      <c r="AG73" s="143"/>
      <c r="AH73" s="143"/>
      <c r="AI73" s="143"/>
      <c r="AJ73" s="143"/>
      <c r="AK73" s="143"/>
      <c r="AL73" s="143"/>
      <c r="AM73" s="143"/>
      <c r="AN73" s="103">
        <f t="shared" si="29"/>
        <v>0</v>
      </c>
      <c r="AO73" s="119">
        <v>22911.07</v>
      </c>
      <c r="AP73" s="119">
        <v>1440.17</v>
      </c>
      <c r="AQ73" s="119">
        <v>1711.27</v>
      </c>
      <c r="AR73" s="105">
        <f t="shared" si="30"/>
        <v>0</v>
      </c>
      <c r="AS73" s="143"/>
      <c r="AT73" s="143"/>
      <c r="AU73" s="143"/>
      <c r="AV73" s="149"/>
      <c r="AW73" s="224">
        <f t="shared" si="31"/>
        <v>0</v>
      </c>
      <c r="AX73" s="1554">
        <v>9034.6</v>
      </c>
      <c r="AY73" s="1546"/>
      <c r="AZ73" s="1690"/>
      <c r="BA73" s="1688"/>
      <c r="BB73" s="1688"/>
      <c r="BC73" s="1548"/>
      <c r="BD73" s="1554">
        <v>882.5</v>
      </c>
      <c r="BE73" s="1554">
        <v>3235.2</v>
      </c>
      <c r="BF73" s="1554">
        <v>675.1</v>
      </c>
      <c r="BG73" s="1546"/>
      <c r="BH73" s="1546"/>
      <c r="BI73" s="222">
        <f t="shared" si="32"/>
        <v>0</v>
      </c>
      <c r="BJ73" s="113">
        <f t="shared" si="33"/>
        <v>0</v>
      </c>
      <c r="BK73" s="3"/>
      <c r="BL73" s="113">
        <f t="shared" si="34"/>
        <v>0</v>
      </c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30">
        <f t="shared" si="35"/>
        <v>0</v>
      </c>
      <c r="CA73" s="3"/>
    </row>
    <row r="74" ht="14.25" customHeight="1">
      <c r="A74" s="3"/>
      <c r="B74" s="629">
        <v>46084</v>
      </c>
      <c r="C74" s="118">
        <f>41556.67-D74-E74</f>
      </c>
      <c r="D74" s="119">
        <v>3015.09</v>
      </c>
      <c r="E74" s="458"/>
      <c r="F74" s="458"/>
      <c r="G74" s="147">
        <f t="shared" si="27"/>
        <v>0</v>
      </c>
      <c r="H74" s="144"/>
      <c r="I74" s="144"/>
      <c r="J74" s="144"/>
      <c r="K74" s="144"/>
      <c r="L74" s="143">
        <v>258.46</v>
      </c>
      <c r="M74" s="143"/>
      <c r="N74" s="143"/>
      <c r="O74" s="144"/>
      <c r="P74" s="611"/>
      <c r="Q74" s="143"/>
      <c r="R74" s="143"/>
      <c r="S74" s="143"/>
      <c r="T74" s="143">
        <v>122.23</v>
      </c>
      <c r="U74" s="143"/>
      <c r="V74" s="143"/>
      <c r="W74" s="143"/>
      <c r="X74" s="143"/>
      <c r="Y74" s="143"/>
      <c r="Z74" s="103">
        <f t="shared" si="28"/>
        <v>0</v>
      </c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3"/>
      <c r="AN74" s="103">
        <f t="shared" si="29"/>
        <v>0</v>
      </c>
      <c r="AO74" s="119">
        <v>24897.9</v>
      </c>
      <c r="AP74" s="119">
        <v>1944.4</v>
      </c>
      <c r="AQ74" s="119"/>
      <c r="AR74" s="105">
        <f t="shared" si="30"/>
        <v>0</v>
      </c>
      <c r="AS74" s="143"/>
      <c r="AT74" s="143"/>
      <c r="AU74" s="143"/>
      <c r="AV74" s="146"/>
      <c r="AW74" s="224">
        <f t="shared" si="31"/>
        <v>0</v>
      </c>
      <c r="AX74" s="1554">
        <v>13225.5</v>
      </c>
      <c r="AY74" s="1546"/>
      <c r="AZ74" s="1690"/>
      <c r="BA74" s="1688"/>
      <c r="BB74" s="1688"/>
      <c r="BC74" s="1548"/>
      <c r="BD74" s="1554">
        <v>982.2</v>
      </c>
      <c r="BE74" s="1554"/>
      <c r="BF74" s="1554"/>
      <c r="BG74" s="1546"/>
      <c r="BH74" s="1546"/>
      <c r="BI74" s="222">
        <f t="shared" si="32"/>
        <v>0</v>
      </c>
      <c r="BJ74" s="113">
        <f t="shared" si="33"/>
        <v>0</v>
      </c>
      <c r="BK74" s="3"/>
      <c r="BL74" s="113">
        <f t="shared" si="34"/>
        <v>0</v>
      </c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30">
        <f t="shared" si="35"/>
        <v>0</v>
      </c>
      <c r="CA74" s="3"/>
    </row>
    <row r="75" ht="14.25" customHeight="1">
      <c r="A75" s="3"/>
      <c r="B75" s="629">
        <v>46085</v>
      </c>
      <c r="C75" s="118">
        <f>38312.07-D75-E75</f>
      </c>
      <c r="D75" s="119">
        <v>2647.08</v>
      </c>
      <c r="E75" s="458"/>
      <c r="F75" s="458"/>
      <c r="G75" s="147">
        <f t="shared" si="27"/>
        <v>0</v>
      </c>
      <c r="H75" s="144"/>
      <c r="I75" s="144"/>
      <c r="J75" s="199">
        <v>223.97</v>
      </c>
      <c r="K75" s="144"/>
      <c r="L75" s="143">
        <v>494.75</v>
      </c>
      <c r="M75" s="143"/>
      <c r="N75" s="143"/>
      <c r="O75" s="144"/>
      <c r="P75" s="611"/>
      <c r="Q75" s="143"/>
      <c r="R75" s="143"/>
      <c r="S75" s="143"/>
      <c r="T75" s="143">
        <v>72.79</v>
      </c>
      <c r="U75" s="143"/>
      <c r="V75" s="143"/>
      <c r="W75" s="143"/>
      <c r="X75" s="143"/>
      <c r="Y75" s="143">
        <v>354.8</v>
      </c>
      <c r="Z75" s="103">
        <f t="shared" si="28"/>
        <v>0</v>
      </c>
      <c r="AA75" s="143"/>
      <c r="AB75" s="143"/>
      <c r="AC75" s="145">
        <v>38.25</v>
      </c>
      <c r="AD75" s="143"/>
      <c r="AE75" s="143"/>
      <c r="AF75" s="143"/>
      <c r="AG75" s="143"/>
      <c r="AH75" s="143"/>
      <c r="AI75" s="143"/>
      <c r="AJ75" s="143"/>
      <c r="AK75" s="143"/>
      <c r="AL75" s="145">
        <v>104.36</v>
      </c>
      <c r="AM75" s="143"/>
      <c r="AN75" s="103">
        <f t="shared" si="29"/>
        <v>0</v>
      </c>
      <c r="AO75" s="119">
        <v>21859.56</v>
      </c>
      <c r="AP75" s="119">
        <v>1577.89</v>
      </c>
      <c r="AQ75" s="119"/>
      <c r="AR75" s="105">
        <f t="shared" si="30"/>
        <v>0</v>
      </c>
      <c r="AS75" s="143"/>
      <c r="AT75" s="143"/>
      <c r="AU75" s="143"/>
      <c r="AV75" s="146"/>
      <c r="AW75" s="224">
        <f t="shared" si="31"/>
        <v>0</v>
      </c>
      <c r="AX75" s="1554">
        <v>12554.7</v>
      </c>
      <c r="AY75" s="1546"/>
      <c r="AZ75" s="1546"/>
      <c r="BA75" s="1548"/>
      <c r="BB75" s="1548"/>
      <c r="BC75" s="1548"/>
      <c r="BD75" s="1554">
        <v>1030.8</v>
      </c>
      <c r="BE75" s="1554"/>
      <c r="BF75" s="1554"/>
      <c r="BG75" s="1546"/>
      <c r="BH75" s="1546"/>
      <c r="BI75" s="222">
        <f t="shared" si="32"/>
        <v>0</v>
      </c>
      <c r="BJ75" s="113">
        <f t="shared" si="33"/>
        <v>0</v>
      </c>
      <c r="BK75" s="3"/>
      <c r="BL75" s="113">
        <f t="shared" si="34"/>
        <v>0</v>
      </c>
      <c r="BM75" s="129"/>
      <c r="BN75" s="129"/>
      <c r="BO75" s="129"/>
      <c r="BP75" s="129"/>
      <c r="BQ75" s="129"/>
      <c r="BR75" s="129"/>
      <c r="BS75" s="129"/>
      <c r="BT75" s="129"/>
      <c r="BU75" s="129"/>
      <c r="BV75" s="129"/>
      <c r="BW75" s="129"/>
      <c r="BX75" s="129"/>
      <c r="BY75" s="129"/>
      <c r="BZ75" s="130">
        <f t="shared" si="35"/>
        <v>0</v>
      </c>
      <c r="CA75" s="3"/>
    </row>
    <row r="76" ht="14.25" customHeight="1">
      <c r="A76" s="3"/>
      <c r="B76" s="629">
        <v>46086</v>
      </c>
      <c r="C76" s="118">
        <f>60888.23-D76-E76</f>
      </c>
      <c r="D76" s="119">
        <v>6472.59</v>
      </c>
      <c r="E76" s="458"/>
      <c r="F76" s="458"/>
      <c r="G76" s="147">
        <f t="shared" si="27"/>
        <v>0</v>
      </c>
      <c r="H76" s="144"/>
      <c r="I76" s="144"/>
      <c r="J76" s="144"/>
      <c r="K76" s="144"/>
      <c r="L76" s="143">
        <v>902.25</v>
      </c>
      <c r="M76" s="143"/>
      <c r="N76" s="143"/>
      <c r="O76" s="144"/>
      <c r="P76" s="611"/>
      <c r="Q76" s="143"/>
      <c r="R76" s="143"/>
      <c r="S76" s="143"/>
      <c r="T76" s="143">
        <v>124.38</v>
      </c>
      <c r="U76" s="143"/>
      <c r="V76" s="145">
        <v>118.84</v>
      </c>
      <c r="W76" s="143"/>
      <c r="X76" s="143"/>
      <c r="Y76" s="145">
        <v>343.7</v>
      </c>
      <c r="Z76" s="103">
        <f t="shared" si="28"/>
        <v>0</v>
      </c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03">
        <f t="shared" si="29"/>
        <v>0</v>
      </c>
      <c r="AO76" s="119">
        <v>38039.34</v>
      </c>
      <c r="AP76" s="119">
        <v>4379.16</v>
      </c>
      <c r="AQ76" s="119"/>
      <c r="AR76" s="105">
        <f t="shared" si="30"/>
        <v>0</v>
      </c>
      <c r="AS76" s="143"/>
      <c r="AT76" s="143"/>
      <c r="AU76" s="143"/>
      <c r="AV76" s="146"/>
      <c r="AW76" s="224">
        <f t="shared" si="31"/>
        <v>0</v>
      </c>
      <c r="AX76" s="1554">
        <v>15121.9</v>
      </c>
      <c r="AY76" s="1546"/>
      <c r="AZ76" s="1546"/>
      <c r="BA76" s="1548"/>
      <c r="BB76" s="1548"/>
      <c r="BC76" s="1548"/>
      <c r="BD76" s="1554">
        <v>1857.7</v>
      </c>
      <c r="BE76" s="1554"/>
      <c r="BF76" s="1554"/>
      <c r="BG76" s="1546"/>
      <c r="BH76" s="1546"/>
      <c r="BI76" s="222">
        <f t="shared" si="32"/>
        <v>0</v>
      </c>
      <c r="BJ76" s="113">
        <f t="shared" si="33"/>
        <v>0</v>
      </c>
      <c r="BK76" s="3"/>
      <c r="BL76" s="113">
        <f t="shared" si="34"/>
        <v>0</v>
      </c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30">
        <f t="shared" si="35"/>
        <v>0</v>
      </c>
      <c r="CA76" s="3"/>
    </row>
    <row r="77" ht="14.25" customHeight="1">
      <c r="A77" s="3"/>
      <c r="B77" s="629">
        <v>46087</v>
      </c>
      <c r="C77" s="118">
        <f>55603.09-D77-E77</f>
      </c>
      <c r="D77" s="119">
        <v>209.51</v>
      </c>
      <c r="E77" s="458"/>
      <c r="F77" s="458"/>
      <c r="G77" s="147">
        <f t="shared" si="27"/>
        <v>0</v>
      </c>
      <c r="H77" s="199">
        <v>50</v>
      </c>
      <c r="I77" s="144"/>
      <c r="J77" s="199">
        <v>235.18</v>
      </c>
      <c r="K77" s="144"/>
      <c r="L77" s="143">
        <v>329.35</v>
      </c>
      <c r="M77" s="143"/>
      <c r="N77" s="143"/>
      <c r="O77" s="199">
        <v>241.67</v>
      </c>
      <c r="P77" s="611"/>
      <c r="Q77" s="143"/>
      <c r="R77" s="143"/>
      <c r="S77" s="143"/>
      <c r="T77" s="143"/>
      <c r="U77" s="143"/>
      <c r="V77" s="143"/>
      <c r="W77" s="143"/>
      <c r="X77" s="143"/>
      <c r="Y77" s="143"/>
      <c r="Z77" s="103">
        <f t="shared" si="28"/>
        <v>0</v>
      </c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3"/>
      <c r="AN77" s="103">
        <f t="shared" si="29"/>
        <v>0</v>
      </c>
      <c r="AO77" s="119">
        <v>37397.39</v>
      </c>
      <c r="AP77" s="119">
        <v>209.51</v>
      </c>
      <c r="AQ77" s="119"/>
      <c r="AR77" s="105">
        <f t="shared" si="30"/>
        <v>0</v>
      </c>
      <c r="AS77" s="143"/>
      <c r="AT77" s="143"/>
      <c r="AU77" s="143"/>
      <c r="AV77" s="146"/>
      <c r="AW77" s="224">
        <f t="shared" si="31"/>
        <v>0</v>
      </c>
      <c r="AX77" s="1554">
        <v>17139.3</v>
      </c>
      <c r="AY77" s="1546"/>
      <c r="AZ77" s="1546"/>
      <c r="BA77" s="1548"/>
      <c r="BB77" s="1548"/>
      <c r="BC77" s="1548"/>
      <c r="BD77" s="1554"/>
      <c r="BE77" s="1554"/>
      <c r="BF77" s="1554"/>
      <c r="BG77" s="1546"/>
      <c r="BH77" s="1546"/>
      <c r="BI77" s="222">
        <f t="shared" si="32"/>
        <v>0</v>
      </c>
      <c r="BJ77" s="113">
        <f t="shared" si="33"/>
        <v>0</v>
      </c>
      <c r="BK77" s="3"/>
      <c r="BL77" s="113">
        <f t="shared" si="34"/>
        <v>0</v>
      </c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30">
        <f t="shared" si="35"/>
        <v>0</v>
      </c>
      <c r="CA77" s="3"/>
    </row>
    <row r="78" ht="14.25" customHeight="1">
      <c r="A78" s="3"/>
      <c r="B78" s="629">
        <v>46088</v>
      </c>
      <c r="C78" s="118">
        <f>44523.56-D78-E78</f>
      </c>
      <c r="D78" s="632">
        <v>40</v>
      </c>
      <c r="E78" s="458"/>
      <c r="F78" s="458"/>
      <c r="G78" s="147">
        <f t="shared" si="27"/>
        <v>0</v>
      </c>
      <c r="H78" s="143"/>
      <c r="I78" s="143"/>
      <c r="J78" s="145">
        <v>115.15</v>
      </c>
      <c r="K78" s="143"/>
      <c r="L78" s="145">
        <v>703.14</v>
      </c>
      <c r="M78" s="143"/>
      <c r="N78" s="143"/>
      <c r="O78" s="143"/>
      <c r="P78" s="611"/>
      <c r="Q78" s="143"/>
      <c r="R78" s="143"/>
      <c r="S78" s="143"/>
      <c r="T78" s="145">
        <v>40</v>
      </c>
      <c r="U78" s="143"/>
      <c r="V78" s="143"/>
      <c r="W78" s="143"/>
      <c r="X78" s="143"/>
      <c r="Y78" s="143"/>
      <c r="Z78" s="103">
        <f t="shared" si="28"/>
        <v>0</v>
      </c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43"/>
      <c r="AM78" s="143"/>
      <c r="AN78" s="103">
        <f t="shared" si="29"/>
        <v>0</v>
      </c>
      <c r="AO78" s="119">
        <v>31400.69</v>
      </c>
      <c r="AP78" s="119"/>
      <c r="AQ78" s="119"/>
      <c r="AR78" s="105">
        <f t="shared" si="30"/>
        <v>0</v>
      </c>
      <c r="AS78" s="143"/>
      <c r="AT78" s="143"/>
      <c r="AU78" s="143"/>
      <c r="AV78" s="146"/>
      <c r="AW78" s="224">
        <f t="shared" si="31"/>
        <v>0</v>
      </c>
      <c r="AX78" s="1554">
        <v>12264.5</v>
      </c>
      <c r="AY78" s="1546"/>
      <c r="AZ78" s="1546"/>
      <c r="BA78" s="1548"/>
      <c r="BB78" s="1548"/>
      <c r="BC78" s="1548"/>
      <c r="BD78" s="1554"/>
      <c r="BE78" s="1554"/>
      <c r="BF78" s="1554"/>
      <c r="BG78" s="1546"/>
      <c r="BH78" s="1546"/>
      <c r="BI78" s="222">
        <f t="shared" si="32"/>
        <v>0</v>
      </c>
      <c r="BJ78" s="113">
        <f t="shared" si="33"/>
        <v>0</v>
      </c>
      <c r="BK78" s="3"/>
      <c r="BL78" s="113">
        <f t="shared" si="34"/>
        <v>0</v>
      </c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30">
        <f t="shared" si="35"/>
        <v>0</v>
      </c>
      <c r="CA78" s="3"/>
    </row>
    <row r="79" ht="14.25" customHeight="1">
      <c r="A79" s="3"/>
      <c r="B79" s="629">
        <v>46089</v>
      </c>
      <c r="C79" s="228">
        <f>34141.98-D79-E79</f>
      </c>
      <c r="D79" s="119"/>
      <c r="E79" s="458"/>
      <c r="F79" s="458"/>
      <c r="G79" s="147">
        <f t="shared" si="27"/>
        <v>0</v>
      </c>
      <c r="H79" s="144"/>
      <c r="I79" s="144"/>
      <c r="J79" s="144"/>
      <c r="K79" s="144"/>
      <c r="L79" s="145">
        <v>166.2</v>
      </c>
      <c r="M79" s="143"/>
      <c r="N79" s="143"/>
      <c r="O79" s="144"/>
      <c r="P79" s="611"/>
      <c r="Q79" s="143"/>
      <c r="R79" s="143"/>
      <c r="S79" s="143"/>
      <c r="T79" s="145">
        <v>138.98</v>
      </c>
      <c r="U79" s="143"/>
      <c r="V79" s="143"/>
      <c r="W79" s="143"/>
      <c r="X79" s="143"/>
      <c r="Y79" s="143"/>
      <c r="Z79" s="103">
        <f t="shared" si="28"/>
        <v>0</v>
      </c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43"/>
      <c r="AM79" s="143"/>
      <c r="AN79" s="103">
        <f t="shared" si="29"/>
        <v>0</v>
      </c>
      <c r="AO79" s="119">
        <v>21656.71</v>
      </c>
      <c r="AP79" s="119"/>
      <c r="AQ79" s="119"/>
      <c r="AR79" s="105">
        <f t="shared" si="30"/>
        <v>0</v>
      </c>
      <c r="AS79" s="143"/>
      <c r="AT79" s="143"/>
      <c r="AU79" s="143"/>
      <c r="AV79" s="146"/>
      <c r="AW79" s="224">
        <f t="shared" si="31"/>
        <v>0</v>
      </c>
      <c r="AX79" s="1554">
        <v>12179.9</v>
      </c>
      <c r="AY79" s="1546"/>
      <c r="AZ79" s="1546"/>
      <c r="BA79" s="1548"/>
      <c r="BB79" s="1548"/>
      <c r="BC79" s="1548"/>
      <c r="BD79" s="1554"/>
      <c r="BE79" s="1554"/>
      <c r="BF79" s="1554"/>
      <c r="BG79" s="1546"/>
      <c r="BH79" s="1546"/>
      <c r="BI79" s="222">
        <f t="shared" si="32"/>
        <v>0</v>
      </c>
      <c r="BJ79" s="113">
        <f t="shared" si="33"/>
        <v>0</v>
      </c>
      <c r="BK79" s="3"/>
      <c r="BL79" s="113">
        <f t="shared" si="34"/>
        <v>0</v>
      </c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30">
        <f t="shared" si="35"/>
        <v>0</v>
      </c>
      <c r="CA79" s="3"/>
    </row>
    <row r="80" ht="14.25" customHeight="1">
      <c r="A80" s="132"/>
      <c r="B80" s="629">
        <v>46090</v>
      </c>
      <c r="C80" s="230">
        <f>55896.27-D80-E80</f>
      </c>
      <c r="D80" s="134"/>
      <c r="E80" s="460"/>
      <c r="F80" s="460"/>
      <c r="G80" s="147">
        <f t="shared" si="27"/>
        <v>0</v>
      </c>
      <c r="H80" s="144"/>
      <c r="I80" s="144"/>
      <c r="J80" s="199">
        <v>117.88</v>
      </c>
      <c r="K80" s="144"/>
      <c r="L80" s="143">
        <v>394.3</v>
      </c>
      <c r="M80" s="145">
        <v>87.94</v>
      </c>
      <c r="N80" s="143"/>
      <c r="O80" s="144"/>
      <c r="P80" s="611"/>
      <c r="Q80" s="143"/>
      <c r="R80" s="143"/>
      <c r="S80" s="143"/>
      <c r="T80" s="145">
        <v>32.99</v>
      </c>
      <c r="U80" s="143"/>
      <c r="V80" s="143"/>
      <c r="W80" s="143"/>
      <c r="X80" s="143"/>
      <c r="Y80" s="143"/>
      <c r="Z80" s="103">
        <f t="shared" si="28"/>
        <v>0</v>
      </c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3"/>
      <c r="AN80" s="103">
        <f t="shared" si="29"/>
        <v>0</v>
      </c>
      <c r="AO80" s="134">
        <v>38375.18</v>
      </c>
      <c r="AP80" s="134"/>
      <c r="AQ80" s="134"/>
      <c r="AR80" s="105">
        <f t="shared" si="30"/>
        <v>0</v>
      </c>
      <c r="AS80" s="143"/>
      <c r="AT80" s="143"/>
      <c r="AU80" s="143"/>
      <c r="AV80" s="146"/>
      <c r="AW80" s="224">
        <f t="shared" si="31"/>
        <v>0</v>
      </c>
      <c r="AX80" s="1554">
        <v>16887.7</v>
      </c>
      <c r="AY80" s="1546"/>
      <c r="AZ80" s="1546"/>
      <c r="BA80" s="1548"/>
      <c r="BB80" s="1548"/>
      <c r="BC80" s="1548"/>
      <c r="BD80" s="1554"/>
      <c r="BE80" s="1554"/>
      <c r="BF80" s="1554"/>
      <c r="BG80" s="1546"/>
      <c r="BH80" s="1546"/>
      <c r="BI80" s="222">
        <f t="shared" si="32"/>
        <v>0</v>
      </c>
      <c r="BJ80" s="140">
        <f t="shared" si="33"/>
        <v>0</v>
      </c>
      <c r="BK80" s="132"/>
      <c r="BL80" s="140">
        <f t="shared" si="34"/>
        <v>0</v>
      </c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41"/>
      <c r="BY80" s="141"/>
      <c r="BZ80" s="130">
        <f t="shared" si="35"/>
        <v>0</v>
      </c>
      <c r="CA80" s="132"/>
    </row>
    <row r="81" ht="14.25" customHeight="1">
      <c r="A81" s="132"/>
      <c r="B81" s="629">
        <v>46091</v>
      </c>
      <c r="C81" s="230">
        <f>51563.41-D81-E81</f>
      </c>
      <c r="D81" s="134"/>
      <c r="E81" s="460"/>
      <c r="F81" s="460"/>
      <c r="G81" s="147">
        <f t="shared" si="27"/>
        <v>0</v>
      </c>
      <c r="H81" s="144"/>
      <c r="I81" s="144"/>
      <c r="J81" s="144"/>
      <c r="K81" s="144"/>
      <c r="L81" s="143">
        <v>391.57</v>
      </c>
      <c r="M81" s="143"/>
      <c r="N81" s="143"/>
      <c r="O81" s="144"/>
      <c r="P81" s="611"/>
      <c r="Q81" s="143"/>
      <c r="R81" s="143"/>
      <c r="S81" s="143"/>
      <c r="T81" s="143">
        <v>440.8</v>
      </c>
      <c r="U81" s="145">
        <v>219.9</v>
      </c>
      <c r="V81" s="143"/>
      <c r="W81" s="143"/>
      <c r="X81" s="143"/>
      <c r="Y81" s="145">
        <v>219.9</v>
      </c>
      <c r="Z81" s="103">
        <f t="shared" si="28"/>
        <v>0</v>
      </c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43"/>
      <c r="AM81" s="143"/>
      <c r="AN81" s="103">
        <f t="shared" si="29"/>
        <v>0</v>
      </c>
      <c r="AO81" s="134">
        <v>32685.02</v>
      </c>
      <c r="AP81" s="134"/>
      <c r="AQ81" s="134"/>
      <c r="AR81" s="105">
        <f t="shared" si="30"/>
        <v>0</v>
      </c>
      <c r="AS81" s="143"/>
      <c r="AT81" s="143"/>
      <c r="AU81" s="143"/>
      <c r="AV81" s="146"/>
      <c r="AW81" s="224">
        <f t="shared" si="31"/>
        <v>0</v>
      </c>
      <c r="AX81" s="1554">
        <v>17600.5</v>
      </c>
      <c r="AY81" s="1546"/>
      <c r="AZ81" s="1546"/>
      <c r="BA81" s="1548"/>
      <c r="BB81" s="1548"/>
      <c r="BC81" s="1548"/>
      <c r="BD81" s="1554"/>
      <c r="BE81" s="1554"/>
      <c r="BF81" s="1554"/>
      <c r="BG81" s="1546"/>
      <c r="BH81" s="1546"/>
      <c r="BI81" s="222">
        <f t="shared" si="32"/>
        <v>0</v>
      </c>
      <c r="BJ81" s="140">
        <f t="shared" si="33"/>
        <v>0</v>
      </c>
      <c r="BK81" s="132"/>
      <c r="BL81" s="140">
        <f t="shared" si="34"/>
        <v>0</v>
      </c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41"/>
      <c r="BY81" s="141"/>
      <c r="BZ81" s="130">
        <f t="shared" si="35"/>
        <v>0</v>
      </c>
      <c r="CA81" s="132"/>
    </row>
    <row r="82" ht="14.25" customHeight="1">
      <c r="A82" s="132"/>
      <c r="B82" s="629">
        <v>46092</v>
      </c>
      <c r="C82" s="230">
        <f>56338.10-D82-E82</f>
      </c>
      <c r="D82" s="134">
        <v>43.98</v>
      </c>
      <c r="E82" s="460"/>
      <c r="F82" s="460"/>
      <c r="G82" s="147">
        <f t="shared" si="27"/>
        <v>0</v>
      </c>
      <c r="H82" s="199">
        <v>120</v>
      </c>
      <c r="I82" s="144"/>
      <c r="J82" s="199">
        <v>231.44</v>
      </c>
      <c r="K82" s="144"/>
      <c r="L82" s="143">
        <v>1086.43</v>
      </c>
      <c r="M82" s="143"/>
      <c r="N82" s="143"/>
      <c r="O82" s="144"/>
      <c r="P82" s="611"/>
      <c r="Q82" s="143"/>
      <c r="R82" s="143"/>
      <c r="S82" s="143"/>
      <c r="T82" s="143">
        <v>105.21</v>
      </c>
      <c r="U82" s="143"/>
      <c r="V82" s="143"/>
      <c r="W82" s="143"/>
      <c r="X82" s="143"/>
      <c r="Y82" s="145">
        <v>329.85</v>
      </c>
      <c r="Z82" s="103">
        <f t="shared" si="28"/>
        <v>0</v>
      </c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45">
        <v>432.28</v>
      </c>
      <c r="AM82" s="143"/>
      <c r="AN82" s="103">
        <f t="shared" si="29"/>
        <v>0</v>
      </c>
      <c r="AO82" s="134">
        <v>32177.94</v>
      </c>
      <c r="AP82" s="134">
        <v>43.98</v>
      </c>
      <c r="AQ82" s="134"/>
      <c r="AR82" s="105">
        <f t="shared" si="30"/>
        <v>0</v>
      </c>
      <c r="AS82" s="143"/>
      <c r="AT82" s="143"/>
      <c r="AU82" s="143"/>
      <c r="AV82" s="146"/>
      <c r="AW82" s="224">
        <f t="shared" si="31"/>
        <v>0</v>
      </c>
      <c r="AX82" s="1554">
        <v>20107.5</v>
      </c>
      <c r="AY82" s="1546"/>
      <c r="AZ82" s="1546"/>
      <c r="BA82" s="1548"/>
      <c r="BB82" s="1548"/>
      <c r="BC82" s="1548"/>
      <c r="BD82" s="1554"/>
      <c r="BE82" s="1554"/>
      <c r="BF82" s="1554"/>
      <c r="BG82" s="1546"/>
      <c r="BH82" s="1546"/>
      <c r="BI82" s="222">
        <f t="shared" si="32"/>
        <v>0</v>
      </c>
      <c r="BJ82" s="140">
        <f t="shared" si="33"/>
        <v>0</v>
      </c>
      <c r="BK82" s="132"/>
      <c r="BL82" s="140">
        <f t="shared" si="34"/>
        <v>0</v>
      </c>
      <c r="BM82" s="141"/>
      <c r="BN82" s="141"/>
      <c r="BO82" s="141"/>
      <c r="BP82" s="141"/>
      <c r="BQ82" s="141"/>
      <c r="BR82" s="141"/>
      <c r="BS82" s="141"/>
      <c r="BT82" s="141"/>
      <c r="BU82" s="141"/>
      <c r="BV82" s="141"/>
      <c r="BW82" s="141"/>
      <c r="BX82" s="141"/>
      <c r="BY82" s="141">
        <v>1700</v>
      </c>
      <c r="BZ82" s="130">
        <f t="shared" si="35"/>
        <v>0</v>
      </c>
      <c r="CA82" s="132"/>
    </row>
    <row r="83" ht="14.25" customHeight="1">
      <c r="A83" s="132"/>
      <c r="B83" s="629">
        <v>46093</v>
      </c>
      <c r="C83" s="133">
        <f>38905.17-D83-E83</f>
      </c>
      <c r="D83" s="134">
        <v>18019.36</v>
      </c>
      <c r="E83" s="460"/>
      <c r="F83" s="460"/>
      <c r="G83" s="147">
        <f t="shared" si="27"/>
        <v>0</v>
      </c>
      <c r="H83" s="144"/>
      <c r="I83" s="144"/>
      <c r="J83" s="144"/>
      <c r="K83" s="144"/>
      <c r="L83" s="143">
        <v>586.9</v>
      </c>
      <c r="M83" s="143"/>
      <c r="N83" s="145">
        <v>527.76</v>
      </c>
      <c r="O83" s="144"/>
      <c r="P83" s="611"/>
      <c r="Q83" s="143"/>
      <c r="R83" s="143"/>
      <c r="S83" s="143"/>
      <c r="T83" s="143">
        <v>493.7</v>
      </c>
      <c r="U83" s="143"/>
      <c r="V83" s="143"/>
      <c r="W83" s="143"/>
      <c r="X83" s="143"/>
      <c r="Y83" s="145">
        <v>229.9</v>
      </c>
      <c r="Z83" s="103">
        <f t="shared" si="28"/>
        <v>0</v>
      </c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3"/>
      <c r="AN83" s="300">
        <f t="shared" si="29"/>
        <v>0</v>
      </c>
      <c r="AO83" s="134">
        <v>12292.19</v>
      </c>
      <c r="AP83" s="134">
        <v>11908.28</v>
      </c>
      <c r="AQ83" s="134"/>
      <c r="AR83" s="105">
        <f t="shared" si="30"/>
        <v>0</v>
      </c>
      <c r="AS83" s="143"/>
      <c r="AT83" s="143"/>
      <c r="AU83" s="143"/>
      <c r="AV83" s="146"/>
      <c r="AW83" s="224">
        <f t="shared" si="31"/>
        <v>0</v>
      </c>
      <c r="AX83" s="1554">
        <v>6912.7</v>
      </c>
      <c r="AY83" s="1546"/>
      <c r="AZ83" s="1546"/>
      <c r="BA83" s="1548"/>
      <c r="BB83" s="1548"/>
      <c r="BC83" s="1548"/>
      <c r="BD83" s="1554">
        <v>5953.6</v>
      </c>
      <c r="BE83" s="1554"/>
      <c r="BF83" s="1554"/>
      <c r="BG83" s="1546"/>
      <c r="BH83" s="1546"/>
      <c r="BI83" s="222">
        <f t="shared" si="32"/>
        <v>0</v>
      </c>
      <c r="BJ83" s="140">
        <f t="shared" si="33"/>
        <v>0</v>
      </c>
      <c r="BK83" s="132"/>
      <c r="BL83" s="140">
        <f t="shared" si="34"/>
        <v>0</v>
      </c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41"/>
      <c r="BY83" s="141"/>
      <c r="BZ83" s="130">
        <f t="shared" si="35"/>
        <v>0</v>
      </c>
      <c r="CA83" s="132"/>
    </row>
    <row r="84" ht="14.25" customHeight="1">
      <c r="A84" s="132"/>
      <c r="B84" s="629">
        <v>46094</v>
      </c>
      <c r="C84" s="133">
        <f>35831.34-D84-E84</f>
      </c>
      <c r="D84" s="134">
        <v>11264.29</v>
      </c>
      <c r="E84" s="460">
        <v>5623.93</v>
      </c>
      <c r="F84" s="460">
        <v>342.6</v>
      </c>
      <c r="G84" s="147">
        <f t="shared" si="27"/>
        <v>0</v>
      </c>
      <c r="H84" s="199">
        <v>245.2</v>
      </c>
      <c r="I84" s="144"/>
      <c r="J84" s="144"/>
      <c r="K84" s="144"/>
      <c r="L84" s="143">
        <v>918.85</v>
      </c>
      <c r="M84" s="145">
        <v>323.93</v>
      </c>
      <c r="N84" s="143"/>
      <c r="O84" s="144"/>
      <c r="P84" s="611"/>
      <c r="Q84" s="143"/>
      <c r="R84" s="143"/>
      <c r="S84" s="143"/>
      <c r="T84" s="145">
        <v>44.46</v>
      </c>
      <c r="U84" s="143"/>
      <c r="V84" s="143"/>
      <c r="W84" s="143"/>
      <c r="X84" s="143"/>
      <c r="Y84" s="145">
        <v>239.9</v>
      </c>
      <c r="Z84" s="103">
        <f t="shared" si="28"/>
        <v>0</v>
      </c>
      <c r="AA84" s="143"/>
      <c r="AB84" s="143"/>
      <c r="AC84" s="145">
        <v>74.95</v>
      </c>
      <c r="AD84" s="143"/>
      <c r="AE84" s="143"/>
      <c r="AF84" s="143"/>
      <c r="AG84" s="143"/>
      <c r="AH84" s="143"/>
      <c r="AI84" s="143"/>
      <c r="AJ84" s="143"/>
      <c r="AK84" s="143"/>
      <c r="AL84" s="143"/>
      <c r="AM84" s="143"/>
      <c r="AN84" s="103">
        <f t="shared" si="29"/>
        <v>0</v>
      </c>
      <c r="AO84" s="134">
        <v>11956.89</v>
      </c>
      <c r="AP84" s="134">
        <v>7017.58</v>
      </c>
      <c r="AQ84" s="134">
        <v>2654.83</v>
      </c>
      <c r="AR84" s="105">
        <f t="shared" si="30"/>
        <v>0</v>
      </c>
      <c r="AS84" s="143"/>
      <c r="AT84" s="143"/>
      <c r="AU84" s="143"/>
      <c r="AV84" s="146"/>
      <c r="AW84" s="224">
        <f t="shared" si="31"/>
        <v>0</v>
      </c>
      <c r="AX84" s="1554">
        <v>5366.6</v>
      </c>
      <c r="AY84" s="1546"/>
      <c r="AZ84" s="1546"/>
      <c r="BA84" s="1548"/>
      <c r="BB84" s="1548"/>
      <c r="BC84" s="1548"/>
      <c r="BD84" s="1554">
        <v>4018.9</v>
      </c>
      <c r="BE84" s="1554">
        <v>2969.1</v>
      </c>
      <c r="BF84" s="1554">
        <v>342.6</v>
      </c>
      <c r="BG84" s="1546"/>
      <c r="BH84" s="1546"/>
      <c r="BI84" s="222">
        <f t="shared" si="32"/>
        <v>0</v>
      </c>
      <c r="BJ84" s="140">
        <f t="shared" si="33"/>
        <v>0</v>
      </c>
      <c r="BK84" s="132"/>
      <c r="BL84" s="140">
        <f t="shared" si="34"/>
        <v>0</v>
      </c>
      <c r="BM84" s="141"/>
      <c r="BN84" s="141"/>
      <c r="BO84" s="141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30">
        <f t="shared" si="35"/>
        <v>0</v>
      </c>
      <c r="CA84" s="132"/>
    </row>
    <row r="85" ht="14.25" customHeight="1">
      <c r="A85" s="132"/>
      <c r="B85" s="629">
        <v>46095</v>
      </c>
      <c r="C85" s="133">
        <f>25805.80-D85-E85</f>
      </c>
      <c r="D85" s="134"/>
      <c r="E85" s="460">
        <v>7491.35</v>
      </c>
      <c r="F85" s="460">
        <v>791.9</v>
      </c>
      <c r="G85" s="147">
        <f t="shared" si="27"/>
        <v>0</v>
      </c>
      <c r="H85" s="144"/>
      <c r="I85" s="144"/>
      <c r="J85" s="199">
        <v>224.96</v>
      </c>
      <c r="K85" s="144"/>
      <c r="L85" s="145">
        <v>175.04</v>
      </c>
      <c r="M85" s="143"/>
      <c r="N85" s="143"/>
      <c r="O85" s="144"/>
      <c r="P85" s="611"/>
      <c r="Q85" s="143"/>
      <c r="R85" s="143"/>
      <c r="S85" s="143"/>
      <c r="T85" s="143">
        <v>1160.72</v>
      </c>
      <c r="U85" s="143"/>
      <c r="V85" s="143"/>
      <c r="W85" s="143"/>
      <c r="X85" s="143"/>
      <c r="Y85" s="143"/>
      <c r="Z85" s="103">
        <f t="shared" si="28"/>
        <v>0</v>
      </c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45">
        <v>153.2</v>
      </c>
      <c r="AM85" s="143"/>
      <c r="AN85" s="103">
        <f t="shared" si="29"/>
        <v>0</v>
      </c>
      <c r="AO85" s="134">
        <v>12327.38</v>
      </c>
      <c r="AP85" s="134"/>
      <c r="AQ85" s="134">
        <v>3796.75</v>
      </c>
      <c r="AR85" s="105">
        <f t="shared" si="30"/>
        <v>0</v>
      </c>
      <c r="AS85" s="143"/>
      <c r="AT85" s="143"/>
      <c r="AU85" s="143"/>
      <c r="AV85" s="146"/>
      <c r="AW85" s="224">
        <f t="shared" si="31"/>
        <v>0</v>
      </c>
      <c r="AX85" s="1554">
        <v>4272.6</v>
      </c>
      <c r="AY85" s="1546"/>
      <c r="AZ85" s="1546"/>
      <c r="BA85" s="1548"/>
      <c r="BB85" s="1548"/>
      <c r="BC85" s="1548"/>
      <c r="BD85" s="1626"/>
      <c r="BE85" s="1554">
        <v>3694.6</v>
      </c>
      <c r="BF85" s="1554">
        <v>791.9</v>
      </c>
      <c r="BG85" s="1546"/>
      <c r="BH85" s="1546"/>
      <c r="BI85" s="222">
        <f t="shared" si="32"/>
        <v>0</v>
      </c>
      <c r="BJ85" s="140">
        <f t="shared" si="33"/>
        <v>0</v>
      </c>
      <c r="BK85" s="132"/>
      <c r="BL85" s="140">
        <f t="shared" si="34"/>
        <v>0</v>
      </c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30">
        <f t="shared" si="35"/>
        <v>0</v>
      </c>
      <c r="CA85" s="132"/>
    </row>
    <row r="86" ht="14.25" customHeight="1">
      <c r="A86" s="132"/>
      <c r="B86" s="629">
        <v>46096</v>
      </c>
      <c r="C86" s="133">
        <f>18547.16-D86-E86</f>
      </c>
      <c r="D86" s="134"/>
      <c r="E86" s="460">
        <v>4869.55</v>
      </c>
      <c r="F86" s="460">
        <v>386.9</v>
      </c>
      <c r="G86" s="147">
        <f t="shared" si="27"/>
        <v>0</v>
      </c>
      <c r="H86" s="144"/>
      <c r="I86" s="144"/>
      <c r="J86" s="144"/>
      <c r="K86" s="144"/>
      <c r="L86" s="143">
        <v>409.43</v>
      </c>
      <c r="M86" s="143"/>
      <c r="N86" s="143"/>
      <c r="O86" s="144"/>
      <c r="P86" s="611"/>
      <c r="Q86" s="143"/>
      <c r="R86" s="143"/>
      <c r="S86" s="143"/>
      <c r="T86" s="143"/>
      <c r="U86" s="143"/>
      <c r="V86" s="143"/>
      <c r="W86" s="143"/>
      <c r="X86" s="143"/>
      <c r="Y86" s="143"/>
      <c r="Z86" s="103">
        <f t="shared" si="28"/>
        <v>0</v>
      </c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3"/>
      <c r="AN86" s="103">
        <f t="shared" si="29"/>
        <v>0</v>
      </c>
      <c r="AO86" s="134">
        <v>9952.75</v>
      </c>
      <c r="AP86" s="134"/>
      <c r="AQ86" s="134">
        <v>2353.15</v>
      </c>
      <c r="AR86" s="105">
        <f t="shared" si="30"/>
        <v>0</v>
      </c>
      <c r="AS86" s="143"/>
      <c r="AT86" s="143"/>
      <c r="AU86" s="143"/>
      <c r="AV86" s="146"/>
      <c r="AW86" s="224">
        <f t="shared" si="31"/>
        <v>0</v>
      </c>
      <c r="AX86" s="1554">
        <v>3315</v>
      </c>
      <c r="AY86" s="1546"/>
      <c r="AZ86" s="1546"/>
      <c r="BA86" s="1548"/>
      <c r="BB86" s="1548"/>
      <c r="BC86" s="1548"/>
      <c r="BD86" s="1626"/>
      <c r="BE86" s="1554">
        <v>2516.4</v>
      </c>
      <c r="BF86" s="1554">
        <v>386.9</v>
      </c>
      <c r="BG86" s="1546"/>
      <c r="BH86" s="1546"/>
      <c r="BI86" s="222">
        <f t="shared" si="32"/>
        <v>0</v>
      </c>
      <c r="BJ86" s="140">
        <f t="shared" si="33"/>
        <v>0</v>
      </c>
      <c r="BK86" s="132"/>
      <c r="BL86" s="140">
        <f t="shared" si="34"/>
        <v>0</v>
      </c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41"/>
      <c r="BY86" s="141"/>
      <c r="BZ86" s="130">
        <f t="shared" si="35"/>
        <v>0</v>
      </c>
      <c r="CA86" s="132"/>
    </row>
    <row r="87" ht="14.25" customHeight="1">
      <c r="A87" s="132"/>
      <c r="B87" s="629">
        <v>46097</v>
      </c>
      <c r="C87" s="133">
        <f>31358.04-D87-E87</f>
      </c>
      <c r="D87" s="134">
        <v>5554.96</v>
      </c>
      <c r="E87" s="460">
        <v>6616.91</v>
      </c>
      <c r="F87" s="460">
        <v>593.1</v>
      </c>
      <c r="G87" s="147">
        <f t="shared" si="27"/>
        <v>0</v>
      </c>
      <c r="H87" s="144"/>
      <c r="I87" s="144"/>
      <c r="J87" s="199">
        <v>239.66</v>
      </c>
      <c r="K87" s="144"/>
      <c r="L87" s="143">
        <v>1005.69</v>
      </c>
      <c r="M87" s="145">
        <v>183.5</v>
      </c>
      <c r="N87" s="143"/>
      <c r="O87" s="144"/>
      <c r="P87" s="611"/>
      <c r="Q87" s="143"/>
      <c r="R87" s="143"/>
      <c r="S87" s="143"/>
      <c r="T87" s="143">
        <v>313.49</v>
      </c>
      <c r="U87" s="143"/>
      <c r="V87" s="145">
        <v>230.38</v>
      </c>
      <c r="W87" s="143"/>
      <c r="X87" s="143"/>
      <c r="Y87" s="143"/>
      <c r="Z87" s="103">
        <f t="shared" si="28"/>
        <v>0</v>
      </c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43"/>
      <c r="AM87" s="143"/>
      <c r="AN87" s="103">
        <f t="shared" si="29"/>
        <v>0</v>
      </c>
      <c r="AO87" s="134">
        <v>13102.17</v>
      </c>
      <c r="AP87" s="134">
        <v>3398.87</v>
      </c>
      <c r="AQ87" s="134">
        <v>3006.41</v>
      </c>
      <c r="AR87" s="105">
        <f t="shared" si="30"/>
        <v>0</v>
      </c>
      <c r="AS87" s="143"/>
      <c r="AT87" s="143"/>
      <c r="AU87" s="143"/>
      <c r="AV87" s="146"/>
      <c r="AW87" s="224">
        <f t="shared" si="31"/>
        <v>0</v>
      </c>
      <c r="AX87" s="1554">
        <v>4486.4</v>
      </c>
      <c r="AY87" s="1546"/>
      <c r="AZ87" s="1546"/>
      <c r="BA87" s="1548"/>
      <c r="BB87" s="1548"/>
      <c r="BC87" s="1548"/>
      <c r="BD87" s="1554">
        <v>1777.6</v>
      </c>
      <c r="BE87" s="1723">
        <v>3610.5</v>
      </c>
      <c r="BF87" s="1723">
        <v>593.1</v>
      </c>
      <c r="BG87" s="1546"/>
      <c r="BH87" s="1546"/>
      <c r="BI87" s="222">
        <f t="shared" si="32"/>
        <v>0</v>
      </c>
      <c r="BJ87" s="140">
        <f t="shared" si="33"/>
        <v>0</v>
      </c>
      <c r="BK87" s="132"/>
      <c r="BL87" s="140">
        <f t="shared" si="34"/>
        <v>0</v>
      </c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41"/>
      <c r="BY87" s="141"/>
      <c r="BZ87" s="130">
        <f t="shared" si="35"/>
        <v>0</v>
      </c>
      <c r="CA87" s="132"/>
    </row>
    <row r="88" ht="14.25" customHeight="1">
      <c r="A88" s="132"/>
      <c r="B88" s="629">
        <v>46098</v>
      </c>
      <c r="C88" s="133">
        <f>36852.22-D88-E88</f>
      </c>
      <c r="D88" s="134">
        <v>8629.56</v>
      </c>
      <c r="E88" s="460">
        <v>6799.42</v>
      </c>
      <c r="F88" s="460">
        <v>707.7</v>
      </c>
      <c r="G88" s="147">
        <f t="shared" si="27"/>
        <v>0</v>
      </c>
      <c r="H88" s="199">
        <v>150</v>
      </c>
      <c r="I88" s="144"/>
      <c r="J88" s="199">
        <v>76.21</v>
      </c>
      <c r="K88" s="144"/>
      <c r="L88" s="143">
        <v>407.23</v>
      </c>
      <c r="M88" s="143"/>
      <c r="N88" s="143"/>
      <c r="O88" s="144"/>
      <c r="P88" s="611"/>
      <c r="Q88" s="143"/>
      <c r="R88" s="143"/>
      <c r="S88" s="143"/>
      <c r="T88" s="143">
        <v>447.73</v>
      </c>
      <c r="U88" s="143"/>
      <c r="V88" s="143"/>
      <c r="W88" s="143"/>
      <c r="X88" s="143"/>
      <c r="Y88" s="143"/>
      <c r="Z88" s="103">
        <f t="shared" si="28"/>
        <v>0</v>
      </c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45">
        <v>175.01</v>
      </c>
      <c r="AM88" s="143"/>
      <c r="AN88" s="103">
        <f t="shared" si="29"/>
        <v>0</v>
      </c>
      <c r="AO88" s="134">
        <v>16327.49</v>
      </c>
      <c r="AP88" s="134">
        <v>5903.85</v>
      </c>
      <c r="AQ88" s="134">
        <v>3425.32</v>
      </c>
      <c r="AR88" s="105">
        <f t="shared" si="30"/>
        <v>0</v>
      </c>
      <c r="AS88" s="143"/>
      <c r="AT88" s="143"/>
      <c r="AU88" s="143"/>
      <c r="AV88" s="146"/>
      <c r="AW88" s="224">
        <f t="shared" si="31"/>
        <v>0</v>
      </c>
      <c r="AX88" s="1554">
        <v>4276.1</v>
      </c>
      <c r="AY88" s="1546"/>
      <c r="AZ88" s="1546"/>
      <c r="BA88" s="1548"/>
      <c r="BB88" s="1548"/>
      <c r="BC88" s="1548"/>
      <c r="BD88" s="1554">
        <v>2288.2</v>
      </c>
      <c r="BE88" s="1723">
        <v>3374.1</v>
      </c>
      <c r="BF88" s="1723">
        <v>707.7</v>
      </c>
      <c r="BG88" s="1546"/>
      <c r="BH88" s="1546"/>
      <c r="BI88" s="222">
        <f t="shared" si="32"/>
        <v>0</v>
      </c>
      <c r="BJ88" s="140">
        <f t="shared" si="33"/>
        <v>0</v>
      </c>
      <c r="BK88" s="132"/>
      <c r="BL88" s="140">
        <f t="shared" si="34"/>
        <v>0</v>
      </c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41"/>
      <c r="BY88" s="141"/>
      <c r="BZ88" s="130">
        <f t="shared" si="35"/>
        <v>0</v>
      </c>
      <c r="CA88" s="132"/>
    </row>
    <row r="89" ht="14.25" customHeight="1">
      <c r="A89" s="132"/>
      <c r="B89" s="629">
        <v>46099</v>
      </c>
      <c r="C89" s="133">
        <f>34741.80-D89-E89</f>
      </c>
      <c r="D89" s="134">
        <v>6944.48</v>
      </c>
      <c r="E89" s="460">
        <v>6855.71</v>
      </c>
      <c r="F89" s="460">
        <v>652.1</v>
      </c>
      <c r="G89" s="147">
        <f t="shared" si="27"/>
        <v>0</v>
      </c>
      <c r="H89" s="199">
        <v>27.65</v>
      </c>
      <c r="I89" s="144"/>
      <c r="J89" s="144"/>
      <c r="K89" s="144"/>
      <c r="L89" s="143">
        <v>1111.13</v>
      </c>
      <c r="M89" s="143"/>
      <c r="N89" s="143"/>
      <c r="O89" s="144"/>
      <c r="P89" s="611"/>
      <c r="Q89" s="143"/>
      <c r="R89" s="143"/>
      <c r="S89" s="143"/>
      <c r="T89" s="143">
        <v>177.35</v>
      </c>
      <c r="U89" s="143"/>
      <c r="V89" s="143"/>
      <c r="W89" s="143"/>
      <c r="X89" s="143"/>
      <c r="Y89" s="145">
        <v>104.95</v>
      </c>
      <c r="Z89" s="103">
        <f t="shared" si="28"/>
        <v>0</v>
      </c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03">
        <f t="shared" si="29"/>
        <v>0</v>
      </c>
      <c r="AO89" s="134">
        <v>15316.4</v>
      </c>
      <c r="AP89" s="134">
        <v>4943.59</v>
      </c>
      <c r="AQ89" s="134">
        <v>3113.71</v>
      </c>
      <c r="AR89" s="105">
        <f t="shared" si="30"/>
        <v>0</v>
      </c>
      <c r="AS89" s="143"/>
      <c r="AT89" s="143"/>
      <c r="AU89" s="143"/>
      <c r="AV89" s="146"/>
      <c r="AW89" s="224">
        <f t="shared" si="31"/>
        <v>0</v>
      </c>
      <c r="AX89" s="1554">
        <v>4597.1</v>
      </c>
      <c r="AY89" s="1546"/>
      <c r="AZ89" s="1546"/>
      <c r="BA89" s="1548"/>
      <c r="BB89" s="1548"/>
      <c r="BC89" s="1548"/>
      <c r="BD89" s="1554">
        <v>1607.2</v>
      </c>
      <c r="BE89" s="1723">
        <v>3742</v>
      </c>
      <c r="BF89" s="1723">
        <v>652.1</v>
      </c>
      <c r="BG89" s="1546"/>
      <c r="BH89" s="1546"/>
      <c r="BI89" s="222">
        <f t="shared" si="32"/>
        <v>0</v>
      </c>
      <c r="BJ89" s="140">
        <f t="shared" si="33"/>
        <v>0</v>
      </c>
      <c r="BK89" s="132"/>
      <c r="BL89" s="140">
        <f t="shared" si="34"/>
        <v>0</v>
      </c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41"/>
      <c r="BY89" s="141"/>
      <c r="BZ89" s="130">
        <f t="shared" si="35"/>
        <v>0</v>
      </c>
      <c r="CA89" s="132"/>
    </row>
    <row r="90" ht="14.25" customHeight="1">
      <c r="A90" s="132"/>
      <c r="B90" s="629">
        <v>46100</v>
      </c>
      <c r="C90" s="133">
        <f>42537.45-D90-E90</f>
      </c>
      <c r="D90" s="134">
        <v>4470.13</v>
      </c>
      <c r="E90" s="460">
        <v>8378.89</v>
      </c>
      <c r="F90" s="460">
        <v>929.8</v>
      </c>
      <c r="G90" s="147">
        <f t="shared" si="27"/>
        <v>0</v>
      </c>
      <c r="H90" s="144"/>
      <c r="I90" s="144"/>
      <c r="J90" s="144"/>
      <c r="K90" s="144"/>
      <c r="L90" s="143">
        <v>937.41</v>
      </c>
      <c r="M90" s="143"/>
      <c r="N90" s="143"/>
      <c r="O90" s="144"/>
      <c r="P90" s="611"/>
      <c r="Q90" s="143"/>
      <c r="R90" s="143"/>
      <c r="S90" s="143"/>
      <c r="T90" s="143">
        <v>676.03</v>
      </c>
      <c r="U90" s="143"/>
      <c r="V90" s="143"/>
      <c r="W90" s="143"/>
      <c r="X90" s="143"/>
      <c r="Y90" s="143">
        <v>719.99</v>
      </c>
      <c r="Z90" s="103">
        <f t="shared" si="28"/>
        <v>0</v>
      </c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03">
        <f t="shared" si="29"/>
        <v>0</v>
      </c>
      <c r="AO90" s="134">
        <v>22771.99</v>
      </c>
      <c r="AP90" s="134">
        <v>3072.96</v>
      </c>
      <c r="AQ90" s="134">
        <v>3537.89</v>
      </c>
      <c r="AR90" s="105">
        <f t="shared" si="30"/>
        <v>0</v>
      </c>
      <c r="AS90" s="143"/>
      <c r="AT90" s="143"/>
      <c r="AU90" s="143"/>
      <c r="AV90" s="146"/>
      <c r="AW90" s="224">
        <f t="shared" si="31"/>
        <v>0</v>
      </c>
      <c r="AX90" s="1554">
        <v>5041</v>
      </c>
      <c r="AY90" s="1546"/>
      <c r="AZ90" s="1546"/>
      <c r="BA90" s="1548"/>
      <c r="BB90" s="1548"/>
      <c r="BC90" s="1548"/>
      <c r="BD90" s="1554">
        <v>939.1</v>
      </c>
      <c r="BE90" s="1723">
        <v>4841</v>
      </c>
      <c r="BF90" s="1723">
        <v>929.8</v>
      </c>
      <c r="BG90" s="1546"/>
      <c r="BH90" s="1546"/>
      <c r="BI90" s="222">
        <f t="shared" si="32"/>
        <v>0</v>
      </c>
      <c r="BJ90" s="140">
        <f t="shared" si="33"/>
        <v>0</v>
      </c>
      <c r="BK90" s="132"/>
      <c r="BL90" s="140">
        <f t="shared" si="34"/>
        <v>0</v>
      </c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41"/>
      <c r="BY90" s="141"/>
      <c r="BZ90" s="130">
        <f t="shared" si="35"/>
        <v>0</v>
      </c>
      <c r="CA90" s="132"/>
    </row>
    <row r="91" ht="14.25" customHeight="1">
      <c r="A91" s="132"/>
      <c r="B91" s="629">
        <v>46101</v>
      </c>
      <c r="C91" s="133">
        <f>45146.85-D91-E91</f>
      </c>
      <c r="D91" s="134">
        <v>3880.6</v>
      </c>
      <c r="E91" s="460">
        <v>7948.99</v>
      </c>
      <c r="F91" s="460">
        <v>807.5</v>
      </c>
      <c r="G91" s="147">
        <f t="shared" si="27"/>
        <v>0</v>
      </c>
      <c r="H91" s="143"/>
      <c r="I91" s="143"/>
      <c r="J91" s="145">
        <v>150.02</v>
      </c>
      <c r="K91" s="143"/>
      <c r="L91" s="145">
        <v>244.07</v>
      </c>
      <c r="M91" s="143"/>
      <c r="N91" s="145">
        <v>263.88</v>
      </c>
      <c r="O91" s="143"/>
      <c r="P91" s="611"/>
      <c r="Q91" s="143"/>
      <c r="R91" s="143"/>
      <c r="S91" s="143"/>
      <c r="T91" s="143"/>
      <c r="U91" s="143"/>
      <c r="V91" s="143"/>
      <c r="W91" s="143"/>
      <c r="X91" s="143"/>
      <c r="Y91" s="143"/>
      <c r="Z91" s="103">
        <f t="shared" si="28"/>
        <v>0</v>
      </c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>
        <v>315.03</v>
      </c>
      <c r="AM91" s="143"/>
      <c r="AN91" s="103">
        <f t="shared" si="29"/>
        <v>0</v>
      </c>
      <c r="AO91" s="134">
        <v>23824.63</v>
      </c>
      <c r="AP91" s="134">
        <v>3301.29</v>
      </c>
      <c r="AQ91" s="134">
        <v>3721.69</v>
      </c>
      <c r="AR91" s="105">
        <f t="shared" si="30"/>
        <v>0</v>
      </c>
      <c r="AS91" s="143"/>
      <c r="AT91" s="143"/>
      <c r="AU91" s="143"/>
      <c r="AV91" s="146"/>
      <c r="AW91" s="224">
        <f t="shared" si="31"/>
        <v>0</v>
      </c>
      <c r="AX91" s="1554">
        <v>8519.4</v>
      </c>
      <c r="AY91" s="1546"/>
      <c r="AZ91" s="1546"/>
      <c r="BA91" s="1548"/>
      <c r="BB91" s="1548"/>
      <c r="BC91" s="1548"/>
      <c r="BD91" s="1554">
        <v>579.3</v>
      </c>
      <c r="BE91" s="1723">
        <v>4227.3</v>
      </c>
      <c r="BF91" s="1723">
        <v>807.5</v>
      </c>
      <c r="BG91" s="1546"/>
      <c r="BH91" s="1546"/>
      <c r="BI91" s="222">
        <f t="shared" si="32"/>
        <v>0</v>
      </c>
      <c r="BJ91" s="140">
        <f t="shared" si="33"/>
        <v>0</v>
      </c>
      <c r="BK91" s="132"/>
      <c r="BL91" s="140">
        <f t="shared" si="34"/>
        <v>0</v>
      </c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41"/>
      <c r="BY91" s="141"/>
      <c r="BZ91" s="130">
        <f t="shared" si="35"/>
        <v>0</v>
      </c>
      <c r="CA91" s="132"/>
    </row>
    <row r="92" ht="14.25" customHeight="1">
      <c r="A92" s="132"/>
      <c r="B92" s="629">
        <v>46102</v>
      </c>
      <c r="C92" s="133">
        <f>49166.12-D92-E92</f>
      </c>
      <c r="D92" s="134">
        <v>4998.3</v>
      </c>
      <c r="E92" s="460">
        <v>5389.4</v>
      </c>
      <c r="F92" s="460">
        <v>337.5</v>
      </c>
      <c r="G92" s="147">
        <f t="shared" si="27"/>
        <v>0</v>
      </c>
      <c r="H92" s="144"/>
      <c r="I92" s="144"/>
      <c r="J92" s="199">
        <v>316.88</v>
      </c>
      <c r="K92" s="144"/>
      <c r="L92" s="145">
        <v>330.95</v>
      </c>
      <c r="M92" s="143"/>
      <c r="N92" s="143"/>
      <c r="O92" s="144"/>
      <c r="P92" s="611"/>
      <c r="Q92" s="143"/>
      <c r="R92" s="143"/>
      <c r="S92" s="143"/>
      <c r="T92" s="143">
        <v>222.37</v>
      </c>
      <c r="U92" s="143"/>
      <c r="V92" s="143"/>
      <c r="W92" s="143"/>
      <c r="X92" s="143"/>
      <c r="Y92" s="145">
        <v>196.82</v>
      </c>
      <c r="Z92" s="103">
        <f t="shared" si="28"/>
        <v>0</v>
      </c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03">
        <f t="shared" si="29"/>
        <v>0</v>
      </c>
      <c r="AO92" s="134">
        <v>29651.93</v>
      </c>
      <c r="AP92" s="134">
        <v>3857.37</v>
      </c>
      <c r="AQ92" s="134">
        <v>2159.8</v>
      </c>
      <c r="AR92" s="105">
        <f t="shared" si="30"/>
        <v>0</v>
      </c>
      <c r="AS92" s="143"/>
      <c r="AT92" s="143"/>
      <c r="AU92" s="143"/>
      <c r="AV92" s="146"/>
      <c r="AW92" s="224">
        <f t="shared" si="31"/>
        <v>0</v>
      </c>
      <c r="AX92" s="1554">
        <v>6735.3</v>
      </c>
      <c r="AY92" s="1546"/>
      <c r="AZ92" s="1546"/>
      <c r="BA92" s="1548"/>
      <c r="BB92" s="1548"/>
      <c r="BC92" s="1548"/>
      <c r="BD92" s="1554">
        <v>1094.5</v>
      </c>
      <c r="BE92" s="1723">
        <v>3229.6</v>
      </c>
      <c r="BF92" s="1723">
        <v>337.5</v>
      </c>
      <c r="BG92" s="1546"/>
      <c r="BH92" s="1546"/>
      <c r="BI92" s="222">
        <f t="shared" si="32"/>
        <v>0</v>
      </c>
      <c r="BJ92" s="140">
        <f t="shared" si="33"/>
        <v>0</v>
      </c>
      <c r="BK92" s="132"/>
      <c r="BL92" s="140">
        <f t="shared" si="34"/>
        <v>0</v>
      </c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50"/>
      <c r="BX92" s="141"/>
      <c r="BY92" s="141">
        <v>1370</v>
      </c>
      <c r="BZ92" s="130">
        <f t="shared" si="35"/>
        <v>0</v>
      </c>
      <c r="CA92" s="132"/>
    </row>
    <row r="93" ht="14.25" customHeight="1">
      <c r="A93" s="132"/>
      <c r="B93" s="629">
        <v>46103</v>
      </c>
      <c r="C93" s="133">
        <f>30055.80-D93-E93</f>
      </c>
      <c r="D93" s="134">
        <v>2675.66</v>
      </c>
      <c r="E93" s="460"/>
      <c r="F93" s="460"/>
      <c r="G93" s="147">
        <f t="shared" si="27"/>
        <v>0</v>
      </c>
      <c r="H93" s="144"/>
      <c r="I93" s="144"/>
      <c r="J93" s="199">
        <v>232.06</v>
      </c>
      <c r="K93" s="144"/>
      <c r="L93" s="145">
        <v>80.02</v>
      </c>
      <c r="M93" s="143"/>
      <c r="N93" s="143"/>
      <c r="O93" s="144"/>
      <c r="P93" s="611"/>
      <c r="Q93" s="143"/>
      <c r="R93" s="143"/>
      <c r="S93" s="145"/>
      <c r="T93" s="145">
        <v>55.97</v>
      </c>
      <c r="U93" s="143"/>
      <c r="V93" s="143"/>
      <c r="W93" s="143"/>
      <c r="X93" s="143"/>
      <c r="Y93" s="143"/>
      <c r="Z93" s="103">
        <f t="shared" si="28"/>
        <v>0</v>
      </c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03">
        <f t="shared" si="29"/>
        <v>0</v>
      </c>
      <c r="AO93" s="134">
        <v>21223.01</v>
      </c>
      <c r="AP93" s="134">
        <v>1849.25</v>
      </c>
      <c r="AQ93" s="134"/>
      <c r="AR93" s="105">
        <f t="shared" si="30"/>
        <v>0</v>
      </c>
      <c r="AS93" s="143"/>
      <c r="AT93" s="143"/>
      <c r="AU93" s="143"/>
      <c r="AV93" s="146"/>
      <c r="AW93" s="224">
        <f t="shared" si="31"/>
        <v>0</v>
      </c>
      <c r="AX93" s="1554">
        <v>5843.9</v>
      </c>
      <c r="AY93" s="1546"/>
      <c r="AZ93" s="1546"/>
      <c r="BA93" s="1548"/>
      <c r="BB93" s="1548"/>
      <c r="BC93" s="1548"/>
      <c r="BD93" s="1554">
        <v>721</v>
      </c>
      <c r="BE93" s="1723"/>
      <c r="BF93" s="1723"/>
      <c r="BG93" s="1546"/>
      <c r="BH93" s="1546"/>
      <c r="BI93" s="222">
        <f t="shared" si="32"/>
        <v>0</v>
      </c>
      <c r="BJ93" s="140">
        <f t="shared" si="33"/>
        <v>0</v>
      </c>
      <c r="BK93" s="132"/>
      <c r="BL93" s="140">
        <f t="shared" si="34"/>
        <v>0</v>
      </c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41"/>
      <c r="BY93" s="141"/>
      <c r="BZ93" s="130">
        <f t="shared" si="35"/>
        <v>0</v>
      </c>
      <c r="CA93" s="132"/>
    </row>
    <row r="94" ht="14.25" customHeight="1">
      <c r="A94" s="132"/>
      <c r="B94" s="629">
        <v>46104</v>
      </c>
      <c r="C94" s="133">
        <f>24986.21-D94-E94</f>
      </c>
      <c r="D94" s="134">
        <v>1588.76</v>
      </c>
      <c r="E94" s="460">
        <v>2195.72</v>
      </c>
      <c r="F94" s="460">
        <v>187.5</v>
      </c>
      <c r="G94" s="147">
        <f t="shared" si="27"/>
        <v>0</v>
      </c>
      <c r="H94" s="144"/>
      <c r="I94" s="144"/>
      <c r="J94" s="144"/>
      <c r="K94" s="144"/>
      <c r="L94" s="143">
        <v>915.89</v>
      </c>
      <c r="M94" s="143"/>
      <c r="N94" s="143"/>
      <c r="O94" s="199">
        <v>279.86</v>
      </c>
      <c r="P94" s="611"/>
      <c r="Q94" s="143"/>
      <c r="R94" s="143"/>
      <c r="S94" s="143"/>
      <c r="T94" s="143">
        <v>138.5</v>
      </c>
      <c r="U94" s="143"/>
      <c r="V94" s="143"/>
      <c r="W94" s="143"/>
      <c r="X94" s="143"/>
      <c r="Y94" s="143"/>
      <c r="Z94" s="103">
        <f t="shared" si="28"/>
        <v>0</v>
      </c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43"/>
      <c r="AM94" s="143"/>
      <c r="AN94" s="103">
        <f t="shared" si="29"/>
        <v>0</v>
      </c>
      <c r="AO94" s="134">
        <v>15929.84</v>
      </c>
      <c r="AP94" s="134">
        <v>991.25</v>
      </c>
      <c r="AQ94" s="134">
        <v>1083.12</v>
      </c>
      <c r="AR94" s="105">
        <f t="shared" si="30"/>
        <v>0</v>
      </c>
      <c r="AS94" s="143"/>
      <c r="AT94" s="143"/>
      <c r="AU94" s="143"/>
      <c r="AV94" s="146"/>
      <c r="AW94" s="224">
        <f t="shared" si="31"/>
        <v>0</v>
      </c>
      <c r="AX94" s="1554">
        <v>2281.3</v>
      </c>
      <c r="AY94" s="1546"/>
      <c r="AZ94" s="1546"/>
      <c r="BA94" s="1548"/>
      <c r="BB94" s="1548"/>
      <c r="BC94" s="1548"/>
      <c r="BD94" s="1554">
        <v>489</v>
      </c>
      <c r="BE94" s="1723">
        <v>1112.6</v>
      </c>
      <c r="BF94" s="1723">
        <v>187.5</v>
      </c>
      <c r="BG94" s="1546"/>
      <c r="BH94" s="1546"/>
      <c r="BI94" s="222">
        <f t="shared" si="32"/>
        <v>0</v>
      </c>
      <c r="BJ94" s="140">
        <f t="shared" si="33"/>
        <v>0</v>
      </c>
      <c r="BK94" s="132"/>
      <c r="BL94" s="140">
        <f t="shared" si="34"/>
        <v>0</v>
      </c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50"/>
      <c r="BX94" s="141"/>
      <c r="BY94" s="141">
        <v>1764.23</v>
      </c>
      <c r="BZ94" s="130">
        <f t="shared" si="35"/>
        <v>0</v>
      </c>
      <c r="CA94" s="132"/>
    </row>
    <row r="95" ht="14.25" customHeight="1">
      <c r="A95" s="132"/>
      <c r="B95" s="629">
        <v>46105</v>
      </c>
      <c r="C95" s="133">
        <f>44077.69-D95-E95</f>
      </c>
      <c r="D95" s="134">
        <v>2068.47</v>
      </c>
      <c r="E95" s="460">
        <v>7756.85</v>
      </c>
      <c r="F95" s="460">
        <v>718</v>
      </c>
      <c r="G95" s="147">
        <f t="shared" si="27"/>
        <v>0</v>
      </c>
      <c r="H95" s="199">
        <v>50</v>
      </c>
      <c r="I95" s="144"/>
      <c r="J95" s="144"/>
      <c r="K95" s="144"/>
      <c r="L95" s="143">
        <v>713.22</v>
      </c>
      <c r="M95" s="145">
        <v>224.05</v>
      </c>
      <c r="N95" s="143"/>
      <c r="O95" s="144"/>
      <c r="P95" s="611"/>
      <c r="Q95" s="143"/>
      <c r="R95" s="143"/>
      <c r="S95" s="145"/>
      <c r="T95" s="143">
        <v>407.26</v>
      </c>
      <c r="U95" s="143"/>
      <c r="V95" s="143"/>
      <c r="W95" s="143"/>
      <c r="X95" s="143"/>
      <c r="Y95" s="145">
        <v>219.9</v>
      </c>
      <c r="Z95" s="103">
        <f t="shared" si="28"/>
        <v>0</v>
      </c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3"/>
      <c r="AN95" s="103">
        <f t="shared" si="29"/>
        <v>0</v>
      </c>
      <c r="AO95" s="134">
        <v>23773.69</v>
      </c>
      <c r="AP95" s="134">
        <v>1428.72</v>
      </c>
      <c r="AQ95" s="134">
        <v>3668.65</v>
      </c>
      <c r="AR95" s="105">
        <f t="shared" si="30"/>
        <v>0</v>
      </c>
      <c r="AS95" s="143"/>
      <c r="AT95" s="143"/>
      <c r="AU95" s="143"/>
      <c r="AV95" s="146"/>
      <c r="AW95" s="224">
        <f t="shared" si="31"/>
        <v>0</v>
      </c>
      <c r="AX95" s="1554">
        <v>9040.7</v>
      </c>
      <c r="AY95" s="1546"/>
      <c r="AZ95" s="1546"/>
      <c r="BA95" s="1548"/>
      <c r="BB95" s="1548"/>
      <c r="BC95" s="1548"/>
      <c r="BD95" s="1554">
        <v>322</v>
      </c>
      <c r="BE95" s="1723">
        <v>4088.2</v>
      </c>
      <c r="BF95" s="1723">
        <v>718</v>
      </c>
      <c r="BG95" s="1546"/>
      <c r="BH95" s="1546"/>
      <c r="BI95" s="222">
        <f t="shared" si="32"/>
        <v>0</v>
      </c>
      <c r="BJ95" s="140">
        <f t="shared" si="33"/>
        <v>0</v>
      </c>
      <c r="BK95" s="132"/>
      <c r="BL95" s="140">
        <f t="shared" si="34"/>
        <v>0</v>
      </c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41"/>
      <c r="BY95" s="141"/>
      <c r="BZ95" s="130">
        <f t="shared" si="35"/>
        <v>0</v>
      </c>
      <c r="CA95" s="132"/>
    </row>
    <row r="96" ht="14.25" customHeight="1">
      <c r="A96" s="132"/>
      <c r="B96" s="629">
        <v>46106</v>
      </c>
      <c r="C96" s="133">
        <f>32929.41-D96-E96</f>
      </c>
      <c r="D96" s="134">
        <v>1992.02</v>
      </c>
      <c r="E96" s="460">
        <v>7461.46</v>
      </c>
      <c r="F96" s="460">
        <v>707.8</v>
      </c>
      <c r="G96" s="147">
        <f t="shared" si="27"/>
        <v>0</v>
      </c>
      <c r="H96" s="144"/>
      <c r="I96" s="144"/>
      <c r="J96" s="144"/>
      <c r="K96" s="144"/>
      <c r="L96" s="143">
        <v>662.56</v>
      </c>
      <c r="M96" s="143"/>
      <c r="N96" s="145">
        <v>275.88</v>
      </c>
      <c r="O96" s="144"/>
      <c r="P96" s="611"/>
      <c r="Q96" s="143"/>
      <c r="R96" s="143"/>
      <c r="S96" s="143"/>
      <c r="T96" s="143">
        <v>80.85</v>
      </c>
      <c r="U96" s="143"/>
      <c r="V96" s="145">
        <v>213.82</v>
      </c>
      <c r="W96" s="143"/>
      <c r="X96" s="143"/>
      <c r="Y96" s="145">
        <v>314.85</v>
      </c>
      <c r="Z96" s="103">
        <f t="shared" si="28"/>
        <v>0</v>
      </c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03">
        <f t="shared" si="29"/>
        <v>0</v>
      </c>
      <c r="AO96" s="134">
        <v>16125.23</v>
      </c>
      <c r="AP96" s="134">
        <v>1185.82</v>
      </c>
      <c r="AQ96" s="134">
        <v>3781.96</v>
      </c>
      <c r="AR96" s="105">
        <f t="shared" si="30"/>
        <v>0</v>
      </c>
      <c r="AS96" s="143"/>
      <c r="AT96" s="143"/>
      <c r="AU96" s="143"/>
      <c r="AV96" s="146"/>
      <c r="AW96" s="224">
        <f t="shared" si="31"/>
        <v>0</v>
      </c>
      <c r="AX96" s="1554">
        <v>6076.5</v>
      </c>
      <c r="AY96" s="1546"/>
      <c r="AZ96" s="1546"/>
      <c r="BA96" s="1548"/>
      <c r="BB96" s="1548"/>
      <c r="BC96" s="1548"/>
      <c r="BD96" s="1554">
        <v>532.1</v>
      </c>
      <c r="BE96" s="1723">
        <v>3679.5</v>
      </c>
      <c r="BF96" s="1723">
        <v>707.8</v>
      </c>
      <c r="BG96" s="1546"/>
      <c r="BH96" s="1546"/>
      <c r="BI96" s="222">
        <f t="shared" si="32"/>
        <v>0</v>
      </c>
      <c r="BJ96" s="140">
        <f t="shared" si="33"/>
        <v>0</v>
      </c>
      <c r="BK96" s="132"/>
      <c r="BL96" s="140">
        <f t="shared" si="34"/>
        <v>0</v>
      </c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41"/>
      <c r="BY96" s="141"/>
      <c r="BZ96" s="130">
        <f t="shared" si="35"/>
        <v>0</v>
      </c>
      <c r="CA96" s="132"/>
    </row>
    <row r="97" ht="14.25" customHeight="1">
      <c r="A97" s="132"/>
      <c r="B97" s="629">
        <v>46107</v>
      </c>
      <c r="C97" s="133">
        <f>39926.07-D97-E97</f>
      </c>
      <c r="D97" s="134">
        <v>3555.25</v>
      </c>
      <c r="E97" s="460">
        <v>9259.02</v>
      </c>
      <c r="F97" s="460">
        <v>856.7</v>
      </c>
      <c r="G97" s="147">
        <f t="shared" si="27"/>
        <v>0</v>
      </c>
      <c r="H97" s="144"/>
      <c r="I97" s="144"/>
      <c r="J97" s="144"/>
      <c r="K97" s="144"/>
      <c r="L97" s="143">
        <v>1026.85</v>
      </c>
      <c r="M97" s="143"/>
      <c r="N97" s="145">
        <v>459.8</v>
      </c>
      <c r="O97" s="144"/>
      <c r="P97" s="611"/>
      <c r="Q97" s="143"/>
      <c r="R97" s="143"/>
      <c r="S97" s="143"/>
      <c r="T97" s="143"/>
      <c r="U97" s="145">
        <v>209.9</v>
      </c>
      <c r="V97" s="143"/>
      <c r="W97" s="143"/>
      <c r="X97" s="143"/>
      <c r="Y97" s="145">
        <v>524.75</v>
      </c>
      <c r="Z97" s="103">
        <f t="shared" si="28"/>
        <v>0</v>
      </c>
      <c r="AA97" s="132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03">
        <f t="shared" si="29"/>
        <v>0</v>
      </c>
      <c r="AO97" s="134">
        <v>19069.01</v>
      </c>
      <c r="AP97" s="134">
        <v>3098.12</v>
      </c>
      <c r="AQ97" s="134">
        <v>4194.32</v>
      </c>
      <c r="AR97" s="105">
        <f t="shared" si="30"/>
        <v>0</v>
      </c>
      <c r="AS97" s="143"/>
      <c r="AT97" s="143"/>
      <c r="AU97" s="143"/>
      <c r="AV97" s="146"/>
      <c r="AW97" s="224">
        <f t="shared" si="31"/>
        <v>0</v>
      </c>
      <c r="AX97" s="1554">
        <v>5820.7</v>
      </c>
      <c r="AY97" s="1546"/>
      <c r="AZ97" s="1546"/>
      <c r="BA97" s="1548"/>
      <c r="BB97" s="1548"/>
      <c r="BC97" s="1548"/>
      <c r="BD97" s="1554">
        <v>457.1</v>
      </c>
      <c r="BE97" s="1723">
        <v>5064.7</v>
      </c>
      <c r="BF97" s="1723">
        <v>856.7</v>
      </c>
      <c r="BG97" s="1546"/>
      <c r="BH97" s="1546"/>
      <c r="BI97" s="222">
        <f t="shared" si="32"/>
        <v>0</v>
      </c>
      <c r="BJ97" s="140">
        <f t="shared" si="33"/>
        <v>0</v>
      </c>
      <c r="BK97" s="132"/>
      <c r="BL97" s="140">
        <f t="shared" si="34"/>
        <v>0</v>
      </c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41"/>
      <c r="BX97" s="141"/>
      <c r="BY97" s="141"/>
      <c r="BZ97" s="130">
        <f t="shared" si="35"/>
        <v>0</v>
      </c>
      <c r="CA97" s="132"/>
    </row>
    <row r="98" ht="14.25" customHeight="1">
      <c r="A98" s="132"/>
      <c r="B98" s="629">
        <v>46108</v>
      </c>
      <c r="C98" s="133">
        <f>40911.18-D98-E98</f>
      </c>
      <c r="D98" s="134">
        <v>4196.75</v>
      </c>
      <c r="E98" s="460">
        <v>8593.81</v>
      </c>
      <c r="F98" s="460">
        <v>897.2</v>
      </c>
      <c r="G98" s="147">
        <f t="shared" si="27"/>
        <v>0</v>
      </c>
      <c r="H98" s="199">
        <v>322.57</v>
      </c>
      <c r="I98" s="144"/>
      <c r="J98" s="199">
        <v>253.39</v>
      </c>
      <c r="K98" s="144"/>
      <c r="L98" s="145">
        <v>80.02</v>
      </c>
      <c r="M98" s="143"/>
      <c r="N98" s="143"/>
      <c r="O98" s="199">
        <v>251.88</v>
      </c>
      <c r="P98" s="611"/>
      <c r="Q98" s="143"/>
      <c r="R98" s="143"/>
      <c r="S98" s="143"/>
      <c r="T98" s="143"/>
      <c r="U98" s="143"/>
      <c r="V98" s="143"/>
      <c r="W98" s="143"/>
      <c r="X98" s="143"/>
      <c r="Y98" s="143"/>
      <c r="Z98" s="103">
        <f t="shared" si="28"/>
        <v>0</v>
      </c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5">
        <v>282.13</v>
      </c>
      <c r="AM98" s="143"/>
      <c r="AN98" s="103">
        <f t="shared" si="29"/>
        <v>0</v>
      </c>
      <c r="AO98" s="134">
        <v>19567.69</v>
      </c>
      <c r="AP98" s="134">
        <v>2839.69</v>
      </c>
      <c r="AQ98" s="134">
        <v>4108.81</v>
      </c>
      <c r="AR98" s="105">
        <f t="shared" si="30"/>
        <v>0</v>
      </c>
      <c r="AS98" s="143"/>
      <c r="AT98" s="143"/>
      <c r="AU98" s="143"/>
      <c r="AV98" s="146"/>
      <c r="AW98" s="224">
        <f t="shared" si="31"/>
        <v>0</v>
      </c>
      <c r="AX98" s="1554">
        <v>7442.4</v>
      </c>
      <c r="AY98" s="1546"/>
      <c r="AZ98" s="1546"/>
      <c r="BA98" s="1548"/>
      <c r="BB98" s="1548"/>
      <c r="BC98" s="1548"/>
      <c r="BD98" s="1554">
        <v>1277</v>
      </c>
      <c r="BE98" s="1723">
        <v>4485</v>
      </c>
      <c r="BF98" s="1723">
        <v>897.2</v>
      </c>
      <c r="BG98" s="1546"/>
      <c r="BH98" s="1546"/>
      <c r="BI98" s="222">
        <f t="shared" si="32"/>
        <v>0</v>
      </c>
      <c r="BJ98" s="140">
        <f t="shared" si="33"/>
        <v>0</v>
      </c>
      <c r="BK98" s="132"/>
      <c r="BL98" s="140">
        <f t="shared" si="34"/>
        <v>0</v>
      </c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41"/>
      <c r="BY98" s="141"/>
      <c r="BZ98" s="130">
        <f t="shared" si="35"/>
        <v>0</v>
      </c>
      <c r="CA98" s="132"/>
    </row>
    <row r="99" ht="14.25" customHeight="1">
      <c r="A99" s="132"/>
      <c r="B99" s="629">
        <v>46109</v>
      </c>
      <c r="C99" s="133">
        <f>39490.35-D99-E99</f>
      </c>
      <c r="D99" s="134">
        <v>5257.43</v>
      </c>
      <c r="E99" s="460">
        <v>9680.87</v>
      </c>
      <c r="F99" s="460">
        <v>938</v>
      </c>
      <c r="G99" s="147">
        <f t="shared" si="27"/>
        <v>0</v>
      </c>
      <c r="H99" s="144"/>
      <c r="I99" s="144"/>
      <c r="J99" s="199"/>
      <c r="K99" s="144"/>
      <c r="L99" s="143"/>
      <c r="M99" s="143"/>
      <c r="N99" s="143"/>
      <c r="O99" s="144"/>
      <c r="P99" s="611"/>
      <c r="Q99" s="143"/>
      <c r="R99" s="143"/>
      <c r="S99" s="143"/>
      <c r="T99" s="143"/>
      <c r="U99" s="143"/>
      <c r="V99" s="143"/>
      <c r="W99" s="143"/>
      <c r="X99" s="143"/>
      <c r="Y99" s="143"/>
      <c r="Z99" s="103">
        <f t="shared" si="28"/>
        <v>0</v>
      </c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5"/>
      <c r="AM99" s="143"/>
      <c r="AN99" s="103">
        <f t="shared" si="29"/>
        <v>0</v>
      </c>
      <c r="AO99" s="134">
        <v>17839.92</v>
      </c>
      <c r="AP99" s="134">
        <v>3284.77</v>
      </c>
      <c r="AQ99" s="134">
        <v>4481.27</v>
      </c>
      <c r="AR99" s="105">
        <f t="shared" si="30"/>
        <v>0</v>
      </c>
      <c r="AS99" s="143"/>
      <c r="AT99" s="143"/>
      <c r="AU99" s="143"/>
      <c r="AV99" s="146"/>
      <c r="AW99" s="224">
        <f t="shared" si="31"/>
        <v>0</v>
      </c>
      <c r="AX99" s="1554">
        <v>6360</v>
      </c>
      <c r="AY99" s="1546"/>
      <c r="AZ99" s="1546"/>
      <c r="BA99" s="1548"/>
      <c r="BB99" s="1548"/>
      <c r="BC99" s="1548"/>
      <c r="BD99" s="1554">
        <v>1972.6</v>
      </c>
      <c r="BE99" s="1723">
        <v>5199.6</v>
      </c>
      <c r="BF99" s="1723">
        <v>938</v>
      </c>
      <c r="BG99" s="1546"/>
      <c r="BH99" s="1546"/>
      <c r="BI99" s="222">
        <f t="shared" si="32"/>
        <v>0</v>
      </c>
      <c r="BJ99" s="140">
        <f t="shared" si="33"/>
        <v>0</v>
      </c>
      <c r="BK99" s="132"/>
      <c r="BL99" s="140">
        <f t="shared" si="34"/>
        <v>0</v>
      </c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41"/>
      <c r="BY99" s="141"/>
      <c r="BZ99" s="130">
        <f t="shared" si="35"/>
        <v>0</v>
      </c>
      <c r="CA99" s="132"/>
    </row>
    <row r="100" ht="14.25" customHeight="1">
      <c r="A100" s="132"/>
      <c r="B100" s="629">
        <v>46110</v>
      </c>
      <c r="C100" s="133">
        <f>35568.59-D100-E100</f>
      </c>
      <c r="D100" s="134">
        <v>4961.41</v>
      </c>
      <c r="E100" s="460">
        <v>5930.87</v>
      </c>
      <c r="F100" s="460">
        <v>609.6</v>
      </c>
      <c r="G100" s="147">
        <f t="shared" si="27"/>
        <v>0</v>
      </c>
      <c r="H100" s="144"/>
      <c r="I100" s="144"/>
      <c r="J100" s="144"/>
      <c r="K100" s="144"/>
      <c r="L100" s="145">
        <v>150</v>
      </c>
      <c r="M100" s="143"/>
      <c r="N100" s="143"/>
      <c r="O100" s="144"/>
      <c r="P100" s="611"/>
      <c r="Q100" s="143"/>
      <c r="R100" s="143"/>
      <c r="S100" s="143"/>
      <c r="T100" s="145">
        <v>42.56</v>
      </c>
      <c r="U100" s="143"/>
      <c r="V100" s="143"/>
      <c r="W100" s="143"/>
      <c r="X100" s="143"/>
      <c r="Y100" s="143"/>
      <c r="Z100" s="103">
        <f t="shared" si="28"/>
        <v>0</v>
      </c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03">
        <f t="shared" si="29"/>
        <v>0</v>
      </c>
      <c r="AO100" s="134">
        <v>18223.57</v>
      </c>
      <c r="AP100" s="134">
        <v>3944.02</v>
      </c>
      <c r="AQ100" s="134">
        <v>3026.37</v>
      </c>
      <c r="AR100" s="105">
        <f t="shared" si="30"/>
        <v>0</v>
      </c>
      <c r="AS100" s="143"/>
      <c r="AT100" s="143"/>
      <c r="AU100" s="143"/>
      <c r="AV100" s="146"/>
      <c r="AW100" s="224">
        <f t="shared" si="31"/>
        <v>0</v>
      </c>
      <c r="AX100" s="1554">
        <v>6260.4</v>
      </c>
      <c r="AY100" s="1546"/>
      <c r="AZ100" s="1546"/>
      <c r="BA100" s="1548"/>
      <c r="BB100" s="1548"/>
      <c r="BC100" s="1548"/>
      <c r="BD100" s="1554">
        <v>1017.1</v>
      </c>
      <c r="BE100" s="1723">
        <v>2904.5</v>
      </c>
      <c r="BF100" s="1723">
        <v>609.6</v>
      </c>
      <c r="BG100" s="1546"/>
      <c r="BH100" s="1546"/>
      <c r="BI100" s="222">
        <f t="shared" si="32"/>
        <v>0</v>
      </c>
      <c r="BJ100" s="140">
        <f t="shared" si="33"/>
        <v>0</v>
      </c>
      <c r="BK100" s="132"/>
      <c r="BL100" s="140">
        <f t="shared" si="34"/>
        <v>0</v>
      </c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41"/>
      <c r="BY100" s="141"/>
      <c r="BZ100" s="130">
        <f t="shared" si="35"/>
        <v>0</v>
      </c>
      <c r="CA100" s="132"/>
    </row>
    <row r="101" ht="14.25" customHeight="1">
      <c r="A101" s="132"/>
      <c r="B101" s="629">
        <v>46111</v>
      </c>
      <c r="C101" s="133">
        <f>34697.60-D101-E101</f>
      </c>
      <c r="D101" s="134">
        <v>4044.04</v>
      </c>
      <c r="E101" s="460">
        <v>7601.4</v>
      </c>
      <c r="F101" s="460">
        <v>834.5</v>
      </c>
      <c r="G101" s="147">
        <f t="shared" si="27"/>
        <v>0</v>
      </c>
      <c r="H101" s="144"/>
      <c r="I101" s="144"/>
      <c r="J101" s="144"/>
      <c r="K101" s="144"/>
      <c r="L101" s="145">
        <v>573.94</v>
      </c>
      <c r="M101" s="143"/>
      <c r="N101" s="145">
        <v>275.88</v>
      </c>
      <c r="O101" s="144"/>
      <c r="P101" s="611"/>
      <c r="Q101" s="143"/>
      <c r="R101" s="143"/>
      <c r="S101" s="143"/>
      <c r="T101" s="143">
        <v>660.27</v>
      </c>
      <c r="U101" s="633"/>
      <c r="V101" s="633"/>
      <c r="W101" s="633"/>
      <c r="X101" s="633"/>
      <c r="Y101" s="634">
        <v>104.95</v>
      </c>
      <c r="Z101" s="103">
        <f t="shared" si="28"/>
        <v>0</v>
      </c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3"/>
      <c r="AN101" s="103">
        <f t="shared" si="29"/>
        <v>0</v>
      </c>
      <c r="AO101" s="134">
        <v>16796.91</v>
      </c>
      <c r="AP101" s="134">
        <v>2902.3</v>
      </c>
      <c r="AQ101" s="134">
        <v>3654</v>
      </c>
      <c r="AR101" s="105">
        <f t="shared" si="30"/>
        <v>0</v>
      </c>
      <c r="AS101" s="143"/>
      <c r="AT101" s="143"/>
      <c r="AU101" s="143"/>
      <c r="AV101" s="146"/>
      <c r="AW101" s="224">
        <f t="shared" si="31"/>
        <v>0</v>
      </c>
      <c r="AX101" s="1554">
        <v>4697.8</v>
      </c>
      <c r="AY101" s="1546"/>
      <c r="AZ101" s="1546"/>
      <c r="BA101" s="1548"/>
      <c r="BB101" s="1548"/>
      <c r="BC101" s="1548"/>
      <c r="BD101" s="1554">
        <v>1083.6</v>
      </c>
      <c r="BE101" s="1723">
        <v>3947.4</v>
      </c>
      <c r="BF101" s="1723">
        <v>834.5</v>
      </c>
      <c r="BG101" s="1546"/>
      <c r="BH101" s="1546"/>
      <c r="BI101" s="222">
        <f t="shared" si="32"/>
        <v>0</v>
      </c>
      <c r="BJ101" s="140">
        <f t="shared" si="33"/>
        <v>0</v>
      </c>
      <c r="BK101" s="132"/>
      <c r="BL101" s="140">
        <f t="shared" si="34"/>
        <v>0</v>
      </c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52"/>
      <c r="BY101" s="141"/>
      <c r="BZ101" s="130">
        <f t="shared" si="35"/>
        <v>0</v>
      </c>
      <c r="CA101" s="132"/>
    </row>
    <row r="102" ht="14.25" customHeight="1">
      <c r="A102" s="132"/>
      <c r="B102" s="629">
        <v>46112</v>
      </c>
      <c r="C102" s="133">
        <f>38421.88-D102-E102</f>
      </c>
      <c r="D102" s="134">
        <v>3803.04</v>
      </c>
      <c r="E102" s="460">
        <v>8103.18</v>
      </c>
      <c r="F102" s="460">
        <v>720.7</v>
      </c>
      <c r="G102" s="147">
        <f t="shared" si="27"/>
        <v>0</v>
      </c>
      <c r="H102" s="199">
        <v>70</v>
      </c>
      <c r="I102" s="144"/>
      <c r="J102" s="144"/>
      <c r="K102" s="144"/>
      <c r="L102" s="145">
        <v>340.16</v>
      </c>
      <c r="M102" s="143"/>
      <c r="N102" s="143"/>
      <c r="O102" s="144"/>
      <c r="P102" s="611"/>
      <c r="Q102" s="143"/>
      <c r="R102" s="143"/>
      <c r="S102" s="143"/>
      <c r="T102" s="143">
        <v>80.68</v>
      </c>
      <c r="U102" s="633"/>
      <c r="V102" s="633"/>
      <c r="W102" s="633"/>
      <c r="X102" s="633"/>
      <c r="Y102" s="633"/>
      <c r="Z102" s="103">
        <f t="shared" si="28"/>
        <v>0</v>
      </c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43"/>
      <c r="AM102" s="143"/>
      <c r="AN102" s="103">
        <f t="shared" si="29"/>
        <v>0</v>
      </c>
      <c r="AO102" s="134">
        <v>19190.2</v>
      </c>
      <c r="AP102" s="134">
        <v>2674.68</v>
      </c>
      <c r="AQ102" s="134">
        <v>3768.08</v>
      </c>
      <c r="AR102" s="105">
        <f t="shared" si="30"/>
        <v>0</v>
      </c>
      <c r="AS102" s="143"/>
      <c r="AT102" s="143"/>
      <c r="AU102" s="143"/>
      <c r="AV102" s="146"/>
      <c r="AW102" s="224">
        <f t="shared" si="31"/>
        <v>0</v>
      </c>
      <c r="AX102" s="1642">
        <v>6410.5</v>
      </c>
      <c r="AY102" s="1557"/>
      <c r="AZ102" s="1557"/>
      <c r="BA102" s="1548"/>
      <c r="BB102" s="1548"/>
      <c r="BC102" s="1548"/>
      <c r="BD102" s="1642">
        <v>1075.1</v>
      </c>
      <c r="BE102" s="1725">
        <v>4355.1</v>
      </c>
      <c r="BF102" s="1725">
        <v>720.7</v>
      </c>
      <c r="BG102" s="1557"/>
      <c r="BH102" s="1557"/>
      <c r="BI102" s="222">
        <f t="shared" si="32"/>
        <v>0</v>
      </c>
      <c r="BJ102" s="140">
        <f t="shared" si="33"/>
        <v>0</v>
      </c>
      <c r="BK102" s="132"/>
      <c r="BL102" s="162">
        <f t="shared" si="34"/>
        <v>477.17</v>
      </c>
      <c r="BM102" s="163"/>
      <c r="BN102" s="141"/>
      <c r="BO102" s="163"/>
      <c r="BP102" s="163"/>
      <c r="BQ102" s="163"/>
      <c r="BR102" s="163"/>
      <c r="BS102" s="163"/>
      <c r="BT102" s="163"/>
      <c r="BU102" s="163"/>
      <c r="BV102" s="141"/>
      <c r="BW102" s="150">
        <v>477.17</v>
      </c>
      <c r="BX102" s="141"/>
      <c r="BY102" s="163">
        <v>477.17</v>
      </c>
      <c r="BZ102" s="164">
        <f t="shared" si="35"/>
        <v>-477.17</v>
      </c>
      <c r="CA102" s="132"/>
    </row>
    <row r="103" ht="14.25" customHeight="1">
      <c r="A103" s="3"/>
      <c r="B103" s="2" t="s">
        <v>4</v>
      </c>
      <c r="C103" s="166">
        <f ref="C103:H103" t="shared" si="36">SUM(C72:C102)</f>
        <v>0</v>
      </c>
      <c r="D103" s="166">
        <f t="shared" si="36"/>
        <v>0</v>
      </c>
      <c r="E103" s="166">
        <f t="shared" si="36"/>
        <v>0</v>
      </c>
      <c r="F103" s="166">
        <f t="shared" si="36"/>
        <v>0</v>
      </c>
      <c r="G103" s="166">
        <f t="shared" si="36"/>
        <v>0</v>
      </c>
      <c r="H103" s="166">
        <f t="shared" si="36"/>
        <v>0</v>
      </c>
      <c r="I103" s="166"/>
      <c r="J103" s="166">
        <f ref="J103:V103" t="shared" si="37">SUM(J72:J102)</f>
        <v>0</v>
      </c>
      <c r="K103" s="166">
        <f t="shared" si="37"/>
        <v>0</v>
      </c>
      <c r="L103" s="166">
        <f t="shared" si="37"/>
        <v>0</v>
      </c>
      <c r="M103" s="166">
        <f t="shared" si="37"/>
        <v>0</v>
      </c>
      <c r="N103" s="166">
        <f t="shared" si="37"/>
        <v>0</v>
      </c>
      <c r="O103" s="166">
        <f t="shared" si="37"/>
        <v>0</v>
      </c>
      <c r="P103" s="617">
        <f t="shared" si="37"/>
        <v>0</v>
      </c>
      <c r="Q103" s="166">
        <f t="shared" si="37"/>
        <v>0</v>
      </c>
      <c r="R103" s="166">
        <f t="shared" si="37"/>
        <v>0</v>
      </c>
      <c r="S103" s="166">
        <f t="shared" si="37"/>
        <v>0</v>
      </c>
      <c r="T103" s="166">
        <f t="shared" si="37"/>
        <v>0</v>
      </c>
      <c r="U103" s="166">
        <f t="shared" si="37"/>
        <v>0</v>
      </c>
      <c r="V103" s="166">
        <f t="shared" si="37"/>
        <v>0</v>
      </c>
      <c r="W103" s="166"/>
      <c r="X103" s="166">
        <f ref="X103:BJ103" t="shared" si="38">SUM(X72:X102)</f>
        <v>0</v>
      </c>
      <c r="Y103" s="166">
        <f t="shared" si="38"/>
        <v>0</v>
      </c>
      <c r="Z103" s="166">
        <f t="shared" si="38"/>
        <v>0</v>
      </c>
      <c r="AA103" s="166">
        <f t="shared" si="38"/>
        <v>0</v>
      </c>
      <c r="AB103" s="166">
        <f t="shared" si="38"/>
        <v>0</v>
      </c>
      <c r="AC103" s="166">
        <f t="shared" si="38"/>
        <v>0</v>
      </c>
      <c r="AD103" s="166">
        <f t="shared" si="38"/>
        <v>0</v>
      </c>
      <c r="AE103" s="166">
        <f t="shared" si="38"/>
        <v>0</v>
      </c>
      <c r="AF103" s="166">
        <f t="shared" si="38"/>
        <v>0</v>
      </c>
      <c r="AG103" s="166">
        <f t="shared" si="38"/>
        <v>0</v>
      </c>
      <c r="AH103" s="166">
        <f t="shared" si="38"/>
        <v>0</v>
      </c>
      <c r="AI103" s="166">
        <f t="shared" si="38"/>
        <v>0</v>
      </c>
      <c r="AJ103" s="166">
        <f t="shared" si="38"/>
        <v>0</v>
      </c>
      <c r="AK103" s="166">
        <f t="shared" si="38"/>
        <v>0</v>
      </c>
      <c r="AL103" s="166">
        <f t="shared" si="38"/>
        <v>0</v>
      </c>
      <c r="AM103" s="166">
        <f t="shared" si="38"/>
        <v>0</v>
      </c>
      <c r="AN103" s="166">
        <f t="shared" si="38"/>
        <v>0</v>
      </c>
      <c r="AO103" s="166">
        <f t="shared" si="38"/>
        <v>0</v>
      </c>
      <c r="AP103" s="166">
        <f t="shared" si="38"/>
        <v>0</v>
      </c>
      <c r="AQ103" s="166">
        <f t="shared" si="38"/>
        <v>0</v>
      </c>
      <c r="AR103" s="166">
        <f t="shared" si="38"/>
        <v>0</v>
      </c>
      <c r="AS103" s="166">
        <f t="shared" si="38"/>
        <v>0</v>
      </c>
      <c r="AT103" s="166">
        <f t="shared" si="38"/>
        <v>0</v>
      </c>
      <c r="AU103" s="166">
        <f t="shared" si="38"/>
        <v>0</v>
      </c>
      <c r="AV103" s="166">
        <f t="shared" si="38"/>
        <v>0</v>
      </c>
      <c r="AW103" s="166">
        <f t="shared" si="38"/>
        <v>0</v>
      </c>
      <c r="AX103" s="165">
        <f t="shared" si="38"/>
        <v>0</v>
      </c>
      <c r="AY103" s="165">
        <f t="shared" si="38"/>
        <v>0</v>
      </c>
      <c r="AZ103" s="165">
        <f t="shared" si="38"/>
        <v>0</v>
      </c>
      <c r="BA103" s="165">
        <f t="shared" si="38"/>
        <v>0</v>
      </c>
      <c r="BB103" s="165">
        <f t="shared" si="38"/>
        <v>0</v>
      </c>
      <c r="BC103" s="165">
        <f t="shared" si="38"/>
        <v>0</v>
      </c>
      <c r="BD103" s="165">
        <f t="shared" si="38"/>
        <v>0</v>
      </c>
      <c r="BE103" s="165">
        <f t="shared" si="38"/>
        <v>0</v>
      </c>
      <c r="BF103" s="165">
        <f t="shared" si="38"/>
        <v>0</v>
      </c>
      <c r="BG103" s="165">
        <f t="shared" si="38"/>
        <v>0</v>
      </c>
      <c r="BH103" s="165">
        <f t="shared" si="38"/>
        <v>0</v>
      </c>
      <c r="BI103" s="166">
        <f t="shared" si="38"/>
        <v>0</v>
      </c>
      <c r="BJ103" s="166">
        <f t="shared" si="38"/>
        <v>0</v>
      </c>
      <c r="BK103" s="132"/>
      <c r="BL103" s="166">
        <f ref="BL103:BZ103" t="shared" si="39">SUM(BL72:BL102)</f>
        <v>477.17</v>
      </c>
      <c r="BM103" s="166">
        <f t="shared" si="39"/>
        <v>0</v>
      </c>
      <c r="BN103" s="166">
        <f t="shared" si="39"/>
        <v>0</v>
      </c>
      <c r="BO103" s="166">
        <f t="shared" si="39"/>
        <v>0</v>
      </c>
      <c r="BP103" s="166">
        <f t="shared" si="39"/>
        <v>0</v>
      </c>
      <c r="BQ103" s="166">
        <f t="shared" si="39"/>
        <v>0</v>
      </c>
      <c r="BR103" s="166">
        <f t="shared" si="39"/>
        <v>0</v>
      </c>
      <c r="BS103" s="166">
        <f t="shared" si="39"/>
        <v>0</v>
      </c>
      <c r="BT103" s="166">
        <f t="shared" si="39"/>
        <v>0</v>
      </c>
      <c r="BU103" s="166">
        <f t="shared" si="39"/>
        <v>0</v>
      </c>
      <c r="BV103" s="166">
        <f t="shared" si="39"/>
        <v>0</v>
      </c>
      <c r="BW103" s="166">
        <f t="shared" si="39"/>
        <v>477.17</v>
      </c>
      <c r="BX103" s="166">
        <f t="shared" si="39"/>
        <v>0</v>
      </c>
      <c r="BY103" s="166">
        <f t="shared" si="39"/>
        <v>0</v>
      </c>
      <c r="BZ103" s="166">
        <f t="shared" si="39"/>
        <v>-477.17</v>
      </c>
      <c r="CA103" s="132"/>
    </row>
    <row r="104" ht="14.25" customHeight="1">
      <c r="A104" s="1"/>
      <c r="B104" s="2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1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4"/>
      <c r="AS104" s="3"/>
      <c r="AT104" s="3"/>
      <c r="AU104" s="3"/>
      <c r="AV104" s="3"/>
      <c r="AW104" s="4"/>
      <c r="AX104" s="3"/>
      <c r="AY104" s="3"/>
      <c r="AZ104" s="132"/>
      <c r="BA104" s="3"/>
      <c r="BB104" s="3"/>
      <c r="BC104" s="3"/>
      <c r="BD104" s="132"/>
      <c r="BE104" s="132"/>
      <c r="BF104" s="132"/>
      <c r="BG104" s="132"/>
      <c r="BH104" s="132"/>
      <c r="BI104" s="4"/>
      <c r="BJ104" s="3"/>
      <c r="BK104" s="235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235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1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176"/>
      <c r="AO105" s="3"/>
      <c r="AP105" s="3"/>
      <c r="AQ105" s="3"/>
      <c r="AR105" s="4"/>
      <c r="AS105" s="3"/>
      <c r="AT105" s="3"/>
      <c r="AU105" s="3"/>
      <c r="AV105" s="3"/>
      <c r="AW105" s="177"/>
      <c r="AX105" s="4"/>
      <c r="AY105" s="4"/>
      <c r="AZ105" s="132"/>
      <c r="BA105" s="177"/>
      <c r="BB105" s="177"/>
      <c r="BC105" s="177"/>
      <c r="BD105" s="132"/>
      <c r="BE105" s="132"/>
      <c r="BF105" s="4"/>
      <c r="BG105" s="132"/>
      <c r="BH105" s="132"/>
      <c r="BI105" s="177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</row>
    <row r="106" ht="14.25" customHeight="1">
      <c r="A106" s="3"/>
      <c r="B106" s="512">
        <v>46113</v>
      </c>
      <c r="C106" s="94">
        <f>41581.08-D106-E106</f>
      </c>
      <c r="D106" s="95">
        <v>3431.47</v>
      </c>
      <c r="E106" s="246">
        <v>7694.65</v>
      </c>
      <c r="F106" s="246">
        <v>639.5</v>
      </c>
      <c r="G106" s="265">
        <f ref="G106:G135" t="shared" si="40">+C106+D106+E106+F106</f>
        <v>0</v>
      </c>
      <c r="H106" s="637">
        <v>100</v>
      </c>
      <c r="I106" s="100"/>
      <c r="J106" s="637">
        <v>111.74</v>
      </c>
      <c r="K106" s="100"/>
      <c r="L106" s="102">
        <v>283.73</v>
      </c>
      <c r="M106" s="101"/>
      <c r="N106" s="101"/>
      <c r="O106" s="100"/>
      <c r="P106" s="638"/>
      <c r="Q106" s="101"/>
      <c r="R106" s="101"/>
      <c r="S106" s="101"/>
      <c r="T106" s="102">
        <v>100</v>
      </c>
      <c r="U106" s="190"/>
      <c r="V106" s="190"/>
      <c r="W106" s="190"/>
      <c r="X106" s="190"/>
      <c r="Y106" s="181">
        <v>104.95</v>
      </c>
      <c r="Z106" s="103">
        <f ref="Z106:Z135" t="shared" si="41">SUM(H106:Y106)</f>
        <v>0</v>
      </c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8">
        <v>145.03</v>
      </c>
      <c r="AM106" s="186"/>
      <c r="AN106" s="103">
        <f ref="AN106:AN136" t="shared" si="42">SUM(AA106:AM106)</f>
        <v>0</v>
      </c>
      <c r="AO106" s="95">
        <v>21051.88</v>
      </c>
      <c r="AP106" s="95">
        <v>2183.92</v>
      </c>
      <c r="AQ106" s="95">
        <v>3348.45</v>
      </c>
      <c r="AR106" s="191">
        <f ref="AR106:AR135" t="shared" si="43">SUM(AO106:AQ106)</f>
        <v>0</v>
      </c>
      <c r="AS106" s="186"/>
      <c r="AT106" s="186"/>
      <c r="AU106" s="186"/>
      <c r="AV106" s="193"/>
      <c r="AW106" s="224">
        <f ref="AW106:AW135" t="shared" si="44">+G106-Z106-AN106-AR106-AS106-AT106-AU106-AV106</f>
        <v>0</v>
      </c>
      <c r="AX106" s="1729">
        <v>8557.1</v>
      </c>
      <c r="AY106" s="1537"/>
      <c r="AZ106" s="1730"/>
      <c r="BA106" s="1546"/>
      <c r="BB106" s="1546"/>
      <c r="BC106" s="1731"/>
      <c r="BD106" s="1729">
        <v>1247.5</v>
      </c>
      <c r="BE106" s="1721">
        <v>4346.2</v>
      </c>
      <c r="BF106" s="1732">
        <v>639.5</v>
      </c>
      <c r="BG106" s="1730"/>
      <c r="BH106" s="1730"/>
      <c r="BI106" s="222">
        <f ref="BI106:BI135" t="shared" si="45">SUM(AX106:BH106)-BG106</f>
        <v>0</v>
      </c>
      <c r="BJ106" s="114">
        <f ref="BJ106:BJ135" t="shared" si="46">+AW106-BI106</f>
        <v>0</v>
      </c>
      <c r="BK106" s="3"/>
      <c r="BL106" s="114">
        <f ref="BL106:BL135" t="shared" si="47">SUM(BM106:BY106)</f>
        <v>0</v>
      </c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96"/>
      <c r="BX106" s="196"/>
      <c r="BY106" s="115"/>
      <c r="BZ106" s="116">
        <f ref="BZ106:BZ135" t="shared" si="48">+BJ106-BL106</f>
        <v>0</v>
      </c>
      <c r="CA106" s="3"/>
    </row>
    <row r="107" ht="14.25" customHeight="1">
      <c r="A107" s="5"/>
      <c r="B107" s="512">
        <v>46114</v>
      </c>
      <c r="C107" s="118">
        <f>33436.89-D107-E107</f>
      </c>
      <c r="D107" s="119">
        <v>3042.19</v>
      </c>
      <c r="E107" s="458">
        <v>5448.28</v>
      </c>
      <c r="F107" s="458">
        <v>707.9</v>
      </c>
      <c r="G107" s="147">
        <f t="shared" si="40"/>
        <v>0</v>
      </c>
      <c r="H107" s="122"/>
      <c r="I107" s="122"/>
      <c r="J107" s="640">
        <v>268.23</v>
      </c>
      <c r="K107" s="122"/>
      <c r="L107" s="121">
        <v>317.22</v>
      </c>
      <c r="M107" s="99"/>
      <c r="N107" s="99"/>
      <c r="O107" s="122"/>
      <c r="P107" s="641"/>
      <c r="Q107" s="99"/>
      <c r="R107" s="99"/>
      <c r="S107" s="99"/>
      <c r="T107" s="99">
        <v>192.17</v>
      </c>
      <c r="U107" s="99"/>
      <c r="V107" s="99"/>
      <c r="W107" s="99"/>
      <c r="X107" s="99"/>
      <c r="Y107" s="99"/>
      <c r="Z107" s="103">
        <f t="shared" si="41"/>
        <v>0</v>
      </c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43"/>
      <c r="AK107" s="143"/>
      <c r="AL107" s="143"/>
      <c r="AM107" s="143"/>
      <c r="AN107" s="103">
        <f t="shared" si="42"/>
        <v>0</v>
      </c>
      <c r="AO107" s="119">
        <v>19361.35</v>
      </c>
      <c r="AP107" s="119">
        <v>2228.23</v>
      </c>
      <c r="AQ107" s="119">
        <v>2678.18</v>
      </c>
      <c r="AR107" s="105">
        <f t="shared" si="43"/>
        <v>0</v>
      </c>
      <c r="AS107" s="143"/>
      <c r="AT107" s="143"/>
      <c r="AU107" s="143"/>
      <c r="AV107" s="146"/>
      <c r="AW107" s="224">
        <f t="shared" si="44"/>
        <v>0</v>
      </c>
      <c r="AX107" s="1733">
        <v>4856.5</v>
      </c>
      <c r="AY107" s="1546"/>
      <c r="AZ107" s="1709"/>
      <c r="BA107" s="1546"/>
      <c r="BB107" s="1546"/>
      <c r="BC107" s="1731"/>
      <c r="BD107" s="1733">
        <v>760</v>
      </c>
      <c r="BE107" s="1554">
        <v>2770.1</v>
      </c>
      <c r="BF107" s="1734">
        <v>707.9</v>
      </c>
      <c r="BG107" s="1709"/>
      <c r="BH107" s="1709"/>
      <c r="BI107" s="222">
        <f t="shared" si="45"/>
        <v>0</v>
      </c>
      <c r="BJ107" s="113">
        <f t="shared" si="46"/>
        <v>0</v>
      </c>
      <c r="BK107" s="3"/>
      <c r="BL107" s="113">
        <f t="shared" si="47"/>
        <v>0</v>
      </c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41"/>
      <c r="BX107" s="141"/>
      <c r="BY107" s="129"/>
      <c r="BZ107" s="130">
        <f t="shared" si="48"/>
        <v>0</v>
      </c>
      <c r="CA107" s="3"/>
    </row>
    <row r="108" ht="14.25" customHeight="1">
      <c r="A108" s="3"/>
      <c r="B108" s="512">
        <v>46115</v>
      </c>
      <c r="C108" s="118">
        <f>23631.85-D108-E108</f>
      </c>
      <c r="D108" s="119">
        <v>2031.97</v>
      </c>
      <c r="E108" s="458">
        <v>4598.3</v>
      </c>
      <c r="F108" s="458">
        <v>519.4</v>
      </c>
      <c r="G108" s="147">
        <f t="shared" si="40"/>
        <v>0</v>
      </c>
      <c r="H108" s="122"/>
      <c r="I108" s="122"/>
      <c r="J108" s="122"/>
      <c r="K108" s="122"/>
      <c r="L108" s="121">
        <v>67.51</v>
      </c>
      <c r="M108" s="99"/>
      <c r="N108" s="99"/>
      <c r="O108" s="122"/>
      <c r="P108" s="641"/>
      <c r="Q108" s="99"/>
      <c r="R108" s="99"/>
      <c r="S108" s="99"/>
      <c r="T108" s="121">
        <v>186.83</v>
      </c>
      <c r="U108" s="99"/>
      <c r="V108" s="99"/>
      <c r="W108" s="99"/>
      <c r="X108" s="99"/>
      <c r="Y108" s="99"/>
      <c r="Z108" s="103">
        <f t="shared" si="41"/>
        <v>0</v>
      </c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43"/>
      <c r="AM108" s="143"/>
      <c r="AN108" s="103">
        <f t="shared" si="42"/>
        <v>0</v>
      </c>
      <c r="AO108" s="119">
        <v>13795.54</v>
      </c>
      <c r="AP108" s="119">
        <v>1549.14</v>
      </c>
      <c r="AQ108" s="119">
        <v>2326.6</v>
      </c>
      <c r="AR108" s="105">
        <f t="shared" si="43"/>
        <v>0</v>
      </c>
      <c r="AS108" s="143"/>
      <c r="AT108" s="143"/>
      <c r="AU108" s="143"/>
      <c r="AV108" s="146"/>
      <c r="AW108" s="224">
        <f t="shared" si="44"/>
        <v>0</v>
      </c>
      <c r="AX108" s="1733">
        <v>3019.2</v>
      </c>
      <c r="AY108" s="1546"/>
      <c r="AZ108" s="1709"/>
      <c r="BA108" s="1546"/>
      <c r="BB108" s="1546"/>
      <c r="BC108" s="1731"/>
      <c r="BD108" s="1733">
        <v>415.3</v>
      </c>
      <c r="BE108" s="1554">
        <v>2271.7</v>
      </c>
      <c r="BF108" s="1734">
        <v>519.4</v>
      </c>
      <c r="BG108" s="1709"/>
      <c r="BH108" s="1709"/>
      <c r="BI108" s="222">
        <f t="shared" si="45"/>
        <v>0</v>
      </c>
      <c r="BJ108" s="113">
        <f t="shared" si="46"/>
        <v>0</v>
      </c>
      <c r="BK108" s="3"/>
      <c r="BL108" s="113">
        <f t="shared" si="47"/>
        <v>0</v>
      </c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41"/>
      <c r="BX108" s="141"/>
      <c r="BY108" s="129"/>
      <c r="BZ108" s="130">
        <f t="shared" si="48"/>
        <v>0</v>
      </c>
      <c r="CA108" s="3"/>
    </row>
    <row r="109" ht="15" customHeight="1">
      <c r="A109" s="132"/>
      <c r="B109" s="512">
        <v>46116</v>
      </c>
      <c r="C109" s="133">
        <f>27783.29-D109-E109</f>
      </c>
      <c r="D109" s="134">
        <v>2358.67</v>
      </c>
      <c r="E109" s="460">
        <v>7209.46</v>
      </c>
      <c r="F109" s="460">
        <v>679.2</v>
      </c>
      <c r="G109" s="147">
        <f t="shared" si="40"/>
        <v>0</v>
      </c>
      <c r="H109" s="122"/>
      <c r="I109" s="122"/>
      <c r="J109" s="122"/>
      <c r="K109" s="122"/>
      <c r="L109" s="121">
        <v>239.56</v>
      </c>
      <c r="M109" s="99"/>
      <c r="N109" s="99"/>
      <c r="O109" s="122"/>
      <c r="P109" s="641"/>
      <c r="Q109" s="99"/>
      <c r="R109" s="99"/>
      <c r="S109" s="99"/>
      <c r="T109" s="121">
        <v>79.64</v>
      </c>
      <c r="U109" s="99"/>
      <c r="V109" s="99"/>
      <c r="W109" s="99"/>
      <c r="X109" s="99"/>
      <c r="Y109" s="99"/>
      <c r="Z109" s="103">
        <f t="shared" si="41"/>
        <v>0</v>
      </c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03">
        <f t="shared" si="42"/>
        <v>0</v>
      </c>
      <c r="AO109" s="134">
        <v>12169.23</v>
      </c>
      <c r="AP109" s="134">
        <v>1702.65</v>
      </c>
      <c r="AQ109" s="134">
        <v>3485.56</v>
      </c>
      <c r="AR109" s="105">
        <f t="shared" si="43"/>
        <v>0</v>
      </c>
      <c r="AS109" s="143"/>
      <c r="AT109" s="143"/>
      <c r="AU109" s="143"/>
      <c r="AV109" s="146"/>
      <c r="AW109" s="224">
        <f t="shared" si="44"/>
        <v>0</v>
      </c>
      <c r="AX109" s="1733">
        <v>5726.3</v>
      </c>
      <c r="AY109" s="1546"/>
      <c r="AZ109" s="1709"/>
      <c r="BA109" s="1546"/>
      <c r="BB109" s="1546"/>
      <c r="BC109" s="1731"/>
      <c r="BD109" s="1733">
        <v>656</v>
      </c>
      <c r="BE109" s="1554">
        <v>3723.9</v>
      </c>
      <c r="BF109" s="1734">
        <v>679.2</v>
      </c>
      <c r="BG109" s="1709"/>
      <c r="BH109" s="1709"/>
      <c r="BI109" s="222">
        <f t="shared" si="45"/>
        <v>0</v>
      </c>
      <c r="BJ109" s="140">
        <f t="shared" si="46"/>
        <v>0</v>
      </c>
      <c r="BK109" s="132"/>
      <c r="BL109" s="140">
        <f t="shared" si="47"/>
        <v>0</v>
      </c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41"/>
      <c r="BY109" s="141"/>
      <c r="BZ109" s="130">
        <f t="shared" si="48"/>
        <v>0</v>
      </c>
      <c r="CA109" s="132"/>
    </row>
    <row r="110" ht="14.25" customHeight="1">
      <c r="A110" s="132"/>
      <c r="B110" s="512">
        <v>46117</v>
      </c>
      <c r="C110" s="133">
        <f>25236.21-D110-E110</f>
      </c>
      <c r="D110" s="134">
        <v>2024.26</v>
      </c>
      <c r="E110" s="460">
        <v>5500.4</v>
      </c>
      <c r="F110" s="460">
        <v>625</v>
      </c>
      <c r="G110" s="147">
        <f t="shared" si="40"/>
        <v>0</v>
      </c>
      <c r="H110" s="640">
        <v>40</v>
      </c>
      <c r="I110" s="122"/>
      <c r="J110" s="122"/>
      <c r="K110" s="122"/>
      <c r="L110" s="121">
        <v>681.97</v>
      </c>
      <c r="M110" s="99"/>
      <c r="N110" s="99"/>
      <c r="O110" s="122"/>
      <c r="P110" s="641"/>
      <c r="Q110" s="99"/>
      <c r="R110" s="99"/>
      <c r="S110" s="99"/>
      <c r="T110" s="121">
        <v>252.93</v>
      </c>
      <c r="U110" s="99"/>
      <c r="V110" s="99"/>
      <c r="W110" s="99"/>
      <c r="X110" s="99"/>
      <c r="Y110" s="99"/>
      <c r="Z110" s="103">
        <f t="shared" si="41"/>
        <v>0</v>
      </c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43"/>
      <c r="AM110" s="143"/>
      <c r="AN110" s="103">
        <f t="shared" si="42"/>
        <v>0</v>
      </c>
      <c r="AO110" s="134">
        <v>12539.81</v>
      </c>
      <c r="AP110" s="134">
        <v>1226.94</v>
      </c>
      <c r="AQ110" s="134">
        <v>3072</v>
      </c>
      <c r="AR110" s="105">
        <f t="shared" si="43"/>
        <v>0</v>
      </c>
      <c r="AS110" s="143"/>
      <c r="AT110" s="143"/>
      <c r="AU110" s="143"/>
      <c r="AV110" s="146"/>
      <c r="AW110" s="224">
        <f t="shared" si="44"/>
        <v>0</v>
      </c>
      <c r="AX110" s="1733">
        <v>4250.5</v>
      </c>
      <c r="AY110" s="1546"/>
      <c r="AZ110" s="1709"/>
      <c r="BA110" s="1546"/>
      <c r="BB110" s="1546"/>
      <c r="BC110" s="1731"/>
      <c r="BD110" s="1733">
        <v>743.5</v>
      </c>
      <c r="BE110" s="1554">
        <v>2428.4</v>
      </c>
      <c r="BF110" s="1734">
        <v>625</v>
      </c>
      <c r="BG110" s="1709"/>
      <c r="BH110" s="1709"/>
      <c r="BI110" s="222">
        <f t="shared" si="45"/>
        <v>0</v>
      </c>
      <c r="BJ110" s="140">
        <f t="shared" si="46"/>
        <v>0</v>
      </c>
      <c r="BK110" s="132"/>
      <c r="BL110" s="140">
        <f t="shared" si="47"/>
        <v>0</v>
      </c>
      <c r="BM110" s="141"/>
      <c r="BN110" s="141"/>
      <c r="BO110" s="141"/>
      <c r="BP110" s="141"/>
      <c r="BQ110" s="141"/>
      <c r="BR110" s="141"/>
      <c r="BS110" s="141"/>
      <c r="BT110" s="141"/>
      <c r="BU110" s="141"/>
      <c r="BV110" s="141"/>
      <c r="BW110" s="141"/>
      <c r="BX110" s="141"/>
      <c r="BY110" s="141"/>
      <c r="BZ110" s="130">
        <f t="shared" si="48"/>
        <v>0</v>
      </c>
      <c r="CA110" s="132"/>
    </row>
    <row r="111" ht="14.25" customHeight="1">
      <c r="A111" s="132"/>
      <c r="B111" s="512">
        <v>46118</v>
      </c>
      <c r="C111" s="133">
        <f>35374.81-D111-E111</f>
      </c>
      <c r="D111" s="134">
        <v>2574.43</v>
      </c>
      <c r="E111" s="460">
        <v>7848.13</v>
      </c>
      <c r="F111" s="460">
        <v>690.2</v>
      </c>
      <c r="G111" s="147">
        <f t="shared" si="40"/>
        <v>0</v>
      </c>
      <c r="H111" s="122"/>
      <c r="I111" s="122"/>
      <c r="J111" s="122"/>
      <c r="K111" s="122"/>
      <c r="L111" s="99">
        <v>875.12</v>
      </c>
      <c r="M111" s="99"/>
      <c r="N111" s="99"/>
      <c r="O111" s="122"/>
      <c r="P111" s="641"/>
      <c r="Q111" s="99"/>
      <c r="R111" s="99"/>
      <c r="S111" s="121"/>
      <c r="T111" s="99">
        <v>282.81</v>
      </c>
      <c r="U111" s="99"/>
      <c r="V111" s="99"/>
      <c r="W111" s="99"/>
      <c r="X111" s="99"/>
      <c r="Y111" s="121">
        <v>434.05</v>
      </c>
      <c r="Z111" s="103">
        <f t="shared" si="41"/>
        <v>0</v>
      </c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03">
        <f t="shared" si="42"/>
        <v>0</v>
      </c>
      <c r="AO111" s="134">
        <v>18357.69</v>
      </c>
      <c r="AP111" s="134">
        <v>1894.97</v>
      </c>
      <c r="AQ111" s="134">
        <v>3753.73</v>
      </c>
      <c r="AR111" s="105">
        <f t="shared" si="43"/>
        <v>0</v>
      </c>
      <c r="AS111" s="143"/>
      <c r="AT111" s="143"/>
      <c r="AU111" s="143"/>
      <c r="AV111" s="146"/>
      <c r="AW111" s="224">
        <f t="shared" si="44"/>
        <v>0</v>
      </c>
      <c r="AX111" s="1733">
        <v>4816.4</v>
      </c>
      <c r="AY111" s="1546"/>
      <c r="AZ111" s="1709"/>
      <c r="BA111" s="1546"/>
      <c r="BB111" s="1546"/>
      <c r="BC111" s="1731"/>
      <c r="BD111" s="1733">
        <v>679</v>
      </c>
      <c r="BE111" s="1554">
        <v>4094.4</v>
      </c>
      <c r="BF111" s="1734">
        <v>690.2</v>
      </c>
      <c r="BG111" s="1709"/>
      <c r="BH111" s="1709"/>
      <c r="BI111" s="222">
        <f t="shared" si="45"/>
        <v>0</v>
      </c>
      <c r="BJ111" s="140">
        <f t="shared" si="46"/>
        <v>0</v>
      </c>
      <c r="BK111" s="132"/>
      <c r="BL111" s="140">
        <f t="shared" si="47"/>
        <v>0</v>
      </c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41"/>
      <c r="BY111" s="141"/>
      <c r="BZ111" s="130">
        <f t="shared" si="48"/>
        <v>0</v>
      </c>
      <c r="CA111" s="132"/>
    </row>
    <row r="112" ht="14.25" customHeight="1">
      <c r="A112" s="132"/>
      <c r="B112" s="512">
        <v>46119</v>
      </c>
      <c r="C112" s="133">
        <f>32761.92-D112-E112</f>
      </c>
      <c r="D112" s="134">
        <v>2101.18</v>
      </c>
      <c r="E112" s="460">
        <v>7913.65</v>
      </c>
      <c r="F112" s="460">
        <v>1070.6</v>
      </c>
      <c r="G112" s="147">
        <f t="shared" si="40"/>
        <v>0</v>
      </c>
      <c r="H112" s="122"/>
      <c r="I112" s="122"/>
      <c r="J112" s="122"/>
      <c r="K112" s="122"/>
      <c r="L112" s="99">
        <v>363.83</v>
      </c>
      <c r="M112" s="121">
        <v>110.96</v>
      </c>
      <c r="N112" s="99">
        <v>515.76</v>
      </c>
      <c r="O112" s="640">
        <v>314.85</v>
      </c>
      <c r="P112" s="641"/>
      <c r="Q112" s="99"/>
      <c r="R112" s="99"/>
      <c r="S112" s="99"/>
      <c r="T112" s="99">
        <v>192.33</v>
      </c>
      <c r="U112" s="121">
        <v>209.9</v>
      </c>
      <c r="V112" s="121">
        <v>140.7</v>
      </c>
      <c r="W112" s="99"/>
      <c r="X112" s="99"/>
      <c r="Y112" s="99"/>
      <c r="Z112" s="103">
        <f t="shared" si="41"/>
        <v>0</v>
      </c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03">
        <f t="shared" si="42"/>
        <v>0</v>
      </c>
      <c r="AO112" s="134">
        <v>14909.7</v>
      </c>
      <c r="AP112" s="134">
        <v>1202.44</v>
      </c>
      <c r="AQ112" s="134">
        <v>4255.95</v>
      </c>
      <c r="AR112" s="105">
        <f t="shared" si="43"/>
        <v>0</v>
      </c>
      <c r="AS112" s="143"/>
      <c r="AT112" s="143"/>
      <c r="AU112" s="143"/>
      <c r="AV112" s="146"/>
      <c r="AW112" s="224">
        <f t="shared" si="44"/>
        <v>0</v>
      </c>
      <c r="AX112" s="1733">
        <v>6268.6</v>
      </c>
      <c r="AY112" s="1546"/>
      <c r="AZ112" s="1709"/>
      <c r="BA112" s="1546"/>
      <c r="BB112" s="1546"/>
      <c r="BC112" s="1731"/>
      <c r="BD112" s="1733">
        <v>618.6</v>
      </c>
      <c r="BE112" s="1554">
        <v>3657.7</v>
      </c>
      <c r="BF112" s="1734">
        <v>1070.6</v>
      </c>
      <c r="BG112" s="1709"/>
      <c r="BH112" s="1709"/>
      <c r="BI112" s="222">
        <f t="shared" si="45"/>
        <v>0</v>
      </c>
      <c r="BJ112" s="140">
        <f t="shared" si="46"/>
        <v>0</v>
      </c>
      <c r="BK112" s="132"/>
      <c r="BL112" s="140">
        <f t="shared" si="47"/>
        <v>0</v>
      </c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41"/>
      <c r="BY112" s="141"/>
      <c r="BZ112" s="130">
        <f t="shared" si="48"/>
        <v>0</v>
      </c>
      <c r="CA112" s="132"/>
    </row>
    <row r="113" ht="14.25" customHeight="1">
      <c r="A113" s="132"/>
      <c r="B113" s="512">
        <v>46120</v>
      </c>
      <c r="C113" s="133">
        <f>35194.36-D113-E113</f>
      </c>
      <c r="D113" s="134">
        <v>2257.65</v>
      </c>
      <c r="E113" s="460">
        <v>7579.62</v>
      </c>
      <c r="F113" s="460">
        <v>686.7</v>
      </c>
      <c r="G113" s="147">
        <f t="shared" si="40"/>
        <v>0</v>
      </c>
      <c r="H113" s="122"/>
      <c r="I113" s="122"/>
      <c r="J113" s="122"/>
      <c r="K113" s="122"/>
      <c r="L113" s="99">
        <v>775.06</v>
      </c>
      <c r="M113" s="99"/>
      <c r="N113" s="99"/>
      <c r="O113" s="122"/>
      <c r="P113" s="641"/>
      <c r="Q113" s="99"/>
      <c r="R113" s="99"/>
      <c r="S113" s="99"/>
      <c r="T113" s="99"/>
      <c r="U113" s="99"/>
      <c r="V113" s="99"/>
      <c r="W113" s="99"/>
      <c r="X113" s="99"/>
      <c r="Y113" s="99"/>
      <c r="Z113" s="103">
        <f t="shared" si="41"/>
        <v>0</v>
      </c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5">
        <v>400.01</v>
      </c>
      <c r="AM113" s="143"/>
      <c r="AN113" s="103">
        <f t="shared" si="42"/>
        <v>0</v>
      </c>
      <c r="AO113" s="134">
        <v>18916.31</v>
      </c>
      <c r="AP113" s="134">
        <v>1366.73</v>
      </c>
      <c r="AQ113" s="134">
        <v>3782.02</v>
      </c>
      <c r="AR113" s="105">
        <f t="shared" si="43"/>
        <v>0</v>
      </c>
      <c r="AS113" s="143"/>
      <c r="AT113" s="143"/>
      <c r="AU113" s="143"/>
      <c r="AV113" s="146"/>
      <c r="AW113" s="224">
        <f t="shared" si="44"/>
        <v>0</v>
      </c>
      <c r="AX113" s="1733">
        <v>5223.4</v>
      </c>
      <c r="AY113" s="1546"/>
      <c r="AZ113" s="1709"/>
      <c r="BA113" s="1546"/>
      <c r="BB113" s="1546"/>
      <c r="BC113" s="1731"/>
      <c r="BD113" s="1733">
        <v>814.9</v>
      </c>
      <c r="BE113" s="1554">
        <v>3797.6</v>
      </c>
      <c r="BF113" s="1734">
        <v>686.7</v>
      </c>
      <c r="BG113" s="1709"/>
      <c r="BH113" s="1709"/>
      <c r="BI113" s="222">
        <f t="shared" si="45"/>
        <v>0</v>
      </c>
      <c r="BJ113" s="140">
        <f t="shared" si="46"/>
        <v>0</v>
      </c>
      <c r="BK113" s="132"/>
      <c r="BL113" s="140">
        <f t="shared" si="47"/>
        <v>0</v>
      </c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41"/>
      <c r="BY113" s="141"/>
      <c r="BZ113" s="130">
        <f t="shared" si="48"/>
        <v>0</v>
      </c>
      <c r="CA113" s="132"/>
    </row>
    <row r="114" ht="14.25" customHeight="1">
      <c r="A114" s="132"/>
      <c r="B114" s="512">
        <v>46121</v>
      </c>
      <c r="C114" s="133">
        <f>35031.29-D114-E114</f>
      </c>
      <c r="D114" s="134">
        <v>2330.02</v>
      </c>
      <c r="E114" s="460">
        <v>8025.52</v>
      </c>
      <c r="F114" s="460">
        <v>810.7</v>
      </c>
      <c r="G114" s="147">
        <f t="shared" si="40"/>
        <v>0</v>
      </c>
      <c r="H114" s="122"/>
      <c r="I114" s="122"/>
      <c r="J114" s="640">
        <v>289.86</v>
      </c>
      <c r="K114" s="122"/>
      <c r="L114" s="99">
        <v>1453.61</v>
      </c>
      <c r="M114" s="99"/>
      <c r="N114" s="99"/>
      <c r="O114" s="122"/>
      <c r="P114" s="641"/>
      <c r="Q114" s="99"/>
      <c r="R114" s="99"/>
      <c r="S114" s="99"/>
      <c r="T114" s="99">
        <v>145.64</v>
      </c>
      <c r="U114" s="99"/>
      <c r="V114" s="99"/>
      <c r="W114" s="99"/>
      <c r="X114" s="99"/>
      <c r="Y114" s="121">
        <v>104.95</v>
      </c>
      <c r="Z114" s="103">
        <f t="shared" si="41"/>
        <v>0</v>
      </c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03">
        <f t="shared" si="42"/>
        <v>0</v>
      </c>
      <c r="AO114" s="134">
        <v>17184.21</v>
      </c>
      <c r="AP114" s="134">
        <v>1201.24</v>
      </c>
      <c r="AQ114" s="134">
        <v>4177.62</v>
      </c>
      <c r="AR114" s="105">
        <f t="shared" si="43"/>
        <v>0</v>
      </c>
      <c r="AS114" s="143"/>
      <c r="AT114" s="143"/>
      <c r="AU114" s="143"/>
      <c r="AV114" s="146"/>
      <c r="AW114" s="224">
        <f t="shared" si="44"/>
        <v>0</v>
      </c>
      <c r="AX114" s="1733">
        <v>5672.4</v>
      </c>
      <c r="AY114" s="1546"/>
      <c r="AZ114" s="1709"/>
      <c r="BA114" s="1546"/>
      <c r="BB114" s="1546"/>
      <c r="BC114" s="1731"/>
      <c r="BD114" s="1733">
        <v>952.5</v>
      </c>
      <c r="BE114" s="1554">
        <v>3847.9</v>
      </c>
      <c r="BF114" s="1734">
        <v>810.7</v>
      </c>
      <c r="BG114" s="1709"/>
      <c r="BH114" s="1709"/>
      <c r="BI114" s="222">
        <f t="shared" si="45"/>
        <v>0</v>
      </c>
      <c r="BJ114" s="140">
        <f t="shared" si="46"/>
        <v>0</v>
      </c>
      <c r="BK114" s="132"/>
      <c r="BL114" s="140">
        <f t="shared" si="47"/>
        <v>0</v>
      </c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41"/>
      <c r="BY114" s="141"/>
      <c r="BZ114" s="130">
        <f t="shared" si="48"/>
        <v>0</v>
      </c>
      <c r="CA114" s="132"/>
    </row>
    <row r="115" ht="14.25" customHeight="1">
      <c r="A115" s="132"/>
      <c r="B115" s="512">
        <v>46122</v>
      </c>
      <c r="C115" s="133">
        <f>34117.46-D115-E115</f>
      </c>
      <c r="D115" s="134">
        <v>1905.59</v>
      </c>
      <c r="E115" s="460">
        <v>8407.82</v>
      </c>
      <c r="F115" s="460">
        <v>766.1</v>
      </c>
      <c r="G115" s="147">
        <f t="shared" si="40"/>
        <v>0</v>
      </c>
      <c r="H115" s="122"/>
      <c r="I115" s="122"/>
      <c r="J115" s="122"/>
      <c r="K115" s="122"/>
      <c r="L115" s="99">
        <v>826.09</v>
      </c>
      <c r="M115" s="121">
        <v>218</v>
      </c>
      <c r="N115" s="99"/>
      <c r="O115" s="122"/>
      <c r="P115" s="641"/>
      <c r="Q115" s="99"/>
      <c r="R115" s="99"/>
      <c r="S115" s="99"/>
      <c r="T115" s="99"/>
      <c r="U115" s="99"/>
      <c r="V115" s="99"/>
      <c r="W115" s="99"/>
      <c r="X115" s="99"/>
      <c r="Y115" s="121">
        <v>209.9</v>
      </c>
      <c r="Z115" s="103">
        <f t="shared" si="41"/>
        <v>0</v>
      </c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03">
        <f t="shared" si="42"/>
        <v>0</v>
      </c>
      <c r="AO115" s="134">
        <v>15845.69</v>
      </c>
      <c r="AP115" s="134">
        <v>1314.68</v>
      </c>
      <c r="AQ115" s="134">
        <v>4220.12</v>
      </c>
      <c r="AR115" s="105">
        <f t="shared" si="43"/>
        <v>0</v>
      </c>
      <c r="AS115" s="143"/>
      <c r="AT115" s="143"/>
      <c r="AU115" s="143"/>
      <c r="AV115" s="146"/>
      <c r="AW115" s="224">
        <f t="shared" si="44"/>
        <v>0</v>
      </c>
      <c r="AX115" s="1733">
        <v>6812.4</v>
      </c>
      <c r="AY115" s="1546"/>
      <c r="AZ115" s="1709"/>
      <c r="BA115" s="1546"/>
      <c r="BB115" s="1546"/>
      <c r="BC115" s="1731"/>
      <c r="BD115" s="1733">
        <v>482.2</v>
      </c>
      <c r="BE115" s="1554">
        <v>4187.7</v>
      </c>
      <c r="BF115" s="1734">
        <v>766.1</v>
      </c>
      <c r="BG115" s="1709"/>
      <c r="BH115" s="1709"/>
      <c r="BI115" s="222">
        <f t="shared" si="45"/>
        <v>0</v>
      </c>
      <c r="BJ115" s="140">
        <f t="shared" si="46"/>
        <v>0</v>
      </c>
      <c r="BK115" s="132"/>
      <c r="BL115" s="140">
        <f t="shared" si="47"/>
        <v>0</v>
      </c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41"/>
      <c r="BY115" s="141"/>
      <c r="BZ115" s="130">
        <f t="shared" si="48"/>
        <v>0</v>
      </c>
      <c r="CA115" s="132"/>
    </row>
    <row r="116" ht="14.25" customHeight="1">
      <c r="A116" s="132"/>
      <c r="B116" s="512">
        <v>46123</v>
      </c>
      <c r="C116" s="133">
        <f>43408.76-D116-E116</f>
      </c>
      <c r="D116" s="134">
        <v>2690.79</v>
      </c>
      <c r="E116" s="460">
        <v>8381.56</v>
      </c>
      <c r="F116" s="460">
        <v>670</v>
      </c>
      <c r="G116" s="147">
        <f t="shared" si="40"/>
        <v>0</v>
      </c>
      <c r="H116" s="640">
        <v>50</v>
      </c>
      <c r="I116" s="122"/>
      <c r="J116" s="640">
        <v>258.72</v>
      </c>
      <c r="K116" s="122"/>
      <c r="L116" s="99">
        <v>480.31</v>
      </c>
      <c r="M116" s="99"/>
      <c r="N116" s="99"/>
      <c r="O116" s="122"/>
      <c r="P116" s="641"/>
      <c r="Q116" s="99"/>
      <c r="R116" s="99"/>
      <c r="S116" s="99"/>
      <c r="T116" s="99">
        <v>225.54</v>
      </c>
      <c r="U116" s="99"/>
      <c r="V116" s="99"/>
      <c r="W116" s="99"/>
      <c r="X116" s="99"/>
      <c r="Y116" s="99"/>
      <c r="Z116" s="103">
        <f t="shared" si="41"/>
        <v>0</v>
      </c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43"/>
      <c r="AM116" s="143"/>
      <c r="AN116" s="103">
        <f t="shared" si="42"/>
        <v>0</v>
      </c>
      <c r="AO116" s="134">
        <v>25667.43</v>
      </c>
      <c r="AP116" s="134">
        <v>2061.9</v>
      </c>
      <c r="AQ116" s="134">
        <v>4147.26</v>
      </c>
      <c r="AR116" s="105">
        <f t="shared" si="43"/>
        <v>0</v>
      </c>
      <c r="AS116" s="143"/>
      <c r="AT116" s="143"/>
      <c r="AU116" s="143"/>
      <c r="AV116" s="146"/>
      <c r="AW116" s="224">
        <f t="shared" si="44"/>
        <v>0</v>
      </c>
      <c r="AX116" s="1733">
        <v>5765.4</v>
      </c>
      <c r="AY116" s="1546"/>
      <c r="AZ116" s="1718"/>
      <c r="BA116" s="1546"/>
      <c r="BB116" s="1546"/>
      <c r="BC116" s="1731"/>
      <c r="BD116" s="1733">
        <v>517.3</v>
      </c>
      <c r="BE116" s="1554">
        <v>4234.3</v>
      </c>
      <c r="BF116" s="1734">
        <v>670</v>
      </c>
      <c r="BG116" s="1709"/>
      <c r="BH116" s="1709"/>
      <c r="BI116" s="222">
        <f t="shared" si="45"/>
        <v>0</v>
      </c>
      <c r="BJ116" s="140">
        <f t="shared" si="46"/>
        <v>0</v>
      </c>
      <c r="BK116" s="132"/>
      <c r="BL116" s="140">
        <f t="shared" si="47"/>
        <v>0</v>
      </c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41"/>
      <c r="BX116" s="141"/>
      <c r="BY116" s="141"/>
      <c r="BZ116" s="130">
        <f t="shared" si="48"/>
        <v>0</v>
      </c>
      <c r="CA116" s="132"/>
    </row>
    <row r="117" ht="14.25" customHeight="1">
      <c r="A117" s="5"/>
      <c r="B117" s="512">
        <v>46124</v>
      </c>
      <c r="C117" s="133">
        <f>32040.36-D117-E117</f>
      </c>
      <c r="D117" s="134">
        <v>1958.35</v>
      </c>
      <c r="E117" s="460">
        <v>5824.43</v>
      </c>
      <c r="F117" s="460">
        <v>471.8</v>
      </c>
      <c r="G117" s="147">
        <f t="shared" si="40"/>
        <v>0</v>
      </c>
      <c r="H117" s="122"/>
      <c r="I117" s="122"/>
      <c r="J117" s="122"/>
      <c r="K117" s="122"/>
      <c r="L117" s="121">
        <v>200.22</v>
      </c>
      <c r="M117" s="99"/>
      <c r="N117" s="99"/>
      <c r="O117" s="122"/>
      <c r="P117" s="641"/>
      <c r="Q117" s="99"/>
      <c r="R117" s="99"/>
      <c r="S117" s="99"/>
      <c r="T117" s="121">
        <v>38.12</v>
      </c>
      <c r="U117" s="99"/>
      <c r="V117" s="99"/>
      <c r="W117" s="99"/>
      <c r="X117" s="99"/>
      <c r="Y117" s="99"/>
      <c r="Z117" s="103">
        <f t="shared" si="41"/>
        <v>0</v>
      </c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43"/>
      <c r="AM117" s="143"/>
      <c r="AN117" s="300">
        <f t="shared" si="42"/>
        <v>0</v>
      </c>
      <c r="AO117" s="134">
        <v>19952</v>
      </c>
      <c r="AP117" s="134">
        <v>1610.9</v>
      </c>
      <c r="AQ117" s="134">
        <v>3184.73</v>
      </c>
      <c r="AR117" s="105">
        <f t="shared" si="43"/>
        <v>0</v>
      </c>
      <c r="AS117" s="143"/>
      <c r="AT117" s="143"/>
      <c r="AU117" s="143"/>
      <c r="AV117" s="146"/>
      <c r="AW117" s="224">
        <f t="shared" si="44"/>
        <v>0</v>
      </c>
      <c r="AX117" s="1733">
        <v>4104.9</v>
      </c>
      <c r="AY117" s="1546"/>
      <c r="AZ117" s="1709"/>
      <c r="BA117" s="1546"/>
      <c r="BB117" s="1546"/>
      <c r="BC117" s="1731"/>
      <c r="BD117" s="1733">
        <v>307.3</v>
      </c>
      <c r="BE117" s="1554">
        <v>2639.7</v>
      </c>
      <c r="BF117" s="1734">
        <v>471.8</v>
      </c>
      <c r="BG117" s="1709"/>
      <c r="BH117" s="1709"/>
      <c r="BI117" s="222">
        <f t="shared" si="45"/>
        <v>0</v>
      </c>
      <c r="BJ117" s="140">
        <f t="shared" si="46"/>
        <v>0</v>
      </c>
      <c r="BK117" s="132"/>
      <c r="BL117" s="140">
        <f t="shared" si="47"/>
        <v>0</v>
      </c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41"/>
      <c r="BY117" s="141"/>
      <c r="BZ117" s="130">
        <f t="shared" si="48"/>
        <v>0</v>
      </c>
      <c r="CA117" s="132"/>
    </row>
    <row r="118" ht="14.25" customHeight="1">
      <c r="A118" s="132"/>
      <c r="B118" s="512">
        <v>46125</v>
      </c>
      <c r="C118" s="133">
        <f>30616.78-D118-E118</f>
      </c>
      <c r="D118" s="134">
        <v>1790.26</v>
      </c>
      <c r="E118" s="460">
        <v>6795.28</v>
      </c>
      <c r="F118" s="460">
        <v>858.4</v>
      </c>
      <c r="G118" s="147">
        <f t="shared" si="40"/>
        <v>0</v>
      </c>
      <c r="H118" s="122"/>
      <c r="I118" s="122"/>
      <c r="J118" s="122"/>
      <c r="K118" s="122"/>
      <c r="L118" s="99">
        <v>778.79</v>
      </c>
      <c r="M118" s="99"/>
      <c r="N118" s="121">
        <v>299.88</v>
      </c>
      <c r="O118" s="122"/>
      <c r="P118" s="641"/>
      <c r="Q118" s="99"/>
      <c r="R118" s="99"/>
      <c r="S118" s="99"/>
      <c r="T118" s="121">
        <v>28.49</v>
      </c>
      <c r="U118" s="99"/>
      <c r="V118" s="99"/>
      <c r="W118" s="99"/>
      <c r="X118" s="386"/>
      <c r="Y118" s="99"/>
      <c r="Z118" s="103">
        <f t="shared" si="41"/>
        <v>0</v>
      </c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5">
        <v>110.67</v>
      </c>
      <c r="AM118" s="143"/>
      <c r="AN118" s="103">
        <f t="shared" si="42"/>
        <v>0</v>
      </c>
      <c r="AO118" s="134">
        <v>16244.32</v>
      </c>
      <c r="AP118" s="134">
        <v>919.62</v>
      </c>
      <c r="AQ118" s="134">
        <v>3623.68</v>
      </c>
      <c r="AR118" s="105">
        <f t="shared" si="43"/>
        <v>0</v>
      </c>
      <c r="AS118" s="143"/>
      <c r="AT118" s="143"/>
      <c r="AU118" s="143"/>
      <c r="AV118" s="146"/>
      <c r="AW118" s="224">
        <f t="shared" si="44"/>
        <v>0</v>
      </c>
      <c r="AX118" s="1733">
        <v>4725.8</v>
      </c>
      <c r="AY118" s="1546"/>
      <c r="AZ118" s="1709"/>
      <c r="BA118" s="1546"/>
      <c r="BB118" s="1546"/>
      <c r="BC118" s="1731"/>
      <c r="BD118" s="1733">
        <v>713</v>
      </c>
      <c r="BE118" s="1554">
        <v>3171.6</v>
      </c>
      <c r="BF118" s="1734">
        <v>858.4</v>
      </c>
      <c r="BG118" s="1709"/>
      <c r="BH118" s="1709"/>
      <c r="BI118" s="222">
        <f t="shared" si="45"/>
        <v>0</v>
      </c>
      <c r="BJ118" s="140">
        <f t="shared" si="46"/>
        <v>0</v>
      </c>
      <c r="BK118" s="132"/>
      <c r="BL118" s="140">
        <f t="shared" si="47"/>
        <v>0</v>
      </c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41"/>
      <c r="BY118" s="141"/>
      <c r="BZ118" s="130">
        <f t="shared" si="48"/>
        <v>0</v>
      </c>
      <c r="CA118" s="132"/>
    </row>
    <row r="119" ht="14.25" customHeight="1">
      <c r="A119" s="132"/>
      <c r="B119" s="512">
        <v>46126</v>
      </c>
      <c r="C119" s="133">
        <f>34534.76-D119-E119</f>
      </c>
      <c r="D119" s="134">
        <v>1541.25</v>
      </c>
      <c r="E119" s="460">
        <v>4978.52</v>
      </c>
      <c r="F119" s="460">
        <v>538.3</v>
      </c>
      <c r="G119" s="147">
        <f t="shared" si="40"/>
        <v>0</v>
      </c>
      <c r="H119" s="122"/>
      <c r="I119" s="122"/>
      <c r="J119" s="640">
        <v>401.06</v>
      </c>
      <c r="K119" s="122"/>
      <c r="L119" s="99">
        <v>272.37</v>
      </c>
      <c r="M119" s="99"/>
      <c r="N119" s="121">
        <v>287.88</v>
      </c>
      <c r="O119" s="640">
        <v>159.92</v>
      </c>
      <c r="P119" s="641"/>
      <c r="Q119" s="99"/>
      <c r="R119" s="99"/>
      <c r="S119" s="99"/>
      <c r="T119" s="99">
        <v>109.71</v>
      </c>
      <c r="U119" s="99"/>
      <c r="V119" s="99"/>
      <c r="W119" s="99"/>
      <c r="X119" s="99"/>
      <c r="Y119" s="121">
        <v>104.95</v>
      </c>
      <c r="Z119" s="103">
        <f t="shared" si="41"/>
        <v>0</v>
      </c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03">
        <f t="shared" si="42"/>
        <v>0</v>
      </c>
      <c r="AO119" s="134">
        <v>21429.48</v>
      </c>
      <c r="AP119" s="134">
        <v>1094.73</v>
      </c>
      <c r="AQ119" s="134">
        <v>2537.32</v>
      </c>
      <c r="AR119" s="105">
        <f t="shared" si="43"/>
        <v>0</v>
      </c>
      <c r="AS119" s="143"/>
      <c r="AT119" s="143"/>
      <c r="AU119" s="143"/>
      <c r="AV119" s="146"/>
      <c r="AW119" s="224">
        <f t="shared" si="44"/>
        <v>0</v>
      </c>
      <c r="AX119" s="1733">
        <v>4964.8</v>
      </c>
      <c r="AY119" s="1546"/>
      <c r="AZ119" s="1709"/>
      <c r="BA119" s="1546"/>
      <c r="BB119" s="1546"/>
      <c r="BC119" s="1731"/>
      <c r="BD119" s="1733">
        <v>376.5</v>
      </c>
      <c r="BE119" s="1554">
        <v>2441.2</v>
      </c>
      <c r="BF119" s="1734">
        <v>538.3</v>
      </c>
      <c r="BG119" s="1709"/>
      <c r="BH119" s="1709"/>
      <c r="BI119" s="222">
        <f t="shared" si="45"/>
        <v>0</v>
      </c>
      <c r="BJ119" s="140">
        <f t="shared" si="46"/>
        <v>0</v>
      </c>
      <c r="BK119" s="132"/>
      <c r="BL119" s="140">
        <f t="shared" si="47"/>
        <v>0</v>
      </c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50"/>
      <c r="BY119" s="141">
        <v>354</v>
      </c>
      <c r="BZ119" s="130">
        <f t="shared" si="48"/>
        <v>0</v>
      </c>
      <c r="CA119" s="132"/>
    </row>
    <row r="120" ht="14.25" customHeight="1">
      <c r="A120" s="132"/>
      <c r="B120" s="512">
        <v>46127</v>
      </c>
      <c r="C120" s="133">
        <f>38644.72-D120-E120</f>
      </c>
      <c r="D120" s="134">
        <v>2610.99</v>
      </c>
      <c r="E120" s="460">
        <v>6779.65</v>
      </c>
      <c r="F120" s="460">
        <v>791.4</v>
      </c>
      <c r="G120" s="147">
        <f t="shared" si="40"/>
        <v>0</v>
      </c>
      <c r="H120" s="122"/>
      <c r="I120" s="122"/>
      <c r="J120" s="122"/>
      <c r="K120" s="122"/>
      <c r="L120" s="99">
        <v>695.52</v>
      </c>
      <c r="M120" s="121">
        <v>161.62</v>
      </c>
      <c r="N120" s="99"/>
      <c r="O120" s="122"/>
      <c r="P120" s="641"/>
      <c r="Q120" s="99"/>
      <c r="R120" s="99"/>
      <c r="S120" s="121"/>
      <c r="T120" s="99"/>
      <c r="U120" s="121">
        <v>199.9</v>
      </c>
      <c r="V120" s="121">
        <v>129.13</v>
      </c>
      <c r="W120" s="99"/>
      <c r="X120" s="99"/>
      <c r="Y120" s="121">
        <v>199.9</v>
      </c>
      <c r="Z120" s="103">
        <f t="shared" si="41"/>
        <v>0</v>
      </c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03">
        <f t="shared" si="42"/>
        <v>0</v>
      </c>
      <c r="AO120" s="134">
        <v>21628.01</v>
      </c>
      <c r="AP120" s="134">
        <v>1588.51</v>
      </c>
      <c r="AQ120" s="134">
        <v>3662.35</v>
      </c>
      <c r="AR120" s="105">
        <f t="shared" si="43"/>
        <v>0</v>
      </c>
      <c r="AS120" s="143"/>
      <c r="AT120" s="143"/>
      <c r="AU120" s="143"/>
      <c r="AV120" s="146"/>
      <c r="AW120" s="224">
        <f t="shared" si="44"/>
        <v>0</v>
      </c>
      <c r="AX120" s="1733">
        <v>6264.5</v>
      </c>
      <c r="AY120" s="1546"/>
      <c r="AZ120" s="1709"/>
      <c r="BA120" s="1546"/>
      <c r="BB120" s="1546"/>
      <c r="BC120" s="1731"/>
      <c r="BD120" s="1733">
        <v>815</v>
      </c>
      <c r="BE120" s="1554">
        <v>3117.3</v>
      </c>
      <c r="BF120" s="1734">
        <v>791.4</v>
      </c>
      <c r="BG120" s="1709"/>
      <c r="BH120" s="1709"/>
      <c r="BI120" s="222">
        <f t="shared" si="45"/>
        <v>0</v>
      </c>
      <c r="BJ120" s="140">
        <f t="shared" si="46"/>
        <v>0</v>
      </c>
      <c r="BK120" s="132"/>
      <c r="BL120" s="140">
        <f t="shared" si="47"/>
        <v>0</v>
      </c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41"/>
      <c r="BW120" s="141"/>
      <c r="BX120" s="141"/>
      <c r="BY120" s="141"/>
      <c r="BZ120" s="130">
        <f t="shared" si="48"/>
        <v>0</v>
      </c>
      <c r="CA120" s="132"/>
    </row>
    <row r="121" ht="14.25" customHeight="1">
      <c r="A121" s="132"/>
      <c r="B121" s="512">
        <v>46128</v>
      </c>
      <c r="C121" s="133">
        <f>40016.86-D121-E121</f>
      </c>
      <c r="D121" s="134">
        <v>2073.29</v>
      </c>
      <c r="E121" s="460">
        <v>6312.51</v>
      </c>
      <c r="F121" s="460">
        <v>549.7</v>
      </c>
      <c r="G121" s="147">
        <f t="shared" si="40"/>
        <v>0</v>
      </c>
      <c r="H121" s="122"/>
      <c r="I121" s="122"/>
      <c r="J121" s="122"/>
      <c r="K121" s="122"/>
      <c r="L121" s="99">
        <v>633.18</v>
      </c>
      <c r="M121" s="99"/>
      <c r="N121" s="99"/>
      <c r="O121" s="640">
        <v>279.86</v>
      </c>
      <c r="P121" s="641"/>
      <c r="Q121" s="99"/>
      <c r="R121" s="99"/>
      <c r="S121" s="99"/>
      <c r="T121" s="99">
        <v>378.52</v>
      </c>
      <c r="U121" s="99"/>
      <c r="V121" s="99"/>
      <c r="W121" s="99"/>
      <c r="X121" s="99"/>
      <c r="Y121" s="121">
        <v>560.86</v>
      </c>
      <c r="Z121" s="103">
        <f t="shared" si="41"/>
        <v>0</v>
      </c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03">
        <f t="shared" si="42"/>
        <v>0</v>
      </c>
      <c r="AO121" s="134">
        <v>22754.8</v>
      </c>
      <c r="AP121" s="134">
        <v>1375.43</v>
      </c>
      <c r="AQ121" s="134">
        <v>3319.81</v>
      </c>
      <c r="AR121" s="105">
        <f t="shared" si="43"/>
        <v>0</v>
      </c>
      <c r="AS121" s="143"/>
      <c r="AT121" s="143"/>
      <c r="AU121" s="143"/>
      <c r="AV121" s="146"/>
      <c r="AW121" s="224">
        <f t="shared" si="44"/>
        <v>0</v>
      </c>
      <c r="AX121" s="1733">
        <v>7087.4</v>
      </c>
      <c r="AY121" s="1546"/>
      <c r="AZ121" s="1709"/>
      <c r="BA121" s="1546"/>
      <c r="BB121" s="1546"/>
      <c r="BC121" s="1731"/>
      <c r="BD121" s="1733">
        <v>633.2</v>
      </c>
      <c r="BE121" s="1554">
        <v>2992.7</v>
      </c>
      <c r="BF121" s="1734">
        <v>549.7</v>
      </c>
      <c r="BG121" s="1709"/>
      <c r="BH121" s="1709"/>
      <c r="BI121" s="222">
        <f t="shared" si="45"/>
        <v>0</v>
      </c>
      <c r="BJ121" s="140">
        <f t="shared" si="46"/>
        <v>0</v>
      </c>
      <c r="BK121" s="132"/>
      <c r="BL121" s="140">
        <f t="shared" si="47"/>
        <v>0</v>
      </c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41"/>
      <c r="BY121" s="141"/>
      <c r="BZ121" s="130">
        <f t="shared" si="48"/>
        <v>0</v>
      </c>
      <c r="CA121" s="132"/>
    </row>
    <row r="122" ht="14.25" customHeight="1">
      <c r="A122" s="132"/>
      <c r="B122" s="512">
        <v>46129</v>
      </c>
      <c r="C122" s="133">
        <f>43758.27-D122-E122</f>
      </c>
      <c r="D122" s="134">
        <v>2603.61</v>
      </c>
      <c r="E122" s="460">
        <v>5836.84</v>
      </c>
      <c r="F122" s="460">
        <v>667</v>
      </c>
      <c r="G122" s="147">
        <f t="shared" si="40"/>
        <v>0</v>
      </c>
      <c r="H122" s="122">
        <v>323.03</v>
      </c>
      <c r="I122" s="122"/>
      <c r="J122" s="122"/>
      <c r="K122" s="122"/>
      <c r="L122" s="99">
        <v>619.24</v>
      </c>
      <c r="M122" s="99"/>
      <c r="N122" s="99"/>
      <c r="O122" s="122"/>
      <c r="P122" s="641"/>
      <c r="Q122" s="99"/>
      <c r="R122" s="99"/>
      <c r="S122" s="99"/>
      <c r="T122" s="99">
        <v>464.6</v>
      </c>
      <c r="U122" s="99"/>
      <c r="V122" s="99"/>
      <c r="W122" s="99"/>
      <c r="X122" s="99"/>
      <c r="Y122" s="121">
        <v>344.85</v>
      </c>
      <c r="Z122" s="103">
        <f t="shared" si="41"/>
        <v>0</v>
      </c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5">
        <v>126.06</v>
      </c>
      <c r="AM122" s="143"/>
      <c r="AN122" s="103">
        <f t="shared" si="42"/>
        <v>0</v>
      </c>
      <c r="AO122" s="134">
        <v>26067.88</v>
      </c>
      <c r="AP122" s="134">
        <v>1824.87</v>
      </c>
      <c r="AQ122" s="134">
        <v>3225.34</v>
      </c>
      <c r="AR122" s="105">
        <f t="shared" si="43"/>
        <v>0</v>
      </c>
      <c r="AS122" s="143"/>
      <c r="AT122" s="143"/>
      <c r="AU122" s="143"/>
      <c r="AV122" s="146"/>
      <c r="AW122" s="224">
        <f t="shared" si="44"/>
        <v>0</v>
      </c>
      <c r="AX122" s="1733">
        <v>7418.2</v>
      </c>
      <c r="AY122" s="1546"/>
      <c r="AZ122" s="1709"/>
      <c r="BA122" s="1546"/>
      <c r="BB122" s="1546"/>
      <c r="BC122" s="1731"/>
      <c r="BD122" s="1733">
        <v>731.7</v>
      </c>
      <c r="BE122" s="1554">
        <v>2611.5</v>
      </c>
      <c r="BF122" s="1734">
        <v>667</v>
      </c>
      <c r="BG122" s="1709"/>
      <c r="BH122" s="1709"/>
      <c r="BI122" s="222">
        <f t="shared" si="45"/>
        <v>0</v>
      </c>
      <c r="BJ122" s="140">
        <f t="shared" si="46"/>
        <v>0</v>
      </c>
      <c r="BK122" s="132"/>
      <c r="BL122" s="140">
        <f t="shared" si="47"/>
        <v>0</v>
      </c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41"/>
      <c r="BY122" s="141"/>
      <c r="BZ122" s="130">
        <f t="shared" si="48"/>
        <v>0</v>
      </c>
      <c r="CA122" s="132"/>
    </row>
    <row r="123" ht="14.25" customHeight="1">
      <c r="A123" s="132"/>
      <c r="B123" s="512">
        <v>46130</v>
      </c>
      <c r="C123" s="133">
        <f>48067.28-D123-E123</f>
      </c>
      <c r="D123" s="134">
        <v>3018.38</v>
      </c>
      <c r="E123" s="460">
        <v>7391.59</v>
      </c>
      <c r="F123" s="460">
        <v>816.8</v>
      </c>
      <c r="G123" s="147">
        <f t="shared" si="40"/>
        <v>0</v>
      </c>
      <c r="H123" s="122"/>
      <c r="I123" s="122"/>
      <c r="J123" s="640"/>
      <c r="K123" s="122"/>
      <c r="L123" s="121">
        <v>482.77</v>
      </c>
      <c r="M123" s="99"/>
      <c r="N123" s="99"/>
      <c r="O123" s="122"/>
      <c r="P123" s="641"/>
      <c r="Q123" s="99"/>
      <c r="R123" s="99"/>
      <c r="S123" s="99"/>
      <c r="T123" s="121">
        <v>86.71</v>
      </c>
      <c r="U123" s="99"/>
      <c r="V123" s="99"/>
      <c r="W123" s="99"/>
      <c r="X123" s="99"/>
      <c r="Y123" s="99"/>
      <c r="Z123" s="103">
        <f t="shared" si="41"/>
        <v>0</v>
      </c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43"/>
      <c r="AM123" s="143"/>
      <c r="AN123" s="103">
        <f t="shared" si="42"/>
        <v>0</v>
      </c>
      <c r="AO123" s="134">
        <v>30933.4</v>
      </c>
      <c r="AP123" s="134">
        <v>2191.78</v>
      </c>
      <c r="AQ123" s="134">
        <v>3444.19</v>
      </c>
      <c r="AR123" s="105">
        <f t="shared" si="43"/>
        <v>0</v>
      </c>
      <c r="AS123" s="143"/>
      <c r="AT123" s="143"/>
      <c r="AU123" s="143"/>
      <c r="AV123" s="146"/>
      <c r="AW123" s="224">
        <f t="shared" si="44"/>
        <v>0</v>
      </c>
      <c r="AX123" s="1733">
        <v>5885.1</v>
      </c>
      <c r="AY123" s="1546"/>
      <c r="AZ123" s="1709"/>
      <c r="BA123" s="1546"/>
      <c r="BB123" s="1546"/>
      <c r="BC123" s="1731"/>
      <c r="BD123" s="1733">
        <v>739.5</v>
      </c>
      <c r="BE123" s="1554">
        <v>3947.4</v>
      </c>
      <c r="BF123" s="1734">
        <v>816.8</v>
      </c>
      <c r="BG123" s="1709"/>
      <c r="BH123" s="1709"/>
      <c r="BI123" s="222">
        <f t="shared" si="45"/>
        <v>0</v>
      </c>
      <c r="BJ123" s="140">
        <f t="shared" si="46"/>
        <v>0</v>
      </c>
      <c r="BK123" s="132"/>
      <c r="BL123" s="140">
        <f t="shared" si="47"/>
        <v>0</v>
      </c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41"/>
      <c r="BY123" s="141"/>
      <c r="BZ123" s="130">
        <f t="shared" si="48"/>
        <v>0</v>
      </c>
      <c r="CA123" s="132"/>
    </row>
    <row r="124" ht="14.25" customHeight="1">
      <c r="A124" s="5"/>
      <c r="B124" s="512">
        <v>46131</v>
      </c>
      <c r="C124" s="133">
        <f>39808.15-D124-E124</f>
      </c>
      <c r="D124" s="134">
        <v>2367.15</v>
      </c>
      <c r="E124" s="460">
        <v>5073.09</v>
      </c>
      <c r="F124" s="460">
        <v>501.5</v>
      </c>
      <c r="G124" s="147">
        <f t="shared" si="40"/>
        <v>0</v>
      </c>
      <c r="H124" s="122"/>
      <c r="I124" s="122"/>
      <c r="J124" s="122"/>
      <c r="K124" s="122"/>
      <c r="L124" s="99"/>
      <c r="M124" s="99"/>
      <c r="N124" s="99"/>
      <c r="O124" s="122"/>
      <c r="P124" s="641"/>
      <c r="Q124" s="99"/>
      <c r="R124" s="99"/>
      <c r="S124" s="121"/>
      <c r="T124" s="99"/>
      <c r="U124" s="99"/>
      <c r="V124" s="99"/>
      <c r="W124" s="99"/>
      <c r="X124" s="99"/>
      <c r="Y124" s="99"/>
      <c r="Z124" s="103">
        <f t="shared" si="41"/>
        <v>0</v>
      </c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43"/>
      <c r="AM124" s="143"/>
      <c r="AN124" s="103">
        <f t="shared" si="42"/>
        <v>0</v>
      </c>
      <c r="AO124" s="134">
        <v>25886.94</v>
      </c>
      <c r="AP124" s="134">
        <v>1814.24</v>
      </c>
      <c r="AQ124" s="134">
        <v>2208.29</v>
      </c>
      <c r="AR124" s="105">
        <f t="shared" si="43"/>
        <v>0</v>
      </c>
      <c r="AS124" s="143"/>
      <c r="AT124" s="143"/>
      <c r="AU124" s="143"/>
      <c r="AV124" s="146"/>
      <c r="AW124" s="224">
        <f t="shared" si="44"/>
        <v>0</v>
      </c>
      <c r="AX124" s="1733">
        <v>6480.3</v>
      </c>
      <c r="AY124" s="1546"/>
      <c r="AZ124" s="1709"/>
      <c r="BA124" s="1546"/>
      <c r="BB124" s="1546"/>
      <c r="BC124" s="1731"/>
      <c r="BD124" s="1733">
        <v>485.8</v>
      </c>
      <c r="BE124" s="1554">
        <v>2864.8</v>
      </c>
      <c r="BF124" s="1734">
        <v>501.5</v>
      </c>
      <c r="BG124" s="1709"/>
      <c r="BH124" s="1709"/>
      <c r="BI124" s="222">
        <f t="shared" si="45"/>
        <v>0</v>
      </c>
      <c r="BJ124" s="140">
        <f t="shared" si="46"/>
        <v>0</v>
      </c>
      <c r="BK124" s="132"/>
      <c r="BL124" s="140">
        <f t="shared" si="47"/>
        <v>0</v>
      </c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41"/>
      <c r="BY124" s="141"/>
      <c r="BZ124" s="130">
        <f t="shared" si="48"/>
        <v>0</v>
      </c>
      <c r="CA124" s="132"/>
    </row>
    <row r="125" ht="14.25" customHeight="1">
      <c r="A125" s="132"/>
      <c r="B125" s="512">
        <v>46132</v>
      </c>
      <c r="C125" s="133">
        <f>34420.29-D125-E125</f>
      </c>
      <c r="D125" s="134">
        <v>1687.38</v>
      </c>
      <c r="E125" s="460">
        <v>6437.02</v>
      </c>
      <c r="F125" s="460">
        <v>576.2</v>
      </c>
      <c r="G125" s="147">
        <f t="shared" si="40"/>
        <v>0</v>
      </c>
      <c r="H125" s="640">
        <v>170</v>
      </c>
      <c r="I125" s="122"/>
      <c r="J125" s="122"/>
      <c r="K125" s="122"/>
      <c r="L125" s="121">
        <v>249.79</v>
      </c>
      <c r="M125" s="99"/>
      <c r="N125" s="99"/>
      <c r="O125" s="122"/>
      <c r="P125" s="641"/>
      <c r="Q125" s="99"/>
      <c r="R125" s="99"/>
      <c r="S125" s="99"/>
      <c r="T125" s="121">
        <v>315.55</v>
      </c>
      <c r="U125" s="99"/>
      <c r="V125" s="99"/>
      <c r="W125" s="99"/>
      <c r="X125" s="99"/>
      <c r="Y125" s="99">
        <v>426.3</v>
      </c>
      <c r="Z125" s="103">
        <f t="shared" si="41"/>
        <v>0</v>
      </c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43"/>
      <c r="AM125" s="143"/>
      <c r="AN125" s="103">
        <f t="shared" si="42"/>
        <v>0</v>
      </c>
      <c r="AO125" s="134">
        <v>19451.06</v>
      </c>
      <c r="AP125" s="134">
        <v>1131.78</v>
      </c>
      <c r="AQ125" s="134">
        <v>3227.12</v>
      </c>
      <c r="AR125" s="105">
        <f t="shared" si="43"/>
        <v>0</v>
      </c>
      <c r="AS125" s="143"/>
      <c r="AT125" s="143"/>
      <c r="AU125" s="143"/>
      <c r="AV125" s="146"/>
      <c r="AW125" s="224">
        <f t="shared" si="44"/>
        <v>0</v>
      </c>
      <c r="AX125" s="1735">
        <v>5682.9</v>
      </c>
      <c r="AY125" s="1546"/>
      <c r="AZ125" s="1709"/>
      <c r="BA125" s="1546"/>
      <c r="BB125" s="1546"/>
      <c r="BC125" s="1731"/>
      <c r="BD125" s="1735">
        <v>555.6</v>
      </c>
      <c r="BE125" s="1637">
        <v>3209.9</v>
      </c>
      <c r="BF125" s="1736">
        <v>576.2</v>
      </c>
      <c r="BG125" s="1709"/>
      <c r="BH125" s="1709"/>
      <c r="BI125" s="222">
        <f t="shared" si="45"/>
        <v>0</v>
      </c>
      <c r="BJ125" s="140">
        <f t="shared" si="46"/>
        <v>0</v>
      </c>
      <c r="BK125" s="132"/>
      <c r="BL125" s="140">
        <f t="shared" si="47"/>
        <v>0</v>
      </c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41"/>
      <c r="BY125" s="141"/>
      <c r="BZ125" s="130">
        <f t="shared" si="48"/>
        <v>0</v>
      </c>
      <c r="CA125" s="132"/>
    </row>
    <row r="126" ht="14.25" customHeight="1">
      <c r="A126" s="132"/>
      <c r="B126" s="512">
        <v>46133</v>
      </c>
      <c r="C126" s="133">
        <f>41160.67-D126-E126</f>
      </c>
      <c r="D126" s="134">
        <v>2136.57</v>
      </c>
      <c r="E126" s="460">
        <v>8110.77</v>
      </c>
      <c r="F126" s="460">
        <v>921.2</v>
      </c>
      <c r="G126" s="147">
        <f t="shared" si="40"/>
        <v>0</v>
      </c>
      <c r="H126" s="122"/>
      <c r="I126" s="122"/>
      <c r="J126" s="640">
        <v>115.3</v>
      </c>
      <c r="K126" s="122"/>
      <c r="L126" s="99">
        <v>967.98</v>
      </c>
      <c r="M126" s="99"/>
      <c r="N126" s="99"/>
      <c r="O126" s="122"/>
      <c r="P126" s="641"/>
      <c r="Q126" s="99"/>
      <c r="R126" s="99"/>
      <c r="S126" s="99"/>
      <c r="T126" s="121">
        <v>75.22</v>
      </c>
      <c r="U126" s="99"/>
      <c r="V126" s="99"/>
      <c r="W126" s="99"/>
      <c r="X126" s="99"/>
      <c r="Y126" s="121">
        <v>192.9</v>
      </c>
      <c r="Z126" s="103">
        <f t="shared" si="41"/>
        <v>0</v>
      </c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43"/>
      <c r="AM126" s="143"/>
      <c r="AN126" s="103">
        <f t="shared" si="42"/>
        <v>0</v>
      </c>
      <c r="AO126" s="134">
        <v>21545.8</v>
      </c>
      <c r="AP126" s="134">
        <v>1591.95</v>
      </c>
      <c r="AQ126" s="134">
        <v>3980.37</v>
      </c>
      <c r="AR126" s="105">
        <f t="shared" si="43"/>
        <v>0</v>
      </c>
      <c r="AS126" s="143"/>
      <c r="AT126" s="143"/>
      <c r="AU126" s="143"/>
      <c r="AV126" s="146"/>
      <c r="AW126" s="224">
        <f t="shared" si="44"/>
        <v>0</v>
      </c>
      <c r="AX126" s="1735">
        <v>8091</v>
      </c>
      <c r="AY126" s="1546"/>
      <c r="AZ126" s="1709"/>
      <c r="BA126" s="1546"/>
      <c r="BB126" s="1546"/>
      <c r="BC126" s="1731"/>
      <c r="BD126" s="1733">
        <v>469.3</v>
      </c>
      <c r="BE126" s="1723">
        <v>4130.4</v>
      </c>
      <c r="BF126" s="1737">
        <v>921.2</v>
      </c>
      <c r="BG126" s="1709"/>
      <c r="BH126" s="1709"/>
      <c r="BI126" s="222">
        <f t="shared" si="45"/>
        <v>0</v>
      </c>
      <c r="BJ126" s="140">
        <f t="shared" si="46"/>
        <v>0</v>
      </c>
      <c r="BK126" s="132"/>
      <c r="BL126" s="140">
        <f t="shared" si="47"/>
        <v>0</v>
      </c>
      <c r="BM126" s="309"/>
      <c r="BN126" s="141"/>
      <c r="BO126" s="141"/>
      <c r="BP126" s="152"/>
      <c r="BQ126" s="141"/>
      <c r="BR126" s="141"/>
      <c r="BS126" s="141"/>
      <c r="BT126" s="141"/>
      <c r="BU126" s="141"/>
      <c r="BV126" s="141"/>
      <c r="BW126" s="141"/>
      <c r="BX126" s="141"/>
      <c r="BY126" s="141"/>
      <c r="BZ126" s="130">
        <f t="shared" si="48"/>
        <v>0</v>
      </c>
      <c r="CA126" s="132"/>
    </row>
    <row r="127" ht="14.25" customHeight="1">
      <c r="A127" s="132"/>
      <c r="B127" s="512">
        <v>46134</v>
      </c>
      <c r="C127" s="133">
        <f>39271.06-D127-E127</f>
      </c>
      <c r="D127" s="134">
        <v>2192.77</v>
      </c>
      <c r="E127" s="642">
        <v>7707.22</v>
      </c>
      <c r="F127" s="460">
        <v>988.9</v>
      </c>
      <c r="G127" s="147">
        <f t="shared" si="40"/>
        <v>0</v>
      </c>
      <c r="H127" s="122"/>
      <c r="I127" s="122"/>
      <c r="J127" s="122"/>
      <c r="K127" s="122"/>
      <c r="L127" s="99">
        <v>593.03</v>
      </c>
      <c r="M127" s="99"/>
      <c r="N127" s="121">
        <v>483.78</v>
      </c>
      <c r="O127" s="122"/>
      <c r="P127" s="641"/>
      <c r="Q127" s="99"/>
      <c r="R127" s="99"/>
      <c r="S127" s="99"/>
      <c r="T127" s="99">
        <v>217.39</v>
      </c>
      <c r="U127" s="99"/>
      <c r="V127" s="99"/>
      <c r="W127" s="99"/>
      <c r="X127" s="99"/>
      <c r="Y127" s="121">
        <v>96.45</v>
      </c>
      <c r="Z127" s="103">
        <f t="shared" si="41"/>
        <v>0</v>
      </c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43"/>
      <c r="AM127" s="143"/>
      <c r="AN127" s="103">
        <f t="shared" si="42"/>
        <v>0</v>
      </c>
      <c r="AO127" s="134">
        <v>20773.8</v>
      </c>
      <c r="AP127" s="134">
        <v>1273.01</v>
      </c>
      <c r="AQ127" s="134">
        <v>3752.82</v>
      </c>
      <c r="AR127" s="105">
        <f t="shared" si="43"/>
        <v>0</v>
      </c>
      <c r="AS127" s="143"/>
      <c r="AT127" s="143"/>
      <c r="AU127" s="143"/>
      <c r="AV127" s="146"/>
      <c r="AW127" s="224">
        <f t="shared" si="44"/>
        <v>0</v>
      </c>
      <c r="AX127" s="1735">
        <v>7262.3</v>
      </c>
      <c r="AY127" s="1546"/>
      <c r="AZ127" s="1709"/>
      <c r="BA127" s="1546"/>
      <c r="BB127" s="1546"/>
      <c r="BC127" s="1731"/>
      <c r="BD127" s="1733">
        <v>864</v>
      </c>
      <c r="BE127" s="1723">
        <v>3954.4</v>
      </c>
      <c r="BF127" s="1737">
        <v>988.9</v>
      </c>
      <c r="BG127" s="1709"/>
      <c r="BH127" s="1709"/>
      <c r="BI127" s="222">
        <f t="shared" si="45"/>
        <v>0</v>
      </c>
      <c r="BJ127" s="140">
        <f t="shared" si="46"/>
        <v>0</v>
      </c>
      <c r="BK127" s="132"/>
      <c r="BL127" s="140">
        <f t="shared" si="47"/>
        <v>0</v>
      </c>
      <c r="BM127" s="309"/>
      <c r="BN127" s="141"/>
      <c r="BO127" s="141"/>
      <c r="BP127" s="152"/>
      <c r="BQ127" s="141"/>
      <c r="BR127" s="141"/>
      <c r="BS127" s="141"/>
      <c r="BT127" s="141"/>
      <c r="BU127" s="141"/>
      <c r="BV127" s="141"/>
      <c r="BW127" s="141"/>
      <c r="BX127" s="141"/>
      <c r="BY127" s="141"/>
      <c r="BZ127" s="130">
        <f t="shared" si="48"/>
        <v>0</v>
      </c>
      <c r="CA127" s="132"/>
    </row>
    <row r="128" ht="14.25" customHeight="1">
      <c r="A128" s="132"/>
      <c r="B128" s="512">
        <v>46135</v>
      </c>
      <c r="C128" s="133">
        <f>36813.72-D128-E128</f>
      </c>
      <c r="D128" s="134">
        <v>1867.05</v>
      </c>
      <c r="E128" s="642">
        <v>7111.79</v>
      </c>
      <c r="F128" s="460">
        <v>875.3</v>
      </c>
      <c r="G128" s="147">
        <f t="shared" si="40"/>
        <v>0</v>
      </c>
      <c r="H128" s="122"/>
      <c r="I128" s="122"/>
      <c r="J128" s="640">
        <v>100</v>
      </c>
      <c r="K128" s="122"/>
      <c r="L128" s="99">
        <v>893.87</v>
      </c>
      <c r="M128" s="99"/>
      <c r="N128" s="99"/>
      <c r="O128" s="640">
        <v>270.06</v>
      </c>
      <c r="P128" s="641"/>
      <c r="Q128" s="99"/>
      <c r="R128" s="99"/>
      <c r="S128" s="99"/>
      <c r="T128" s="121">
        <v>135.8</v>
      </c>
      <c r="U128" s="99"/>
      <c r="V128" s="121">
        <v>92.78</v>
      </c>
      <c r="W128" s="99"/>
      <c r="X128" s="99"/>
      <c r="Y128" s="99"/>
      <c r="Z128" s="103">
        <f t="shared" si="41"/>
        <v>0</v>
      </c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43"/>
      <c r="AM128" s="143"/>
      <c r="AN128" s="103">
        <f t="shared" si="42"/>
        <v>0</v>
      </c>
      <c r="AO128" s="134">
        <v>18898.89</v>
      </c>
      <c r="AP128" s="134">
        <v>1094.73</v>
      </c>
      <c r="AQ128" s="134">
        <v>3379.49</v>
      </c>
      <c r="AR128" s="105">
        <f t="shared" si="43"/>
        <v>0</v>
      </c>
      <c r="AS128" s="143"/>
      <c r="AT128" s="143"/>
      <c r="AU128" s="143"/>
      <c r="AV128" s="146"/>
      <c r="AW128" s="224">
        <f t="shared" si="44"/>
        <v>0</v>
      </c>
      <c r="AX128" s="1735">
        <v>7535.7</v>
      </c>
      <c r="AY128" s="1546"/>
      <c r="AZ128" s="1709"/>
      <c r="BA128" s="1546"/>
      <c r="BB128" s="1546"/>
      <c r="BC128" s="1731"/>
      <c r="BD128" s="1733">
        <v>679.5</v>
      </c>
      <c r="BE128" s="1723">
        <v>3732.3</v>
      </c>
      <c r="BF128" s="1737">
        <v>875.3</v>
      </c>
      <c r="BG128" s="1709"/>
      <c r="BH128" s="1709"/>
      <c r="BI128" s="222">
        <f t="shared" si="45"/>
        <v>0</v>
      </c>
      <c r="BJ128" s="140">
        <f t="shared" si="46"/>
        <v>0</v>
      </c>
      <c r="BK128" s="132"/>
      <c r="BL128" s="140">
        <f t="shared" si="47"/>
        <v>0</v>
      </c>
      <c r="BM128" s="309"/>
      <c r="BN128" s="141"/>
      <c r="BO128" s="141"/>
      <c r="BP128" s="152"/>
      <c r="BQ128" s="141"/>
      <c r="BR128" s="141"/>
      <c r="BS128" s="141"/>
      <c r="BT128" s="141"/>
      <c r="BU128" s="141"/>
      <c r="BV128" s="141"/>
      <c r="BW128" s="141"/>
      <c r="BX128" s="141"/>
      <c r="BY128" s="141"/>
      <c r="BZ128" s="130">
        <f t="shared" si="48"/>
        <v>0</v>
      </c>
      <c r="CA128" s="132"/>
    </row>
    <row r="129" ht="14.25" customHeight="1">
      <c r="A129" s="132"/>
      <c r="B129" s="512">
        <v>46136</v>
      </c>
      <c r="C129" s="133">
        <f>37091.08-D129-E129</f>
      </c>
      <c r="D129" s="134">
        <v>1954.59</v>
      </c>
      <c r="E129" s="642">
        <v>8800.9</v>
      </c>
      <c r="F129" s="460">
        <v>951.8</v>
      </c>
      <c r="G129" s="147">
        <f t="shared" si="40"/>
        <v>0</v>
      </c>
      <c r="H129" s="640"/>
      <c r="I129" s="122"/>
      <c r="J129" s="122"/>
      <c r="K129" s="122"/>
      <c r="L129" s="121">
        <v>363.77</v>
      </c>
      <c r="M129" s="99"/>
      <c r="N129" s="99"/>
      <c r="O129" s="122"/>
      <c r="P129" s="643"/>
      <c r="Q129" s="644"/>
      <c r="R129" s="99"/>
      <c r="S129" s="121"/>
      <c r="T129" s="121">
        <v>60.69</v>
      </c>
      <c r="U129" s="645">
        <v>192.9</v>
      </c>
      <c r="V129" s="99"/>
      <c r="W129" s="99"/>
      <c r="X129" s="644"/>
      <c r="Y129" s="644"/>
      <c r="Z129" s="103">
        <f t="shared" si="41"/>
        <v>0</v>
      </c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45">
        <v>305.77</v>
      </c>
      <c r="AM129" s="143"/>
      <c r="AN129" s="103">
        <f t="shared" si="42"/>
        <v>0</v>
      </c>
      <c r="AO129" s="134">
        <v>17803.99</v>
      </c>
      <c r="AP129" s="134">
        <v>1129.95</v>
      </c>
      <c r="AQ129" s="134">
        <v>4131.2</v>
      </c>
      <c r="AR129" s="105">
        <f t="shared" si="43"/>
        <v>0</v>
      </c>
      <c r="AS129" s="143"/>
      <c r="AT129" s="143"/>
      <c r="AU129" s="143"/>
      <c r="AV129" s="146"/>
      <c r="AW129" s="224">
        <f t="shared" si="44"/>
        <v>0</v>
      </c>
      <c r="AX129" s="1735">
        <v>7537.4</v>
      </c>
      <c r="AY129" s="1546"/>
      <c r="AZ129" s="1709"/>
      <c r="BA129" s="1546"/>
      <c r="BB129" s="1546"/>
      <c r="BC129" s="1731"/>
      <c r="BD129" s="1733">
        <v>763.4</v>
      </c>
      <c r="BE129" s="1723">
        <v>4669.7</v>
      </c>
      <c r="BF129" s="1737">
        <v>951.8</v>
      </c>
      <c r="BG129" s="1709"/>
      <c r="BH129" s="1709"/>
      <c r="BI129" s="222">
        <f t="shared" si="45"/>
        <v>0</v>
      </c>
      <c r="BJ129" s="136">
        <f t="shared" si="46"/>
        <v>0</v>
      </c>
      <c r="BK129" s="132"/>
      <c r="BL129" s="140">
        <f t="shared" si="47"/>
        <v>0</v>
      </c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41"/>
      <c r="BY129" s="141"/>
      <c r="BZ129" s="130">
        <f t="shared" si="48"/>
        <v>0</v>
      </c>
      <c r="CA129" s="132"/>
    </row>
    <row r="130" ht="14.25" customHeight="1">
      <c r="A130" s="132"/>
      <c r="B130" s="512">
        <v>46137</v>
      </c>
      <c r="C130" s="133">
        <f>40662.96-D130-E130</f>
      </c>
      <c r="D130" s="134">
        <v>2465.75</v>
      </c>
      <c r="E130" s="646">
        <v>9590.98</v>
      </c>
      <c r="F130" s="460">
        <v>865.5</v>
      </c>
      <c r="G130" s="147">
        <f t="shared" si="40"/>
        <v>0</v>
      </c>
      <c r="H130" s="122"/>
      <c r="I130" s="122"/>
      <c r="J130" s="122"/>
      <c r="K130" s="122"/>
      <c r="L130" s="121">
        <v>255.5</v>
      </c>
      <c r="M130" s="99"/>
      <c r="N130" s="99"/>
      <c r="O130" s="122"/>
      <c r="P130" s="641"/>
      <c r="Q130" s="99"/>
      <c r="R130" s="99"/>
      <c r="S130" s="99"/>
      <c r="T130" s="99">
        <v>73.3</v>
      </c>
      <c r="U130" s="99"/>
      <c r="V130" s="99"/>
      <c r="W130" s="99"/>
      <c r="X130" s="99"/>
      <c r="Y130" s="99"/>
      <c r="Z130" s="103">
        <f t="shared" si="41"/>
        <v>0</v>
      </c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43"/>
      <c r="AM130" s="143"/>
      <c r="AN130" s="103">
        <f t="shared" si="42"/>
        <v>0</v>
      </c>
      <c r="AO130" s="134">
        <v>21568.61</v>
      </c>
      <c r="AP130" s="134">
        <v>1897.47</v>
      </c>
      <c r="AQ130" s="134">
        <v>4981.28</v>
      </c>
      <c r="AR130" s="105">
        <f t="shared" si="43"/>
        <v>0</v>
      </c>
      <c r="AS130" s="143"/>
      <c r="AT130" s="143"/>
      <c r="AU130" s="143"/>
      <c r="AV130" s="146"/>
      <c r="AW130" s="224">
        <f t="shared" si="44"/>
        <v>0</v>
      </c>
      <c r="AX130" s="1735">
        <v>6748.3</v>
      </c>
      <c r="AY130" s="1546"/>
      <c r="AZ130" s="1709"/>
      <c r="BA130" s="1546"/>
      <c r="BB130" s="1546"/>
      <c r="BC130" s="1731"/>
      <c r="BD130" s="1733">
        <v>528</v>
      </c>
      <c r="BE130" s="1723">
        <v>4609.7</v>
      </c>
      <c r="BF130" s="1737">
        <v>865.5</v>
      </c>
      <c r="BG130" s="1709"/>
      <c r="BH130" s="1709"/>
      <c r="BI130" s="222">
        <f t="shared" si="45"/>
        <v>0</v>
      </c>
      <c r="BJ130" s="140">
        <f t="shared" si="46"/>
        <v>0</v>
      </c>
      <c r="BK130" s="132"/>
      <c r="BL130" s="140">
        <f t="shared" si="47"/>
        <v>0</v>
      </c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41"/>
      <c r="BY130" s="141"/>
      <c r="BZ130" s="130">
        <f t="shared" si="48"/>
        <v>0</v>
      </c>
      <c r="CA130" s="132"/>
    </row>
    <row r="131" ht="14.25" customHeight="1">
      <c r="A131" s="132"/>
      <c r="B131" s="512">
        <v>46138</v>
      </c>
      <c r="C131" s="133">
        <f>34986.67-D131-E131</f>
      </c>
      <c r="D131" s="134">
        <v>1977.58</v>
      </c>
      <c r="E131" s="646">
        <v>5670.12</v>
      </c>
      <c r="F131" s="460">
        <v>560.7</v>
      </c>
      <c r="G131" s="147">
        <f t="shared" si="40"/>
        <v>0</v>
      </c>
      <c r="H131" s="122"/>
      <c r="I131" s="122"/>
      <c r="J131" s="122"/>
      <c r="K131" s="122"/>
      <c r="L131" s="99">
        <v>1049.15</v>
      </c>
      <c r="M131" s="99"/>
      <c r="N131" s="99"/>
      <c r="O131" s="122"/>
      <c r="P131" s="641"/>
      <c r="Q131" s="99"/>
      <c r="R131" s="99"/>
      <c r="S131" s="99"/>
      <c r="T131" s="121">
        <v>30.72</v>
      </c>
      <c r="U131" s="99"/>
      <c r="V131" s="99"/>
      <c r="W131" s="99"/>
      <c r="X131" s="99"/>
      <c r="Y131" s="99"/>
      <c r="Z131" s="103">
        <f t="shared" si="41"/>
        <v>0</v>
      </c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43"/>
      <c r="AM131" s="143"/>
      <c r="AN131" s="103">
        <f t="shared" si="42"/>
        <v>0</v>
      </c>
      <c r="AO131" s="134">
        <v>20250.19</v>
      </c>
      <c r="AP131" s="134">
        <v>1194.42</v>
      </c>
      <c r="AQ131" s="134">
        <v>2619.02</v>
      </c>
      <c r="AR131" s="105">
        <f t="shared" si="43"/>
        <v>0</v>
      </c>
      <c r="AS131" s="143"/>
      <c r="AT131" s="143"/>
      <c r="AU131" s="143"/>
      <c r="AV131" s="146"/>
      <c r="AW131" s="224">
        <f t="shared" si="44"/>
        <v>0</v>
      </c>
      <c r="AX131" s="1735">
        <v>6039.1</v>
      </c>
      <c r="AY131" s="1546"/>
      <c r="AZ131" s="1709"/>
      <c r="BA131" s="1546"/>
      <c r="BB131" s="1546"/>
      <c r="BC131" s="1731"/>
      <c r="BD131" s="1733">
        <v>752.4</v>
      </c>
      <c r="BE131" s="1723">
        <v>3051.1</v>
      </c>
      <c r="BF131" s="1737">
        <v>560.7</v>
      </c>
      <c r="BG131" s="1709"/>
      <c r="BH131" s="1709"/>
      <c r="BI131" s="222">
        <f t="shared" si="45"/>
        <v>0</v>
      </c>
      <c r="BJ131" s="140">
        <f t="shared" si="46"/>
        <v>0</v>
      </c>
      <c r="BK131" s="132"/>
      <c r="BL131" s="140">
        <f t="shared" si="47"/>
        <v>0</v>
      </c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41"/>
      <c r="BY131" s="141"/>
      <c r="BZ131" s="130">
        <f t="shared" si="48"/>
        <v>0</v>
      </c>
      <c r="CA131" s="132"/>
    </row>
    <row r="132" ht="14.25" customHeight="1">
      <c r="A132" s="132"/>
      <c r="B132" s="512">
        <v>46139</v>
      </c>
      <c r="C132" s="133">
        <f>36787.62-D132-E132</f>
      </c>
      <c r="D132" s="200">
        <v>1986.81</v>
      </c>
      <c r="E132" s="642">
        <v>7176.2</v>
      </c>
      <c r="F132" s="460">
        <v>832.5</v>
      </c>
      <c r="G132" s="147">
        <f t="shared" si="40"/>
        <v>0</v>
      </c>
      <c r="H132" s="122"/>
      <c r="I132" s="122"/>
      <c r="J132" s="122"/>
      <c r="K132" s="122"/>
      <c r="L132" s="121">
        <v>385.07</v>
      </c>
      <c r="M132" s="99"/>
      <c r="N132" s="121">
        <v>263.88</v>
      </c>
      <c r="O132" s="122"/>
      <c r="P132" s="641"/>
      <c r="Q132" s="99"/>
      <c r="R132" s="99"/>
      <c r="S132" s="99"/>
      <c r="T132" s="121">
        <v>84.87</v>
      </c>
      <c r="U132" s="99"/>
      <c r="V132" s="99"/>
      <c r="W132" s="99"/>
      <c r="X132" s="99"/>
      <c r="Y132" s="121">
        <v>564.33</v>
      </c>
      <c r="Z132" s="103">
        <f t="shared" si="41"/>
        <v>0</v>
      </c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43"/>
      <c r="AM132" s="143"/>
      <c r="AN132" s="103">
        <f t="shared" si="42"/>
        <v>0</v>
      </c>
      <c r="AO132" s="134">
        <v>17954.92</v>
      </c>
      <c r="AP132" s="134">
        <v>1319.27</v>
      </c>
      <c r="AQ132" s="134">
        <v>3561</v>
      </c>
      <c r="AR132" s="105">
        <f t="shared" si="43"/>
        <v>0</v>
      </c>
      <c r="AS132" s="143"/>
      <c r="AT132" s="143"/>
      <c r="AU132" s="143"/>
      <c r="AV132" s="146"/>
      <c r="AW132" s="224">
        <f t="shared" si="44"/>
        <v>0</v>
      </c>
      <c r="AX132" s="1735">
        <v>8371.2</v>
      </c>
      <c r="AY132" s="1546"/>
      <c r="AZ132" s="1709"/>
      <c r="BA132" s="1546"/>
      <c r="BB132" s="1546"/>
      <c r="BC132" s="1731"/>
      <c r="BD132" s="1733">
        <v>667.2</v>
      </c>
      <c r="BE132" s="1723">
        <v>3615.2</v>
      </c>
      <c r="BF132" s="1737">
        <v>832.5</v>
      </c>
      <c r="BG132" s="1709"/>
      <c r="BH132" s="1709"/>
      <c r="BI132" s="222">
        <f t="shared" si="45"/>
        <v>0</v>
      </c>
      <c r="BJ132" s="140">
        <f t="shared" si="46"/>
        <v>0</v>
      </c>
      <c r="BK132" s="132"/>
      <c r="BL132" s="140">
        <f t="shared" si="47"/>
        <v>0</v>
      </c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41"/>
      <c r="BY132" s="141"/>
      <c r="BZ132" s="130">
        <f t="shared" si="48"/>
        <v>0</v>
      </c>
      <c r="CA132" s="132"/>
    </row>
    <row r="133" ht="14.25" customHeight="1">
      <c r="A133" s="132"/>
      <c r="B133" s="512">
        <v>46140</v>
      </c>
      <c r="C133" s="133">
        <f>34852.86-D133-E133</f>
      </c>
      <c r="D133" s="200">
        <v>1527.32</v>
      </c>
      <c r="E133" s="642">
        <v>7536.2</v>
      </c>
      <c r="F133" s="460">
        <v>817.2</v>
      </c>
      <c r="G133" s="147">
        <f t="shared" si="40"/>
        <v>0</v>
      </c>
      <c r="H133" s="122"/>
      <c r="I133" s="122"/>
      <c r="J133" s="122"/>
      <c r="K133" s="122"/>
      <c r="L133" s="121">
        <v>156.04</v>
      </c>
      <c r="M133" s="99"/>
      <c r="N133" s="99">
        <v>805.81</v>
      </c>
      <c r="O133" s="122"/>
      <c r="P133" s="641"/>
      <c r="Q133" s="99"/>
      <c r="R133" s="99"/>
      <c r="S133" s="99"/>
      <c r="T133" s="99">
        <v>666.71</v>
      </c>
      <c r="U133" s="99"/>
      <c r="V133" s="99"/>
      <c r="W133" s="99"/>
      <c r="X133" s="99"/>
      <c r="Y133" s="99"/>
      <c r="Z133" s="103">
        <f t="shared" si="41"/>
        <v>0</v>
      </c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45">
        <v>124.63</v>
      </c>
      <c r="AM133" s="143"/>
      <c r="AN133" s="103">
        <f t="shared" si="42"/>
        <v>0</v>
      </c>
      <c r="AO133" s="134">
        <v>17933.8</v>
      </c>
      <c r="AP133" s="134">
        <v>1087.16</v>
      </c>
      <c r="AQ133" s="134">
        <v>3678</v>
      </c>
      <c r="AR133" s="105">
        <f t="shared" si="43"/>
        <v>0</v>
      </c>
      <c r="AS133" s="143"/>
      <c r="AT133" s="143"/>
      <c r="AU133" s="143"/>
      <c r="AV133" s="146"/>
      <c r="AW133" s="224">
        <f t="shared" si="44"/>
        <v>0</v>
      </c>
      <c r="AX133" s="1735">
        <v>6039.7</v>
      </c>
      <c r="AY133" s="1546"/>
      <c r="AZ133" s="1709"/>
      <c r="BA133" s="1546"/>
      <c r="BB133" s="1546"/>
      <c r="BC133" s="1731"/>
      <c r="BD133" s="1733">
        <v>372</v>
      </c>
      <c r="BE133" s="1723">
        <v>3858.2</v>
      </c>
      <c r="BF133" s="1737">
        <v>817.2</v>
      </c>
      <c r="BG133" s="1709"/>
      <c r="BH133" s="1709"/>
      <c r="BI133" s="222">
        <f t="shared" si="45"/>
        <v>0</v>
      </c>
      <c r="BJ133" s="140">
        <f t="shared" si="46"/>
        <v>0</v>
      </c>
      <c r="BK133" s="132"/>
      <c r="BL133" s="140">
        <f t="shared" si="47"/>
        <v>0</v>
      </c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41"/>
      <c r="BY133" s="141"/>
      <c r="BZ133" s="130">
        <f t="shared" si="48"/>
        <v>0</v>
      </c>
      <c r="CA133" s="132"/>
    </row>
    <row r="134" ht="14.25" customHeight="1">
      <c r="A134" s="132"/>
      <c r="B134" s="512">
        <v>46141</v>
      </c>
      <c r="C134" s="133">
        <f>43477.79-D134-E134</f>
      </c>
      <c r="D134" s="134">
        <v>2070.33</v>
      </c>
      <c r="E134" s="642">
        <v>7403.31</v>
      </c>
      <c r="F134" s="460">
        <v>901</v>
      </c>
      <c r="G134" s="147">
        <f t="shared" si="40"/>
        <v>0</v>
      </c>
      <c r="H134" s="122"/>
      <c r="I134" s="122"/>
      <c r="J134" s="640">
        <v>269.04</v>
      </c>
      <c r="K134" s="122"/>
      <c r="L134" s="99">
        <v>730.91</v>
      </c>
      <c r="M134" s="99"/>
      <c r="N134" s="99"/>
      <c r="O134" s="640">
        <v>224.3</v>
      </c>
      <c r="P134" s="641"/>
      <c r="Q134" s="99"/>
      <c r="R134" s="99"/>
      <c r="S134" s="99"/>
      <c r="T134" s="99"/>
      <c r="U134" s="99"/>
      <c r="V134" s="99"/>
      <c r="W134" s="99"/>
      <c r="X134" s="99"/>
      <c r="Y134" s="121">
        <v>326.85</v>
      </c>
      <c r="Z134" s="103">
        <f t="shared" si="41"/>
        <v>0</v>
      </c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03">
        <f t="shared" si="42"/>
        <v>0</v>
      </c>
      <c r="AO134" s="134">
        <v>25288.41</v>
      </c>
      <c r="AP134" s="134">
        <v>1469.05</v>
      </c>
      <c r="AQ134" s="134">
        <v>3904.81</v>
      </c>
      <c r="AR134" s="105">
        <f t="shared" si="43"/>
        <v>0</v>
      </c>
      <c r="AS134" s="143"/>
      <c r="AT134" s="143"/>
      <c r="AU134" s="143"/>
      <c r="AV134" s="146"/>
      <c r="AW134" s="224">
        <f t="shared" si="44"/>
        <v>0</v>
      </c>
      <c r="AX134" s="1735">
        <v>7164.1</v>
      </c>
      <c r="AY134" s="1546"/>
      <c r="AZ134" s="1709"/>
      <c r="BA134" s="1546"/>
      <c r="BB134" s="1546"/>
      <c r="BC134" s="1731"/>
      <c r="BD134" s="1733">
        <v>601.3</v>
      </c>
      <c r="BE134" s="1723">
        <v>3498.5</v>
      </c>
      <c r="BF134" s="1737">
        <v>901</v>
      </c>
      <c r="BG134" s="1709"/>
      <c r="BH134" s="1709"/>
      <c r="BI134" s="222">
        <f t="shared" si="45"/>
        <v>0</v>
      </c>
      <c r="BJ134" s="140">
        <f t="shared" si="46"/>
        <v>0</v>
      </c>
      <c r="BK134" s="132"/>
      <c r="BL134" s="140">
        <f t="shared" si="47"/>
        <v>0</v>
      </c>
      <c r="BM134" s="141"/>
      <c r="BN134" s="141"/>
      <c r="BO134" s="141"/>
      <c r="BP134" s="141"/>
      <c r="BQ134" s="141"/>
      <c r="BR134" s="141"/>
      <c r="BS134" s="141"/>
      <c r="BT134" s="141"/>
      <c r="BU134" s="141"/>
      <c r="BV134" s="141"/>
      <c r="BW134" s="141"/>
      <c r="BX134" s="141"/>
      <c r="BY134" s="141"/>
      <c r="BZ134" s="130">
        <f t="shared" si="48"/>
        <v>0</v>
      </c>
      <c r="CA134" s="132"/>
    </row>
    <row r="135" ht="14.25" customHeight="1">
      <c r="A135" s="132"/>
      <c r="B135" s="512">
        <v>46142</v>
      </c>
      <c r="C135" s="153">
        <f>59694.24-D135-E135</f>
      </c>
      <c r="D135" s="200">
        <v>2129.99</v>
      </c>
      <c r="E135" s="642">
        <v>9447.66</v>
      </c>
      <c r="F135" s="460">
        <v>856.4</v>
      </c>
      <c r="G135" s="147">
        <f t="shared" si="40"/>
        <v>0</v>
      </c>
      <c r="H135" s="122"/>
      <c r="I135" s="122"/>
      <c r="J135" s="122"/>
      <c r="K135" s="122"/>
      <c r="L135" s="99">
        <v>816.78</v>
      </c>
      <c r="M135" s="99"/>
      <c r="N135" s="121">
        <v>261.48</v>
      </c>
      <c r="O135" s="122"/>
      <c r="P135" s="641"/>
      <c r="Q135" s="99"/>
      <c r="R135" s="99"/>
      <c r="S135" s="121"/>
      <c r="T135" s="121">
        <v>116.38</v>
      </c>
      <c r="U135" s="99"/>
      <c r="V135" s="99"/>
      <c r="W135" s="99"/>
      <c r="X135" s="99"/>
      <c r="Y135" s="121">
        <v>186.9</v>
      </c>
      <c r="Z135" s="103">
        <f t="shared" si="41"/>
        <v>0</v>
      </c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43"/>
      <c r="AM135" s="143"/>
      <c r="AN135" s="103">
        <f t="shared" si="42"/>
        <v>0</v>
      </c>
      <c r="AO135" s="134">
        <v>35630.2</v>
      </c>
      <c r="AP135" s="134">
        <v>1664.83</v>
      </c>
      <c r="AQ135" s="134">
        <v>4910.36</v>
      </c>
      <c r="AR135" s="105">
        <f t="shared" si="43"/>
        <v>0</v>
      </c>
      <c r="AS135" s="143"/>
      <c r="AT135" s="143"/>
      <c r="AU135" s="143"/>
      <c r="AV135" s="146"/>
      <c r="AW135" s="224">
        <f t="shared" si="44"/>
        <v>0</v>
      </c>
      <c r="AX135" s="1738">
        <v>10956</v>
      </c>
      <c r="AY135" s="1557"/>
      <c r="AZ135" s="1709"/>
      <c r="BA135" s="1546"/>
      <c r="BB135" s="1546"/>
      <c r="BC135" s="1731"/>
      <c r="BD135" s="1739">
        <v>465.1</v>
      </c>
      <c r="BE135" s="1725">
        <v>4537.3</v>
      </c>
      <c r="BF135" s="1740">
        <v>856.4</v>
      </c>
      <c r="BG135" s="1709"/>
      <c r="BH135" s="1709"/>
      <c r="BI135" s="222">
        <f t="shared" si="45"/>
        <v>0</v>
      </c>
      <c r="BJ135" s="140">
        <f t="shared" si="46"/>
        <v>0</v>
      </c>
      <c r="BK135" s="132"/>
      <c r="BL135" s="140">
        <f t="shared" si="47"/>
        <v>0</v>
      </c>
      <c r="BM135" s="141"/>
      <c r="BN135" s="141"/>
      <c r="BO135" s="141"/>
      <c r="BP135" s="141"/>
      <c r="BQ135" s="141"/>
      <c r="BR135" s="141"/>
      <c r="BS135" s="141"/>
      <c r="BT135" s="141"/>
      <c r="BU135" s="141"/>
      <c r="BV135" s="141"/>
      <c r="BW135" s="141"/>
      <c r="BX135" s="141"/>
      <c r="BY135" s="141"/>
      <c r="BZ135" s="130">
        <f t="shared" si="48"/>
        <v>0</v>
      </c>
      <c r="CA135" s="132"/>
    </row>
    <row r="136" ht="14.25" customHeight="1">
      <c r="A136" s="3"/>
      <c r="B136" s="647" t="s">
        <v>78</v>
      </c>
      <c r="C136" s="166">
        <f ref="C136:G136" t="shared" si="49">SUM(C105:C135)</f>
        <v>0</v>
      </c>
      <c r="D136" s="166">
        <f t="shared" si="49"/>
        <v>0</v>
      </c>
      <c r="E136" s="166">
        <f t="shared" si="49"/>
        <v>0</v>
      </c>
      <c r="F136" s="166">
        <f t="shared" si="49"/>
        <v>0</v>
      </c>
      <c r="G136" s="166">
        <f t="shared" si="49"/>
        <v>0</v>
      </c>
      <c r="H136" s="166">
        <f ref="H136:Y136" t="shared" si="50">SUMIF(H105:H135,"&gt;0")</f>
        <v>0</v>
      </c>
      <c r="I136" s="166">
        <f t="shared" si="50"/>
        <v>0</v>
      </c>
      <c r="J136" s="166">
        <f t="shared" si="50"/>
        <v>0</v>
      </c>
      <c r="K136" s="166">
        <f t="shared" si="50"/>
        <v>0</v>
      </c>
      <c r="L136" s="166">
        <f t="shared" si="50"/>
        <v>0</v>
      </c>
      <c r="M136" s="166">
        <f t="shared" si="50"/>
        <v>0</v>
      </c>
      <c r="N136" s="166">
        <f t="shared" si="50"/>
        <v>0</v>
      </c>
      <c r="O136" s="166">
        <f t="shared" si="50"/>
        <v>0</v>
      </c>
      <c r="P136" s="166">
        <f t="shared" si="50"/>
        <v>0</v>
      </c>
      <c r="Q136" s="166">
        <f t="shared" si="50"/>
        <v>0</v>
      </c>
      <c r="R136" s="166">
        <f t="shared" si="50"/>
        <v>0</v>
      </c>
      <c r="S136" s="166">
        <f t="shared" si="50"/>
        <v>0</v>
      </c>
      <c r="T136" s="166">
        <f t="shared" si="50"/>
        <v>0</v>
      </c>
      <c r="U136" s="166">
        <f t="shared" si="50"/>
        <v>0</v>
      </c>
      <c r="V136" s="166">
        <f t="shared" si="50"/>
        <v>0</v>
      </c>
      <c r="W136" s="166">
        <f t="shared" si="50"/>
        <v>0</v>
      </c>
      <c r="X136" s="166">
        <f t="shared" si="50"/>
        <v>0</v>
      </c>
      <c r="Y136" s="166">
        <f t="shared" si="50"/>
        <v>0</v>
      </c>
      <c r="Z136" s="166">
        <f ref="Z136:AM136" t="shared" si="51">SUM(Z105:Z135)</f>
        <v>0</v>
      </c>
      <c r="AA136" s="166">
        <f t="shared" si="51"/>
        <v>0</v>
      </c>
      <c r="AB136" s="166">
        <f t="shared" si="51"/>
        <v>0</v>
      </c>
      <c r="AC136" s="166">
        <f t="shared" si="51"/>
        <v>0</v>
      </c>
      <c r="AD136" s="166">
        <f t="shared" si="51"/>
        <v>0</v>
      </c>
      <c r="AE136" s="166">
        <f t="shared" si="51"/>
        <v>0</v>
      </c>
      <c r="AF136" s="166">
        <f t="shared" si="51"/>
        <v>0</v>
      </c>
      <c r="AG136" s="166">
        <f t="shared" si="51"/>
        <v>0</v>
      </c>
      <c r="AH136" s="166">
        <f t="shared" si="51"/>
        <v>0</v>
      </c>
      <c r="AI136" s="166">
        <f t="shared" si="51"/>
        <v>0</v>
      </c>
      <c r="AJ136" s="166">
        <f t="shared" si="51"/>
        <v>0</v>
      </c>
      <c r="AK136" s="166">
        <f t="shared" si="51"/>
        <v>0</v>
      </c>
      <c r="AL136" s="166">
        <f t="shared" si="51"/>
        <v>0</v>
      </c>
      <c r="AM136" s="166">
        <f t="shared" si="51"/>
        <v>0</v>
      </c>
      <c r="AN136" s="103">
        <f t="shared" si="42"/>
        <v>0</v>
      </c>
      <c r="AO136" s="166">
        <f ref="AO136:BJ136" t="shared" si="52">SUM(AO105:AO135)</f>
        <v>0</v>
      </c>
      <c r="AP136" s="166">
        <f t="shared" si="52"/>
        <v>0</v>
      </c>
      <c r="AQ136" s="166">
        <f t="shared" si="52"/>
        <v>0</v>
      </c>
      <c r="AR136" s="166">
        <f t="shared" si="52"/>
        <v>0</v>
      </c>
      <c r="AS136" s="166">
        <f t="shared" si="52"/>
        <v>0</v>
      </c>
      <c r="AT136" s="166">
        <f t="shared" si="52"/>
        <v>0</v>
      </c>
      <c r="AU136" s="166">
        <f t="shared" si="52"/>
        <v>0</v>
      </c>
      <c r="AV136" s="166">
        <f t="shared" si="52"/>
        <v>0</v>
      </c>
      <c r="AW136" s="166">
        <f t="shared" si="52"/>
        <v>0</v>
      </c>
      <c r="AX136" s="165">
        <f t="shared" si="52"/>
        <v>0</v>
      </c>
      <c r="AY136" s="165">
        <f t="shared" si="52"/>
        <v>0</v>
      </c>
      <c r="AZ136" s="648">
        <f t="shared" si="52"/>
        <v>0</v>
      </c>
      <c r="BA136" s="648">
        <f t="shared" si="52"/>
        <v>0</v>
      </c>
      <c r="BB136" s="648">
        <f t="shared" si="52"/>
        <v>0</v>
      </c>
      <c r="BC136" s="648">
        <f t="shared" si="52"/>
        <v>0</v>
      </c>
      <c r="BD136" s="649">
        <f t="shared" si="52"/>
        <v>0</v>
      </c>
      <c r="BE136" s="649">
        <f t="shared" si="52"/>
        <v>0</v>
      </c>
      <c r="BF136" s="649">
        <f t="shared" si="52"/>
        <v>0</v>
      </c>
      <c r="BG136" s="648">
        <f t="shared" si="52"/>
        <v>0</v>
      </c>
      <c r="BH136" s="166">
        <f t="shared" si="52"/>
        <v>0</v>
      </c>
      <c r="BI136" s="166">
        <f t="shared" si="52"/>
        <v>0</v>
      </c>
      <c r="BJ136" s="166">
        <f t="shared" si="52"/>
        <v>0</v>
      </c>
      <c r="BK136" s="132"/>
      <c r="BL136" s="166">
        <f ref="BL136:BZ136" t="shared" si="53">SUM(BL105:BL135)</f>
        <v>0</v>
      </c>
      <c r="BM136" s="166">
        <f t="shared" si="53"/>
        <v>0</v>
      </c>
      <c r="BN136" s="166">
        <f t="shared" si="53"/>
        <v>0</v>
      </c>
      <c r="BO136" s="166">
        <f t="shared" si="53"/>
        <v>0</v>
      </c>
      <c r="BP136" s="166">
        <f t="shared" si="53"/>
        <v>0</v>
      </c>
      <c r="BQ136" s="166">
        <f t="shared" si="53"/>
        <v>0</v>
      </c>
      <c r="BR136" s="166">
        <f t="shared" si="53"/>
        <v>0</v>
      </c>
      <c r="BS136" s="166">
        <f t="shared" si="53"/>
        <v>0</v>
      </c>
      <c r="BT136" s="166">
        <f t="shared" si="53"/>
        <v>0</v>
      </c>
      <c r="BU136" s="166">
        <f t="shared" si="53"/>
        <v>0</v>
      </c>
      <c r="BV136" s="166">
        <f t="shared" si="53"/>
        <v>0</v>
      </c>
      <c r="BW136" s="166">
        <f t="shared" si="53"/>
        <v>0</v>
      </c>
      <c r="BX136" s="166">
        <f t="shared" si="53"/>
        <v>0</v>
      </c>
      <c r="BY136" s="166">
        <f t="shared" si="53"/>
        <v>0</v>
      </c>
      <c r="BZ136" s="166">
        <f t="shared" si="53"/>
        <v>0</v>
      </c>
      <c r="CA136" s="132"/>
    </row>
    <row r="137" ht="14.25" customHeight="1">
      <c r="A137" s="1"/>
      <c r="B137" s="650" t="s">
        <v>11</v>
      </c>
      <c r="C137" s="3"/>
      <c r="D137" s="3"/>
      <c r="E137" s="3"/>
      <c r="F137" s="3"/>
      <c r="G137" s="4"/>
      <c r="H137" s="517">
        <f ref="H137:Y137" t="shared" si="54">SUMIF(H105:H135,"&lt;0")</f>
        <v>0</v>
      </c>
      <c r="I137" s="517">
        <f t="shared" si="54"/>
        <v>0</v>
      </c>
      <c r="J137" s="517">
        <f t="shared" si="54"/>
        <v>0</v>
      </c>
      <c r="K137" s="517">
        <f t="shared" si="54"/>
        <v>0</v>
      </c>
      <c r="L137" s="517">
        <f t="shared" si="54"/>
        <v>0</v>
      </c>
      <c r="M137" s="517">
        <f t="shared" si="54"/>
        <v>0</v>
      </c>
      <c r="N137" s="517">
        <f t="shared" si="54"/>
        <v>0</v>
      </c>
      <c r="O137" s="517">
        <f t="shared" si="54"/>
        <v>0</v>
      </c>
      <c r="P137" s="517">
        <f t="shared" si="54"/>
        <v>0</v>
      </c>
      <c r="Q137" s="517">
        <f t="shared" si="54"/>
        <v>0</v>
      </c>
      <c r="R137" s="517">
        <f t="shared" si="54"/>
        <v>0</v>
      </c>
      <c r="S137" s="517">
        <f t="shared" si="54"/>
        <v>0</v>
      </c>
      <c r="T137" s="517">
        <f t="shared" si="54"/>
        <v>0</v>
      </c>
      <c r="U137" s="517">
        <f t="shared" si="54"/>
        <v>0</v>
      </c>
      <c r="V137" s="517">
        <f t="shared" si="54"/>
        <v>0</v>
      </c>
      <c r="W137" s="517">
        <f t="shared" si="54"/>
        <v>0</v>
      </c>
      <c r="X137" s="517">
        <f t="shared" si="54"/>
        <v>0</v>
      </c>
      <c r="Y137" s="517">
        <f t="shared" si="54"/>
        <v>0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96"/>
      <c r="AO137" s="3"/>
      <c r="AP137" s="3"/>
      <c r="AQ137" s="3"/>
      <c r="AR137" s="4"/>
      <c r="AS137" s="3"/>
      <c r="AT137" s="3"/>
      <c r="AU137" s="3"/>
      <c r="AV137" s="3"/>
      <c r="AW137" s="3"/>
      <c r="AX137" s="3"/>
      <c r="AY137" s="3"/>
      <c r="AZ137" s="96"/>
      <c r="BA137" s="96"/>
      <c r="BB137" s="96"/>
      <c r="BC137" s="96"/>
      <c r="BD137" s="96"/>
      <c r="BE137" s="96"/>
      <c r="BF137" s="96"/>
      <c r="BG137" s="96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</row>
    <row r="138" ht="14.25" customHeight="1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1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4"/>
      <c r="AS138" s="3"/>
      <c r="AT138" s="3"/>
      <c r="AU138" s="3"/>
      <c r="AV138" s="3"/>
      <c r="AW138" s="3"/>
      <c r="AX138" s="3"/>
      <c r="AY138" s="3"/>
      <c r="AZ138" s="176"/>
      <c r="BA138" s="176"/>
      <c r="BB138" s="176"/>
      <c r="BC138" s="176"/>
      <c r="BD138" s="176"/>
      <c r="BE138" s="176"/>
      <c r="BF138" s="176"/>
      <c r="BG138" s="176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</row>
    <row r="139" ht="14.25" customHeight="1">
      <c r="A139" s="132"/>
      <c r="B139" s="264">
        <v>46143</v>
      </c>
      <c r="C139" s="180"/>
      <c r="D139" s="482"/>
      <c r="E139" s="487"/>
      <c r="F139" s="487"/>
      <c r="G139" s="265">
        <f ref="G139:G169" t="shared" si="55">+C139+D139+E139+F139</f>
        <v>0</v>
      </c>
      <c r="H139" s="100"/>
      <c r="I139" s="100"/>
      <c r="J139" s="100"/>
      <c r="K139" s="100"/>
      <c r="L139" s="102"/>
      <c r="M139" s="101"/>
      <c r="N139" s="101"/>
      <c r="O139" s="101"/>
      <c r="P139" s="638"/>
      <c r="Q139" s="101"/>
      <c r="R139" s="101"/>
      <c r="S139" s="101"/>
      <c r="T139" s="101"/>
      <c r="U139" s="190"/>
      <c r="V139" s="190"/>
      <c r="W139" s="190"/>
      <c r="X139" s="190"/>
      <c r="Y139" s="190"/>
      <c r="Z139" s="189">
        <f ref="Z139:Z169" t="shared" si="56">SUM(H139:Y139)</f>
        <v>0</v>
      </c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89">
        <f ref="AN139:AN169" t="shared" si="57">SUM(AA139:AM139)</f>
        <v>0</v>
      </c>
      <c r="AO139" s="181"/>
      <c r="AP139" s="181"/>
      <c r="AQ139" s="181"/>
      <c r="AR139" s="191">
        <f ref="AR139:AR169" t="shared" si="58">SUM(AO139:AQ139)</f>
        <v>0</v>
      </c>
      <c r="AS139" s="101"/>
      <c r="AT139" s="101"/>
      <c r="AU139" s="101"/>
      <c r="AV139" s="106"/>
      <c r="AW139" s="266">
        <f ref="AW139:AW169" t="shared" si="59">+G139-Z139-AN139-AR139-AS139-AT139-AU139-AV139</f>
        <v>0</v>
      </c>
      <c r="AX139" s="181"/>
      <c r="AY139" s="190"/>
      <c r="AZ139" s="136"/>
      <c r="BA139" s="132"/>
      <c r="BB139" s="132"/>
      <c r="BC139" s="132"/>
      <c r="BD139" s="134"/>
      <c r="BE139" s="134"/>
      <c r="BF139" s="134"/>
      <c r="BG139" s="136"/>
      <c r="BH139" s="190"/>
      <c r="BI139" s="272">
        <f ref="BI139:BI169" t="shared" si="60">SUM(AX139:BH139)-BG139</f>
        <v>0</v>
      </c>
      <c r="BJ139" s="195">
        <f ref="BJ139:BJ169" t="shared" si="61">+AW139-BI139</f>
        <v>0</v>
      </c>
      <c r="BK139" s="132"/>
      <c r="BL139" s="195">
        <f ref="BL139:BL169" t="shared" si="62">SUM(BM139:BY139)</f>
        <v>0</v>
      </c>
      <c r="BM139" s="109"/>
      <c r="BN139" s="109"/>
      <c r="BO139" s="109"/>
      <c r="BP139" s="109"/>
      <c r="BQ139" s="109"/>
      <c r="BR139" s="109"/>
      <c r="BS139" s="109"/>
      <c r="BT139" s="109"/>
      <c r="BU139" s="196"/>
      <c r="BV139" s="109"/>
      <c r="BW139" s="109"/>
      <c r="BX139" s="109"/>
      <c r="BY139" s="109"/>
      <c r="BZ139" s="116">
        <f ref="BZ139:BZ169" t="shared" si="63">+BJ139-BL139</f>
        <v>0</v>
      </c>
      <c r="CA139" s="132"/>
    </row>
    <row r="140" ht="14.25" customHeight="1">
      <c r="A140" s="132"/>
      <c r="B140" s="264">
        <v>46144</v>
      </c>
      <c r="C140" s="136"/>
      <c r="D140" s="134"/>
      <c r="E140" s="460"/>
      <c r="F140" s="460"/>
      <c r="G140" s="147">
        <f t="shared" si="55"/>
        <v>0</v>
      </c>
      <c r="H140" s="122"/>
      <c r="I140" s="122"/>
      <c r="J140" s="122"/>
      <c r="K140" s="122"/>
      <c r="L140" s="121"/>
      <c r="M140" s="99"/>
      <c r="N140" s="99"/>
      <c r="O140" s="99"/>
      <c r="P140" s="641"/>
      <c r="Q140" s="99"/>
      <c r="R140" s="99"/>
      <c r="S140" s="99"/>
      <c r="T140" s="99"/>
      <c r="U140" s="136"/>
      <c r="V140" s="136"/>
      <c r="W140" s="136"/>
      <c r="X140" s="136"/>
      <c r="Y140" s="136"/>
      <c r="Z140" s="103">
        <f t="shared" si="56"/>
        <v>0</v>
      </c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103">
        <f t="shared" si="57"/>
        <v>0</v>
      </c>
      <c r="AO140" s="134"/>
      <c r="AP140" s="134"/>
      <c r="AQ140" s="134"/>
      <c r="AR140" s="105">
        <f t="shared" si="58"/>
        <v>0</v>
      </c>
      <c r="AS140" s="99"/>
      <c r="AT140" s="99"/>
      <c r="AU140" s="99"/>
      <c r="AV140" s="124"/>
      <c r="AW140" s="224">
        <f t="shared" si="59"/>
        <v>0</v>
      </c>
      <c r="AX140" s="134"/>
      <c r="AY140" s="136"/>
      <c r="AZ140" s="136"/>
      <c r="BA140" s="132"/>
      <c r="BB140" s="132"/>
      <c r="BC140" s="132"/>
      <c r="BD140" s="134"/>
      <c r="BE140" s="134"/>
      <c r="BF140" s="134"/>
      <c r="BG140" s="136"/>
      <c r="BH140" s="136"/>
      <c r="BI140" s="222">
        <f t="shared" si="60"/>
        <v>0</v>
      </c>
      <c r="BJ140" s="140">
        <f t="shared" si="61"/>
        <v>0</v>
      </c>
      <c r="BK140" s="132"/>
      <c r="BL140" s="140">
        <f t="shared" si="62"/>
        <v>0</v>
      </c>
      <c r="BM140" s="126"/>
      <c r="BN140" s="126"/>
      <c r="BO140" s="126"/>
      <c r="BP140" s="126"/>
      <c r="BQ140" s="126"/>
      <c r="BR140" s="126"/>
      <c r="BS140" s="126"/>
      <c r="BT140" s="126"/>
      <c r="BU140" s="141"/>
      <c r="BV140" s="126"/>
      <c r="BW140" s="126"/>
      <c r="BX140" s="126"/>
      <c r="BY140" s="126"/>
      <c r="BZ140" s="130">
        <f t="shared" si="63"/>
        <v>0</v>
      </c>
      <c r="CA140" s="132"/>
    </row>
    <row r="141" ht="14.25" customHeight="1">
      <c r="A141" s="132"/>
      <c r="B141" s="264">
        <v>46145</v>
      </c>
      <c r="C141" s="133"/>
      <c r="D141" s="134"/>
      <c r="E141" s="460"/>
      <c r="F141" s="460"/>
      <c r="G141" s="147">
        <f t="shared" si="55"/>
        <v>0</v>
      </c>
      <c r="H141" s="122"/>
      <c r="I141" s="122"/>
      <c r="J141" s="122"/>
      <c r="K141" s="122"/>
      <c r="L141" s="99"/>
      <c r="M141" s="99"/>
      <c r="N141" s="99"/>
      <c r="O141" s="99"/>
      <c r="P141" s="641"/>
      <c r="Q141" s="99"/>
      <c r="R141" s="99"/>
      <c r="S141" s="121"/>
      <c r="T141" s="99"/>
      <c r="U141" s="136"/>
      <c r="V141" s="136"/>
      <c r="W141" s="136"/>
      <c r="X141" s="136"/>
      <c r="Y141" s="136"/>
      <c r="Z141" s="103">
        <f t="shared" si="56"/>
        <v>0</v>
      </c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103">
        <f t="shared" si="57"/>
        <v>0</v>
      </c>
      <c r="AO141" s="134"/>
      <c r="AP141" s="134"/>
      <c r="AQ141" s="134"/>
      <c r="AR141" s="105">
        <f t="shared" si="58"/>
        <v>0</v>
      </c>
      <c r="AS141" s="99"/>
      <c r="AT141" s="99"/>
      <c r="AU141" s="99"/>
      <c r="AV141" s="124"/>
      <c r="AW141" s="224">
        <f t="shared" si="59"/>
        <v>0</v>
      </c>
      <c r="AX141" s="134"/>
      <c r="AY141" s="136"/>
      <c r="AZ141" s="136"/>
      <c r="BA141" s="132"/>
      <c r="BB141" s="132"/>
      <c r="BC141" s="132"/>
      <c r="BD141" s="134"/>
      <c r="BE141" s="134"/>
      <c r="BF141" s="134"/>
      <c r="BG141" s="136"/>
      <c r="BH141" s="136"/>
      <c r="BI141" s="222">
        <f t="shared" si="60"/>
        <v>0</v>
      </c>
      <c r="BJ141" s="140">
        <f t="shared" si="61"/>
        <v>0</v>
      </c>
      <c r="BK141" s="132"/>
      <c r="BL141" s="140">
        <f t="shared" si="62"/>
        <v>0</v>
      </c>
      <c r="BM141" s="126"/>
      <c r="BN141" s="126"/>
      <c r="BO141" s="126"/>
      <c r="BP141" s="126"/>
      <c r="BQ141" s="126"/>
      <c r="BR141" s="126"/>
      <c r="BS141" s="126"/>
      <c r="BT141" s="126"/>
      <c r="BU141" s="141"/>
      <c r="BV141" s="126"/>
      <c r="BW141" s="126"/>
      <c r="BX141" s="126"/>
      <c r="BY141" s="126"/>
      <c r="BZ141" s="130">
        <f t="shared" si="63"/>
        <v>0</v>
      </c>
      <c r="CA141" s="132"/>
    </row>
    <row r="142" ht="14.25" customHeight="1">
      <c r="A142" s="132"/>
      <c r="B142" s="264">
        <v>46146</v>
      </c>
      <c r="C142" s="133"/>
      <c r="D142" s="134"/>
      <c r="E142" s="460"/>
      <c r="F142" s="460"/>
      <c r="G142" s="147">
        <f t="shared" si="55"/>
        <v>0</v>
      </c>
      <c r="H142" s="640"/>
      <c r="I142" s="122"/>
      <c r="J142" s="122"/>
      <c r="K142" s="122"/>
      <c r="L142" s="99"/>
      <c r="M142" s="99"/>
      <c r="N142" s="99"/>
      <c r="O142" s="99"/>
      <c r="P142" s="641"/>
      <c r="Q142" s="99"/>
      <c r="R142" s="99"/>
      <c r="S142" s="99"/>
      <c r="T142" s="99"/>
      <c r="U142" s="134"/>
      <c r="V142" s="134"/>
      <c r="W142" s="136"/>
      <c r="X142" s="136"/>
      <c r="Y142" s="136"/>
      <c r="Z142" s="103">
        <f t="shared" si="56"/>
        <v>0</v>
      </c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  <c r="AK142" s="99"/>
      <c r="AL142" s="99"/>
      <c r="AM142" s="99"/>
      <c r="AN142" s="103">
        <f t="shared" si="57"/>
        <v>0</v>
      </c>
      <c r="AO142" s="134"/>
      <c r="AP142" s="134"/>
      <c r="AQ142" s="134"/>
      <c r="AR142" s="105">
        <f t="shared" si="58"/>
        <v>0</v>
      </c>
      <c r="AS142" s="99"/>
      <c r="AT142" s="99"/>
      <c r="AU142" s="99"/>
      <c r="AV142" s="124"/>
      <c r="AW142" s="224">
        <f t="shared" si="59"/>
        <v>0</v>
      </c>
      <c r="AX142" s="134"/>
      <c r="AY142" s="136"/>
      <c r="AZ142" s="136"/>
      <c r="BA142" s="132"/>
      <c r="BB142" s="132"/>
      <c r="BC142" s="132"/>
      <c r="BD142" s="134"/>
      <c r="BE142" s="134"/>
      <c r="BF142" s="134"/>
      <c r="BG142" s="136"/>
      <c r="BH142" s="136"/>
      <c r="BI142" s="222">
        <f t="shared" si="60"/>
        <v>0</v>
      </c>
      <c r="BJ142" s="140">
        <f t="shared" si="61"/>
        <v>0</v>
      </c>
      <c r="BK142" s="132"/>
      <c r="BL142" s="140">
        <f t="shared" si="62"/>
        <v>0</v>
      </c>
      <c r="BM142" s="126"/>
      <c r="BN142" s="126"/>
      <c r="BO142" s="126"/>
      <c r="BP142" s="126"/>
      <c r="BQ142" s="126"/>
      <c r="BR142" s="126"/>
      <c r="BS142" s="126"/>
      <c r="BT142" s="126"/>
      <c r="BU142" s="141"/>
      <c r="BV142" s="126"/>
      <c r="BW142" s="126"/>
      <c r="BX142" s="126"/>
      <c r="BY142" s="126"/>
      <c r="BZ142" s="130">
        <f t="shared" si="63"/>
        <v>0</v>
      </c>
      <c r="CA142" s="132"/>
    </row>
    <row r="143" ht="14.25" customHeight="1">
      <c r="A143" s="132"/>
      <c r="B143" s="264">
        <v>46147</v>
      </c>
      <c r="C143" s="133"/>
      <c r="D143" s="134"/>
      <c r="E143" s="460"/>
      <c r="F143" s="460"/>
      <c r="G143" s="147">
        <f t="shared" si="55"/>
        <v>0</v>
      </c>
      <c r="H143" s="640"/>
      <c r="I143" s="122"/>
      <c r="J143" s="122"/>
      <c r="K143" s="122"/>
      <c r="L143" s="121"/>
      <c r="M143" s="99"/>
      <c r="N143" s="99"/>
      <c r="O143" s="99"/>
      <c r="P143" s="641"/>
      <c r="Q143" s="99"/>
      <c r="R143" s="99"/>
      <c r="S143" s="99"/>
      <c r="T143" s="99"/>
      <c r="U143" s="136"/>
      <c r="V143" s="136"/>
      <c r="W143" s="136"/>
      <c r="X143" s="136"/>
      <c r="Y143" s="136"/>
      <c r="Z143" s="103">
        <f t="shared" si="56"/>
        <v>0</v>
      </c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  <c r="AK143" s="99"/>
      <c r="AL143" s="99"/>
      <c r="AM143" s="99"/>
      <c r="AN143" s="103">
        <f t="shared" si="57"/>
        <v>0</v>
      </c>
      <c r="AO143" s="134"/>
      <c r="AP143" s="134"/>
      <c r="AQ143" s="134"/>
      <c r="AR143" s="105">
        <f t="shared" si="58"/>
        <v>0</v>
      </c>
      <c r="AS143" s="99"/>
      <c r="AT143" s="99"/>
      <c r="AU143" s="99"/>
      <c r="AV143" s="124"/>
      <c r="AW143" s="224">
        <f t="shared" si="59"/>
        <v>0</v>
      </c>
      <c r="AX143" s="134"/>
      <c r="AY143" s="136"/>
      <c r="AZ143" s="136"/>
      <c r="BA143" s="132"/>
      <c r="BB143" s="132"/>
      <c r="BC143" s="132"/>
      <c r="BD143" s="134"/>
      <c r="BE143" s="134"/>
      <c r="BF143" s="134"/>
      <c r="BG143" s="136"/>
      <c r="BH143" s="136"/>
      <c r="BI143" s="222">
        <f t="shared" si="60"/>
        <v>0</v>
      </c>
      <c r="BJ143" s="140">
        <f t="shared" si="61"/>
        <v>0</v>
      </c>
      <c r="BK143" s="132"/>
      <c r="BL143" s="140">
        <f t="shared" si="62"/>
        <v>0</v>
      </c>
      <c r="BM143" s="126"/>
      <c r="BN143" s="126"/>
      <c r="BO143" s="126"/>
      <c r="BP143" s="126"/>
      <c r="BQ143" s="126"/>
      <c r="BR143" s="126"/>
      <c r="BS143" s="126"/>
      <c r="BT143" s="126"/>
      <c r="BU143" s="141"/>
      <c r="BV143" s="126"/>
      <c r="BW143" s="126"/>
      <c r="BX143" s="126"/>
      <c r="BY143" s="126"/>
      <c r="BZ143" s="130">
        <f t="shared" si="63"/>
        <v>0</v>
      </c>
      <c r="CA143" s="132"/>
    </row>
    <row r="144" ht="14.25" customHeight="1">
      <c r="A144" s="132"/>
      <c r="B144" s="264">
        <v>46148</v>
      </c>
      <c r="C144" s="133"/>
      <c r="D144" s="134"/>
      <c r="E144" s="460"/>
      <c r="F144" s="460"/>
      <c r="G144" s="147">
        <f t="shared" si="55"/>
        <v>0</v>
      </c>
      <c r="H144" s="122"/>
      <c r="I144" s="122"/>
      <c r="J144" s="122"/>
      <c r="K144" s="122"/>
      <c r="L144" s="121"/>
      <c r="M144" s="99"/>
      <c r="N144" s="99"/>
      <c r="O144" s="121"/>
      <c r="P144" s="641"/>
      <c r="Q144" s="99"/>
      <c r="R144" s="99"/>
      <c r="S144" s="99"/>
      <c r="T144" s="99"/>
      <c r="U144" s="136"/>
      <c r="V144" s="136"/>
      <c r="W144" s="136"/>
      <c r="X144" s="136"/>
      <c r="Y144" s="134"/>
      <c r="Z144" s="103">
        <f t="shared" si="56"/>
        <v>0</v>
      </c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  <c r="AK144" s="99"/>
      <c r="AL144" s="99"/>
      <c r="AM144" s="99"/>
      <c r="AN144" s="103">
        <f t="shared" si="57"/>
        <v>0</v>
      </c>
      <c r="AO144" s="134"/>
      <c r="AP144" s="134"/>
      <c r="AQ144" s="134"/>
      <c r="AR144" s="105">
        <f t="shared" si="58"/>
        <v>0</v>
      </c>
      <c r="AS144" s="99"/>
      <c r="AT144" s="99"/>
      <c r="AU144" s="99"/>
      <c r="AV144" s="124"/>
      <c r="AW144" s="224">
        <f t="shared" si="59"/>
        <v>0</v>
      </c>
      <c r="AX144" s="134"/>
      <c r="AY144" s="136"/>
      <c r="AZ144" s="136"/>
      <c r="BA144" s="132"/>
      <c r="BB144" s="132"/>
      <c r="BC144" s="132"/>
      <c r="BD144" s="134"/>
      <c r="BE144" s="134"/>
      <c r="BF144" s="134"/>
      <c r="BG144" s="136"/>
      <c r="BH144" s="136"/>
      <c r="BI144" s="222">
        <f t="shared" si="60"/>
        <v>0</v>
      </c>
      <c r="BJ144" s="140">
        <f t="shared" si="61"/>
        <v>0</v>
      </c>
      <c r="BK144" s="132"/>
      <c r="BL144" s="140">
        <f t="shared" si="62"/>
        <v>0</v>
      </c>
      <c r="BM144" s="126"/>
      <c r="BN144" s="126"/>
      <c r="BO144" s="126"/>
      <c r="BP144" s="126"/>
      <c r="BQ144" s="126"/>
      <c r="BR144" s="126"/>
      <c r="BS144" s="126"/>
      <c r="BT144" s="126"/>
      <c r="BU144" s="141"/>
      <c r="BV144" s="126"/>
      <c r="BW144" s="126"/>
      <c r="BX144" s="126"/>
      <c r="BY144" s="126"/>
      <c r="BZ144" s="130">
        <f t="shared" si="63"/>
        <v>0</v>
      </c>
      <c r="CA144" s="132"/>
    </row>
    <row r="145" ht="14.25" customHeight="1">
      <c r="A145" s="132"/>
      <c r="B145" s="264">
        <v>46149</v>
      </c>
      <c r="C145" s="133"/>
      <c r="D145" s="136"/>
      <c r="E145" s="135"/>
      <c r="F145" s="135"/>
      <c r="G145" s="147">
        <f t="shared" si="55"/>
        <v>0</v>
      </c>
      <c r="H145" s="122"/>
      <c r="I145" s="122"/>
      <c r="J145" s="122"/>
      <c r="K145" s="122"/>
      <c r="L145" s="99"/>
      <c r="M145" s="99"/>
      <c r="N145" s="99"/>
      <c r="O145" s="99"/>
      <c r="P145" s="641"/>
      <c r="Q145" s="99"/>
      <c r="R145" s="99"/>
      <c r="S145" s="99"/>
      <c r="T145" s="99"/>
      <c r="U145" s="136"/>
      <c r="V145" s="136"/>
      <c r="W145" s="136"/>
      <c r="X145" s="136"/>
      <c r="Y145" s="136"/>
      <c r="Z145" s="103">
        <f t="shared" si="56"/>
        <v>0</v>
      </c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  <c r="AK145" s="99"/>
      <c r="AL145" s="99"/>
      <c r="AM145" s="99"/>
      <c r="AN145" s="103">
        <f t="shared" si="57"/>
        <v>0</v>
      </c>
      <c r="AO145" s="136"/>
      <c r="AP145" s="136"/>
      <c r="AQ145" s="136"/>
      <c r="AR145" s="105">
        <f t="shared" si="58"/>
        <v>0</v>
      </c>
      <c r="AS145" s="99"/>
      <c r="AT145" s="99"/>
      <c r="AU145" s="99"/>
      <c r="AV145" s="124"/>
      <c r="AW145" s="224">
        <f t="shared" si="59"/>
        <v>0</v>
      </c>
      <c r="AX145" s="136"/>
      <c r="AY145" s="136"/>
      <c r="AZ145" s="136"/>
      <c r="BA145" s="132"/>
      <c r="BB145" s="132"/>
      <c r="BC145" s="132"/>
      <c r="BD145" s="136"/>
      <c r="BE145" s="136"/>
      <c r="BF145" s="136"/>
      <c r="BG145" s="136"/>
      <c r="BH145" s="136"/>
      <c r="BI145" s="222">
        <f t="shared" si="60"/>
        <v>0</v>
      </c>
      <c r="BJ145" s="140">
        <f t="shared" si="61"/>
        <v>0</v>
      </c>
      <c r="BK145" s="132"/>
      <c r="BL145" s="140">
        <f t="shared" si="62"/>
        <v>0</v>
      </c>
      <c r="BM145" s="126"/>
      <c r="BN145" s="126"/>
      <c r="BO145" s="126"/>
      <c r="BP145" s="126"/>
      <c r="BQ145" s="126"/>
      <c r="BR145" s="126"/>
      <c r="BS145" s="126"/>
      <c r="BT145" s="126"/>
      <c r="BU145" s="141"/>
      <c r="BV145" s="126"/>
      <c r="BW145" s="126"/>
      <c r="BX145" s="126"/>
      <c r="BY145" s="126"/>
      <c r="BZ145" s="130">
        <f t="shared" si="63"/>
        <v>0</v>
      </c>
      <c r="CA145" s="132"/>
    </row>
    <row r="146" ht="14.25" customHeight="1">
      <c r="A146" s="132"/>
      <c r="B146" s="264">
        <v>46150</v>
      </c>
      <c r="C146" s="133"/>
      <c r="D146" s="136"/>
      <c r="E146" s="135"/>
      <c r="F146" s="135"/>
      <c r="G146" s="147">
        <f t="shared" si="55"/>
        <v>0</v>
      </c>
      <c r="H146" s="122"/>
      <c r="I146" s="122"/>
      <c r="J146" s="122"/>
      <c r="K146" s="122"/>
      <c r="L146" s="99"/>
      <c r="M146" s="99"/>
      <c r="N146" s="99"/>
      <c r="O146" s="99"/>
      <c r="P146" s="641"/>
      <c r="Q146" s="99"/>
      <c r="R146" s="99"/>
      <c r="S146" s="99"/>
      <c r="T146" s="99"/>
      <c r="U146" s="136"/>
      <c r="V146" s="136"/>
      <c r="W146" s="136"/>
      <c r="X146" s="136"/>
      <c r="Y146" s="136"/>
      <c r="Z146" s="103">
        <f t="shared" si="56"/>
        <v>0</v>
      </c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  <c r="AK146" s="99"/>
      <c r="AL146" s="99"/>
      <c r="AM146" s="99"/>
      <c r="AN146" s="103">
        <f t="shared" si="57"/>
        <v>0</v>
      </c>
      <c r="AO146" s="136"/>
      <c r="AP146" s="136"/>
      <c r="AQ146" s="136"/>
      <c r="AR146" s="105">
        <f t="shared" si="58"/>
        <v>0</v>
      </c>
      <c r="AS146" s="99"/>
      <c r="AT146" s="99"/>
      <c r="AU146" s="99"/>
      <c r="AV146" s="124"/>
      <c r="AW146" s="224">
        <f t="shared" si="59"/>
        <v>0</v>
      </c>
      <c r="AX146" s="136"/>
      <c r="AY146" s="136"/>
      <c r="AZ146" s="136"/>
      <c r="BA146" s="132"/>
      <c r="BB146" s="132"/>
      <c r="BC146" s="132"/>
      <c r="BD146" s="136"/>
      <c r="BE146" s="136"/>
      <c r="BF146" s="136"/>
      <c r="BG146" s="136"/>
      <c r="BH146" s="136"/>
      <c r="BI146" s="222">
        <f t="shared" si="60"/>
        <v>0</v>
      </c>
      <c r="BJ146" s="140">
        <f t="shared" si="61"/>
        <v>0</v>
      </c>
      <c r="BK146" s="132"/>
      <c r="BL146" s="140">
        <f t="shared" si="62"/>
        <v>0</v>
      </c>
      <c r="BM146" s="126"/>
      <c r="BN146" s="126"/>
      <c r="BO146" s="126"/>
      <c r="BP146" s="126"/>
      <c r="BQ146" s="126"/>
      <c r="BR146" s="126"/>
      <c r="BS146" s="126"/>
      <c r="BT146" s="126"/>
      <c r="BU146" s="141"/>
      <c r="BV146" s="126"/>
      <c r="BW146" s="126"/>
      <c r="BX146" s="126"/>
      <c r="BY146" s="126"/>
      <c r="BZ146" s="130">
        <f t="shared" si="63"/>
        <v>0</v>
      </c>
      <c r="CA146" s="132"/>
    </row>
    <row r="147" ht="12" customHeight="1">
      <c r="A147" s="132"/>
      <c r="B147" s="264">
        <v>46151</v>
      </c>
      <c r="C147" s="133"/>
      <c r="D147" s="136"/>
      <c r="E147" s="135"/>
      <c r="F147" s="135"/>
      <c r="G147" s="147">
        <f t="shared" si="55"/>
        <v>0</v>
      </c>
      <c r="H147" s="122"/>
      <c r="I147" s="122"/>
      <c r="J147" s="122"/>
      <c r="K147" s="122"/>
      <c r="L147" s="99"/>
      <c r="M147" s="99"/>
      <c r="N147" s="99"/>
      <c r="O147" s="99"/>
      <c r="P147" s="641"/>
      <c r="Q147" s="99"/>
      <c r="R147" s="99"/>
      <c r="S147" s="99"/>
      <c r="T147" s="99"/>
      <c r="U147" s="136"/>
      <c r="V147" s="136"/>
      <c r="W147" s="136"/>
      <c r="X147" s="136"/>
      <c r="Y147" s="136"/>
      <c r="Z147" s="103">
        <f t="shared" si="56"/>
        <v>0</v>
      </c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  <c r="AK147" s="99"/>
      <c r="AL147" s="99"/>
      <c r="AM147" s="99"/>
      <c r="AN147" s="103">
        <f t="shared" si="57"/>
        <v>0</v>
      </c>
      <c r="AO147" s="136"/>
      <c r="AP147" s="136"/>
      <c r="AQ147" s="136"/>
      <c r="AR147" s="105">
        <f t="shared" si="58"/>
        <v>0</v>
      </c>
      <c r="AS147" s="99"/>
      <c r="AT147" s="99"/>
      <c r="AU147" s="99"/>
      <c r="AV147" s="124"/>
      <c r="AW147" s="224">
        <f t="shared" si="59"/>
        <v>0</v>
      </c>
      <c r="AX147" s="136"/>
      <c r="AY147" s="136"/>
      <c r="AZ147" s="136"/>
      <c r="BA147" s="132"/>
      <c r="BB147" s="132"/>
      <c r="BC147" s="132"/>
      <c r="BD147" s="136"/>
      <c r="BE147" s="136"/>
      <c r="BF147" s="136"/>
      <c r="BG147" s="136"/>
      <c r="BH147" s="136"/>
      <c r="BI147" s="222">
        <f t="shared" si="60"/>
        <v>0</v>
      </c>
      <c r="BJ147" s="140">
        <f t="shared" si="61"/>
        <v>0</v>
      </c>
      <c r="BK147" s="132"/>
      <c r="BL147" s="140">
        <f t="shared" si="62"/>
        <v>0</v>
      </c>
      <c r="BM147" s="126"/>
      <c r="BN147" s="126"/>
      <c r="BO147" s="126"/>
      <c r="BP147" s="126"/>
      <c r="BQ147" s="126"/>
      <c r="BR147" s="126"/>
      <c r="BS147" s="126"/>
      <c r="BT147" s="126"/>
      <c r="BU147" s="141"/>
      <c r="BV147" s="126"/>
      <c r="BW147" s="126"/>
      <c r="BX147" s="126"/>
      <c r="BY147" s="126"/>
      <c r="BZ147" s="130">
        <f t="shared" si="63"/>
        <v>0</v>
      </c>
      <c r="CA147" s="132"/>
    </row>
    <row r="148" ht="14.25" customHeight="1">
      <c r="A148" s="132"/>
      <c r="B148" s="264">
        <v>46152</v>
      </c>
      <c r="C148" s="133"/>
      <c r="D148" s="136"/>
      <c r="E148" s="135"/>
      <c r="F148" s="135"/>
      <c r="G148" s="147">
        <f t="shared" si="55"/>
        <v>0</v>
      </c>
      <c r="H148" s="122"/>
      <c r="I148" s="122"/>
      <c r="J148" s="122"/>
      <c r="K148" s="122"/>
      <c r="L148" s="99"/>
      <c r="M148" s="99"/>
      <c r="N148" s="99"/>
      <c r="O148" s="99"/>
      <c r="P148" s="641"/>
      <c r="Q148" s="99"/>
      <c r="R148" s="99"/>
      <c r="S148" s="99"/>
      <c r="T148" s="99"/>
      <c r="U148" s="136"/>
      <c r="V148" s="136"/>
      <c r="W148" s="136"/>
      <c r="X148" s="136"/>
      <c r="Y148" s="136"/>
      <c r="Z148" s="103">
        <f t="shared" si="56"/>
        <v>0</v>
      </c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  <c r="AK148" s="99"/>
      <c r="AL148" s="99"/>
      <c r="AM148" s="99"/>
      <c r="AN148" s="103">
        <f t="shared" si="57"/>
        <v>0</v>
      </c>
      <c r="AO148" s="136"/>
      <c r="AP148" s="136"/>
      <c r="AQ148" s="136"/>
      <c r="AR148" s="105">
        <f t="shared" si="58"/>
        <v>0</v>
      </c>
      <c r="AS148" s="99"/>
      <c r="AT148" s="99"/>
      <c r="AU148" s="99"/>
      <c r="AV148" s="124"/>
      <c r="AW148" s="224">
        <f t="shared" si="59"/>
        <v>0</v>
      </c>
      <c r="AX148" s="136"/>
      <c r="AY148" s="136"/>
      <c r="AZ148" s="136"/>
      <c r="BA148" s="132"/>
      <c r="BB148" s="132"/>
      <c r="BC148" s="132"/>
      <c r="BD148" s="136"/>
      <c r="BE148" s="136"/>
      <c r="BF148" s="136"/>
      <c r="BG148" s="136"/>
      <c r="BH148" s="136"/>
      <c r="BI148" s="222">
        <f t="shared" si="60"/>
        <v>0</v>
      </c>
      <c r="BJ148" s="140">
        <f t="shared" si="61"/>
        <v>0</v>
      </c>
      <c r="BK148" s="132"/>
      <c r="BL148" s="140">
        <f t="shared" si="62"/>
        <v>0</v>
      </c>
      <c r="BM148" s="126"/>
      <c r="BN148" s="126"/>
      <c r="BO148" s="126"/>
      <c r="BP148" s="126"/>
      <c r="BQ148" s="126"/>
      <c r="BR148" s="126"/>
      <c r="BS148" s="126"/>
      <c r="BT148" s="126"/>
      <c r="BU148" s="141"/>
      <c r="BV148" s="126"/>
      <c r="BW148" s="126"/>
      <c r="BX148" s="126"/>
      <c r="BY148" s="126"/>
      <c r="BZ148" s="130">
        <f t="shared" si="63"/>
        <v>0</v>
      </c>
      <c r="CA148" s="132"/>
    </row>
    <row r="149" ht="14.25" customHeight="1">
      <c r="A149" s="132"/>
      <c r="B149" s="264">
        <v>46153</v>
      </c>
      <c r="C149" s="133"/>
      <c r="D149" s="136"/>
      <c r="E149" s="135"/>
      <c r="F149" s="135"/>
      <c r="G149" s="147">
        <f t="shared" si="55"/>
        <v>0</v>
      </c>
      <c r="H149" s="122"/>
      <c r="I149" s="122"/>
      <c r="J149" s="122"/>
      <c r="K149" s="122"/>
      <c r="L149" s="99"/>
      <c r="M149" s="99"/>
      <c r="N149" s="99"/>
      <c r="O149" s="99"/>
      <c r="P149" s="641"/>
      <c r="Q149" s="99"/>
      <c r="R149" s="99"/>
      <c r="S149" s="99"/>
      <c r="T149" s="99"/>
      <c r="U149" s="136"/>
      <c r="V149" s="136"/>
      <c r="W149" s="136"/>
      <c r="X149" s="136"/>
      <c r="Y149" s="136"/>
      <c r="Z149" s="103">
        <f t="shared" si="56"/>
        <v>0</v>
      </c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  <c r="AK149" s="99"/>
      <c r="AL149" s="99"/>
      <c r="AM149" s="99"/>
      <c r="AN149" s="103">
        <f t="shared" si="57"/>
        <v>0</v>
      </c>
      <c r="AO149" s="136"/>
      <c r="AP149" s="136"/>
      <c r="AQ149" s="136"/>
      <c r="AR149" s="105">
        <f t="shared" si="58"/>
        <v>0</v>
      </c>
      <c r="AS149" s="99"/>
      <c r="AT149" s="99"/>
      <c r="AU149" s="99"/>
      <c r="AV149" s="124"/>
      <c r="AW149" s="224">
        <f t="shared" si="59"/>
        <v>0</v>
      </c>
      <c r="AX149" s="136"/>
      <c r="AY149" s="136"/>
      <c r="AZ149" s="136"/>
      <c r="BA149" s="132"/>
      <c r="BB149" s="132"/>
      <c r="BC149" s="132"/>
      <c r="BD149" s="136"/>
      <c r="BE149" s="136"/>
      <c r="BF149" s="136"/>
      <c r="BG149" s="136"/>
      <c r="BH149" s="136"/>
      <c r="BI149" s="222">
        <f t="shared" si="60"/>
        <v>0</v>
      </c>
      <c r="BJ149" s="140">
        <f t="shared" si="61"/>
        <v>0</v>
      </c>
      <c r="BK149" s="132"/>
      <c r="BL149" s="140">
        <f t="shared" si="62"/>
        <v>0</v>
      </c>
      <c r="BM149" s="126"/>
      <c r="BN149" s="126"/>
      <c r="BO149" s="126"/>
      <c r="BP149" s="126"/>
      <c r="BQ149" s="126"/>
      <c r="BR149" s="126"/>
      <c r="BS149" s="126"/>
      <c r="BT149" s="126"/>
      <c r="BU149" s="141"/>
      <c r="BV149" s="126"/>
      <c r="BW149" s="126"/>
      <c r="BX149" s="126"/>
      <c r="BY149" s="126"/>
      <c r="BZ149" s="130">
        <f t="shared" si="63"/>
        <v>0</v>
      </c>
      <c r="CA149" s="132"/>
    </row>
    <row r="150" ht="14.25" customHeight="1">
      <c r="A150" s="132"/>
      <c r="B150" s="264">
        <v>46154</v>
      </c>
      <c r="C150" s="133"/>
      <c r="D150" s="136"/>
      <c r="E150" s="135"/>
      <c r="F150" s="135"/>
      <c r="G150" s="147">
        <f t="shared" si="55"/>
        <v>0</v>
      </c>
      <c r="H150" s="122"/>
      <c r="I150" s="122"/>
      <c r="J150" s="122"/>
      <c r="K150" s="122"/>
      <c r="L150" s="99"/>
      <c r="M150" s="99"/>
      <c r="N150" s="99"/>
      <c r="O150" s="99"/>
      <c r="P150" s="641"/>
      <c r="Q150" s="99"/>
      <c r="R150" s="99"/>
      <c r="S150" s="99"/>
      <c r="T150" s="99"/>
      <c r="U150" s="136"/>
      <c r="V150" s="136"/>
      <c r="W150" s="136"/>
      <c r="X150" s="136"/>
      <c r="Y150" s="136"/>
      <c r="Z150" s="103">
        <f t="shared" si="56"/>
        <v>0</v>
      </c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  <c r="AK150" s="99"/>
      <c r="AL150" s="99"/>
      <c r="AM150" s="99"/>
      <c r="AN150" s="103">
        <f t="shared" si="57"/>
        <v>0</v>
      </c>
      <c r="AO150" s="136"/>
      <c r="AP150" s="136"/>
      <c r="AQ150" s="136"/>
      <c r="AR150" s="105">
        <f t="shared" si="58"/>
        <v>0</v>
      </c>
      <c r="AS150" s="99"/>
      <c r="AT150" s="99"/>
      <c r="AU150" s="99"/>
      <c r="AV150" s="124"/>
      <c r="AW150" s="224">
        <f t="shared" si="59"/>
        <v>0</v>
      </c>
      <c r="AX150" s="136"/>
      <c r="AY150" s="136"/>
      <c r="AZ150" s="136"/>
      <c r="BA150" s="132"/>
      <c r="BB150" s="132"/>
      <c r="BC150" s="132"/>
      <c r="BD150" s="136"/>
      <c r="BE150" s="136"/>
      <c r="BF150" s="136"/>
      <c r="BG150" s="136"/>
      <c r="BH150" s="136"/>
      <c r="BI150" s="222">
        <f t="shared" si="60"/>
        <v>0</v>
      </c>
      <c r="BJ150" s="140">
        <f t="shared" si="61"/>
        <v>0</v>
      </c>
      <c r="BK150" s="132"/>
      <c r="BL150" s="140">
        <f t="shared" si="62"/>
        <v>0</v>
      </c>
      <c r="BM150" s="126"/>
      <c r="BN150" s="126"/>
      <c r="BO150" s="126"/>
      <c r="BP150" s="126"/>
      <c r="BQ150" s="126"/>
      <c r="BR150" s="126"/>
      <c r="BS150" s="126"/>
      <c r="BT150" s="126"/>
      <c r="BU150" s="141"/>
      <c r="BV150" s="126"/>
      <c r="BW150" s="126"/>
      <c r="BX150" s="126"/>
      <c r="BY150" s="126"/>
      <c r="BZ150" s="130">
        <f t="shared" si="63"/>
        <v>0</v>
      </c>
      <c r="CA150" s="132"/>
    </row>
    <row r="151" ht="14.25" customHeight="1">
      <c r="A151" s="132"/>
      <c r="B151" s="264">
        <v>46155</v>
      </c>
      <c r="C151" s="133"/>
      <c r="D151" s="136"/>
      <c r="E151" s="135"/>
      <c r="F151" s="135"/>
      <c r="G151" s="147">
        <f t="shared" si="55"/>
        <v>0</v>
      </c>
      <c r="H151" s="122"/>
      <c r="I151" s="122"/>
      <c r="J151" s="122"/>
      <c r="K151" s="122"/>
      <c r="L151" s="99"/>
      <c r="M151" s="99"/>
      <c r="N151" s="99"/>
      <c r="O151" s="99"/>
      <c r="P151" s="641"/>
      <c r="Q151" s="99"/>
      <c r="R151" s="99"/>
      <c r="S151" s="99"/>
      <c r="T151" s="99"/>
      <c r="U151" s="99"/>
      <c r="V151" s="99"/>
      <c r="W151" s="99"/>
      <c r="X151" s="99"/>
      <c r="Y151" s="99"/>
      <c r="Z151" s="103">
        <f t="shared" si="56"/>
        <v>0</v>
      </c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  <c r="AK151" s="99"/>
      <c r="AL151" s="99"/>
      <c r="AM151" s="99"/>
      <c r="AN151" s="103">
        <f t="shared" si="57"/>
        <v>0</v>
      </c>
      <c r="AO151" s="136"/>
      <c r="AP151" s="136"/>
      <c r="AQ151" s="136"/>
      <c r="AR151" s="105">
        <f t="shared" si="58"/>
        <v>0</v>
      </c>
      <c r="AS151" s="99"/>
      <c r="AT151" s="99"/>
      <c r="AU151" s="99"/>
      <c r="AV151" s="124"/>
      <c r="AW151" s="224">
        <f t="shared" si="59"/>
        <v>0</v>
      </c>
      <c r="AX151" s="136"/>
      <c r="AY151" s="136"/>
      <c r="AZ151" s="136"/>
      <c r="BA151" s="132"/>
      <c r="BB151" s="132"/>
      <c r="BC151" s="132"/>
      <c r="BD151" s="136"/>
      <c r="BE151" s="136"/>
      <c r="BF151" s="136"/>
      <c r="BG151" s="136"/>
      <c r="BH151" s="136"/>
      <c r="BI151" s="222">
        <f t="shared" si="60"/>
        <v>0</v>
      </c>
      <c r="BJ151" s="140">
        <f t="shared" si="61"/>
        <v>0</v>
      </c>
      <c r="BK151" s="132"/>
      <c r="BL151" s="140">
        <f t="shared" si="62"/>
        <v>0</v>
      </c>
      <c r="BM151" s="126"/>
      <c r="BN151" s="126"/>
      <c r="BO151" s="126"/>
      <c r="BP151" s="126"/>
      <c r="BQ151" s="126"/>
      <c r="BR151" s="126"/>
      <c r="BS151" s="126"/>
      <c r="BT151" s="126"/>
      <c r="BU151" s="141"/>
      <c r="BV151" s="126"/>
      <c r="BW151" s="126"/>
      <c r="BX151" s="126"/>
      <c r="BY151" s="126"/>
      <c r="BZ151" s="130">
        <f t="shared" si="63"/>
        <v>0</v>
      </c>
      <c r="CA151" s="132"/>
    </row>
    <row r="152" ht="14.25" customHeight="1">
      <c r="A152" s="132"/>
      <c r="B152" s="264">
        <v>46156</v>
      </c>
      <c r="C152" s="133"/>
      <c r="D152" s="136"/>
      <c r="E152" s="135"/>
      <c r="F152" s="135"/>
      <c r="G152" s="147">
        <f t="shared" si="55"/>
        <v>0</v>
      </c>
      <c r="H152" s="122"/>
      <c r="I152" s="122"/>
      <c r="J152" s="122"/>
      <c r="K152" s="122"/>
      <c r="L152" s="99"/>
      <c r="M152" s="99"/>
      <c r="N152" s="99"/>
      <c r="O152" s="99"/>
      <c r="P152" s="641"/>
      <c r="Q152" s="99"/>
      <c r="R152" s="99"/>
      <c r="S152" s="99"/>
      <c r="T152" s="99"/>
      <c r="U152" s="99"/>
      <c r="V152" s="99"/>
      <c r="W152" s="99"/>
      <c r="X152" s="99"/>
      <c r="Y152" s="99"/>
      <c r="Z152" s="103">
        <f t="shared" si="56"/>
        <v>0</v>
      </c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  <c r="AK152" s="99"/>
      <c r="AL152" s="99"/>
      <c r="AM152" s="99"/>
      <c r="AN152" s="103">
        <f t="shared" si="57"/>
        <v>0</v>
      </c>
      <c r="AO152" s="136"/>
      <c r="AP152" s="136"/>
      <c r="AQ152" s="136"/>
      <c r="AR152" s="105">
        <f t="shared" si="58"/>
        <v>0</v>
      </c>
      <c r="AS152" s="99"/>
      <c r="AT152" s="99"/>
      <c r="AU152" s="99"/>
      <c r="AV152" s="124"/>
      <c r="AW152" s="224">
        <f t="shared" si="59"/>
        <v>0</v>
      </c>
      <c r="AX152" s="136"/>
      <c r="AY152" s="136"/>
      <c r="AZ152" s="136"/>
      <c r="BA152" s="132"/>
      <c r="BB152" s="132"/>
      <c r="BC152" s="132"/>
      <c r="BD152" s="136"/>
      <c r="BE152" s="136"/>
      <c r="BF152" s="136"/>
      <c r="BG152" s="136"/>
      <c r="BH152" s="136"/>
      <c r="BI152" s="222">
        <f t="shared" si="60"/>
        <v>0</v>
      </c>
      <c r="BJ152" s="140">
        <f t="shared" si="61"/>
        <v>0</v>
      </c>
      <c r="BK152" s="132"/>
      <c r="BL152" s="140">
        <f t="shared" si="62"/>
        <v>0</v>
      </c>
      <c r="BM152" s="126"/>
      <c r="BN152" s="126"/>
      <c r="BO152" s="126"/>
      <c r="BP152" s="126"/>
      <c r="BQ152" s="126"/>
      <c r="BR152" s="126"/>
      <c r="BS152" s="126"/>
      <c r="BT152" s="126"/>
      <c r="BU152" s="141"/>
      <c r="BV152" s="126"/>
      <c r="BW152" s="126"/>
      <c r="BX152" s="126"/>
      <c r="BY152" s="126"/>
      <c r="BZ152" s="130">
        <f t="shared" si="63"/>
        <v>0</v>
      </c>
      <c r="CA152" s="132"/>
    </row>
    <row r="153" ht="14.25" customHeight="1">
      <c r="A153" s="132"/>
      <c r="B153" s="264">
        <v>46157</v>
      </c>
      <c r="C153" s="133"/>
      <c r="D153" s="136"/>
      <c r="E153" s="135"/>
      <c r="F153" s="135"/>
      <c r="G153" s="147">
        <f t="shared" si="55"/>
        <v>0</v>
      </c>
      <c r="H153" s="122"/>
      <c r="I153" s="122"/>
      <c r="J153" s="122"/>
      <c r="K153" s="122"/>
      <c r="L153" s="99"/>
      <c r="M153" s="99"/>
      <c r="N153" s="99"/>
      <c r="O153" s="99"/>
      <c r="P153" s="641"/>
      <c r="Q153" s="99"/>
      <c r="R153" s="99"/>
      <c r="S153" s="99"/>
      <c r="T153" s="99"/>
      <c r="U153" s="99"/>
      <c r="V153" s="99"/>
      <c r="W153" s="99"/>
      <c r="X153" s="99"/>
      <c r="Y153" s="99"/>
      <c r="Z153" s="103">
        <f t="shared" si="56"/>
        <v>0</v>
      </c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  <c r="AK153" s="99"/>
      <c r="AL153" s="99"/>
      <c r="AM153" s="99"/>
      <c r="AN153" s="103">
        <f t="shared" si="57"/>
        <v>0</v>
      </c>
      <c r="AO153" s="136"/>
      <c r="AP153" s="136"/>
      <c r="AQ153" s="136"/>
      <c r="AR153" s="105">
        <f t="shared" si="58"/>
        <v>0</v>
      </c>
      <c r="AS153" s="99"/>
      <c r="AT153" s="99"/>
      <c r="AU153" s="99"/>
      <c r="AV153" s="124"/>
      <c r="AW153" s="224">
        <f t="shared" si="59"/>
        <v>0</v>
      </c>
      <c r="AX153" s="136"/>
      <c r="AY153" s="136"/>
      <c r="AZ153" s="136"/>
      <c r="BA153" s="132"/>
      <c r="BB153" s="132"/>
      <c r="BC153" s="132"/>
      <c r="BD153" s="136"/>
      <c r="BE153" s="136"/>
      <c r="BF153" s="136"/>
      <c r="BG153" s="136"/>
      <c r="BH153" s="136"/>
      <c r="BI153" s="222">
        <f t="shared" si="60"/>
        <v>0</v>
      </c>
      <c r="BJ153" s="140">
        <f t="shared" si="61"/>
        <v>0</v>
      </c>
      <c r="BK153" s="132"/>
      <c r="BL153" s="140">
        <f t="shared" si="62"/>
        <v>0</v>
      </c>
      <c r="BM153" s="126"/>
      <c r="BN153" s="126"/>
      <c r="BO153" s="126"/>
      <c r="BP153" s="126"/>
      <c r="BQ153" s="126"/>
      <c r="BR153" s="126"/>
      <c r="BS153" s="126"/>
      <c r="BT153" s="126"/>
      <c r="BU153" s="141"/>
      <c r="BV153" s="126"/>
      <c r="BW153" s="126"/>
      <c r="BX153" s="126"/>
      <c r="BY153" s="126"/>
      <c r="BZ153" s="130">
        <f t="shared" si="63"/>
        <v>0</v>
      </c>
      <c r="CA153" s="132"/>
    </row>
    <row r="154" ht="14.25" customHeight="1">
      <c r="A154" s="132"/>
      <c r="B154" s="264">
        <v>46158</v>
      </c>
      <c r="C154" s="133"/>
      <c r="D154" s="136"/>
      <c r="E154" s="135"/>
      <c r="F154" s="135"/>
      <c r="G154" s="147">
        <f t="shared" si="55"/>
        <v>0</v>
      </c>
      <c r="H154" s="122"/>
      <c r="I154" s="122"/>
      <c r="J154" s="122"/>
      <c r="K154" s="122"/>
      <c r="L154" s="99"/>
      <c r="M154" s="99"/>
      <c r="N154" s="99"/>
      <c r="O154" s="99"/>
      <c r="P154" s="641"/>
      <c r="Q154" s="99"/>
      <c r="R154" s="99"/>
      <c r="S154" s="99"/>
      <c r="T154" s="99"/>
      <c r="U154" s="99"/>
      <c r="V154" s="99"/>
      <c r="W154" s="99"/>
      <c r="X154" s="99"/>
      <c r="Y154" s="99"/>
      <c r="Z154" s="103">
        <f t="shared" si="56"/>
        <v>0</v>
      </c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  <c r="AK154" s="99"/>
      <c r="AL154" s="99"/>
      <c r="AM154" s="99"/>
      <c r="AN154" s="103">
        <f t="shared" si="57"/>
        <v>0</v>
      </c>
      <c r="AO154" s="136"/>
      <c r="AP154" s="136"/>
      <c r="AQ154" s="136"/>
      <c r="AR154" s="105">
        <f t="shared" si="58"/>
        <v>0</v>
      </c>
      <c r="AS154" s="99"/>
      <c r="AT154" s="99"/>
      <c r="AU154" s="99"/>
      <c r="AV154" s="124"/>
      <c r="AW154" s="224">
        <f t="shared" si="59"/>
        <v>0</v>
      </c>
      <c r="AX154" s="136"/>
      <c r="AY154" s="136"/>
      <c r="AZ154" s="136"/>
      <c r="BA154" s="132"/>
      <c r="BB154" s="132"/>
      <c r="BC154" s="132"/>
      <c r="BD154" s="136"/>
      <c r="BE154" s="136"/>
      <c r="BF154" s="136"/>
      <c r="BG154" s="136"/>
      <c r="BH154" s="136"/>
      <c r="BI154" s="222">
        <f t="shared" si="60"/>
        <v>0</v>
      </c>
      <c r="BJ154" s="140">
        <f t="shared" si="61"/>
        <v>0</v>
      </c>
      <c r="BK154" s="132"/>
      <c r="BL154" s="140">
        <f t="shared" si="62"/>
        <v>0</v>
      </c>
      <c r="BM154" s="126"/>
      <c r="BN154" s="126"/>
      <c r="BO154" s="126"/>
      <c r="BP154" s="126"/>
      <c r="BQ154" s="126"/>
      <c r="BR154" s="126"/>
      <c r="BS154" s="126"/>
      <c r="BT154" s="126"/>
      <c r="BU154" s="141"/>
      <c r="BV154" s="126"/>
      <c r="BW154" s="126"/>
      <c r="BX154" s="126"/>
      <c r="BY154" s="126"/>
      <c r="BZ154" s="130">
        <f t="shared" si="63"/>
        <v>0</v>
      </c>
      <c r="CA154" s="132"/>
    </row>
    <row r="155" ht="14.25" customHeight="1">
      <c r="A155" s="132"/>
      <c r="B155" s="264">
        <v>46159</v>
      </c>
      <c r="C155" s="133"/>
      <c r="D155" s="136"/>
      <c r="E155" s="135"/>
      <c r="F155" s="135"/>
      <c r="G155" s="147">
        <f t="shared" si="55"/>
        <v>0</v>
      </c>
      <c r="H155" s="122"/>
      <c r="I155" s="122"/>
      <c r="J155" s="122"/>
      <c r="K155" s="122"/>
      <c r="L155" s="99"/>
      <c r="M155" s="99"/>
      <c r="N155" s="99"/>
      <c r="O155" s="99"/>
      <c r="P155" s="641"/>
      <c r="Q155" s="99"/>
      <c r="R155" s="99"/>
      <c r="S155" s="99"/>
      <c r="T155" s="99"/>
      <c r="U155" s="99"/>
      <c r="V155" s="99"/>
      <c r="W155" s="99"/>
      <c r="X155" s="99"/>
      <c r="Y155" s="99"/>
      <c r="Z155" s="103">
        <f t="shared" si="56"/>
        <v>0</v>
      </c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  <c r="AK155" s="99"/>
      <c r="AL155" s="99"/>
      <c r="AM155" s="99"/>
      <c r="AN155" s="103">
        <f t="shared" si="57"/>
        <v>0</v>
      </c>
      <c r="AO155" s="136"/>
      <c r="AP155" s="136"/>
      <c r="AQ155" s="136"/>
      <c r="AR155" s="105">
        <f t="shared" si="58"/>
        <v>0</v>
      </c>
      <c r="AS155" s="99"/>
      <c r="AT155" s="99"/>
      <c r="AU155" s="99"/>
      <c r="AV155" s="124"/>
      <c r="AW155" s="224">
        <f t="shared" si="59"/>
        <v>0</v>
      </c>
      <c r="AX155" s="136"/>
      <c r="AY155" s="136"/>
      <c r="AZ155" s="136"/>
      <c r="BA155" s="132"/>
      <c r="BB155" s="132"/>
      <c r="BC155" s="132"/>
      <c r="BD155" s="136"/>
      <c r="BE155" s="136"/>
      <c r="BF155" s="136"/>
      <c r="BG155" s="136"/>
      <c r="BH155" s="136"/>
      <c r="BI155" s="222">
        <f t="shared" si="60"/>
        <v>0</v>
      </c>
      <c r="BJ155" s="140">
        <f t="shared" si="61"/>
        <v>0</v>
      </c>
      <c r="BK155" s="132"/>
      <c r="BL155" s="140">
        <f t="shared" si="62"/>
        <v>0</v>
      </c>
      <c r="BM155" s="126"/>
      <c r="BN155" s="126"/>
      <c r="BO155" s="126"/>
      <c r="BP155" s="126"/>
      <c r="BQ155" s="126"/>
      <c r="BR155" s="126"/>
      <c r="BS155" s="126"/>
      <c r="BT155" s="126"/>
      <c r="BU155" s="141"/>
      <c r="BV155" s="126"/>
      <c r="BW155" s="126"/>
      <c r="BX155" s="126"/>
      <c r="BY155" s="126"/>
      <c r="BZ155" s="130">
        <f t="shared" si="63"/>
        <v>0</v>
      </c>
      <c r="CA155" s="132"/>
    </row>
    <row r="156" ht="14.25" customHeight="1">
      <c r="A156" s="132"/>
      <c r="B156" s="264">
        <v>46160</v>
      </c>
      <c r="C156" s="133"/>
      <c r="D156" s="136"/>
      <c r="E156" s="135"/>
      <c r="F156" s="135"/>
      <c r="G156" s="147">
        <f t="shared" si="55"/>
        <v>0</v>
      </c>
      <c r="H156" s="122"/>
      <c r="I156" s="122"/>
      <c r="J156" s="122"/>
      <c r="K156" s="122"/>
      <c r="L156" s="99"/>
      <c r="M156" s="99"/>
      <c r="N156" s="99"/>
      <c r="O156" s="99"/>
      <c r="P156" s="641"/>
      <c r="Q156" s="99"/>
      <c r="R156" s="99"/>
      <c r="S156" s="99"/>
      <c r="T156" s="99"/>
      <c r="U156" s="99"/>
      <c r="V156" s="99"/>
      <c r="W156" s="99"/>
      <c r="X156" s="99"/>
      <c r="Y156" s="99"/>
      <c r="Z156" s="103">
        <f t="shared" si="56"/>
        <v>0</v>
      </c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  <c r="AK156" s="99"/>
      <c r="AL156" s="99"/>
      <c r="AM156" s="99"/>
      <c r="AN156" s="103">
        <f t="shared" si="57"/>
        <v>0</v>
      </c>
      <c r="AO156" s="136"/>
      <c r="AP156" s="136"/>
      <c r="AQ156" s="136"/>
      <c r="AR156" s="105">
        <f t="shared" si="58"/>
        <v>0</v>
      </c>
      <c r="AS156" s="99"/>
      <c r="AT156" s="99"/>
      <c r="AU156" s="99"/>
      <c r="AV156" s="124"/>
      <c r="AW156" s="224">
        <f t="shared" si="59"/>
        <v>0</v>
      </c>
      <c r="AX156" s="136"/>
      <c r="AY156" s="136"/>
      <c r="AZ156" s="136"/>
      <c r="BA156" s="132"/>
      <c r="BB156" s="132"/>
      <c r="BC156" s="132"/>
      <c r="BD156" s="136"/>
      <c r="BE156" s="136"/>
      <c r="BF156" s="136"/>
      <c r="BG156" s="136"/>
      <c r="BH156" s="136"/>
      <c r="BI156" s="222">
        <f t="shared" si="60"/>
        <v>0</v>
      </c>
      <c r="BJ156" s="140">
        <f t="shared" si="61"/>
        <v>0</v>
      </c>
      <c r="BK156" s="132"/>
      <c r="BL156" s="140">
        <f t="shared" si="62"/>
        <v>0</v>
      </c>
      <c r="BM156" s="126"/>
      <c r="BN156" s="126"/>
      <c r="BO156" s="126"/>
      <c r="BP156" s="126"/>
      <c r="BQ156" s="126"/>
      <c r="BR156" s="126"/>
      <c r="BS156" s="126"/>
      <c r="BT156" s="126"/>
      <c r="BU156" s="141"/>
      <c r="BV156" s="126"/>
      <c r="BW156" s="126"/>
      <c r="BX156" s="126"/>
      <c r="BY156" s="126"/>
      <c r="BZ156" s="130">
        <f t="shared" si="63"/>
        <v>0</v>
      </c>
      <c r="CA156" s="132"/>
    </row>
    <row r="157" ht="14.25" customHeight="1">
      <c r="A157" s="132"/>
      <c r="B157" s="264">
        <v>46161</v>
      </c>
      <c r="C157" s="133"/>
      <c r="D157" s="136"/>
      <c r="E157" s="135"/>
      <c r="F157" s="135"/>
      <c r="G157" s="147">
        <f t="shared" si="55"/>
        <v>0</v>
      </c>
      <c r="H157" s="122"/>
      <c r="I157" s="122"/>
      <c r="J157" s="122"/>
      <c r="K157" s="122"/>
      <c r="L157" s="99"/>
      <c r="M157" s="99"/>
      <c r="N157" s="99"/>
      <c r="O157" s="99"/>
      <c r="P157" s="641"/>
      <c r="Q157" s="99"/>
      <c r="R157" s="99"/>
      <c r="S157" s="99"/>
      <c r="T157" s="99"/>
      <c r="U157" s="99"/>
      <c r="V157" s="99"/>
      <c r="W157" s="99"/>
      <c r="X157" s="99"/>
      <c r="Y157" s="99"/>
      <c r="Z157" s="103">
        <f t="shared" si="56"/>
        <v>0</v>
      </c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103">
        <f t="shared" si="57"/>
        <v>0</v>
      </c>
      <c r="AO157" s="136"/>
      <c r="AP157" s="136"/>
      <c r="AQ157" s="136"/>
      <c r="AR157" s="105">
        <f t="shared" si="58"/>
        <v>0</v>
      </c>
      <c r="AS157" s="99"/>
      <c r="AT157" s="99"/>
      <c r="AU157" s="99"/>
      <c r="AV157" s="124"/>
      <c r="AW157" s="224">
        <f t="shared" si="59"/>
        <v>0</v>
      </c>
      <c r="AX157" s="136"/>
      <c r="AY157" s="136"/>
      <c r="AZ157" s="136"/>
      <c r="BA157" s="132"/>
      <c r="BB157" s="132"/>
      <c r="BC157" s="132"/>
      <c r="BD157" s="136"/>
      <c r="BE157" s="136"/>
      <c r="BF157" s="136"/>
      <c r="BG157" s="136"/>
      <c r="BH157" s="136"/>
      <c r="BI157" s="222">
        <f t="shared" si="60"/>
        <v>0</v>
      </c>
      <c r="BJ157" s="140">
        <f t="shared" si="61"/>
        <v>0</v>
      </c>
      <c r="BK157" s="132"/>
      <c r="BL157" s="140">
        <f t="shared" si="62"/>
        <v>0</v>
      </c>
      <c r="BM157" s="126"/>
      <c r="BN157" s="126"/>
      <c r="BO157" s="126"/>
      <c r="BP157" s="126"/>
      <c r="BQ157" s="126"/>
      <c r="BR157" s="126"/>
      <c r="BS157" s="126"/>
      <c r="BT157" s="126"/>
      <c r="BU157" s="141"/>
      <c r="BV157" s="126"/>
      <c r="BW157" s="126"/>
      <c r="BX157" s="126"/>
      <c r="BY157" s="126"/>
      <c r="BZ157" s="130">
        <f t="shared" si="63"/>
        <v>0</v>
      </c>
      <c r="CA157" s="132"/>
    </row>
    <row r="158" ht="14.25" customHeight="1">
      <c r="A158" s="132"/>
      <c r="B158" s="264">
        <v>46162</v>
      </c>
      <c r="C158" s="132"/>
      <c r="D158" s="136"/>
      <c r="E158" s="135"/>
      <c r="F158" s="135"/>
      <c r="G158" s="147">
        <f t="shared" si="55"/>
        <v>0</v>
      </c>
      <c r="H158" s="122"/>
      <c r="I158" s="122"/>
      <c r="J158" s="122"/>
      <c r="K158" s="122"/>
      <c r="L158" s="99"/>
      <c r="M158" s="99"/>
      <c r="N158" s="99"/>
      <c r="O158" s="99"/>
      <c r="P158" s="641"/>
      <c r="Q158" s="99"/>
      <c r="R158" s="99"/>
      <c r="S158" s="99"/>
      <c r="T158" s="99"/>
      <c r="U158" s="99"/>
      <c r="V158" s="99"/>
      <c r="W158" s="99"/>
      <c r="X158" s="99"/>
      <c r="Y158" s="99"/>
      <c r="Z158" s="103">
        <f t="shared" si="56"/>
        <v>0</v>
      </c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99"/>
      <c r="AL158" s="99"/>
      <c r="AM158" s="99"/>
      <c r="AN158" s="103">
        <f t="shared" si="57"/>
        <v>0</v>
      </c>
      <c r="AO158" s="136"/>
      <c r="AP158" s="136"/>
      <c r="AQ158" s="136"/>
      <c r="AR158" s="105">
        <f t="shared" si="58"/>
        <v>0</v>
      </c>
      <c r="AS158" s="99"/>
      <c r="AT158" s="99"/>
      <c r="AU158" s="99"/>
      <c r="AV158" s="124"/>
      <c r="AW158" s="224">
        <f t="shared" si="59"/>
        <v>0</v>
      </c>
      <c r="AX158" s="136"/>
      <c r="AY158" s="136"/>
      <c r="AZ158" s="136"/>
      <c r="BA158" s="132"/>
      <c r="BB158" s="132"/>
      <c r="BC158" s="132"/>
      <c r="BD158" s="136"/>
      <c r="BE158" s="136"/>
      <c r="BF158" s="136"/>
      <c r="BG158" s="136"/>
      <c r="BH158" s="136"/>
      <c r="BI158" s="222">
        <f t="shared" si="60"/>
        <v>0</v>
      </c>
      <c r="BJ158" s="140">
        <f t="shared" si="61"/>
        <v>0</v>
      </c>
      <c r="BK158" s="132"/>
      <c r="BL158" s="140">
        <f t="shared" si="62"/>
        <v>0</v>
      </c>
      <c r="BM158" s="126"/>
      <c r="BN158" s="126"/>
      <c r="BO158" s="126"/>
      <c r="BP158" s="126"/>
      <c r="BQ158" s="126"/>
      <c r="BR158" s="126"/>
      <c r="BS158" s="126"/>
      <c r="BT158" s="126"/>
      <c r="BU158" s="141"/>
      <c r="BV158" s="126"/>
      <c r="BW158" s="126"/>
      <c r="BX158" s="126"/>
      <c r="BY158" s="126"/>
      <c r="BZ158" s="130">
        <f t="shared" si="63"/>
        <v>0</v>
      </c>
      <c r="CA158" s="132"/>
    </row>
    <row r="159" ht="14.25" customHeight="1">
      <c r="A159" s="132"/>
      <c r="B159" s="264">
        <v>46163</v>
      </c>
      <c r="C159" s="133"/>
      <c r="D159" s="136"/>
      <c r="E159" s="135"/>
      <c r="F159" s="135"/>
      <c r="G159" s="147">
        <f t="shared" si="55"/>
        <v>0</v>
      </c>
      <c r="H159" s="122"/>
      <c r="I159" s="122"/>
      <c r="J159" s="122"/>
      <c r="K159" s="122"/>
      <c r="L159" s="99"/>
      <c r="M159" s="99"/>
      <c r="N159" s="99"/>
      <c r="O159" s="99"/>
      <c r="P159" s="641"/>
      <c r="Q159" s="99"/>
      <c r="R159" s="99"/>
      <c r="S159" s="99"/>
      <c r="T159" s="99"/>
      <c r="U159" s="99"/>
      <c r="V159" s="99"/>
      <c r="W159" s="99"/>
      <c r="X159" s="99"/>
      <c r="Y159" s="99"/>
      <c r="Z159" s="103">
        <f t="shared" si="56"/>
        <v>0</v>
      </c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  <c r="AK159" s="99"/>
      <c r="AL159" s="99"/>
      <c r="AM159" s="99"/>
      <c r="AN159" s="103">
        <f t="shared" si="57"/>
        <v>0</v>
      </c>
      <c r="AO159" s="136"/>
      <c r="AP159" s="136"/>
      <c r="AQ159" s="136"/>
      <c r="AR159" s="105">
        <f t="shared" si="58"/>
        <v>0</v>
      </c>
      <c r="AS159" s="99"/>
      <c r="AT159" s="99"/>
      <c r="AU159" s="99"/>
      <c r="AV159" s="124"/>
      <c r="AW159" s="224">
        <f t="shared" si="59"/>
        <v>0</v>
      </c>
      <c r="AX159" s="136"/>
      <c r="AY159" s="136"/>
      <c r="AZ159" s="136"/>
      <c r="BA159" s="132"/>
      <c r="BB159" s="132"/>
      <c r="BC159" s="132"/>
      <c r="BD159" s="136"/>
      <c r="BE159" s="136"/>
      <c r="BF159" s="136"/>
      <c r="BG159" s="136"/>
      <c r="BH159" s="136"/>
      <c r="BI159" s="222">
        <f t="shared" si="60"/>
        <v>0</v>
      </c>
      <c r="BJ159" s="140">
        <f t="shared" si="61"/>
        <v>0</v>
      </c>
      <c r="BK159" s="132"/>
      <c r="BL159" s="140">
        <f t="shared" si="62"/>
        <v>0</v>
      </c>
      <c r="BM159" s="126"/>
      <c r="BN159" s="126"/>
      <c r="BO159" s="126"/>
      <c r="BP159" s="126"/>
      <c r="BQ159" s="126"/>
      <c r="BR159" s="126"/>
      <c r="BS159" s="126"/>
      <c r="BT159" s="126"/>
      <c r="BU159" s="141"/>
      <c r="BV159" s="126"/>
      <c r="BW159" s="126"/>
      <c r="BX159" s="126"/>
      <c r="BY159" s="126"/>
      <c r="BZ159" s="130">
        <f t="shared" si="63"/>
        <v>0</v>
      </c>
      <c r="CA159" s="132"/>
    </row>
    <row r="160" ht="14.25" customHeight="1">
      <c r="A160" s="132"/>
      <c r="B160" s="264">
        <v>46164</v>
      </c>
      <c r="C160" s="133"/>
      <c r="D160" s="136"/>
      <c r="E160" s="135"/>
      <c r="F160" s="135"/>
      <c r="G160" s="147">
        <f t="shared" si="55"/>
        <v>0</v>
      </c>
      <c r="H160" s="122"/>
      <c r="I160" s="122"/>
      <c r="J160" s="122"/>
      <c r="K160" s="122"/>
      <c r="L160" s="99"/>
      <c r="M160" s="99"/>
      <c r="N160" s="99"/>
      <c r="O160" s="99"/>
      <c r="P160" s="641"/>
      <c r="Q160" s="99"/>
      <c r="R160" s="99"/>
      <c r="S160" s="99"/>
      <c r="T160" s="99"/>
      <c r="U160" s="99"/>
      <c r="V160" s="99"/>
      <c r="W160" s="99"/>
      <c r="X160" s="99"/>
      <c r="Y160" s="99"/>
      <c r="Z160" s="103">
        <f t="shared" si="56"/>
        <v>0</v>
      </c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  <c r="AK160" s="99"/>
      <c r="AL160" s="99"/>
      <c r="AM160" s="99"/>
      <c r="AN160" s="103">
        <f t="shared" si="57"/>
        <v>0</v>
      </c>
      <c r="AO160" s="136"/>
      <c r="AP160" s="136"/>
      <c r="AQ160" s="136"/>
      <c r="AR160" s="105">
        <f t="shared" si="58"/>
        <v>0</v>
      </c>
      <c r="AS160" s="99"/>
      <c r="AT160" s="99"/>
      <c r="AU160" s="99"/>
      <c r="AV160" s="124"/>
      <c r="AW160" s="224">
        <f t="shared" si="59"/>
        <v>0</v>
      </c>
      <c r="AX160" s="136"/>
      <c r="AY160" s="136"/>
      <c r="AZ160" s="136"/>
      <c r="BA160" s="132"/>
      <c r="BB160" s="132"/>
      <c r="BC160" s="132"/>
      <c r="BD160" s="136"/>
      <c r="BE160" s="136"/>
      <c r="BF160" s="136"/>
      <c r="BG160" s="136"/>
      <c r="BH160" s="136"/>
      <c r="BI160" s="222">
        <f t="shared" si="60"/>
        <v>0</v>
      </c>
      <c r="BJ160" s="140">
        <f t="shared" si="61"/>
        <v>0</v>
      </c>
      <c r="BK160" s="132"/>
      <c r="BL160" s="140">
        <f t="shared" si="62"/>
        <v>0</v>
      </c>
      <c r="BM160" s="126"/>
      <c r="BN160" s="126"/>
      <c r="BO160" s="126"/>
      <c r="BP160" s="126"/>
      <c r="BQ160" s="126"/>
      <c r="BR160" s="126"/>
      <c r="BS160" s="126"/>
      <c r="BT160" s="126"/>
      <c r="BU160" s="141"/>
      <c r="BV160" s="126"/>
      <c r="BW160" s="126"/>
      <c r="BX160" s="126"/>
      <c r="BY160" s="126"/>
      <c r="BZ160" s="130">
        <f t="shared" si="63"/>
        <v>0</v>
      </c>
      <c r="CA160" s="132"/>
    </row>
    <row r="161" ht="14.25" customHeight="1">
      <c r="A161" s="651"/>
      <c r="B161" s="264">
        <v>46165</v>
      </c>
      <c r="C161" s="133"/>
      <c r="D161" s="136"/>
      <c r="E161" s="135"/>
      <c r="F161" s="135"/>
      <c r="G161" s="147">
        <f t="shared" si="55"/>
        <v>0</v>
      </c>
      <c r="H161" s="122"/>
      <c r="I161" s="122"/>
      <c r="J161" s="122"/>
      <c r="K161" s="122"/>
      <c r="L161" s="99"/>
      <c r="M161" s="99"/>
      <c r="N161" s="99"/>
      <c r="O161" s="99"/>
      <c r="P161" s="641"/>
      <c r="Q161" s="99"/>
      <c r="R161" s="99"/>
      <c r="S161" s="99"/>
      <c r="T161" s="99"/>
      <c r="U161" s="99"/>
      <c r="V161" s="99"/>
      <c r="W161" s="99"/>
      <c r="X161" s="99"/>
      <c r="Y161" s="99"/>
      <c r="Z161" s="652">
        <f t="shared" si="56"/>
        <v>0</v>
      </c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  <c r="AK161" s="99"/>
      <c r="AL161" s="99"/>
      <c r="AM161" s="99"/>
      <c r="AN161" s="652">
        <f t="shared" si="57"/>
        <v>0</v>
      </c>
      <c r="AO161" s="136"/>
      <c r="AP161" s="136"/>
      <c r="AQ161" s="136"/>
      <c r="AR161" s="652">
        <f t="shared" si="58"/>
        <v>0</v>
      </c>
      <c r="AS161" s="99"/>
      <c r="AT161" s="99"/>
      <c r="AU161" s="99"/>
      <c r="AV161" s="124"/>
      <c r="AW161" s="653">
        <f t="shared" si="59"/>
        <v>0</v>
      </c>
      <c r="AX161" s="136"/>
      <c r="AY161" s="136"/>
      <c r="AZ161" s="136"/>
      <c r="BA161" s="132"/>
      <c r="BB161" s="132"/>
      <c r="BC161" s="132"/>
      <c r="BD161" s="136"/>
      <c r="BE161" s="136"/>
      <c r="BF161" s="136"/>
      <c r="BG161" s="136"/>
      <c r="BH161" s="136"/>
      <c r="BI161" s="654">
        <f t="shared" si="60"/>
        <v>0</v>
      </c>
      <c r="BJ161" s="655">
        <f t="shared" si="61"/>
        <v>0</v>
      </c>
      <c r="BK161" s="651"/>
      <c r="BL161" s="655">
        <f t="shared" si="62"/>
        <v>0</v>
      </c>
      <c r="BM161" s="126"/>
      <c r="BN161" s="126"/>
      <c r="BO161" s="126"/>
      <c r="BP161" s="126"/>
      <c r="BQ161" s="126"/>
      <c r="BR161" s="126"/>
      <c r="BS161" s="126"/>
      <c r="BT161" s="126"/>
      <c r="BU161" s="655"/>
      <c r="BV161" s="126"/>
      <c r="BW161" s="126"/>
      <c r="BX161" s="126"/>
      <c r="BY161" s="126"/>
      <c r="BZ161" s="130">
        <f t="shared" si="63"/>
        <v>0</v>
      </c>
      <c r="CA161" s="651"/>
    </row>
    <row r="162" ht="14.25" customHeight="1">
      <c r="A162" s="132"/>
      <c r="B162" s="264">
        <v>46166</v>
      </c>
      <c r="C162" s="133"/>
      <c r="D162" s="136"/>
      <c r="E162" s="135"/>
      <c r="F162" s="135"/>
      <c r="G162" s="147">
        <f t="shared" si="55"/>
        <v>0</v>
      </c>
      <c r="H162" s="122"/>
      <c r="I162" s="122"/>
      <c r="J162" s="122"/>
      <c r="K162" s="122"/>
      <c r="L162" s="99"/>
      <c r="M162" s="99"/>
      <c r="N162" s="99"/>
      <c r="O162" s="99"/>
      <c r="P162" s="641"/>
      <c r="Q162" s="99"/>
      <c r="R162" s="99"/>
      <c r="S162" s="99"/>
      <c r="T162" s="99"/>
      <c r="U162" s="99"/>
      <c r="V162" s="99"/>
      <c r="W162" s="99"/>
      <c r="X162" s="99"/>
      <c r="Y162" s="99"/>
      <c r="Z162" s="103">
        <f t="shared" si="56"/>
        <v>0</v>
      </c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  <c r="AK162" s="99"/>
      <c r="AL162" s="99"/>
      <c r="AM162" s="99"/>
      <c r="AN162" s="103">
        <f t="shared" si="57"/>
        <v>0</v>
      </c>
      <c r="AO162" s="136"/>
      <c r="AP162" s="136"/>
      <c r="AQ162" s="136"/>
      <c r="AR162" s="105">
        <f t="shared" si="58"/>
        <v>0</v>
      </c>
      <c r="AS162" s="99"/>
      <c r="AT162" s="99"/>
      <c r="AU162" s="99"/>
      <c r="AV162" s="124"/>
      <c r="AW162" s="224">
        <f t="shared" si="59"/>
        <v>0</v>
      </c>
      <c r="AX162" s="136"/>
      <c r="AY162" s="136"/>
      <c r="AZ162" s="136"/>
      <c r="BA162" s="132"/>
      <c r="BB162" s="132"/>
      <c r="BC162" s="132"/>
      <c r="BD162" s="136"/>
      <c r="BE162" s="136"/>
      <c r="BF162" s="136"/>
      <c r="BG162" s="136"/>
      <c r="BH162" s="136"/>
      <c r="BI162" s="222">
        <f t="shared" si="60"/>
        <v>0</v>
      </c>
      <c r="BJ162" s="140">
        <f t="shared" si="61"/>
        <v>0</v>
      </c>
      <c r="BK162" s="132"/>
      <c r="BL162" s="140">
        <f t="shared" si="62"/>
        <v>0</v>
      </c>
      <c r="BM162" s="126"/>
      <c r="BN162" s="126"/>
      <c r="BO162" s="126"/>
      <c r="BP162" s="126"/>
      <c r="BQ162" s="126"/>
      <c r="BR162" s="126"/>
      <c r="BS162" s="126"/>
      <c r="BT162" s="126"/>
      <c r="BU162" s="141"/>
      <c r="BV162" s="126"/>
      <c r="BW162" s="126"/>
      <c r="BX162" s="126"/>
      <c r="BY162" s="126"/>
      <c r="BZ162" s="130">
        <f t="shared" si="63"/>
        <v>0</v>
      </c>
      <c r="CA162" s="132"/>
    </row>
    <row r="163" ht="14.25" customHeight="1">
      <c r="A163" s="132"/>
      <c r="B163" s="264">
        <v>46167</v>
      </c>
      <c r="C163" s="133"/>
      <c r="D163" s="136"/>
      <c r="E163" s="135"/>
      <c r="F163" s="135"/>
      <c r="G163" s="147">
        <f t="shared" si="55"/>
        <v>0</v>
      </c>
      <c r="H163" s="122"/>
      <c r="I163" s="122"/>
      <c r="J163" s="122"/>
      <c r="K163" s="122"/>
      <c r="L163" s="99"/>
      <c r="M163" s="99"/>
      <c r="N163" s="99"/>
      <c r="O163" s="99"/>
      <c r="P163" s="641"/>
      <c r="Q163" s="99"/>
      <c r="R163" s="99"/>
      <c r="S163" s="99"/>
      <c r="T163" s="99"/>
      <c r="U163" s="99"/>
      <c r="V163" s="99"/>
      <c r="W163" s="99"/>
      <c r="X163" s="99"/>
      <c r="Y163" s="99"/>
      <c r="Z163" s="103">
        <f t="shared" si="56"/>
        <v>0</v>
      </c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  <c r="AK163" s="99"/>
      <c r="AL163" s="99"/>
      <c r="AM163" s="99"/>
      <c r="AN163" s="103">
        <f t="shared" si="57"/>
        <v>0</v>
      </c>
      <c r="AO163" s="136"/>
      <c r="AP163" s="136"/>
      <c r="AQ163" s="136"/>
      <c r="AR163" s="105">
        <f t="shared" si="58"/>
        <v>0</v>
      </c>
      <c r="AS163" s="99"/>
      <c r="AT163" s="99"/>
      <c r="AU163" s="99"/>
      <c r="AV163" s="124"/>
      <c r="AW163" s="224">
        <f t="shared" si="59"/>
        <v>0</v>
      </c>
      <c r="AX163" s="136"/>
      <c r="AY163" s="136"/>
      <c r="AZ163" s="136"/>
      <c r="BA163" s="132"/>
      <c r="BB163" s="132"/>
      <c r="BC163" s="132"/>
      <c r="BD163" s="136"/>
      <c r="BE163" s="136"/>
      <c r="BF163" s="136"/>
      <c r="BG163" s="136"/>
      <c r="BH163" s="136"/>
      <c r="BI163" s="222">
        <f t="shared" si="60"/>
        <v>0</v>
      </c>
      <c r="BJ163" s="140">
        <f t="shared" si="61"/>
        <v>0</v>
      </c>
      <c r="BK163" s="132"/>
      <c r="BL163" s="140">
        <f t="shared" si="62"/>
        <v>0</v>
      </c>
      <c r="BM163" s="126"/>
      <c r="BN163" s="126"/>
      <c r="BO163" s="126"/>
      <c r="BP163" s="126"/>
      <c r="BQ163" s="126"/>
      <c r="BR163" s="126"/>
      <c r="BS163" s="126"/>
      <c r="BT163" s="126"/>
      <c r="BU163" s="141"/>
      <c r="BV163" s="126"/>
      <c r="BW163" s="126"/>
      <c r="BX163" s="126"/>
      <c r="BY163" s="126"/>
      <c r="BZ163" s="130">
        <f t="shared" si="63"/>
        <v>0</v>
      </c>
      <c r="CA163" s="132"/>
    </row>
    <row r="164" ht="14.25" customHeight="1">
      <c r="A164" s="132"/>
      <c r="B164" s="264">
        <v>46168</v>
      </c>
      <c r="C164" s="133"/>
      <c r="D164" s="136"/>
      <c r="E164" s="135"/>
      <c r="F164" s="135"/>
      <c r="G164" s="147">
        <f t="shared" si="55"/>
        <v>0</v>
      </c>
      <c r="H164" s="122"/>
      <c r="I164" s="122"/>
      <c r="J164" s="122"/>
      <c r="K164" s="122"/>
      <c r="L164" s="99"/>
      <c r="M164" s="99"/>
      <c r="N164" s="99"/>
      <c r="O164" s="99"/>
      <c r="P164" s="641"/>
      <c r="Q164" s="99"/>
      <c r="R164" s="99"/>
      <c r="S164" s="99"/>
      <c r="T164" s="99"/>
      <c r="U164" s="99"/>
      <c r="V164" s="99"/>
      <c r="W164" s="99"/>
      <c r="X164" s="99"/>
      <c r="Y164" s="99"/>
      <c r="Z164" s="103">
        <f t="shared" si="56"/>
        <v>0</v>
      </c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103">
        <f t="shared" si="57"/>
        <v>0</v>
      </c>
      <c r="AO164" s="136"/>
      <c r="AP164" s="136"/>
      <c r="AQ164" s="136"/>
      <c r="AR164" s="105">
        <f t="shared" si="58"/>
        <v>0</v>
      </c>
      <c r="AS164" s="99"/>
      <c r="AT164" s="99"/>
      <c r="AU164" s="99"/>
      <c r="AV164" s="124"/>
      <c r="AW164" s="224">
        <f t="shared" si="59"/>
        <v>0</v>
      </c>
      <c r="AX164" s="136"/>
      <c r="AY164" s="136"/>
      <c r="AZ164" s="136"/>
      <c r="BA164" s="132"/>
      <c r="BB164" s="132"/>
      <c r="BC164" s="132"/>
      <c r="BD164" s="136"/>
      <c r="BE164" s="136"/>
      <c r="BF164" s="136"/>
      <c r="BG164" s="136"/>
      <c r="BH164" s="136"/>
      <c r="BI164" s="222">
        <f t="shared" si="60"/>
        <v>0</v>
      </c>
      <c r="BJ164" s="140">
        <f t="shared" si="61"/>
        <v>0</v>
      </c>
      <c r="BK164" s="132"/>
      <c r="BL164" s="140">
        <f t="shared" si="62"/>
        <v>0</v>
      </c>
      <c r="BM164" s="126"/>
      <c r="BN164" s="126"/>
      <c r="BO164" s="126"/>
      <c r="BP164" s="126"/>
      <c r="BQ164" s="126"/>
      <c r="BR164" s="126"/>
      <c r="BS164" s="126"/>
      <c r="BT164" s="126"/>
      <c r="BU164" s="141"/>
      <c r="BV164" s="126"/>
      <c r="BW164" s="126"/>
      <c r="BX164" s="126"/>
      <c r="BY164" s="126"/>
      <c r="BZ164" s="130">
        <f t="shared" si="63"/>
        <v>0</v>
      </c>
      <c r="CA164" s="132"/>
    </row>
    <row r="165" ht="14.25" customHeight="1">
      <c r="A165" s="132"/>
      <c r="B165" s="264">
        <v>46169</v>
      </c>
      <c r="C165" s="133"/>
      <c r="D165" s="136"/>
      <c r="E165" s="135"/>
      <c r="F165" s="135"/>
      <c r="G165" s="147">
        <f t="shared" si="55"/>
        <v>0</v>
      </c>
      <c r="H165" s="122"/>
      <c r="I165" s="122"/>
      <c r="J165" s="122"/>
      <c r="K165" s="122"/>
      <c r="L165" s="99"/>
      <c r="M165" s="99"/>
      <c r="N165" s="99"/>
      <c r="O165" s="99"/>
      <c r="P165" s="641"/>
      <c r="Q165" s="99"/>
      <c r="R165" s="99"/>
      <c r="S165" s="99"/>
      <c r="T165" s="99"/>
      <c r="U165" s="99"/>
      <c r="V165" s="99"/>
      <c r="W165" s="99"/>
      <c r="X165" s="99"/>
      <c r="Y165" s="99"/>
      <c r="Z165" s="103">
        <f t="shared" si="56"/>
        <v>0</v>
      </c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  <c r="AK165" s="99"/>
      <c r="AL165" s="99"/>
      <c r="AM165" s="99"/>
      <c r="AN165" s="103">
        <f t="shared" si="57"/>
        <v>0</v>
      </c>
      <c r="AO165" s="136"/>
      <c r="AP165" s="136"/>
      <c r="AQ165" s="136"/>
      <c r="AR165" s="105">
        <f t="shared" si="58"/>
        <v>0</v>
      </c>
      <c r="AS165" s="99"/>
      <c r="AT165" s="99"/>
      <c r="AU165" s="99"/>
      <c r="AV165" s="124"/>
      <c r="AW165" s="224">
        <f t="shared" si="59"/>
        <v>0</v>
      </c>
      <c r="AX165" s="136"/>
      <c r="AY165" s="136"/>
      <c r="AZ165" s="136"/>
      <c r="BA165" s="132"/>
      <c r="BB165" s="132"/>
      <c r="BC165" s="132"/>
      <c r="BD165" s="136"/>
      <c r="BE165" s="136"/>
      <c r="BF165" s="136"/>
      <c r="BG165" s="136"/>
      <c r="BH165" s="136"/>
      <c r="BI165" s="222">
        <f t="shared" si="60"/>
        <v>0</v>
      </c>
      <c r="BJ165" s="140">
        <f t="shared" si="61"/>
        <v>0</v>
      </c>
      <c r="BK165" s="132"/>
      <c r="BL165" s="140">
        <f t="shared" si="62"/>
        <v>0</v>
      </c>
      <c r="BM165" s="126"/>
      <c r="BN165" s="126"/>
      <c r="BO165" s="126"/>
      <c r="BP165" s="126"/>
      <c r="BQ165" s="126"/>
      <c r="BR165" s="126"/>
      <c r="BS165" s="126"/>
      <c r="BT165" s="126"/>
      <c r="BU165" s="141"/>
      <c r="BV165" s="126"/>
      <c r="BW165" s="126"/>
      <c r="BX165" s="126"/>
      <c r="BY165" s="126"/>
      <c r="BZ165" s="130">
        <f t="shared" si="63"/>
        <v>0</v>
      </c>
      <c r="CA165" s="132"/>
    </row>
    <row r="166" ht="14.25" customHeight="1">
      <c r="A166" s="132"/>
      <c r="B166" s="264">
        <v>46170</v>
      </c>
      <c r="C166" s="133"/>
      <c r="D166" s="136"/>
      <c r="E166" s="135"/>
      <c r="F166" s="135"/>
      <c r="G166" s="147">
        <f t="shared" si="55"/>
        <v>0</v>
      </c>
      <c r="H166" s="122"/>
      <c r="I166" s="122"/>
      <c r="J166" s="122"/>
      <c r="K166" s="122"/>
      <c r="L166" s="99"/>
      <c r="M166" s="99"/>
      <c r="N166" s="99"/>
      <c r="O166" s="99"/>
      <c r="P166" s="641"/>
      <c r="Q166" s="99"/>
      <c r="R166" s="99"/>
      <c r="S166" s="99"/>
      <c r="T166" s="99"/>
      <c r="U166" s="99"/>
      <c r="V166" s="99"/>
      <c r="W166" s="99"/>
      <c r="X166" s="99"/>
      <c r="Y166" s="99"/>
      <c r="Z166" s="103">
        <f t="shared" si="56"/>
        <v>0</v>
      </c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103">
        <f t="shared" si="57"/>
        <v>0</v>
      </c>
      <c r="AO166" s="136"/>
      <c r="AP166" s="136"/>
      <c r="AQ166" s="136"/>
      <c r="AR166" s="105">
        <f t="shared" si="58"/>
        <v>0</v>
      </c>
      <c r="AS166" s="99"/>
      <c r="AT166" s="99"/>
      <c r="AU166" s="99"/>
      <c r="AV166" s="124"/>
      <c r="AW166" s="224">
        <f t="shared" si="59"/>
        <v>0</v>
      </c>
      <c r="AX166" s="136"/>
      <c r="AY166" s="136"/>
      <c r="AZ166" s="136"/>
      <c r="BA166" s="132"/>
      <c r="BB166" s="132"/>
      <c r="BC166" s="132"/>
      <c r="BD166" s="136"/>
      <c r="BE166" s="136"/>
      <c r="BF166" s="136"/>
      <c r="BG166" s="136"/>
      <c r="BH166" s="136"/>
      <c r="BI166" s="222">
        <f t="shared" si="60"/>
        <v>0</v>
      </c>
      <c r="BJ166" s="140">
        <f t="shared" si="61"/>
        <v>0</v>
      </c>
      <c r="BK166" s="132"/>
      <c r="BL166" s="140">
        <f t="shared" si="62"/>
        <v>0</v>
      </c>
      <c r="BM166" s="126"/>
      <c r="BN166" s="126"/>
      <c r="BO166" s="126"/>
      <c r="BP166" s="126"/>
      <c r="BQ166" s="126"/>
      <c r="BR166" s="126"/>
      <c r="BS166" s="126"/>
      <c r="BT166" s="126"/>
      <c r="BU166" s="141"/>
      <c r="BV166" s="126"/>
      <c r="BW166" s="126"/>
      <c r="BX166" s="126"/>
      <c r="BY166" s="126"/>
      <c r="BZ166" s="130">
        <f t="shared" si="63"/>
        <v>0</v>
      </c>
      <c r="CA166" s="132"/>
    </row>
    <row r="167" ht="14.25" customHeight="1">
      <c r="A167" s="132"/>
      <c r="B167" s="264">
        <v>46171</v>
      </c>
      <c r="C167" s="133"/>
      <c r="D167" s="136"/>
      <c r="E167" s="135"/>
      <c r="F167" s="135"/>
      <c r="G167" s="147">
        <f t="shared" si="55"/>
        <v>0</v>
      </c>
      <c r="H167" s="122"/>
      <c r="I167" s="122"/>
      <c r="J167" s="122"/>
      <c r="K167" s="122"/>
      <c r="L167" s="99"/>
      <c r="M167" s="99"/>
      <c r="N167" s="99"/>
      <c r="O167" s="99"/>
      <c r="P167" s="641"/>
      <c r="Q167" s="99"/>
      <c r="R167" s="99"/>
      <c r="S167" s="99"/>
      <c r="T167" s="99"/>
      <c r="U167" s="99"/>
      <c r="V167" s="99"/>
      <c r="W167" s="99"/>
      <c r="X167" s="99"/>
      <c r="Y167" s="99"/>
      <c r="Z167" s="103">
        <f t="shared" si="56"/>
        <v>0</v>
      </c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  <c r="AK167" s="99"/>
      <c r="AL167" s="99"/>
      <c r="AM167" s="99"/>
      <c r="AN167" s="103">
        <f t="shared" si="57"/>
        <v>0</v>
      </c>
      <c r="AO167" s="136"/>
      <c r="AP167" s="136"/>
      <c r="AQ167" s="136"/>
      <c r="AR167" s="105">
        <f t="shared" si="58"/>
        <v>0</v>
      </c>
      <c r="AS167" s="99"/>
      <c r="AT167" s="99"/>
      <c r="AU167" s="99"/>
      <c r="AV167" s="124"/>
      <c r="AW167" s="224">
        <f t="shared" si="59"/>
        <v>0</v>
      </c>
      <c r="AX167" s="136"/>
      <c r="AY167" s="136"/>
      <c r="AZ167" s="136"/>
      <c r="BA167" s="132"/>
      <c r="BB167" s="132"/>
      <c r="BC167" s="132"/>
      <c r="BD167" s="136"/>
      <c r="BE167" s="136"/>
      <c r="BF167" s="136"/>
      <c r="BG167" s="136"/>
      <c r="BH167" s="136"/>
      <c r="BI167" s="222">
        <f t="shared" si="60"/>
        <v>0</v>
      </c>
      <c r="BJ167" s="140">
        <f t="shared" si="61"/>
        <v>0</v>
      </c>
      <c r="BK167" s="132"/>
      <c r="BL167" s="140">
        <f t="shared" si="62"/>
        <v>0</v>
      </c>
      <c r="BM167" s="126"/>
      <c r="BN167" s="126"/>
      <c r="BO167" s="126"/>
      <c r="BP167" s="126"/>
      <c r="BQ167" s="126"/>
      <c r="BR167" s="126"/>
      <c r="BS167" s="126"/>
      <c r="BT167" s="126"/>
      <c r="BU167" s="141"/>
      <c r="BV167" s="126"/>
      <c r="BW167" s="126"/>
      <c r="BX167" s="126"/>
      <c r="BY167" s="126"/>
      <c r="BZ167" s="130">
        <f t="shared" si="63"/>
        <v>0</v>
      </c>
      <c r="CA167" s="132"/>
    </row>
    <row r="168" ht="14.25" customHeight="1">
      <c r="A168" s="3"/>
      <c r="B168" s="264">
        <v>46172</v>
      </c>
      <c r="C168" s="118"/>
      <c r="D168" s="136"/>
      <c r="E168" s="120"/>
      <c r="F168" s="120"/>
      <c r="G168" s="147">
        <f t="shared" si="55"/>
        <v>0</v>
      </c>
      <c r="H168" s="122"/>
      <c r="I168" s="122"/>
      <c r="J168" s="122"/>
      <c r="K168" s="122"/>
      <c r="L168" s="99"/>
      <c r="M168" s="99"/>
      <c r="N168" s="99"/>
      <c r="O168" s="99"/>
      <c r="P168" s="641"/>
      <c r="Q168" s="99"/>
      <c r="R168" s="99"/>
      <c r="S168" s="99"/>
      <c r="T168" s="99"/>
      <c r="U168" s="99"/>
      <c r="V168" s="99"/>
      <c r="W168" s="99"/>
      <c r="X168" s="99"/>
      <c r="Y168" s="99"/>
      <c r="Z168" s="103">
        <f t="shared" si="56"/>
        <v>0</v>
      </c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  <c r="AK168" s="99"/>
      <c r="AL168" s="99"/>
      <c r="AM168" s="99"/>
      <c r="AN168" s="103">
        <f t="shared" si="57"/>
        <v>0</v>
      </c>
      <c r="AO168" s="123"/>
      <c r="AP168" s="123"/>
      <c r="AQ168" s="123"/>
      <c r="AR168" s="105">
        <f t="shared" si="58"/>
        <v>0</v>
      </c>
      <c r="AS168" s="99"/>
      <c r="AT168" s="99"/>
      <c r="AU168" s="99"/>
      <c r="AV168" s="124"/>
      <c r="AW168" s="224">
        <f t="shared" si="59"/>
        <v>0</v>
      </c>
      <c r="AX168" s="136"/>
      <c r="AY168" s="136"/>
      <c r="AZ168" s="136"/>
      <c r="BA168" s="132"/>
      <c r="BB168" s="132"/>
      <c r="BC168" s="132"/>
      <c r="BD168" s="136"/>
      <c r="BE168" s="136"/>
      <c r="BF168" s="136"/>
      <c r="BG168" s="136"/>
      <c r="BH168" s="136"/>
      <c r="BI168" s="222">
        <f t="shared" si="60"/>
        <v>0</v>
      </c>
      <c r="BJ168" s="113">
        <f t="shared" si="61"/>
        <v>0</v>
      </c>
      <c r="BK168" s="3"/>
      <c r="BL168" s="113">
        <f t="shared" si="62"/>
        <v>0</v>
      </c>
      <c r="BM168" s="225"/>
      <c r="BN168" s="225"/>
      <c r="BO168" s="225"/>
      <c r="BP168" s="225"/>
      <c r="BQ168" s="225"/>
      <c r="BR168" s="225"/>
      <c r="BS168" s="225"/>
      <c r="BT168" s="225"/>
      <c r="BU168" s="129"/>
      <c r="BV168" s="225"/>
      <c r="BW168" s="225"/>
      <c r="BX168" s="225"/>
      <c r="BY168" s="225"/>
      <c r="BZ168" s="130">
        <f t="shared" si="63"/>
        <v>0</v>
      </c>
      <c r="CA168" s="3"/>
    </row>
    <row r="169" ht="14.25" customHeight="1">
      <c r="A169" s="3"/>
      <c r="B169" s="264">
        <v>46173</v>
      </c>
      <c r="C169" s="118"/>
      <c r="D169" s="123"/>
      <c r="E169" s="120"/>
      <c r="F169" s="279"/>
      <c r="G169" s="147">
        <f t="shared" si="55"/>
        <v>0</v>
      </c>
      <c r="H169" s="656"/>
      <c r="I169" s="656"/>
      <c r="J169" s="656"/>
      <c r="K169" s="656"/>
      <c r="L169" s="657"/>
      <c r="M169" s="657"/>
      <c r="N169" s="657"/>
      <c r="O169" s="657"/>
      <c r="P169" s="658"/>
      <c r="Q169" s="657"/>
      <c r="R169" s="657"/>
      <c r="S169" s="657"/>
      <c r="T169" s="657"/>
      <c r="U169" s="657"/>
      <c r="V169" s="657"/>
      <c r="W169" s="99"/>
      <c r="X169" s="99"/>
      <c r="Y169" s="99"/>
      <c r="Z169" s="103">
        <f t="shared" si="56"/>
        <v>0</v>
      </c>
      <c r="AA169" s="657"/>
      <c r="AB169" s="657"/>
      <c r="AC169" s="657"/>
      <c r="AD169" s="657"/>
      <c r="AE169" s="657"/>
      <c r="AF169" s="657"/>
      <c r="AG169" s="657"/>
      <c r="AH169" s="657"/>
      <c r="AI169" s="657"/>
      <c r="AJ169" s="657"/>
      <c r="AK169" s="657"/>
      <c r="AL169" s="657"/>
      <c r="AM169" s="657"/>
      <c r="AN169" s="103">
        <f t="shared" si="57"/>
        <v>0</v>
      </c>
      <c r="AO169" s="278"/>
      <c r="AP169" s="278"/>
      <c r="AQ169" s="278"/>
      <c r="AR169" s="105">
        <f t="shared" si="58"/>
        <v>0</v>
      </c>
      <c r="AS169" s="657"/>
      <c r="AT169" s="657"/>
      <c r="AU169" s="657"/>
      <c r="AV169" s="659"/>
      <c r="AW169" s="224">
        <f t="shared" si="59"/>
        <v>0</v>
      </c>
      <c r="AX169" s="159"/>
      <c r="AY169" s="159"/>
      <c r="AZ169" s="159"/>
      <c r="BA169" s="132"/>
      <c r="BB169" s="132"/>
      <c r="BC169" s="132"/>
      <c r="BD169" s="159"/>
      <c r="BE169" s="159"/>
      <c r="BF169" s="159"/>
      <c r="BG169" s="159"/>
      <c r="BH169" s="159"/>
      <c r="BI169" s="222">
        <f t="shared" si="60"/>
        <v>0</v>
      </c>
      <c r="BJ169" s="281">
        <f t="shared" si="61"/>
        <v>0</v>
      </c>
      <c r="BK169" s="3"/>
      <c r="BL169" s="281">
        <f t="shared" si="62"/>
        <v>0</v>
      </c>
      <c r="BM169" s="280"/>
      <c r="BN169" s="280"/>
      <c r="BO169" s="280"/>
      <c r="BP169" s="280"/>
      <c r="BQ169" s="280"/>
      <c r="BR169" s="280"/>
      <c r="BS169" s="280"/>
      <c r="BT169" s="280"/>
      <c r="BU169" s="282"/>
      <c r="BV169" s="225"/>
      <c r="BW169" s="280"/>
      <c r="BX169" s="126"/>
      <c r="BY169" s="280"/>
      <c r="BZ169" s="164">
        <f t="shared" si="63"/>
        <v>0</v>
      </c>
      <c r="CA169" s="3"/>
    </row>
    <row r="170" ht="14.25" customHeight="1">
      <c r="A170" s="3"/>
      <c r="B170" s="2" t="s">
        <v>4</v>
      </c>
      <c r="C170" s="166">
        <f ref="C170:H170" t="shared" si="64">SUM(C139:C169)</f>
        <v>0</v>
      </c>
      <c r="D170" s="166">
        <f t="shared" si="64"/>
        <v>0</v>
      </c>
      <c r="E170" s="166">
        <f t="shared" si="64"/>
        <v>0</v>
      </c>
      <c r="F170" s="166">
        <f t="shared" si="64"/>
        <v>0</v>
      </c>
      <c r="G170" s="166">
        <f t="shared" si="64"/>
        <v>0</v>
      </c>
      <c r="H170" s="166">
        <f t="shared" si="64"/>
        <v>0</v>
      </c>
      <c r="I170" s="166"/>
      <c r="J170" s="166"/>
      <c r="K170" s="166"/>
      <c r="L170" s="166">
        <f ref="L170:V170" t="shared" si="65">SUM(L139:L169)</f>
        <v>0</v>
      </c>
      <c r="M170" s="166">
        <f t="shared" si="65"/>
        <v>0</v>
      </c>
      <c r="N170" s="166">
        <f t="shared" si="65"/>
        <v>0</v>
      </c>
      <c r="O170" s="166">
        <f t="shared" si="65"/>
        <v>0</v>
      </c>
      <c r="P170" s="617">
        <f t="shared" si="65"/>
        <v>0</v>
      </c>
      <c r="Q170" s="166">
        <f t="shared" si="65"/>
        <v>0</v>
      </c>
      <c r="R170" s="166">
        <f t="shared" si="65"/>
        <v>0</v>
      </c>
      <c r="S170" s="166">
        <f t="shared" si="65"/>
        <v>0</v>
      </c>
      <c r="T170" s="166">
        <f t="shared" si="65"/>
        <v>0</v>
      </c>
      <c r="U170" s="166">
        <f t="shared" si="65"/>
        <v>0</v>
      </c>
      <c r="V170" s="166">
        <f t="shared" si="65"/>
        <v>0</v>
      </c>
      <c r="W170" s="166"/>
      <c r="X170" s="166">
        <f ref="X170:AK170" t="shared" si="66">SUM(X139:X169)</f>
        <v>0</v>
      </c>
      <c r="Y170" s="166">
        <f t="shared" si="66"/>
        <v>0</v>
      </c>
      <c r="Z170" s="166">
        <f t="shared" si="66"/>
        <v>0</v>
      </c>
      <c r="AA170" s="166">
        <f t="shared" si="66"/>
        <v>0</v>
      </c>
      <c r="AB170" s="166">
        <f t="shared" si="66"/>
        <v>0</v>
      </c>
      <c r="AC170" s="166">
        <f t="shared" si="66"/>
        <v>0</v>
      </c>
      <c r="AD170" s="166">
        <f t="shared" si="66"/>
        <v>0</v>
      </c>
      <c r="AE170" s="166">
        <f t="shared" si="66"/>
        <v>0</v>
      </c>
      <c r="AF170" s="166">
        <f t="shared" si="66"/>
        <v>0</v>
      </c>
      <c r="AG170" s="166">
        <f t="shared" si="66"/>
        <v>0</v>
      </c>
      <c r="AH170" s="166">
        <f t="shared" si="66"/>
        <v>0</v>
      </c>
      <c r="AI170" s="166">
        <f t="shared" si="66"/>
        <v>0</v>
      </c>
      <c r="AJ170" s="166">
        <f t="shared" si="66"/>
        <v>0</v>
      </c>
      <c r="AK170" s="166">
        <f t="shared" si="66"/>
        <v>0</v>
      </c>
      <c r="AL170" s="166"/>
      <c r="AM170" s="166">
        <f ref="AM170:BJ170" t="shared" si="67">SUM(AM139:AM169)</f>
        <v>0</v>
      </c>
      <c r="AN170" s="166">
        <f t="shared" si="67"/>
        <v>0</v>
      </c>
      <c r="AO170" s="166">
        <f t="shared" si="67"/>
        <v>0</v>
      </c>
      <c r="AP170" s="166">
        <f t="shared" si="67"/>
        <v>0</v>
      </c>
      <c r="AQ170" s="166">
        <f t="shared" si="67"/>
        <v>0</v>
      </c>
      <c r="AR170" s="166">
        <f t="shared" si="67"/>
        <v>0</v>
      </c>
      <c r="AS170" s="166">
        <f t="shared" si="67"/>
        <v>0</v>
      </c>
      <c r="AT170" s="166">
        <f t="shared" si="67"/>
        <v>0</v>
      </c>
      <c r="AU170" s="166">
        <f t="shared" si="67"/>
        <v>0</v>
      </c>
      <c r="AV170" s="166">
        <f t="shared" si="67"/>
        <v>0</v>
      </c>
      <c r="AW170" s="166">
        <f t="shared" si="67"/>
        <v>0</v>
      </c>
      <c r="AX170" s="165">
        <f t="shared" si="67"/>
        <v>0</v>
      </c>
      <c r="AY170" s="165">
        <f t="shared" si="67"/>
        <v>0</v>
      </c>
      <c r="AZ170" s="165">
        <f t="shared" si="67"/>
        <v>0</v>
      </c>
      <c r="BA170" s="165">
        <f t="shared" si="67"/>
        <v>0</v>
      </c>
      <c r="BB170" s="165">
        <f t="shared" si="67"/>
        <v>0</v>
      </c>
      <c r="BC170" s="165">
        <f t="shared" si="67"/>
        <v>0</v>
      </c>
      <c r="BD170" s="165">
        <f t="shared" si="67"/>
        <v>0</v>
      </c>
      <c r="BE170" s="165">
        <f t="shared" si="67"/>
        <v>0</v>
      </c>
      <c r="BF170" s="165">
        <f t="shared" si="67"/>
        <v>0</v>
      </c>
      <c r="BG170" s="165">
        <f t="shared" si="67"/>
        <v>0</v>
      </c>
      <c r="BH170" s="165">
        <f t="shared" si="67"/>
        <v>0</v>
      </c>
      <c r="BI170" s="166">
        <f t="shared" si="67"/>
        <v>0</v>
      </c>
      <c r="BJ170" s="166">
        <f t="shared" si="67"/>
        <v>0</v>
      </c>
      <c r="BK170" s="132"/>
      <c r="BL170" s="166">
        <f ref="BL170:BZ170" t="shared" si="68">SUM(BL139:BL169)</f>
        <v>0</v>
      </c>
      <c r="BM170" s="166">
        <f t="shared" si="68"/>
        <v>0</v>
      </c>
      <c r="BN170" s="166">
        <f t="shared" si="68"/>
        <v>0</v>
      </c>
      <c r="BO170" s="166">
        <f t="shared" si="68"/>
        <v>0</v>
      </c>
      <c r="BP170" s="166">
        <f t="shared" si="68"/>
        <v>0</v>
      </c>
      <c r="BQ170" s="166">
        <f t="shared" si="68"/>
        <v>0</v>
      </c>
      <c r="BR170" s="166">
        <f t="shared" si="68"/>
        <v>0</v>
      </c>
      <c r="BS170" s="166">
        <f t="shared" si="68"/>
        <v>0</v>
      </c>
      <c r="BT170" s="166">
        <f t="shared" si="68"/>
        <v>0</v>
      </c>
      <c r="BU170" s="166">
        <f t="shared" si="68"/>
        <v>0</v>
      </c>
      <c r="BV170" s="166">
        <f t="shared" si="68"/>
        <v>0</v>
      </c>
      <c r="BW170" s="166">
        <f t="shared" si="68"/>
        <v>0</v>
      </c>
      <c r="BX170" s="166">
        <f t="shared" si="68"/>
        <v>0</v>
      </c>
      <c r="BY170" s="166">
        <f t="shared" si="68"/>
        <v>0</v>
      </c>
      <c r="BZ170" s="166">
        <f t="shared" si="68"/>
        <v>0</v>
      </c>
      <c r="CA170" s="132"/>
    </row>
    <row r="171" ht="14.25" customHeight="1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1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4"/>
      <c r="AS171" s="3"/>
      <c r="AT171" s="3"/>
      <c r="AU171" s="3"/>
      <c r="AV171" s="3"/>
      <c r="AW171" s="4"/>
      <c r="AX171" s="3"/>
      <c r="AY171" s="3"/>
      <c r="AZ171" s="132"/>
      <c r="BA171" s="3"/>
      <c r="BB171" s="3"/>
      <c r="BC171" s="3"/>
      <c r="BD171" s="132"/>
      <c r="BE171" s="132"/>
      <c r="BF171" s="132"/>
      <c r="BG171" s="132"/>
      <c r="BH171" s="132"/>
      <c r="BI171" s="4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1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176"/>
      <c r="AO172" s="3"/>
      <c r="AP172" s="3"/>
      <c r="AQ172" s="3"/>
      <c r="AR172" s="4"/>
      <c r="AS172" s="3"/>
      <c r="AT172" s="3"/>
      <c r="AU172" s="3"/>
      <c r="AV172" s="3"/>
      <c r="AW172" s="177"/>
      <c r="AX172" s="305"/>
      <c r="AY172" s="305"/>
      <c r="AZ172" s="155"/>
      <c r="BA172" s="305"/>
      <c r="BB172" s="305"/>
      <c r="BC172" s="305"/>
      <c r="BD172" s="305"/>
      <c r="BE172" s="155"/>
      <c r="BF172" s="305"/>
      <c r="BG172" s="305"/>
      <c r="BH172" s="155"/>
      <c r="BI172" s="177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</row>
    <row r="173" ht="14.25" customHeight="1">
      <c r="A173" s="3"/>
      <c r="B173" s="215">
        <v>46174</v>
      </c>
      <c r="C173" s="94"/>
      <c r="D173" s="104"/>
      <c r="E173" s="97"/>
      <c r="F173" s="97"/>
      <c r="G173" s="265">
        <f ref="G173:G202" t="shared" si="69">+C173+D173+E173+F173</f>
        <v>0</v>
      </c>
      <c r="H173" s="100"/>
      <c r="I173" s="100"/>
      <c r="J173" s="100"/>
      <c r="K173" s="100"/>
      <c r="L173" s="101"/>
      <c r="M173" s="101"/>
      <c r="N173" s="101"/>
      <c r="O173" s="101"/>
      <c r="P173" s="638"/>
      <c r="Q173" s="101"/>
      <c r="R173" s="101"/>
      <c r="S173" s="101"/>
      <c r="T173" s="101"/>
      <c r="U173" s="101"/>
      <c r="V173" s="101"/>
      <c r="W173" s="101"/>
      <c r="X173" s="101"/>
      <c r="Y173" s="101"/>
      <c r="Z173" s="189">
        <f ref="Z173:Z202" t="shared" si="70">SUM(H173:Y173)</f>
        <v>0</v>
      </c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86"/>
      <c r="AK173" s="186"/>
      <c r="AL173" s="186"/>
      <c r="AM173" s="186"/>
      <c r="AN173" s="103">
        <f ref="AN173:AN202" t="shared" si="71">SUM(AA173:AM173)</f>
        <v>0</v>
      </c>
      <c r="AO173" s="104"/>
      <c r="AP173" s="104"/>
      <c r="AQ173" s="104"/>
      <c r="AR173" s="191">
        <f ref="AR173:AR202" t="shared" si="72">SUM(AO173:AQ173)</f>
        <v>0</v>
      </c>
      <c r="AS173" s="186"/>
      <c r="AT173" s="186"/>
      <c r="AU173" s="186"/>
      <c r="AV173" s="193"/>
      <c r="AW173" s="224">
        <f ref="AW173:AW202" t="shared" si="73">+G173-Z173-AN173-AR173-AS173-AT173-AU173-AV173</f>
        <v>0</v>
      </c>
      <c r="AX173" s="126"/>
      <c r="AY173" s="126"/>
      <c r="AZ173" s="126"/>
      <c r="BA173" s="127"/>
      <c r="BB173" s="127"/>
      <c r="BC173" s="127"/>
      <c r="BD173" s="126"/>
      <c r="BE173" s="126"/>
      <c r="BF173" s="275"/>
      <c r="BG173" s="126"/>
      <c r="BH173" s="274"/>
      <c r="BI173" s="222">
        <f ref="BI173:BI202" t="shared" si="74">SUM(AX173:BH173)-BG173</f>
        <v>0</v>
      </c>
      <c r="BJ173" s="114">
        <f ref="BJ173:BJ202" t="shared" si="75">+AW173-BI173</f>
        <v>0</v>
      </c>
      <c r="BK173" s="3"/>
      <c r="BL173" s="114">
        <f ref="BL173:BL202" t="shared" si="76">SUM(BM173:BY173)</f>
        <v>0</v>
      </c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660"/>
      <c r="BX173" s="115"/>
      <c r="BY173" s="115"/>
      <c r="BZ173" s="116">
        <f ref="BZ173:BZ202" t="shared" si="77">+BJ173-BL173</f>
        <v>0</v>
      </c>
      <c r="CA173" s="3"/>
    </row>
    <row r="174" ht="14.25" customHeight="1">
      <c r="A174" s="3"/>
      <c r="B174" s="215">
        <v>46175</v>
      </c>
      <c r="C174" s="118"/>
      <c r="D174" s="123"/>
      <c r="E174" s="120"/>
      <c r="F174" s="120"/>
      <c r="G174" s="147">
        <f t="shared" si="69"/>
        <v>0</v>
      </c>
      <c r="H174" s="122"/>
      <c r="I174" s="122"/>
      <c r="J174" s="122"/>
      <c r="K174" s="122"/>
      <c r="L174" s="99"/>
      <c r="M174" s="99"/>
      <c r="N174" s="99"/>
      <c r="O174" s="99"/>
      <c r="P174" s="641"/>
      <c r="Q174" s="99"/>
      <c r="R174" s="99"/>
      <c r="S174" s="99"/>
      <c r="T174" s="99"/>
      <c r="U174" s="99"/>
      <c r="V174" s="99"/>
      <c r="W174" s="99"/>
      <c r="X174" s="99"/>
      <c r="Y174" s="99"/>
      <c r="Z174" s="189">
        <f t="shared" si="70"/>
        <v>0</v>
      </c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43"/>
      <c r="AK174" s="143"/>
      <c r="AL174" s="143"/>
      <c r="AM174" s="143"/>
      <c r="AN174" s="103">
        <f t="shared" si="71"/>
        <v>0</v>
      </c>
      <c r="AO174" s="123"/>
      <c r="AP174" s="123"/>
      <c r="AQ174" s="123"/>
      <c r="AR174" s="105">
        <f t="shared" si="72"/>
        <v>0</v>
      </c>
      <c r="AS174" s="143"/>
      <c r="AT174" s="143"/>
      <c r="AU174" s="143"/>
      <c r="AV174" s="146"/>
      <c r="AW174" s="224">
        <f t="shared" si="73"/>
        <v>0</v>
      </c>
      <c r="AX174" s="126"/>
      <c r="AY174" s="126"/>
      <c r="AZ174" s="126"/>
      <c r="BA174" s="127"/>
      <c r="BB174" s="127"/>
      <c r="BC174" s="127"/>
      <c r="BD174" s="126"/>
      <c r="BE174" s="126"/>
      <c r="BF174" s="275"/>
      <c r="BG174" s="126"/>
      <c r="BH174" s="274"/>
      <c r="BI174" s="222">
        <f t="shared" si="74"/>
        <v>0</v>
      </c>
      <c r="BJ174" s="113">
        <f t="shared" si="75"/>
        <v>0</v>
      </c>
      <c r="BK174" s="3"/>
      <c r="BL174" s="113">
        <f t="shared" si="76"/>
        <v>0</v>
      </c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452"/>
      <c r="BW174" s="661"/>
      <c r="BX174" s="255"/>
      <c r="BY174" s="129"/>
      <c r="BZ174" s="130">
        <f t="shared" si="77"/>
        <v>0</v>
      </c>
      <c r="CA174" s="3"/>
    </row>
    <row r="175" ht="14.25" customHeight="1">
      <c r="A175" s="662"/>
      <c r="B175" s="215">
        <v>46176</v>
      </c>
      <c r="C175" s="118"/>
      <c r="D175" s="123"/>
      <c r="E175" s="120"/>
      <c r="F175" s="120"/>
      <c r="G175" s="147">
        <f t="shared" si="69"/>
        <v>0</v>
      </c>
      <c r="H175" s="122"/>
      <c r="I175" s="122"/>
      <c r="J175" s="122"/>
      <c r="K175" s="122"/>
      <c r="L175" s="99"/>
      <c r="M175" s="99"/>
      <c r="N175" s="99"/>
      <c r="O175" s="99"/>
      <c r="P175" s="641"/>
      <c r="Q175" s="99"/>
      <c r="R175" s="99"/>
      <c r="S175" s="99"/>
      <c r="T175" s="99"/>
      <c r="U175" s="99"/>
      <c r="V175" s="99"/>
      <c r="W175" s="99"/>
      <c r="X175" s="99"/>
      <c r="Y175" s="99"/>
      <c r="Z175" s="189">
        <f t="shared" si="70"/>
        <v>0</v>
      </c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03">
        <f t="shared" si="71"/>
        <v>0</v>
      </c>
      <c r="AO175" s="123"/>
      <c r="AP175" s="123"/>
      <c r="AQ175" s="123"/>
      <c r="AR175" s="105">
        <f t="shared" si="72"/>
        <v>0</v>
      </c>
      <c r="AS175" s="143"/>
      <c r="AT175" s="143"/>
      <c r="AU175" s="143"/>
      <c r="AV175" s="146"/>
      <c r="AW175" s="224">
        <f t="shared" si="73"/>
        <v>0</v>
      </c>
      <c r="AX175" s="126"/>
      <c r="AY175" s="126"/>
      <c r="AZ175" s="126"/>
      <c r="BA175" s="127"/>
      <c r="BB175" s="127"/>
      <c r="BC175" s="127"/>
      <c r="BD175" s="126"/>
      <c r="BE175" s="126"/>
      <c r="BF175" s="275"/>
      <c r="BG175" s="126"/>
      <c r="BH175" s="274"/>
      <c r="BI175" s="222">
        <f t="shared" si="74"/>
        <v>0</v>
      </c>
      <c r="BJ175" s="113">
        <f t="shared" si="75"/>
        <v>0</v>
      </c>
      <c r="BK175" s="3"/>
      <c r="BL175" s="113">
        <f t="shared" si="76"/>
        <v>0</v>
      </c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29"/>
      <c r="BY175" s="129"/>
      <c r="BZ175" s="130">
        <f t="shared" si="77"/>
        <v>0</v>
      </c>
      <c r="CA175" s="3"/>
    </row>
    <row r="176" ht="14.25" customHeight="1">
      <c r="A176" s="3"/>
      <c r="B176" s="215">
        <v>46177</v>
      </c>
      <c r="C176" s="118"/>
      <c r="D176" s="123"/>
      <c r="E176" s="120"/>
      <c r="F176" s="120"/>
      <c r="G176" s="147">
        <f t="shared" si="69"/>
        <v>0</v>
      </c>
      <c r="H176" s="122"/>
      <c r="I176" s="122"/>
      <c r="J176" s="122"/>
      <c r="K176" s="122"/>
      <c r="L176" s="99"/>
      <c r="M176" s="99"/>
      <c r="N176" s="99"/>
      <c r="O176" s="99"/>
      <c r="P176" s="641"/>
      <c r="Q176" s="99"/>
      <c r="R176" s="99"/>
      <c r="S176" s="99"/>
      <c r="T176" s="99"/>
      <c r="U176" s="99"/>
      <c r="V176" s="99"/>
      <c r="W176" s="99"/>
      <c r="X176" s="99"/>
      <c r="Y176" s="99"/>
      <c r="Z176" s="189">
        <f t="shared" si="70"/>
        <v>0</v>
      </c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43"/>
      <c r="AN176" s="103">
        <f t="shared" si="71"/>
        <v>0</v>
      </c>
      <c r="AO176" s="123"/>
      <c r="AP176" s="123"/>
      <c r="AQ176" s="123"/>
      <c r="AR176" s="105">
        <f t="shared" si="72"/>
        <v>0</v>
      </c>
      <c r="AS176" s="143"/>
      <c r="AT176" s="143"/>
      <c r="AU176" s="143"/>
      <c r="AV176" s="146"/>
      <c r="AW176" s="224">
        <f t="shared" si="73"/>
        <v>0</v>
      </c>
      <c r="AX176" s="126"/>
      <c r="AY176" s="126"/>
      <c r="AZ176" s="126"/>
      <c r="BA176" s="127"/>
      <c r="BB176" s="127"/>
      <c r="BC176" s="127"/>
      <c r="BD176" s="126"/>
      <c r="BE176" s="126"/>
      <c r="BF176" s="275"/>
      <c r="BG176" s="126"/>
      <c r="BH176" s="274"/>
      <c r="BI176" s="222">
        <f t="shared" si="74"/>
        <v>0</v>
      </c>
      <c r="BJ176" s="113">
        <f t="shared" si="75"/>
        <v>0</v>
      </c>
      <c r="BK176" s="3"/>
      <c r="BL176" s="113">
        <f t="shared" si="76"/>
        <v>0</v>
      </c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30">
        <f t="shared" si="77"/>
        <v>0</v>
      </c>
      <c r="CA176" s="3"/>
    </row>
    <row r="177" ht="14.25" customHeight="1">
      <c r="A177" s="3"/>
      <c r="B177" s="215">
        <v>46178</v>
      </c>
      <c r="C177" s="118"/>
      <c r="D177" s="123"/>
      <c r="E177" s="120"/>
      <c r="F177" s="120"/>
      <c r="G177" s="147">
        <f t="shared" si="69"/>
        <v>0</v>
      </c>
      <c r="H177" s="122"/>
      <c r="I177" s="122"/>
      <c r="J177" s="122"/>
      <c r="K177" s="122"/>
      <c r="L177" s="99"/>
      <c r="M177" s="99"/>
      <c r="N177" s="99"/>
      <c r="O177" s="99"/>
      <c r="P177" s="641"/>
      <c r="Q177" s="99"/>
      <c r="R177" s="99"/>
      <c r="S177" s="99"/>
      <c r="T177" s="99"/>
      <c r="U177" s="99"/>
      <c r="V177" s="99"/>
      <c r="W177" s="99"/>
      <c r="X177" s="99"/>
      <c r="Y177" s="99"/>
      <c r="Z177" s="189">
        <f t="shared" si="70"/>
        <v>0</v>
      </c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43"/>
      <c r="AM177" s="143"/>
      <c r="AN177" s="103">
        <f t="shared" si="71"/>
        <v>0</v>
      </c>
      <c r="AO177" s="123"/>
      <c r="AP177" s="123"/>
      <c r="AQ177" s="123"/>
      <c r="AR177" s="105">
        <f t="shared" si="72"/>
        <v>0</v>
      </c>
      <c r="AS177" s="143"/>
      <c r="AT177" s="143"/>
      <c r="AU177" s="143"/>
      <c r="AV177" s="146"/>
      <c r="AW177" s="224">
        <f t="shared" si="73"/>
        <v>0</v>
      </c>
      <c r="AX177" s="126"/>
      <c r="AY177" s="126"/>
      <c r="AZ177" s="126"/>
      <c r="BA177" s="127"/>
      <c r="BB177" s="127"/>
      <c r="BC177" s="127"/>
      <c r="BD177" s="126"/>
      <c r="BE177" s="126"/>
      <c r="BF177" s="275"/>
      <c r="BG177" s="126"/>
      <c r="BH177" s="274"/>
      <c r="BI177" s="222">
        <f t="shared" si="74"/>
        <v>0</v>
      </c>
      <c r="BJ177" s="113">
        <f t="shared" si="75"/>
        <v>0</v>
      </c>
      <c r="BK177" s="3"/>
      <c r="BL177" s="113">
        <f t="shared" si="76"/>
        <v>0</v>
      </c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30">
        <f t="shared" si="77"/>
        <v>0</v>
      </c>
      <c r="CA177" s="3"/>
    </row>
    <row r="178" ht="14.25" customHeight="1">
      <c r="A178" s="3"/>
      <c r="B178" s="215">
        <v>46179</v>
      </c>
      <c r="C178" s="118"/>
      <c r="D178" s="123"/>
      <c r="E178" s="120"/>
      <c r="F178" s="120"/>
      <c r="G178" s="147">
        <f t="shared" si="69"/>
        <v>0</v>
      </c>
      <c r="H178" s="122"/>
      <c r="I178" s="122"/>
      <c r="J178" s="122"/>
      <c r="K178" s="122"/>
      <c r="L178" s="99"/>
      <c r="M178" s="99"/>
      <c r="N178" s="99"/>
      <c r="O178" s="99"/>
      <c r="P178" s="641"/>
      <c r="Q178" s="99"/>
      <c r="R178" s="99"/>
      <c r="S178" s="99"/>
      <c r="T178" s="99"/>
      <c r="U178" s="99"/>
      <c r="V178" s="99"/>
      <c r="W178" s="99"/>
      <c r="X178" s="99"/>
      <c r="Y178" s="99"/>
      <c r="Z178" s="189">
        <f t="shared" si="70"/>
        <v>0</v>
      </c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03">
        <f t="shared" si="71"/>
        <v>0</v>
      </c>
      <c r="AO178" s="123"/>
      <c r="AP178" s="123"/>
      <c r="AQ178" s="123"/>
      <c r="AR178" s="105">
        <f t="shared" si="72"/>
        <v>0</v>
      </c>
      <c r="AS178" s="143"/>
      <c r="AT178" s="143"/>
      <c r="AU178" s="143"/>
      <c r="AV178" s="146"/>
      <c r="AW178" s="224">
        <f t="shared" si="73"/>
        <v>0</v>
      </c>
      <c r="AX178" s="126"/>
      <c r="AY178" s="126"/>
      <c r="AZ178" s="225"/>
      <c r="BA178" s="127"/>
      <c r="BB178" s="127"/>
      <c r="BC178" s="127"/>
      <c r="BD178" s="126"/>
      <c r="BE178" s="126"/>
      <c r="BF178" s="275"/>
      <c r="BG178" s="126"/>
      <c r="BH178" s="274"/>
      <c r="BI178" s="222">
        <f t="shared" si="74"/>
        <v>0</v>
      </c>
      <c r="BJ178" s="113">
        <f t="shared" si="75"/>
        <v>0</v>
      </c>
      <c r="BK178" s="3"/>
      <c r="BL178" s="113">
        <f t="shared" si="76"/>
        <v>0</v>
      </c>
      <c r="BM178" s="129"/>
      <c r="BN178" s="129"/>
      <c r="BO178" s="129"/>
      <c r="BP178" s="129"/>
      <c r="BQ178" s="129"/>
      <c r="BR178" s="129"/>
      <c r="BS178" s="129"/>
      <c r="BT178" s="129"/>
      <c r="BU178" s="3"/>
      <c r="BV178" s="129"/>
      <c r="BW178" s="129"/>
      <c r="BX178" s="129"/>
      <c r="BY178" s="129"/>
      <c r="BZ178" s="130">
        <f t="shared" si="77"/>
        <v>0</v>
      </c>
      <c r="CA178" s="3"/>
    </row>
    <row r="179" ht="14.25" customHeight="1">
      <c r="A179" s="3"/>
      <c r="B179" s="215">
        <v>46180</v>
      </c>
      <c r="C179" s="118"/>
      <c r="D179" s="123"/>
      <c r="E179" s="120"/>
      <c r="F179" s="120"/>
      <c r="G179" s="147">
        <f t="shared" si="69"/>
        <v>0</v>
      </c>
      <c r="H179" s="122"/>
      <c r="I179" s="122"/>
      <c r="J179" s="122"/>
      <c r="K179" s="122"/>
      <c r="L179" s="99"/>
      <c r="M179" s="99"/>
      <c r="N179" s="99"/>
      <c r="O179" s="99"/>
      <c r="P179" s="641"/>
      <c r="Q179" s="99"/>
      <c r="R179" s="99"/>
      <c r="S179" s="99"/>
      <c r="T179" s="99"/>
      <c r="U179" s="99"/>
      <c r="V179" s="99"/>
      <c r="W179" s="99"/>
      <c r="X179" s="99"/>
      <c r="Y179" s="99"/>
      <c r="Z179" s="189">
        <f t="shared" si="70"/>
        <v>0</v>
      </c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43"/>
      <c r="AM179" s="143"/>
      <c r="AN179" s="103">
        <f t="shared" si="71"/>
        <v>0</v>
      </c>
      <c r="AO179" s="123"/>
      <c r="AP179" s="123"/>
      <c r="AQ179" s="123"/>
      <c r="AR179" s="105">
        <f t="shared" si="72"/>
        <v>0</v>
      </c>
      <c r="AS179" s="143"/>
      <c r="AT179" s="143"/>
      <c r="AU179" s="143"/>
      <c r="AV179" s="146"/>
      <c r="AW179" s="224">
        <f t="shared" si="73"/>
        <v>0</v>
      </c>
      <c r="AX179" s="126"/>
      <c r="AY179" s="126"/>
      <c r="AZ179" s="126"/>
      <c r="BA179" s="127"/>
      <c r="BB179" s="127"/>
      <c r="BC179" s="127"/>
      <c r="BD179" s="126"/>
      <c r="BE179" s="126"/>
      <c r="BF179" s="275"/>
      <c r="BG179" s="126"/>
      <c r="BH179" s="274"/>
      <c r="BI179" s="222">
        <f t="shared" si="74"/>
        <v>0</v>
      </c>
      <c r="BJ179" s="113">
        <f t="shared" si="75"/>
        <v>0</v>
      </c>
      <c r="BK179" s="3"/>
      <c r="BL179" s="113">
        <f t="shared" si="76"/>
        <v>0</v>
      </c>
      <c r="BM179" s="129"/>
      <c r="BN179" s="129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30">
        <f t="shared" si="77"/>
        <v>0</v>
      </c>
      <c r="CA179" s="3"/>
    </row>
    <row r="180" ht="14.25" customHeight="1">
      <c r="A180" s="3"/>
      <c r="B180" s="215">
        <v>46181</v>
      </c>
      <c r="C180" s="118"/>
      <c r="D180" s="123"/>
      <c r="E180" s="120"/>
      <c r="F180" s="120"/>
      <c r="G180" s="147">
        <f t="shared" si="69"/>
        <v>0</v>
      </c>
      <c r="H180" s="122"/>
      <c r="I180" s="122"/>
      <c r="J180" s="122"/>
      <c r="K180" s="122"/>
      <c r="L180" s="99"/>
      <c r="M180" s="99"/>
      <c r="N180" s="99"/>
      <c r="O180" s="99"/>
      <c r="P180" s="641"/>
      <c r="Q180" s="99"/>
      <c r="R180" s="99"/>
      <c r="S180" s="99"/>
      <c r="T180" s="99"/>
      <c r="U180" s="99"/>
      <c r="V180" s="99"/>
      <c r="W180" s="99"/>
      <c r="X180" s="99"/>
      <c r="Y180" s="99"/>
      <c r="Z180" s="189">
        <f t="shared" si="70"/>
        <v>0</v>
      </c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43"/>
      <c r="AM180" s="143"/>
      <c r="AN180" s="103">
        <f t="shared" si="71"/>
        <v>0</v>
      </c>
      <c r="AO180" s="123"/>
      <c r="AP180" s="123"/>
      <c r="AQ180" s="123"/>
      <c r="AR180" s="105">
        <f t="shared" si="72"/>
        <v>0</v>
      </c>
      <c r="AS180" s="143"/>
      <c r="AT180" s="143"/>
      <c r="AU180" s="143"/>
      <c r="AV180" s="146"/>
      <c r="AW180" s="224">
        <f t="shared" si="73"/>
        <v>0</v>
      </c>
      <c r="AX180" s="126"/>
      <c r="AY180" s="126"/>
      <c r="AZ180" s="126"/>
      <c r="BA180" s="127"/>
      <c r="BB180" s="127"/>
      <c r="BC180" s="127"/>
      <c r="BD180" s="126"/>
      <c r="BE180" s="126"/>
      <c r="BF180" s="275"/>
      <c r="BG180" s="126"/>
      <c r="BH180" s="274"/>
      <c r="BI180" s="222">
        <f t="shared" si="74"/>
        <v>0</v>
      </c>
      <c r="BJ180" s="113">
        <f t="shared" si="75"/>
        <v>0</v>
      </c>
      <c r="BK180" s="3"/>
      <c r="BL180" s="113">
        <f t="shared" si="76"/>
        <v>0</v>
      </c>
      <c r="BM180" s="129"/>
      <c r="BN180" s="129"/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30">
        <f t="shared" si="77"/>
        <v>0</v>
      </c>
      <c r="CA180" s="3"/>
    </row>
    <row r="181" ht="14.25" customHeight="1">
      <c r="A181" s="132"/>
      <c r="B181" s="215">
        <v>46182</v>
      </c>
      <c r="C181" s="133"/>
      <c r="D181" s="136"/>
      <c r="E181" s="135"/>
      <c r="F181" s="135"/>
      <c r="G181" s="147">
        <f t="shared" si="69"/>
        <v>0</v>
      </c>
      <c r="H181" s="122"/>
      <c r="I181" s="122"/>
      <c r="J181" s="122"/>
      <c r="K181" s="122"/>
      <c r="L181" s="99"/>
      <c r="M181" s="99"/>
      <c r="N181" s="99"/>
      <c r="O181" s="99"/>
      <c r="P181" s="641"/>
      <c r="Q181" s="99"/>
      <c r="R181" s="99"/>
      <c r="S181" s="99"/>
      <c r="T181" s="99"/>
      <c r="U181" s="99"/>
      <c r="V181" s="99"/>
      <c r="W181" s="99"/>
      <c r="X181" s="99"/>
      <c r="Y181" s="99"/>
      <c r="Z181" s="189">
        <f t="shared" si="70"/>
        <v>0</v>
      </c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43"/>
      <c r="AM181" s="143"/>
      <c r="AN181" s="103">
        <f t="shared" si="71"/>
        <v>0</v>
      </c>
      <c r="AO181" s="136"/>
      <c r="AP181" s="136"/>
      <c r="AQ181" s="136"/>
      <c r="AR181" s="105">
        <f t="shared" si="72"/>
        <v>0</v>
      </c>
      <c r="AS181" s="143"/>
      <c r="AT181" s="143"/>
      <c r="AU181" s="143"/>
      <c r="AV181" s="146"/>
      <c r="AW181" s="224">
        <f t="shared" si="73"/>
        <v>0</v>
      </c>
      <c r="AX181" s="126"/>
      <c r="AY181" s="126"/>
      <c r="AZ181" s="126"/>
      <c r="BA181" s="127"/>
      <c r="BB181" s="127"/>
      <c r="BC181" s="127"/>
      <c r="BD181" s="126"/>
      <c r="BE181" s="126"/>
      <c r="BF181" s="275"/>
      <c r="BG181" s="126"/>
      <c r="BH181" s="274"/>
      <c r="BI181" s="222">
        <f t="shared" si="74"/>
        <v>0</v>
      </c>
      <c r="BJ181" s="140">
        <f t="shared" si="75"/>
        <v>0</v>
      </c>
      <c r="BK181" s="132"/>
      <c r="BL181" s="140">
        <f t="shared" si="76"/>
        <v>0</v>
      </c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41"/>
      <c r="BY181" s="141"/>
      <c r="BZ181" s="130">
        <f t="shared" si="77"/>
        <v>0</v>
      </c>
      <c r="CA181" s="132"/>
    </row>
    <row r="182" ht="14.25" customHeight="1">
      <c r="A182" s="132"/>
      <c r="B182" s="215">
        <v>46183</v>
      </c>
      <c r="C182" s="133"/>
      <c r="D182" s="136"/>
      <c r="E182" s="135"/>
      <c r="F182" s="135"/>
      <c r="G182" s="147">
        <f t="shared" si="69"/>
        <v>0</v>
      </c>
      <c r="H182" s="122"/>
      <c r="I182" s="122"/>
      <c r="J182" s="122"/>
      <c r="K182" s="122"/>
      <c r="L182" s="99"/>
      <c r="M182" s="99"/>
      <c r="N182" s="99"/>
      <c r="O182" s="99"/>
      <c r="P182" s="641"/>
      <c r="Q182" s="99"/>
      <c r="R182" s="99"/>
      <c r="S182" s="99"/>
      <c r="T182" s="99"/>
      <c r="U182" s="99"/>
      <c r="V182" s="99"/>
      <c r="W182" s="99"/>
      <c r="X182" s="99"/>
      <c r="Y182" s="99"/>
      <c r="Z182" s="189">
        <f t="shared" si="70"/>
        <v>0</v>
      </c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03">
        <f t="shared" si="71"/>
        <v>0</v>
      </c>
      <c r="AO182" s="136"/>
      <c r="AP182" s="136"/>
      <c r="AQ182" s="136"/>
      <c r="AR182" s="105">
        <f t="shared" si="72"/>
        <v>0</v>
      </c>
      <c r="AS182" s="143"/>
      <c r="AT182" s="143"/>
      <c r="AU182" s="143"/>
      <c r="AV182" s="146"/>
      <c r="AW182" s="224">
        <f t="shared" si="73"/>
        <v>0</v>
      </c>
      <c r="AX182" s="126"/>
      <c r="AY182" s="126"/>
      <c r="AZ182" s="126"/>
      <c r="BA182" s="127"/>
      <c r="BB182" s="127"/>
      <c r="BC182" s="127"/>
      <c r="BD182" s="126"/>
      <c r="BE182" s="126"/>
      <c r="BF182" s="275"/>
      <c r="BG182" s="126"/>
      <c r="BH182" s="274"/>
      <c r="BI182" s="222">
        <f t="shared" si="74"/>
        <v>0</v>
      </c>
      <c r="BJ182" s="140">
        <f t="shared" si="75"/>
        <v>0</v>
      </c>
      <c r="BK182" s="132"/>
      <c r="BL182" s="140">
        <f t="shared" si="76"/>
        <v>0</v>
      </c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41"/>
      <c r="BY182" s="141"/>
      <c r="BZ182" s="130">
        <f t="shared" si="77"/>
        <v>0</v>
      </c>
      <c r="CA182" s="132"/>
    </row>
    <row r="183" ht="14.25" customHeight="1">
      <c r="A183" s="132"/>
      <c r="B183" s="215">
        <v>46184</v>
      </c>
      <c r="C183" s="133"/>
      <c r="D183" s="136"/>
      <c r="E183" s="135"/>
      <c r="F183" s="135"/>
      <c r="G183" s="147">
        <f t="shared" si="69"/>
        <v>0</v>
      </c>
      <c r="H183" s="122"/>
      <c r="I183" s="122"/>
      <c r="J183" s="122"/>
      <c r="K183" s="122"/>
      <c r="L183" s="99"/>
      <c r="M183" s="99"/>
      <c r="N183" s="99"/>
      <c r="O183" s="99"/>
      <c r="P183" s="641"/>
      <c r="Q183" s="99"/>
      <c r="R183" s="99"/>
      <c r="S183" s="99"/>
      <c r="T183" s="99"/>
      <c r="U183" s="99"/>
      <c r="V183" s="99"/>
      <c r="W183" s="99"/>
      <c r="X183" s="99"/>
      <c r="Y183" s="99"/>
      <c r="Z183" s="189">
        <f t="shared" si="70"/>
        <v>0</v>
      </c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43"/>
      <c r="AM183" s="143"/>
      <c r="AN183" s="103">
        <f t="shared" si="71"/>
        <v>0</v>
      </c>
      <c r="AO183" s="136"/>
      <c r="AP183" s="136"/>
      <c r="AQ183" s="136"/>
      <c r="AR183" s="105">
        <f t="shared" si="72"/>
        <v>0</v>
      </c>
      <c r="AS183" s="143"/>
      <c r="AT183" s="143"/>
      <c r="AU183" s="143"/>
      <c r="AV183" s="146"/>
      <c r="AW183" s="224">
        <f t="shared" si="73"/>
        <v>0</v>
      </c>
      <c r="AX183" s="126"/>
      <c r="AY183" s="126"/>
      <c r="AZ183" s="126"/>
      <c r="BA183" s="127"/>
      <c r="BB183" s="127"/>
      <c r="BC183" s="127"/>
      <c r="BD183" s="126"/>
      <c r="BE183" s="126"/>
      <c r="BF183" s="275"/>
      <c r="BG183" s="126"/>
      <c r="BH183" s="274"/>
      <c r="BI183" s="222">
        <f t="shared" si="74"/>
        <v>0</v>
      </c>
      <c r="BJ183" s="140">
        <f t="shared" si="75"/>
        <v>0</v>
      </c>
      <c r="BK183" s="132"/>
      <c r="BL183" s="140">
        <f t="shared" si="76"/>
        <v>0</v>
      </c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41"/>
      <c r="BY183" s="141"/>
      <c r="BZ183" s="130">
        <f t="shared" si="77"/>
        <v>0</v>
      </c>
      <c r="CA183" s="132"/>
    </row>
    <row r="184" ht="14.25" customHeight="1">
      <c r="A184" s="132"/>
      <c r="B184" s="215">
        <v>46185</v>
      </c>
      <c r="C184" s="663"/>
      <c r="D184" s="136"/>
      <c r="E184" s="135"/>
      <c r="F184" s="135"/>
      <c r="G184" s="147">
        <f t="shared" si="69"/>
        <v>0</v>
      </c>
      <c r="H184" s="122"/>
      <c r="I184" s="122"/>
      <c r="J184" s="122"/>
      <c r="K184" s="122"/>
      <c r="L184" s="99"/>
      <c r="M184" s="99"/>
      <c r="N184" s="99"/>
      <c r="O184" s="99"/>
      <c r="P184" s="641"/>
      <c r="Q184" s="99"/>
      <c r="R184" s="99"/>
      <c r="S184" s="99"/>
      <c r="T184" s="99"/>
      <c r="U184" s="99"/>
      <c r="V184" s="99"/>
      <c r="W184" s="99"/>
      <c r="X184" s="99"/>
      <c r="Y184" s="99"/>
      <c r="Z184" s="189">
        <f t="shared" si="70"/>
        <v>0</v>
      </c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43"/>
      <c r="AM184" s="143"/>
      <c r="AN184" s="103">
        <f t="shared" si="71"/>
        <v>0</v>
      </c>
      <c r="AO184" s="136"/>
      <c r="AP184" s="136"/>
      <c r="AQ184" s="136"/>
      <c r="AR184" s="105">
        <f t="shared" si="72"/>
        <v>0</v>
      </c>
      <c r="AS184" s="143"/>
      <c r="AT184" s="143"/>
      <c r="AU184" s="143"/>
      <c r="AV184" s="146"/>
      <c r="AW184" s="224">
        <f t="shared" si="73"/>
        <v>0</v>
      </c>
      <c r="AX184" s="126"/>
      <c r="AY184" s="126"/>
      <c r="AZ184" s="126"/>
      <c r="BA184" s="127"/>
      <c r="BB184" s="127"/>
      <c r="BC184" s="127"/>
      <c r="BD184" s="126"/>
      <c r="BE184" s="126"/>
      <c r="BF184" s="275"/>
      <c r="BG184" s="126"/>
      <c r="BH184" s="274"/>
      <c r="BI184" s="222">
        <f t="shared" si="74"/>
        <v>0</v>
      </c>
      <c r="BJ184" s="140">
        <f t="shared" si="75"/>
        <v>0</v>
      </c>
      <c r="BK184" s="132"/>
      <c r="BL184" s="140">
        <f t="shared" si="76"/>
        <v>0</v>
      </c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41"/>
      <c r="BY184" s="141"/>
      <c r="BZ184" s="130">
        <f t="shared" si="77"/>
        <v>0</v>
      </c>
      <c r="CA184" s="132"/>
    </row>
    <row r="185" ht="14.25" customHeight="1">
      <c r="A185" s="132"/>
      <c r="B185" s="215">
        <v>46186</v>
      </c>
      <c r="C185" s="133"/>
      <c r="D185" s="136"/>
      <c r="E185" s="135"/>
      <c r="F185" s="135"/>
      <c r="G185" s="147">
        <f t="shared" si="69"/>
        <v>0</v>
      </c>
      <c r="H185" s="122"/>
      <c r="I185" s="122"/>
      <c r="J185" s="122"/>
      <c r="K185" s="122"/>
      <c r="L185" s="99"/>
      <c r="M185" s="99"/>
      <c r="N185" s="99"/>
      <c r="O185" s="99"/>
      <c r="P185" s="641"/>
      <c r="Q185" s="99"/>
      <c r="R185" s="99"/>
      <c r="S185" s="99"/>
      <c r="T185" s="99"/>
      <c r="U185" s="99"/>
      <c r="V185" s="99"/>
      <c r="W185" s="99"/>
      <c r="X185" s="99"/>
      <c r="Y185" s="99"/>
      <c r="Z185" s="189">
        <f t="shared" si="70"/>
        <v>0</v>
      </c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103">
        <f t="shared" si="71"/>
        <v>0</v>
      </c>
      <c r="AO185" s="136"/>
      <c r="AP185" s="136"/>
      <c r="AQ185" s="136"/>
      <c r="AR185" s="105">
        <f t="shared" si="72"/>
        <v>0</v>
      </c>
      <c r="AS185" s="143"/>
      <c r="AT185" s="143"/>
      <c r="AU185" s="143"/>
      <c r="AV185" s="146"/>
      <c r="AW185" s="224">
        <f t="shared" si="73"/>
        <v>0</v>
      </c>
      <c r="AX185" s="126"/>
      <c r="AY185" s="126"/>
      <c r="AZ185" s="126"/>
      <c r="BA185" s="127"/>
      <c r="BB185" s="127"/>
      <c r="BC185" s="127"/>
      <c r="BD185" s="126"/>
      <c r="BE185" s="126"/>
      <c r="BF185" s="275"/>
      <c r="BG185" s="126"/>
      <c r="BH185" s="274"/>
      <c r="BI185" s="222">
        <f t="shared" si="74"/>
        <v>0</v>
      </c>
      <c r="BJ185" s="140">
        <f t="shared" si="75"/>
        <v>0</v>
      </c>
      <c r="BK185" s="132"/>
      <c r="BL185" s="140">
        <f t="shared" si="76"/>
        <v>0</v>
      </c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41"/>
      <c r="BY185" s="141"/>
      <c r="BZ185" s="130">
        <f t="shared" si="77"/>
        <v>0</v>
      </c>
      <c r="CA185" s="132"/>
    </row>
    <row r="186" ht="14.25" customHeight="1">
      <c r="A186" s="132"/>
      <c r="B186" s="215">
        <v>46187</v>
      </c>
      <c r="C186" s="133"/>
      <c r="D186" s="136"/>
      <c r="E186" s="135"/>
      <c r="F186" s="135"/>
      <c r="G186" s="147">
        <f t="shared" si="69"/>
        <v>0</v>
      </c>
      <c r="H186" s="122"/>
      <c r="I186" s="122"/>
      <c r="J186" s="122"/>
      <c r="K186" s="122"/>
      <c r="L186" s="99"/>
      <c r="M186" s="99"/>
      <c r="N186" s="99"/>
      <c r="O186" s="99"/>
      <c r="P186" s="641"/>
      <c r="Q186" s="99"/>
      <c r="R186" s="99"/>
      <c r="S186" s="99"/>
      <c r="T186" s="99"/>
      <c r="U186" s="99"/>
      <c r="V186" s="99"/>
      <c r="W186" s="99"/>
      <c r="X186" s="99"/>
      <c r="Y186" s="99"/>
      <c r="Z186" s="189">
        <f t="shared" si="70"/>
        <v>0</v>
      </c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43"/>
      <c r="AM186" s="143"/>
      <c r="AN186" s="103">
        <f t="shared" si="71"/>
        <v>0</v>
      </c>
      <c r="AO186" s="136"/>
      <c r="AP186" s="136"/>
      <c r="AQ186" s="136"/>
      <c r="AR186" s="105">
        <f t="shared" si="72"/>
        <v>0</v>
      </c>
      <c r="AS186" s="143"/>
      <c r="AT186" s="143"/>
      <c r="AU186" s="143"/>
      <c r="AV186" s="146"/>
      <c r="AW186" s="224">
        <f t="shared" si="73"/>
        <v>0</v>
      </c>
      <c r="AX186" s="126"/>
      <c r="AY186" s="126"/>
      <c r="AZ186" s="126"/>
      <c r="BA186" s="127"/>
      <c r="BB186" s="127"/>
      <c r="BC186" s="127"/>
      <c r="BD186" s="126"/>
      <c r="BE186" s="126"/>
      <c r="BF186" s="275"/>
      <c r="BG186" s="126"/>
      <c r="BH186" s="274"/>
      <c r="BI186" s="222">
        <f t="shared" si="74"/>
        <v>0</v>
      </c>
      <c r="BJ186" s="140">
        <f t="shared" si="75"/>
        <v>0</v>
      </c>
      <c r="BK186" s="132"/>
      <c r="BL186" s="140">
        <f t="shared" si="76"/>
        <v>0</v>
      </c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41"/>
      <c r="BY186" s="141"/>
      <c r="BZ186" s="130">
        <f t="shared" si="77"/>
        <v>0</v>
      </c>
      <c r="CA186" s="132"/>
    </row>
    <row r="187" ht="14.25" customHeight="1">
      <c r="A187" s="132"/>
      <c r="B187" s="215">
        <v>46188</v>
      </c>
      <c r="C187" s="133"/>
      <c r="D187" s="136"/>
      <c r="E187" s="135"/>
      <c r="F187" s="135"/>
      <c r="G187" s="147">
        <f t="shared" si="69"/>
        <v>0</v>
      </c>
      <c r="H187" s="122"/>
      <c r="I187" s="122"/>
      <c r="J187" s="122"/>
      <c r="K187" s="122"/>
      <c r="L187" s="99"/>
      <c r="M187" s="99"/>
      <c r="N187" s="99"/>
      <c r="O187" s="99"/>
      <c r="P187" s="641"/>
      <c r="Q187" s="99"/>
      <c r="R187" s="99"/>
      <c r="S187" s="99"/>
      <c r="T187" s="99"/>
      <c r="U187" s="99"/>
      <c r="V187" s="99"/>
      <c r="W187" s="99"/>
      <c r="X187" s="99"/>
      <c r="Y187" s="99"/>
      <c r="Z187" s="189">
        <f t="shared" si="70"/>
        <v>0</v>
      </c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43"/>
      <c r="AM187" s="143"/>
      <c r="AN187" s="103">
        <f t="shared" si="71"/>
        <v>0</v>
      </c>
      <c r="AO187" s="136"/>
      <c r="AP187" s="136"/>
      <c r="AQ187" s="136"/>
      <c r="AR187" s="105">
        <f t="shared" si="72"/>
        <v>0</v>
      </c>
      <c r="AS187" s="143"/>
      <c r="AT187" s="143"/>
      <c r="AU187" s="143"/>
      <c r="AV187" s="146"/>
      <c r="AW187" s="224">
        <f t="shared" si="73"/>
        <v>0</v>
      </c>
      <c r="AX187" s="126"/>
      <c r="AY187" s="126"/>
      <c r="AZ187" s="126"/>
      <c r="BA187" s="127"/>
      <c r="BB187" s="127"/>
      <c r="BC187" s="127"/>
      <c r="BD187" s="126"/>
      <c r="BE187" s="126"/>
      <c r="BF187" s="275"/>
      <c r="BG187" s="126"/>
      <c r="BH187" s="274"/>
      <c r="BI187" s="222">
        <f t="shared" si="74"/>
        <v>0</v>
      </c>
      <c r="BJ187" s="140">
        <f t="shared" si="75"/>
        <v>0</v>
      </c>
      <c r="BK187" s="132"/>
      <c r="BL187" s="140">
        <f t="shared" si="76"/>
        <v>0</v>
      </c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41"/>
      <c r="BY187" s="141"/>
      <c r="BZ187" s="130">
        <f t="shared" si="77"/>
        <v>0</v>
      </c>
      <c r="CA187" s="132"/>
    </row>
    <row r="188" ht="14.25" customHeight="1">
      <c r="A188" s="132"/>
      <c r="B188" s="215">
        <v>46189</v>
      </c>
      <c r="C188" s="133"/>
      <c r="D188" s="136"/>
      <c r="E188" s="135"/>
      <c r="F188" s="135"/>
      <c r="G188" s="147">
        <f t="shared" si="69"/>
        <v>0</v>
      </c>
      <c r="H188" s="122"/>
      <c r="I188" s="122"/>
      <c r="J188" s="122"/>
      <c r="K188" s="122"/>
      <c r="L188" s="99"/>
      <c r="M188" s="99"/>
      <c r="N188" s="99"/>
      <c r="O188" s="99"/>
      <c r="P188" s="641"/>
      <c r="Q188" s="99"/>
      <c r="R188" s="99"/>
      <c r="S188" s="99"/>
      <c r="T188" s="99"/>
      <c r="U188" s="99"/>
      <c r="V188" s="99"/>
      <c r="W188" s="99"/>
      <c r="X188" s="99"/>
      <c r="Y188" s="99"/>
      <c r="Z188" s="189">
        <f t="shared" si="70"/>
        <v>0</v>
      </c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103">
        <f t="shared" si="71"/>
        <v>0</v>
      </c>
      <c r="AO188" s="136"/>
      <c r="AP188" s="136"/>
      <c r="AQ188" s="136"/>
      <c r="AR188" s="105">
        <f t="shared" si="72"/>
        <v>0</v>
      </c>
      <c r="AS188" s="143"/>
      <c r="AT188" s="143"/>
      <c r="AU188" s="143"/>
      <c r="AV188" s="146"/>
      <c r="AW188" s="224">
        <f t="shared" si="73"/>
        <v>0</v>
      </c>
      <c r="AX188" s="126"/>
      <c r="AY188" s="126"/>
      <c r="AZ188" s="126"/>
      <c r="BA188" s="127"/>
      <c r="BB188" s="127"/>
      <c r="BC188" s="127"/>
      <c r="BD188" s="126"/>
      <c r="BE188" s="126"/>
      <c r="BF188" s="275"/>
      <c r="BG188" s="126"/>
      <c r="BH188" s="274"/>
      <c r="BI188" s="222">
        <f t="shared" si="74"/>
        <v>0</v>
      </c>
      <c r="BJ188" s="140">
        <f t="shared" si="75"/>
        <v>0</v>
      </c>
      <c r="BK188" s="132"/>
      <c r="BL188" s="140">
        <f t="shared" si="76"/>
        <v>0</v>
      </c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41"/>
      <c r="BY188" s="141"/>
      <c r="BZ188" s="130">
        <f t="shared" si="77"/>
        <v>0</v>
      </c>
      <c r="CA188" s="132"/>
    </row>
    <row r="189" ht="14.25" customHeight="1">
      <c r="A189" s="132"/>
      <c r="B189" s="215">
        <v>46190</v>
      </c>
      <c r="C189" s="133"/>
      <c r="D189" s="136"/>
      <c r="E189" s="135"/>
      <c r="F189" s="135"/>
      <c r="G189" s="147">
        <f t="shared" si="69"/>
        <v>0</v>
      </c>
      <c r="H189" s="122"/>
      <c r="I189" s="122"/>
      <c r="J189" s="122"/>
      <c r="K189" s="122"/>
      <c r="L189" s="99"/>
      <c r="M189" s="99"/>
      <c r="N189" s="99"/>
      <c r="O189" s="99"/>
      <c r="P189" s="641"/>
      <c r="Q189" s="99"/>
      <c r="R189" s="99"/>
      <c r="S189" s="99"/>
      <c r="T189" s="99"/>
      <c r="U189" s="99"/>
      <c r="V189" s="99"/>
      <c r="W189" s="99"/>
      <c r="X189" s="99"/>
      <c r="Y189" s="99"/>
      <c r="Z189" s="189">
        <f t="shared" si="70"/>
        <v>0</v>
      </c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43"/>
      <c r="AM189" s="143"/>
      <c r="AN189" s="103">
        <f t="shared" si="71"/>
        <v>0</v>
      </c>
      <c r="AO189" s="136"/>
      <c r="AP189" s="136"/>
      <c r="AQ189" s="136"/>
      <c r="AR189" s="105">
        <f t="shared" si="72"/>
        <v>0</v>
      </c>
      <c r="AS189" s="143"/>
      <c r="AT189" s="143"/>
      <c r="AU189" s="143"/>
      <c r="AV189" s="146"/>
      <c r="AW189" s="224">
        <f t="shared" si="73"/>
        <v>0</v>
      </c>
      <c r="AX189" s="126"/>
      <c r="AY189" s="126"/>
      <c r="AZ189" s="126"/>
      <c r="BA189" s="127"/>
      <c r="BB189" s="127"/>
      <c r="BC189" s="127"/>
      <c r="BD189" s="126"/>
      <c r="BE189" s="126"/>
      <c r="BF189" s="275"/>
      <c r="BG189" s="126"/>
      <c r="BH189" s="274"/>
      <c r="BI189" s="222">
        <f t="shared" si="74"/>
        <v>0</v>
      </c>
      <c r="BJ189" s="140">
        <f t="shared" si="75"/>
        <v>0</v>
      </c>
      <c r="BK189" s="132"/>
      <c r="BL189" s="140">
        <f t="shared" si="76"/>
        <v>0</v>
      </c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41"/>
      <c r="BY189" s="141"/>
      <c r="BZ189" s="130">
        <f t="shared" si="77"/>
        <v>0</v>
      </c>
      <c r="CA189" s="132"/>
    </row>
    <row r="190" ht="14.25" customHeight="1">
      <c r="A190" s="132"/>
      <c r="B190" s="215">
        <v>46191</v>
      </c>
      <c r="C190" s="133"/>
      <c r="D190" s="136"/>
      <c r="E190" s="135"/>
      <c r="F190" s="135"/>
      <c r="G190" s="147">
        <f t="shared" si="69"/>
        <v>0</v>
      </c>
      <c r="H190" s="122"/>
      <c r="I190" s="122"/>
      <c r="J190" s="122"/>
      <c r="K190" s="122"/>
      <c r="L190" s="99"/>
      <c r="M190" s="99"/>
      <c r="N190" s="99"/>
      <c r="O190" s="99"/>
      <c r="P190" s="641"/>
      <c r="Q190" s="99"/>
      <c r="R190" s="99"/>
      <c r="S190" s="99"/>
      <c r="T190" s="99"/>
      <c r="U190" s="99"/>
      <c r="V190" s="99"/>
      <c r="W190" s="99"/>
      <c r="X190" s="99"/>
      <c r="Y190" s="99"/>
      <c r="Z190" s="189">
        <f t="shared" si="70"/>
        <v>0</v>
      </c>
      <c r="AA190" s="132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43"/>
      <c r="AM190" s="143"/>
      <c r="AN190" s="103">
        <f t="shared" si="71"/>
        <v>0</v>
      </c>
      <c r="AO190" s="136"/>
      <c r="AP190" s="136"/>
      <c r="AQ190" s="136"/>
      <c r="AR190" s="105">
        <f t="shared" si="72"/>
        <v>0</v>
      </c>
      <c r="AS190" s="143"/>
      <c r="AT190" s="143"/>
      <c r="AU190" s="143"/>
      <c r="AV190" s="146"/>
      <c r="AW190" s="224">
        <f t="shared" si="73"/>
        <v>0</v>
      </c>
      <c r="AX190" s="126"/>
      <c r="AY190" s="126"/>
      <c r="AZ190" s="126"/>
      <c r="BA190" s="127"/>
      <c r="BB190" s="127"/>
      <c r="BC190" s="127"/>
      <c r="BD190" s="126"/>
      <c r="BE190" s="126"/>
      <c r="BF190" s="275"/>
      <c r="BG190" s="126"/>
      <c r="BH190" s="274"/>
      <c r="BI190" s="222">
        <f t="shared" si="74"/>
        <v>0</v>
      </c>
      <c r="BJ190" s="140">
        <f t="shared" si="75"/>
        <v>0</v>
      </c>
      <c r="BK190" s="132"/>
      <c r="BL190" s="140">
        <f t="shared" si="76"/>
        <v>0</v>
      </c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41"/>
      <c r="BY190" s="141"/>
      <c r="BZ190" s="130">
        <f t="shared" si="77"/>
        <v>0</v>
      </c>
      <c r="CA190" s="132"/>
    </row>
    <row r="191" ht="14.25" customHeight="1">
      <c r="A191" s="132"/>
      <c r="B191" s="215">
        <v>46192</v>
      </c>
      <c r="C191" s="133"/>
      <c r="D191" s="136"/>
      <c r="E191" s="135"/>
      <c r="F191" s="135"/>
      <c r="G191" s="147">
        <f t="shared" si="69"/>
        <v>0</v>
      </c>
      <c r="H191" s="122"/>
      <c r="I191" s="122"/>
      <c r="J191" s="122"/>
      <c r="K191" s="122"/>
      <c r="L191" s="99"/>
      <c r="M191" s="99"/>
      <c r="N191" s="99"/>
      <c r="O191" s="99"/>
      <c r="P191" s="641"/>
      <c r="Q191" s="99"/>
      <c r="R191" s="99"/>
      <c r="S191" s="99"/>
      <c r="T191" s="99"/>
      <c r="U191" s="99"/>
      <c r="V191" s="99"/>
      <c r="W191" s="99"/>
      <c r="X191" s="99"/>
      <c r="Y191" s="99"/>
      <c r="Z191" s="189">
        <f t="shared" si="70"/>
        <v>0</v>
      </c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103">
        <f t="shared" si="71"/>
        <v>0</v>
      </c>
      <c r="AO191" s="136"/>
      <c r="AP191" s="136"/>
      <c r="AQ191" s="136"/>
      <c r="AR191" s="105">
        <f t="shared" si="72"/>
        <v>0</v>
      </c>
      <c r="AS191" s="143"/>
      <c r="AT191" s="143"/>
      <c r="AU191" s="143"/>
      <c r="AV191" s="146"/>
      <c r="AW191" s="224">
        <f t="shared" si="73"/>
        <v>0</v>
      </c>
      <c r="AX191" s="126"/>
      <c r="AY191" s="126"/>
      <c r="AZ191" s="126"/>
      <c r="BA191" s="127"/>
      <c r="BB191" s="127"/>
      <c r="BC191" s="127"/>
      <c r="BD191" s="126"/>
      <c r="BE191" s="126"/>
      <c r="BF191" s="275"/>
      <c r="BG191" s="126"/>
      <c r="BH191" s="274"/>
      <c r="BI191" s="222">
        <f t="shared" si="74"/>
        <v>0</v>
      </c>
      <c r="BJ191" s="140">
        <f t="shared" si="75"/>
        <v>0</v>
      </c>
      <c r="BK191" s="132"/>
      <c r="BL191" s="140">
        <f t="shared" si="76"/>
        <v>0</v>
      </c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41"/>
      <c r="BY191" s="141"/>
      <c r="BZ191" s="130">
        <f t="shared" si="77"/>
        <v>0</v>
      </c>
      <c r="CA191" s="132"/>
    </row>
    <row r="192" ht="14.25" customHeight="1">
      <c r="A192" s="132"/>
      <c r="B192" s="215">
        <v>46193</v>
      </c>
      <c r="C192" s="133"/>
      <c r="D192" s="136"/>
      <c r="E192" s="135"/>
      <c r="F192" s="135"/>
      <c r="G192" s="147">
        <f t="shared" si="69"/>
        <v>0</v>
      </c>
      <c r="H192" s="122"/>
      <c r="I192" s="122"/>
      <c r="J192" s="122"/>
      <c r="K192" s="122"/>
      <c r="L192" s="99"/>
      <c r="M192" s="99"/>
      <c r="N192" s="99"/>
      <c r="O192" s="99"/>
      <c r="P192" s="641"/>
      <c r="Q192" s="99"/>
      <c r="R192" s="99"/>
      <c r="S192" s="99"/>
      <c r="T192" s="99"/>
      <c r="U192" s="99"/>
      <c r="V192" s="99"/>
      <c r="W192" s="99"/>
      <c r="X192" s="99"/>
      <c r="Y192" s="99"/>
      <c r="Z192" s="189">
        <f t="shared" si="70"/>
        <v>0</v>
      </c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43"/>
      <c r="AM192" s="143"/>
      <c r="AN192" s="103">
        <f t="shared" si="71"/>
        <v>0</v>
      </c>
      <c r="AO192" s="136"/>
      <c r="AP192" s="136"/>
      <c r="AQ192" s="136"/>
      <c r="AR192" s="105">
        <f t="shared" si="72"/>
        <v>0</v>
      </c>
      <c r="AS192" s="143"/>
      <c r="AT192" s="143"/>
      <c r="AU192" s="143"/>
      <c r="AV192" s="146"/>
      <c r="AW192" s="224">
        <f t="shared" si="73"/>
        <v>0</v>
      </c>
      <c r="AX192" s="126"/>
      <c r="AY192" s="126"/>
      <c r="AZ192" s="126"/>
      <c r="BA192" s="127"/>
      <c r="BB192" s="127"/>
      <c r="BC192" s="127"/>
      <c r="BD192" s="126"/>
      <c r="BE192" s="126"/>
      <c r="BF192" s="275"/>
      <c r="BG192" s="126"/>
      <c r="BH192" s="274"/>
      <c r="BI192" s="222">
        <f t="shared" si="74"/>
        <v>0</v>
      </c>
      <c r="BJ192" s="140">
        <f t="shared" si="75"/>
        <v>0</v>
      </c>
      <c r="BK192" s="132"/>
      <c r="BL192" s="140">
        <f t="shared" si="76"/>
        <v>0</v>
      </c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41"/>
      <c r="BY192" s="141"/>
      <c r="BZ192" s="130">
        <f t="shared" si="77"/>
        <v>0</v>
      </c>
      <c r="CA192" s="132"/>
    </row>
    <row r="193" ht="14.25" customHeight="1">
      <c r="A193" s="132"/>
      <c r="B193" s="215">
        <v>46194</v>
      </c>
      <c r="C193" s="133"/>
      <c r="D193" s="136"/>
      <c r="E193" s="135"/>
      <c r="F193" s="135"/>
      <c r="G193" s="147">
        <f t="shared" si="69"/>
        <v>0</v>
      </c>
      <c r="H193" s="122"/>
      <c r="I193" s="122"/>
      <c r="J193" s="122"/>
      <c r="K193" s="122"/>
      <c r="L193" s="99"/>
      <c r="M193" s="99"/>
      <c r="N193" s="99"/>
      <c r="O193" s="99"/>
      <c r="P193" s="641"/>
      <c r="Q193" s="99"/>
      <c r="R193" s="99"/>
      <c r="S193" s="99"/>
      <c r="T193" s="99"/>
      <c r="U193" s="99"/>
      <c r="V193" s="99"/>
      <c r="W193" s="99"/>
      <c r="X193" s="99"/>
      <c r="Y193" s="99"/>
      <c r="Z193" s="189">
        <f t="shared" si="70"/>
        <v>0</v>
      </c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43"/>
      <c r="AM193" s="143"/>
      <c r="AN193" s="103">
        <f t="shared" si="71"/>
        <v>0</v>
      </c>
      <c r="AO193" s="136"/>
      <c r="AP193" s="136"/>
      <c r="AQ193" s="136"/>
      <c r="AR193" s="105">
        <f t="shared" si="72"/>
        <v>0</v>
      </c>
      <c r="AS193" s="143"/>
      <c r="AT193" s="143"/>
      <c r="AU193" s="143"/>
      <c r="AV193" s="146"/>
      <c r="AW193" s="224">
        <f t="shared" si="73"/>
        <v>0</v>
      </c>
      <c r="AX193" s="126"/>
      <c r="AY193" s="126"/>
      <c r="AZ193" s="126"/>
      <c r="BA193" s="127"/>
      <c r="BB193" s="127"/>
      <c r="BC193" s="127"/>
      <c r="BD193" s="126"/>
      <c r="BE193" s="126"/>
      <c r="BF193" s="275"/>
      <c r="BG193" s="126"/>
      <c r="BH193" s="274"/>
      <c r="BI193" s="222">
        <f t="shared" si="74"/>
        <v>0</v>
      </c>
      <c r="BJ193" s="140">
        <f t="shared" si="75"/>
        <v>0</v>
      </c>
      <c r="BK193" s="132"/>
      <c r="BL193" s="140">
        <f t="shared" si="76"/>
        <v>0</v>
      </c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41"/>
      <c r="BY193" s="141"/>
      <c r="BZ193" s="130">
        <f t="shared" si="77"/>
        <v>0</v>
      </c>
      <c r="CA193" s="132"/>
    </row>
    <row r="194" ht="14.25" customHeight="1">
      <c r="A194" s="132"/>
      <c r="B194" s="215">
        <v>46195</v>
      </c>
      <c r="C194" s="133"/>
      <c r="D194" s="136"/>
      <c r="E194" s="135"/>
      <c r="F194" s="135"/>
      <c r="G194" s="147">
        <f t="shared" si="69"/>
        <v>0</v>
      </c>
      <c r="H194" s="122"/>
      <c r="I194" s="122"/>
      <c r="J194" s="122"/>
      <c r="K194" s="122"/>
      <c r="L194" s="99"/>
      <c r="M194" s="99"/>
      <c r="N194" s="99"/>
      <c r="O194" s="99"/>
      <c r="P194" s="641"/>
      <c r="Q194" s="99"/>
      <c r="R194" s="99"/>
      <c r="S194" s="99"/>
      <c r="T194" s="99"/>
      <c r="U194" s="99"/>
      <c r="V194" s="99"/>
      <c r="W194" s="99"/>
      <c r="X194" s="99"/>
      <c r="Y194" s="99"/>
      <c r="Z194" s="189">
        <f t="shared" si="70"/>
        <v>0</v>
      </c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43"/>
      <c r="AM194" s="143"/>
      <c r="AN194" s="103">
        <f t="shared" si="71"/>
        <v>0</v>
      </c>
      <c r="AO194" s="136"/>
      <c r="AP194" s="136"/>
      <c r="AQ194" s="136"/>
      <c r="AR194" s="105">
        <f t="shared" si="72"/>
        <v>0</v>
      </c>
      <c r="AS194" s="143"/>
      <c r="AT194" s="143"/>
      <c r="AU194" s="143"/>
      <c r="AV194" s="146"/>
      <c r="AW194" s="224">
        <f t="shared" si="73"/>
        <v>0</v>
      </c>
      <c r="AX194" s="126"/>
      <c r="AY194" s="126"/>
      <c r="AZ194" s="126"/>
      <c r="BA194" s="127"/>
      <c r="BB194" s="127"/>
      <c r="BC194" s="127"/>
      <c r="BD194" s="126"/>
      <c r="BE194" s="126"/>
      <c r="BF194" s="275"/>
      <c r="BG194" s="126"/>
      <c r="BH194" s="274"/>
      <c r="BI194" s="222">
        <f t="shared" si="74"/>
        <v>0</v>
      </c>
      <c r="BJ194" s="140">
        <f t="shared" si="75"/>
        <v>0</v>
      </c>
      <c r="BK194" s="132"/>
      <c r="BL194" s="140">
        <f t="shared" si="76"/>
        <v>0</v>
      </c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41"/>
      <c r="BY194" s="141"/>
      <c r="BZ194" s="130">
        <f t="shared" si="77"/>
        <v>0</v>
      </c>
      <c r="CA194" s="132"/>
    </row>
    <row r="195" ht="14.25" customHeight="1">
      <c r="A195" s="132"/>
      <c r="B195" s="215">
        <v>46196</v>
      </c>
      <c r="C195" s="133"/>
      <c r="D195" s="136"/>
      <c r="E195" s="135"/>
      <c r="F195" s="135"/>
      <c r="G195" s="147">
        <f t="shared" si="69"/>
        <v>0</v>
      </c>
      <c r="H195" s="122"/>
      <c r="I195" s="122"/>
      <c r="J195" s="122"/>
      <c r="K195" s="122"/>
      <c r="L195" s="99"/>
      <c r="M195" s="99"/>
      <c r="N195" s="99"/>
      <c r="O195" s="99"/>
      <c r="P195" s="641"/>
      <c r="Q195" s="99"/>
      <c r="R195" s="99"/>
      <c r="S195" s="99"/>
      <c r="T195" s="99"/>
      <c r="U195" s="99"/>
      <c r="V195" s="99"/>
      <c r="W195" s="99"/>
      <c r="X195" s="99"/>
      <c r="Y195" s="99"/>
      <c r="Z195" s="189">
        <f t="shared" si="70"/>
        <v>0</v>
      </c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43"/>
      <c r="AM195" s="143"/>
      <c r="AN195" s="103">
        <f t="shared" si="71"/>
        <v>0</v>
      </c>
      <c r="AO195" s="136"/>
      <c r="AP195" s="136"/>
      <c r="AQ195" s="136"/>
      <c r="AR195" s="105">
        <f t="shared" si="72"/>
        <v>0</v>
      </c>
      <c r="AS195" s="143"/>
      <c r="AT195" s="143"/>
      <c r="AU195" s="143"/>
      <c r="AV195" s="146"/>
      <c r="AW195" s="224">
        <f t="shared" si="73"/>
        <v>0</v>
      </c>
      <c r="AX195" s="126"/>
      <c r="AY195" s="126"/>
      <c r="AZ195" s="126"/>
      <c r="BA195" s="127"/>
      <c r="BB195" s="127"/>
      <c r="BC195" s="127"/>
      <c r="BD195" s="126"/>
      <c r="BE195" s="126"/>
      <c r="BF195" s="275"/>
      <c r="BG195" s="126"/>
      <c r="BH195" s="274"/>
      <c r="BI195" s="222">
        <f t="shared" si="74"/>
        <v>0</v>
      </c>
      <c r="BJ195" s="140">
        <f t="shared" si="75"/>
        <v>0</v>
      </c>
      <c r="BK195" s="132"/>
      <c r="BL195" s="140">
        <f t="shared" si="76"/>
        <v>0</v>
      </c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41"/>
      <c r="BY195" s="141"/>
      <c r="BZ195" s="130">
        <f t="shared" si="77"/>
        <v>0</v>
      </c>
      <c r="CA195" s="132"/>
    </row>
    <row r="196" ht="14.25" customHeight="1">
      <c r="A196" s="5"/>
      <c r="B196" s="215">
        <v>46197</v>
      </c>
      <c r="C196" s="133"/>
      <c r="D196" s="136"/>
      <c r="E196" s="135"/>
      <c r="F196" s="135"/>
      <c r="G196" s="147">
        <f t="shared" si="69"/>
        <v>0</v>
      </c>
      <c r="H196" s="122"/>
      <c r="I196" s="122"/>
      <c r="J196" s="122"/>
      <c r="K196" s="122"/>
      <c r="L196" s="99"/>
      <c r="M196" s="99"/>
      <c r="N196" s="99"/>
      <c r="O196" s="99"/>
      <c r="P196" s="641"/>
      <c r="Q196" s="99"/>
      <c r="R196" s="99"/>
      <c r="S196" s="99"/>
      <c r="T196" s="99"/>
      <c r="U196" s="136"/>
      <c r="V196" s="136"/>
      <c r="W196" s="136"/>
      <c r="X196" s="136"/>
      <c r="Y196" s="136"/>
      <c r="Z196" s="189">
        <f t="shared" si="70"/>
        <v>0</v>
      </c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43"/>
      <c r="AM196" s="143"/>
      <c r="AN196" s="103">
        <f t="shared" si="71"/>
        <v>0</v>
      </c>
      <c r="AO196" s="136"/>
      <c r="AP196" s="136"/>
      <c r="AQ196" s="136"/>
      <c r="AR196" s="105">
        <f t="shared" si="72"/>
        <v>0</v>
      </c>
      <c r="AS196" s="143"/>
      <c r="AT196" s="143"/>
      <c r="AU196" s="143"/>
      <c r="AV196" s="146"/>
      <c r="AW196" s="224">
        <f t="shared" si="73"/>
        <v>0</v>
      </c>
      <c r="AX196" s="126"/>
      <c r="AY196" s="126"/>
      <c r="AZ196" s="126"/>
      <c r="BA196" s="127"/>
      <c r="BB196" s="127"/>
      <c r="BC196" s="127"/>
      <c r="BD196" s="126"/>
      <c r="BE196" s="126"/>
      <c r="BF196" s="275"/>
      <c r="BG196" s="126"/>
      <c r="BH196" s="274"/>
      <c r="BI196" s="222">
        <f t="shared" si="74"/>
        <v>0</v>
      </c>
      <c r="BJ196" s="140">
        <f t="shared" si="75"/>
        <v>0</v>
      </c>
      <c r="BK196" s="132"/>
      <c r="BL196" s="140">
        <f t="shared" si="76"/>
        <v>0</v>
      </c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41"/>
      <c r="BY196" s="141"/>
      <c r="BZ196" s="130">
        <f t="shared" si="77"/>
        <v>0</v>
      </c>
      <c r="CA196" s="132"/>
    </row>
    <row r="197" ht="14.25" customHeight="1">
      <c r="A197" s="132"/>
      <c r="B197" s="215">
        <v>46198</v>
      </c>
      <c r="C197" s="133"/>
      <c r="D197" s="136"/>
      <c r="E197" s="135"/>
      <c r="F197" s="135"/>
      <c r="G197" s="147">
        <f t="shared" si="69"/>
        <v>0</v>
      </c>
      <c r="H197" s="122"/>
      <c r="I197" s="122"/>
      <c r="J197" s="122"/>
      <c r="K197" s="122"/>
      <c r="L197" s="99"/>
      <c r="M197" s="99"/>
      <c r="N197" s="99"/>
      <c r="O197" s="99"/>
      <c r="P197" s="641"/>
      <c r="Q197" s="99"/>
      <c r="R197" s="99"/>
      <c r="S197" s="99"/>
      <c r="T197" s="99"/>
      <c r="U197" s="136"/>
      <c r="V197" s="136"/>
      <c r="W197" s="136"/>
      <c r="X197" s="136"/>
      <c r="Y197" s="136"/>
      <c r="Z197" s="189">
        <f t="shared" si="70"/>
        <v>0</v>
      </c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43"/>
      <c r="AM197" s="143"/>
      <c r="AN197" s="103">
        <f t="shared" si="71"/>
        <v>0</v>
      </c>
      <c r="AO197" s="136"/>
      <c r="AP197" s="136"/>
      <c r="AQ197" s="136"/>
      <c r="AR197" s="105">
        <f t="shared" si="72"/>
        <v>0</v>
      </c>
      <c r="AS197" s="143"/>
      <c r="AT197" s="143"/>
      <c r="AU197" s="143"/>
      <c r="AV197" s="146"/>
      <c r="AW197" s="224">
        <f t="shared" si="73"/>
        <v>0</v>
      </c>
      <c r="AX197" s="126"/>
      <c r="AY197" s="126"/>
      <c r="AZ197" s="126"/>
      <c r="BA197" s="127"/>
      <c r="BB197" s="127"/>
      <c r="BC197" s="127"/>
      <c r="BD197" s="126"/>
      <c r="BE197" s="126"/>
      <c r="BF197" s="275"/>
      <c r="BG197" s="126"/>
      <c r="BH197" s="274"/>
      <c r="BI197" s="222">
        <f t="shared" si="74"/>
        <v>0</v>
      </c>
      <c r="BJ197" s="140">
        <f t="shared" si="75"/>
        <v>0</v>
      </c>
      <c r="BK197" s="132"/>
      <c r="BL197" s="140">
        <f t="shared" si="76"/>
        <v>0</v>
      </c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41"/>
      <c r="BY197" s="141"/>
      <c r="BZ197" s="130">
        <f t="shared" si="77"/>
        <v>0</v>
      </c>
      <c r="CA197" s="132"/>
    </row>
    <row r="198" ht="14.25" customHeight="1">
      <c r="A198" s="132"/>
      <c r="B198" s="215">
        <v>46199</v>
      </c>
      <c r="C198" s="133"/>
      <c r="D198" s="136"/>
      <c r="E198" s="135"/>
      <c r="F198" s="135"/>
      <c r="G198" s="147">
        <f t="shared" si="69"/>
        <v>0</v>
      </c>
      <c r="H198" s="122"/>
      <c r="I198" s="122"/>
      <c r="J198" s="122"/>
      <c r="K198" s="122"/>
      <c r="L198" s="99"/>
      <c r="M198" s="99"/>
      <c r="N198" s="99"/>
      <c r="O198" s="99"/>
      <c r="P198" s="641"/>
      <c r="Q198" s="99"/>
      <c r="R198" s="99"/>
      <c r="S198" s="99"/>
      <c r="T198" s="99"/>
      <c r="U198" s="136"/>
      <c r="V198" s="136"/>
      <c r="W198" s="136"/>
      <c r="X198" s="136"/>
      <c r="Y198" s="136"/>
      <c r="Z198" s="189">
        <f t="shared" si="70"/>
        <v>0</v>
      </c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43"/>
      <c r="AM198" s="143"/>
      <c r="AN198" s="103">
        <f t="shared" si="71"/>
        <v>0</v>
      </c>
      <c r="AO198" s="136"/>
      <c r="AP198" s="136"/>
      <c r="AQ198" s="136"/>
      <c r="AR198" s="105">
        <f t="shared" si="72"/>
        <v>0</v>
      </c>
      <c r="AS198" s="143"/>
      <c r="AT198" s="143"/>
      <c r="AU198" s="143"/>
      <c r="AV198" s="146"/>
      <c r="AW198" s="224">
        <f t="shared" si="73"/>
        <v>0</v>
      </c>
      <c r="AX198" s="126"/>
      <c r="AY198" s="126"/>
      <c r="AZ198" s="126"/>
      <c r="BA198" s="127"/>
      <c r="BB198" s="127"/>
      <c r="BC198" s="127"/>
      <c r="BD198" s="126"/>
      <c r="BE198" s="126"/>
      <c r="BF198" s="275"/>
      <c r="BG198" s="126"/>
      <c r="BH198" s="274"/>
      <c r="BI198" s="222">
        <f t="shared" si="74"/>
        <v>0</v>
      </c>
      <c r="BJ198" s="140">
        <f t="shared" si="75"/>
        <v>0</v>
      </c>
      <c r="BK198" s="132"/>
      <c r="BL198" s="140">
        <f t="shared" si="76"/>
        <v>0</v>
      </c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41"/>
      <c r="BY198" s="141"/>
      <c r="BZ198" s="130">
        <f t="shared" si="77"/>
        <v>0</v>
      </c>
      <c r="CA198" s="132"/>
    </row>
    <row r="199" ht="14.25" customHeight="1">
      <c r="A199" s="132"/>
      <c r="B199" s="215">
        <v>46200</v>
      </c>
      <c r="C199" s="133"/>
      <c r="D199" s="136"/>
      <c r="E199" s="135"/>
      <c r="F199" s="135"/>
      <c r="G199" s="147">
        <f t="shared" si="69"/>
        <v>0</v>
      </c>
      <c r="H199" s="122"/>
      <c r="I199" s="122"/>
      <c r="J199" s="122"/>
      <c r="K199" s="122"/>
      <c r="L199" s="99"/>
      <c r="M199" s="99"/>
      <c r="N199" s="99"/>
      <c r="O199" s="99"/>
      <c r="P199" s="641"/>
      <c r="Q199" s="99"/>
      <c r="R199" s="664"/>
      <c r="S199" s="99"/>
      <c r="T199" s="99"/>
      <c r="U199" s="136"/>
      <c r="V199" s="136"/>
      <c r="W199" s="136"/>
      <c r="X199" s="136"/>
      <c r="Y199" s="136"/>
      <c r="Z199" s="189">
        <f t="shared" si="70"/>
        <v>0</v>
      </c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43"/>
      <c r="AM199" s="143"/>
      <c r="AN199" s="103">
        <f t="shared" si="71"/>
        <v>0</v>
      </c>
      <c r="AO199" s="136"/>
      <c r="AP199" s="136"/>
      <c r="AQ199" s="136"/>
      <c r="AR199" s="105">
        <f t="shared" si="72"/>
        <v>0</v>
      </c>
      <c r="AS199" s="143"/>
      <c r="AT199" s="143"/>
      <c r="AU199" s="143"/>
      <c r="AV199" s="146"/>
      <c r="AW199" s="224">
        <f t="shared" si="73"/>
        <v>0</v>
      </c>
      <c r="AX199" s="126"/>
      <c r="AY199" s="126"/>
      <c r="AZ199" s="126"/>
      <c r="BA199" s="127"/>
      <c r="BB199" s="127"/>
      <c r="BC199" s="127"/>
      <c r="BD199" s="126"/>
      <c r="BE199" s="126"/>
      <c r="BF199" s="275"/>
      <c r="BG199" s="126"/>
      <c r="BH199" s="274"/>
      <c r="BI199" s="222">
        <f t="shared" si="74"/>
        <v>0</v>
      </c>
      <c r="BJ199" s="140">
        <f t="shared" si="75"/>
        <v>0</v>
      </c>
      <c r="BK199" s="132"/>
      <c r="BL199" s="140">
        <f t="shared" si="76"/>
        <v>0</v>
      </c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41"/>
      <c r="BY199" s="141"/>
      <c r="BZ199" s="130">
        <f t="shared" si="77"/>
        <v>0</v>
      </c>
      <c r="CA199" s="132"/>
    </row>
    <row r="200" ht="14.25" customHeight="1">
      <c r="A200" s="132"/>
      <c r="B200" s="215">
        <v>46201</v>
      </c>
      <c r="C200" s="133"/>
      <c r="D200" s="136"/>
      <c r="E200" s="135"/>
      <c r="F200" s="135"/>
      <c r="G200" s="147">
        <f t="shared" si="69"/>
        <v>0</v>
      </c>
      <c r="H200" s="122"/>
      <c r="I200" s="122"/>
      <c r="J200" s="122"/>
      <c r="K200" s="122"/>
      <c r="L200" s="99"/>
      <c r="M200" s="99"/>
      <c r="N200" s="99"/>
      <c r="O200" s="99"/>
      <c r="P200" s="641"/>
      <c r="Q200" s="99"/>
      <c r="R200" s="99"/>
      <c r="S200" s="99"/>
      <c r="T200" s="99"/>
      <c r="U200" s="136"/>
      <c r="V200" s="136"/>
      <c r="W200" s="136"/>
      <c r="X200" s="136"/>
      <c r="Y200" s="136"/>
      <c r="Z200" s="189">
        <f t="shared" si="70"/>
        <v>0</v>
      </c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143"/>
      <c r="AN200" s="103">
        <f t="shared" si="71"/>
        <v>0</v>
      </c>
      <c r="AO200" s="136"/>
      <c r="AP200" s="136"/>
      <c r="AQ200" s="136"/>
      <c r="AR200" s="105">
        <f t="shared" si="72"/>
        <v>0</v>
      </c>
      <c r="AS200" s="143"/>
      <c r="AT200" s="143"/>
      <c r="AU200" s="143"/>
      <c r="AV200" s="146"/>
      <c r="AW200" s="224">
        <f t="shared" si="73"/>
        <v>0</v>
      </c>
      <c r="AX200" s="126"/>
      <c r="AY200" s="126"/>
      <c r="AZ200" s="126"/>
      <c r="BA200" s="127"/>
      <c r="BB200" s="127"/>
      <c r="BC200" s="127"/>
      <c r="BD200" s="126"/>
      <c r="BE200" s="126"/>
      <c r="BF200" s="275"/>
      <c r="BG200" s="126"/>
      <c r="BH200" s="274"/>
      <c r="BI200" s="222">
        <f t="shared" si="74"/>
        <v>0</v>
      </c>
      <c r="BJ200" s="140">
        <f t="shared" si="75"/>
        <v>0</v>
      </c>
      <c r="BK200" s="132"/>
      <c r="BL200" s="140">
        <f t="shared" si="76"/>
        <v>0</v>
      </c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41"/>
      <c r="BY200" s="141"/>
      <c r="BZ200" s="130">
        <f t="shared" si="77"/>
        <v>0</v>
      </c>
      <c r="CA200" s="132"/>
    </row>
    <row r="201" ht="14.25" customHeight="1">
      <c r="A201" s="132"/>
      <c r="B201" s="215">
        <v>46202</v>
      </c>
      <c r="C201" s="133"/>
      <c r="D201" s="136"/>
      <c r="E201" s="135"/>
      <c r="F201" s="135"/>
      <c r="G201" s="147">
        <f t="shared" si="69"/>
        <v>0</v>
      </c>
      <c r="H201" s="122"/>
      <c r="I201" s="122"/>
      <c r="J201" s="122"/>
      <c r="K201" s="122"/>
      <c r="L201" s="99"/>
      <c r="M201" s="99"/>
      <c r="N201" s="99"/>
      <c r="O201" s="99"/>
      <c r="P201" s="641"/>
      <c r="Q201" s="99"/>
      <c r="R201" s="99"/>
      <c r="S201" s="99"/>
      <c r="T201" s="99"/>
      <c r="U201" s="136"/>
      <c r="V201" s="136"/>
      <c r="W201" s="136"/>
      <c r="X201" s="136"/>
      <c r="Y201" s="136"/>
      <c r="Z201" s="189">
        <f t="shared" si="70"/>
        <v>0</v>
      </c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43"/>
      <c r="AM201" s="143"/>
      <c r="AN201" s="103">
        <f t="shared" si="71"/>
        <v>0</v>
      </c>
      <c r="AO201" s="136"/>
      <c r="AP201" s="136"/>
      <c r="AQ201" s="136"/>
      <c r="AR201" s="105">
        <f t="shared" si="72"/>
        <v>0</v>
      </c>
      <c r="AS201" s="143"/>
      <c r="AT201" s="143"/>
      <c r="AU201" s="143"/>
      <c r="AV201" s="146"/>
      <c r="AW201" s="224">
        <f t="shared" si="73"/>
        <v>0</v>
      </c>
      <c r="AX201" s="126"/>
      <c r="AY201" s="126"/>
      <c r="AZ201" s="126"/>
      <c r="BA201" s="127"/>
      <c r="BB201" s="127"/>
      <c r="BC201" s="127"/>
      <c r="BD201" s="126"/>
      <c r="BE201" s="126"/>
      <c r="BF201" s="275"/>
      <c r="BG201" s="126"/>
      <c r="BH201" s="274"/>
      <c r="BI201" s="222">
        <f t="shared" si="74"/>
        <v>0</v>
      </c>
      <c r="BJ201" s="140">
        <f t="shared" si="75"/>
        <v>0</v>
      </c>
      <c r="BK201" s="132"/>
      <c r="BL201" s="140">
        <f t="shared" si="76"/>
        <v>0</v>
      </c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41"/>
      <c r="BY201" s="141"/>
      <c r="BZ201" s="130">
        <f t="shared" si="77"/>
        <v>0</v>
      </c>
      <c r="CA201" s="132"/>
    </row>
    <row r="202" ht="14.25" customHeight="1">
      <c r="A202" s="3"/>
      <c r="B202" s="215">
        <v>46203</v>
      </c>
      <c r="C202" s="118"/>
      <c r="D202" s="123"/>
      <c r="E202" s="120"/>
      <c r="F202" s="120"/>
      <c r="G202" s="147">
        <f t="shared" si="69"/>
        <v>0</v>
      </c>
      <c r="H202" s="122"/>
      <c r="I202" s="122"/>
      <c r="J202" s="122"/>
      <c r="K202" s="122"/>
      <c r="L202" s="99"/>
      <c r="M202" s="99"/>
      <c r="N202" s="99"/>
      <c r="O202" s="99"/>
      <c r="P202" s="641"/>
      <c r="Q202" s="99"/>
      <c r="R202" s="99"/>
      <c r="S202" s="99"/>
      <c r="T202" s="99"/>
      <c r="U202" s="123"/>
      <c r="V202" s="123"/>
      <c r="W202" s="123"/>
      <c r="X202" s="123"/>
      <c r="Y202" s="123"/>
      <c r="Z202" s="189">
        <f t="shared" si="70"/>
        <v>0</v>
      </c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43"/>
      <c r="AM202" s="143"/>
      <c r="AN202" s="103">
        <f t="shared" si="71"/>
        <v>0</v>
      </c>
      <c r="AO202" s="123"/>
      <c r="AP202" s="123"/>
      <c r="AQ202" s="123"/>
      <c r="AR202" s="105">
        <f t="shared" si="72"/>
        <v>0</v>
      </c>
      <c r="AS202" s="143"/>
      <c r="AT202" s="143"/>
      <c r="AU202" s="143"/>
      <c r="AV202" s="146"/>
      <c r="AW202" s="224">
        <f t="shared" si="73"/>
        <v>0</v>
      </c>
      <c r="AX202" s="280"/>
      <c r="AY202" s="138"/>
      <c r="AZ202" s="138"/>
      <c r="BA202" s="665"/>
      <c r="BB202" s="161"/>
      <c r="BC202" s="161"/>
      <c r="BD202" s="138"/>
      <c r="BE202" s="138"/>
      <c r="BF202" s="297"/>
      <c r="BG202" s="138"/>
      <c r="BH202" s="296"/>
      <c r="BI202" s="222">
        <f t="shared" si="74"/>
        <v>0</v>
      </c>
      <c r="BJ202" s="113">
        <f t="shared" si="75"/>
        <v>0</v>
      </c>
      <c r="BK202" s="3"/>
      <c r="BL202" s="113">
        <f t="shared" si="76"/>
        <v>0</v>
      </c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30">
        <f t="shared" si="77"/>
        <v>0</v>
      </c>
      <c r="CA202" s="3"/>
    </row>
    <row r="203" ht="14.25" customHeight="1">
      <c r="A203" s="3"/>
      <c r="B203" s="2" t="s">
        <v>4</v>
      </c>
      <c r="C203" s="166">
        <f ref="C203:H203" t="shared" si="78">SUM(C172:C202)</f>
        <v>0</v>
      </c>
      <c r="D203" s="166">
        <f t="shared" si="78"/>
        <v>0</v>
      </c>
      <c r="E203" s="166">
        <f t="shared" si="78"/>
        <v>0</v>
      </c>
      <c r="F203" s="166">
        <f t="shared" si="78"/>
        <v>0</v>
      </c>
      <c r="G203" s="166">
        <f t="shared" si="78"/>
        <v>0</v>
      </c>
      <c r="H203" s="166">
        <f t="shared" si="78"/>
        <v>0</v>
      </c>
      <c r="I203" s="166"/>
      <c r="J203" s="166"/>
      <c r="K203" s="166"/>
      <c r="L203" s="166">
        <f ref="L203:V203" t="shared" si="79">SUM(L172:L202)</f>
        <v>0</v>
      </c>
      <c r="M203" s="166">
        <f t="shared" si="79"/>
        <v>0</v>
      </c>
      <c r="N203" s="166">
        <f t="shared" si="79"/>
        <v>0</v>
      </c>
      <c r="O203" s="166">
        <f t="shared" si="79"/>
        <v>0</v>
      </c>
      <c r="P203" s="617">
        <f t="shared" si="79"/>
        <v>0</v>
      </c>
      <c r="Q203" s="166">
        <f t="shared" si="79"/>
        <v>0</v>
      </c>
      <c r="R203" s="166">
        <f t="shared" si="79"/>
        <v>0</v>
      </c>
      <c r="S203" s="166">
        <f t="shared" si="79"/>
        <v>0</v>
      </c>
      <c r="T203" s="166">
        <f t="shared" si="79"/>
        <v>0</v>
      </c>
      <c r="U203" s="166">
        <f t="shared" si="79"/>
        <v>0</v>
      </c>
      <c r="V203" s="166">
        <f t="shared" si="79"/>
        <v>0</v>
      </c>
      <c r="W203" s="166"/>
      <c r="X203" s="166">
        <f ref="X203:AK203" t="shared" si="80">SUM(X172:X202)</f>
        <v>0</v>
      </c>
      <c r="Y203" s="166">
        <f t="shared" si="80"/>
        <v>0</v>
      </c>
      <c r="Z203" s="166">
        <f t="shared" si="80"/>
        <v>0</v>
      </c>
      <c r="AA203" s="166">
        <f t="shared" si="80"/>
        <v>0</v>
      </c>
      <c r="AB203" s="166">
        <f t="shared" si="80"/>
        <v>0</v>
      </c>
      <c r="AC203" s="166">
        <f t="shared" si="80"/>
        <v>0</v>
      </c>
      <c r="AD203" s="166">
        <f t="shared" si="80"/>
        <v>0</v>
      </c>
      <c r="AE203" s="166">
        <f t="shared" si="80"/>
        <v>0</v>
      </c>
      <c r="AF203" s="166">
        <f t="shared" si="80"/>
        <v>0</v>
      </c>
      <c r="AG203" s="166">
        <f t="shared" si="80"/>
        <v>0</v>
      </c>
      <c r="AH203" s="166">
        <f t="shared" si="80"/>
        <v>0</v>
      </c>
      <c r="AI203" s="166">
        <f t="shared" si="80"/>
        <v>0</v>
      </c>
      <c r="AJ203" s="166">
        <f t="shared" si="80"/>
        <v>0</v>
      </c>
      <c r="AK203" s="166">
        <f t="shared" si="80"/>
        <v>0</v>
      </c>
      <c r="AL203" s="166"/>
      <c r="AM203" s="166">
        <f ref="AM203:BJ203" t="shared" si="81">SUM(AM172:AM202)</f>
        <v>0</v>
      </c>
      <c r="AN203" s="166">
        <f t="shared" si="81"/>
        <v>0</v>
      </c>
      <c r="AO203" s="166">
        <f t="shared" si="81"/>
        <v>0</v>
      </c>
      <c r="AP203" s="166">
        <f t="shared" si="81"/>
        <v>0</v>
      </c>
      <c r="AQ203" s="166">
        <f t="shared" si="81"/>
        <v>0</v>
      </c>
      <c r="AR203" s="166">
        <f t="shared" si="81"/>
        <v>0</v>
      </c>
      <c r="AS203" s="166">
        <f t="shared" si="81"/>
        <v>0</v>
      </c>
      <c r="AT203" s="166">
        <f t="shared" si="81"/>
        <v>0</v>
      </c>
      <c r="AU203" s="166">
        <f t="shared" si="81"/>
        <v>0</v>
      </c>
      <c r="AV203" s="166">
        <f t="shared" si="81"/>
        <v>0</v>
      </c>
      <c r="AW203" s="166">
        <f t="shared" si="81"/>
        <v>0</v>
      </c>
      <c r="AX203" s="666">
        <f t="shared" si="81"/>
        <v>0</v>
      </c>
      <c r="AY203" s="666">
        <f t="shared" si="81"/>
        <v>0</v>
      </c>
      <c r="AZ203" s="666">
        <f t="shared" si="81"/>
        <v>0</v>
      </c>
      <c r="BA203" s="666">
        <f t="shared" si="81"/>
        <v>0</v>
      </c>
      <c r="BB203" s="666">
        <f t="shared" si="81"/>
        <v>0</v>
      </c>
      <c r="BC203" s="667">
        <f t="shared" si="81"/>
        <v>0</v>
      </c>
      <c r="BD203" s="165">
        <f t="shared" si="81"/>
        <v>0</v>
      </c>
      <c r="BE203" s="668">
        <f t="shared" si="81"/>
        <v>0</v>
      </c>
      <c r="BF203" s="667">
        <f t="shared" si="81"/>
        <v>0</v>
      </c>
      <c r="BG203" s="165">
        <f t="shared" si="81"/>
        <v>0</v>
      </c>
      <c r="BH203" s="669">
        <f t="shared" si="81"/>
        <v>0</v>
      </c>
      <c r="BI203" s="166">
        <f t="shared" si="81"/>
        <v>0</v>
      </c>
      <c r="BJ203" s="166">
        <f t="shared" si="81"/>
        <v>0</v>
      </c>
      <c r="BK203" s="132"/>
      <c r="BL203" s="166">
        <f ref="BL203:BZ203" t="shared" si="82">SUM(BL172:BL202)</f>
        <v>0</v>
      </c>
      <c r="BM203" s="166">
        <f t="shared" si="82"/>
        <v>0</v>
      </c>
      <c r="BN203" s="166">
        <f t="shared" si="82"/>
        <v>0</v>
      </c>
      <c r="BO203" s="166">
        <f t="shared" si="82"/>
        <v>0</v>
      </c>
      <c r="BP203" s="166">
        <f t="shared" si="82"/>
        <v>0</v>
      </c>
      <c r="BQ203" s="166">
        <f t="shared" si="82"/>
        <v>0</v>
      </c>
      <c r="BR203" s="166">
        <f t="shared" si="82"/>
        <v>0</v>
      </c>
      <c r="BS203" s="166">
        <f t="shared" si="82"/>
        <v>0</v>
      </c>
      <c r="BT203" s="166">
        <f t="shared" si="82"/>
        <v>0</v>
      </c>
      <c r="BU203" s="166">
        <f t="shared" si="82"/>
        <v>0</v>
      </c>
      <c r="BV203" s="166">
        <f t="shared" si="82"/>
        <v>0</v>
      </c>
      <c r="BW203" s="166">
        <f t="shared" si="82"/>
        <v>0</v>
      </c>
      <c r="BX203" s="166">
        <f t="shared" si="82"/>
        <v>0</v>
      </c>
      <c r="BY203" s="166">
        <f t="shared" si="82"/>
        <v>0</v>
      </c>
      <c r="BZ203" s="166">
        <f t="shared" si="82"/>
        <v>0</v>
      </c>
      <c r="CA203" s="132"/>
    </row>
    <row r="204" ht="14.25" customHeight="1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1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96"/>
      <c r="AO204" s="3"/>
      <c r="AP204" s="3"/>
      <c r="AQ204" s="3"/>
      <c r="AR204" s="4"/>
      <c r="AS204" s="3"/>
      <c r="AT204" s="3"/>
      <c r="AU204" s="3"/>
      <c r="AV204" s="3"/>
      <c r="AW204" s="3"/>
      <c r="AX204" s="96"/>
      <c r="AY204" s="96"/>
      <c r="AZ204" s="96"/>
      <c r="BA204" s="96"/>
      <c r="BB204" s="96"/>
      <c r="BC204" s="96"/>
      <c r="BD204" s="3"/>
      <c r="BE204" s="96"/>
      <c r="BF204" s="96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1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176"/>
      <c r="AO205" s="3"/>
      <c r="AP205" s="3"/>
      <c r="AQ205" s="3"/>
      <c r="AR205" s="4"/>
      <c r="AS205" s="3"/>
      <c r="AT205" s="3"/>
      <c r="AU205" s="3"/>
      <c r="AV205" s="3"/>
      <c r="AW205" s="3"/>
      <c r="AX205" s="176"/>
      <c r="AY205" s="176"/>
      <c r="AZ205" s="176"/>
      <c r="BA205" s="176"/>
      <c r="BB205" s="176"/>
      <c r="BC205" s="176"/>
      <c r="BD205" s="176"/>
      <c r="BE205" s="176"/>
      <c r="BF205" s="176"/>
      <c r="BG205" s="176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</row>
    <row r="206" ht="14.25" customHeight="1">
      <c r="A206" s="3"/>
      <c r="B206" s="215">
        <v>46204</v>
      </c>
      <c r="C206" s="94"/>
      <c r="D206" s="104"/>
      <c r="E206" s="104"/>
      <c r="F206" s="97"/>
      <c r="G206" s="265">
        <f ref="G206:G236" t="shared" si="83">+C206+D206+E206+F206</f>
        <v>0</v>
      </c>
      <c r="H206" s="187"/>
      <c r="I206" s="187"/>
      <c r="J206" s="187"/>
      <c r="K206" s="187"/>
      <c r="L206" s="186"/>
      <c r="M206" s="186"/>
      <c r="N206" s="186"/>
      <c r="O206" s="187"/>
      <c r="P206" s="619"/>
      <c r="Q206" s="186"/>
      <c r="R206" s="186"/>
      <c r="S206" s="186"/>
      <c r="T206" s="186"/>
      <c r="U206" s="670"/>
      <c r="V206" s="670"/>
      <c r="W206" s="670"/>
      <c r="X206" s="670"/>
      <c r="Y206" s="670"/>
      <c r="Z206" s="189">
        <f ref="Z206:Z236" t="shared" si="84">SUM(H206:Y206)</f>
        <v>0</v>
      </c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03">
        <f ref="AN206:AN236" t="shared" si="85">SUM(AA206:AM206)</f>
        <v>0</v>
      </c>
      <c r="AO206" s="104"/>
      <c r="AP206" s="104"/>
      <c r="AQ206" s="104"/>
      <c r="AR206" s="191">
        <f ref="AR206:AR236" t="shared" si="86">SUM(AO206:AQ206)</f>
        <v>0</v>
      </c>
      <c r="AS206" s="186"/>
      <c r="AT206" s="186"/>
      <c r="AU206" s="186"/>
      <c r="AV206" s="193"/>
      <c r="AW206" s="266">
        <f ref="AW206:AW236" t="shared" si="87">+G206-Z206-AN206-AR206-AS206-AT206-AU206-AV206</f>
        <v>0</v>
      </c>
      <c r="AX206" s="274"/>
      <c r="AY206" s="126"/>
      <c r="AZ206" s="126"/>
      <c r="BA206" s="126"/>
      <c r="BB206" s="126"/>
      <c r="BC206" s="126"/>
      <c r="BD206" s="126"/>
      <c r="BE206" s="126"/>
      <c r="BF206" s="275"/>
      <c r="BG206" s="274"/>
      <c r="BH206" s="269"/>
      <c r="BI206" s="272">
        <f ref="BI206:BI236" t="shared" si="88">SUM(AX206:BH206)-BG206</f>
        <v>0</v>
      </c>
      <c r="BJ206" s="114">
        <f ref="BJ206:BJ236" t="shared" si="89">+AW206-BI206</f>
        <v>0</v>
      </c>
      <c r="BK206" s="3"/>
      <c r="BL206" s="114">
        <f ref="BL206:BL236" t="shared" si="90">SUM(BM206:BY206)</f>
        <v>0</v>
      </c>
      <c r="BM206" s="115"/>
      <c r="BN206" s="196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115"/>
      <c r="BY206" s="115"/>
      <c r="BZ206" s="116">
        <f ref="BZ206:BZ236" t="shared" si="91">+BJ206-BL206</f>
        <v>0</v>
      </c>
      <c r="CA206" s="3"/>
    </row>
    <row r="207" ht="14.25" customHeight="1">
      <c r="A207" s="3"/>
      <c r="B207" s="215">
        <v>46205</v>
      </c>
      <c r="C207" s="118"/>
      <c r="D207" s="123"/>
      <c r="E207" s="120"/>
      <c r="F207" s="120"/>
      <c r="G207" s="147">
        <f t="shared" si="83"/>
        <v>0</v>
      </c>
      <c r="H207" s="144"/>
      <c r="I207" s="144"/>
      <c r="J207" s="144"/>
      <c r="K207" s="144"/>
      <c r="L207" s="143"/>
      <c r="M207" s="143"/>
      <c r="N207" s="143"/>
      <c r="O207" s="144"/>
      <c r="P207" s="611"/>
      <c r="Q207" s="143"/>
      <c r="R207" s="143"/>
      <c r="S207" s="143"/>
      <c r="T207" s="143"/>
      <c r="U207" s="231"/>
      <c r="V207" s="231"/>
      <c r="W207" s="231"/>
      <c r="X207" s="231"/>
      <c r="Y207" s="231"/>
      <c r="Z207" s="103">
        <f t="shared" si="84"/>
        <v>0</v>
      </c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43"/>
      <c r="AK207" s="143"/>
      <c r="AL207" s="143"/>
      <c r="AM207" s="143"/>
      <c r="AN207" s="103">
        <f t="shared" si="85"/>
        <v>0</v>
      </c>
      <c r="AO207" s="123"/>
      <c r="AP207" s="123"/>
      <c r="AQ207" s="123"/>
      <c r="AR207" s="105">
        <f t="shared" si="86"/>
        <v>0</v>
      </c>
      <c r="AS207" s="143"/>
      <c r="AT207" s="143"/>
      <c r="AU207" s="143"/>
      <c r="AV207" s="146"/>
      <c r="AW207" s="224">
        <f t="shared" si="87"/>
        <v>0</v>
      </c>
      <c r="AX207" s="274"/>
      <c r="AY207" s="126"/>
      <c r="AZ207" s="126"/>
      <c r="BA207" s="126"/>
      <c r="BB207" s="126"/>
      <c r="BC207" s="126"/>
      <c r="BD207" s="126"/>
      <c r="BE207" s="126"/>
      <c r="BF207" s="275"/>
      <c r="BG207" s="274"/>
      <c r="BH207" s="274"/>
      <c r="BI207" s="222">
        <f t="shared" si="88"/>
        <v>0</v>
      </c>
      <c r="BJ207" s="113">
        <f t="shared" si="89"/>
        <v>0</v>
      </c>
      <c r="BK207" s="3"/>
      <c r="BL207" s="113">
        <f t="shared" si="90"/>
        <v>0</v>
      </c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30">
        <f t="shared" si="91"/>
        <v>0</v>
      </c>
      <c r="CA207" s="3"/>
    </row>
    <row r="208" ht="14.25" customHeight="1">
      <c r="A208" s="3"/>
      <c r="B208" s="215">
        <v>46206</v>
      </c>
      <c r="C208" s="118"/>
      <c r="D208" s="123"/>
      <c r="E208" s="120"/>
      <c r="F208" s="120"/>
      <c r="G208" s="147">
        <f t="shared" si="83"/>
        <v>0</v>
      </c>
      <c r="H208" s="144"/>
      <c r="I208" s="144"/>
      <c r="J208" s="144"/>
      <c r="K208" s="144"/>
      <c r="L208" s="143"/>
      <c r="M208" s="143"/>
      <c r="N208" s="143"/>
      <c r="O208" s="144"/>
      <c r="P208" s="611"/>
      <c r="Q208" s="143"/>
      <c r="R208" s="143"/>
      <c r="S208" s="143"/>
      <c r="T208" s="143"/>
      <c r="U208" s="231"/>
      <c r="V208" s="231"/>
      <c r="W208" s="231"/>
      <c r="X208" s="231"/>
      <c r="Y208" s="231"/>
      <c r="Z208" s="103">
        <f t="shared" si="84"/>
        <v>0</v>
      </c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43"/>
      <c r="AM208" s="143"/>
      <c r="AN208" s="103">
        <f t="shared" si="85"/>
        <v>0</v>
      </c>
      <c r="AO208" s="123"/>
      <c r="AP208" s="123"/>
      <c r="AQ208" s="123"/>
      <c r="AR208" s="105">
        <f t="shared" si="86"/>
        <v>0</v>
      </c>
      <c r="AS208" s="143"/>
      <c r="AT208" s="143"/>
      <c r="AU208" s="143"/>
      <c r="AV208" s="146"/>
      <c r="AW208" s="224">
        <f t="shared" si="87"/>
        <v>0</v>
      </c>
      <c r="AX208" s="274"/>
      <c r="AY208" s="126"/>
      <c r="AZ208" s="126"/>
      <c r="BA208" s="126"/>
      <c r="BB208" s="126"/>
      <c r="BC208" s="126"/>
      <c r="BD208" s="126"/>
      <c r="BE208" s="126"/>
      <c r="BF208" s="275"/>
      <c r="BG208" s="274"/>
      <c r="BH208" s="274"/>
      <c r="BI208" s="222">
        <f t="shared" si="88"/>
        <v>0</v>
      </c>
      <c r="BJ208" s="113">
        <f t="shared" si="89"/>
        <v>0</v>
      </c>
      <c r="BK208" s="3"/>
      <c r="BL208" s="113">
        <f t="shared" si="90"/>
        <v>0</v>
      </c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30">
        <f t="shared" si="91"/>
        <v>0</v>
      </c>
      <c r="CA208" s="3"/>
    </row>
    <row r="209" ht="14.25" customHeight="1">
      <c r="A209" s="132"/>
      <c r="B209" s="215">
        <v>46207</v>
      </c>
      <c r="C209" s="133"/>
      <c r="D209" s="136"/>
      <c r="E209" s="135"/>
      <c r="F209" s="135"/>
      <c r="G209" s="147">
        <f t="shared" si="83"/>
        <v>0</v>
      </c>
      <c r="H209" s="144"/>
      <c r="I209" s="144"/>
      <c r="J209" s="144"/>
      <c r="K209" s="144"/>
      <c r="L209" s="143"/>
      <c r="M209" s="143"/>
      <c r="N209" s="143"/>
      <c r="O209" s="144"/>
      <c r="P209" s="611"/>
      <c r="Q209" s="143"/>
      <c r="R209" s="143"/>
      <c r="S209" s="143"/>
      <c r="T209" s="143"/>
      <c r="U209" s="231"/>
      <c r="V209" s="231"/>
      <c r="W209" s="231"/>
      <c r="X209" s="231"/>
      <c r="Y209" s="231"/>
      <c r="Z209" s="103">
        <f t="shared" si="84"/>
        <v>0</v>
      </c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43"/>
      <c r="AM209" s="143"/>
      <c r="AN209" s="103">
        <f t="shared" si="85"/>
        <v>0</v>
      </c>
      <c r="AO209" s="136"/>
      <c r="AP209" s="136"/>
      <c r="AQ209" s="136"/>
      <c r="AR209" s="105">
        <f t="shared" si="86"/>
        <v>0</v>
      </c>
      <c r="AS209" s="143"/>
      <c r="AT209" s="143"/>
      <c r="AU209" s="143"/>
      <c r="AV209" s="146"/>
      <c r="AW209" s="224">
        <f t="shared" si="87"/>
        <v>0</v>
      </c>
      <c r="AX209" s="274"/>
      <c r="AY209" s="126"/>
      <c r="AZ209" s="126"/>
      <c r="BA209" s="126"/>
      <c r="BB209" s="126"/>
      <c r="BC209" s="126"/>
      <c r="BD209" s="126"/>
      <c r="BE209" s="126"/>
      <c r="BF209" s="275"/>
      <c r="BG209" s="274"/>
      <c r="BH209" s="274"/>
      <c r="BI209" s="222">
        <f t="shared" si="88"/>
        <v>0</v>
      </c>
      <c r="BJ209" s="140">
        <f t="shared" si="89"/>
        <v>0</v>
      </c>
      <c r="BK209" s="132"/>
      <c r="BL209" s="140">
        <f t="shared" si="90"/>
        <v>0</v>
      </c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41"/>
      <c r="BY209" s="141"/>
      <c r="BZ209" s="130">
        <f t="shared" si="91"/>
        <v>0</v>
      </c>
      <c r="CA209" s="132"/>
    </row>
    <row r="210" ht="14.25" customHeight="1">
      <c r="A210" s="671"/>
      <c r="B210" s="215">
        <v>46208</v>
      </c>
      <c r="C210" s="133"/>
      <c r="D210" s="136"/>
      <c r="E210" s="135"/>
      <c r="F210" s="135"/>
      <c r="G210" s="147">
        <f t="shared" si="83"/>
        <v>0</v>
      </c>
      <c r="H210" s="144"/>
      <c r="I210" s="144"/>
      <c r="J210" s="144"/>
      <c r="K210" s="144"/>
      <c r="L210" s="143"/>
      <c r="M210" s="143"/>
      <c r="N210" s="143"/>
      <c r="O210" s="144"/>
      <c r="P210" s="611"/>
      <c r="Q210" s="143"/>
      <c r="R210" s="672"/>
      <c r="S210" s="143"/>
      <c r="T210" s="143"/>
      <c r="U210" s="136"/>
      <c r="V210" s="136"/>
      <c r="W210" s="136"/>
      <c r="X210" s="136"/>
      <c r="Y210" s="136"/>
      <c r="Z210" s="103">
        <f t="shared" si="84"/>
        <v>0</v>
      </c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43"/>
      <c r="AM210" s="143"/>
      <c r="AN210" s="103">
        <f t="shared" si="85"/>
        <v>0</v>
      </c>
      <c r="AO210" s="136"/>
      <c r="AP210" s="136"/>
      <c r="AQ210" s="136"/>
      <c r="AR210" s="105">
        <f t="shared" si="86"/>
        <v>0</v>
      </c>
      <c r="AS210" s="143"/>
      <c r="AT210" s="143"/>
      <c r="AU210" s="143"/>
      <c r="AV210" s="146"/>
      <c r="AW210" s="224">
        <f t="shared" si="87"/>
        <v>0</v>
      </c>
      <c r="AX210" s="274"/>
      <c r="AY210" s="126"/>
      <c r="AZ210" s="126"/>
      <c r="BA210" s="126"/>
      <c r="BB210" s="126"/>
      <c r="BC210" s="126"/>
      <c r="BD210" s="126"/>
      <c r="BE210" s="126"/>
      <c r="BF210" s="275"/>
      <c r="BG210" s="274"/>
      <c r="BH210" s="274"/>
      <c r="BI210" s="222">
        <f t="shared" si="88"/>
        <v>0</v>
      </c>
      <c r="BJ210" s="140">
        <f t="shared" si="89"/>
        <v>0</v>
      </c>
      <c r="BK210" s="132"/>
      <c r="BL210" s="140">
        <f t="shared" si="90"/>
        <v>0</v>
      </c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41"/>
      <c r="BX210" s="141"/>
      <c r="BY210" s="141"/>
      <c r="BZ210" s="130">
        <f t="shared" si="91"/>
        <v>0</v>
      </c>
      <c r="CA210" s="132"/>
    </row>
    <row r="211" ht="14.25" customHeight="1">
      <c r="A211" s="132"/>
      <c r="B211" s="215">
        <v>46209</v>
      </c>
      <c r="C211" s="133"/>
      <c r="D211" s="136"/>
      <c r="E211" s="135"/>
      <c r="F211" s="135"/>
      <c r="G211" s="147">
        <f t="shared" si="83"/>
        <v>0</v>
      </c>
      <c r="H211" s="144"/>
      <c r="I211" s="144"/>
      <c r="J211" s="144"/>
      <c r="K211" s="144"/>
      <c r="L211" s="143"/>
      <c r="M211" s="143"/>
      <c r="N211" s="143"/>
      <c r="O211" s="144"/>
      <c r="P211" s="611"/>
      <c r="Q211" s="143"/>
      <c r="R211" s="143"/>
      <c r="S211" s="143"/>
      <c r="T211" s="143"/>
      <c r="U211" s="143"/>
      <c r="V211" s="143"/>
      <c r="W211" s="143"/>
      <c r="X211" s="143"/>
      <c r="Y211" s="143"/>
      <c r="Z211" s="103">
        <f t="shared" si="84"/>
        <v>0</v>
      </c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43"/>
      <c r="AM211" s="143"/>
      <c r="AN211" s="103">
        <f t="shared" si="85"/>
        <v>0</v>
      </c>
      <c r="AO211" s="136"/>
      <c r="AP211" s="136"/>
      <c r="AQ211" s="136"/>
      <c r="AR211" s="105">
        <f t="shared" si="86"/>
        <v>0</v>
      </c>
      <c r="AS211" s="143"/>
      <c r="AT211" s="143"/>
      <c r="AU211" s="143"/>
      <c r="AV211" s="146"/>
      <c r="AW211" s="224">
        <f t="shared" si="87"/>
        <v>0</v>
      </c>
      <c r="AX211" s="274"/>
      <c r="AY211" s="126"/>
      <c r="AZ211" s="126"/>
      <c r="BA211" s="126"/>
      <c r="BB211" s="126"/>
      <c r="BC211" s="126"/>
      <c r="BD211" s="126"/>
      <c r="BE211" s="126"/>
      <c r="BF211" s="275"/>
      <c r="BG211" s="274"/>
      <c r="BH211" s="274"/>
      <c r="BI211" s="222">
        <f t="shared" si="88"/>
        <v>0</v>
      </c>
      <c r="BJ211" s="140">
        <f t="shared" si="89"/>
        <v>0</v>
      </c>
      <c r="BK211" s="132"/>
      <c r="BL211" s="140">
        <f t="shared" si="90"/>
        <v>0</v>
      </c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41"/>
      <c r="BY211" s="141"/>
      <c r="BZ211" s="130">
        <f t="shared" si="91"/>
        <v>0</v>
      </c>
      <c r="CA211" s="132"/>
    </row>
    <row r="212" ht="14.25" customHeight="1">
      <c r="A212" s="132"/>
      <c r="B212" s="215">
        <v>46210</v>
      </c>
      <c r="C212" s="133"/>
      <c r="D212" s="136"/>
      <c r="E212" s="135"/>
      <c r="F212" s="135"/>
      <c r="G212" s="147">
        <f t="shared" si="83"/>
        <v>0</v>
      </c>
      <c r="H212" s="144"/>
      <c r="I212" s="144"/>
      <c r="J212" s="144"/>
      <c r="K212" s="144"/>
      <c r="L212" s="143"/>
      <c r="M212" s="143"/>
      <c r="N212" s="143"/>
      <c r="O212" s="144"/>
      <c r="P212" s="611"/>
      <c r="Q212" s="143"/>
      <c r="R212" s="143"/>
      <c r="S212" s="143"/>
      <c r="T212" s="143"/>
      <c r="U212" s="143"/>
      <c r="V212" s="143"/>
      <c r="W212" s="143"/>
      <c r="X212" s="143"/>
      <c r="Y212" s="143"/>
      <c r="Z212" s="103">
        <f t="shared" si="84"/>
        <v>0</v>
      </c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43"/>
      <c r="AM212" s="143"/>
      <c r="AN212" s="103">
        <f t="shared" si="85"/>
        <v>0</v>
      </c>
      <c r="AO212" s="136"/>
      <c r="AP212" s="136"/>
      <c r="AQ212" s="136"/>
      <c r="AR212" s="105">
        <f t="shared" si="86"/>
        <v>0</v>
      </c>
      <c r="AS212" s="143"/>
      <c r="AT212" s="143"/>
      <c r="AU212" s="143"/>
      <c r="AV212" s="146"/>
      <c r="AW212" s="224">
        <f t="shared" si="87"/>
        <v>0</v>
      </c>
      <c r="AX212" s="274"/>
      <c r="AY212" s="126"/>
      <c r="AZ212" s="126"/>
      <c r="BA212" s="126"/>
      <c r="BB212" s="126"/>
      <c r="BC212" s="126"/>
      <c r="BD212" s="126"/>
      <c r="BE212" s="126"/>
      <c r="BF212" s="275"/>
      <c r="BG212" s="274"/>
      <c r="BH212" s="274"/>
      <c r="BI212" s="222">
        <f t="shared" si="88"/>
        <v>0</v>
      </c>
      <c r="BJ212" s="140">
        <f t="shared" si="89"/>
        <v>0</v>
      </c>
      <c r="BK212" s="132"/>
      <c r="BL212" s="140">
        <f t="shared" si="90"/>
        <v>0</v>
      </c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41"/>
      <c r="BY212" s="141"/>
      <c r="BZ212" s="130">
        <f t="shared" si="91"/>
        <v>0</v>
      </c>
      <c r="CA212" s="132"/>
    </row>
    <row r="213" ht="14.25" customHeight="1">
      <c r="A213" s="132"/>
      <c r="B213" s="215">
        <v>46211</v>
      </c>
      <c r="C213" s="133"/>
      <c r="D213" s="136"/>
      <c r="E213" s="135"/>
      <c r="F213" s="135"/>
      <c r="G213" s="147">
        <f t="shared" si="83"/>
        <v>0</v>
      </c>
      <c r="H213" s="144"/>
      <c r="I213" s="144"/>
      <c r="J213" s="144"/>
      <c r="K213" s="144"/>
      <c r="L213" s="143"/>
      <c r="M213" s="143"/>
      <c r="N213" s="143"/>
      <c r="O213" s="144"/>
      <c r="P213" s="611"/>
      <c r="Q213" s="143"/>
      <c r="R213" s="143"/>
      <c r="S213" s="143"/>
      <c r="T213" s="143"/>
      <c r="U213" s="143"/>
      <c r="V213" s="143"/>
      <c r="W213" s="143"/>
      <c r="X213" s="143"/>
      <c r="Y213" s="143"/>
      <c r="Z213" s="103">
        <f t="shared" si="84"/>
        <v>0</v>
      </c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43"/>
      <c r="AM213" s="143"/>
      <c r="AN213" s="103">
        <f t="shared" si="85"/>
        <v>0</v>
      </c>
      <c r="AO213" s="136"/>
      <c r="AP213" s="136"/>
      <c r="AQ213" s="136"/>
      <c r="AR213" s="105">
        <f t="shared" si="86"/>
        <v>0</v>
      </c>
      <c r="AS213" s="143"/>
      <c r="AT213" s="143"/>
      <c r="AU213" s="143"/>
      <c r="AV213" s="146"/>
      <c r="AW213" s="224">
        <f t="shared" si="87"/>
        <v>0</v>
      </c>
      <c r="AX213" s="274"/>
      <c r="AY213" s="126"/>
      <c r="AZ213" s="126"/>
      <c r="BA213" s="126"/>
      <c r="BB213" s="126"/>
      <c r="BC213" s="126"/>
      <c r="BD213" s="126"/>
      <c r="BE213" s="126"/>
      <c r="BF213" s="275"/>
      <c r="BG213" s="274"/>
      <c r="BH213" s="274"/>
      <c r="BI213" s="222">
        <f t="shared" si="88"/>
        <v>0</v>
      </c>
      <c r="BJ213" s="140">
        <f t="shared" si="89"/>
        <v>0</v>
      </c>
      <c r="BK213" s="132"/>
      <c r="BL213" s="140">
        <f t="shared" si="90"/>
        <v>0</v>
      </c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41"/>
      <c r="BY213" s="141"/>
      <c r="BZ213" s="130">
        <f t="shared" si="91"/>
        <v>0</v>
      </c>
      <c r="CA213" s="132"/>
    </row>
    <row r="214" ht="14.25" customHeight="1">
      <c r="A214" s="132"/>
      <c r="B214" s="215">
        <v>46212</v>
      </c>
      <c r="C214" s="133"/>
      <c r="D214" s="136"/>
      <c r="E214" s="135"/>
      <c r="F214" s="135"/>
      <c r="G214" s="147">
        <f t="shared" si="83"/>
        <v>0</v>
      </c>
      <c r="H214" s="144"/>
      <c r="I214" s="144"/>
      <c r="J214" s="144"/>
      <c r="K214" s="144"/>
      <c r="L214" s="143"/>
      <c r="M214" s="143"/>
      <c r="N214" s="143"/>
      <c r="O214" s="144"/>
      <c r="P214" s="611"/>
      <c r="Q214" s="143"/>
      <c r="R214" s="143"/>
      <c r="S214" s="143"/>
      <c r="T214" s="143"/>
      <c r="U214" s="143"/>
      <c r="V214" s="143"/>
      <c r="W214" s="143"/>
      <c r="X214" s="143"/>
      <c r="Y214" s="143"/>
      <c r="Z214" s="103">
        <f t="shared" si="84"/>
        <v>0</v>
      </c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43"/>
      <c r="AM214" s="143"/>
      <c r="AN214" s="103">
        <f t="shared" si="85"/>
        <v>0</v>
      </c>
      <c r="AO214" s="136"/>
      <c r="AP214" s="136"/>
      <c r="AQ214" s="136"/>
      <c r="AR214" s="105">
        <f t="shared" si="86"/>
        <v>0</v>
      </c>
      <c r="AS214" s="143"/>
      <c r="AT214" s="143"/>
      <c r="AU214" s="143"/>
      <c r="AV214" s="146"/>
      <c r="AW214" s="224">
        <f t="shared" si="87"/>
        <v>0</v>
      </c>
      <c r="AX214" s="274"/>
      <c r="AY214" s="126"/>
      <c r="AZ214" s="126"/>
      <c r="BA214" s="126"/>
      <c r="BB214" s="126"/>
      <c r="BC214" s="126"/>
      <c r="BD214" s="126"/>
      <c r="BE214" s="126"/>
      <c r="BF214" s="275"/>
      <c r="BG214" s="274"/>
      <c r="BH214" s="274"/>
      <c r="BI214" s="222">
        <f t="shared" si="88"/>
        <v>0</v>
      </c>
      <c r="BJ214" s="140">
        <f t="shared" si="89"/>
        <v>0</v>
      </c>
      <c r="BK214" s="132"/>
      <c r="BL214" s="140">
        <f t="shared" si="90"/>
        <v>0</v>
      </c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41"/>
      <c r="BY214" s="141"/>
      <c r="BZ214" s="130">
        <f t="shared" si="91"/>
        <v>0</v>
      </c>
      <c r="CA214" s="132"/>
    </row>
    <row r="215" ht="14.25" customHeight="1">
      <c r="A215" s="132"/>
      <c r="B215" s="215">
        <v>46213</v>
      </c>
      <c r="C215" s="133"/>
      <c r="D215" s="136"/>
      <c r="E215" s="135"/>
      <c r="F215" s="135"/>
      <c r="G215" s="147">
        <f t="shared" si="83"/>
        <v>0</v>
      </c>
      <c r="H215" s="144"/>
      <c r="I215" s="144"/>
      <c r="J215" s="144"/>
      <c r="K215" s="144"/>
      <c r="L215" s="143"/>
      <c r="M215" s="143"/>
      <c r="N215" s="143"/>
      <c r="O215" s="144"/>
      <c r="P215" s="611"/>
      <c r="Q215" s="143"/>
      <c r="R215" s="143"/>
      <c r="S215" s="143"/>
      <c r="T215" s="143"/>
      <c r="U215" s="143"/>
      <c r="V215" s="143"/>
      <c r="W215" s="143"/>
      <c r="X215" s="143"/>
      <c r="Y215" s="143"/>
      <c r="Z215" s="103">
        <f t="shared" si="84"/>
        <v>0</v>
      </c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43"/>
      <c r="AM215" s="143"/>
      <c r="AN215" s="103">
        <f t="shared" si="85"/>
        <v>0</v>
      </c>
      <c r="AO215" s="136"/>
      <c r="AP215" s="136"/>
      <c r="AQ215" s="136"/>
      <c r="AR215" s="105">
        <f t="shared" si="86"/>
        <v>0</v>
      </c>
      <c r="AS215" s="143"/>
      <c r="AT215" s="143"/>
      <c r="AU215" s="143"/>
      <c r="AV215" s="146"/>
      <c r="AW215" s="224">
        <f t="shared" si="87"/>
        <v>0</v>
      </c>
      <c r="AX215" s="274"/>
      <c r="AY215" s="126"/>
      <c r="AZ215" s="126"/>
      <c r="BA215" s="126"/>
      <c r="BB215" s="126"/>
      <c r="BC215" s="126"/>
      <c r="BD215" s="126"/>
      <c r="BE215" s="126"/>
      <c r="BF215" s="275"/>
      <c r="BG215" s="274"/>
      <c r="BH215" s="274"/>
      <c r="BI215" s="222">
        <f t="shared" si="88"/>
        <v>0</v>
      </c>
      <c r="BJ215" s="140">
        <f t="shared" si="89"/>
        <v>0</v>
      </c>
      <c r="BK215" s="132"/>
      <c r="BL215" s="140">
        <f t="shared" si="90"/>
        <v>0</v>
      </c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41"/>
      <c r="BY215" s="141"/>
      <c r="BZ215" s="130">
        <f t="shared" si="91"/>
        <v>0</v>
      </c>
      <c r="CA215" s="132"/>
    </row>
    <row r="216" ht="14.25" customHeight="1">
      <c r="A216" s="132"/>
      <c r="B216" s="215">
        <v>46214</v>
      </c>
      <c r="C216" s="133"/>
      <c r="D216" s="136"/>
      <c r="E216" s="135"/>
      <c r="F216" s="135"/>
      <c r="G216" s="147">
        <f t="shared" si="83"/>
        <v>0</v>
      </c>
      <c r="H216" s="144"/>
      <c r="I216" s="144"/>
      <c r="J216" s="144"/>
      <c r="K216" s="144"/>
      <c r="L216" s="143"/>
      <c r="M216" s="143"/>
      <c r="N216" s="143"/>
      <c r="O216" s="144"/>
      <c r="P216" s="611"/>
      <c r="Q216" s="143"/>
      <c r="R216" s="143"/>
      <c r="S216" s="143"/>
      <c r="T216" s="143"/>
      <c r="U216" s="143"/>
      <c r="V216" s="143"/>
      <c r="W216" s="143"/>
      <c r="X216" s="143"/>
      <c r="Y216" s="143"/>
      <c r="Z216" s="103">
        <f t="shared" si="84"/>
        <v>0</v>
      </c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43"/>
      <c r="AM216" s="143"/>
      <c r="AN216" s="103">
        <f t="shared" si="85"/>
        <v>0</v>
      </c>
      <c r="AO216" s="136"/>
      <c r="AP216" s="136"/>
      <c r="AQ216" s="136"/>
      <c r="AR216" s="105">
        <f t="shared" si="86"/>
        <v>0</v>
      </c>
      <c r="AS216" s="143"/>
      <c r="AT216" s="143"/>
      <c r="AU216" s="143"/>
      <c r="AV216" s="146"/>
      <c r="AW216" s="224">
        <f t="shared" si="87"/>
        <v>0</v>
      </c>
      <c r="AX216" s="274"/>
      <c r="AY216" s="126"/>
      <c r="AZ216" s="126"/>
      <c r="BA216" s="126"/>
      <c r="BB216" s="126"/>
      <c r="BC216" s="126"/>
      <c r="BD216" s="126"/>
      <c r="BE216" s="126"/>
      <c r="BF216" s="275"/>
      <c r="BG216" s="274"/>
      <c r="BH216" s="274"/>
      <c r="BI216" s="222">
        <f t="shared" si="88"/>
        <v>0</v>
      </c>
      <c r="BJ216" s="140">
        <f t="shared" si="89"/>
        <v>0</v>
      </c>
      <c r="BK216" s="132"/>
      <c r="BL216" s="140">
        <f t="shared" si="90"/>
        <v>0</v>
      </c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41"/>
      <c r="BY216" s="141"/>
      <c r="BZ216" s="130">
        <f t="shared" si="91"/>
        <v>0</v>
      </c>
      <c r="CA216" s="132"/>
    </row>
    <row r="217" ht="14.25" customHeight="1">
      <c r="A217" s="132"/>
      <c r="B217" s="215">
        <v>46215</v>
      </c>
      <c r="C217" s="133"/>
      <c r="D217" s="136"/>
      <c r="E217" s="135"/>
      <c r="F217" s="135"/>
      <c r="G217" s="147">
        <f t="shared" si="83"/>
        <v>0</v>
      </c>
      <c r="H217" s="144"/>
      <c r="I217" s="144"/>
      <c r="J217" s="144"/>
      <c r="K217" s="144"/>
      <c r="L217" s="143"/>
      <c r="M217" s="143"/>
      <c r="N217" s="143"/>
      <c r="O217" s="144"/>
      <c r="P217" s="611"/>
      <c r="Q217" s="143"/>
      <c r="R217" s="143"/>
      <c r="S217" s="143"/>
      <c r="T217" s="143"/>
      <c r="U217" s="143"/>
      <c r="V217" s="143"/>
      <c r="W217" s="143"/>
      <c r="X217" s="143"/>
      <c r="Y217" s="143"/>
      <c r="Z217" s="103">
        <f t="shared" si="84"/>
        <v>0</v>
      </c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43"/>
      <c r="AM217" s="143"/>
      <c r="AN217" s="103">
        <f t="shared" si="85"/>
        <v>0</v>
      </c>
      <c r="AO217" s="136"/>
      <c r="AP217" s="136"/>
      <c r="AQ217" s="136"/>
      <c r="AR217" s="105">
        <f t="shared" si="86"/>
        <v>0</v>
      </c>
      <c r="AS217" s="143"/>
      <c r="AT217" s="143"/>
      <c r="AU217" s="143"/>
      <c r="AV217" s="146"/>
      <c r="AW217" s="224">
        <f t="shared" si="87"/>
        <v>0</v>
      </c>
      <c r="AX217" s="274"/>
      <c r="AY217" s="126"/>
      <c r="AZ217" s="126"/>
      <c r="BA217" s="126"/>
      <c r="BB217" s="126"/>
      <c r="BC217" s="126"/>
      <c r="BD217" s="126"/>
      <c r="BE217" s="126"/>
      <c r="BF217" s="275"/>
      <c r="BG217" s="274"/>
      <c r="BH217" s="274"/>
      <c r="BI217" s="222">
        <f t="shared" si="88"/>
        <v>0</v>
      </c>
      <c r="BJ217" s="140">
        <f t="shared" si="89"/>
        <v>0</v>
      </c>
      <c r="BK217" s="132"/>
      <c r="BL217" s="140">
        <f t="shared" si="90"/>
        <v>0</v>
      </c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41"/>
      <c r="BY217" s="141"/>
      <c r="BZ217" s="130">
        <f t="shared" si="91"/>
        <v>0</v>
      </c>
      <c r="CA217" s="132"/>
    </row>
    <row r="218" ht="14.25" customHeight="1">
      <c r="A218" s="132"/>
      <c r="B218" s="215">
        <v>46216</v>
      </c>
      <c r="C218" s="133"/>
      <c r="D218" s="136"/>
      <c r="E218" s="135"/>
      <c r="F218" s="135"/>
      <c r="G218" s="147">
        <f t="shared" si="83"/>
        <v>0</v>
      </c>
      <c r="H218" s="144"/>
      <c r="I218" s="144"/>
      <c r="J218" s="144"/>
      <c r="K218" s="144"/>
      <c r="L218" s="143"/>
      <c r="M218" s="143"/>
      <c r="N218" s="143"/>
      <c r="O218" s="144"/>
      <c r="P218" s="611"/>
      <c r="Q218" s="143"/>
      <c r="R218" s="143"/>
      <c r="S218" s="143"/>
      <c r="T218" s="143"/>
      <c r="U218" s="143"/>
      <c r="V218" s="143"/>
      <c r="W218" s="143"/>
      <c r="X218" s="143"/>
      <c r="Y218" s="143"/>
      <c r="Z218" s="103">
        <f t="shared" si="84"/>
        <v>0</v>
      </c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43"/>
      <c r="AM218" s="143"/>
      <c r="AN218" s="103">
        <f t="shared" si="85"/>
        <v>0</v>
      </c>
      <c r="AO218" s="136"/>
      <c r="AP218" s="136"/>
      <c r="AQ218" s="136"/>
      <c r="AR218" s="105">
        <f t="shared" si="86"/>
        <v>0</v>
      </c>
      <c r="AS218" s="143"/>
      <c r="AT218" s="143"/>
      <c r="AU218" s="143"/>
      <c r="AV218" s="146"/>
      <c r="AW218" s="224">
        <f t="shared" si="87"/>
        <v>0</v>
      </c>
      <c r="AX218" s="274"/>
      <c r="AY218" s="126"/>
      <c r="AZ218" s="126"/>
      <c r="BA218" s="126"/>
      <c r="BB218" s="126"/>
      <c r="BC218" s="126"/>
      <c r="BD218" s="126"/>
      <c r="BE218" s="126"/>
      <c r="BF218" s="275"/>
      <c r="BG218" s="274"/>
      <c r="BH218" s="274"/>
      <c r="BI218" s="222">
        <f t="shared" si="88"/>
        <v>0</v>
      </c>
      <c r="BJ218" s="140">
        <f t="shared" si="89"/>
        <v>0</v>
      </c>
      <c r="BK218" s="132"/>
      <c r="BL218" s="140">
        <f t="shared" si="90"/>
        <v>0</v>
      </c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41"/>
      <c r="BY218" s="141"/>
      <c r="BZ218" s="130">
        <f t="shared" si="91"/>
        <v>0</v>
      </c>
      <c r="CA218" s="132"/>
    </row>
    <row r="219" ht="14.25" customHeight="1">
      <c r="A219" s="132"/>
      <c r="B219" s="215">
        <v>46217</v>
      </c>
      <c r="C219" s="133"/>
      <c r="D219" s="136"/>
      <c r="E219" s="135"/>
      <c r="F219" s="135"/>
      <c r="G219" s="147">
        <f t="shared" si="83"/>
        <v>0</v>
      </c>
      <c r="H219" s="144"/>
      <c r="I219" s="144"/>
      <c r="J219" s="144"/>
      <c r="K219" s="144"/>
      <c r="L219" s="143"/>
      <c r="M219" s="143"/>
      <c r="N219" s="143"/>
      <c r="O219" s="144"/>
      <c r="P219" s="611"/>
      <c r="Q219" s="143"/>
      <c r="R219" s="143"/>
      <c r="S219" s="143"/>
      <c r="T219" s="143"/>
      <c r="U219" s="143"/>
      <c r="V219" s="143"/>
      <c r="W219" s="143"/>
      <c r="X219" s="143"/>
      <c r="Y219" s="143"/>
      <c r="Z219" s="103">
        <f t="shared" si="84"/>
        <v>0</v>
      </c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43"/>
      <c r="AM219" s="143"/>
      <c r="AN219" s="103">
        <f t="shared" si="85"/>
        <v>0</v>
      </c>
      <c r="AO219" s="136"/>
      <c r="AP219" s="136"/>
      <c r="AQ219" s="136"/>
      <c r="AR219" s="105">
        <f t="shared" si="86"/>
        <v>0</v>
      </c>
      <c r="AS219" s="143"/>
      <c r="AT219" s="143"/>
      <c r="AU219" s="143"/>
      <c r="AV219" s="146"/>
      <c r="AW219" s="224">
        <f t="shared" si="87"/>
        <v>0</v>
      </c>
      <c r="AX219" s="274"/>
      <c r="AY219" s="126"/>
      <c r="AZ219" s="126"/>
      <c r="BA219" s="126"/>
      <c r="BB219" s="126"/>
      <c r="BC219" s="126"/>
      <c r="BD219" s="126"/>
      <c r="BE219" s="126"/>
      <c r="BF219" s="275"/>
      <c r="BG219" s="274"/>
      <c r="BH219" s="274"/>
      <c r="BI219" s="222">
        <f t="shared" si="88"/>
        <v>0</v>
      </c>
      <c r="BJ219" s="140">
        <f t="shared" si="89"/>
        <v>0</v>
      </c>
      <c r="BK219" s="132"/>
      <c r="BL219" s="140">
        <f t="shared" si="90"/>
        <v>0</v>
      </c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41"/>
      <c r="BY219" s="141"/>
      <c r="BZ219" s="130">
        <f t="shared" si="91"/>
        <v>0</v>
      </c>
      <c r="CA219" s="132"/>
    </row>
    <row r="220" ht="14.25" customHeight="1">
      <c r="A220" s="132"/>
      <c r="B220" s="215">
        <v>46218</v>
      </c>
      <c r="C220" s="133"/>
      <c r="D220" s="136"/>
      <c r="E220" s="135"/>
      <c r="F220" s="135"/>
      <c r="G220" s="147">
        <f t="shared" si="83"/>
        <v>0</v>
      </c>
      <c r="H220" s="144"/>
      <c r="I220" s="144"/>
      <c r="J220" s="144"/>
      <c r="K220" s="144"/>
      <c r="L220" s="143"/>
      <c r="M220" s="143"/>
      <c r="N220" s="143"/>
      <c r="O220" s="144"/>
      <c r="P220" s="611"/>
      <c r="Q220" s="143"/>
      <c r="R220" s="143"/>
      <c r="S220" s="143"/>
      <c r="T220" s="143"/>
      <c r="U220" s="143"/>
      <c r="V220" s="143"/>
      <c r="W220" s="143"/>
      <c r="X220" s="143"/>
      <c r="Y220" s="143"/>
      <c r="Z220" s="103">
        <f t="shared" si="84"/>
        <v>0</v>
      </c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43"/>
      <c r="AM220" s="143"/>
      <c r="AN220" s="103">
        <f t="shared" si="85"/>
        <v>0</v>
      </c>
      <c r="AO220" s="136"/>
      <c r="AP220" s="136"/>
      <c r="AQ220" s="136"/>
      <c r="AR220" s="105">
        <f t="shared" si="86"/>
        <v>0</v>
      </c>
      <c r="AS220" s="143"/>
      <c r="AT220" s="143"/>
      <c r="AU220" s="143"/>
      <c r="AV220" s="146"/>
      <c r="AW220" s="224">
        <f t="shared" si="87"/>
        <v>0</v>
      </c>
      <c r="AX220" s="274"/>
      <c r="AY220" s="126"/>
      <c r="AZ220" s="126"/>
      <c r="BA220" s="126"/>
      <c r="BB220" s="126"/>
      <c r="BC220" s="126"/>
      <c r="BD220" s="126"/>
      <c r="BE220" s="126"/>
      <c r="BF220" s="275"/>
      <c r="BG220" s="274"/>
      <c r="BH220" s="274"/>
      <c r="BI220" s="222">
        <f t="shared" si="88"/>
        <v>0</v>
      </c>
      <c r="BJ220" s="140">
        <f t="shared" si="89"/>
        <v>0</v>
      </c>
      <c r="BK220" s="132"/>
      <c r="BL220" s="140">
        <f t="shared" si="90"/>
        <v>0</v>
      </c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41"/>
      <c r="BY220" s="141"/>
      <c r="BZ220" s="130">
        <f t="shared" si="91"/>
        <v>0</v>
      </c>
      <c r="CA220" s="132"/>
    </row>
    <row r="221" ht="14.25" customHeight="1">
      <c r="A221" s="132"/>
      <c r="B221" s="215">
        <v>46219</v>
      </c>
      <c r="C221" s="133"/>
      <c r="D221" s="136"/>
      <c r="E221" s="135"/>
      <c r="F221" s="135"/>
      <c r="G221" s="147">
        <f t="shared" si="83"/>
        <v>0</v>
      </c>
      <c r="H221" s="144"/>
      <c r="I221" s="144"/>
      <c r="J221" s="144"/>
      <c r="K221" s="144"/>
      <c r="L221" s="143"/>
      <c r="M221" s="143"/>
      <c r="N221" s="143"/>
      <c r="O221" s="144"/>
      <c r="P221" s="611"/>
      <c r="Q221" s="143"/>
      <c r="R221" s="143"/>
      <c r="S221" s="143"/>
      <c r="T221" s="143"/>
      <c r="U221" s="143"/>
      <c r="V221" s="143"/>
      <c r="W221" s="143"/>
      <c r="X221" s="143"/>
      <c r="Y221" s="143"/>
      <c r="Z221" s="103">
        <f t="shared" si="84"/>
        <v>0</v>
      </c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43"/>
      <c r="AM221" s="143"/>
      <c r="AN221" s="103">
        <f t="shared" si="85"/>
        <v>0</v>
      </c>
      <c r="AO221" s="136"/>
      <c r="AP221" s="136"/>
      <c r="AQ221" s="136"/>
      <c r="AR221" s="105">
        <f t="shared" si="86"/>
        <v>0</v>
      </c>
      <c r="AS221" s="143"/>
      <c r="AT221" s="143"/>
      <c r="AU221" s="143"/>
      <c r="AV221" s="146"/>
      <c r="AW221" s="224">
        <f t="shared" si="87"/>
        <v>0</v>
      </c>
      <c r="AX221" s="274"/>
      <c r="AY221" s="126"/>
      <c r="AZ221" s="126"/>
      <c r="BA221" s="126"/>
      <c r="BB221" s="126"/>
      <c r="BC221" s="126"/>
      <c r="BD221" s="126"/>
      <c r="BE221" s="126"/>
      <c r="BF221" s="275"/>
      <c r="BG221" s="274"/>
      <c r="BH221" s="274"/>
      <c r="BI221" s="222">
        <f t="shared" si="88"/>
        <v>0</v>
      </c>
      <c r="BJ221" s="140">
        <f t="shared" si="89"/>
        <v>0</v>
      </c>
      <c r="BK221" s="132"/>
      <c r="BL221" s="140">
        <f t="shared" si="90"/>
        <v>0</v>
      </c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41"/>
      <c r="BY221" s="141"/>
      <c r="BZ221" s="130">
        <f t="shared" si="91"/>
        <v>0</v>
      </c>
      <c r="CA221" s="132"/>
    </row>
    <row r="222" ht="14.25" customHeight="1">
      <c r="A222" s="132"/>
      <c r="B222" s="215">
        <v>46220</v>
      </c>
      <c r="C222" s="133"/>
      <c r="D222" s="136"/>
      <c r="E222" s="135"/>
      <c r="F222" s="135"/>
      <c r="G222" s="147">
        <f t="shared" si="83"/>
        <v>0</v>
      </c>
      <c r="H222" s="144"/>
      <c r="I222" s="144"/>
      <c r="J222" s="144"/>
      <c r="K222" s="144"/>
      <c r="L222" s="143"/>
      <c r="M222" s="143"/>
      <c r="N222" s="143"/>
      <c r="O222" s="144"/>
      <c r="P222" s="611"/>
      <c r="Q222" s="143"/>
      <c r="R222" s="143"/>
      <c r="S222" s="143"/>
      <c r="T222" s="143"/>
      <c r="U222" s="143"/>
      <c r="V222" s="143"/>
      <c r="W222" s="143"/>
      <c r="X222" s="143"/>
      <c r="Y222" s="143"/>
      <c r="Z222" s="103">
        <f t="shared" si="84"/>
        <v>0</v>
      </c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43"/>
      <c r="AM222" s="143"/>
      <c r="AN222" s="103">
        <f t="shared" si="85"/>
        <v>0</v>
      </c>
      <c r="AO222" s="136"/>
      <c r="AP222" s="136"/>
      <c r="AQ222" s="136"/>
      <c r="AR222" s="105">
        <f t="shared" si="86"/>
        <v>0</v>
      </c>
      <c r="AS222" s="143"/>
      <c r="AT222" s="143"/>
      <c r="AU222" s="143"/>
      <c r="AV222" s="146"/>
      <c r="AW222" s="224">
        <f t="shared" si="87"/>
        <v>0</v>
      </c>
      <c r="AX222" s="274"/>
      <c r="AY222" s="126"/>
      <c r="AZ222" s="126"/>
      <c r="BA222" s="126"/>
      <c r="BB222" s="126"/>
      <c r="BC222" s="126"/>
      <c r="BD222" s="126"/>
      <c r="BE222" s="126"/>
      <c r="BF222" s="275"/>
      <c r="BG222" s="274"/>
      <c r="BH222" s="274"/>
      <c r="BI222" s="222">
        <f t="shared" si="88"/>
        <v>0</v>
      </c>
      <c r="BJ222" s="140">
        <f t="shared" si="89"/>
        <v>0</v>
      </c>
      <c r="BK222" s="132"/>
      <c r="BL222" s="140">
        <f t="shared" si="90"/>
        <v>0</v>
      </c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41"/>
      <c r="BY222" s="141"/>
      <c r="BZ222" s="130">
        <f t="shared" si="91"/>
        <v>0</v>
      </c>
      <c r="CA222" s="132"/>
    </row>
    <row r="223" ht="14.25" customHeight="1">
      <c r="A223" s="132"/>
      <c r="B223" s="215">
        <v>46221</v>
      </c>
      <c r="C223" s="133"/>
      <c r="D223" s="136"/>
      <c r="E223" s="135"/>
      <c r="F223" s="135"/>
      <c r="G223" s="147">
        <f t="shared" si="83"/>
        <v>0</v>
      </c>
      <c r="H223" s="144"/>
      <c r="I223" s="144"/>
      <c r="J223" s="144"/>
      <c r="K223" s="144"/>
      <c r="L223" s="143"/>
      <c r="M223" s="143"/>
      <c r="N223" s="143"/>
      <c r="O223" s="144"/>
      <c r="P223" s="611"/>
      <c r="Q223" s="143"/>
      <c r="R223" s="143"/>
      <c r="S223" s="143"/>
      <c r="T223" s="143"/>
      <c r="U223" s="143"/>
      <c r="V223" s="143"/>
      <c r="W223" s="143"/>
      <c r="X223" s="143"/>
      <c r="Y223" s="143"/>
      <c r="Z223" s="103">
        <f t="shared" si="84"/>
        <v>0</v>
      </c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43"/>
      <c r="AM223" s="143"/>
      <c r="AN223" s="103">
        <f t="shared" si="85"/>
        <v>0</v>
      </c>
      <c r="AO223" s="136"/>
      <c r="AP223" s="136"/>
      <c r="AQ223" s="136"/>
      <c r="AR223" s="105">
        <f t="shared" si="86"/>
        <v>0</v>
      </c>
      <c r="AS223" s="143"/>
      <c r="AT223" s="143"/>
      <c r="AU223" s="143"/>
      <c r="AV223" s="146"/>
      <c r="AW223" s="224">
        <f t="shared" si="87"/>
        <v>0</v>
      </c>
      <c r="AX223" s="274"/>
      <c r="AY223" s="126"/>
      <c r="AZ223" s="126"/>
      <c r="BA223" s="126"/>
      <c r="BB223" s="126"/>
      <c r="BC223" s="126"/>
      <c r="BD223" s="126"/>
      <c r="BE223" s="126"/>
      <c r="BF223" s="275"/>
      <c r="BG223" s="274"/>
      <c r="BH223" s="274"/>
      <c r="BI223" s="222">
        <f t="shared" si="88"/>
        <v>0</v>
      </c>
      <c r="BJ223" s="140">
        <f t="shared" si="89"/>
        <v>0</v>
      </c>
      <c r="BK223" s="132"/>
      <c r="BL223" s="140">
        <f t="shared" si="90"/>
        <v>0</v>
      </c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41"/>
      <c r="BY223" s="141"/>
      <c r="BZ223" s="130">
        <f t="shared" si="91"/>
        <v>0</v>
      </c>
      <c r="CA223" s="132"/>
    </row>
    <row r="224" ht="14.25" customHeight="1">
      <c r="A224" s="132"/>
      <c r="B224" s="215">
        <v>46222</v>
      </c>
      <c r="C224" s="133"/>
      <c r="D224" s="136"/>
      <c r="E224" s="135"/>
      <c r="F224" s="135"/>
      <c r="G224" s="147">
        <f t="shared" si="83"/>
        <v>0</v>
      </c>
      <c r="H224" s="144"/>
      <c r="I224" s="144"/>
      <c r="J224" s="144"/>
      <c r="K224" s="144"/>
      <c r="L224" s="143"/>
      <c r="M224" s="143"/>
      <c r="N224" s="143"/>
      <c r="O224" s="144"/>
      <c r="P224" s="611"/>
      <c r="Q224" s="143"/>
      <c r="R224" s="143"/>
      <c r="S224" s="143"/>
      <c r="T224" s="143"/>
      <c r="U224" s="143"/>
      <c r="V224" s="143"/>
      <c r="W224" s="143"/>
      <c r="X224" s="143"/>
      <c r="Y224" s="143"/>
      <c r="Z224" s="103">
        <f t="shared" si="84"/>
        <v>0</v>
      </c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43"/>
      <c r="AM224" s="143"/>
      <c r="AN224" s="103">
        <f t="shared" si="85"/>
        <v>0</v>
      </c>
      <c r="AO224" s="136"/>
      <c r="AP224" s="136"/>
      <c r="AQ224" s="136"/>
      <c r="AR224" s="105">
        <f t="shared" si="86"/>
        <v>0</v>
      </c>
      <c r="AS224" s="143"/>
      <c r="AT224" s="143"/>
      <c r="AU224" s="143"/>
      <c r="AV224" s="146"/>
      <c r="AW224" s="224">
        <f t="shared" si="87"/>
        <v>0</v>
      </c>
      <c r="AX224" s="274"/>
      <c r="AY224" s="126"/>
      <c r="AZ224" s="126"/>
      <c r="BA224" s="126"/>
      <c r="BB224" s="126"/>
      <c r="BC224" s="126"/>
      <c r="BD224" s="126"/>
      <c r="BE224" s="126"/>
      <c r="BF224" s="275"/>
      <c r="BG224" s="274"/>
      <c r="BH224" s="274"/>
      <c r="BI224" s="222">
        <f t="shared" si="88"/>
        <v>0</v>
      </c>
      <c r="BJ224" s="140">
        <f t="shared" si="89"/>
        <v>0</v>
      </c>
      <c r="BK224" s="132"/>
      <c r="BL224" s="140">
        <f t="shared" si="90"/>
        <v>0</v>
      </c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41"/>
      <c r="BY224" s="141"/>
      <c r="BZ224" s="130">
        <f t="shared" si="91"/>
        <v>0</v>
      </c>
      <c r="CA224" s="132"/>
    </row>
    <row r="225" ht="14.25" customHeight="1">
      <c r="A225" s="132"/>
      <c r="B225" s="215">
        <v>46223</v>
      </c>
      <c r="C225" s="133"/>
      <c r="D225" s="136"/>
      <c r="E225" s="135"/>
      <c r="F225" s="135"/>
      <c r="G225" s="147">
        <f t="shared" si="83"/>
        <v>0</v>
      </c>
      <c r="H225" s="144"/>
      <c r="I225" s="144"/>
      <c r="J225" s="144"/>
      <c r="K225" s="144"/>
      <c r="L225" s="143"/>
      <c r="M225" s="143"/>
      <c r="N225" s="143"/>
      <c r="O225" s="144"/>
      <c r="P225" s="611"/>
      <c r="Q225" s="143"/>
      <c r="R225" s="143"/>
      <c r="S225" s="143"/>
      <c r="T225" s="143"/>
      <c r="U225" s="143"/>
      <c r="V225" s="143"/>
      <c r="W225" s="143"/>
      <c r="X225" s="143"/>
      <c r="Y225" s="143"/>
      <c r="Z225" s="103">
        <f t="shared" si="84"/>
        <v>0</v>
      </c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43"/>
      <c r="AM225" s="143"/>
      <c r="AN225" s="103">
        <f t="shared" si="85"/>
        <v>0</v>
      </c>
      <c r="AO225" s="136"/>
      <c r="AP225" s="136"/>
      <c r="AQ225" s="136"/>
      <c r="AR225" s="105">
        <f t="shared" si="86"/>
        <v>0</v>
      </c>
      <c r="AS225" s="143"/>
      <c r="AT225" s="143"/>
      <c r="AU225" s="143"/>
      <c r="AV225" s="146"/>
      <c r="AW225" s="224">
        <f t="shared" si="87"/>
        <v>0</v>
      </c>
      <c r="AX225" s="274"/>
      <c r="AY225" s="126"/>
      <c r="AZ225" s="126"/>
      <c r="BA225" s="126"/>
      <c r="BB225" s="126"/>
      <c r="BC225" s="126"/>
      <c r="BD225" s="126"/>
      <c r="BE225" s="126"/>
      <c r="BF225" s="275"/>
      <c r="BG225" s="274"/>
      <c r="BH225" s="274"/>
      <c r="BI225" s="222">
        <f t="shared" si="88"/>
        <v>0</v>
      </c>
      <c r="BJ225" s="140">
        <f t="shared" si="89"/>
        <v>0</v>
      </c>
      <c r="BK225" s="132"/>
      <c r="BL225" s="140">
        <f t="shared" si="90"/>
        <v>0</v>
      </c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41"/>
      <c r="BY225" s="141"/>
      <c r="BZ225" s="130">
        <f t="shared" si="91"/>
        <v>0</v>
      </c>
      <c r="CA225" s="132"/>
    </row>
    <row r="226" ht="14.25" customHeight="1">
      <c r="A226" s="132"/>
      <c r="B226" s="215">
        <v>46224</v>
      </c>
      <c r="C226" s="133"/>
      <c r="D226" s="136"/>
      <c r="E226" s="135"/>
      <c r="F226" s="135"/>
      <c r="G226" s="147">
        <f t="shared" si="83"/>
        <v>0</v>
      </c>
      <c r="H226" s="144"/>
      <c r="I226" s="144"/>
      <c r="J226" s="144"/>
      <c r="K226" s="144"/>
      <c r="L226" s="143"/>
      <c r="M226" s="143"/>
      <c r="N226" s="143"/>
      <c r="O226" s="144"/>
      <c r="P226" s="611"/>
      <c r="Q226" s="143"/>
      <c r="R226" s="143"/>
      <c r="S226" s="143"/>
      <c r="T226" s="143"/>
      <c r="U226" s="143"/>
      <c r="V226" s="143"/>
      <c r="W226" s="143"/>
      <c r="X226" s="143"/>
      <c r="Y226" s="143"/>
      <c r="Z226" s="103">
        <f t="shared" si="84"/>
        <v>0</v>
      </c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43"/>
      <c r="AM226" s="143"/>
      <c r="AN226" s="103">
        <f t="shared" si="85"/>
        <v>0</v>
      </c>
      <c r="AO226" s="136"/>
      <c r="AP226" s="136"/>
      <c r="AQ226" s="136"/>
      <c r="AR226" s="105">
        <f t="shared" si="86"/>
        <v>0</v>
      </c>
      <c r="AS226" s="143"/>
      <c r="AT226" s="143"/>
      <c r="AU226" s="143"/>
      <c r="AV226" s="146"/>
      <c r="AW226" s="224">
        <f t="shared" si="87"/>
        <v>0</v>
      </c>
      <c r="AX226" s="274"/>
      <c r="AY226" s="126"/>
      <c r="AZ226" s="126"/>
      <c r="BA226" s="126"/>
      <c r="BB226" s="126"/>
      <c r="BC226" s="126"/>
      <c r="BD226" s="126"/>
      <c r="BE226" s="126"/>
      <c r="BF226" s="275"/>
      <c r="BG226" s="274"/>
      <c r="BH226" s="274"/>
      <c r="BI226" s="222">
        <f t="shared" si="88"/>
        <v>0</v>
      </c>
      <c r="BJ226" s="140">
        <f t="shared" si="89"/>
        <v>0</v>
      </c>
      <c r="BK226" s="132"/>
      <c r="BL226" s="140">
        <f t="shared" si="90"/>
        <v>0</v>
      </c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41"/>
      <c r="BY226" s="141"/>
      <c r="BZ226" s="130">
        <f t="shared" si="91"/>
        <v>0</v>
      </c>
      <c r="CA226" s="132"/>
    </row>
    <row r="227" ht="14.25" customHeight="1">
      <c r="A227" s="132"/>
      <c r="B227" s="215">
        <v>46225</v>
      </c>
      <c r="C227" s="133"/>
      <c r="D227" s="136"/>
      <c r="E227" s="135"/>
      <c r="F227" s="135"/>
      <c r="G227" s="147">
        <f t="shared" si="83"/>
        <v>0</v>
      </c>
      <c r="H227" s="144"/>
      <c r="I227" s="144"/>
      <c r="J227" s="144"/>
      <c r="K227" s="144"/>
      <c r="L227" s="143"/>
      <c r="M227" s="143"/>
      <c r="N227" s="143"/>
      <c r="O227" s="144"/>
      <c r="P227" s="611"/>
      <c r="Q227" s="143"/>
      <c r="R227" s="143"/>
      <c r="S227" s="143"/>
      <c r="T227" s="143"/>
      <c r="U227" s="143"/>
      <c r="V227" s="143"/>
      <c r="W227" s="143"/>
      <c r="X227" s="143"/>
      <c r="Y227" s="143"/>
      <c r="Z227" s="103">
        <f t="shared" si="84"/>
        <v>0</v>
      </c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43"/>
      <c r="AM227" s="143"/>
      <c r="AN227" s="103">
        <f t="shared" si="85"/>
        <v>0</v>
      </c>
      <c r="AO227" s="136"/>
      <c r="AP227" s="136"/>
      <c r="AQ227" s="136"/>
      <c r="AR227" s="105">
        <f t="shared" si="86"/>
        <v>0</v>
      </c>
      <c r="AS227" s="143"/>
      <c r="AT227" s="143"/>
      <c r="AU227" s="143"/>
      <c r="AV227" s="146"/>
      <c r="AW227" s="224">
        <f t="shared" si="87"/>
        <v>0</v>
      </c>
      <c r="AX227" s="274"/>
      <c r="AY227" s="126"/>
      <c r="AZ227" s="126"/>
      <c r="BA227" s="126"/>
      <c r="BB227" s="126"/>
      <c r="BC227" s="126"/>
      <c r="BD227" s="126"/>
      <c r="BE227" s="126"/>
      <c r="BF227" s="275"/>
      <c r="BG227" s="274"/>
      <c r="BH227" s="274"/>
      <c r="BI227" s="222">
        <f t="shared" si="88"/>
        <v>0</v>
      </c>
      <c r="BJ227" s="140">
        <f t="shared" si="89"/>
        <v>0</v>
      </c>
      <c r="BK227" s="132"/>
      <c r="BL227" s="140">
        <f t="shared" si="90"/>
        <v>0</v>
      </c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41"/>
      <c r="BY227" s="141"/>
      <c r="BZ227" s="130">
        <f t="shared" si="91"/>
        <v>0</v>
      </c>
      <c r="CA227" s="132"/>
    </row>
    <row r="228" ht="14.25" customHeight="1">
      <c r="A228" s="132"/>
      <c r="B228" s="215">
        <v>46226</v>
      </c>
      <c r="C228" s="133"/>
      <c r="D228" s="136"/>
      <c r="E228" s="135"/>
      <c r="F228" s="135"/>
      <c r="G228" s="147">
        <f t="shared" si="83"/>
        <v>0</v>
      </c>
      <c r="H228" s="144"/>
      <c r="I228" s="144"/>
      <c r="J228" s="144"/>
      <c r="K228" s="144"/>
      <c r="L228" s="143"/>
      <c r="M228" s="143"/>
      <c r="N228" s="143"/>
      <c r="O228" s="144"/>
      <c r="P228" s="611"/>
      <c r="Q228" s="143"/>
      <c r="R228" s="143"/>
      <c r="S228" s="143"/>
      <c r="T228" s="143"/>
      <c r="U228" s="143"/>
      <c r="V228" s="143"/>
      <c r="W228" s="143"/>
      <c r="X228" s="143"/>
      <c r="Y228" s="143"/>
      <c r="Z228" s="103">
        <f t="shared" si="84"/>
        <v>0</v>
      </c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43"/>
      <c r="AM228" s="143"/>
      <c r="AN228" s="103">
        <f t="shared" si="85"/>
        <v>0</v>
      </c>
      <c r="AO228" s="136"/>
      <c r="AP228" s="136"/>
      <c r="AQ228" s="136"/>
      <c r="AR228" s="105">
        <f t="shared" si="86"/>
        <v>0</v>
      </c>
      <c r="AS228" s="143"/>
      <c r="AT228" s="143"/>
      <c r="AU228" s="143"/>
      <c r="AV228" s="146"/>
      <c r="AW228" s="224">
        <f t="shared" si="87"/>
        <v>0</v>
      </c>
      <c r="AX228" s="274"/>
      <c r="AY228" s="126"/>
      <c r="AZ228" s="126"/>
      <c r="BA228" s="126"/>
      <c r="BB228" s="126"/>
      <c r="BC228" s="126"/>
      <c r="BD228" s="126"/>
      <c r="BE228" s="126"/>
      <c r="BF228" s="275"/>
      <c r="BG228" s="274"/>
      <c r="BH228" s="274"/>
      <c r="BI228" s="222">
        <f t="shared" si="88"/>
        <v>0</v>
      </c>
      <c r="BJ228" s="140">
        <f t="shared" si="89"/>
        <v>0</v>
      </c>
      <c r="BK228" s="132"/>
      <c r="BL228" s="140">
        <f t="shared" si="90"/>
        <v>0</v>
      </c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41"/>
      <c r="BY228" s="141"/>
      <c r="BZ228" s="130">
        <f t="shared" si="91"/>
        <v>0</v>
      </c>
      <c r="CA228" s="132"/>
    </row>
    <row r="229" ht="14.25" customHeight="1">
      <c r="A229" s="132"/>
      <c r="B229" s="215">
        <v>46227</v>
      </c>
      <c r="C229" s="133"/>
      <c r="D229" s="136"/>
      <c r="E229" s="135"/>
      <c r="F229" s="135"/>
      <c r="G229" s="147">
        <f t="shared" si="83"/>
        <v>0</v>
      </c>
      <c r="H229" s="144"/>
      <c r="I229" s="144"/>
      <c r="J229" s="144"/>
      <c r="K229" s="144"/>
      <c r="L229" s="143"/>
      <c r="M229" s="143"/>
      <c r="N229" s="143"/>
      <c r="O229" s="144"/>
      <c r="P229" s="611"/>
      <c r="Q229" s="143"/>
      <c r="R229" s="143"/>
      <c r="S229" s="143"/>
      <c r="T229" s="143"/>
      <c r="U229" s="143"/>
      <c r="V229" s="143"/>
      <c r="W229" s="143"/>
      <c r="X229" s="143"/>
      <c r="Y229" s="143"/>
      <c r="Z229" s="103">
        <f t="shared" si="84"/>
        <v>0</v>
      </c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43"/>
      <c r="AM229" s="143"/>
      <c r="AN229" s="103">
        <f t="shared" si="85"/>
        <v>0</v>
      </c>
      <c r="AO229" s="136"/>
      <c r="AP229" s="136"/>
      <c r="AQ229" s="136"/>
      <c r="AR229" s="105">
        <f t="shared" si="86"/>
        <v>0</v>
      </c>
      <c r="AS229" s="143"/>
      <c r="AT229" s="143"/>
      <c r="AU229" s="143"/>
      <c r="AV229" s="146"/>
      <c r="AW229" s="224">
        <f t="shared" si="87"/>
        <v>0</v>
      </c>
      <c r="AX229" s="274"/>
      <c r="AY229" s="126"/>
      <c r="AZ229" s="126"/>
      <c r="BA229" s="126"/>
      <c r="BB229" s="126"/>
      <c r="BC229" s="126"/>
      <c r="BD229" s="126"/>
      <c r="BE229" s="126"/>
      <c r="BF229" s="275"/>
      <c r="BG229" s="274"/>
      <c r="BH229" s="274"/>
      <c r="BI229" s="222">
        <f t="shared" si="88"/>
        <v>0</v>
      </c>
      <c r="BJ229" s="140">
        <f t="shared" si="89"/>
        <v>0</v>
      </c>
      <c r="BK229" s="132"/>
      <c r="BL229" s="140">
        <f t="shared" si="90"/>
        <v>0</v>
      </c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41"/>
      <c r="BY229" s="141"/>
      <c r="BZ229" s="130">
        <f t="shared" si="91"/>
        <v>0</v>
      </c>
      <c r="CA229" s="132"/>
    </row>
    <row r="230" ht="14.25" customHeight="1">
      <c r="A230" s="132"/>
      <c r="B230" s="215">
        <v>46228</v>
      </c>
      <c r="C230" s="133"/>
      <c r="D230" s="136"/>
      <c r="E230" s="135"/>
      <c r="F230" s="135"/>
      <c r="G230" s="147">
        <f t="shared" si="83"/>
        <v>0</v>
      </c>
      <c r="H230" s="144"/>
      <c r="I230" s="144"/>
      <c r="J230" s="144"/>
      <c r="K230" s="144"/>
      <c r="L230" s="143"/>
      <c r="M230" s="143"/>
      <c r="N230" s="143"/>
      <c r="O230" s="144"/>
      <c r="P230" s="611"/>
      <c r="Q230" s="143"/>
      <c r="R230" s="143"/>
      <c r="S230" s="143"/>
      <c r="T230" s="143"/>
      <c r="U230" s="143"/>
      <c r="V230" s="143"/>
      <c r="W230" s="143"/>
      <c r="X230" s="143"/>
      <c r="Y230" s="143"/>
      <c r="Z230" s="103">
        <f t="shared" si="84"/>
        <v>0</v>
      </c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43"/>
      <c r="AM230" s="143"/>
      <c r="AN230" s="103">
        <f t="shared" si="85"/>
        <v>0</v>
      </c>
      <c r="AO230" s="136"/>
      <c r="AP230" s="136"/>
      <c r="AQ230" s="136"/>
      <c r="AR230" s="105">
        <f t="shared" si="86"/>
        <v>0</v>
      </c>
      <c r="AS230" s="143"/>
      <c r="AT230" s="143"/>
      <c r="AU230" s="143"/>
      <c r="AV230" s="146"/>
      <c r="AW230" s="224">
        <f t="shared" si="87"/>
        <v>0</v>
      </c>
      <c r="AX230" s="274"/>
      <c r="AY230" s="126"/>
      <c r="AZ230" s="126"/>
      <c r="BA230" s="126"/>
      <c r="BB230" s="126"/>
      <c r="BC230" s="126"/>
      <c r="BD230" s="126"/>
      <c r="BE230" s="126"/>
      <c r="BF230" s="275"/>
      <c r="BG230" s="274"/>
      <c r="BH230" s="274"/>
      <c r="BI230" s="222">
        <f t="shared" si="88"/>
        <v>0</v>
      </c>
      <c r="BJ230" s="140">
        <f t="shared" si="89"/>
        <v>0</v>
      </c>
      <c r="BK230" s="132"/>
      <c r="BL230" s="140">
        <f t="shared" si="90"/>
        <v>0</v>
      </c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41"/>
      <c r="BY230" s="141"/>
      <c r="BZ230" s="130">
        <f t="shared" si="91"/>
        <v>0</v>
      </c>
      <c r="CA230" s="132"/>
    </row>
    <row r="231" ht="14.25" customHeight="1">
      <c r="A231" s="132"/>
      <c r="B231" s="215">
        <v>46229</v>
      </c>
      <c r="C231" s="133"/>
      <c r="D231" s="136"/>
      <c r="E231" s="135"/>
      <c r="F231" s="135"/>
      <c r="G231" s="147">
        <f t="shared" si="83"/>
        <v>0</v>
      </c>
      <c r="H231" s="144"/>
      <c r="I231" s="144"/>
      <c r="J231" s="144"/>
      <c r="K231" s="144"/>
      <c r="L231" s="143"/>
      <c r="M231" s="143"/>
      <c r="N231" s="143"/>
      <c r="O231" s="144"/>
      <c r="P231" s="611"/>
      <c r="Q231" s="143"/>
      <c r="R231" s="143"/>
      <c r="S231" s="143"/>
      <c r="T231" s="143"/>
      <c r="U231" s="143"/>
      <c r="V231" s="143"/>
      <c r="W231" s="143"/>
      <c r="X231" s="143"/>
      <c r="Y231" s="143"/>
      <c r="Z231" s="103">
        <f t="shared" si="84"/>
        <v>0</v>
      </c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43"/>
      <c r="AM231" s="143"/>
      <c r="AN231" s="103">
        <f t="shared" si="85"/>
        <v>0</v>
      </c>
      <c r="AO231" s="136"/>
      <c r="AP231" s="136"/>
      <c r="AQ231" s="136"/>
      <c r="AR231" s="105">
        <f t="shared" si="86"/>
        <v>0</v>
      </c>
      <c r="AS231" s="143"/>
      <c r="AT231" s="143"/>
      <c r="AU231" s="143"/>
      <c r="AV231" s="146"/>
      <c r="AW231" s="224">
        <f t="shared" si="87"/>
        <v>0</v>
      </c>
      <c r="AX231" s="274"/>
      <c r="AY231" s="126"/>
      <c r="AZ231" s="126"/>
      <c r="BA231" s="126"/>
      <c r="BB231" s="126"/>
      <c r="BC231" s="126"/>
      <c r="BD231" s="126"/>
      <c r="BE231" s="126"/>
      <c r="BF231" s="275"/>
      <c r="BG231" s="274"/>
      <c r="BH231" s="274"/>
      <c r="BI231" s="222">
        <f t="shared" si="88"/>
        <v>0</v>
      </c>
      <c r="BJ231" s="140">
        <f t="shared" si="89"/>
        <v>0</v>
      </c>
      <c r="BK231" s="132"/>
      <c r="BL231" s="140">
        <f t="shared" si="90"/>
        <v>0</v>
      </c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41"/>
      <c r="BY231" s="141"/>
      <c r="BZ231" s="130">
        <f t="shared" si="91"/>
        <v>0</v>
      </c>
      <c r="CA231" s="132"/>
    </row>
    <row r="232" ht="14.25" customHeight="1">
      <c r="A232" s="132"/>
      <c r="B232" s="215">
        <v>46230</v>
      </c>
      <c r="C232" s="133"/>
      <c r="D232" s="136"/>
      <c r="E232" s="135"/>
      <c r="F232" s="135"/>
      <c r="G232" s="147">
        <f t="shared" si="83"/>
        <v>0</v>
      </c>
      <c r="H232" s="144"/>
      <c r="I232" s="144"/>
      <c r="J232" s="144"/>
      <c r="K232" s="144"/>
      <c r="L232" s="143"/>
      <c r="M232" s="143"/>
      <c r="N232" s="143"/>
      <c r="O232" s="144"/>
      <c r="P232" s="611"/>
      <c r="Q232" s="143"/>
      <c r="R232" s="143"/>
      <c r="S232" s="143"/>
      <c r="T232" s="143"/>
      <c r="U232" s="143"/>
      <c r="V232" s="143"/>
      <c r="W232" s="143"/>
      <c r="X232" s="143"/>
      <c r="Y232" s="143"/>
      <c r="Z232" s="103">
        <f t="shared" si="84"/>
        <v>0</v>
      </c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43"/>
      <c r="AM232" s="143"/>
      <c r="AN232" s="103">
        <f t="shared" si="85"/>
        <v>0</v>
      </c>
      <c r="AO232" s="136"/>
      <c r="AP232" s="136"/>
      <c r="AQ232" s="136"/>
      <c r="AR232" s="105">
        <f t="shared" si="86"/>
        <v>0</v>
      </c>
      <c r="AS232" s="143"/>
      <c r="AT232" s="143"/>
      <c r="AU232" s="143"/>
      <c r="AV232" s="146"/>
      <c r="AW232" s="224">
        <f t="shared" si="87"/>
        <v>0</v>
      </c>
      <c r="AX232" s="274"/>
      <c r="AY232" s="126"/>
      <c r="AZ232" s="126"/>
      <c r="BA232" s="126"/>
      <c r="BB232" s="126"/>
      <c r="BC232" s="126"/>
      <c r="BD232" s="126"/>
      <c r="BE232" s="126"/>
      <c r="BF232" s="275"/>
      <c r="BG232" s="274"/>
      <c r="BH232" s="274"/>
      <c r="BI232" s="222">
        <f t="shared" si="88"/>
        <v>0</v>
      </c>
      <c r="BJ232" s="140">
        <f t="shared" si="89"/>
        <v>0</v>
      </c>
      <c r="BK232" s="132"/>
      <c r="BL232" s="140">
        <f t="shared" si="90"/>
        <v>0</v>
      </c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41"/>
      <c r="BY232" s="141"/>
      <c r="BZ232" s="130">
        <f t="shared" si="91"/>
        <v>0</v>
      </c>
      <c r="CA232" s="132"/>
    </row>
    <row r="233" ht="14.25" customHeight="1">
      <c r="A233" s="132"/>
      <c r="B233" s="215">
        <v>46231</v>
      </c>
      <c r="C233" s="133"/>
      <c r="D233" s="136"/>
      <c r="E233" s="135"/>
      <c r="F233" s="135"/>
      <c r="G233" s="147">
        <f t="shared" si="83"/>
        <v>0</v>
      </c>
      <c r="H233" s="144"/>
      <c r="I233" s="144"/>
      <c r="J233" s="144"/>
      <c r="K233" s="144"/>
      <c r="L233" s="143"/>
      <c r="M233" s="143"/>
      <c r="N233" s="143"/>
      <c r="O233" s="144"/>
      <c r="P233" s="611"/>
      <c r="Q233" s="143"/>
      <c r="R233" s="143"/>
      <c r="S233" s="143"/>
      <c r="T233" s="143"/>
      <c r="U233" s="143"/>
      <c r="V233" s="143"/>
      <c r="W233" s="143"/>
      <c r="X233" s="143"/>
      <c r="Y233" s="143"/>
      <c r="Z233" s="103">
        <f t="shared" si="84"/>
        <v>0</v>
      </c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43"/>
      <c r="AM233" s="143"/>
      <c r="AN233" s="103">
        <f t="shared" si="85"/>
        <v>0</v>
      </c>
      <c r="AO233" s="136"/>
      <c r="AP233" s="136"/>
      <c r="AQ233" s="136"/>
      <c r="AR233" s="105">
        <f t="shared" si="86"/>
        <v>0</v>
      </c>
      <c r="AS233" s="143"/>
      <c r="AT233" s="143"/>
      <c r="AU233" s="143"/>
      <c r="AV233" s="146"/>
      <c r="AW233" s="224">
        <f t="shared" si="87"/>
        <v>0</v>
      </c>
      <c r="AX233" s="274"/>
      <c r="AY233" s="126"/>
      <c r="AZ233" s="126"/>
      <c r="BA233" s="126"/>
      <c r="BB233" s="126"/>
      <c r="BC233" s="126"/>
      <c r="BD233" s="126"/>
      <c r="BE233" s="126"/>
      <c r="BF233" s="275"/>
      <c r="BG233" s="274"/>
      <c r="BH233" s="274"/>
      <c r="BI233" s="222">
        <f t="shared" si="88"/>
        <v>0</v>
      </c>
      <c r="BJ233" s="140">
        <f t="shared" si="89"/>
        <v>0</v>
      </c>
      <c r="BK233" s="132"/>
      <c r="BL233" s="140">
        <f t="shared" si="90"/>
        <v>0</v>
      </c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41"/>
      <c r="BY233" s="141"/>
      <c r="BZ233" s="130">
        <f t="shared" si="91"/>
        <v>0</v>
      </c>
      <c r="CA233" s="132"/>
    </row>
    <row r="234" ht="14.25" customHeight="1">
      <c r="A234" s="132"/>
      <c r="B234" s="215">
        <v>46232</v>
      </c>
      <c r="C234" s="133"/>
      <c r="D234" s="136"/>
      <c r="E234" s="135"/>
      <c r="F234" s="135"/>
      <c r="G234" s="147">
        <f t="shared" si="83"/>
        <v>0</v>
      </c>
      <c r="H234" s="144"/>
      <c r="I234" s="144"/>
      <c r="J234" s="144"/>
      <c r="K234" s="144"/>
      <c r="L234" s="143"/>
      <c r="M234" s="143"/>
      <c r="N234" s="143"/>
      <c r="O234" s="144"/>
      <c r="P234" s="611"/>
      <c r="Q234" s="143"/>
      <c r="R234" s="143"/>
      <c r="S234" s="143"/>
      <c r="T234" s="143"/>
      <c r="U234" s="143"/>
      <c r="V234" s="143"/>
      <c r="W234" s="143"/>
      <c r="X234" s="143"/>
      <c r="Y234" s="143"/>
      <c r="Z234" s="103">
        <f t="shared" si="84"/>
        <v>0</v>
      </c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43"/>
      <c r="AM234" s="143"/>
      <c r="AN234" s="103">
        <f t="shared" si="85"/>
        <v>0</v>
      </c>
      <c r="AO234" s="136"/>
      <c r="AP234" s="136"/>
      <c r="AQ234" s="136"/>
      <c r="AR234" s="105">
        <f t="shared" si="86"/>
        <v>0</v>
      </c>
      <c r="AS234" s="143"/>
      <c r="AT234" s="143"/>
      <c r="AU234" s="143"/>
      <c r="AV234" s="146"/>
      <c r="AW234" s="224">
        <f t="shared" si="87"/>
        <v>0</v>
      </c>
      <c r="AX234" s="274"/>
      <c r="AY234" s="126"/>
      <c r="AZ234" s="126"/>
      <c r="BA234" s="126"/>
      <c r="BB234" s="126"/>
      <c r="BC234" s="126"/>
      <c r="BD234" s="126"/>
      <c r="BE234" s="126"/>
      <c r="BF234" s="275"/>
      <c r="BG234" s="274"/>
      <c r="BH234" s="274"/>
      <c r="BI234" s="222">
        <f t="shared" si="88"/>
        <v>0</v>
      </c>
      <c r="BJ234" s="140">
        <f t="shared" si="89"/>
        <v>0</v>
      </c>
      <c r="BK234" s="132"/>
      <c r="BL234" s="140">
        <f t="shared" si="90"/>
        <v>0</v>
      </c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41"/>
      <c r="BY234" s="141"/>
      <c r="BZ234" s="130">
        <f t="shared" si="91"/>
        <v>0</v>
      </c>
      <c r="CA234" s="132"/>
    </row>
    <row r="235" ht="14.25" customHeight="1">
      <c r="A235" s="132"/>
      <c r="B235" s="215">
        <v>46233</v>
      </c>
      <c r="C235" s="133"/>
      <c r="D235" s="136"/>
      <c r="E235" s="135"/>
      <c r="F235" s="135"/>
      <c r="G235" s="147">
        <f t="shared" si="83"/>
        <v>0</v>
      </c>
      <c r="H235" s="144"/>
      <c r="I235" s="144"/>
      <c r="J235" s="144"/>
      <c r="K235" s="144"/>
      <c r="L235" s="143"/>
      <c r="M235" s="143"/>
      <c r="N235" s="143"/>
      <c r="O235" s="144"/>
      <c r="P235" s="611"/>
      <c r="Q235" s="143"/>
      <c r="R235" s="143"/>
      <c r="S235" s="143"/>
      <c r="T235" s="143"/>
      <c r="U235" s="143"/>
      <c r="V235" s="143"/>
      <c r="W235" s="143"/>
      <c r="X235" s="143"/>
      <c r="Y235" s="143"/>
      <c r="Z235" s="103">
        <f t="shared" si="84"/>
        <v>0</v>
      </c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43"/>
      <c r="AM235" s="143"/>
      <c r="AN235" s="103">
        <f t="shared" si="85"/>
        <v>0</v>
      </c>
      <c r="AO235" s="136"/>
      <c r="AP235" s="136"/>
      <c r="AQ235" s="136"/>
      <c r="AR235" s="105">
        <f t="shared" si="86"/>
        <v>0</v>
      </c>
      <c r="AS235" s="143"/>
      <c r="AT235" s="143"/>
      <c r="AU235" s="143"/>
      <c r="AV235" s="146"/>
      <c r="AW235" s="224">
        <f t="shared" si="87"/>
        <v>0</v>
      </c>
      <c r="AX235" s="274"/>
      <c r="AY235" s="126"/>
      <c r="AZ235" s="126"/>
      <c r="BA235" s="126"/>
      <c r="BB235" s="126"/>
      <c r="BC235" s="126"/>
      <c r="BD235" s="126"/>
      <c r="BE235" s="126"/>
      <c r="BF235" s="275"/>
      <c r="BG235" s="274"/>
      <c r="BH235" s="274"/>
      <c r="BI235" s="222">
        <f t="shared" si="88"/>
        <v>0</v>
      </c>
      <c r="BJ235" s="140">
        <f t="shared" si="89"/>
        <v>0</v>
      </c>
      <c r="BK235" s="132"/>
      <c r="BL235" s="140">
        <f t="shared" si="90"/>
        <v>0</v>
      </c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41"/>
      <c r="BY235" s="141"/>
      <c r="BZ235" s="130">
        <f t="shared" si="91"/>
        <v>0</v>
      </c>
      <c r="CA235" s="132"/>
    </row>
    <row r="236" ht="14.25" customHeight="1">
      <c r="A236" s="21"/>
      <c r="B236" s="215">
        <v>46234</v>
      </c>
      <c r="C236" s="153"/>
      <c r="D236" s="159"/>
      <c r="E236" s="156"/>
      <c r="F236" s="156"/>
      <c r="G236" s="147">
        <f t="shared" si="83"/>
        <v>0</v>
      </c>
      <c r="H236" s="612"/>
      <c r="I236" s="612"/>
      <c r="J236" s="612"/>
      <c r="K236" s="612"/>
      <c r="L236" s="157"/>
      <c r="M236" s="157"/>
      <c r="N236" s="157"/>
      <c r="O236" s="612"/>
      <c r="P236" s="613"/>
      <c r="Q236" s="157"/>
      <c r="R236" s="157"/>
      <c r="S236" s="157"/>
      <c r="T236" s="157"/>
      <c r="U236" s="157"/>
      <c r="V236" s="157"/>
      <c r="W236" s="143"/>
      <c r="X236" s="143"/>
      <c r="Y236" s="143"/>
      <c r="Z236" s="623">
        <f t="shared" si="84"/>
        <v>0</v>
      </c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57"/>
      <c r="AK236" s="157"/>
      <c r="AL236" s="157"/>
      <c r="AM236" s="157"/>
      <c r="AN236" s="103">
        <f t="shared" si="85"/>
        <v>0</v>
      </c>
      <c r="AO236" s="159"/>
      <c r="AP236" s="159"/>
      <c r="AQ236" s="159"/>
      <c r="AR236" s="105">
        <f t="shared" si="86"/>
        <v>0</v>
      </c>
      <c r="AS236" s="157"/>
      <c r="AT236" s="157"/>
      <c r="AU236" s="157"/>
      <c r="AV236" s="160"/>
      <c r="AW236" s="224">
        <f t="shared" si="87"/>
        <v>0</v>
      </c>
      <c r="AX236" s="274"/>
      <c r="AY236" s="126"/>
      <c r="AZ236" s="126"/>
      <c r="BA236" s="126"/>
      <c r="BB236" s="126"/>
      <c r="BC236" s="126"/>
      <c r="BD236" s="126"/>
      <c r="BE236" s="126"/>
      <c r="BF236" s="275"/>
      <c r="BG236" s="296"/>
      <c r="BH236" s="296"/>
      <c r="BI236" s="222">
        <f t="shared" si="88"/>
        <v>0</v>
      </c>
      <c r="BJ236" s="162">
        <f t="shared" si="89"/>
        <v>0</v>
      </c>
      <c r="BK236" s="132"/>
      <c r="BL236" s="162">
        <f t="shared" si="90"/>
        <v>0</v>
      </c>
      <c r="BM236" s="163"/>
      <c r="BN236" s="163"/>
      <c r="BO236" s="163"/>
      <c r="BP236" s="163"/>
      <c r="BQ236" s="163"/>
      <c r="BR236" s="163"/>
      <c r="BS236" s="163"/>
      <c r="BT236" s="163"/>
      <c r="BU236" s="163"/>
      <c r="BV236" s="141"/>
      <c r="BW236" s="163"/>
      <c r="BX236" s="163"/>
      <c r="BY236" s="163"/>
      <c r="BZ236" s="164">
        <f t="shared" si="91"/>
        <v>0</v>
      </c>
      <c r="CA236" s="132"/>
    </row>
    <row r="237" ht="14.25" customHeight="1">
      <c r="A237" s="3"/>
      <c r="B237" s="673" t="s">
        <v>4</v>
      </c>
      <c r="C237" s="166">
        <f ref="C237:H237" t="shared" si="92">SUM(C206:C236)</f>
        <v>0</v>
      </c>
      <c r="D237" s="166">
        <f t="shared" si="92"/>
        <v>0</v>
      </c>
      <c r="E237" s="166">
        <f t="shared" si="92"/>
        <v>0</v>
      </c>
      <c r="F237" s="166">
        <f t="shared" si="92"/>
        <v>0</v>
      </c>
      <c r="G237" s="166">
        <f t="shared" si="92"/>
        <v>0</v>
      </c>
      <c r="H237" s="166">
        <f t="shared" si="92"/>
        <v>0</v>
      </c>
      <c r="I237" s="166"/>
      <c r="J237" s="166"/>
      <c r="K237" s="166"/>
      <c r="L237" s="166">
        <f ref="L237:V237" t="shared" si="93">SUM(L206:L236)</f>
        <v>0</v>
      </c>
      <c r="M237" s="166">
        <f t="shared" si="93"/>
        <v>0</v>
      </c>
      <c r="N237" s="166">
        <f t="shared" si="93"/>
        <v>0</v>
      </c>
      <c r="O237" s="166">
        <f t="shared" si="93"/>
        <v>0</v>
      </c>
      <c r="P237" s="617">
        <f t="shared" si="93"/>
        <v>0</v>
      </c>
      <c r="Q237" s="166">
        <f t="shared" si="93"/>
        <v>0</v>
      </c>
      <c r="R237" s="166">
        <f t="shared" si="93"/>
        <v>0</v>
      </c>
      <c r="S237" s="166">
        <f t="shared" si="93"/>
        <v>0</v>
      </c>
      <c r="T237" s="166">
        <f t="shared" si="93"/>
        <v>0</v>
      </c>
      <c r="U237" s="166">
        <f t="shared" si="93"/>
        <v>0</v>
      </c>
      <c r="V237" s="166">
        <f t="shared" si="93"/>
        <v>0</v>
      </c>
      <c r="W237" s="166"/>
      <c r="X237" s="166">
        <f ref="X237:AK237" t="shared" si="94">SUM(X206:X236)</f>
        <v>0</v>
      </c>
      <c r="Y237" s="166">
        <f t="shared" si="94"/>
        <v>0</v>
      </c>
      <c r="Z237" s="166">
        <f t="shared" si="94"/>
        <v>0</v>
      </c>
      <c r="AA237" s="166">
        <f t="shared" si="94"/>
        <v>0</v>
      </c>
      <c r="AB237" s="166">
        <f t="shared" si="94"/>
        <v>0</v>
      </c>
      <c r="AC237" s="166">
        <f t="shared" si="94"/>
        <v>0</v>
      </c>
      <c r="AD237" s="166">
        <f t="shared" si="94"/>
        <v>0</v>
      </c>
      <c r="AE237" s="166">
        <f t="shared" si="94"/>
        <v>0</v>
      </c>
      <c r="AF237" s="166">
        <f t="shared" si="94"/>
        <v>0</v>
      </c>
      <c r="AG237" s="166">
        <f t="shared" si="94"/>
        <v>0</v>
      </c>
      <c r="AH237" s="166">
        <f t="shared" si="94"/>
        <v>0</v>
      </c>
      <c r="AI237" s="166">
        <f t="shared" si="94"/>
        <v>0</v>
      </c>
      <c r="AJ237" s="166">
        <f t="shared" si="94"/>
        <v>0</v>
      </c>
      <c r="AK237" s="166">
        <f t="shared" si="94"/>
        <v>0</v>
      </c>
      <c r="AL237" s="166"/>
      <c r="AM237" s="166">
        <f ref="AM237:BJ237" t="shared" si="95">SUM(AM206:AM236)</f>
        <v>0</v>
      </c>
      <c r="AN237" s="166">
        <f t="shared" si="95"/>
        <v>0</v>
      </c>
      <c r="AO237" s="166">
        <f t="shared" si="95"/>
        <v>0</v>
      </c>
      <c r="AP237" s="166">
        <f t="shared" si="95"/>
        <v>0</v>
      </c>
      <c r="AQ237" s="166">
        <f t="shared" si="95"/>
        <v>0</v>
      </c>
      <c r="AR237" s="166">
        <f t="shared" si="95"/>
        <v>0</v>
      </c>
      <c r="AS237" s="166">
        <f t="shared" si="95"/>
        <v>0</v>
      </c>
      <c r="AT237" s="166">
        <f t="shared" si="95"/>
        <v>0</v>
      </c>
      <c r="AU237" s="166">
        <f t="shared" si="95"/>
        <v>0</v>
      </c>
      <c r="AV237" s="166">
        <f t="shared" si="95"/>
        <v>0</v>
      </c>
      <c r="AW237" s="166">
        <f t="shared" si="95"/>
        <v>0</v>
      </c>
      <c r="AX237" s="166">
        <f t="shared" si="95"/>
        <v>0</v>
      </c>
      <c r="AY237" s="166">
        <f t="shared" si="95"/>
        <v>0</v>
      </c>
      <c r="AZ237" s="166">
        <f t="shared" si="95"/>
        <v>0</v>
      </c>
      <c r="BA237" s="166">
        <f t="shared" si="95"/>
        <v>0</v>
      </c>
      <c r="BB237" s="166">
        <f t="shared" si="95"/>
        <v>0</v>
      </c>
      <c r="BC237" s="166">
        <f t="shared" si="95"/>
        <v>0</v>
      </c>
      <c r="BD237" s="166">
        <f t="shared" si="95"/>
        <v>0</v>
      </c>
      <c r="BE237" s="166">
        <f t="shared" si="95"/>
        <v>0</v>
      </c>
      <c r="BF237" s="166">
        <f t="shared" si="95"/>
        <v>0</v>
      </c>
      <c r="BG237" s="166">
        <f t="shared" si="95"/>
        <v>0</v>
      </c>
      <c r="BH237" s="166">
        <f t="shared" si="95"/>
        <v>0</v>
      </c>
      <c r="BI237" s="166">
        <f t="shared" si="95"/>
        <v>0</v>
      </c>
      <c r="BJ237" s="166">
        <f t="shared" si="95"/>
        <v>0</v>
      </c>
      <c r="BK237" s="132"/>
      <c r="BL237" s="166">
        <f ref="BL237:BZ237" t="shared" si="96">SUM(BL206:BL236)</f>
        <v>0</v>
      </c>
      <c r="BM237" s="166">
        <f t="shared" si="96"/>
        <v>0</v>
      </c>
      <c r="BN237" s="166">
        <f t="shared" si="96"/>
        <v>0</v>
      </c>
      <c r="BO237" s="166">
        <f t="shared" si="96"/>
        <v>0</v>
      </c>
      <c r="BP237" s="166">
        <f t="shared" si="96"/>
        <v>0</v>
      </c>
      <c r="BQ237" s="166">
        <f t="shared" si="96"/>
        <v>0</v>
      </c>
      <c r="BR237" s="166">
        <f t="shared" si="96"/>
        <v>0</v>
      </c>
      <c r="BS237" s="166">
        <f t="shared" si="96"/>
        <v>0</v>
      </c>
      <c r="BT237" s="166">
        <f t="shared" si="96"/>
        <v>0</v>
      </c>
      <c r="BU237" s="166">
        <f t="shared" si="96"/>
        <v>0</v>
      </c>
      <c r="BV237" s="166">
        <f t="shared" si="96"/>
        <v>0</v>
      </c>
      <c r="BW237" s="166">
        <f t="shared" si="96"/>
        <v>0</v>
      </c>
      <c r="BX237" s="166">
        <f t="shared" si="96"/>
        <v>0</v>
      </c>
      <c r="BY237" s="166">
        <f t="shared" si="96"/>
        <v>0</v>
      </c>
      <c r="BZ237" s="166">
        <f t="shared" si="96"/>
        <v>0</v>
      </c>
      <c r="CA237" s="132"/>
    </row>
    <row r="238" ht="14.25" customHeight="1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1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4"/>
      <c r="AS238" s="3"/>
      <c r="AT238" s="3"/>
      <c r="AU238" s="3"/>
      <c r="AV238" s="3"/>
      <c r="AW238" s="4"/>
      <c r="AX238" s="3"/>
      <c r="AY238" s="3"/>
      <c r="AZ238" s="132"/>
      <c r="BA238" s="3"/>
      <c r="BB238" s="3"/>
      <c r="BC238" s="3"/>
      <c r="BD238" s="132"/>
      <c r="BE238" s="132"/>
      <c r="BF238" s="132"/>
      <c r="BG238" s="132"/>
      <c r="BH238" s="132"/>
      <c r="BI238" s="4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1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176"/>
      <c r="AO239" s="3"/>
      <c r="AP239" s="3"/>
      <c r="AQ239" s="3"/>
      <c r="AR239" s="4"/>
      <c r="AS239" s="3"/>
      <c r="AT239" s="3"/>
      <c r="AU239" s="3"/>
      <c r="AV239" s="3"/>
      <c r="AW239" s="177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  <c r="BH239" s="132"/>
      <c r="BI239" s="3"/>
      <c r="BJ239" s="3"/>
      <c r="BK239" s="3"/>
      <c r="BL239" s="132"/>
      <c r="BM239" s="132"/>
      <c r="BN239" s="132"/>
      <c r="BO239" s="132"/>
      <c r="BP239" s="132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</row>
    <row r="240" ht="14.25" customHeight="1">
      <c r="A240" s="3"/>
      <c r="B240" s="215">
        <v>46235</v>
      </c>
      <c r="C240" s="94"/>
      <c r="D240" s="104"/>
      <c r="E240" s="97"/>
      <c r="F240" s="97"/>
      <c r="G240" s="265">
        <f ref="G240:G270" t="shared" si="97">+C240+D240+E240+F240</f>
        <v>0</v>
      </c>
      <c r="H240" s="187"/>
      <c r="I240" s="187"/>
      <c r="J240" s="187"/>
      <c r="K240" s="187"/>
      <c r="L240" s="186"/>
      <c r="M240" s="186"/>
      <c r="N240" s="186"/>
      <c r="O240" s="186"/>
      <c r="P240" s="619"/>
      <c r="Q240" s="186"/>
      <c r="R240" s="186"/>
      <c r="S240" s="186"/>
      <c r="T240" s="186"/>
      <c r="U240" s="186"/>
      <c r="V240" s="186"/>
      <c r="W240" s="186"/>
      <c r="X240" s="186"/>
      <c r="Y240" s="186"/>
      <c r="Z240" s="189">
        <f ref="Z240:Z270" t="shared" si="98">SUM(H240:Y240)</f>
        <v>0</v>
      </c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86"/>
      <c r="AK240" s="186"/>
      <c r="AL240" s="186"/>
      <c r="AM240" s="186"/>
      <c r="AN240" s="103">
        <f ref="AN240:AN270" t="shared" si="99">SUM(AA240:AM240)</f>
        <v>0</v>
      </c>
      <c r="AO240" s="104"/>
      <c r="AP240" s="104"/>
      <c r="AQ240" s="104"/>
      <c r="AR240" s="191">
        <f ref="AR240:AR270" t="shared" si="100">SUM(AO240:AQ240)</f>
        <v>0</v>
      </c>
      <c r="AS240" s="186"/>
      <c r="AT240" s="186"/>
      <c r="AU240" s="186"/>
      <c r="AV240" s="193"/>
      <c r="AW240" s="224">
        <f ref="AW240:AW270" t="shared" si="101">+G240-Z240-AN240-AR240-AS240-AT240-AU240-AV240</f>
        <v>0</v>
      </c>
      <c r="AX240" s="269"/>
      <c r="AY240" s="109"/>
      <c r="AZ240" s="109"/>
      <c r="BA240" s="109"/>
      <c r="BB240" s="109"/>
      <c r="BC240" s="109"/>
      <c r="BD240" s="109"/>
      <c r="BE240" s="109"/>
      <c r="BF240" s="109"/>
      <c r="BG240" s="270"/>
      <c r="BH240" s="269"/>
      <c r="BI240" s="292">
        <f ref="BI240:BI270" t="shared" si="102">SUM(AX240:BH240)-BG240</f>
        <v>0</v>
      </c>
      <c r="BJ240" s="114">
        <f ref="BJ240:BJ270" t="shared" si="103">+AW240-BI240</f>
        <v>0</v>
      </c>
      <c r="BK240" s="3"/>
      <c r="BL240" s="114">
        <f ref="BL240:BL270" t="shared" si="104">SUM(BM240:BY240)</f>
        <v>0</v>
      </c>
      <c r="BM240" s="115"/>
      <c r="BN240" s="115"/>
      <c r="BO240" s="115"/>
      <c r="BP240" s="115"/>
      <c r="BQ240" s="115"/>
      <c r="BR240" s="115"/>
      <c r="BS240" s="115"/>
      <c r="BT240" s="115"/>
      <c r="BU240" s="115"/>
      <c r="BV240" s="115"/>
      <c r="BW240" s="115"/>
      <c r="BX240" s="115"/>
      <c r="BY240" s="115"/>
      <c r="BZ240" s="116">
        <f ref="BZ240:BZ270" t="shared" si="105">+BJ240-BL240</f>
        <v>0</v>
      </c>
      <c r="CA240" s="3"/>
    </row>
    <row r="241" ht="14.25" customHeight="1">
      <c r="A241" s="3"/>
      <c r="B241" s="215">
        <v>46236</v>
      </c>
      <c r="C241" s="118"/>
      <c r="D241" s="123"/>
      <c r="E241" s="120"/>
      <c r="F241" s="120"/>
      <c r="G241" s="147">
        <f t="shared" si="97"/>
        <v>0</v>
      </c>
      <c r="H241" s="144"/>
      <c r="I241" s="144"/>
      <c r="J241" s="144"/>
      <c r="K241" s="144"/>
      <c r="L241" s="143"/>
      <c r="M241" s="143"/>
      <c r="N241" s="143"/>
      <c r="O241" s="143"/>
      <c r="P241" s="611"/>
      <c r="Q241" s="143"/>
      <c r="R241" s="143"/>
      <c r="S241" s="143"/>
      <c r="T241" s="143"/>
      <c r="U241" s="143"/>
      <c r="V241" s="143"/>
      <c r="W241" s="143"/>
      <c r="X241" s="143"/>
      <c r="Y241" s="146"/>
      <c r="Z241" s="103">
        <f t="shared" si="98"/>
        <v>0</v>
      </c>
      <c r="AA241" s="144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43"/>
      <c r="AM241" s="143"/>
      <c r="AN241" s="103">
        <f t="shared" si="99"/>
        <v>0</v>
      </c>
      <c r="AO241" s="123"/>
      <c r="AP241" s="123"/>
      <c r="AQ241" s="123"/>
      <c r="AR241" s="105">
        <f t="shared" si="100"/>
        <v>0</v>
      </c>
      <c r="AS241" s="143"/>
      <c r="AT241" s="143"/>
      <c r="AU241" s="143"/>
      <c r="AV241" s="146"/>
      <c r="AW241" s="224">
        <f t="shared" si="101"/>
        <v>0</v>
      </c>
      <c r="AX241" s="274"/>
      <c r="AY241" s="126"/>
      <c r="AZ241" s="126"/>
      <c r="BA241" s="126"/>
      <c r="BB241" s="126"/>
      <c r="BC241" s="126"/>
      <c r="BD241" s="126"/>
      <c r="BE241" s="126"/>
      <c r="BF241" s="126"/>
      <c r="BG241" s="275"/>
      <c r="BH241" s="274"/>
      <c r="BI241" s="222">
        <f t="shared" si="102"/>
        <v>0</v>
      </c>
      <c r="BJ241" s="113">
        <f t="shared" si="103"/>
        <v>0</v>
      </c>
      <c r="BK241" s="3"/>
      <c r="BL241" s="113">
        <f t="shared" si="104"/>
        <v>0</v>
      </c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30">
        <f t="shared" si="105"/>
        <v>0</v>
      </c>
      <c r="CA241" s="3"/>
    </row>
    <row r="242" ht="14.25" customHeight="1">
      <c r="A242" s="3"/>
      <c r="B242" s="215">
        <v>46237</v>
      </c>
      <c r="C242" s="118"/>
      <c r="D242" s="123"/>
      <c r="E242" s="120"/>
      <c r="F242" s="120"/>
      <c r="G242" s="147">
        <f t="shared" si="97"/>
        <v>0</v>
      </c>
      <c r="H242" s="144"/>
      <c r="I242" s="144"/>
      <c r="J242" s="144"/>
      <c r="K242" s="144"/>
      <c r="L242" s="143"/>
      <c r="M242" s="143"/>
      <c r="N242" s="143"/>
      <c r="O242" s="143"/>
      <c r="P242" s="611"/>
      <c r="Q242" s="143"/>
      <c r="R242" s="143"/>
      <c r="S242" s="143"/>
      <c r="T242" s="143"/>
      <c r="U242" s="143"/>
      <c r="V242" s="143"/>
      <c r="W242" s="143"/>
      <c r="X242" s="143"/>
      <c r="Y242" s="146"/>
      <c r="Z242" s="103">
        <f t="shared" si="98"/>
        <v>0</v>
      </c>
      <c r="AA242" s="144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43"/>
      <c r="AM242" s="143"/>
      <c r="AN242" s="103">
        <f t="shared" si="99"/>
        <v>0</v>
      </c>
      <c r="AO242" s="123"/>
      <c r="AP242" s="123"/>
      <c r="AQ242" s="123"/>
      <c r="AR242" s="105">
        <f t="shared" si="100"/>
        <v>0</v>
      </c>
      <c r="AS242" s="143"/>
      <c r="AT242" s="143"/>
      <c r="AU242" s="143"/>
      <c r="AV242" s="146"/>
      <c r="AW242" s="224">
        <f t="shared" si="101"/>
        <v>0</v>
      </c>
      <c r="AX242" s="274"/>
      <c r="AY242" s="126"/>
      <c r="AZ242" s="126"/>
      <c r="BA242" s="126"/>
      <c r="BB242" s="126"/>
      <c r="BC242" s="126"/>
      <c r="BD242" s="126"/>
      <c r="BE242" s="126"/>
      <c r="BF242" s="126"/>
      <c r="BG242" s="275"/>
      <c r="BH242" s="274"/>
      <c r="BI242" s="222">
        <f t="shared" si="102"/>
        <v>0</v>
      </c>
      <c r="BJ242" s="113">
        <f t="shared" si="103"/>
        <v>0</v>
      </c>
      <c r="BK242" s="3"/>
      <c r="BL242" s="113">
        <f t="shared" si="104"/>
        <v>0</v>
      </c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30">
        <f t="shared" si="105"/>
        <v>0</v>
      </c>
      <c r="CA242" s="3"/>
    </row>
    <row r="243" ht="14.25" customHeight="1">
      <c r="A243" s="3"/>
      <c r="B243" s="215">
        <v>46238</v>
      </c>
      <c r="C243" s="118"/>
      <c r="D243" s="123"/>
      <c r="E243" s="120"/>
      <c r="F243" s="120"/>
      <c r="G243" s="147">
        <f t="shared" si="97"/>
        <v>0</v>
      </c>
      <c r="H243" s="144"/>
      <c r="I243" s="144"/>
      <c r="J243" s="144"/>
      <c r="K243" s="144"/>
      <c r="L243" s="143"/>
      <c r="M243" s="143"/>
      <c r="N243" s="143"/>
      <c r="O243" s="143"/>
      <c r="P243" s="611"/>
      <c r="Q243" s="143"/>
      <c r="R243" s="143"/>
      <c r="S243" s="143"/>
      <c r="T243" s="143"/>
      <c r="U243" s="143"/>
      <c r="V243" s="143"/>
      <c r="W243" s="143"/>
      <c r="X243" s="143"/>
      <c r="Y243" s="146"/>
      <c r="Z243" s="103">
        <f t="shared" si="98"/>
        <v>0</v>
      </c>
      <c r="AA243" s="144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43"/>
      <c r="AM243" s="143"/>
      <c r="AN243" s="103">
        <f t="shared" si="99"/>
        <v>0</v>
      </c>
      <c r="AO243" s="123"/>
      <c r="AP243" s="123"/>
      <c r="AQ243" s="123"/>
      <c r="AR243" s="105">
        <f t="shared" si="100"/>
        <v>0</v>
      </c>
      <c r="AS243" s="143"/>
      <c r="AT243" s="143"/>
      <c r="AU243" s="143"/>
      <c r="AV243" s="146"/>
      <c r="AW243" s="224">
        <f t="shared" si="101"/>
        <v>0</v>
      </c>
      <c r="AX243" s="274"/>
      <c r="AY243" s="126"/>
      <c r="AZ243" s="126"/>
      <c r="BA243" s="126"/>
      <c r="BB243" s="126"/>
      <c r="BC243" s="126"/>
      <c r="BD243" s="126"/>
      <c r="BE243" s="126"/>
      <c r="BF243" s="126"/>
      <c r="BG243" s="275"/>
      <c r="BH243" s="274"/>
      <c r="BI243" s="222">
        <f t="shared" si="102"/>
        <v>0</v>
      </c>
      <c r="BJ243" s="113">
        <f t="shared" si="103"/>
        <v>0</v>
      </c>
      <c r="BK243" s="3"/>
      <c r="BL243" s="113">
        <f t="shared" si="104"/>
        <v>0</v>
      </c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30">
        <f t="shared" si="105"/>
        <v>0</v>
      </c>
      <c r="CA243" s="3"/>
    </row>
    <row r="244" ht="14.25" customHeight="1">
      <c r="A244" s="3"/>
      <c r="B244" s="215">
        <v>46239</v>
      </c>
      <c r="C244" s="118"/>
      <c r="D244" s="123"/>
      <c r="E244" s="120"/>
      <c r="F244" s="120"/>
      <c r="G244" s="147">
        <f t="shared" si="97"/>
        <v>0</v>
      </c>
      <c r="H244" s="144"/>
      <c r="I244" s="144"/>
      <c r="J244" s="144"/>
      <c r="K244" s="144"/>
      <c r="L244" s="143"/>
      <c r="M244" s="143"/>
      <c r="N244" s="143"/>
      <c r="O244" s="143"/>
      <c r="P244" s="611"/>
      <c r="Q244" s="143"/>
      <c r="R244" s="143"/>
      <c r="S244" s="143"/>
      <c r="T244" s="143"/>
      <c r="U244" s="143"/>
      <c r="V244" s="143"/>
      <c r="W244" s="143"/>
      <c r="X244" s="143"/>
      <c r="Y244" s="143"/>
      <c r="Z244" s="103">
        <f t="shared" si="98"/>
        <v>0</v>
      </c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43"/>
      <c r="AM244" s="143"/>
      <c r="AN244" s="103">
        <f t="shared" si="99"/>
        <v>0</v>
      </c>
      <c r="AO244" s="123"/>
      <c r="AP244" s="123"/>
      <c r="AQ244" s="123"/>
      <c r="AR244" s="105">
        <f t="shared" si="100"/>
        <v>0</v>
      </c>
      <c r="AS244" s="143"/>
      <c r="AT244" s="143"/>
      <c r="AU244" s="143"/>
      <c r="AV244" s="146"/>
      <c r="AW244" s="224">
        <f t="shared" si="101"/>
        <v>0</v>
      </c>
      <c r="AX244" s="274"/>
      <c r="AY244" s="126"/>
      <c r="AZ244" s="126"/>
      <c r="BA244" s="126"/>
      <c r="BB244" s="126"/>
      <c r="BC244" s="126"/>
      <c r="BD244" s="126"/>
      <c r="BE244" s="126"/>
      <c r="BF244" s="126"/>
      <c r="BG244" s="275"/>
      <c r="BH244" s="274"/>
      <c r="BI244" s="222">
        <f t="shared" si="102"/>
        <v>0</v>
      </c>
      <c r="BJ244" s="113">
        <f t="shared" si="103"/>
        <v>0</v>
      </c>
      <c r="BK244" s="3"/>
      <c r="BL244" s="113">
        <f t="shared" si="104"/>
        <v>0</v>
      </c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30">
        <f t="shared" si="105"/>
        <v>0</v>
      </c>
      <c r="CA244" s="3"/>
    </row>
    <row r="245" ht="14.25" customHeight="1">
      <c r="A245" s="3"/>
      <c r="B245" s="215">
        <v>46240</v>
      </c>
      <c r="C245" s="118"/>
      <c r="D245" s="123"/>
      <c r="E245" s="120"/>
      <c r="F245" s="120"/>
      <c r="G245" s="147">
        <f t="shared" si="97"/>
        <v>0</v>
      </c>
      <c r="H245" s="144"/>
      <c r="I245" s="144"/>
      <c r="J245" s="144"/>
      <c r="K245" s="144"/>
      <c r="L245" s="143"/>
      <c r="M245" s="143"/>
      <c r="N245" s="143"/>
      <c r="O245" s="143"/>
      <c r="P245" s="611"/>
      <c r="Q245" s="143"/>
      <c r="R245" s="143"/>
      <c r="S245" s="143"/>
      <c r="T245" s="143"/>
      <c r="U245" s="143"/>
      <c r="V245" s="143"/>
      <c r="W245" s="143"/>
      <c r="X245" s="143"/>
      <c r="Y245" s="143"/>
      <c r="Z245" s="103">
        <f t="shared" si="98"/>
        <v>0</v>
      </c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43"/>
      <c r="AM245" s="143"/>
      <c r="AN245" s="103">
        <f t="shared" si="99"/>
        <v>0</v>
      </c>
      <c r="AO245" s="123"/>
      <c r="AP245" s="123"/>
      <c r="AQ245" s="123"/>
      <c r="AR245" s="105">
        <f t="shared" si="100"/>
        <v>0</v>
      </c>
      <c r="AS245" s="143"/>
      <c r="AT245" s="143"/>
      <c r="AU245" s="143"/>
      <c r="AV245" s="146"/>
      <c r="AW245" s="224">
        <f t="shared" si="101"/>
        <v>0</v>
      </c>
      <c r="AX245" s="274"/>
      <c r="AY245" s="126"/>
      <c r="AZ245" s="126"/>
      <c r="BA245" s="126"/>
      <c r="BB245" s="126"/>
      <c r="BC245" s="126"/>
      <c r="BD245" s="126"/>
      <c r="BE245" s="126"/>
      <c r="BF245" s="126"/>
      <c r="BG245" s="275"/>
      <c r="BH245" s="274"/>
      <c r="BI245" s="222">
        <f t="shared" si="102"/>
        <v>0</v>
      </c>
      <c r="BJ245" s="113">
        <f t="shared" si="103"/>
        <v>0</v>
      </c>
      <c r="BK245" s="3"/>
      <c r="BL245" s="113">
        <f t="shared" si="104"/>
        <v>0</v>
      </c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30">
        <f t="shared" si="105"/>
        <v>0</v>
      </c>
      <c r="CA245" s="3"/>
    </row>
    <row r="246" ht="14.25" customHeight="1">
      <c r="A246" s="132"/>
      <c r="B246" s="215">
        <v>46241</v>
      </c>
      <c r="C246" s="133"/>
      <c r="D246" s="132"/>
      <c r="E246" s="135"/>
      <c r="F246" s="135"/>
      <c r="G246" s="147">
        <f t="shared" si="97"/>
        <v>0</v>
      </c>
      <c r="H246" s="144"/>
      <c r="I246" s="144"/>
      <c r="J246" s="144"/>
      <c r="K246" s="144"/>
      <c r="L246" s="143"/>
      <c r="M246" s="143"/>
      <c r="N246" s="143"/>
      <c r="O246" s="143"/>
      <c r="P246" s="611"/>
      <c r="Q246" s="143"/>
      <c r="R246" s="143"/>
      <c r="S246" s="143"/>
      <c r="T246" s="143"/>
      <c r="U246" s="143"/>
      <c r="V246" s="143"/>
      <c r="W246" s="143"/>
      <c r="X246" s="143"/>
      <c r="Y246" s="143"/>
      <c r="Z246" s="103">
        <f t="shared" si="98"/>
        <v>0</v>
      </c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43"/>
      <c r="AM246" s="143"/>
      <c r="AN246" s="103">
        <f t="shared" si="99"/>
        <v>0</v>
      </c>
      <c r="AO246" s="136"/>
      <c r="AP246" s="136"/>
      <c r="AQ246" s="136"/>
      <c r="AR246" s="105">
        <f t="shared" si="100"/>
        <v>0</v>
      </c>
      <c r="AS246" s="143"/>
      <c r="AT246" s="143"/>
      <c r="AU246" s="143"/>
      <c r="AV246" s="146"/>
      <c r="AW246" s="224">
        <f t="shared" si="101"/>
        <v>0</v>
      </c>
      <c r="AX246" s="274"/>
      <c r="AY246" s="126"/>
      <c r="AZ246" s="126"/>
      <c r="BA246" s="126"/>
      <c r="BB246" s="126"/>
      <c r="BC246" s="126"/>
      <c r="BD246" s="126"/>
      <c r="BE246" s="126"/>
      <c r="BF246" s="126"/>
      <c r="BG246" s="275"/>
      <c r="BH246" s="274"/>
      <c r="BI246" s="222">
        <f t="shared" si="102"/>
        <v>0</v>
      </c>
      <c r="BJ246" s="140">
        <f t="shared" si="103"/>
        <v>0</v>
      </c>
      <c r="BK246" s="132"/>
      <c r="BL246" s="140">
        <f t="shared" si="104"/>
        <v>0</v>
      </c>
      <c r="BM246" s="141"/>
      <c r="BN246" s="141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41"/>
      <c r="BY246" s="141"/>
      <c r="BZ246" s="130">
        <f t="shared" si="105"/>
        <v>0</v>
      </c>
      <c r="CA246" s="132"/>
    </row>
    <row r="247" ht="14.25" customHeight="1">
      <c r="A247" s="132"/>
      <c r="B247" s="215">
        <v>46242</v>
      </c>
      <c r="C247" s="133"/>
      <c r="D247" s="136"/>
      <c r="E247" s="135"/>
      <c r="F247" s="135"/>
      <c r="G247" s="147">
        <f t="shared" si="97"/>
        <v>0</v>
      </c>
      <c r="H247" s="144"/>
      <c r="I247" s="144"/>
      <c r="J247" s="144"/>
      <c r="K247" s="144"/>
      <c r="L247" s="143"/>
      <c r="M247" s="143"/>
      <c r="N247" s="143"/>
      <c r="O247" s="143"/>
      <c r="P247" s="611"/>
      <c r="Q247" s="143"/>
      <c r="R247" s="143"/>
      <c r="S247" s="143"/>
      <c r="T247" s="143"/>
      <c r="U247" s="143"/>
      <c r="V247" s="143"/>
      <c r="W247" s="143"/>
      <c r="X247" s="143"/>
      <c r="Y247" s="143"/>
      <c r="Z247" s="103">
        <f t="shared" si="98"/>
        <v>0</v>
      </c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43"/>
      <c r="AM247" s="143"/>
      <c r="AN247" s="103">
        <f t="shared" si="99"/>
        <v>0</v>
      </c>
      <c r="AO247" s="136"/>
      <c r="AP247" s="136"/>
      <c r="AQ247" s="136"/>
      <c r="AR247" s="105">
        <f t="shared" si="100"/>
        <v>0</v>
      </c>
      <c r="AS247" s="143"/>
      <c r="AT247" s="143"/>
      <c r="AU247" s="143"/>
      <c r="AV247" s="146"/>
      <c r="AW247" s="224">
        <f t="shared" si="101"/>
        <v>0</v>
      </c>
      <c r="AX247" s="274"/>
      <c r="AY247" s="126"/>
      <c r="AZ247" s="126"/>
      <c r="BA247" s="126"/>
      <c r="BB247" s="126"/>
      <c r="BC247" s="126"/>
      <c r="BD247" s="126"/>
      <c r="BE247" s="126"/>
      <c r="BF247" s="126"/>
      <c r="BG247" s="275"/>
      <c r="BH247" s="274"/>
      <c r="BI247" s="222">
        <f t="shared" si="102"/>
        <v>0</v>
      </c>
      <c r="BJ247" s="140">
        <f t="shared" si="103"/>
        <v>0</v>
      </c>
      <c r="BK247" s="132"/>
      <c r="BL247" s="140">
        <f t="shared" si="104"/>
        <v>0</v>
      </c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41"/>
      <c r="BY247" s="141"/>
      <c r="BZ247" s="130">
        <f t="shared" si="105"/>
        <v>0</v>
      </c>
      <c r="CA247" s="132"/>
    </row>
    <row r="248" ht="14.25" customHeight="1">
      <c r="A248" s="132"/>
      <c r="B248" s="215">
        <v>46243</v>
      </c>
      <c r="C248" s="133"/>
      <c r="D248" s="136"/>
      <c r="E248" s="135"/>
      <c r="F248" s="135"/>
      <c r="G248" s="147">
        <f t="shared" si="97"/>
        <v>0</v>
      </c>
      <c r="H248" s="144"/>
      <c r="I248" s="144"/>
      <c r="J248" s="144"/>
      <c r="K248" s="144"/>
      <c r="L248" s="143"/>
      <c r="M248" s="143"/>
      <c r="N248" s="143"/>
      <c r="O248" s="143"/>
      <c r="P248" s="611"/>
      <c r="Q248" s="143"/>
      <c r="R248" s="143"/>
      <c r="S248" s="143"/>
      <c r="T248" s="143"/>
      <c r="U248" s="143"/>
      <c r="V248" s="143"/>
      <c r="W248" s="143"/>
      <c r="X248" s="143"/>
      <c r="Y248" s="143"/>
      <c r="Z248" s="103">
        <f t="shared" si="98"/>
        <v>0</v>
      </c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43"/>
      <c r="AM248" s="143"/>
      <c r="AN248" s="103">
        <f t="shared" si="99"/>
        <v>0</v>
      </c>
      <c r="AO248" s="136"/>
      <c r="AP248" s="136"/>
      <c r="AQ248" s="136"/>
      <c r="AR248" s="105">
        <f t="shared" si="100"/>
        <v>0</v>
      </c>
      <c r="AS248" s="143"/>
      <c r="AT248" s="143"/>
      <c r="AU248" s="143"/>
      <c r="AV248" s="146"/>
      <c r="AW248" s="224">
        <f t="shared" si="101"/>
        <v>0</v>
      </c>
      <c r="AX248" s="274"/>
      <c r="AY248" s="126"/>
      <c r="AZ248" s="126"/>
      <c r="BA248" s="126"/>
      <c r="BB248" s="126"/>
      <c r="BC248" s="126"/>
      <c r="BD248" s="126"/>
      <c r="BE248" s="126"/>
      <c r="BF248" s="126"/>
      <c r="BG248" s="275"/>
      <c r="BH248" s="274"/>
      <c r="BI248" s="222">
        <f t="shared" si="102"/>
        <v>0</v>
      </c>
      <c r="BJ248" s="140">
        <f t="shared" si="103"/>
        <v>0</v>
      </c>
      <c r="BK248" s="132"/>
      <c r="BL248" s="140">
        <f t="shared" si="104"/>
        <v>0</v>
      </c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41"/>
      <c r="BY248" s="141"/>
      <c r="BZ248" s="130">
        <f t="shared" si="105"/>
        <v>0</v>
      </c>
      <c r="CA248" s="132"/>
    </row>
    <row r="249" ht="14.25" customHeight="1">
      <c r="A249" s="132"/>
      <c r="B249" s="215">
        <v>46244</v>
      </c>
      <c r="C249" s="133"/>
      <c r="D249" s="136"/>
      <c r="E249" s="135"/>
      <c r="F249" s="135"/>
      <c r="G249" s="147">
        <f t="shared" si="97"/>
        <v>0</v>
      </c>
      <c r="H249" s="144"/>
      <c r="I249" s="144"/>
      <c r="J249" s="144"/>
      <c r="K249" s="144"/>
      <c r="L249" s="143"/>
      <c r="M249" s="143"/>
      <c r="N249" s="143"/>
      <c r="O249" s="143"/>
      <c r="P249" s="611"/>
      <c r="Q249" s="143"/>
      <c r="R249" s="143"/>
      <c r="S249" s="143"/>
      <c r="T249" s="143"/>
      <c r="U249" s="143"/>
      <c r="V249" s="143"/>
      <c r="W249" s="143"/>
      <c r="X249" s="143"/>
      <c r="Y249" s="143"/>
      <c r="Z249" s="103">
        <f t="shared" si="98"/>
        <v>0</v>
      </c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03">
        <f t="shared" si="99"/>
        <v>0</v>
      </c>
      <c r="AO249" s="136"/>
      <c r="AP249" s="136"/>
      <c r="AQ249" s="136"/>
      <c r="AR249" s="105">
        <f t="shared" si="100"/>
        <v>0</v>
      </c>
      <c r="AS249" s="143"/>
      <c r="AT249" s="143"/>
      <c r="AU249" s="143"/>
      <c r="AV249" s="146"/>
      <c r="AW249" s="224">
        <f t="shared" si="101"/>
        <v>0</v>
      </c>
      <c r="AX249" s="274"/>
      <c r="AY249" s="126"/>
      <c r="AZ249" s="126"/>
      <c r="BA249" s="126"/>
      <c r="BB249" s="126"/>
      <c r="BC249" s="126"/>
      <c r="BD249" s="126"/>
      <c r="BE249" s="126"/>
      <c r="BF249" s="126"/>
      <c r="BG249" s="275"/>
      <c r="BH249" s="274"/>
      <c r="BI249" s="222">
        <f t="shared" si="102"/>
        <v>0</v>
      </c>
      <c r="BJ249" s="140">
        <f t="shared" si="103"/>
        <v>0</v>
      </c>
      <c r="BK249" s="132"/>
      <c r="BL249" s="140">
        <f t="shared" si="104"/>
        <v>0</v>
      </c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41"/>
      <c r="BY249" s="141"/>
      <c r="BZ249" s="130">
        <f t="shared" si="105"/>
        <v>0</v>
      </c>
      <c r="CA249" s="132"/>
    </row>
    <row r="250" ht="14.25" customHeight="1">
      <c r="A250" s="132"/>
      <c r="B250" s="215">
        <v>46245</v>
      </c>
      <c r="C250" s="133"/>
      <c r="D250" s="136"/>
      <c r="E250" s="135"/>
      <c r="F250" s="135"/>
      <c r="G250" s="147">
        <f t="shared" si="97"/>
        <v>0</v>
      </c>
      <c r="H250" s="144"/>
      <c r="I250" s="144"/>
      <c r="J250" s="144"/>
      <c r="K250" s="144"/>
      <c r="L250" s="143"/>
      <c r="M250" s="143"/>
      <c r="N250" s="143"/>
      <c r="O250" s="143"/>
      <c r="P250" s="611"/>
      <c r="Q250" s="143"/>
      <c r="R250" s="143"/>
      <c r="S250" s="143"/>
      <c r="T250" s="143"/>
      <c r="U250" s="143"/>
      <c r="V250" s="143"/>
      <c r="W250" s="143"/>
      <c r="X250" s="143"/>
      <c r="Y250" s="143"/>
      <c r="Z250" s="103">
        <f t="shared" si="98"/>
        <v>0</v>
      </c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43"/>
      <c r="AM250" s="143"/>
      <c r="AN250" s="103">
        <f t="shared" si="99"/>
        <v>0</v>
      </c>
      <c r="AO250" s="136"/>
      <c r="AP250" s="136"/>
      <c r="AQ250" s="136"/>
      <c r="AR250" s="105">
        <f t="shared" si="100"/>
        <v>0</v>
      </c>
      <c r="AS250" s="143"/>
      <c r="AT250" s="143"/>
      <c r="AU250" s="143"/>
      <c r="AV250" s="146"/>
      <c r="AW250" s="224">
        <f t="shared" si="101"/>
        <v>0</v>
      </c>
      <c r="AX250" s="274"/>
      <c r="AY250" s="126"/>
      <c r="AZ250" s="126"/>
      <c r="BA250" s="126"/>
      <c r="BB250" s="126"/>
      <c r="BC250" s="126"/>
      <c r="BD250" s="126"/>
      <c r="BE250" s="126"/>
      <c r="BF250" s="126"/>
      <c r="BG250" s="275"/>
      <c r="BH250" s="274"/>
      <c r="BI250" s="222">
        <f t="shared" si="102"/>
        <v>0</v>
      </c>
      <c r="BJ250" s="140">
        <f t="shared" si="103"/>
        <v>0</v>
      </c>
      <c r="BK250" s="132"/>
      <c r="BL250" s="140">
        <f t="shared" si="104"/>
        <v>0</v>
      </c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41"/>
      <c r="BY250" s="141"/>
      <c r="BZ250" s="130">
        <f t="shared" si="105"/>
        <v>0</v>
      </c>
      <c r="CA250" s="132"/>
    </row>
    <row r="251" ht="14.25" customHeight="1">
      <c r="A251" s="132"/>
      <c r="B251" s="215">
        <v>46246</v>
      </c>
      <c r="C251" s="133"/>
      <c r="D251" s="136"/>
      <c r="E251" s="135"/>
      <c r="F251" s="135"/>
      <c r="G251" s="147">
        <f t="shared" si="97"/>
        <v>0</v>
      </c>
      <c r="H251" s="144"/>
      <c r="I251" s="144"/>
      <c r="J251" s="144"/>
      <c r="K251" s="144"/>
      <c r="L251" s="143"/>
      <c r="M251" s="143"/>
      <c r="N251" s="143"/>
      <c r="O251" s="143"/>
      <c r="P251" s="611"/>
      <c r="Q251" s="143"/>
      <c r="R251" s="143"/>
      <c r="S251" s="143"/>
      <c r="T251" s="143"/>
      <c r="U251" s="143"/>
      <c r="V251" s="143"/>
      <c r="W251" s="143"/>
      <c r="X251" s="143"/>
      <c r="Y251" s="143"/>
      <c r="Z251" s="103">
        <f t="shared" si="98"/>
        <v>0</v>
      </c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43"/>
      <c r="AM251" s="143"/>
      <c r="AN251" s="103">
        <f t="shared" si="99"/>
        <v>0</v>
      </c>
      <c r="AO251" s="136"/>
      <c r="AP251" s="136"/>
      <c r="AQ251" s="136"/>
      <c r="AR251" s="105">
        <f t="shared" si="100"/>
        <v>0</v>
      </c>
      <c r="AS251" s="143"/>
      <c r="AT251" s="143"/>
      <c r="AU251" s="143"/>
      <c r="AV251" s="146"/>
      <c r="AW251" s="224">
        <f t="shared" si="101"/>
        <v>0</v>
      </c>
      <c r="AX251" s="274"/>
      <c r="AY251" s="126"/>
      <c r="AZ251" s="126"/>
      <c r="BA251" s="126"/>
      <c r="BB251" s="126"/>
      <c r="BC251" s="126"/>
      <c r="BD251" s="126"/>
      <c r="BE251" s="126"/>
      <c r="BF251" s="126"/>
      <c r="BG251" s="275"/>
      <c r="BH251" s="274"/>
      <c r="BI251" s="222">
        <f t="shared" si="102"/>
        <v>0</v>
      </c>
      <c r="BJ251" s="140">
        <f t="shared" si="103"/>
        <v>0</v>
      </c>
      <c r="BK251" s="132"/>
      <c r="BL251" s="140">
        <f t="shared" si="104"/>
        <v>0</v>
      </c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41"/>
      <c r="BY251" s="141"/>
      <c r="BZ251" s="130">
        <f t="shared" si="105"/>
        <v>0</v>
      </c>
      <c r="CA251" s="132"/>
    </row>
    <row r="252" ht="14.25" customHeight="1">
      <c r="A252" s="132"/>
      <c r="B252" s="215">
        <v>46247</v>
      </c>
      <c r="C252" s="133"/>
      <c r="D252" s="136"/>
      <c r="E252" s="135"/>
      <c r="F252" s="135"/>
      <c r="G252" s="147">
        <f t="shared" si="97"/>
        <v>0</v>
      </c>
      <c r="H252" s="144"/>
      <c r="I252" s="144"/>
      <c r="J252" s="144"/>
      <c r="K252" s="144"/>
      <c r="L252" s="143"/>
      <c r="M252" s="143"/>
      <c r="N252" s="143"/>
      <c r="O252" s="143"/>
      <c r="P252" s="611"/>
      <c r="Q252" s="143"/>
      <c r="R252" s="143"/>
      <c r="S252" s="143"/>
      <c r="T252" s="143"/>
      <c r="U252" s="143"/>
      <c r="V252" s="143"/>
      <c r="W252" s="143"/>
      <c r="X252" s="143"/>
      <c r="Y252" s="143"/>
      <c r="Z252" s="103">
        <f t="shared" si="98"/>
        <v>0</v>
      </c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43"/>
      <c r="AM252" s="143"/>
      <c r="AN252" s="103">
        <f t="shared" si="99"/>
        <v>0</v>
      </c>
      <c r="AO252" s="136"/>
      <c r="AP252" s="136"/>
      <c r="AQ252" s="136"/>
      <c r="AR252" s="105">
        <f t="shared" si="100"/>
        <v>0</v>
      </c>
      <c r="AS252" s="143"/>
      <c r="AT252" s="143"/>
      <c r="AU252" s="143"/>
      <c r="AV252" s="146"/>
      <c r="AW252" s="224">
        <f t="shared" si="101"/>
        <v>0</v>
      </c>
      <c r="AX252" s="274"/>
      <c r="AY252" s="126"/>
      <c r="AZ252" s="126"/>
      <c r="BA252" s="126"/>
      <c r="BB252" s="126"/>
      <c r="BC252" s="126"/>
      <c r="BD252" s="126"/>
      <c r="BE252" s="126"/>
      <c r="BF252" s="126"/>
      <c r="BG252" s="275"/>
      <c r="BH252" s="274"/>
      <c r="BI252" s="222">
        <f t="shared" si="102"/>
        <v>0</v>
      </c>
      <c r="BJ252" s="140">
        <f t="shared" si="103"/>
        <v>0</v>
      </c>
      <c r="BK252" s="132"/>
      <c r="BL252" s="140">
        <f t="shared" si="104"/>
        <v>0</v>
      </c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41"/>
      <c r="BY252" s="141"/>
      <c r="BZ252" s="130">
        <f t="shared" si="105"/>
        <v>0</v>
      </c>
      <c r="CA252" s="132"/>
    </row>
    <row r="253" ht="14.25" customHeight="1">
      <c r="A253" s="671"/>
      <c r="B253" s="215">
        <v>46248</v>
      </c>
      <c r="C253" s="133"/>
      <c r="D253" s="136"/>
      <c r="E253" s="135"/>
      <c r="F253" s="135"/>
      <c r="G253" s="147">
        <f t="shared" si="97"/>
        <v>0</v>
      </c>
      <c r="H253" s="144"/>
      <c r="I253" s="144"/>
      <c r="J253" s="144"/>
      <c r="K253" s="144"/>
      <c r="L253" s="143"/>
      <c r="M253" s="143"/>
      <c r="N253" s="143"/>
      <c r="O253" s="143"/>
      <c r="P253" s="611"/>
      <c r="Q253" s="143"/>
      <c r="R253" s="143"/>
      <c r="S253" s="143"/>
      <c r="T253" s="143"/>
      <c r="U253" s="143"/>
      <c r="V253" s="143"/>
      <c r="W253" s="143"/>
      <c r="X253" s="143"/>
      <c r="Y253" s="143"/>
      <c r="Z253" s="103">
        <f t="shared" si="98"/>
        <v>0</v>
      </c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43"/>
      <c r="AM253" s="143"/>
      <c r="AN253" s="103">
        <f t="shared" si="99"/>
        <v>0</v>
      </c>
      <c r="AO253" s="136"/>
      <c r="AP253" s="136"/>
      <c r="AQ253" s="136"/>
      <c r="AR253" s="105">
        <f t="shared" si="100"/>
        <v>0</v>
      </c>
      <c r="AS253" s="143"/>
      <c r="AT253" s="143"/>
      <c r="AU253" s="143"/>
      <c r="AV253" s="146"/>
      <c r="AW253" s="224">
        <f t="shared" si="101"/>
        <v>0</v>
      </c>
      <c r="AX253" s="274"/>
      <c r="AY253" s="126"/>
      <c r="AZ253" s="126"/>
      <c r="BA253" s="126"/>
      <c r="BB253" s="126"/>
      <c r="BC253" s="126"/>
      <c r="BD253" s="126"/>
      <c r="BE253" s="126"/>
      <c r="BF253" s="126"/>
      <c r="BG253" s="275"/>
      <c r="BH253" s="274"/>
      <c r="BI253" s="222">
        <f t="shared" si="102"/>
        <v>0</v>
      </c>
      <c r="BJ253" s="140">
        <f t="shared" si="103"/>
        <v>0</v>
      </c>
      <c r="BK253" s="132"/>
      <c r="BL253" s="140">
        <f t="shared" si="104"/>
        <v>0</v>
      </c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41"/>
      <c r="BY253" s="141"/>
      <c r="BZ253" s="130">
        <f t="shared" si="105"/>
        <v>0</v>
      </c>
      <c r="CA253" s="132"/>
    </row>
    <row r="254" ht="14.25" customHeight="1">
      <c r="A254" s="132"/>
      <c r="B254" s="215">
        <v>46249</v>
      </c>
      <c r="C254" s="133"/>
      <c r="D254" s="136"/>
      <c r="E254" s="135"/>
      <c r="F254" s="135"/>
      <c r="G254" s="147">
        <f t="shared" si="97"/>
        <v>0</v>
      </c>
      <c r="H254" s="144"/>
      <c r="I254" s="144"/>
      <c r="J254" s="144"/>
      <c r="K254" s="144"/>
      <c r="L254" s="143"/>
      <c r="M254" s="143"/>
      <c r="N254" s="143"/>
      <c r="O254" s="143"/>
      <c r="P254" s="611"/>
      <c r="Q254" s="143"/>
      <c r="R254" s="143"/>
      <c r="S254" s="143"/>
      <c r="T254" s="143"/>
      <c r="U254" s="143"/>
      <c r="V254" s="143"/>
      <c r="W254" s="143"/>
      <c r="X254" s="143"/>
      <c r="Y254" s="143"/>
      <c r="Z254" s="103">
        <f t="shared" si="98"/>
        <v>0</v>
      </c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43"/>
      <c r="AM254" s="143"/>
      <c r="AN254" s="103">
        <f t="shared" si="99"/>
        <v>0</v>
      </c>
      <c r="AO254" s="136"/>
      <c r="AP254" s="136"/>
      <c r="AQ254" s="136"/>
      <c r="AR254" s="105">
        <f t="shared" si="100"/>
        <v>0</v>
      </c>
      <c r="AS254" s="143"/>
      <c r="AT254" s="143"/>
      <c r="AU254" s="143"/>
      <c r="AV254" s="146"/>
      <c r="AW254" s="224">
        <f t="shared" si="101"/>
        <v>0</v>
      </c>
      <c r="AX254" s="274"/>
      <c r="AY254" s="126"/>
      <c r="AZ254" s="126"/>
      <c r="BA254" s="126"/>
      <c r="BB254" s="126"/>
      <c r="BC254" s="126"/>
      <c r="BD254" s="126"/>
      <c r="BE254" s="126"/>
      <c r="BF254" s="126"/>
      <c r="BG254" s="275"/>
      <c r="BH254" s="274"/>
      <c r="BI254" s="222">
        <f t="shared" si="102"/>
        <v>0</v>
      </c>
      <c r="BJ254" s="140">
        <f t="shared" si="103"/>
        <v>0</v>
      </c>
      <c r="BK254" s="132"/>
      <c r="BL254" s="140">
        <f t="shared" si="104"/>
        <v>0</v>
      </c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41"/>
      <c r="BY254" s="141"/>
      <c r="BZ254" s="130">
        <f t="shared" si="105"/>
        <v>0</v>
      </c>
      <c r="CA254" s="132"/>
    </row>
    <row r="255" ht="14.25" customHeight="1">
      <c r="A255" s="132"/>
      <c r="B255" s="215">
        <v>46250</v>
      </c>
      <c r="C255" s="133"/>
      <c r="D255" s="136"/>
      <c r="E255" s="135"/>
      <c r="F255" s="135"/>
      <c r="G255" s="147">
        <f t="shared" si="97"/>
        <v>0</v>
      </c>
      <c r="H255" s="144"/>
      <c r="I255" s="144"/>
      <c r="J255" s="144"/>
      <c r="K255" s="144"/>
      <c r="L255" s="143"/>
      <c r="M255" s="143"/>
      <c r="N255" s="143"/>
      <c r="O255" s="143"/>
      <c r="P255" s="611"/>
      <c r="Q255" s="143"/>
      <c r="R255" s="143"/>
      <c r="S255" s="143"/>
      <c r="T255" s="143"/>
      <c r="U255" s="143"/>
      <c r="V255" s="143"/>
      <c r="W255" s="143"/>
      <c r="X255" s="143"/>
      <c r="Y255" s="143"/>
      <c r="Z255" s="103">
        <f t="shared" si="98"/>
        <v>0</v>
      </c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43"/>
      <c r="AM255" s="143"/>
      <c r="AN255" s="103">
        <f t="shared" si="99"/>
        <v>0</v>
      </c>
      <c r="AO255" s="136"/>
      <c r="AP255" s="136"/>
      <c r="AQ255" s="136"/>
      <c r="AR255" s="105">
        <f t="shared" si="100"/>
        <v>0</v>
      </c>
      <c r="AS255" s="143"/>
      <c r="AT255" s="143"/>
      <c r="AU255" s="143"/>
      <c r="AV255" s="146"/>
      <c r="AW255" s="224">
        <f t="shared" si="101"/>
        <v>0</v>
      </c>
      <c r="AX255" s="274"/>
      <c r="AY255" s="126"/>
      <c r="AZ255" s="126"/>
      <c r="BA255" s="126"/>
      <c r="BB255" s="126"/>
      <c r="BC255" s="126"/>
      <c r="BD255" s="126"/>
      <c r="BE255" s="126"/>
      <c r="BF255" s="126"/>
      <c r="BG255" s="275"/>
      <c r="BH255" s="274"/>
      <c r="BI255" s="222">
        <f t="shared" si="102"/>
        <v>0</v>
      </c>
      <c r="BJ255" s="140">
        <f t="shared" si="103"/>
        <v>0</v>
      </c>
      <c r="BK255" s="132"/>
      <c r="BL255" s="140">
        <f t="shared" si="104"/>
        <v>0</v>
      </c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41"/>
      <c r="BY255" s="141"/>
      <c r="BZ255" s="130">
        <f t="shared" si="105"/>
        <v>0</v>
      </c>
      <c r="CA255" s="132"/>
    </row>
    <row r="256" ht="14.25" customHeight="1">
      <c r="A256" s="132"/>
      <c r="B256" s="215">
        <v>46251</v>
      </c>
      <c r="C256" s="133"/>
      <c r="D256" s="136"/>
      <c r="E256" s="135"/>
      <c r="F256" s="135"/>
      <c r="G256" s="147">
        <f t="shared" si="97"/>
        <v>0</v>
      </c>
      <c r="H256" s="144"/>
      <c r="I256" s="144"/>
      <c r="J256" s="144"/>
      <c r="K256" s="144"/>
      <c r="L256" s="143"/>
      <c r="M256" s="143"/>
      <c r="N256" s="143"/>
      <c r="O256" s="143"/>
      <c r="P256" s="611"/>
      <c r="Q256" s="143"/>
      <c r="R256" s="143"/>
      <c r="S256" s="143"/>
      <c r="T256" s="143"/>
      <c r="U256" s="143"/>
      <c r="V256" s="143"/>
      <c r="W256" s="143"/>
      <c r="X256" s="143"/>
      <c r="Y256" s="143"/>
      <c r="Z256" s="103">
        <f t="shared" si="98"/>
        <v>0</v>
      </c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43"/>
      <c r="AM256" s="143"/>
      <c r="AN256" s="103">
        <f t="shared" si="99"/>
        <v>0</v>
      </c>
      <c r="AO256" s="136"/>
      <c r="AP256" s="136"/>
      <c r="AQ256" s="136"/>
      <c r="AR256" s="105">
        <f t="shared" si="100"/>
        <v>0</v>
      </c>
      <c r="AS256" s="143"/>
      <c r="AT256" s="143"/>
      <c r="AU256" s="143"/>
      <c r="AV256" s="146"/>
      <c r="AW256" s="224">
        <f t="shared" si="101"/>
        <v>0</v>
      </c>
      <c r="AX256" s="274"/>
      <c r="AY256" s="126"/>
      <c r="AZ256" s="126"/>
      <c r="BA256" s="126"/>
      <c r="BB256" s="126"/>
      <c r="BC256" s="126"/>
      <c r="BD256" s="126"/>
      <c r="BE256" s="126"/>
      <c r="BF256" s="126"/>
      <c r="BG256" s="275"/>
      <c r="BH256" s="274"/>
      <c r="BI256" s="222">
        <f t="shared" si="102"/>
        <v>0</v>
      </c>
      <c r="BJ256" s="140">
        <f t="shared" si="103"/>
        <v>0</v>
      </c>
      <c r="BK256" s="132"/>
      <c r="BL256" s="140">
        <f t="shared" si="104"/>
        <v>0</v>
      </c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41"/>
      <c r="BY256" s="141"/>
      <c r="BZ256" s="130">
        <f t="shared" si="105"/>
        <v>0</v>
      </c>
      <c r="CA256" s="132"/>
    </row>
    <row r="257" ht="14.25" customHeight="1">
      <c r="A257" s="132"/>
      <c r="B257" s="215">
        <v>46252</v>
      </c>
      <c r="C257" s="133"/>
      <c r="D257" s="136"/>
      <c r="E257" s="135"/>
      <c r="F257" s="135"/>
      <c r="G257" s="147">
        <f t="shared" si="97"/>
        <v>0</v>
      </c>
      <c r="H257" s="144"/>
      <c r="I257" s="144"/>
      <c r="J257" s="144"/>
      <c r="K257" s="144"/>
      <c r="L257" s="143"/>
      <c r="M257" s="143"/>
      <c r="N257" s="143"/>
      <c r="O257" s="143"/>
      <c r="P257" s="611"/>
      <c r="Q257" s="143"/>
      <c r="R257" s="143"/>
      <c r="S257" s="143"/>
      <c r="T257" s="143"/>
      <c r="U257" s="143"/>
      <c r="V257" s="143"/>
      <c r="W257" s="143"/>
      <c r="X257" s="143"/>
      <c r="Y257" s="143"/>
      <c r="Z257" s="103">
        <f t="shared" si="98"/>
        <v>0</v>
      </c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43"/>
      <c r="AM257" s="143"/>
      <c r="AN257" s="103">
        <f t="shared" si="99"/>
        <v>0</v>
      </c>
      <c r="AO257" s="136"/>
      <c r="AP257" s="136"/>
      <c r="AQ257" s="136"/>
      <c r="AR257" s="105">
        <f t="shared" si="100"/>
        <v>0</v>
      </c>
      <c r="AS257" s="143"/>
      <c r="AT257" s="143"/>
      <c r="AU257" s="143"/>
      <c r="AV257" s="146"/>
      <c r="AW257" s="224">
        <f t="shared" si="101"/>
        <v>0</v>
      </c>
      <c r="AX257" s="274"/>
      <c r="AY257" s="126"/>
      <c r="AZ257" s="126"/>
      <c r="BA257" s="126"/>
      <c r="BB257" s="126"/>
      <c r="BC257" s="126"/>
      <c r="BD257" s="126"/>
      <c r="BE257" s="126"/>
      <c r="BF257" s="126"/>
      <c r="BG257" s="275"/>
      <c r="BH257" s="274"/>
      <c r="BI257" s="222">
        <f t="shared" si="102"/>
        <v>0</v>
      </c>
      <c r="BJ257" s="140">
        <f t="shared" si="103"/>
        <v>0</v>
      </c>
      <c r="BK257" s="132"/>
      <c r="BL257" s="140">
        <f t="shared" si="104"/>
        <v>0</v>
      </c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41"/>
      <c r="BY257" s="141"/>
      <c r="BZ257" s="130">
        <f t="shared" si="105"/>
        <v>0</v>
      </c>
      <c r="CA257" s="132"/>
    </row>
    <row r="258" ht="14.25" customHeight="1">
      <c r="A258" s="132"/>
      <c r="B258" s="215">
        <v>46253</v>
      </c>
      <c r="C258" s="133"/>
      <c r="D258" s="136"/>
      <c r="E258" s="135"/>
      <c r="F258" s="135"/>
      <c r="G258" s="147">
        <f t="shared" si="97"/>
        <v>0</v>
      </c>
      <c r="H258" s="144"/>
      <c r="I258" s="144"/>
      <c r="J258" s="144"/>
      <c r="K258" s="144"/>
      <c r="L258" s="143"/>
      <c r="M258" s="143"/>
      <c r="N258" s="143"/>
      <c r="O258" s="143"/>
      <c r="P258" s="611"/>
      <c r="Q258" s="143"/>
      <c r="R258" s="143"/>
      <c r="S258" s="143"/>
      <c r="T258" s="143"/>
      <c r="U258" s="143"/>
      <c r="V258" s="143"/>
      <c r="W258" s="143"/>
      <c r="X258" s="143"/>
      <c r="Y258" s="143"/>
      <c r="Z258" s="103">
        <f t="shared" si="98"/>
        <v>0</v>
      </c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43"/>
      <c r="AM258" s="143"/>
      <c r="AN258" s="103">
        <f t="shared" si="99"/>
        <v>0</v>
      </c>
      <c r="AO258" s="136"/>
      <c r="AP258" s="136"/>
      <c r="AQ258" s="136"/>
      <c r="AR258" s="105">
        <f t="shared" si="100"/>
        <v>0</v>
      </c>
      <c r="AS258" s="143"/>
      <c r="AT258" s="143"/>
      <c r="AU258" s="143"/>
      <c r="AV258" s="146"/>
      <c r="AW258" s="224">
        <f t="shared" si="101"/>
        <v>0</v>
      </c>
      <c r="AX258" s="274"/>
      <c r="AY258" s="126"/>
      <c r="AZ258" s="126"/>
      <c r="BA258" s="126"/>
      <c r="BB258" s="126"/>
      <c r="BC258" s="126"/>
      <c r="BD258" s="126"/>
      <c r="BE258" s="126"/>
      <c r="BF258" s="126"/>
      <c r="BG258" s="275"/>
      <c r="BH258" s="274"/>
      <c r="BI258" s="222">
        <f t="shared" si="102"/>
        <v>0</v>
      </c>
      <c r="BJ258" s="140">
        <f t="shared" si="103"/>
        <v>0</v>
      </c>
      <c r="BK258" s="132"/>
      <c r="BL258" s="140">
        <f t="shared" si="104"/>
        <v>0</v>
      </c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41"/>
      <c r="BY258" s="141"/>
      <c r="BZ258" s="130">
        <f t="shared" si="105"/>
        <v>0</v>
      </c>
      <c r="CA258" s="132"/>
    </row>
    <row r="259" ht="14.25" customHeight="1">
      <c r="A259" s="132"/>
      <c r="B259" s="215">
        <v>46254</v>
      </c>
      <c r="C259" s="133"/>
      <c r="D259" s="136"/>
      <c r="E259" s="135"/>
      <c r="F259" s="135"/>
      <c r="G259" s="147">
        <f t="shared" si="97"/>
        <v>0</v>
      </c>
      <c r="H259" s="144"/>
      <c r="I259" s="144"/>
      <c r="J259" s="144"/>
      <c r="K259" s="144"/>
      <c r="L259" s="143"/>
      <c r="M259" s="143"/>
      <c r="N259" s="143"/>
      <c r="O259" s="143"/>
      <c r="P259" s="611"/>
      <c r="Q259" s="143"/>
      <c r="R259" s="143"/>
      <c r="S259" s="143"/>
      <c r="T259" s="143"/>
      <c r="U259" s="143"/>
      <c r="V259" s="143"/>
      <c r="W259" s="143"/>
      <c r="X259" s="143"/>
      <c r="Y259" s="143"/>
      <c r="Z259" s="103">
        <f t="shared" si="98"/>
        <v>0</v>
      </c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43"/>
      <c r="AM259" s="143"/>
      <c r="AN259" s="103">
        <f t="shared" si="99"/>
        <v>0</v>
      </c>
      <c r="AO259" s="136"/>
      <c r="AP259" s="136"/>
      <c r="AQ259" s="136"/>
      <c r="AR259" s="105">
        <f t="shared" si="100"/>
        <v>0</v>
      </c>
      <c r="AS259" s="143"/>
      <c r="AT259" s="143"/>
      <c r="AU259" s="143"/>
      <c r="AV259" s="146"/>
      <c r="AW259" s="224">
        <f t="shared" si="101"/>
        <v>0</v>
      </c>
      <c r="AX259" s="274"/>
      <c r="AY259" s="126"/>
      <c r="AZ259" s="126"/>
      <c r="BA259" s="126"/>
      <c r="BB259" s="126"/>
      <c r="BC259" s="126"/>
      <c r="BD259" s="126"/>
      <c r="BE259" s="126"/>
      <c r="BF259" s="126"/>
      <c r="BG259" s="275"/>
      <c r="BH259" s="274"/>
      <c r="BI259" s="222">
        <f t="shared" si="102"/>
        <v>0</v>
      </c>
      <c r="BJ259" s="140">
        <f t="shared" si="103"/>
        <v>0</v>
      </c>
      <c r="BK259" s="132"/>
      <c r="BL259" s="140">
        <f t="shared" si="104"/>
        <v>0</v>
      </c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41"/>
      <c r="BY259" s="141"/>
      <c r="BZ259" s="130">
        <f t="shared" si="105"/>
        <v>0</v>
      </c>
      <c r="CA259" s="132"/>
    </row>
    <row r="260" ht="14.25" customHeight="1">
      <c r="A260" s="132"/>
      <c r="B260" s="215">
        <v>46255</v>
      </c>
      <c r="C260" s="133"/>
      <c r="D260" s="136"/>
      <c r="E260" s="135"/>
      <c r="F260" s="135"/>
      <c r="G260" s="147">
        <f t="shared" si="97"/>
        <v>0</v>
      </c>
      <c r="H260" s="144"/>
      <c r="I260" s="144"/>
      <c r="J260" s="144"/>
      <c r="K260" s="144"/>
      <c r="L260" s="143"/>
      <c r="M260" s="143"/>
      <c r="N260" s="143"/>
      <c r="O260" s="143"/>
      <c r="P260" s="611"/>
      <c r="Q260" s="143"/>
      <c r="R260" s="143"/>
      <c r="S260" s="143"/>
      <c r="T260" s="143"/>
      <c r="U260" s="143"/>
      <c r="V260" s="143"/>
      <c r="W260" s="143"/>
      <c r="X260" s="143"/>
      <c r="Y260" s="143"/>
      <c r="Z260" s="103">
        <f t="shared" si="98"/>
        <v>0</v>
      </c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43"/>
      <c r="AM260" s="143"/>
      <c r="AN260" s="103">
        <f t="shared" si="99"/>
        <v>0</v>
      </c>
      <c r="AO260" s="136"/>
      <c r="AP260" s="136"/>
      <c r="AQ260" s="136"/>
      <c r="AR260" s="105">
        <f t="shared" si="100"/>
        <v>0</v>
      </c>
      <c r="AS260" s="143"/>
      <c r="AT260" s="143"/>
      <c r="AU260" s="143"/>
      <c r="AV260" s="146"/>
      <c r="AW260" s="224">
        <f t="shared" si="101"/>
        <v>0</v>
      </c>
      <c r="AX260" s="274"/>
      <c r="AY260" s="126"/>
      <c r="AZ260" s="126"/>
      <c r="BA260" s="126"/>
      <c r="BB260" s="126"/>
      <c r="BC260" s="126"/>
      <c r="BD260" s="126"/>
      <c r="BE260" s="126"/>
      <c r="BF260" s="126"/>
      <c r="BG260" s="275"/>
      <c r="BH260" s="274"/>
      <c r="BI260" s="222">
        <f t="shared" si="102"/>
        <v>0</v>
      </c>
      <c r="BJ260" s="140">
        <f t="shared" si="103"/>
        <v>0</v>
      </c>
      <c r="BK260" s="132"/>
      <c r="BL260" s="140">
        <f t="shared" si="104"/>
        <v>0</v>
      </c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41"/>
      <c r="BY260" s="141"/>
      <c r="BZ260" s="130">
        <f t="shared" si="105"/>
        <v>0</v>
      </c>
      <c r="CA260" s="132"/>
    </row>
    <row r="261" ht="14.25" customHeight="1">
      <c r="A261" s="132"/>
      <c r="B261" s="215">
        <v>46256</v>
      </c>
      <c r="C261" s="133"/>
      <c r="D261" s="136"/>
      <c r="E261" s="135"/>
      <c r="F261" s="135"/>
      <c r="G261" s="147">
        <f t="shared" si="97"/>
        <v>0</v>
      </c>
      <c r="H261" s="144"/>
      <c r="I261" s="144"/>
      <c r="J261" s="144"/>
      <c r="K261" s="144"/>
      <c r="L261" s="143"/>
      <c r="M261" s="143"/>
      <c r="N261" s="143"/>
      <c r="O261" s="143"/>
      <c r="P261" s="611"/>
      <c r="Q261" s="143"/>
      <c r="R261" s="143"/>
      <c r="S261" s="143"/>
      <c r="T261" s="143"/>
      <c r="U261" s="143"/>
      <c r="V261" s="143"/>
      <c r="W261" s="143"/>
      <c r="X261" s="143"/>
      <c r="Y261" s="143"/>
      <c r="Z261" s="103">
        <f t="shared" si="98"/>
        <v>0</v>
      </c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03">
        <f t="shared" si="99"/>
        <v>0</v>
      </c>
      <c r="AO261" s="136"/>
      <c r="AP261" s="136"/>
      <c r="AQ261" s="136"/>
      <c r="AR261" s="105">
        <f t="shared" si="100"/>
        <v>0</v>
      </c>
      <c r="AS261" s="143"/>
      <c r="AT261" s="143"/>
      <c r="AU261" s="143"/>
      <c r="AV261" s="146"/>
      <c r="AW261" s="224">
        <f t="shared" si="101"/>
        <v>0</v>
      </c>
      <c r="AX261" s="274"/>
      <c r="AY261" s="126"/>
      <c r="AZ261" s="126"/>
      <c r="BA261" s="126"/>
      <c r="BB261" s="126"/>
      <c r="BC261" s="126"/>
      <c r="BD261" s="126"/>
      <c r="BE261" s="126"/>
      <c r="BF261" s="126"/>
      <c r="BG261" s="275"/>
      <c r="BH261" s="274"/>
      <c r="BI261" s="222">
        <f t="shared" si="102"/>
        <v>0</v>
      </c>
      <c r="BJ261" s="140">
        <f t="shared" si="103"/>
        <v>0</v>
      </c>
      <c r="BK261" s="132"/>
      <c r="BL261" s="140">
        <f t="shared" si="104"/>
        <v>0</v>
      </c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41"/>
      <c r="BY261" s="141"/>
      <c r="BZ261" s="130">
        <f t="shared" si="105"/>
        <v>0</v>
      </c>
      <c r="CA261" s="132"/>
    </row>
    <row r="262" ht="14.25" customHeight="1">
      <c r="A262" s="132"/>
      <c r="B262" s="215">
        <v>46257</v>
      </c>
      <c r="C262" s="133"/>
      <c r="D262" s="136"/>
      <c r="E262" s="135"/>
      <c r="F262" s="135"/>
      <c r="G262" s="147">
        <f t="shared" si="97"/>
        <v>0</v>
      </c>
      <c r="H262" s="144"/>
      <c r="I262" s="144"/>
      <c r="J262" s="144"/>
      <c r="K262" s="144"/>
      <c r="L262" s="143"/>
      <c r="M262" s="143"/>
      <c r="N262" s="143"/>
      <c r="O262" s="143"/>
      <c r="P262" s="611"/>
      <c r="Q262" s="143"/>
      <c r="R262" s="143"/>
      <c r="S262" s="143"/>
      <c r="T262" s="143"/>
      <c r="U262" s="143"/>
      <c r="V262" s="143"/>
      <c r="W262" s="143"/>
      <c r="X262" s="143"/>
      <c r="Y262" s="143"/>
      <c r="Z262" s="103">
        <f t="shared" si="98"/>
        <v>0</v>
      </c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43"/>
      <c r="AM262" s="143"/>
      <c r="AN262" s="103">
        <f t="shared" si="99"/>
        <v>0</v>
      </c>
      <c r="AO262" s="136"/>
      <c r="AP262" s="136"/>
      <c r="AQ262" s="136"/>
      <c r="AR262" s="105">
        <f t="shared" si="100"/>
        <v>0</v>
      </c>
      <c r="AS262" s="143"/>
      <c r="AT262" s="143"/>
      <c r="AU262" s="143"/>
      <c r="AV262" s="146"/>
      <c r="AW262" s="224">
        <f t="shared" si="101"/>
        <v>0</v>
      </c>
      <c r="AX262" s="274"/>
      <c r="AY262" s="126"/>
      <c r="AZ262" s="126"/>
      <c r="BA262" s="126"/>
      <c r="BB262" s="126"/>
      <c r="BC262" s="126"/>
      <c r="BD262" s="126"/>
      <c r="BE262" s="126"/>
      <c r="BF262" s="126"/>
      <c r="BG262" s="275"/>
      <c r="BH262" s="274"/>
      <c r="BI262" s="222">
        <f t="shared" si="102"/>
        <v>0</v>
      </c>
      <c r="BJ262" s="140">
        <f t="shared" si="103"/>
        <v>0</v>
      </c>
      <c r="BK262" s="132"/>
      <c r="BL262" s="140">
        <f t="shared" si="104"/>
        <v>0</v>
      </c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41"/>
      <c r="BY262" s="141"/>
      <c r="BZ262" s="130">
        <f t="shared" si="105"/>
        <v>0</v>
      </c>
      <c r="CA262" s="132"/>
    </row>
    <row r="263" ht="14.25" customHeight="1">
      <c r="A263" s="132"/>
      <c r="B263" s="215">
        <v>46258</v>
      </c>
      <c r="C263" s="133"/>
      <c r="D263" s="136"/>
      <c r="E263" s="135"/>
      <c r="F263" s="135"/>
      <c r="G263" s="147">
        <f t="shared" si="97"/>
        <v>0</v>
      </c>
      <c r="H263" s="144"/>
      <c r="I263" s="144"/>
      <c r="J263" s="144"/>
      <c r="K263" s="144"/>
      <c r="L263" s="143"/>
      <c r="M263" s="143"/>
      <c r="N263" s="143"/>
      <c r="O263" s="143"/>
      <c r="P263" s="611"/>
      <c r="Q263" s="143"/>
      <c r="R263" s="143"/>
      <c r="S263" s="143"/>
      <c r="T263" s="143"/>
      <c r="U263" s="143"/>
      <c r="V263" s="143"/>
      <c r="X263" s="143"/>
      <c r="Y263" s="143"/>
      <c r="Z263" s="103">
        <f t="shared" si="98"/>
        <v>0</v>
      </c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43"/>
      <c r="AM263" s="143"/>
      <c r="AN263" s="103">
        <f t="shared" si="99"/>
        <v>0</v>
      </c>
      <c r="AO263" s="136"/>
      <c r="AP263" s="136"/>
      <c r="AQ263" s="136"/>
      <c r="AR263" s="105">
        <f t="shared" si="100"/>
        <v>0</v>
      </c>
      <c r="AS263" s="143"/>
      <c r="AT263" s="143"/>
      <c r="AU263" s="143"/>
      <c r="AV263" s="146"/>
      <c r="AW263" s="224">
        <f t="shared" si="101"/>
        <v>0</v>
      </c>
      <c r="AX263" s="274"/>
      <c r="AY263" s="126"/>
      <c r="AZ263" s="126"/>
      <c r="BA263" s="126"/>
      <c r="BB263" s="126"/>
      <c r="BC263" s="126"/>
      <c r="BD263" s="126"/>
      <c r="BE263" s="126"/>
      <c r="BF263" s="126"/>
      <c r="BG263" s="275"/>
      <c r="BH263" s="274"/>
      <c r="BI263" s="222">
        <f t="shared" si="102"/>
        <v>0</v>
      </c>
      <c r="BJ263" s="140">
        <f t="shared" si="103"/>
        <v>0</v>
      </c>
      <c r="BK263" s="132"/>
      <c r="BL263" s="140">
        <f t="shared" si="104"/>
        <v>0</v>
      </c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41"/>
      <c r="BY263" s="141"/>
      <c r="BZ263" s="130">
        <f t="shared" si="105"/>
        <v>0</v>
      </c>
      <c r="CA263" s="132"/>
    </row>
    <row r="264" ht="14.25" customHeight="1">
      <c r="A264" s="132"/>
      <c r="B264" s="215">
        <v>46259</v>
      </c>
      <c r="C264" s="133"/>
      <c r="D264" s="136"/>
      <c r="E264" s="135"/>
      <c r="F264" s="135"/>
      <c r="G264" s="147">
        <f t="shared" si="97"/>
        <v>0</v>
      </c>
      <c r="H264" s="144"/>
      <c r="I264" s="144"/>
      <c r="J264" s="144"/>
      <c r="K264" s="144"/>
      <c r="L264" s="143"/>
      <c r="M264" s="143"/>
      <c r="N264" s="143"/>
      <c r="O264" s="143"/>
      <c r="P264" s="611"/>
      <c r="Q264" s="143"/>
      <c r="R264" s="143"/>
      <c r="S264" s="143"/>
      <c r="T264" s="143"/>
      <c r="U264" s="143"/>
      <c r="V264" s="143"/>
      <c r="W264" s="143"/>
      <c r="X264" s="143"/>
      <c r="Y264" s="143"/>
      <c r="Z264" s="103">
        <f t="shared" si="98"/>
        <v>0</v>
      </c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43"/>
      <c r="AM264" s="143"/>
      <c r="AN264" s="103">
        <f t="shared" si="99"/>
        <v>0</v>
      </c>
      <c r="AO264" s="136"/>
      <c r="AP264" s="136"/>
      <c r="AQ264" s="136"/>
      <c r="AR264" s="105">
        <f t="shared" si="100"/>
        <v>0</v>
      </c>
      <c r="AS264" s="143"/>
      <c r="AT264" s="143"/>
      <c r="AU264" s="143"/>
      <c r="AV264" s="146"/>
      <c r="AW264" s="224">
        <f t="shared" si="101"/>
        <v>0</v>
      </c>
      <c r="AX264" s="274"/>
      <c r="AY264" s="126"/>
      <c r="AZ264" s="126"/>
      <c r="BA264" s="126"/>
      <c r="BB264" s="126"/>
      <c r="BC264" s="126"/>
      <c r="BD264" s="126"/>
      <c r="BE264" s="126"/>
      <c r="BF264" s="126"/>
      <c r="BG264" s="275"/>
      <c r="BH264" s="274"/>
      <c r="BI264" s="222">
        <f t="shared" si="102"/>
        <v>0</v>
      </c>
      <c r="BJ264" s="140">
        <f t="shared" si="103"/>
        <v>0</v>
      </c>
      <c r="BK264" s="132"/>
      <c r="BL264" s="140">
        <f t="shared" si="104"/>
        <v>0</v>
      </c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41"/>
      <c r="BY264" s="141"/>
      <c r="BZ264" s="130">
        <f t="shared" si="105"/>
        <v>0</v>
      </c>
      <c r="CA264" s="132"/>
    </row>
    <row r="265" ht="14.25" customHeight="1">
      <c r="A265" s="132"/>
      <c r="B265" s="215">
        <v>46260</v>
      </c>
      <c r="C265" s="133"/>
      <c r="D265" s="136"/>
      <c r="E265" s="135"/>
      <c r="F265" s="135"/>
      <c r="G265" s="147">
        <f t="shared" si="97"/>
        <v>0</v>
      </c>
      <c r="H265" s="144"/>
      <c r="I265" s="144"/>
      <c r="J265" s="144"/>
      <c r="K265" s="144"/>
      <c r="L265" s="143"/>
      <c r="M265" s="143"/>
      <c r="N265" s="143"/>
      <c r="O265" s="143"/>
      <c r="P265" s="611"/>
      <c r="Q265" s="143"/>
      <c r="R265" s="143"/>
      <c r="S265" s="143"/>
      <c r="T265" s="143"/>
      <c r="U265" s="143"/>
      <c r="V265" s="143"/>
      <c r="W265" s="143"/>
      <c r="X265" s="143"/>
      <c r="Y265" s="143"/>
      <c r="Z265" s="103">
        <f t="shared" si="98"/>
        <v>0</v>
      </c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43"/>
      <c r="AM265" s="143"/>
      <c r="AN265" s="103">
        <f t="shared" si="99"/>
        <v>0</v>
      </c>
      <c r="AO265" s="136"/>
      <c r="AP265" s="136"/>
      <c r="AQ265" s="136"/>
      <c r="AR265" s="105">
        <f t="shared" si="100"/>
        <v>0</v>
      </c>
      <c r="AS265" s="143"/>
      <c r="AT265" s="143"/>
      <c r="AU265" s="143"/>
      <c r="AV265" s="146"/>
      <c r="AW265" s="224">
        <f t="shared" si="101"/>
        <v>0</v>
      </c>
      <c r="AX265" s="274"/>
      <c r="AY265" s="126"/>
      <c r="AZ265" s="126"/>
      <c r="BA265" s="126"/>
      <c r="BB265" s="126"/>
      <c r="BC265" s="126"/>
      <c r="BD265" s="126"/>
      <c r="BE265" s="126"/>
      <c r="BF265" s="126"/>
      <c r="BG265" s="275"/>
      <c r="BH265" s="274"/>
      <c r="BI265" s="222">
        <f t="shared" si="102"/>
        <v>0</v>
      </c>
      <c r="BJ265" s="140">
        <f t="shared" si="103"/>
        <v>0</v>
      </c>
      <c r="BK265" s="132"/>
      <c r="BL265" s="140">
        <f t="shared" si="104"/>
        <v>0</v>
      </c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41"/>
      <c r="BY265" s="141"/>
      <c r="BZ265" s="130">
        <f t="shared" si="105"/>
        <v>0</v>
      </c>
      <c r="CA265" s="132"/>
    </row>
    <row r="266" ht="14.25" customHeight="1">
      <c r="A266" s="132"/>
      <c r="B266" s="215">
        <v>46261</v>
      </c>
      <c r="C266" s="133"/>
      <c r="D266" s="136"/>
      <c r="E266" s="135"/>
      <c r="F266" s="135"/>
      <c r="G266" s="147">
        <f t="shared" si="97"/>
        <v>0</v>
      </c>
      <c r="H266" s="144"/>
      <c r="I266" s="144"/>
      <c r="J266" s="144"/>
      <c r="K266" s="144"/>
      <c r="L266" s="143"/>
      <c r="M266" s="143"/>
      <c r="N266" s="143"/>
      <c r="O266" s="143"/>
      <c r="P266" s="611"/>
      <c r="Q266" s="143"/>
      <c r="R266" s="143"/>
      <c r="S266" s="143"/>
      <c r="T266" s="143"/>
      <c r="U266" s="143"/>
      <c r="V266" s="143"/>
      <c r="W266" s="143"/>
      <c r="X266" s="143"/>
      <c r="Y266" s="143"/>
      <c r="Z266" s="103">
        <f t="shared" si="98"/>
        <v>0</v>
      </c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43"/>
      <c r="AM266" s="143"/>
      <c r="AN266" s="103">
        <f t="shared" si="99"/>
        <v>0</v>
      </c>
      <c r="AO266" s="136"/>
      <c r="AP266" s="136"/>
      <c r="AQ266" s="136"/>
      <c r="AR266" s="105">
        <f t="shared" si="100"/>
        <v>0</v>
      </c>
      <c r="AS266" s="143"/>
      <c r="AT266" s="143"/>
      <c r="AU266" s="143"/>
      <c r="AV266" s="146"/>
      <c r="AW266" s="224">
        <f t="shared" si="101"/>
        <v>0</v>
      </c>
      <c r="AX266" s="274"/>
      <c r="AY266" s="126"/>
      <c r="AZ266" s="126"/>
      <c r="BA266" s="126"/>
      <c r="BB266" s="126"/>
      <c r="BC266" s="126"/>
      <c r="BD266" s="126"/>
      <c r="BE266" s="126"/>
      <c r="BF266" s="126"/>
      <c r="BG266" s="275"/>
      <c r="BH266" s="274"/>
      <c r="BI266" s="222">
        <f t="shared" si="102"/>
        <v>0</v>
      </c>
      <c r="BJ266" s="140">
        <f t="shared" si="103"/>
        <v>0</v>
      </c>
      <c r="BK266" s="132"/>
      <c r="BL266" s="140">
        <f t="shared" si="104"/>
        <v>0</v>
      </c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41"/>
      <c r="BY266" s="141"/>
      <c r="BZ266" s="130">
        <f t="shared" si="105"/>
        <v>0</v>
      </c>
      <c r="CA266" s="132"/>
    </row>
    <row r="267" ht="14.25" customHeight="1">
      <c r="A267" s="132"/>
      <c r="B267" s="215">
        <v>46262</v>
      </c>
      <c r="C267" s="133"/>
      <c r="D267" s="136"/>
      <c r="E267" s="135"/>
      <c r="F267" s="135"/>
      <c r="G267" s="147">
        <f t="shared" si="97"/>
        <v>0</v>
      </c>
      <c r="H267" s="144"/>
      <c r="I267" s="144"/>
      <c r="J267" s="144"/>
      <c r="K267" s="144"/>
      <c r="L267" s="143"/>
      <c r="M267" s="143"/>
      <c r="N267" s="143"/>
      <c r="O267" s="143"/>
      <c r="P267" s="611"/>
      <c r="Q267" s="143"/>
      <c r="R267" s="143"/>
      <c r="S267" s="143"/>
      <c r="T267" s="143"/>
      <c r="U267" s="143"/>
      <c r="V267" s="143"/>
      <c r="W267" s="143"/>
      <c r="X267" s="143"/>
      <c r="Y267" s="143"/>
      <c r="Z267" s="103">
        <f t="shared" si="98"/>
        <v>0</v>
      </c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43"/>
      <c r="AM267" s="143"/>
      <c r="AN267" s="103">
        <f t="shared" si="99"/>
        <v>0</v>
      </c>
      <c r="AO267" s="136"/>
      <c r="AP267" s="136"/>
      <c r="AQ267" s="136"/>
      <c r="AR267" s="105">
        <f t="shared" si="100"/>
        <v>0</v>
      </c>
      <c r="AS267" s="143"/>
      <c r="AT267" s="143"/>
      <c r="AU267" s="143"/>
      <c r="AV267" s="146"/>
      <c r="AW267" s="224">
        <f t="shared" si="101"/>
        <v>0</v>
      </c>
      <c r="AX267" s="274"/>
      <c r="AY267" s="126"/>
      <c r="AZ267" s="126"/>
      <c r="BA267" s="126"/>
      <c r="BB267" s="126"/>
      <c r="BC267" s="126"/>
      <c r="BD267" s="126"/>
      <c r="BE267" s="126"/>
      <c r="BF267" s="126"/>
      <c r="BG267" s="275"/>
      <c r="BH267" s="274"/>
      <c r="BI267" s="222">
        <f t="shared" si="102"/>
        <v>0</v>
      </c>
      <c r="BJ267" s="140">
        <f t="shared" si="103"/>
        <v>0</v>
      </c>
      <c r="BK267" s="132"/>
      <c r="BL267" s="140">
        <f t="shared" si="104"/>
        <v>0</v>
      </c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41"/>
      <c r="BY267" s="141"/>
      <c r="BZ267" s="130">
        <f t="shared" si="105"/>
        <v>0</v>
      </c>
      <c r="CA267" s="132"/>
    </row>
    <row r="268" ht="14.25" customHeight="1">
      <c r="A268" s="132"/>
      <c r="B268" s="215">
        <v>46263</v>
      </c>
      <c r="C268" s="133"/>
      <c r="D268" s="136"/>
      <c r="E268" s="135"/>
      <c r="F268" s="135"/>
      <c r="G268" s="147">
        <f t="shared" si="97"/>
        <v>0</v>
      </c>
      <c r="H268" s="144"/>
      <c r="I268" s="144"/>
      <c r="J268" s="144"/>
      <c r="K268" s="144"/>
      <c r="L268" s="143"/>
      <c r="M268" s="143"/>
      <c r="N268" s="143"/>
      <c r="O268" s="143"/>
      <c r="P268" s="611"/>
      <c r="Q268" s="143"/>
      <c r="R268" s="143"/>
      <c r="S268" s="143"/>
      <c r="T268" s="143"/>
      <c r="U268" s="143"/>
      <c r="V268" s="143"/>
      <c r="W268" s="143"/>
      <c r="X268" s="143"/>
      <c r="Y268" s="143"/>
      <c r="Z268" s="103">
        <f t="shared" si="98"/>
        <v>0</v>
      </c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43"/>
      <c r="AM268" s="143"/>
      <c r="AN268" s="103">
        <f t="shared" si="99"/>
        <v>0</v>
      </c>
      <c r="AO268" s="136"/>
      <c r="AP268" s="136"/>
      <c r="AQ268" s="136"/>
      <c r="AR268" s="105">
        <f t="shared" si="100"/>
        <v>0</v>
      </c>
      <c r="AS268" s="143"/>
      <c r="AT268" s="143"/>
      <c r="AU268" s="143"/>
      <c r="AV268" s="146"/>
      <c r="AW268" s="224">
        <f t="shared" si="101"/>
        <v>0</v>
      </c>
      <c r="AX268" s="274"/>
      <c r="AY268" s="126"/>
      <c r="AZ268" s="126"/>
      <c r="BA268" s="126"/>
      <c r="BB268" s="126"/>
      <c r="BC268" s="126"/>
      <c r="BD268" s="126"/>
      <c r="BE268" s="126"/>
      <c r="BF268" s="126"/>
      <c r="BG268" s="275"/>
      <c r="BH268" s="274"/>
      <c r="BI268" s="222">
        <f t="shared" si="102"/>
        <v>0</v>
      </c>
      <c r="BJ268" s="140">
        <f t="shared" si="103"/>
        <v>0</v>
      </c>
      <c r="BK268" s="132"/>
      <c r="BL268" s="140">
        <f t="shared" si="104"/>
        <v>0</v>
      </c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41"/>
      <c r="BY268" s="141"/>
      <c r="BZ268" s="130">
        <f t="shared" si="105"/>
        <v>0</v>
      </c>
      <c r="CA268" s="132"/>
    </row>
    <row r="269" ht="14.25" customHeight="1">
      <c r="A269" s="132"/>
      <c r="B269" s="215">
        <v>46264</v>
      </c>
      <c r="C269" s="133"/>
      <c r="D269" s="136"/>
      <c r="E269" s="135"/>
      <c r="F269" s="135"/>
      <c r="G269" s="147">
        <f t="shared" si="97"/>
        <v>0</v>
      </c>
      <c r="H269" s="144"/>
      <c r="I269" s="144"/>
      <c r="J269" s="144"/>
      <c r="K269" s="144"/>
      <c r="L269" s="143"/>
      <c r="M269" s="143"/>
      <c r="N269" s="143"/>
      <c r="O269" s="143"/>
      <c r="P269" s="611"/>
      <c r="Q269" s="143"/>
      <c r="R269" s="143"/>
      <c r="S269" s="143"/>
      <c r="T269" s="143"/>
      <c r="U269" s="143"/>
      <c r="V269" s="143"/>
      <c r="W269" s="143"/>
      <c r="X269" s="143"/>
      <c r="Y269" s="143"/>
      <c r="Z269" s="103">
        <f t="shared" si="98"/>
        <v>0</v>
      </c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43"/>
      <c r="AM269" s="143"/>
      <c r="AN269" s="103">
        <f t="shared" si="99"/>
        <v>0</v>
      </c>
      <c r="AO269" s="136"/>
      <c r="AP269" s="136"/>
      <c r="AQ269" s="136"/>
      <c r="AR269" s="105">
        <f t="shared" si="100"/>
        <v>0</v>
      </c>
      <c r="AS269" s="143"/>
      <c r="AT269" s="143"/>
      <c r="AU269" s="143"/>
      <c r="AV269" s="146"/>
      <c r="AW269" s="224">
        <f t="shared" si="101"/>
        <v>0</v>
      </c>
      <c r="AX269" s="274"/>
      <c r="AY269" s="126"/>
      <c r="AZ269" s="126"/>
      <c r="BA269" s="126"/>
      <c r="BB269" s="126"/>
      <c r="BC269" s="126"/>
      <c r="BD269" s="126"/>
      <c r="BE269" s="126"/>
      <c r="BF269" s="126"/>
      <c r="BG269" s="275"/>
      <c r="BH269" s="274"/>
      <c r="BI269" s="222">
        <f t="shared" si="102"/>
        <v>0</v>
      </c>
      <c r="BJ269" s="140">
        <f t="shared" si="103"/>
        <v>0</v>
      </c>
      <c r="BK269" s="132"/>
      <c r="BL269" s="140">
        <f t="shared" si="104"/>
        <v>0</v>
      </c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41"/>
      <c r="BY269" s="141"/>
      <c r="BZ269" s="130">
        <f t="shared" si="105"/>
        <v>0</v>
      </c>
      <c r="CA269" s="132"/>
    </row>
    <row r="270" ht="14.25" customHeight="1">
      <c r="A270" s="132"/>
      <c r="B270" s="215">
        <v>46265</v>
      </c>
      <c r="C270" s="153"/>
      <c r="D270" s="159"/>
      <c r="E270" s="156"/>
      <c r="F270" s="156"/>
      <c r="G270" s="147">
        <f t="shared" si="97"/>
        <v>0</v>
      </c>
      <c r="H270" s="612"/>
      <c r="I270" s="612"/>
      <c r="J270" s="612"/>
      <c r="K270" s="612"/>
      <c r="L270" s="157"/>
      <c r="M270" s="157"/>
      <c r="N270" s="157"/>
      <c r="O270" s="157"/>
      <c r="P270" s="613"/>
      <c r="Q270" s="157"/>
      <c r="R270" s="157"/>
      <c r="S270" s="157"/>
      <c r="T270" s="157"/>
      <c r="U270" s="157"/>
      <c r="V270" s="157"/>
      <c r="W270" s="143"/>
      <c r="X270" s="143"/>
      <c r="Y270" s="143"/>
      <c r="Z270" s="103">
        <f t="shared" si="98"/>
        <v>0</v>
      </c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57"/>
      <c r="AK270" s="157"/>
      <c r="AL270" s="157"/>
      <c r="AM270" s="157"/>
      <c r="AN270" s="103">
        <f t="shared" si="99"/>
        <v>0</v>
      </c>
      <c r="AO270" s="159"/>
      <c r="AP270" s="159"/>
      <c r="AQ270" s="159"/>
      <c r="AR270" s="105">
        <f t="shared" si="100"/>
        <v>0</v>
      </c>
      <c r="AS270" s="157"/>
      <c r="AT270" s="157"/>
      <c r="AU270" s="157"/>
      <c r="AV270" s="160"/>
      <c r="AW270" s="224">
        <f t="shared" si="101"/>
        <v>0</v>
      </c>
      <c r="AX270" s="274"/>
      <c r="AY270" s="126"/>
      <c r="AZ270" s="126"/>
      <c r="BA270" s="126"/>
      <c r="BB270" s="126"/>
      <c r="BC270" s="126"/>
      <c r="BD270" s="126"/>
      <c r="BE270" s="126"/>
      <c r="BF270" s="126"/>
      <c r="BG270" s="275"/>
      <c r="BH270" s="296"/>
      <c r="BI270" s="222">
        <f t="shared" si="102"/>
        <v>0</v>
      </c>
      <c r="BJ270" s="162">
        <f t="shared" si="103"/>
        <v>0</v>
      </c>
      <c r="BK270" s="132"/>
      <c r="BL270" s="162">
        <f t="shared" si="104"/>
        <v>0</v>
      </c>
      <c r="BM270" s="163"/>
      <c r="BN270" s="163"/>
      <c r="BO270" s="163"/>
      <c r="BP270" s="163"/>
      <c r="BQ270" s="163"/>
      <c r="BR270" s="163"/>
      <c r="BS270" s="163"/>
      <c r="BT270" s="163"/>
      <c r="BU270" s="163"/>
      <c r="BV270" s="141"/>
      <c r="BW270" s="163"/>
      <c r="BX270" s="141"/>
      <c r="BY270" s="141"/>
      <c r="BZ270" s="164">
        <f t="shared" si="105"/>
        <v>0</v>
      </c>
      <c r="CA270" s="132"/>
    </row>
    <row r="271" ht="14.25" customHeight="1">
      <c r="A271" s="3"/>
      <c r="B271" s="2" t="s">
        <v>4</v>
      </c>
      <c r="C271" s="166">
        <f ref="C271:H271" t="shared" si="106">SUM(C240:C270)</f>
        <v>0</v>
      </c>
      <c r="D271" s="166">
        <f t="shared" si="106"/>
        <v>0</v>
      </c>
      <c r="E271" s="166">
        <f t="shared" si="106"/>
        <v>0</v>
      </c>
      <c r="F271" s="166">
        <f t="shared" si="106"/>
        <v>0</v>
      </c>
      <c r="G271" s="166">
        <f t="shared" si="106"/>
        <v>0</v>
      </c>
      <c r="H271" s="166">
        <f t="shared" si="106"/>
        <v>0</v>
      </c>
      <c r="I271" s="166"/>
      <c r="J271" s="166"/>
      <c r="K271" s="166"/>
      <c r="L271" s="166">
        <f ref="L271:V271" t="shared" si="107">SUM(L240:L270)</f>
        <v>0</v>
      </c>
      <c r="M271" s="166">
        <f t="shared" si="107"/>
        <v>0</v>
      </c>
      <c r="N271" s="166">
        <f t="shared" si="107"/>
        <v>0</v>
      </c>
      <c r="O271" s="166">
        <f t="shared" si="107"/>
        <v>0</v>
      </c>
      <c r="P271" s="617">
        <f t="shared" si="107"/>
        <v>0</v>
      </c>
      <c r="Q271" s="166">
        <f t="shared" si="107"/>
        <v>0</v>
      </c>
      <c r="R271" s="166">
        <f t="shared" si="107"/>
        <v>0</v>
      </c>
      <c r="S271" s="166">
        <f t="shared" si="107"/>
        <v>0</v>
      </c>
      <c r="T271" s="166">
        <f t="shared" si="107"/>
        <v>0</v>
      </c>
      <c r="U271" s="166">
        <f t="shared" si="107"/>
        <v>0</v>
      </c>
      <c r="V271" s="166">
        <f t="shared" si="107"/>
        <v>0</v>
      </c>
      <c r="W271" s="166"/>
      <c r="X271" s="166">
        <f ref="X271:BJ271" t="shared" si="108">SUM(X240:X270)</f>
        <v>0</v>
      </c>
      <c r="Y271" s="166">
        <f t="shared" si="108"/>
        <v>0</v>
      </c>
      <c r="Z271" s="166">
        <f t="shared" si="108"/>
        <v>0</v>
      </c>
      <c r="AA271" s="166">
        <f t="shared" si="108"/>
        <v>0</v>
      </c>
      <c r="AB271" s="166">
        <f t="shared" si="108"/>
        <v>0</v>
      </c>
      <c r="AC271" s="166">
        <f t="shared" si="108"/>
        <v>0</v>
      </c>
      <c r="AD271" s="166">
        <f t="shared" si="108"/>
        <v>0</v>
      </c>
      <c r="AE271" s="166">
        <f t="shared" si="108"/>
        <v>0</v>
      </c>
      <c r="AF271" s="166">
        <f t="shared" si="108"/>
        <v>0</v>
      </c>
      <c r="AG271" s="166">
        <f t="shared" si="108"/>
        <v>0</v>
      </c>
      <c r="AH271" s="166">
        <f t="shared" si="108"/>
        <v>0</v>
      </c>
      <c r="AI271" s="166">
        <f t="shared" si="108"/>
        <v>0</v>
      </c>
      <c r="AJ271" s="166">
        <f t="shared" si="108"/>
        <v>0</v>
      </c>
      <c r="AK271" s="166">
        <f t="shared" si="108"/>
        <v>0</v>
      </c>
      <c r="AL271" s="166">
        <f t="shared" si="108"/>
        <v>0</v>
      </c>
      <c r="AM271" s="166">
        <f t="shared" si="108"/>
        <v>0</v>
      </c>
      <c r="AN271" s="166">
        <f t="shared" si="108"/>
        <v>0</v>
      </c>
      <c r="AO271" s="166">
        <f t="shared" si="108"/>
        <v>0</v>
      </c>
      <c r="AP271" s="166">
        <f t="shared" si="108"/>
        <v>0</v>
      </c>
      <c r="AQ271" s="166">
        <f t="shared" si="108"/>
        <v>0</v>
      </c>
      <c r="AR271" s="166">
        <f t="shared" si="108"/>
        <v>0</v>
      </c>
      <c r="AS271" s="166">
        <f t="shared" si="108"/>
        <v>0</v>
      </c>
      <c r="AT271" s="166">
        <f t="shared" si="108"/>
        <v>0</v>
      </c>
      <c r="AU271" s="166">
        <f t="shared" si="108"/>
        <v>0</v>
      </c>
      <c r="AV271" s="166">
        <f t="shared" si="108"/>
        <v>0</v>
      </c>
      <c r="AW271" s="166">
        <f t="shared" si="108"/>
        <v>0</v>
      </c>
      <c r="AX271" s="166">
        <f t="shared" si="108"/>
        <v>0</v>
      </c>
      <c r="AY271" s="166">
        <f t="shared" si="108"/>
        <v>0</v>
      </c>
      <c r="AZ271" s="166">
        <f t="shared" si="108"/>
        <v>0</v>
      </c>
      <c r="BA271" s="166">
        <f t="shared" si="108"/>
        <v>0</v>
      </c>
      <c r="BB271" s="166">
        <f t="shared" si="108"/>
        <v>0</v>
      </c>
      <c r="BC271" s="166">
        <f t="shared" si="108"/>
        <v>0</v>
      </c>
      <c r="BD271" s="166">
        <f t="shared" si="108"/>
        <v>0</v>
      </c>
      <c r="BE271" s="166">
        <f t="shared" si="108"/>
        <v>0</v>
      </c>
      <c r="BF271" s="166">
        <f t="shared" si="108"/>
        <v>0</v>
      </c>
      <c r="BG271" s="166">
        <f t="shared" si="108"/>
        <v>0</v>
      </c>
      <c r="BH271" s="166">
        <f t="shared" si="108"/>
        <v>0</v>
      </c>
      <c r="BI271" s="166">
        <f t="shared" si="108"/>
        <v>0</v>
      </c>
      <c r="BJ271" s="166">
        <f t="shared" si="108"/>
        <v>0</v>
      </c>
      <c r="BK271" s="132"/>
      <c r="BL271" s="166">
        <f ref="BL271:BZ271" t="shared" si="109">SUM(BL240:BL270)</f>
        <v>0</v>
      </c>
      <c r="BM271" s="166">
        <f t="shared" si="109"/>
        <v>0</v>
      </c>
      <c r="BN271" s="166">
        <f t="shared" si="109"/>
        <v>0</v>
      </c>
      <c r="BO271" s="166">
        <f t="shared" si="109"/>
        <v>0</v>
      </c>
      <c r="BP271" s="166">
        <f t="shared" si="109"/>
        <v>0</v>
      </c>
      <c r="BQ271" s="166">
        <f t="shared" si="109"/>
        <v>0</v>
      </c>
      <c r="BR271" s="166">
        <f t="shared" si="109"/>
        <v>0</v>
      </c>
      <c r="BS271" s="166">
        <f t="shared" si="109"/>
        <v>0</v>
      </c>
      <c r="BT271" s="166">
        <f t="shared" si="109"/>
        <v>0</v>
      </c>
      <c r="BU271" s="166">
        <f t="shared" si="109"/>
        <v>0</v>
      </c>
      <c r="BV271" s="166">
        <f t="shared" si="109"/>
        <v>0</v>
      </c>
      <c r="BW271" s="166">
        <f t="shared" si="109"/>
        <v>0</v>
      </c>
      <c r="BX271" s="166">
        <f t="shared" si="109"/>
        <v>0</v>
      </c>
      <c r="BY271" s="166">
        <f t="shared" si="109"/>
        <v>0</v>
      </c>
      <c r="BZ271" s="166">
        <f t="shared" si="109"/>
        <v>0</v>
      </c>
      <c r="CA271" s="132"/>
    </row>
    <row r="272" ht="14.25" customHeight="1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1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4"/>
      <c r="AS272" s="3"/>
      <c r="AT272" s="3"/>
      <c r="AU272" s="3"/>
      <c r="AV272" s="3"/>
      <c r="AW272" s="3"/>
      <c r="AX272" s="3"/>
      <c r="AY272" s="3"/>
      <c r="AZ272" s="132"/>
      <c r="BA272" s="3"/>
      <c r="BB272" s="3"/>
      <c r="BC272" s="3"/>
      <c r="BD272" s="3"/>
      <c r="BE272" s="132"/>
      <c r="BF272" s="3"/>
      <c r="BG272" s="3"/>
      <c r="BH272" s="132"/>
      <c r="BI272" s="4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1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176"/>
      <c r="AO273" s="3"/>
      <c r="AP273" s="3"/>
      <c r="AQ273" s="3"/>
      <c r="AR273" s="4"/>
      <c r="AS273" s="3"/>
      <c r="AT273" s="3"/>
      <c r="AU273" s="3"/>
      <c r="AV273" s="3"/>
      <c r="AW273" s="3"/>
      <c r="AX273" s="3"/>
      <c r="AY273" s="3"/>
      <c r="AZ273" s="132"/>
      <c r="BA273" s="3"/>
      <c r="BB273" s="3"/>
      <c r="BC273" s="3"/>
      <c r="BD273" s="3"/>
      <c r="BE273" s="132"/>
      <c r="BF273" s="3"/>
      <c r="BG273" s="3"/>
      <c r="BH273" s="132"/>
      <c r="BI273" s="4"/>
      <c r="BJ273" s="3"/>
      <c r="BK273" s="3"/>
      <c r="BL273" s="3"/>
      <c r="BM273" s="3"/>
      <c r="BN273" s="3"/>
      <c r="BO273" s="3"/>
      <c r="BP273" s="176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</row>
    <row r="274" ht="14.25" customHeight="1">
      <c r="A274" s="132"/>
      <c r="B274" s="215">
        <v>46266</v>
      </c>
      <c r="C274" s="180"/>
      <c r="D274" s="190"/>
      <c r="E274" s="182"/>
      <c r="F274" s="182"/>
      <c r="G274" s="265">
        <f ref="G274:G303" t="shared" si="110">+C274+D274+E274+F274</f>
        <v>0</v>
      </c>
      <c r="H274" s="187"/>
      <c r="I274" s="187"/>
      <c r="J274" s="187"/>
      <c r="K274" s="187"/>
      <c r="L274" s="186"/>
      <c r="M274" s="186"/>
      <c r="N274" s="186"/>
      <c r="O274" s="186"/>
      <c r="P274" s="619"/>
      <c r="Q274" s="186"/>
      <c r="R274" s="186"/>
      <c r="S274" s="186"/>
      <c r="T274" s="186"/>
      <c r="U274" s="186"/>
      <c r="V274" s="186"/>
      <c r="W274" s="186"/>
      <c r="X274" s="186"/>
      <c r="Y274" s="193"/>
      <c r="Z274" s="189">
        <f ref="Z274:Z303" t="shared" si="111">SUM(H274:Y274)</f>
        <v>0</v>
      </c>
      <c r="AA274" s="187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03">
        <f ref="AN274:AN303" t="shared" si="112">SUM(AA274:AM274)</f>
        <v>0</v>
      </c>
      <c r="AO274" s="190"/>
      <c r="AP274" s="190"/>
      <c r="AQ274" s="190"/>
      <c r="AR274" s="191">
        <f ref="AR274:AR303" t="shared" si="113">SUM(AO274:AQ274)</f>
        <v>0</v>
      </c>
      <c r="AS274" s="186"/>
      <c r="AT274" s="186"/>
      <c r="AU274" s="186"/>
      <c r="AV274" s="193"/>
      <c r="AW274" s="219">
        <f ref="AW274:AW303" t="shared" si="114">+G274-Z274-AN274-AR274-AS274-AT274-AU274-AV274</f>
        <v>0</v>
      </c>
      <c r="AX274" s="674"/>
      <c r="AY274" s="675"/>
      <c r="AZ274" s="675"/>
      <c r="BA274" s="675"/>
      <c r="BB274" s="675"/>
      <c r="BC274" s="675"/>
      <c r="BD274" s="675"/>
      <c r="BE274" s="675"/>
      <c r="BF274" s="676"/>
      <c r="BG274" s="677"/>
      <c r="BH274" s="677"/>
      <c r="BI274" s="678">
        <f ref="BI274:BI303" t="shared" si="115">SUM(AX274:BH274)-BG274</f>
        <v>0</v>
      </c>
      <c r="BJ274" s="679">
        <f ref="BJ274:BJ303" t="shared" si="116">+AW274-BI274</f>
        <v>0</v>
      </c>
      <c r="BK274" s="132"/>
      <c r="BL274" s="195">
        <f ref="BL274:BL303" t="shared" si="117">SUM(BM274:BY274)</f>
        <v>0</v>
      </c>
      <c r="BM274" s="196"/>
      <c r="BN274" s="196"/>
      <c r="BO274" s="196"/>
      <c r="BP274" s="196"/>
      <c r="BQ274" s="196"/>
      <c r="BR274" s="196"/>
      <c r="BS274" s="196"/>
      <c r="BT274" s="196"/>
      <c r="BU274" s="196"/>
      <c r="BV274" s="196"/>
      <c r="BW274" s="196"/>
      <c r="BX274" s="196"/>
      <c r="BY274" s="196"/>
      <c r="BZ274" s="116">
        <f ref="BZ274:BZ303" t="shared" si="118">+BJ274-BL274</f>
        <v>0</v>
      </c>
      <c r="CA274" s="132"/>
    </row>
    <row r="275" ht="14.25" customHeight="1">
      <c r="A275" s="132"/>
      <c r="B275" s="215">
        <v>46267</v>
      </c>
      <c r="C275" s="133"/>
      <c r="D275" s="136"/>
      <c r="E275" s="135"/>
      <c r="F275" s="135"/>
      <c r="G275" s="147">
        <f t="shared" si="110"/>
        <v>0</v>
      </c>
      <c r="H275" s="144"/>
      <c r="I275" s="144"/>
      <c r="J275" s="144"/>
      <c r="K275" s="144"/>
      <c r="L275" s="143"/>
      <c r="M275" s="143"/>
      <c r="N275" s="143"/>
      <c r="O275" s="143"/>
      <c r="P275" s="611"/>
      <c r="Q275" s="143"/>
      <c r="R275" s="143"/>
      <c r="S275" s="143"/>
      <c r="T275" s="143"/>
      <c r="U275" s="143"/>
      <c r="V275" s="143"/>
      <c r="W275" s="143"/>
      <c r="X275" s="143"/>
      <c r="Y275" s="146"/>
      <c r="Z275" s="103">
        <f t="shared" si="111"/>
        <v>0</v>
      </c>
      <c r="AA275" s="144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43"/>
      <c r="AM275" s="143"/>
      <c r="AN275" s="103">
        <f t="shared" si="112"/>
        <v>0</v>
      </c>
      <c r="AO275" s="136"/>
      <c r="AP275" s="136"/>
      <c r="AQ275" s="136"/>
      <c r="AR275" s="105">
        <f t="shared" si="113"/>
        <v>0</v>
      </c>
      <c r="AS275" s="143"/>
      <c r="AT275" s="143"/>
      <c r="AU275" s="143"/>
      <c r="AV275" s="146"/>
      <c r="AW275" s="224">
        <f t="shared" si="114"/>
        <v>0</v>
      </c>
      <c r="AX275" s="680"/>
      <c r="AY275" s="681"/>
      <c r="AZ275" s="681"/>
      <c r="BA275" s="681"/>
      <c r="BB275" s="681"/>
      <c r="BC275" s="681"/>
      <c r="BD275" s="681"/>
      <c r="BE275" s="681"/>
      <c r="BF275" s="682"/>
      <c r="BG275" s="680"/>
      <c r="BH275" s="680"/>
      <c r="BI275" s="222">
        <f t="shared" si="115"/>
        <v>0</v>
      </c>
      <c r="BJ275" s="140">
        <f t="shared" si="116"/>
        <v>0</v>
      </c>
      <c r="BK275" s="132"/>
      <c r="BL275" s="140">
        <f t="shared" si="117"/>
        <v>0</v>
      </c>
      <c r="BM275" s="141"/>
      <c r="BN275" s="141"/>
      <c r="BO275" s="141"/>
      <c r="BP275" s="141"/>
      <c r="BQ275" s="141"/>
      <c r="BR275" s="141"/>
      <c r="BS275" s="141"/>
      <c r="BT275" s="141"/>
      <c r="BU275" s="141"/>
      <c r="BV275" s="141"/>
      <c r="BW275" s="141"/>
      <c r="BX275" s="141"/>
      <c r="BY275" s="141"/>
      <c r="BZ275" s="130">
        <f t="shared" si="118"/>
        <v>0</v>
      </c>
      <c r="CA275" s="132"/>
    </row>
    <row r="276" ht="14.25" customHeight="1">
      <c r="A276" s="132"/>
      <c r="B276" s="215">
        <v>46268</v>
      </c>
      <c r="C276" s="133"/>
      <c r="D276" s="136"/>
      <c r="E276" s="135"/>
      <c r="F276" s="135"/>
      <c r="G276" s="147">
        <f t="shared" si="110"/>
        <v>0</v>
      </c>
      <c r="H276" s="144"/>
      <c r="I276" s="144"/>
      <c r="J276" s="144"/>
      <c r="K276" s="144"/>
      <c r="L276" s="143"/>
      <c r="M276" s="143"/>
      <c r="N276" s="143"/>
      <c r="O276" s="143"/>
      <c r="P276" s="611"/>
      <c r="Q276" s="143"/>
      <c r="R276" s="143"/>
      <c r="S276" s="143"/>
      <c r="T276" s="143"/>
      <c r="U276" s="143"/>
      <c r="V276" s="143"/>
      <c r="W276" s="143"/>
      <c r="X276" s="143"/>
      <c r="Y276" s="146"/>
      <c r="Z276" s="103">
        <f t="shared" si="111"/>
        <v>0</v>
      </c>
      <c r="AA276" s="144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43"/>
      <c r="AM276" s="143"/>
      <c r="AN276" s="103">
        <f t="shared" si="112"/>
        <v>0</v>
      </c>
      <c r="AO276" s="136"/>
      <c r="AP276" s="136"/>
      <c r="AQ276" s="136"/>
      <c r="AR276" s="105">
        <f t="shared" si="113"/>
        <v>0</v>
      </c>
      <c r="AS276" s="143"/>
      <c r="AT276" s="143"/>
      <c r="AU276" s="143"/>
      <c r="AV276" s="146"/>
      <c r="AW276" s="224">
        <f t="shared" si="114"/>
        <v>0</v>
      </c>
      <c r="AX276" s="680"/>
      <c r="AY276" s="681"/>
      <c r="AZ276" s="681"/>
      <c r="BA276" s="681"/>
      <c r="BB276" s="681"/>
      <c r="BC276" s="681"/>
      <c r="BD276" s="681"/>
      <c r="BE276" s="681"/>
      <c r="BF276" s="682"/>
      <c r="BG276" s="680"/>
      <c r="BH276" s="680"/>
      <c r="BI276" s="222">
        <f t="shared" si="115"/>
        <v>0</v>
      </c>
      <c r="BJ276" s="140">
        <f t="shared" si="116"/>
        <v>0</v>
      </c>
      <c r="BK276" s="132"/>
      <c r="BL276" s="140">
        <f t="shared" si="117"/>
        <v>0</v>
      </c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41"/>
      <c r="BY276" s="141"/>
      <c r="BZ276" s="130">
        <f t="shared" si="118"/>
        <v>0</v>
      </c>
      <c r="CA276" s="132"/>
    </row>
    <row r="277" ht="14.25" customHeight="1">
      <c r="A277" s="132"/>
      <c r="B277" s="215">
        <v>46269</v>
      </c>
      <c r="C277" s="133"/>
      <c r="D277" s="136"/>
      <c r="E277" s="135"/>
      <c r="F277" s="135"/>
      <c r="G277" s="147">
        <f t="shared" si="110"/>
        <v>0</v>
      </c>
      <c r="H277" s="144"/>
      <c r="I277" s="144"/>
      <c r="J277" s="144"/>
      <c r="K277" s="144"/>
      <c r="L277" s="143"/>
      <c r="M277" s="143"/>
      <c r="N277" s="143"/>
      <c r="O277" s="143"/>
      <c r="P277" s="611"/>
      <c r="Q277" s="143"/>
      <c r="R277" s="143"/>
      <c r="S277" s="143"/>
      <c r="T277" s="143"/>
      <c r="U277" s="143"/>
      <c r="V277" s="143"/>
      <c r="W277" s="143"/>
      <c r="X277" s="143"/>
      <c r="Y277" s="146"/>
      <c r="Z277" s="103">
        <f t="shared" si="111"/>
        <v>0</v>
      </c>
      <c r="AA277" s="144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43"/>
      <c r="AM277" s="143"/>
      <c r="AN277" s="103">
        <f t="shared" si="112"/>
        <v>0</v>
      </c>
      <c r="AO277" s="136"/>
      <c r="AP277" s="136"/>
      <c r="AQ277" s="136"/>
      <c r="AR277" s="105">
        <f t="shared" si="113"/>
        <v>0</v>
      </c>
      <c r="AS277" s="143"/>
      <c r="AT277" s="143"/>
      <c r="AU277" s="143"/>
      <c r="AV277" s="146"/>
      <c r="AW277" s="224">
        <f t="shared" si="114"/>
        <v>0</v>
      </c>
      <c r="AX277" s="680"/>
      <c r="AY277" s="681"/>
      <c r="AZ277" s="681"/>
      <c r="BA277" s="681"/>
      <c r="BB277" s="681"/>
      <c r="BC277" s="681"/>
      <c r="BD277" s="681"/>
      <c r="BE277" s="681"/>
      <c r="BF277" s="682"/>
      <c r="BG277" s="680"/>
      <c r="BH277" s="680"/>
      <c r="BI277" s="222">
        <f t="shared" si="115"/>
        <v>0</v>
      </c>
      <c r="BJ277" s="140">
        <f t="shared" si="116"/>
        <v>0</v>
      </c>
      <c r="BK277" s="132"/>
      <c r="BL277" s="140">
        <f t="shared" si="117"/>
        <v>0</v>
      </c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41"/>
      <c r="BY277" s="141"/>
      <c r="BZ277" s="130">
        <f t="shared" si="118"/>
        <v>0</v>
      </c>
      <c r="CA277" s="132"/>
    </row>
    <row r="278" ht="14.25" customHeight="1">
      <c r="A278" s="132"/>
      <c r="B278" s="215">
        <v>46270</v>
      </c>
      <c r="C278" s="133"/>
      <c r="D278" s="136"/>
      <c r="E278" s="135"/>
      <c r="F278" s="135"/>
      <c r="G278" s="147">
        <f t="shared" si="110"/>
        <v>0</v>
      </c>
      <c r="H278" s="144"/>
      <c r="I278" s="144"/>
      <c r="J278" s="144"/>
      <c r="K278" s="144"/>
      <c r="L278" s="143"/>
      <c r="M278" s="143"/>
      <c r="N278" s="143"/>
      <c r="O278" s="143"/>
      <c r="P278" s="611"/>
      <c r="Q278" s="143"/>
      <c r="R278" s="143"/>
      <c r="S278" s="143"/>
      <c r="T278" s="143"/>
      <c r="U278" s="143"/>
      <c r="V278" s="143"/>
      <c r="W278" s="143"/>
      <c r="X278" s="143"/>
      <c r="Y278" s="146"/>
      <c r="Z278" s="103">
        <f t="shared" si="111"/>
        <v>0</v>
      </c>
      <c r="AA278" s="144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03">
        <f t="shared" si="112"/>
        <v>0</v>
      </c>
      <c r="AO278" s="136"/>
      <c r="AP278" s="136"/>
      <c r="AQ278" s="136"/>
      <c r="AR278" s="105">
        <f t="shared" si="113"/>
        <v>0</v>
      </c>
      <c r="AS278" s="143"/>
      <c r="AT278" s="143"/>
      <c r="AU278" s="143"/>
      <c r="AV278" s="146"/>
      <c r="AW278" s="224">
        <f t="shared" si="114"/>
        <v>0</v>
      </c>
      <c r="AX278" s="680"/>
      <c r="AY278" s="681"/>
      <c r="AZ278" s="681"/>
      <c r="BA278" s="681"/>
      <c r="BB278" s="681"/>
      <c r="BC278" s="681"/>
      <c r="BD278" s="681"/>
      <c r="BE278" s="681"/>
      <c r="BF278" s="682"/>
      <c r="BG278" s="680"/>
      <c r="BH278" s="680"/>
      <c r="BI278" s="222">
        <f t="shared" si="115"/>
        <v>0</v>
      </c>
      <c r="BJ278" s="140">
        <f t="shared" si="116"/>
        <v>0</v>
      </c>
      <c r="BK278" s="132"/>
      <c r="BL278" s="140">
        <f t="shared" si="117"/>
        <v>0</v>
      </c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41"/>
      <c r="BY278" s="141"/>
      <c r="BZ278" s="130">
        <f t="shared" si="118"/>
        <v>0</v>
      </c>
      <c r="CA278" s="132"/>
    </row>
    <row r="279" ht="14.25" customHeight="1">
      <c r="A279" s="132"/>
      <c r="B279" s="215">
        <v>46271</v>
      </c>
      <c r="C279" s="133"/>
      <c r="D279" s="136"/>
      <c r="E279" s="135"/>
      <c r="F279" s="135"/>
      <c r="G279" s="147">
        <f t="shared" si="110"/>
        <v>0</v>
      </c>
      <c r="H279" s="144"/>
      <c r="I279" s="144"/>
      <c r="J279" s="144"/>
      <c r="K279" s="144"/>
      <c r="L279" s="143"/>
      <c r="M279" s="143"/>
      <c r="N279" s="143"/>
      <c r="O279" s="143"/>
      <c r="P279" s="611"/>
      <c r="Q279" s="143"/>
      <c r="R279" s="143"/>
      <c r="S279" s="143"/>
      <c r="T279" s="143"/>
      <c r="U279" s="143"/>
      <c r="V279" s="143"/>
      <c r="W279" s="143"/>
      <c r="X279" s="143"/>
      <c r="Y279" s="146"/>
      <c r="Z279" s="103">
        <f t="shared" si="111"/>
        <v>0</v>
      </c>
      <c r="AA279" s="144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03">
        <f t="shared" si="112"/>
        <v>0</v>
      </c>
      <c r="AO279" s="136"/>
      <c r="AP279" s="136"/>
      <c r="AQ279" s="136"/>
      <c r="AR279" s="105">
        <f t="shared" si="113"/>
        <v>0</v>
      </c>
      <c r="AS279" s="143"/>
      <c r="AT279" s="143"/>
      <c r="AU279" s="143"/>
      <c r="AV279" s="146"/>
      <c r="AW279" s="224">
        <f t="shared" si="114"/>
        <v>0</v>
      </c>
      <c r="AX279" s="680"/>
      <c r="AY279" s="681"/>
      <c r="AZ279" s="681"/>
      <c r="BA279" s="681"/>
      <c r="BB279" s="681"/>
      <c r="BC279" s="681"/>
      <c r="BD279" s="681"/>
      <c r="BE279" s="681"/>
      <c r="BF279" s="682"/>
      <c r="BG279" s="680"/>
      <c r="BH279" s="680"/>
      <c r="BI279" s="222">
        <f t="shared" si="115"/>
        <v>0</v>
      </c>
      <c r="BJ279" s="140">
        <f t="shared" si="116"/>
        <v>0</v>
      </c>
      <c r="BK279" s="132"/>
      <c r="BL279" s="140">
        <f t="shared" si="117"/>
        <v>0</v>
      </c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41"/>
      <c r="BY279" s="141"/>
      <c r="BZ279" s="130">
        <f t="shared" si="118"/>
        <v>0</v>
      </c>
      <c r="CA279" s="132"/>
    </row>
    <row r="280" ht="14.25" customHeight="1">
      <c r="A280" s="132"/>
      <c r="B280" s="215">
        <v>46272</v>
      </c>
      <c r="C280" s="133"/>
      <c r="D280" s="136"/>
      <c r="E280" s="135"/>
      <c r="F280" s="135"/>
      <c r="G280" s="147">
        <f t="shared" si="110"/>
        <v>0</v>
      </c>
      <c r="H280" s="144"/>
      <c r="I280" s="144"/>
      <c r="J280" s="144"/>
      <c r="K280" s="144"/>
      <c r="L280" s="143"/>
      <c r="M280" s="143"/>
      <c r="N280" s="143"/>
      <c r="O280" s="143"/>
      <c r="P280" s="611"/>
      <c r="Q280" s="143"/>
      <c r="R280" s="143"/>
      <c r="S280" s="143"/>
      <c r="T280" s="143"/>
      <c r="U280" s="143"/>
      <c r="V280" s="143"/>
      <c r="W280" s="143"/>
      <c r="X280" s="143"/>
      <c r="Y280" s="146"/>
      <c r="Z280" s="103">
        <f t="shared" si="111"/>
        <v>0</v>
      </c>
      <c r="AA280" s="144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43"/>
      <c r="AM280" s="143"/>
      <c r="AN280" s="103">
        <f t="shared" si="112"/>
        <v>0</v>
      </c>
      <c r="AO280" s="136"/>
      <c r="AP280" s="136"/>
      <c r="AQ280" s="136"/>
      <c r="AR280" s="105">
        <f t="shared" si="113"/>
        <v>0</v>
      </c>
      <c r="AS280" s="143"/>
      <c r="AT280" s="143"/>
      <c r="AU280" s="143"/>
      <c r="AV280" s="146"/>
      <c r="AW280" s="224">
        <f t="shared" si="114"/>
        <v>0</v>
      </c>
      <c r="AX280" s="680"/>
      <c r="AY280" s="681"/>
      <c r="AZ280" s="681"/>
      <c r="BA280" s="681"/>
      <c r="BB280" s="681"/>
      <c r="BC280" s="681"/>
      <c r="BD280" s="681"/>
      <c r="BE280" s="681"/>
      <c r="BF280" s="682"/>
      <c r="BG280" s="680"/>
      <c r="BH280" s="680"/>
      <c r="BI280" s="222">
        <f t="shared" si="115"/>
        <v>0</v>
      </c>
      <c r="BJ280" s="140">
        <f t="shared" si="116"/>
        <v>0</v>
      </c>
      <c r="BK280" s="132"/>
      <c r="BL280" s="140">
        <f t="shared" si="117"/>
        <v>0</v>
      </c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41"/>
      <c r="BY280" s="141"/>
      <c r="BZ280" s="130">
        <f t="shared" si="118"/>
        <v>0</v>
      </c>
      <c r="CA280" s="132"/>
    </row>
    <row r="281" ht="14.25" customHeight="1">
      <c r="A281" s="132"/>
      <c r="B281" s="215">
        <v>46273</v>
      </c>
      <c r="C281" s="133"/>
      <c r="D281" s="136"/>
      <c r="E281" s="135"/>
      <c r="F281" s="135"/>
      <c r="G281" s="147">
        <f t="shared" si="110"/>
        <v>0</v>
      </c>
      <c r="H281" s="144"/>
      <c r="I281" s="144"/>
      <c r="J281" s="144"/>
      <c r="K281" s="144"/>
      <c r="L281" s="143"/>
      <c r="M281" s="143"/>
      <c r="N281" s="143"/>
      <c r="O281" s="143"/>
      <c r="P281" s="611"/>
      <c r="Q281" s="143"/>
      <c r="R281" s="143"/>
      <c r="S281" s="143"/>
      <c r="T281" s="143"/>
      <c r="U281" s="143"/>
      <c r="V281" s="143"/>
      <c r="W281" s="143"/>
      <c r="X281" s="143"/>
      <c r="Y281" s="146"/>
      <c r="Z281" s="103">
        <f t="shared" si="111"/>
        <v>0</v>
      </c>
      <c r="AA281" s="144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43"/>
      <c r="AM281" s="143"/>
      <c r="AN281" s="103">
        <f t="shared" si="112"/>
        <v>0</v>
      </c>
      <c r="AO281" s="136"/>
      <c r="AP281" s="136"/>
      <c r="AQ281" s="136"/>
      <c r="AR281" s="105">
        <f t="shared" si="113"/>
        <v>0</v>
      </c>
      <c r="AS281" s="143"/>
      <c r="AT281" s="143"/>
      <c r="AU281" s="143"/>
      <c r="AV281" s="146"/>
      <c r="AW281" s="224">
        <f t="shared" si="114"/>
        <v>0</v>
      </c>
      <c r="AX281" s="680"/>
      <c r="AY281" s="681"/>
      <c r="AZ281" s="681"/>
      <c r="BA281" s="681"/>
      <c r="BB281" s="681"/>
      <c r="BC281" s="681"/>
      <c r="BD281" s="681"/>
      <c r="BE281" s="681"/>
      <c r="BF281" s="682"/>
      <c r="BG281" s="680"/>
      <c r="BH281" s="680"/>
      <c r="BI281" s="222">
        <f t="shared" si="115"/>
        <v>0</v>
      </c>
      <c r="BJ281" s="140">
        <f t="shared" si="116"/>
        <v>0</v>
      </c>
      <c r="BK281" s="132"/>
      <c r="BL281" s="140">
        <f t="shared" si="117"/>
        <v>0</v>
      </c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41"/>
      <c r="BY281" s="141"/>
      <c r="BZ281" s="130">
        <f t="shared" si="118"/>
        <v>0</v>
      </c>
      <c r="CA281" s="132"/>
    </row>
    <row r="282" ht="14.25" customHeight="1">
      <c r="A282" s="132"/>
      <c r="B282" s="215">
        <v>46274</v>
      </c>
      <c r="C282" s="133"/>
      <c r="D282" s="136"/>
      <c r="E282" s="135"/>
      <c r="F282" s="135"/>
      <c r="G282" s="147">
        <f t="shared" si="110"/>
        <v>0</v>
      </c>
      <c r="H282" s="144"/>
      <c r="I282" s="144"/>
      <c r="J282" s="144"/>
      <c r="K282" s="144"/>
      <c r="L282" s="143"/>
      <c r="M282" s="143"/>
      <c r="N282" s="143"/>
      <c r="O282" s="143"/>
      <c r="P282" s="611"/>
      <c r="Q282" s="143"/>
      <c r="R282" s="143"/>
      <c r="S282" s="143"/>
      <c r="T282" s="143"/>
      <c r="U282" s="143"/>
      <c r="V282" s="143"/>
      <c r="W282" s="143"/>
      <c r="X282" s="143"/>
      <c r="Y282" s="146"/>
      <c r="Z282" s="103">
        <f t="shared" si="111"/>
        <v>0</v>
      </c>
      <c r="AA282" s="144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43"/>
      <c r="AM282" s="143"/>
      <c r="AN282" s="103">
        <f t="shared" si="112"/>
        <v>0</v>
      </c>
      <c r="AO282" s="136"/>
      <c r="AP282" s="136"/>
      <c r="AQ282" s="136"/>
      <c r="AR282" s="105">
        <f t="shared" si="113"/>
        <v>0</v>
      </c>
      <c r="AS282" s="143"/>
      <c r="AT282" s="143"/>
      <c r="AU282" s="143"/>
      <c r="AV282" s="146"/>
      <c r="AW282" s="224">
        <f t="shared" si="114"/>
        <v>0</v>
      </c>
      <c r="AX282" s="680"/>
      <c r="AY282" s="681"/>
      <c r="AZ282" s="681"/>
      <c r="BA282" s="681"/>
      <c r="BB282" s="681"/>
      <c r="BC282" s="681"/>
      <c r="BD282" s="681"/>
      <c r="BE282" s="681"/>
      <c r="BF282" s="682"/>
      <c r="BG282" s="680"/>
      <c r="BH282" s="680"/>
      <c r="BI282" s="222">
        <f t="shared" si="115"/>
        <v>0</v>
      </c>
      <c r="BJ282" s="140">
        <f t="shared" si="116"/>
        <v>0</v>
      </c>
      <c r="BK282" s="132"/>
      <c r="BL282" s="140">
        <f t="shared" si="117"/>
        <v>0</v>
      </c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41"/>
      <c r="BY282" s="141"/>
      <c r="BZ282" s="130">
        <f t="shared" si="118"/>
        <v>0</v>
      </c>
      <c r="CA282" s="132"/>
    </row>
    <row r="283" ht="14.25" customHeight="1">
      <c r="A283" s="132"/>
      <c r="B283" s="215">
        <v>46275</v>
      </c>
      <c r="C283" s="133"/>
      <c r="D283" s="136"/>
      <c r="E283" s="135"/>
      <c r="F283" s="135"/>
      <c r="G283" s="147">
        <f t="shared" si="110"/>
        <v>0</v>
      </c>
      <c r="H283" s="144"/>
      <c r="I283" s="144"/>
      <c r="J283" s="144"/>
      <c r="K283" s="144"/>
      <c r="L283" s="143"/>
      <c r="M283" s="143"/>
      <c r="N283" s="143"/>
      <c r="O283" s="143"/>
      <c r="P283" s="611"/>
      <c r="Q283" s="143"/>
      <c r="R283" s="143"/>
      <c r="S283" s="143"/>
      <c r="T283" s="143"/>
      <c r="U283" s="143"/>
      <c r="V283" s="143"/>
      <c r="W283" s="143"/>
      <c r="X283" s="143"/>
      <c r="Y283" s="146"/>
      <c r="Z283" s="103">
        <f t="shared" si="111"/>
        <v>0</v>
      </c>
      <c r="AA283" s="144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43"/>
      <c r="AM283" s="143"/>
      <c r="AN283" s="103">
        <f t="shared" si="112"/>
        <v>0</v>
      </c>
      <c r="AO283" s="136"/>
      <c r="AP283" s="136"/>
      <c r="AQ283" s="136"/>
      <c r="AR283" s="105">
        <f t="shared" si="113"/>
        <v>0</v>
      </c>
      <c r="AS283" s="143"/>
      <c r="AT283" s="143"/>
      <c r="AU283" s="143"/>
      <c r="AV283" s="146"/>
      <c r="AW283" s="224">
        <f t="shared" si="114"/>
        <v>0</v>
      </c>
      <c r="AX283" s="680"/>
      <c r="AY283" s="681"/>
      <c r="AZ283" s="681"/>
      <c r="BA283" s="681"/>
      <c r="BB283" s="681"/>
      <c r="BC283" s="681"/>
      <c r="BD283" s="681"/>
      <c r="BE283" s="681"/>
      <c r="BF283" s="682"/>
      <c r="BG283" s="680"/>
      <c r="BH283" s="680"/>
      <c r="BI283" s="222">
        <f t="shared" si="115"/>
        <v>0</v>
      </c>
      <c r="BJ283" s="140">
        <f t="shared" si="116"/>
        <v>0</v>
      </c>
      <c r="BK283" s="132"/>
      <c r="BL283" s="140">
        <f t="shared" si="117"/>
        <v>0</v>
      </c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41"/>
      <c r="BY283" s="141"/>
      <c r="BZ283" s="130">
        <f t="shared" si="118"/>
        <v>0</v>
      </c>
      <c r="CA283" s="132"/>
    </row>
    <row r="284" ht="14.25" customHeight="1">
      <c r="A284" s="132"/>
      <c r="B284" s="215">
        <v>46276</v>
      </c>
      <c r="C284" s="133"/>
      <c r="D284" s="136"/>
      <c r="E284" s="135"/>
      <c r="F284" s="135"/>
      <c r="G284" s="147">
        <f t="shared" si="110"/>
        <v>0</v>
      </c>
      <c r="H284" s="144"/>
      <c r="I284" s="144"/>
      <c r="J284" s="144"/>
      <c r="K284" s="144"/>
      <c r="L284" s="143"/>
      <c r="M284" s="143"/>
      <c r="N284" s="143"/>
      <c r="O284" s="143"/>
      <c r="P284" s="611"/>
      <c r="Q284" s="143"/>
      <c r="R284" s="143"/>
      <c r="S284" s="143"/>
      <c r="T284" s="143"/>
      <c r="U284" s="143"/>
      <c r="V284" s="143"/>
      <c r="W284" s="143"/>
      <c r="X284" s="143"/>
      <c r="Y284" s="146"/>
      <c r="Z284" s="103">
        <f t="shared" si="111"/>
        <v>0</v>
      </c>
      <c r="AA284" s="144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43"/>
      <c r="AM284" s="143"/>
      <c r="AN284" s="103">
        <f t="shared" si="112"/>
        <v>0</v>
      </c>
      <c r="AO284" s="136"/>
      <c r="AP284" s="136"/>
      <c r="AQ284" s="136"/>
      <c r="AR284" s="105">
        <f t="shared" si="113"/>
        <v>0</v>
      </c>
      <c r="AS284" s="143"/>
      <c r="AT284" s="143"/>
      <c r="AU284" s="143"/>
      <c r="AV284" s="146"/>
      <c r="AW284" s="224">
        <f t="shared" si="114"/>
        <v>0</v>
      </c>
      <c r="AX284" s="680"/>
      <c r="AY284" s="681"/>
      <c r="AZ284" s="681"/>
      <c r="BA284" s="681"/>
      <c r="BB284" s="681"/>
      <c r="BC284" s="681"/>
      <c r="BD284" s="681"/>
      <c r="BE284" s="681"/>
      <c r="BF284" s="682"/>
      <c r="BG284" s="680"/>
      <c r="BH284" s="680"/>
      <c r="BI284" s="222">
        <f t="shared" si="115"/>
        <v>0</v>
      </c>
      <c r="BJ284" s="140">
        <f t="shared" si="116"/>
        <v>0</v>
      </c>
      <c r="BK284" s="132"/>
      <c r="BL284" s="140">
        <f t="shared" si="117"/>
        <v>0</v>
      </c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41"/>
      <c r="BY284" s="141"/>
      <c r="BZ284" s="130">
        <f t="shared" si="118"/>
        <v>0</v>
      </c>
      <c r="CA284" s="132"/>
    </row>
    <row r="285" ht="14.25" customHeight="1">
      <c r="A285" s="132"/>
      <c r="B285" s="215">
        <v>46277</v>
      </c>
      <c r="C285" s="133"/>
      <c r="D285" s="136"/>
      <c r="E285" s="135"/>
      <c r="F285" s="135"/>
      <c r="G285" s="147">
        <f t="shared" si="110"/>
        <v>0</v>
      </c>
      <c r="H285" s="144"/>
      <c r="I285" s="144"/>
      <c r="J285" s="144"/>
      <c r="K285" s="144"/>
      <c r="L285" s="143"/>
      <c r="M285" s="143"/>
      <c r="N285" s="143"/>
      <c r="O285" s="143"/>
      <c r="P285" s="611"/>
      <c r="Q285" s="143"/>
      <c r="R285" s="143"/>
      <c r="S285" s="143"/>
      <c r="T285" s="143"/>
      <c r="U285" s="143"/>
      <c r="V285" s="143"/>
      <c r="W285" s="143"/>
      <c r="X285" s="143"/>
      <c r="Y285" s="146"/>
      <c r="Z285" s="103">
        <f t="shared" si="111"/>
        <v>0</v>
      </c>
      <c r="AA285" s="144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43"/>
      <c r="AM285" s="143"/>
      <c r="AN285" s="103">
        <f t="shared" si="112"/>
        <v>0</v>
      </c>
      <c r="AO285" s="136"/>
      <c r="AP285" s="136"/>
      <c r="AQ285" s="136"/>
      <c r="AR285" s="105">
        <f t="shared" si="113"/>
        <v>0</v>
      </c>
      <c r="AS285" s="143"/>
      <c r="AT285" s="143"/>
      <c r="AU285" s="143"/>
      <c r="AV285" s="146"/>
      <c r="AW285" s="224">
        <f t="shared" si="114"/>
        <v>0</v>
      </c>
      <c r="AX285" s="680"/>
      <c r="AY285" s="681"/>
      <c r="AZ285" s="681"/>
      <c r="BA285" s="681"/>
      <c r="BB285" s="681"/>
      <c r="BC285" s="681"/>
      <c r="BD285" s="681"/>
      <c r="BE285" s="681"/>
      <c r="BF285" s="682"/>
      <c r="BG285" s="680"/>
      <c r="BH285" s="680"/>
      <c r="BI285" s="222">
        <f t="shared" si="115"/>
        <v>0</v>
      </c>
      <c r="BJ285" s="140">
        <f t="shared" si="116"/>
        <v>0</v>
      </c>
      <c r="BK285" s="132"/>
      <c r="BL285" s="140">
        <f t="shared" si="117"/>
        <v>0</v>
      </c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41"/>
      <c r="BY285" s="141"/>
      <c r="BZ285" s="130">
        <f t="shared" si="118"/>
        <v>0</v>
      </c>
      <c r="CA285" s="132"/>
    </row>
    <row r="286" ht="14.25" customHeight="1">
      <c r="A286" s="132"/>
      <c r="B286" s="215">
        <v>46278</v>
      </c>
      <c r="C286" s="133"/>
      <c r="D286" s="136"/>
      <c r="E286" s="135"/>
      <c r="F286" s="135"/>
      <c r="G286" s="147">
        <f t="shared" si="110"/>
        <v>0</v>
      </c>
      <c r="H286" s="144"/>
      <c r="I286" s="144"/>
      <c r="J286" s="144"/>
      <c r="K286" s="144"/>
      <c r="L286" s="143"/>
      <c r="M286" s="143"/>
      <c r="N286" s="143"/>
      <c r="O286" s="143"/>
      <c r="P286" s="611"/>
      <c r="Q286" s="143"/>
      <c r="R286" s="143"/>
      <c r="S286" s="143"/>
      <c r="T286" s="143"/>
      <c r="U286" s="143"/>
      <c r="V286" s="143"/>
      <c r="W286" s="143"/>
      <c r="X286" s="143"/>
      <c r="Y286" s="146"/>
      <c r="Z286" s="103">
        <f t="shared" si="111"/>
        <v>0</v>
      </c>
      <c r="AA286" s="144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43"/>
      <c r="AM286" s="143"/>
      <c r="AN286" s="103">
        <f t="shared" si="112"/>
        <v>0</v>
      </c>
      <c r="AO286" s="136"/>
      <c r="AP286" s="136"/>
      <c r="AQ286" s="136"/>
      <c r="AR286" s="105">
        <f t="shared" si="113"/>
        <v>0</v>
      </c>
      <c r="AS286" s="143"/>
      <c r="AT286" s="143"/>
      <c r="AU286" s="143"/>
      <c r="AV286" s="146"/>
      <c r="AW286" s="224">
        <f t="shared" si="114"/>
        <v>0</v>
      </c>
      <c r="AX286" s="680"/>
      <c r="AY286" s="681"/>
      <c r="AZ286" s="681"/>
      <c r="BA286" s="681"/>
      <c r="BB286" s="681"/>
      <c r="BC286" s="681"/>
      <c r="BD286" s="681"/>
      <c r="BE286" s="681"/>
      <c r="BF286" s="682"/>
      <c r="BG286" s="680"/>
      <c r="BH286" s="680"/>
      <c r="BI286" s="222">
        <f t="shared" si="115"/>
        <v>0</v>
      </c>
      <c r="BJ286" s="140">
        <f t="shared" si="116"/>
        <v>0</v>
      </c>
      <c r="BK286" s="132"/>
      <c r="BL286" s="140">
        <f t="shared" si="117"/>
        <v>0</v>
      </c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41"/>
      <c r="BY286" s="141"/>
      <c r="BZ286" s="130">
        <f t="shared" si="118"/>
        <v>0</v>
      </c>
      <c r="CA286" s="132"/>
    </row>
    <row r="287" ht="14.25" customHeight="1">
      <c r="A287" s="132"/>
      <c r="B287" s="215">
        <v>46279</v>
      </c>
      <c r="C287" s="133"/>
      <c r="D287" s="136"/>
      <c r="E287" s="135"/>
      <c r="F287" s="135"/>
      <c r="G287" s="147">
        <f t="shared" si="110"/>
        <v>0</v>
      </c>
      <c r="H287" s="143"/>
      <c r="I287" s="143"/>
      <c r="J287" s="143"/>
      <c r="K287" s="143"/>
      <c r="L287" s="143"/>
      <c r="M287" s="143"/>
      <c r="N287" s="143"/>
      <c r="O287" s="143"/>
      <c r="P287" s="611"/>
      <c r="Q287" s="143"/>
      <c r="R287" s="143"/>
      <c r="S287" s="143"/>
      <c r="T287" s="143"/>
      <c r="U287" s="143"/>
      <c r="V287" s="143"/>
      <c r="W287" s="143"/>
      <c r="X287" s="143"/>
      <c r="Y287" s="146"/>
      <c r="Z287" s="103">
        <f t="shared" si="111"/>
        <v>0</v>
      </c>
      <c r="AA287" s="144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43"/>
      <c r="AM287" s="143"/>
      <c r="AN287" s="103">
        <f t="shared" si="112"/>
        <v>0</v>
      </c>
      <c r="AO287" s="136"/>
      <c r="AP287" s="136"/>
      <c r="AQ287" s="136"/>
      <c r="AR287" s="105">
        <f t="shared" si="113"/>
        <v>0</v>
      </c>
      <c r="AS287" s="143"/>
      <c r="AT287" s="143"/>
      <c r="AU287" s="143"/>
      <c r="AV287" s="146"/>
      <c r="AW287" s="224">
        <f t="shared" si="114"/>
        <v>0</v>
      </c>
      <c r="AX287" s="680"/>
      <c r="AY287" s="681"/>
      <c r="AZ287" s="681"/>
      <c r="BA287" s="681"/>
      <c r="BB287" s="681"/>
      <c r="BC287" s="681"/>
      <c r="BD287" s="681"/>
      <c r="BE287" s="681"/>
      <c r="BF287" s="682"/>
      <c r="BG287" s="680"/>
      <c r="BH287" s="680"/>
      <c r="BI287" s="222">
        <f t="shared" si="115"/>
        <v>0</v>
      </c>
      <c r="BJ287" s="140">
        <f t="shared" si="116"/>
        <v>0</v>
      </c>
      <c r="BK287" s="132"/>
      <c r="BL287" s="140">
        <f t="shared" si="117"/>
        <v>0</v>
      </c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41"/>
      <c r="BY287" s="141"/>
      <c r="BZ287" s="130">
        <f t="shared" si="118"/>
        <v>0</v>
      </c>
      <c r="CA287" s="132"/>
    </row>
    <row r="288" ht="14.25" customHeight="1">
      <c r="A288" s="132"/>
      <c r="B288" s="215">
        <v>46280</v>
      </c>
      <c r="C288" s="133"/>
      <c r="D288" s="136"/>
      <c r="E288" s="135"/>
      <c r="F288" s="135"/>
      <c r="G288" s="147">
        <f t="shared" si="110"/>
        <v>0</v>
      </c>
      <c r="H288" s="122"/>
      <c r="I288" s="122"/>
      <c r="J288" s="122"/>
      <c r="K288" s="122"/>
      <c r="L288" s="99"/>
      <c r="M288" s="99"/>
      <c r="N288" s="99"/>
      <c r="O288" s="99"/>
      <c r="P288" s="641"/>
      <c r="Q288" s="99"/>
      <c r="R288" s="143"/>
      <c r="S288" s="99"/>
      <c r="T288" s="143"/>
      <c r="U288" s="143"/>
      <c r="V288" s="143"/>
      <c r="W288" s="143"/>
      <c r="X288" s="143"/>
      <c r="Y288" s="146"/>
      <c r="Z288" s="103">
        <f t="shared" si="111"/>
        <v>0</v>
      </c>
      <c r="AA288" s="144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43"/>
      <c r="AM288" s="143"/>
      <c r="AN288" s="103">
        <f t="shared" si="112"/>
        <v>0</v>
      </c>
      <c r="AO288" s="136"/>
      <c r="AP288" s="136"/>
      <c r="AQ288" s="136"/>
      <c r="AR288" s="105">
        <f t="shared" si="113"/>
        <v>0</v>
      </c>
      <c r="AS288" s="143"/>
      <c r="AT288" s="143"/>
      <c r="AU288" s="143"/>
      <c r="AV288" s="146"/>
      <c r="AW288" s="224">
        <f t="shared" si="114"/>
        <v>0</v>
      </c>
      <c r="AX288" s="680"/>
      <c r="AY288" s="681"/>
      <c r="AZ288" s="681"/>
      <c r="BA288" s="681"/>
      <c r="BB288" s="681"/>
      <c r="BC288" s="681"/>
      <c r="BD288" s="681"/>
      <c r="BE288" s="681"/>
      <c r="BF288" s="682"/>
      <c r="BG288" s="680"/>
      <c r="BH288" s="680"/>
      <c r="BI288" s="222">
        <f t="shared" si="115"/>
        <v>0</v>
      </c>
      <c r="BJ288" s="140">
        <f t="shared" si="116"/>
        <v>0</v>
      </c>
      <c r="BK288" s="132"/>
      <c r="BL288" s="140">
        <f t="shared" si="117"/>
        <v>0</v>
      </c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41"/>
      <c r="BY288" s="141"/>
      <c r="BZ288" s="635">
        <f t="shared" si="118"/>
        <v>0</v>
      </c>
      <c r="CA288" s="132"/>
    </row>
    <row r="289" ht="14.25" customHeight="1">
      <c r="A289" s="132"/>
      <c r="B289" s="215">
        <v>46281</v>
      </c>
      <c r="C289" s="133"/>
      <c r="D289" s="136"/>
      <c r="E289" s="135"/>
      <c r="F289" s="135"/>
      <c r="G289" s="147">
        <f t="shared" si="110"/>
        <v>0</v>
      </c>
      <c r="H289" s="144"/>
      <c r="I289" s="144"/>
      <c r="J289" s="144"/>
      <c r="K289" s="144"/>
      <c r="L289" s="143"/>
      <c r="M289" s="143"/>
      <c r="N289" s="143"/>
      <c r="O289" s="143"/>
      <c r="P289" s="611"/>
      <c r="Q289" s="143"/>
      <c r="R289" s="143"/>
      <c r="S289" s="143"/>
      <c r="T289" s="143"/>
      <c r="U289" s="143"/>
      <c r="V289" s="143"/>
      <c r="W289" s="143"/>
      <c r="X289" s="143"/>
      <c r="Y289" s="146"/>
      <c r="Z289" s="103">
        <f t="shared" si="111"/>
        <v>0</v>
      </c>
      <c r="AA289" s="144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43"/>
      <c r="AM289" s="143"/>
      <c r="AN289" s="103">
        <f t="shared" si="112"/>
        <v>0</v>
      </c>
      <c r="AO289" s="136"/>
      <c r="AP289" s="136"/>
      <c r="AQ289" s="136"/>
      <c r="AR289" s="105">
        <f t="shared" si="113"/>
        <v>0</v>
      </c>
      <c r="AS289" s="143"/>
      <c r="AT289" s="143"/>
      <c r="AU289" s="143"/>
      <c r="AV289" s="146"/>
      <c r="AW289" s="224">
        <f t="shared" si="114"/>
        <v>0</v>
      </c>
      <c r="AX289" s="680"/>
      <c r="AY289" s="681"/>
      <c r="AZ289" s="681"/>
      <c r="BA289" s="681"/>
      <c r="BB289" s="681"/>
      <c r="BC289" s="681"/>
      <c r="BD289" s="681"/>
      <c r="BE289" s="681"/>
      <c r="BF289" s="682"/>
      <c r="BG289" s="680"/>
      <c r="BH289" s="680"/>
      <c r="BI289" s="222">
        <f t="shared" si="115"/>
        <v>0</v>
      </c>
      <c r="BJ289" s="140">
        <f t="shared" si="116"/>
        <v>0</v>
      </c>
      <c r="BK289" s="132"/>
      <c r="BL289" s="140">
        <f t="shared" si="117"/>
        <v>0</v>
      </c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41"/>
      <c r="BY289" s="141"/>
      <c r="BZ289" s="130">
        <f t="shared" si="118"/>
        <v>0</v>
      </c>
      <c r="CA289" s="132"/>
    </row>
    <row r="290" ht="14.25" customHeight="1">
      <c r="A290" s="132"/>
      <c r="B290" s="215">
        <v>46282</v>
      </c>
      <c r="C290" s="133"/>
      <c r="D290" s="136"/>
      <c r="E290" s="135"/>
      <c r="F290" s="135"/>
      <c r="G290" s="147">
        <f t="shared" si="110"/>
        <v>0</v>
      </c>
      <c r="H290" s="144"/>
      <c r="I290" s="144"/>
      <c r="J290" s="144"/>
      <c r="K290" s="144"/>
      <c r="L290" s="143"/>
      <c r="M290" s="143"/>
      <c r="N290" s="143"/>
      <c r="O290" s="143"/>
      <c r="P290" s="611"/>
      <c r="Q290" s="143"/>
      <c r="R290" s="143"/>
      <c r="S290" s="143"/>
      <c r="T290" s="143"/>
      <c r="U290" s="143"/>
      <c r="V290" s="143"/>
      <c r="W290" s="143"/>
      <c r="X290" s="143"/>
      <c r="Y290" s="146"/>
      <c r="Z290" s="103">
        <f t="shared" si="111"/>
        <v>0</v>
      </c>
      <c r="AA290" s="144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43"/>
      <c r="AM290" s="143"/>
      <c r="AN290" s="103">
        <f t="shared" si="112"/>
        <v>0</v>
      </c>
      <c r="AO290" s="136"/>
      <c r="AP290" s="136"/>
      <c r="AQ290" s="136"/>
      <c r="AR290" s="105">
        <f t="shared" si="113"/>
        <v>0</v>
      </c>
      <c r="AS290" s="143"/>
      <c r="AT290" s="143"/>
      <c r="AU290" s="143"/>
      <c r="AV290" s="146"/>
      <c r="AW290" s="224">
        <f t="shared" si="114"/>
        <v>0</v>
      </c>
      <c r="AX290" s="680"/>
      <c r="AY290" s="681"/>
      <c r="AZ290" s="681"/>
      <c r="BA290" s="681"/>
      <c r="BB290" s="681"/>
      <c r="BC290" s="681"/>
      <c r="BD290" s="681"/>
      <c r="BE290" s="681"/>
      <c r="BF290" s="682"/>
      <c r="BG290" s="680"/>
      <c r="BH290" s="680"/>
      <c r="BI290" s="222">
        <f t="shared" si="115"/>
        <v>0</v>
      </c>
      <c r="BJ290" s="140">
        <f t="shared" si="116"/>
        <v>0</v>
      </c>
      <c r="BK290" s="132"/>
      <c r="BL290" s="140">
        <f t="shared" si="117"/>
        <v>0</v>
      </c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41"/>
      <c r="BY290" s="141"/>
      <c r="BZ290" s="130">
        <f t="shared" si="118"/>
        <v>0</v>
      </c>
      <c r="CA290" s="132"/>
    </row>
    <row r="291" ht="14.25" customHeight="1">
      <c r="A291" s="132"/>
      <c r="B291" s="215">
        <v>46283</v>
      </c>
      <c r="C291" s="133"/>
      <c r="D291" s="136"/>
      <c r="E291" s="135"/>
      <c r="F291" s="135"/>
      <c r="G291" s="147">
        <f t="shared" si="110"/>
        <v>0</v>
      </c>
      <c r="H291" s="144"/>
      <c r="I291" s="144"/>
      <c r="J291" s="144"/>
      <c r="K291" s="144"/>
      <c r="L291" s="143"/>
      <c r="M291" s="143"/>
      <c r="N291" s="143"/>
      <c r="O291" s="143"/>
      <c r="P291" s="611"/>
      <c r="Q291" s="143"/>
      <c r="R291" s="143"/>
      <c r="S291" s="143"/>
      <c r="T291" s="143"/>
      <c r="U291" s="143"/>
      <c r="V291" s="143"/>
      <c r="W291" s="143"/>
      <c r="X291" s="143"/>
      <c r="Y291" s="146"/>
      <c r="Z291" s="103">
        <f t="shared" si="111"/>
        <v>0</v>
      </c>
      <c r="AA291" s="144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43"/>
      <c r="AM291" s="143"/>
      <c r="AN291" s="103">
        <f t="shared" si="112"/>
        <v>0</v>
      </c>
      <c r="AO291" s="136"/>
      <c r="AP291" s="136"/>
      <c r="AQ291" s="136"/>
      <c r="AR291" s="105">
        <f t="shared" si="113"/>
        <v>0</v>
      </c>
      <c r="AS291" s="143"/>
      <c r="AT291" s="143"/>
      <c r="AU291" s="143"/>
      <c r="AV291" s="146"/>
      <c r="AW291" s="224">
        <f t="shared" si="114"/>
        <v>0</v>
      </c>
      <c r="AX291" s="680"/>
      <c r="AY291" s="681"/>
      <c r="AZ291" s="681"/>
      <c r="BA291" s="681"/>
      <c r="BB291" s="681"/>
      <c r="BC291" s="681"/>
      <c r="BD291" s="681"/>
      <c r="BE291" s="681"/>
      <c r="BF291" s="682"/>
      <c r="BG291" s="680"/>
      <c r="BH291" s="680"/>
      <c r="BI291" s="222">
        <f t="shared" si="115"/>
        <v>0</v>
      </c>
      <c r="BJ291" s="140">
        <f t="shared" si="116"/>
        <v>0</v>
      </c>
      <c r="BK291" s="132"/>
      <c r="BL291" s="140">
        <f t="shared" si="117"/>
        <v>0</v>
      </c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41"/>
      <c r="BY291" s="141"/>
      <c r="BZ291" s="130">
        <f t="shared" si="118"/>
        <v>0</v>
      </c>
      <c r="CA291" s="132"/>
    </row>
    <row r="292" ht="14.25" customHeight="1">
      <c r="A292" s="3"/>
      <c r="B292" s="215">
        <v>46284</v>
      </c>
      <c r="C292" s="118"/>
      <c r="D292" s="123"/>
      <c r="E292" s="120"/>
      <c r="F292" s="120"/>
      <c r="G292" s="147">
        <f t="shared" si="110"/>
        <v>0</v>
      </c>
      <c r="H292" s="144"/>
      <c r="I292" s="144"/>
      <c r="J292" s="144"/>
      <c r="K292" s="144"/>
      <c r="L292" s="143"/>
      <c r="M292" s="143"/>
      <c r="N292" s="143"/>
      <c r="O292" s="143"/>
      <c r="P292" s="611"/>
      <c r="Q292" s="143"/>
      <c r="R292" s="143"/>
      <c r="S292" s="143"/>
      <c r="T292" s="143"/>
      <c r="U292" s="143"/>
      <c r="V292" s="143"/>
      <c r="W292" s="143"/>
      <c r="X292" s="143"/>
      <c r="Y292" s="146"/>
      <c r="Z292" s="103">
        <f t="shared" si="111"/>
        <v>0</v>
      </c>
      <c r="AA292" s="144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43"/>
      <c r="AM292" s="143"/>
      <c r="AN292" s="103">
        <f t="shared" si="112"/>
        <v>0</v>
      </c>
      <c r="AO292" s="123"/>
      <c r="AP292" s="123"/>
      <c r="AQ292" s="123"/>
      <c r="AR292" s="105">
        <f t="shared" si="113"/>
        <v>0</v>
      </c>
      <c r="AS292" s="143"/>
      <c r="AT292" s="143"/>
      <c r="AU292" s="143"/>
      <c r="AV292" s="146"/>
      <c r="AW292" s="224">
        <f t="shared" si="114"/>
        <v>0</v>
      </c>
      <c r="AX292" s="680"/>
      <c r="AY292" s="681"/>
      <c r="AZ292" s="681"/>
      <c r="BA292" s="681"/>
      <c r="BB292" s="681"/>
      <c r="BC292" s="681"/>
      <c r="BD292" s="681"/>
      <c r="BE292" s="681"/>
      <c r="BF292" s="682"/>
      <c r="BG292" s="680"/>
      <c r="BH292" s="680"/>
      <c r="BI292" s="222">
        <f t="shared" si="115"/>
        <v>0</v>
      </c>
      <c r="BJ292" s="113">
        <f t="shared" si="116"/>
        <v>0</v>
      </c>
      <c r="BK292" s="3"/>
      <c r="BL292" s="113">
        <f t="shared" si="117"/>
        <v>0</v>
      </c>
      <c r="BM292" s="129"/>
      <c r="BN292" s="129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30">
        <f t="shared" si="118"/>
        <v>0</v>
      </c>
      <c r="CA292" s="3"/>
    </row>
    <row r="293" ht="14.25" customHeight="1">
      <c r="A293" s="3"/>
      <c r="B293" s="215">
        <v>46285</v>
      </c>
      <c r="C293" s="118"/>
      <c r="D293" s="123"/>
      <c r="E293" s="120"/>
      <c r="F293" s="120"/>
      <c r="G293" s="147">
        <f t="shared" si="110"/>
        <v>0</v>
      </c>
      <c r="H293" s="144"/>
      <c r="I293" s="144"/>
      <c r="J293" s="144"/>
      <c r="K293" s="144"/>
      <c r="L293" s="143"/>
      <c r="M293" s="143"/>
      <c r="N293" s="143"/>
      <c r="O293" s="143"/>
      <c r="P293" s="611"/>
      <c r="Q293" s="143"/>
      <c r="R293" s="143"/>
      <c r="S293" s="143"/>
      <c r="T293" s="143"/>
      <c r="U293" s="143"/>
      <c r="V293" s="143"/>
      <c r="W293" s="143"/>
      <c r="X293" s="143"/>
      <c r="Y293" s="146"/>
      <c r="Z293" s="103">
        <f t="shared" si="111"/>
        <v>0</v>
      </c>
      <c r="AA293" s="144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43"/>
      <c r="AM293" s="143"/>
      <c r="AN293" s="103">
        <f t="shared" si="112"/>
        <v>0</v>
      </c>
      <c r="AO293" s="123"/>
      <c r="AP293" s="123"/>
      <c r="AQ293" s="123"/>
      <c r="AR293" s="105">
        <f t="shared" si="113"/>
        <v>0</v>
      </c>
      <c r="AS293" s="143"/>
      <c r="AT293" s="143"/>
      <c r="AU293" s="143"/>
      <c r="AV293" s="146"/>
      <c r="AW293" s="224">
        <f t="shared" si="114"/>
        <v>0</v>
      </c>
      <c r="AX293" s="680"/>
      <c r="AY293" s="681"/>
      <c r="AZ293" s="681"/>
      <c r="BA293" s="681"/>
      <c r="BB293" s="681"/>
      <c r="BC293" s="681"/>
      <c r="BD293" s="681"/>
      <c r="BE293" s="681"/>
      <c r="BF293" s="682"/>
      <c r="BG293" s="680"/>
      <c r="BH293" s="680"/>
      <c r="BI293" s="222">
        <f t="shared" si="115"/>
        <v>0</v>
      </c>
      <c r="BJ293" s="113">
        <f t="shared" si="116"/>
        <v>0</v>
      </c>
      <c r="BK293" s="3"/>
      <c r="BL293" s="113">
        <f t="shared" si="117"/>
        <v>0</v>
      </c>
      <c r="BM293" s="129"/>
      <c r="BN293" s="129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30">
        <f t="shared" si="118"/>
        <v>0</v>
      </c>
      <c r="CA293" s="3"/>
    </row>
    <row r="294" ht="14.25" customHeight="1">
      <c r="A294" s="3"/>
      <c r="B294" s="215">
        <v>46286</v>
      </c>
      <c r="C294" s="118"/>
      <c r="D294" s="123"/>
      <c r="E294" s="120"/>
      <c r="F294" s="120"/>
      <c r="G294" s="147">
        <f t="shared" si="110"/>
        <v>0</v>
      </c>
      <c r="H294" s="144"/>
      <c r="I294" s="144"/>
      <c r="J294" s="144"/>
      <c r="K294" s="144"/>
      <c r="L294" s="143"/>
      <c r="M294" s="143"/>
      <c r="N294" s="143"/>
      <c r="O294" s="143"/>
      <c r="P294" s="611"/>
      <c r="Q294" s="143"/>
      <c r="R294" s="143"/>
      <c r="S294" s="143"/>
      <c r="T294" s="143"/>
      <c r="U294" s="143"/>
      <c r="V294" s="143"/>
      <c r="W294" s="143"/>
      <c r="X294" s="143"/>
      <c r="Y294" s="146"/>
      <c r="Z294" s="103">
        <f t="shared" si="111"/>
        <v>0</v>
      </c>
      <c r="AA294" s="144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43"/>
      <c r="AM294" s="143"/>
      <c r="AN294" s="103">
        <f t="shared" si="112"/>
        <v>0</v>
      </c>
      <c r="AO294" s="123"/>
      <c r="AP294" s="123"/>
      <c r="AQ294" s="123"/>
      <c r="AR294" s="105">
        <f t="shared" si="113"/>
        <v>0</v>
      </c>
      <c r="AS294" s="143"/>
      <c r="AT294" s="143"/>
      <c r="AU294" s="143"/>
      <c r="AV294" s="146"/>
      <c r="AW294" s="224">
        <f t="shared" si="114"/>
        <v>0</v>
      </c>
      <c r="AX294" s="680"/>
      <c r="AY294" s="681"/>
      <c r="AZ294" s="681"/>
      <c r="BA294" s="681"/>
      <c r="BB294" s="681"/>
      <c r="BC294" s="681"/>
      <c r="BD294" s="681"/>
      <c r="BE294" s="681"/>
      <c r="BF294" s="682"/>
      <c r="BG294" s="680"/>
      <c r="BH294" s="680"/>
      <c r="BI294" s="222">
        <f t="shared" si="115"/>
        <v>0</v>
      </c>
      <c r="BJ294" s="113">
        <f t="shared" si="116"/>
        <v>0</v>
      </c>
      <c r="BK294" s="3"/>
      <c r="BL294" s="113">
        <f t="shared" si="117"/>
        <v>0</v>
      </c>
      <c r="BM294" s="129"/>
      <c r="BN294" s="129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30">
        <f t="shared" si="118"/>
        <v>0</v>
      </c>
      <c r="CA294" s="3"/>
    </row>
    <row r="295" ht="14.25" customHeight="1">
      <c r="A295" s="132"/>
      <c r="B295" s="215">
        <v>46287</v>
      </c>
      <c r="C295" s="133"/>
      <c r="D295" s="136"/>
      <c r="E295" s="135"/>
      <c r="F295" s="135"/>
      <c r="G295" s="147">
        <f t="shared" si="110"/>
        <v>0</v>
      </c>
      <c r="H295" s="144"/>
      <c r="I295" s="144"/>
      <c r="J295" s="144"/>
      <c r="K295" s="144"/>
      <c r="L295" s="143"/>
      <c r="M295" s="143"/>
      <c r="N295" s="143"/>
      <c r="O295" s="143"/>
      <c r="P295" s="611"/>
      <c r="Q295" s="143"/>
      <c r="R295" s="143"/>
      <c r="S295" s="143"/>
      <c r="T295" s="143"/>
      <c r="U295" s="143"/>
      <c r="V295" s="143"/>
      <c r="W295" s="143"/>
      <c r="X295" s="143"/>
      <c r="Y295" s="146"/>
      <c r="Z295" s="103">
        <f t="shared" si="111"/>
        <v>0</v>
      </c>
      <c r="AA295" s="144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43"/>
      <c r="AM295" s="143"/>
      <c r="AN295" s="103">
        <f t="shared" si="112"/>
        <v>0</v>
      </c>
      <c r="AO295" s="136"/>
      <c r="AP295" s="136"/>
      <c r="AQ295" s="136"/>
      <c r="AR295" s="105">
        <f t="shared" si="113"/>
        <v>0</v>
      </c>
      <c r="AS295" s="143"/>
      <c r="AT295" s="143"/>
      <c r="AU295" s="143"/>
      <c r="AV295" s="146"/>
      <c r="AW295" s="224">
        <f t="shared" si="114"/>
        <v>0</v>
      </c>
      <c r="AX295" s="680"/>
      <c r="AY295" s="681"/>
      <c r="AZ295" s="681"/>
      <c r="BA295" s="681"/>
      <c r="BB295" s="681"/>
      <c r="BC295" s="681"/>
      <c r="BD295" s="681"/>
      <c r="BE295" s="681"/>
      <c r="BF295" s="682"/>
      <c r="BG295" s="680"/>
      <c r="BH295" s="680"/>
      <c r="BI295" s="222">
        <f t="shared" si="115"/>
        <v>0</v>
      </c>
      <c r="BJ295" s="140">
        <f t="shared" si="116"/>
        <v>0</v>
      </c>
      <c r="BK295" s="132"/>
      <c r="BL295" s="140">
        <f t="shared" si="117"/>
        <v>0</v>
      </c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41"/>
      <c r="BY295" s="141"/>
      <c r="BZ295" s="130">
        <f t="shared" si="118"/>
        <v>0</v>
      </c>
      <c r="CA295" s="132"/>
    </row>
    <row r="296" ht="14.25" customHeight="1">
      <c r="A296" s="132"/>
      <c r="B296" s="215">
        <v>46288</v>
      </c>
      <c r="C296" s="133"/>
      <c r="D296" s="136"/>
      <c r="E296" s="135"/>
      <c r="F296" s="135"/>
      <c r="G296" s="147">
        <f t="shared" si="110"/>
        <v>0</v>
      </c>
      <c r="H296" s="144"/>
      <c r="I296" s="144"/>
      <c r="J296" s="144"/>
      <c r="K296" s="144"/>
      <c r="L296" s="143"/>
      <c r="M296" s="143"/>
      <c r="N296" s="143"/>
      <c r="O296" s="143"/>
      <c r="P296" s="611"/>
      <c r="Q296" s="143"/>
      <c r="R296" s="143"/>
      <c r="S296" s="143"/>
      <c r="T296" s="143"/>
      <c r="U296" s="143"/>
      <c r="V296" s="143"/>
      <c r="W296" s="143"/>
      <c r="X296" s="143"/>
      <c r="Y296" s="146"/>
      <c r="Z296" s="103">
        <f t="shared" si="111"/>
        <v>0</v>
      </c>
      <c r="AA296" s="144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43"/>
      <c r="AM296" s="143"/>
      <c r="AN296" s="103">
        <f t="shared" si="112"/>
        <v>0</v>
      </c>
      <c r="AO296" s="136"/>
      <c r="AP296" s="136"/>
      <c r="AQ296" s="136"/>
      <c r="AR296" s="105">
        <f t="shared" si="113"/>
        <v>0</v>
      </c>
      <c r="AS296" s="143"/>
      <c r="AT296" s="143"/>
      <c r="AU296" s="143"/>
      <c r="AV296" s="146"/>
      <c r="AW296" s="224">
        <f t="shared" si="114"/>
        <v>0</v>
      </c>
      <c r="AX296" s="680"/>
      <c r="AY296" s="681"/>
      <c r="AZ296" s="681"/>
      <c r="BA296" s="681"/>
      <c r="BB296" s="681"/>
      <c r="BC296" s="681"/>
      <c r="BD296" s="681"/>
      <c r="BE296" s="681"/>
      <c r="BF296" s="682"/>
      <c r="BG296" s="680"/>
      <c r="BH296" s="680"/>
      <c r="BI296" s="222">
        <f t="shared" si="115"/>
        <v>0</v>
      </c>
      <c r="BJ296" s="140">
        <f t="shared" si="116"/>
        <v>0</v>
      </c>
      <c r="BK296" s="132"/>
      <c r="BL296" s="140">
        <f t="shared" si="117"/>
        <v>0</v>
      </c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41"/>
      <c r="BY296" s="141"/>
      <c r="BZ296" s="130">
        <f t="shared" si="118"/>
        <v>0</v>
      </c>
      <c r="CA296" s="132"/>
    </row>
    <row r="297" ht="14.25" customHeight="1">
      <c r="A297" s="132"/>
      <c r="B297" s="215">
        <v>46289</v>
      </c>
      <c r="C297" s="133"/>
      <c r="D297" s="136"/>
      <c r="E297" s="135"/>
      <c r="F297" s="135"/>
      <c r="G297" s="147">
        <f t="shared" si="110"/>
        <v>0</v>
      </c>
      <c r="H297" s="144"/>
      <c r="I297" s="144"/>
      <c r="J297" s="144"/>
      <c r="K297" s="144"/>
      <c r="L297" s="143"/>
      <c r="M297" s="143"/>
      <c r="N297" s="143"/>
      <c r="O297" s="143"/>
      <c r="P297" s="611"/>
      <c r="Q297" s="143"/>
      <c r="R297" s="143"/>
      <c r="S297" s="143"/>
      <c r="T297" s="143"/>
      <c r="U297" s="143"/>
      <c r="V297" s="143"/>
      <c r="W297" s="143"/>
      <c r="X297" s="143"/>
      <c r="Y297" s="146"/>
      <c r="Z297" s="103">
        <f t="shared" si="111"/>
        <v>0</v>
      </c>
      <c r="AA297" s="144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43"/>
      <c r="AM297" s="143"/>
      <c r="AN297" s="103">
        <f t="shared" si="112"/>
        <v>0</v>
      </c>
      <c r="AO297" s="136"/>
      <c r="AP297" s="136"/>
      <c r="AQ297" s="136"/>
      <c r="AR297" s="105">
        <f t="shared" si="113"/>
        <v>0</v>
      </c>
      <c r="AS297" s="143"/>
      <c r="AT297" s="143"/>
      <c r="AU297" s="143"/>
      <c r="AV297" s="146"/>
      <c r="AW297" s="224">
        <f t="shared" si="114"/>
        <v>0</v>
      </c>
      <c r="AX297" s="680"/>
      <c r="AY297" s="681"/>
      <c r="AZ297" s="681"/>
      <c r="BA297" s="681"/>
      <c r="BB297" s="681"/>
      <c r="BC297" s="681"/>
      <c r="BD297" s="681"/>
      <c r="BE297" s="681"/>
      <c r="BF297" s="682"/>
      <c r="BG297" s="680"/>
      <c r="BH297" s="680"/>
      <c r="BI297" s="222">
        <f t="shared" si="115"/>
        <v>0</v>
      </c>
      <c r="BJ297" s="140">
        <f t="shared" si="116"/>
        <v>0</v>
      </c>
      <c r="BK297" s="132"/>
      <c r="BL297" s="140">
        <f t="shared" si="117"/>
        <v>0</v>
      </c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41"/>
      <c r="BY297" s="141"/>
      <c r="BZ297" s="130">
        <f t="shared" si="118"/>
        <v>0</v>
      </c>
      <c r="CA297" s="132"/>
    </row>
    <row r="298" ht="14.25" customHeight="1">
      <c r="A298" s="132"/>
      <c r="B298" s="215">
        <v>46290</v>
      </c>
      <c r="C298" s="133"/>
      <c r="D298" s="136"/>
      <c r="E298" s="135"/>
      <c r="F298" s="135"/>
      <c r="G298" s="147">
        <f t="shared" si="110"/>
        <v>0</v>
      </c>
      <c r="H298" s="144"/>
      <c r="I298" s="144"/>
      <c r="J298" s="144"/>
      <c r="K298" s="144"/>
      <c r="L298" s="143"/>
      <c r="M298" s="143"/>
      <c r="N298" s="143"/>
      <c r="O298" s="143"/>
      <c r="P298" s="611"/>
      <c r="Q298" s="143"/>
      <c r="R298" s="143"/>
      <c r="S298" s="143"/>
      <c r="T298" s="143"/>
      <c r="U298" s="143"/>
      <c r="V298" s="143"/>
      <c r="W298" s="143"/>
      <c r="X298" s="143"/>
      <c r="Y298" s="146"/>
      <c r="Z298" s="103">
        <f t="shared" si="111"/>
        <v>0</v>
      </c>
      <c r="AA298" s="144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43"/>
      <c r="AM298" s="143"/>
      <c r="AN298" s="103">
        <f t="shared" si="112"/>
        <v>0</v>
      </c>
      <c r="AO298" s="136"/>
      <c r="AP298" s="136"/>
      <c r="AQ298" s="136"/>
      <c r="AR298" s="105">
        <f t="shared" si="113"/>
        <v>0</v>
      </c>
      <c r="AS298" s="143"/>
      <c r="AT298" s="143"/>
      <c r="AU298" s="143"/>
      <c r="AV298" s="146"/>
      <c r="AW298" s="224">
        <f t="shared" si="114"/>
        <v>0</v>
      </c>
      <c r="AX298" s="680"/>
      <c r="AY298" s="681"/>
      <c r="AZ298" s="681"/>
      <c r="BA298" s="681"/>
      <c r="BB298" s="681"/>
      <c r="BC298" s="681"/>
      <c r="BD298" s="681"/>
      <c r="BE298" s="681"/>
      <c r="BF298" s="682"/>
      <c r="BG298" s="680"/>
      <c r="BH298" s="680"/>
      <c r="BI298" s="222">
        <f t="shared" si="115"/>
        <v>0</v>
      </c>
      <c r="BJ298" s="140">
        <f t="shared" si="116"/>
        <v>0</v>
      </c>
      <c r="BK298" s="132"/>
      <c r="BL298" s="140">
        <f t="shared" si="117"/>
        <v>0</v>
      </c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41"/>
      <c r="BY298" s="141"/>
      <c r="BZ298" s="130">
        <f t="shared" si="118"/>
        <v>0</v>
      </c>
      <c r="CA298" s="132"/>
    </row>
    <row r="299" ht="14.25" customHeight="1">
      <c r="A299" s="132"/>
      <c r="B299" s="215">
        <v>46291</v>
      </c>
      <c r="C299" s="133"/>
      <c r="D299" s="136"/>
      <c r="E299" s="135"/>
      <c r="F299" s="135"/>
      <c r="G299" s="147">
        <f t="shared" si="110"/>
        <v>0</v>
      </c>
      <c r="H299" s="144"/>
      <c r="I299" s="144"/>
      <c r="J299" s="144"/>
      <c r="K299" s="144"/>
      <c r="L299" s="143"/>
      <c r="M299" s="143"/>
      <c r="N299" s="143"/>
      <c r="O299" s="143"/>
      <c r="P299" s="611"/>
      <c r="Q299" s="143"/>
      <c r="R299" s="143"/>
      <c r="S299" s="143"/>
      <c r="T299" s="143"/>
      <c r="U299" s="143"/>
      <c r="V299" s="143"/>
      <c r="W299" s="143"/>
      <c r="X299" s="143"/>
      <c r="Y299" s="146"/>
      <c r="Z299" s="103">
        <f t="shared" si="111"/>
        <v>0</v>
      </c>
      <c r="AA299" s="144"/>
      <c r="AB299" s="143"/>
      <c r="AC299" s="132"/>
      <c r="AD299" s="143"/>
      <c r="AE299" s="148"/>
      <c r="AF299" s="148"/>
      <c r="AG299" s="148"/>
      <c r="AH299" s="148"/>
      <c r="AI299" s="148"/>
      <c r="AJ299" s="148"/>
      <c r="AK299" s="148"/>
      <c r="AL299" s="132"/>
      <c r="AM299" s="132"/>
      <c r="AN299" s="103">
        <f t="shared" si="112"/>
        <v>0</v>
      </c>
      <c r="AO299" s="136"/>
      <c r="AP299" s="136"/>
      <c r="AQ299" s="136"/>
      <c r="AR299" s="105">
        <f t="shared" si="113"/>
        <v>0</v>
      </c>
      <c r="AS299" s="143"/>
      <c r="AT299" s="143"/>
      <c r="AU299" s="143"/>
      <c r="AV299" s="146"/>
      <c r="AW299" s="224">
        <f t="shared" si="114"/>
        <v>0</v>
      </c>
      <c r="AX299" s="680"/>
      <c r="AY299" s="681"/>
      <c r="AZ299" s="681"/>
      <c r="BA299" s="681"/>
      <c r="BB299" s="681"/>
      <c r="BC299" s="681"/>
      <c r="BD299" s="681"/>
      <c r="BE299" s="681"/>
      <c r="BF299" s="682"/>
      <c r="BG299" s="680"/>
      <c r="BH299" s="680"/>
      <c r="BI299" s="222">
        <f t="shared" si="115"/>
        <v>0</v>
      </c>
      <c r="BJ299" s="140">
        <f t="shared" si="116"/>
        <v>0</v>
      </c>
      <c r="BK299" s="132"/>
      <c r="BL299" s="140">
        <f t="shared" si="117"/>
        <v>0</v>
      </c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41"/>
      <c r="BY299" s="141"/>
      <c r="BZ299" s="130">
        <f t="shared" si="118"/>
        <v>0</v>
      </c>
      <c r="CA299" s="132"/>
    </row>
    <row r="300" ht="14.25" customHeight="1">
      <c r="A300" s="132"/>
      <c r="B300" s="215">
        <v>46292</v>
      </c>
      <c r="C300" s="133"/>
      <c r="D300" s="136"/>
      <c r="E300" s="135"/>
      <c r="F300" s="135"/>
      <c r="G300" s="147">
        <f t="shared" si="110"/>
        <v>0</v>
      </c>
      <c r="H300" s="144"/>
      <c r="I300" s="144"/>
      <c r="J300" s="144"/>
      <c r="K300" s="144"/>
      <c r="L300" s="143"/>
      <c r="M300" s="143"/>
      <c r="N300" s="143"/>
      <c r="O300" s="143"/>
      <c r="P300" s="611"/>
      <c r="Q300" s="143"/>
      <c r="R300" s="143"/>
      <c r="S300" s="143"/>
      <c r="T300" s="143"/>
      <c r="U300" s="143"/>
      <c r="V300" s="143"/>
      <c r="W300" s="143"/>
      <c r="X300" s="143"/>
      <c r="Y300" s="146"/>
      <c r="Z300" s="103">
        <f t="shared" si="111"/>
        <v>0</v>
      </c>
      <c r="AA300" s="144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43"/>
      <c r="AM300" s="143"/>
      <c r="AN300" s="103">
        <f t="shared" si="112"/>
        <v>0</v>
      </c>
      <c r="AO300" s="136"/>
      <c r="AP300" s="136"/>
      <c r="AQ300" s="136"/>
      <c r="AR300" s="105">
        <f t="shared" si="113"/>
        <v>0</v>
      </c>
      <c r="AS300" s="143"/>
      <c r="AT300" s="143"/>
      <c r="AU300" s="143"/>
      <c r="AV300" s="146"/>
      <c r="AW300" s="224">
        <f t="shared" si="114"/>
        <v>0</v>
      </c>
      <c r="AX300" s="680"/>
      <c r="AY300" s="681"/>
      <c r="AZ300" s="681"/>
      <c r="BA300" s="681"/>
      <c r="BB300" s="681"/>
      <c r="BC300" s="681"/>
      <c r="BD300" s="681"/>
      <c r="BE300" s="681"/>
      <c r="BF300" s="682"/>
      <c r="BG300" s="680"/>
      <c r="BH300" s="680"/>
      <c r="BI300" s="222">
        <f t="shared" si="115"/>
        <v>0</v>
      </c>
      <c r="BJ300" s="140">
        <f t="shared" si="116"/>
        <v>0</v>
      </c>
      <c r="BK300" s="132"/>
      <c r="BL300" s="140">
        <f t="shared" si="117"/>
        <v>0</v>
      </c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41"/>
      <c r="BY300" s="141"/>
      <c r="BZ300" s="130">
        <f t="shared" si="118"/>
        <v>0</v>
      </c>
      <c r="CA300" s="132"/>
    </row>
    <row r="301" ht="14.25" customHeight="1">
      <c r="A301" s="132"/>
      <c r="B301" s="215">
        <v>46293</v>
      </c>
      <c r="C301" s="133"/>
      <c r="D301" s="136"/>
      <c r="E301" s="135"/>
      <c r="F301" s="135"/>
      <c r="G301" s="147">
        <f t="shared" si="110"/>
        <v>0</v>
      </c>
      <c r="H301" s="144"/>
      <c r="I301" s="144"/>
      <c r="J301" s="144"/>
      <c r="K301" s="144"/>
      <c r="L301" s="143"/>
      <c r="M301" s="143"/>
      <c r="N301" s="143"/>
      <c r="O301" s="143"/>
      <c r="P301" s="611"/>
      <c r="Q301" s="143"/>
      <c r="R301" s="143"/>
      <c r="S301" s="143"/>
      <c r="T301" s="143"/>
      <c r="U301" s="143"/>
      <c r="V301" s="143"/>
      <c r="W301" s="143"/>
      <c r="X301" s="143"/>
      <c r="Y301" s="146"/>
      <c r="Z301" s="103">
        <f t="shared" si="111"/>
        <v>0</v>
      </c>
      <c r="AA301" s="144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43"/>
      <c r="AM301" s="143"/>
      <c r="AN301" s="103">
        <f t="shared" si="112"/>
        <v>0</v>
      </c>
      <c r="AO301" s="136"/>
      <c r="AP301" s="136"/>
      <c r="AQ301" s="136"/>
      <c r="AR301" s="105">
        <f t="shared" si="113"/>
        <v>0</v>
      </c>
      <c r="AS301" s="143"/>
      <c r="AT301" s="143"/>
      <c r="AU301" s="143"/>
      <c r="AV301" s="146"/>
      <c r="AW301" s="224">
        <f t="shared" si="114"/>
        <v>0</v>
      </c>
      <c r="AX301" s="680"/>
      <c r="AY301" s="681"/>
      <c r="AZ301" s="681"/>
      <c r="BA301" s="681"/>
      <c r="BB301" s="681"/>
      <c r="BC301" s="681"/>
      <c r="BD301" s="681"/>
      <c r="BE301" s="681"/>
      <c r="BF301" s="682"/>
      <c r="BG301" s="680"/>
      <c r="BH301" s="680"/>
      <c r="BI301" s="222">
        <f t="shared" si="115"/>
        <v>0</v>
      </c>
      <c r="BJ301" s="140">
        <f t="shared" si="116"/>
        <v>0</v>
      </c>
      <c r="BK301" s="132"/>
      <c r="BL301" s="140">
        <f t="shared" si="117"/>
        <v>0</v>
      </c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41"/>
      <c r="BY301" s="141"/>
      <c r="BZ301" s="130">
        <f t="shared" si="118"/>
        <v>0</v>
      </c>
      <c r="CA301" s="132"/>
    </row>
    <row r="302" ht="14.25" customHeight="1">
      <c r="A302" s="132"/>
      <c r="B302" s="215">
        <v>46294</v>
      </c>
      <c r="C302" s="133"/>
      <c r="D302" s="136"/>
      <c r="E302" s="135"/>
      <c r="F302" s="135"/>
      <c r="G302" s="147">
        <f t="shared" si="110"/>
        <v>0</v>
      </c>
      <c r="H302" s="144"/>
      <c r="I302" s="144"/>
      <c r="J302" s="144"/>
      <c r="K302" s="144"/>
      <c r="L302" s="143"/>
      <c r="M302" s="143"/>
      <c r="N302" s="143"/>
      <c r="O302" s="143"/>
      <c r="P302" s="611"/>
      <c r="Q302" s="143"/>
      <c r="R302" s="143"/>
      <c r="S302" s="143"/>
      <c r="T302" s="143"/>
      <c r="U302" s="143"/>
      <c r="V302" s="143"/>
      <c r="W302" s="143"/>
      <c r="X302" s="143"/>
      <c r="Y302" s="146"/>
      <c r="Z302" s="103">
        <f t="shared" si="111"/>
        <v>0</v>
      </c>
      <c r="AA302" s="144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43"/>
      <c r="AM302" s="143"/>
      <c r="AN302" s="103">
        <f t="shared" si="112"/>
        <v>0</v>
      </c>
      <c r="AO302" s="136"/>
      <c r="AP302" s="136"/>
      <c r="AQ302" s="136"/>
      <c r="AR302" s="105">
        <f t="shared" si="113"/>
        <v>0</v>
      </c>
      <c r="AS302" s="143"/>
      <c r="AT302" s="143"/>
      <c r="AU302" s="143"/>
      <c r="AV302" s="146"/>
      <c r="AW302" s="224">
        <f t="shared" si="114"/>
        <v>0</v>
      </c>
      <c r="AX302" s="680"/>
      <c r="AY302" s="681"/>
      <c r="AZ302" s="681"/>
      <c r="BA302" s="681"/>
      <c r="BB302" s="681"/>
      <c r="BC302" s="681"/>
      <c r="BD302" s="681"/>
      <c r="BE302" s="681"/>
      <c r="BF302" s="682"/>
      <c r="BG302" s="680"/>
      <c r="BH302" s="680"/>
      <c r="BI302" s="222">
        <f t="shared" si="115"/>
        <v>0</v>
      </c>
      <c r="BJ302" s="140">
        <f t="shared" si="116"/>
        <v>0</v>
      </c>
      <c r="BK302" s="132"/>
      <c r="BL302" s="140">
        <f t="shared" si="117"/>
        <v>0</v>
      </c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41"/>
      <c r="BY302" s="141"/>
      <c r="BZ302" s="130">
        <f t="shared" si="118"/>
        <v>0</v>
      </c>
      <c r="CA302" s="132"/>
    </row>
    <row r="303" ht="14.25" customHeight="1">
      <c r="A303" s="132"/>
      <c r="B303" s="215">
        <v>46295</v>
      </c>
      <c r="C303" s="133"/>
      <c r="D303" s="136"/>
      <c r="E303" s="135"/>
      <c r="F303" s="135"/>
      <c r="G303" s="147">
        <f t="shared" si="110"/>
        <v>0</v>
      </c>
      <c r="H303" s="144"/>
      <c r="I303" s="144"/>
      <c r="J303" s="144"/>
      <c r="K303" s="144"/>
      <c r="L303" s="143"/>
      <c r="M303" s="143"/>
      <c r="N303" s="143"/>
      <c r="O303" s="143"/>
      <c r="P303" s="611"/>
      <c r="Q303" s="143"/>
      <c r="R303" s="143"/>
      <c r="S303" s="143"/>
      <c r="T303" s="143"/>
      <c r="U303" s="143"/>
      <c r="V303" s="143"/>
      <c r="W303" s="143"/>
      <c r="X303" s="143"/>
      <c r="Y303" s="146"/>
      <c r="Z303" s="623">
        <f t="shared" si="111"/>
        <v>0</v>
      </c>
      <c r="AA303" s="144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43"/>
      <c r="AM303" s="143"/>
      <c r="AN303" s="103">
        <f t="shared" si="112"/>
        <v>0</v>
      </c>
      <c r="AO303" s="136"/>
      <c r="AP303" s="136"/>
      <c r="AQ303" s="136"/>
      <c r="AR303" s="105">
        <f t="shared" si="113"/>
        <v>0</v>
      </c>
      <c r="AS303" s="143"/>
      <c r="AT303" s="143"/>
      <c r="AU303" s="143"/>
      <c r="AV303" s="146"/>
      <c r="AW303" s="224">
        <f t="shared" si="114"/>
        <v>0</v>
      </c>
      <c r="AX303" s="683"/>
      <c r="AY303" s="684"/>
      <c r="AZ303" s="684"/>
      <c r="BA303" s="684"/>
      <c r="BB303" s="684"/>
      <c r="BC303" s="684"/>
      <c r="BD303" s="684"/>
      <c r="BE303" s="684"/>
      <c r="BF303" s="685"/>
      <c r="BG303" s="680"/>
      <c r="BH303" s="680"/>
      <c r="BI303" s="222">
        <f t="shared" si="115"/>
        <v>0</v>
      </c>
      <c r="BJ303" s="140">
        <f t="shared" si="116"/>
        <v>0</v>
      </c>
      <c r="BK303" s="132"/>
      <c r="BL303" s="140">
        <f t="shared" si="117"/>
        <v>0</v>
      </c>
      <c r="BM303" s="141"/>
      <c r="BN303" s="141"/>
      <c r="BO303" s="141"/>
      <c r="BP303" s="141"/>
      <c r="BQ303" s="141"/>
      <c r="BR303" s="141"/>
      <c r="BS303" s="141"/>
      <c r="BT303" s="141"/>
      <c r="BU303" s="141"/>
      <c r="BV303" s="141"/>
      <c r="BW303" s="141"/>
      <c r="BX303" s="141"/>
      <c r="BY303" s="141"/>
      <c r="BZ303" s="130">
        <f t="shared" si="118"/>
        <v>0</v>
      </c>
      <c r="CA303" s="132"/>
    </row>
    <row r="304" ht="14.25" customHeight="1">
      <c r="A304" s="3"/>
      <c r="B304" s="2" t="s">
        <v>4</v>
      </c>
      <c r="C304" s="166">
        <f ref="C304:BJ304" t="shared" si="119">SUM(C273:C303)</f>
        <v>0</v>
      </c>
      <c r="D304" s="166">
        <f t="shared" si="119"/>
        <v>0</v>
      </c>
      <c r="E304" s="166">
        <f t="shared" si="119"/>
        <v>0</v>
      </c>
      <c r="F304" s="166">
        <f t="shared" si="119"/>
        <v>0</v>
      </c>
      <c r="G304" s="166">
        <f t="shared" si="119"/>
        <v>0</v>
      </c>
      <c r="H304" s="166">
        <f t="shared" si="119"/>
        <v>0</v>
      </c>
      <c r="I304" s="166">
        <f t="shared" si="119"/>
        <v>0</v>
      </c>
      <c r="J304" s="166">
        <f t="shared" si="119"/>
        <v>0</v>
      </c>
      <c r="K304" s="166">
        <f t="shared" si="119"/>
        <v>0</v>
      </c>
      <c r="L304" s="166">
        <f t="shared" si="119"/>
        <v>0</v>
      </c>
      <c r="M304" s="166">
        <f t="shared" si="119"/>
        <v>0</v>
      </c>
      <c r="N304" s="166">
        <f t="shared" si="119"/>
        <v>0</v>
      </c>
      <c r="O304" s="166">
        <f t="shared" si="119"/>
        <v>0</v>
      </c>
      <c r="P304" s="617">
        <f t="shared" si="119"/>
        <v>0</v>
      </c>
      <c r="Q304" s="166">
        <f t="shared" si="119"/>
        <v>0</v>
      </c>
      <c r="R304" s="166">
        <f t="shared" si="119"/>
        <v>0</v>
      </c>
      <c r="S304" s="166">
        <f t="shared" si="119"/>
        <v>0</v>
      </c>
      <c r="T304" s="166">
        <f t="shared" si="119"/>
        <v>0</v>
      </c>
      <c r="U304" s="166">
        <f t="shared" si="119"/>
        <v>0</v>
      </c>
      <c r="V304" s="166">
        <f t="shared" si="119"/>
        <v>0</v>
      </c>
      <c r="W304" s="166">
        <f t="shared" si="119"/>
        <v>0</v>
      </c>
      <c r="X304" s="166">
        <f t="shared" si="119"/>
        <v>0</v>
      </c>
      <c r="Y304" s="166">
        <f t="shared" si="119"/>
        <v>0</v>
      </c>
      <c r="Z304" s="165">
        <f t="shared" si="119"/>
        <v>0</v>
      </c>
      <c r="AA304" s="166">
        <f t="shared" si="119"/>
        <v>0</v>
      </c>
      <c r="AB304" s="166">
        <f t="shared" si="119"/>
        <v>0</v>
      </c>
      <c r="AC304" s="166">
        <f t="shared" si="119"/>
        <v>0</v>
      </c>
      <c r="AD304" s="166">
        <f t="shared" si="119"/>
        <v>0</v>
      </c>
      <c r="AE304" s="166">
        <f t="shared" si="119"/>
        <v>0</v>
      </c>
      <c r="AF304" s="166">
        <f t="shared" si="119"/>
        <v>0</v>
      </c>
      <c r="AG304" s="166">
        <f t="shared" si="119"/>
        <v>0</v>
      </c>
      <c r="AH304" s="166">
        <f t="shared" si="119"/>
        <v>0</v>
      </c>
      <c r="AI304" s="166">
        <f t="shared" si="119"/>
        <v>0</v>
      </c>
      <c r="AJ304" s="166">
        <f t="shared" si="119"/>
        <v>0</v>
      </c>
      <c r="AK304" s="166">
        <f t="shared" si="119"/>
        <v>0</v>
      </c>
      <c r="AL304" s="166">
        <f t="shared" si="119"/>
        <v>0</v>
      </c>
      <c r="AM304" s="166">
        <f t="shared" si="119"/>
        <v>0</v>
      </c>
      <c r="AN304" s="166">
        <f t="shared" si="119"/>
        <v>0</v>
      </c>
      <c r="AO304" s="166">
        <f t="shared" si="119"/>
        <v>0</v>
      </c>
      <c r="AP304" s="166">
        <f t="shared" si="119"/>
        <v>0</v>
      </c>
      <c r="AQ304" s="166">
        <f t="shared" si="119"/>
        <v>0</v>
      </c>
      <c r="AR304" s="166">
        <f t="shared" si="119"/>
        <v>0</v>
      </c>
      <c r="AS304" s="166">
        <f t="shared" si="119"/>
        <v>0</v>
      </c>
      <c r="AT304" s="166">
        <f t="shared" si="119"/>
        <v>0</v>
      </c>
      <c r="AU304" s="166">
        <f t="shared" si="119"/>
        <v>0</v>
      </c>
      <c r="AV304" s="166">
        <f t="shared" si="119"/>
        <v>0</v>
      </c>
      <c r="AW304" s="166">
        <f t="shared" si="119"/>
        <v>0</v>
      </c>
      <c r="AX304" s="165">
        <f t="shared" si="119"/>
        <v>0</v>
      </c>
      <c r="AY304" s="165">
        <f t="shared" si="119"/>
        <v>0</v>
      </c>
      <c r="AZ304" s="165">
        <f t="shared" si="119"/>
        <v>0</v>
      </c>
      <c r="BA304" s="165">
        <f t="shared" si="119"/>
        <v>0</v>
      </c>
      <c r="BB304" s="165">
        <f t="shared" si="119"/>
        <v>0</v>
      </c>
      <c r="BC304" s="165">
        <f t="shared" si="119"/>
        <v>0</v>
      </c>
      <c r="BD304" s="165">
        <f t="shared" si="119"/>
        <v>0</v>
      </c>
      <c r="BE304" s="165">
        <f t="shared" si="119"/>
        <v>0</v>
      </c>
      <c r="BF304" s="165">
        <f t="shared" si="119"/>
        <v>0</v>
      </c>
      <c r="BG304" s="166">
        <f t="shared" si="119"/>
        <v>0</v>
      </c>
      <c r="BH304" s="166">
        <f t="shared" si="119"/>
        <v>0</v>
      </c>
      <c r="BI304" s="166">
        <f t="shared" si="119"/>
        <v>0</v>
      </c>
      <c r="BJ304" s="166">
        <f t="shared" si="119"/>
        <v>0</v>
      </c>
      <c r="BK304" s="132"/>
      <c r="BL304" s="166">
        <f ref="BL304:BZ304" t="shared" si="120">SUM(BL273:BL303)</f>
        <v>0</v>
      </c>
      <c r="BM304" s="166">
        <f t="shared" si="120"/>
        <v>0</v>
      </c>
      <c r="BN304" s="166">
        <f t="shared" si="120"/>
        <v>0</v>
      </c>
      <c r="BO304" s="166">
        <f t="shared" si="120"/>
        <v>0</v>
      </c>
      <c r="BP304" s="166">
        <f t="shared" si="120"/>
        <v>0</v>
      </c>
      <c r="BQ304" s="166">
        <f t="shared" si="120"/>
        <v>0</v>
      </c>
      <c r="BR304" s="166">
        <f t="shared" si="120"/>
        <v>0</v>
      </c>
      <c r="BS304" s="166">
        <f t="shared" si="120"/>
        <v>0</v>
      </c>
      <c r="BT304" s="166">
        <f t="shared" si="120"/>
        <v>0</v>
      </c>
      <c r="BU304" s="166">
        <f t="shared" si="120"/>
        <v>0</v>
      </c>
      <c r="BV304" s="166">
        <f t="shared" si="120"/>
        <v>0</v>
      </c>
      <c r="BW304" s="166">
        <f t="shared" si="120"/>
        <v>0</v>
      </c>
      <c r="BX304" s="166">
        <f t="shared" si="120"/>
        <v>0</v>
      </c>
      <c r="BY304" s="166">
        <f t="shared" si="120"/>
        <v>0</v>
      </c>
      <c r="BZ304" s="166">
        <f t="shared" si="120"/>
        <v>0</v>
      </c>
      <c r="CA304" s="132"/>
    </row>
    <row r="305" ht="14.25" customHeight="1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1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96"/>
      <c r="AO305" s="96"/>
      <c r="AP305" s="3"/>
      <c r="AQ305" s="3"/>
      <c r="AR305" s="4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1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176"/>
      <c r="AO306" s="176"/>
      <c r="AP306" s="3"/>
      <c r="AQ306" s="3"/>
      <c r="AR306" s="4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</row>
    <row r="307" ht="14.25" customHeight="1">
      <c r="A307" s="3"/>
      <c r="B307" s="215">
        <v>46296</v>
      </c>
      <c r="C307" s="94"/>
      <c r="D307" s="104"/>
      <c r="E307" s="97"/>
      <c r="F307" s="97"/>
      <c r="G307" s="265">
        <f ref="G307:G337" t="shared" si="121">+C307+D307+E307+F307</f>
        <v>0</v>
      </c>
      <c r="H307" s="187"/>
      <c r="I307" s="187"/>
      <c r="J307" s="187"/>
      <c r="K307" s="187"/>
      <c r="L307" s="186"/>
      <c r="M307" s="186"/>
      <c r="N307" s="186"/>
      <c r="O307" s="186"/>
      <c r="P307" s="619"/>
      <c r="Q307" s="186"/>
      <c r="R307" s="186"/>
      <c r="S307" s="186"/>
      <c r="T307" s="186"/>
      <c r="U307" s="186"/>
      <c r="V307" s="186"/>
      <c r="W307" s="186"/>
      <c r="X307" s="186"/>
      <c r="Y307" s="193"/>
      <c r="Z307" s="189">
        <f ref="Z307:Z337" t="shared" si="122">SUM(H307:Y307)</f>
        <v>0</v>
      </c>
      <c r="AA307" s="187"/>
      <c r="AB307" s="186"/>
      <c r="AC307" s="186"/>
      <c r="AD307" s="186"/>
      <c r="AE307" s="186"/>
      <c r="AF307" s="186"/>
      <c r="AG307" s="186"/>
      <c r="AH307" s="186"/>
      <c r="AI307" s="186"/>
      <c r="AJ307" s="186"/>
      <c r="AK307" s="186"/>
      <c r="AL307" s="186"/>
      <c r="AM307" s="186"/>
      <c r="AN307" s="103">
        <f ref="AN307:AN337" t="shared" si="123">SUM(AA307:AM307)</f>
        <v>0</v>
      </c>
      <c r="AO307" s="104"/>
      <c r="AP307" s="104"/>
      <c r="AQ307" s="104"/>
      <c r="AR307" s="191">
        <f ref="AR307:AR337" t="shared" si="124">SUM(AO307:AQ307)</f>
        <v>0</v>
      </c>
      <c r="AS307" s="186"/>
      <c r="AT307" s="186"/>
      <c r="AU307" s="186"/>
      <c r="AV307" s="193"/>
      <c r="AW307" s="266">
        <f ref="AW307:AW337" t="shared" si="125">+G307-Z307-AN307-AR307-AS307-AT307-AU307-AV307</f>
        <v>0</v>
      </c>
      <c r="AX307" s="269"/>
      <c r="AY307" s="109"/>
      <c r="AZ307" s="109"/>
      <c r="BA307" s="109"/>
      <c r="BB307" s="109"/>
      <c r="BC307" s="109"/>
      <c r="BD307" s="109"/>
      <c r="BE307" s="109"/>
      <c r="BF307" s="270"/>
      <c r="BG307" s="269"/>
      <c r="BH307" s="269"/>
      <c r="BI307" s="272">
        <f ref="BI307:BI337" t="shared" si="126">SUM(AX307:BH307)-BG307</f>
        <v>0</v>
      </c>
      <c r="BJ307" s="114">
        <f ref="BJ307:BJ337" t="shared" si="127">+AW307-BI307</f>
        <v>0</v>
      </c>
      <c r="BK307" s="3"/>
      <c r="BL307" s="114">
        <f ref="BL307:BL337" t="shared" si="128">SUM(BM307:BY307)</f>
        <v>0</v>
      </c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5"/>
      <c r="BX307" s="115"/>
      <c r="BY307" s="115"/>
      <c r="BZ307" s="116">
        <f ref="BZ307:BZ337" t="shared" si="129">+BJ307-BL307</f>
        <v>0</v>
      </c>
      <c r="CA307" s="3"/>
    </row>
    <row r="308" ht="14.25" customHeight="1">
      <c r="A308" s="3"/>
      <c r="B308" s="215">
        <v>46297</v>
      </c>
      <c r="C308" s="118"/>
      <c r="D308" s="123"/>
      <c r="E308" s="120"/>
      <c r="F308" s="120"/>
      <c r="G308" s="147">
        <f t="shared" si="121"/>
        <v>0</v>
      </c>
      <c r="H308" s="144"/>
      <c r="I308" s="144"/>
      <c r="J308" s="144"/>
      <c r="K308" s="144"/>
      <c r="L308" s="143"/>
      <c r="M308" s="143"/>
      <c r="N308" s="143"/>
      <c r="O308" s="143"/>
      <c r="P308" s="611"/>
      <c r="Q308" s="143"/>
      <c r="R308" s="143"/>
      <c r="S308" s="143"/>
      <c r="T308" s="143"/>
      <c r="U308" s="143"/>
      <c r="V308" s="143"/>
      <c r="W308" s="143"/>
      <c r="X308" s="143"/>
      <c r="Y308" s="146"/>
      <c r="Z308" s="103">
        <f t="shared" si="122"/>
        <v>0</v>
      </c>
      <c r="AA308" s="144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43"/>
      <c r="AM308" s="143"/>
      <c r="AN308" s="103">
        <f t="shared" si="123"/>
        <v>0</v>
      </c>
      <c r="AO308" s="123"/>
      <c r="AP308" s="123"/>
      <c r="AQ308" s="123"/>
      <c r="AR308" s="105">
        <f t="shared" si="124"/>
        <v>0</v>
      </c>
      <c r="AS308" s="143"/>
      <c r="AT308" s="143"/>
      <c r="AU308" s="143"/>
      <c r="AV308" s="146"/>
      <c r="AW308" s="224">
        <f t="shared" si="125"/>
        <v>0</v>
      </c>
      <c r="AX308" s="274"/>
      <c r="AY308" s="126"/>
      <c r="AZ308" s="126"/>
      <c r="BA308" s="126"/>
      <c r="BB308" s="126"/>
      <c r="BC308" s="126"/>
      <c r="BD308" s="126"/>
      <c r="BE308" s="126"/>
      <c r="BF308" s="275"/>
      <c r="BG308" s="274"/>
      <c r="BH308" s="274"/>
      <c r="BI308" s="222">
        <f t="shared" si="126"/>
        <v>0</v>
      </c>
      <c r="BJ308" s="113">
        <f t="shared" si="127"/>
        <v>0</v>
      </c>
      <c r="BK308" s="3"/>
      <c r="BL308" s="113">
        <f t="shared" si="128"/>
        <v>0</v>
      </c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29"/>
      <c r="BY308" s="129"/>
      <c r="BZ308" s="130">
        <f t="shared" si="129"/>
        <v>0</v>
      </c>
      <c r="CA308" s="3"/>
    </row>
    <row r="309" ht="14.25" customHeight="1">
      <c r="A309" s="3"/>
      <c r="B309" s="215">
        <v>46298</v>
      </c>
      <c r="C309" s="118"/>
      <c r="D309" s="123"/>
      <c r="E309" s="120"/>
      <c r="F309" s="120"/>
      <c r="G309" s="147">
        <f t="shared" si="121"/>
        <v>0</v>
      </c>
      <c r="H309" s="144"/>
      <c r="I309" s="144"/>
      <c r="J309" s="144"/>
      <c r="K309" s="144"/>
      <c r="L309" s="143"/>
      <c r="M309" s="143"/>
      <c r="N309" s="143"/>
      <c r="O309" s="143"/>
      <c r="P309" s="611"/>
      <c r="Q309" s="143"/>
      <c r="R309" s="143"/>
      <c r="S309" s="143"/>
      <c r="T309" s="143"/>
      <c r="U309" s="143"/>
      <c r="V309" s="143"/>
      <c r="W309" s="143"/>
      <c r="X309" s="143"/>
      <c r="Y309" s="146"/>
      <c r="Z309" s="103">
        <f t="shared" si="122"/>
        <v>0</v>
      </c>
      <c r="AA309" s="144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43"/>
      <c r="AM309" s="143"/>
      <c r="AN309" s="103">
        <f t="shared" si="123"/>
        <v>0</v>
      </c>
      <c r="AO309" s="123"/>
      <c r="AP309" s="123"/>
      <c r="AQ309" s="123"/>
      <c r="AR309" s="105">
        <f t="shared" si="124"/>
        <v>0</v>
      </c>
      <c r="AS309" s="143"/>
      <c r="AT309" s="143"/>
      <c r="AU309" s="143"/>
      <c r="AV309" s="146"/>
      <c r="AW309" s="224">
        <f t="shared" si="125"/>
        <v>0</v>
      </c>
      <c r="AX309" s="274"/>
      <c r="AY309" s="126"/>
      <c r="AZ309" s="126"/>
      <c r="BA309" s="126"/>
      <c r="BB309" s="126"/>
      <c r="BC309" s="126"/>
      <c r="BD309" s="126"/>
      <c r="BE309" s="126"/>
      <c r="BF309" s="275"/>
      <c r="BG309" s="274"/>
      <c r="BH309" s="274"/>
      <c r="BI309" s="222">
        <f t="shared" si="126"/>
        <v>0</v>
      </c>
      <c r="BJ309" s="113">
        <f t="shared" si="127"/>
        <v>0</v>
      </c>
      <c r="BK309" s="3"/>
      <c r="BL309" s="113">
        <f t="shared" si="128"/>
        <v>0</v>
      </c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30">
        <f t="shared" si="129"/>
        <v>0</v>
      </c>
      <c r="CA309" s="3"/>
    </row>
    <row r="310" ht="14.25" customHeight="1">
      <c r="A310" s="3"/>
      <c r="B310" s="215">
        <v>46299</v>
      </c>
      <c r="C310" s="118"/>
      <c r="D310" s="123"/>
      <c r="E310" s="120"/>
      <c r="F310" s="120"/>
      <c r="G310" s="147">
        <f t="shared" si="121"/>
        <v>0</v>
      </c>
      <c r="H310" s="144"/>
      <c r="I310" s="144"/>
      <c r="J310" s="144"/>
      <c r="K310" s="144"/>
      <c r="L310" s="143"/>
      <c r="M310" s="143"/>
      <c r="N310" s="143"/>
      <c r="O310" s="143"/>
      <c r="P310" s="611"/>
      <c r="Q310" s="143"/>
      <c r="R310" s="143"/>
      <c r="S310" s="143"/>
      <c r="T310" s="143"/>
      <c r="U310" s="143"/>
      <c r="V310" s="143"/>
      <c r="W310" s="143"/>
      <c r="X310" s="143"/>
      <c r="Y310" s="146"/>
      <c r="Z310" s="103">
        <f t="shared" si="122"/>
        <v>0</v>
      </c>
      <c r="AA310" s="144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43"/>
      <c r="AM310" s="143"/>
      <c r="AN310" s="103">
        <f t="shared" si="123"/>
        <v>0</v>
      </c>
      <c r="AO310" s="123"/>
      <c r="AP310" s="123"/>
      <c r="AQ310" s="123"/>
      <c r="AR310" s="105">
        <f t="shared" si="124"/>
        <v>0</v>
      </c>
      <c r="AS310" s="143"/>
      <c r="AT310" s="143"/>
      <c r="AU310" s="143"/>
      <c r="AV310" s="146"/>
      <c r="AW310" s="224">
        <f t="shared" si="125"/>
        <v>0</v>
      </c>
      <c r="AX310" s="274"/>
      <c r="AY310" s="126"/>
      <c r="AZ310" s="126"/>
      <c r="BA310" s="126"/>
      <c r="BB310" s="126"/>
      <c r="BC310" s="126"/>
      <c r="BD310" s="126"/>
      <c r="BE310" s="126"/>
      <c r="BF310" s="275"/>
      <c r="BG310" s="274"/>
      <c r="BH310" s="274"/>
      <c r="BI310" s="222">
        <f t="shared" si="126"/>
        <v>0</v>
      </c>
      <c r="BJ310" s="113">
        <f t="shared" si="127"/>
        <v>0</v>
      </c>
      <c r="BK310" s="3"/>
      <c r="BL310" s="113">
        <f t="shared" si="128"/>
        <v>0</v>
      </c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30">
        <f t="shared" si="129"/>
        <v>0</v>
      </c>
      <c r="CA310" s="3"/>
    </row>
    <row r="311" ht="14.25" customHeight="1">
      <c r="A311" s="3"/>
      <c r="B311" s="215">
        <v>46300</v>
      </c>
      <c r="C311" s="118"/>
      <c r="D311" s="123"/>
      <c r="E311" s="120"/>
      <c r="F311" s="120"/>
      <c r="G311" s="147">
        <f t="shared" si="121"/>
        <v>0</v>
      </c>
      <c r="H311" s="144"/>
      <c r="I311" s="144"/>
      <c r="J311" s="144"/>
      <c r="K311" s="144"/>
      <c r="L311" s="143"/>
      <c r="M311" s="143"/>
      <c r="N311" s="143"/>
      <c r="O311" s="143"/>
      <c r="P311" s="611"/>
      <c r="Q311" s="143"/>
      <c r="R311" s="143"/>
      <c r="S311" s="143"/>
      <c r="T311" s="143"/>
      <c r="U311" s="143"/>
      <c r="V311" s="143"/>
      <c r="W311" s="143"/>
      <c r="X311" s="143"/>
      <c r="Y311" s="146"/>
      <c r="Z311" s="103">
        <f t="shared" si="122"/>
        <v>0</v>
      </c>
      <c r="AA311" s="144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43"/>
      <c r="AM311" s="143"/>
      <c r="AN311" s="103">
        <f t="shared" si="123"/>
        <v>0</v>
      </c>
      <c r="AO311" s="123"/>
      <c r="AP311" s="123"/>
      <c r="AQ311" s="123"/>
      <c r="AR311" s="105">
        <f t="shared" si="124"/>
        <v>0</v>
      </c>
      <c r="AS311" s="143"/>
      <c r="AT311" s="143"/>
      <c r="AU311" s="143"/>
      <c r="AV311" s="146"/>
      <c r="AW311" s="224">
        <f t="shared" si="125"/>
        <v>0</v>
      </c>
      <c r="AX311" s="274"/>
      <c r="AY311" s="126"/>
      <c r="AZ311" s="126"/>
      <c r="BA311" s="126"/>
      <c r="BB311" s="126"/>
      <c r="BC311" s="126"/>
      <c r="BD311" s="126"/>
      <c r="BE311" s="126"/>
      <c r="BF311" s="275"/>
      <c r="BG311" s="274"/>
      <c r="BH311" s="274"/>
      <c r="BI311" s="222">
        <f t="shared" si="126"/>
        <v>0</v>
      </c>
      <c r="BJ311" s="113">
        <f t="shared" si="127"/>
        <v>0</v>
      </c>
      <c r="BK311" s="3"/>
      <c r="BL311" s="113">
        <f t="shared" si="128"/>
        <v>0</v>
      </c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30">
        <f t="shared" si="129"/>
        <v>0</v>
      </c>
      <c r="CA311" s="3"/>
    </row>
    <row r="312" ht="14.25" customHeight="1">
      <c r="A312" s="3"/>
      <c r="B312" s="215">
        <v>46301</v>
      </c>
      <c r="C312" s="118"/>
      <c r="D312" s="123"/>
      <c r="E312" s="120"/>
      <c r="F312" s="120"/>
      <c r="G312" s="147">
        <f t="shared" si="121"/>
        <v>0</v>
      </c>
      <c r="H312" s="144"/>
      <c r="I312" s="144"/>
      <c r="J312" s="144"/>
      <c r="K312" s="144"/>
      <c r="L312" s="143"/>
      <c r="M312" s="143"/>
      <c r="N312" s="143"/>
      <c r="O312" s="143"/>
      <c r="P312" s="611"/>
      <c r="Q312" s="143"/>
      <c r="R312" s="143"/>
      <c r="S312" s="123"/>
      <c r="T312" s="123"/>
      <c r="U312" s="143"/>
      <c r="V312" s="143"/>
      <c r="W312" s="143"/>
      <c r="X312" s="143"/>
      <c r="Y312" s="146"/>
      <c r="Z312" s="103">
        <f t="shared" si="122"/>
        <v>0</v>
      </c>
      <c r="AA312" s="144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43"/>
      <c r="AM312" s="143"/>
      <c r="AN312" s="103">
        <f t="shared" si="123"/>
        <v>0</v>
      </c>
      <c r="AO312" s="123"/>
      <c r="AP312" s="123"/>
      <c r="AQ312" s="123"/>
      <c r="AR312" s="105">
        <f t="shared" si="124"/>
        <v>0</v>
      </c>
      <c r="AS312" s="143"/>
      <c r="AT312" s="143"/>
      <c r="AU312" s="143"/>
      <c r="AV312" s="146"/>
      <c r="AW312" s="224">
        <f t="shared" si="125"/>
        <v>0</v>
      </c>
      <c r="AX312" s="274"/>
      <c r="AY312" s="126"/>
      <c r="AZ312" s="126"/>
      <c r="BA312" s="126"/>
      <c r="BB312" s="126"/>
      <c r="BC312" s="126"/>
      <c r="BD312" s="126"/>
      <c r="BE312" s="126"/>
      <c r="BF312" s="275"/>
      <c r="BG312" s="274"/>
      <c r="BH312" s="274"/>
      <c r="BI312" s="222">
        <f t="shared" si="126"/>
        <v>0</v>
      </c>
      <c r="BJ312" s="113">
        <f t="shared" si="127"/>
        <v>0</v>
      </c>
      <c r="BK312" s="3"/>
      <c r="BL312" s="113">
        <f t="shared" si="128"/>
        <v>0</v>
      </c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30">
        <f t="shared" si="129"/>
        <v>0</v>
      </c>
      <c r="CA312" s="3"/>
    </row>
    <row r="313" ht="14.25" customHeight="1">
      <c r="A313" s="3"/>
      <c r="B313" s="215">
        <v>46302</v>
      </c>
      <c r="C313" s="118"/>
      <c r="D313" s="123"/>
      <c r="E313" s="120"/>
      <c r="F313" s="120"/>
      <c r="G313" s="147">
        <f t="shared" si="121"/>
        <v>0</v>
      </c>
      <c r="H313" s="144"/>
      <c r="I313" s="144"/>
      <c r="J313" s="144"/>
      <c r="K313" s="144"/>
      <c r="L313" s="143"/>
      <c r="M313" s="143"/>
      <c r="N313" s="143"/>
      <c r="O313" s="143"/>
      <c r="P313" s="611"/>
      <c r="Q313" s="143"/>
      <c r="R313" s="143"/>
      <c r="S313" s="99"/>
      <c r="T313" s="99"/>
      <c r="U313" s="143"/>
      <c r="V313" s="143"/>
      <c r="W313" s="143"/>
      <c r="X313" s="143"/>
      <c r="Y313" s="146"/>
      <c r="Z313" s="103">
        <f t="shared" si="122"/>
        <v>0</v>
      </c>
      <c r="AA313" s="144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43"/>
      <c r="AM313" s="143"/>
      <c r="AN313" s="103">
        <f t="shared" si="123"/>
        <v>0</v>
      </c>
      <c r="AO313" s="123"/>
      <c r="AP313" s="123"/>
      <c r="AQ313" s="123"/>
      <c r="AR313" s="105">
        <f t="shared" si="124"/>
        <v>0</v>
      </c>
      <c r="AS313" s="143"/>
      <c r="AT313" s="143"/>
      <c r="AU313" s="143"/>
      <c r="AV313" s="146"/>
      <c r="AW313" s="224">
        <f t="shared" si="125"/>
        <v>0</v>
      </c>
      <c r="AX313" s="274"/>
      <c r="AY313" s="126"/>
      <c r="AZ313" s="126"/>
      <c r="BA313" s="126"/>
      <c r="BB313" s="126"/>
      <c r="BC313" s="126"/>
      <c r="BD313" s="126"/>
      <c r="BE313" s="126"/>
      <c r="BF313" s="275"/>
      <c r="BG313" s="274"/>
      <c r="BH313" s="274"/>
      <c r="BI313" s="222">
        <f t="shared" si="126"/>
        <v>0</v>
      </c>
      <c r="BJ313" s="113">
        <f t="shared" si="127"/>
        <v>0</v>
      </c>
      <c r="BK313" s="3"/>
      <c r="BL313" s="113">
        <f t="shared" si="128"/>
        <v>0</v>
      </c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30">
        <f t="shared" si="129"/>
        <v>0</v>
      </c>
      <c r="CA313" s="3"/>
    </row>
    <row r="314" ht="14.25" customHeight="1">
      <c r="A314" s="3"/>
      <c r="B314" s="215">
        <v>46303</v>
      </c>
      <c r="C314" s="118"/>
      <c r="D314" s="123"/>
      <c r="E314" s="120"/>
      <c r="F314" s="120"/>
      <c r="G314" s="147">
        <f t="shared" si="121"/>
        <v>0</v>
      </c>
      <c r="H314" s="144"/>
      <c r="I314" s="144"/>
      <c r="J314" s="144"/>
      <c r="K314" s="144"/>
      <c r="L314" s="143"/>
      <c r="M314" s="143"/>
      <c r="N314" s="143"/>
      <c r="O314" s="143"/>
      <c r="P314" s="611"/>
      <c r="Q314" s="143"/>
      <c r="R314" s="143"/>
      <c r="S314" s="99"/>
      <c r="T314" s="99"/>
      <c r="U314" s="143"/>
      <c r="V314" s="143"/>
      <c r="W314" s="143"/>
      <c r="X314" s="143"/>
      <c r="Y314" s="146"/>
      <c r="Z314" s="103">
        <f t="shared" si="122"/>
        <v>0</v>
      </c>
      <c r="AA314" s="144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43"/>
      <c r="AM314" s="143"/>
      <c r="AN314" s="103">
        <f t="shared" si="123"/>
        <v>0</v>
      </c>
      <c r="AO314" s="123"/>
      <c r="AP314" s="123"/>
      <c r="AQ314" s="123"/>
      <c r="AR314" s="105">
        <f t="shared" si="124"/>
        <v>0</v>
      </c>
      <c r="AS314" s="143"/>
      <c r="AT314" s="143"/>
      <c r="AU314" s="143"/>
      <c r="AV314" s="146"/>
      <c r="AW314" s="224">
        <f t="shared" si="125"/>
        <v>0</v>
      </c>
      <c r="AX314" s="274"/>
      <c r="AY314" s="126"/>
      <c r="AZ314" s="126"/>
      <c r="BA314" s="126"/>
      <c r="BB314" s="126"/>
      <c r="BC314" s="126"/>
      <c r="BD314" s="126"/>
      <c r="BE314" s="126"/>
      <c r="BF314" s="275"/>
      <c r="BG314" s="274"/>
      <c r="BH314" s="274"/>
      <c r="BI314" s="222">
        <f t="shared" si="126"/>
        <v>0</v>
      </c>
      <c r="BJ314" s="113">
        <f t="shared" si="127"/>
        <v>0</v>
      </c>
      <c r="BK314" s="3"/>
      <c r="BL314" s="113">
        <f t="shared" si="128"/>
        <v>0</v>
      </c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30">
        <f t="shared" si="129"/>
        <v>0</v>
      </c>
      <c r="CA314" s="3"/>
    </row>
    <row r="315" ht="14.25" customHeight="1">
      <c r="A315" s="3"/>
      <c r="B315" s="215">
        <v>46304</v>
      </c>
      <c r="C315" s="118"/>
      <c r="D315" s="123"/>
      <c r="E315" s="120"/>
      <c r="F315" s="120"/>
      <c r="G315" s="147">
        <f t="shared" si="121"/>
        <v>0</v>
      </c>
      <c r="H315" s="144"/>
      <c r="I315" s="144"/>
      <c r="J315" s="144"/>
      <c r="K315" s="144"/>
      <c r="L315" s="143"/>
      <c r="M315" s="143"/>
      <c r="N315" s="143"/>
      <c r="O315" s="143"/>
      <c r="P315" s="611"/>
      <c r="Q315" s="143"/>
      <c r="R315" s="143"/>
      <c r="S315" s="123"/>
      <c r="T315" s="123"/>
      <c r="U315" s="143"/>
      <c r="V315" s="143"/>
      <c r="W315" s="143"/>
      <c r="X315" s="143"/>
      <c r="Y315" s="146"/>
      <c r="Z315" s="103">
        <f t="shared" si="122"/>
        <v>0</v>
      </c>
      <c r="AA315" s="144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43"/>
      <c r="AM315" s="143"/>
      <c r="AN315" s="103">
        <f t="shared" si="123"/>
        <v>0</v>
      </c>
      <c r="AO315" s="123"/>
      <c r="AP315" s="123"/>
      <c r="AQ315" s="123"/>
      <c r="AR315" s="105">
        <f t="shared" si="124"/>
        <v>0</v>
      </c>
      <c r="AS315" s="143"/>
      <c r="AT315" s="143"/>
      <c r="AU315" s="143"/>
      <c r="AV315" s="146"/>
      <c r="AW315" s="224">
        <f t="shared" si="125"/>
        <v>0</v>
      </c>
      <c r="AX315" s="274"/>
      <c r="AY315" s="126"/>
      <c r="AZ315" s="126"/>
      <c r="BA315" s="126"/>
      <c r="BB315" s="126"/>
      <c r="BC315" s="126"/>
      <c r="BD315" s="126"/>
      <c r="BE315" s="126"/>
      <c r="BF315" s="275"/>
      <c r="BG315" s="274"/>
      <c r="BH315" s="274"/>
      <c r="BI315" s="222">
        <f t="shared" si="126"/>
        <v>0</v>
      </c>
      <c r="BJ315" s="113">
        <f t="shared" si="127"/>
        <v>0</v>
      </c>
      <c r="BK315" s="3"/>
      <c r="BL315" s="113">
        <f t="shared" si="128"/>
        <v>0</v>
      </c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30">
        <f t="shared" si="129"/>
        <v>0</v>
      </c>
      <c r="CA315" s="3"/>
    </row>
    <row r="316" ht="14.25" customHeight="1">
      <c r="A316" s="132"/>
      <c r="B316" s="215">
        <v>46305</v>
      </c>
      <c r="C316" s="133"/>
      <c r="D316" s="136"/>
      <c r="E316" s="135"/>
      <c r="F316" s="135"/>
      <c r="G316" s="147">
        <f t="shared" si="121"/>
        <v>0</v>
      </c>
      <c r="H316" s="144"/>
      <c r="I316" s="144"/>
      <c r="J316" s="144"/>
      <c r="K316" s="144"/>
      <c r="L316" s="143"/>
      <c r="M316" s="143"/>
      <c r="N316" s="143"/>
      <c r="O316" s="143"/>
      <c r="P316" s="611"/>
      <c r="Q316" s="143"/>
      <c r="R316" s="143"/>
      <c r="S316" s="136"/>
      <c r="T316" s="136"/>
      <c r="U316" s="143"/>
      <c r="V316" s="143"/>
      <c r="W316" s="143"/>
      <c r="X316" s="143"/>
      <c r="Y316" s="146"/>
      <c r="Z316" s="103">
        <f t="shared" si="122"/>
        <v>0</v>
      </c>
      <c r="AA316" s="144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43"/>
      <c r="AM316" s="143"/>
      <c r="AN316" s="103">
        <f t="shared" si="123"/>
        <v>0</v>
      </c>
      <c r="AO316" s="136"/>
      <c r="AP316" s="136"/>
      <c r="AQ316" s="136"/>
      <c r="AR316" s="105">
        <f t="shared" si="124"/>
        <v>0</v>
      </c>
      <c r="AS316" s="143"/>
      <c r="AT316" s="143"/>
      <c r="AU316" s="143"/>
      <c r="AV316" s="146"/>
      <c r="AW316" s="224">
        <f t="shared" si="125"/>
        <v>0</v>
      </c>
      <c r="AX316" s="274"/>
      <c r="AY316" s="126"/>
      <c r="AZ316" s="126"/>
      <c r="BA316" s="126"/>
      <c r="BB316" s="126"/>
      <c r="BC316" s="126"/>
      <c r="BD316" s="126"/>
      <c r="BE316" s="126"/>
      <c r="BF316" s="275"/>
      <c r="BG316" s="274"/>
      <c r="BH316" s="274"/>
      <c r="BI316" s="222">
        <f t="shared" si="126"/>
        <v>0</v>
      </c>
      <c r="BJ316" s="140">
        <f t="shared" si="127"/>
        <v>0</v>
      </c>
      <c r="BK316" s="132"/>
      <c r="BL316" s="140">
        <f t="shared" si="128"/>
        <v>0</v>
      </c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495"/>
      <c r="BX316" s="141"/>
      <c r="BY316" s="141"/>
      <c r="BZ316" s="130">
        <f t="shared" si="129"/>
        <v>0</v>
      </c>
      <c r="CA316" s="132"/>
    </row>
    <row r="317" ht="14.25" customHeight="1">
      <c r="A317" s="132"/>
      <c r="B317" s="215">
        <v>46306</v>
      </c>
      <c r="C317" s="133"/>
      <c r="D317" s="136"/>
      <c r="E317" s="135"/>
      <c r="F317" s="135"/>
      <c r="G317" s="147">
        <f t="shared" si="121"/>
        <v>0</v>
      </c>
      <c r="H317" s="144"/>
      <c r="I317" s="144"/>
      <c r="J317" s="144"/>
      <c r="K317" s="144"/>
      <c r="L317" s="143"/>
      <c r="M317" s="143"/>
      <c r="N317" s="143"/>
      <c r="O317" s="143"/>
      <c r="P317" s="611"/>
      <c r="Q317" s="143"/>
      <c r="R317" s="143"/>
      <c r="S317" s="136"/>
      <c r="T317" s="136"/>
      <c r="U317" s="143"/>
      <c r="V317" s="143"/>
      <c r="W317" s="143"/>
      <c r="X317" s="143"/>
      <c r="Y317" s="146"/>
      <c r="Z317" s="103">
        <f t="shared" si="122"/>
        <v>0</v>
      </c>
      <c r="AA317" s="144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43"/>
      <c r="AM317" s="143"/>
      <c r="AN317" s="103">
        <f t="shared" si="123"/>
        <v>0</v>
      </c>
      <c r="AO317" s="136"/>
      <c r="AP317" s="136"/>
      <c r="AQ317" s="136"/>
      <c r="AR317" s="105">
        <f t="shared" si="124"/>
        <v>0</v>
      </c>
      <c r="AS317" s="143"/>
      <c r="AT317" s="143"/>
      <c r="AU317" s="143"/>
      <c r="AV317" s="146"/>
      <c r="AW317" s="224">
        <f t="shared" si="125"/>
        <v>0</v>
      </c>
      <c r="AX317" s="274"/>
      <c r="AY317" s="126"/>
      <c r="AZ317" s="126"/>
      <c r="BA317" s="126"/>
      <c r="BB317" s="126"/>
      <c r="BC317" s="126"/>
      <c r="BD317" s="126"/>
      <c r="BE317" s="126"/>
      <c r="BF317" s="275"/>
      <c r="BG317" s="274"/>
      <c r="BH317" s="274"/>
      <c r="BI317" s="222">
        <f t="shared" si="126"/>
        <v>0</v>
      </c>
      <c r="BJ317" s="140">
        <f t="shared" si="127"/>
        <v>0</v>
      </c>
      <c r="BK317" s="132"/>
      <c r="BL317" s="140">
        <f t="shared" si="128"/>
        <v>0</v>
      </c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41"/>
      <c r="BY317" s="141"/>
      <c r="BZ317" s="130">
        <f t="shared" si="129"/>
        <v>0</v>
      </c>
      <c r="CA317" s="132"/>
    </row>
    <row r="318" ht="14.25" customHeight="1">
      <c r="A318" s="132"/>
      <c r="B318" s="215">
        <v>46307</v>
      </c>
      <c r="C318" s="133"/>
      <c r="D318" s="136"/>
      <c r="E318" s="135"/>
      <c r="F318" s="135"/>
      <c r="G318" s="147">
        <f t="shared" si="121"/>
        <v>0</v>
      </c>
      <c r="H318" s="144"/>
      <c r="I318" s="144"/>
      <c r="J318" s="144"/>
      <c r="K318" s="144"/>
      <c r="L318" s="143"/>
      <c r="M318" s="143"/>
      <c r="N318" s="143"/>
      <c r="O318" s="143"/>
      <c r="P318" s="611"/>
      <c r="Q318" s="143"/>
      <c r="R318" s="143"/>
      <c r="S318" s="136"/>
      <c r="T318" s="136"/>
      <c r="U318" s="143"/>
      <c r="V318" s="143"/>
      <c r="W318" s="143"/>
      <c r="X318" s="143"/>
      <c r="Y318" s="146"/>
      <c r="Z318" s="103">
        <f t="shared" si="122"/>
        <v>0</v>
      </c>
      <c r="AA318" s="144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03">
        <f t="shared" si="123"/>
        <v>0</v>
      </c>
      <c r="AO318" s="136"/>
      <c r="AP318" s="136"/>
      <c r="AQ318" s="136"/>
      <c r="AR318" s="105">
        <f t="shared" si="124"/>
        <v>0</v>
      </c>
      <c r="AS318" s="143"/>
      <c r="AT318" s="143"/>
      <c r="AU318" s="143"/>
      <c r="AV318" s="146"/>
      <c r="AW318" s="224">
        <f t="shared" si="125"/>
        <v>0</v>
      </c>
      <c r="AX318" s="274"/>
      <c r="AY318" s="126"/>
      <c r="AZ318" s="126"/>
      <c r="BA318" s="126"/>
      <c r="BB318" s="126"/>
      <c r="BC318" s="126"/>
      <c r="BD318" s="126"/>
      <c r="BE318" s="126"/>
      <c r="BF318" s="275"/>
      <c r="BG318" s="274"/>
      <c r="BH318" s="274"/>
      <c r="BI318" s="222">
        <f t="shared" si="126"/>
        <v>0</v>
      </c>
      <c r="BJ318" s="140">
        <f t="shared" si="127"/>
        <v>0</v>
      </c>
      <c r="BK318" s="132"/>
      <c r="BL318" s="140">
        <f t="shared" si="128"/>
        <v>0</v>
      </c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41"/>
      <c r="BY318" s="141"/>
      <c r="BZ318" s="130">
        <f t="shared" si="129"/>
        <v>0</v>
      </c>
      <c r="CA318" s="132"/>
    </row>
    <row r="319" ht="14.25" customHeight="1">
      <c r="A319" s="132"/>
      <c r="B319" s="215">
        <v>46308</v>
      </c>
      <c r="C319" s="133"/>
      <c r="D319" s="136"/>
      <c r="E319" s="135"/>
      <c r="F319" s="135"/>
      <c r="G319" s="147">
        <f t="shared" si="121"/>
        <v>0</v>
      </c>
      <c r="H319" s="144"/>
      <c r="I319" s="144"/>
      <c r="J319" s="144"/>
      <c r="K319" s="144"/>
      <c r="L319" s="143"/>
      <c r="M319" s="143"/>
      <c r="N319" s="143"/>
      <c r="O319" s="143"/>
      <c r="P319" s="611"/>
      <c r="Q319" s="143"/>
      <c r="R319" s="143"/>
      <c r="S319" s="136"/>
      <c r="T319" s="136"/>
      <c r="U319" s="143"/>
      <c r="V319" s="143"/>
      <c r="W319" s="143"/>
      <c r="X319" s="143"/>
      <c r="Y319" s="146"/>
      <c r="Z319" s="103">
        <f t="shared" si="122"/>
        <v>0</v>
      </c>
      <c r="AA319" s="144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43"/>
      <c r="AM319" s="143"/>
      <c r="AN319" s="103">
        <f t="shared" si="123"/>
        <v>0</v>
      </c>
      <c r="AO319" s="136"/>
      <c r="AP319" s="136"/>
      <c r="AQ319" s="136"/>
      <c r="AR319" s="105">
        <f t="shared" si="124"/>
        <v>0</v>
      </c>
      <c r="AS319" s="143"/>
      <c r="AT319" s="143"/>
      <c r="AU319" s="143"/>
      <c r="AV319" s="146"/>
      <c r="AW319" s="224">
        <f t="shared" si="125"/>
        <v>0</v>
      </c>
      <c r="AX319" s="274"/>
      <c r="AY319" s="126"/>
      <c r="AZ319" s="126"/>
      <c r="BA319" s="126"/>
      <c r="BB319" s="126"/>
      <c r="BC319" s="126"/>
      <c r="BD319" s="126"/>
      <c r="BE319" s="126"/>
      <c r="BF319" s="275"/>
      <c r="BG319" s="274"/>
      <c r="BH319" s="274"/>
      <c r="BI319" s="222">
        <f t="shared" si="126"/>
        <v>0</v>
      </c>
      <c r="BJ319" s="140">
        <f t="shared" si="127"/>
        <v>0</v>
      </c>
      <c r="BK319" s="132"/>
      <c r="BL319" s="140">
        <f t="shared" si="128"/>
        <v>0</v>
      </c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41"/>
      <c r="BY319" s="141"/>
      <c r="BZ319" s="130">
        <f t="shared" si="129"/>
        <v>0</v>
      </c>
      <c r="CA319" s="132"/>
    </row>
    <row r="320" ht="14.25" customHeight="1">
      <c r="A320" s="132"/>
      <c r="B320" s="215">
        <v>46309</v>
      </c>
      <c r="C320" s="133"/>
      <c r="D320" s="136"/>
      <c r="E320" s="135"/>
      <c r="F320" s="135"/>
      <c r="G320" s="147">
        <f t="shared" si="121"/>
        <v>0</v>
      </c>
      <c r="H320" s="144"/>
      <c r="I320" s="144"/>
      <c r="J320" s="144"/>
      <c r="K320" s="144"/>
      <c r="L320" s="143"/>
      <c r="M320" s="143"/>
      <c r="N320" s="143"/>
      <c r="O320" s="143"/>
      <c r="P320" s="611"/>
      <c r="Q320" s="143"/>
      <c r="R320" s="143"/>
      <c r="S320" s="136"/>
      <c r="T320" s="136"/>
      <c r="U320" s="143"/>
      <c r="V320" s="143"/>
      <c r="W320" s="143"/>
      <c r="X320" s="143"/>
      <c r="Y320" s="146"/>
      <c r="Z320" s="103">
        <f t="shared" si="122"/>
        <v>0</v>
      </c>
      <c r="AA320" s="144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43"/>
      <c r="AM320" s="143"/>
      <c r="AN320" s="103">
        <f t="shared" si="123"/>
        <v>0</v>
      </c>
      <c r="AO320" s="136"/>
      <c r="AP320" s="136"/>
      <c r="AQ320" s="136"/>
      <c r="AR320" s="105">
        <f t="shared" si="124"/>
        <v>0</v>
      </c>
      <c r="AS320" s="143"/>
      <c r="AT320" s="143"/>
      <c r="AU320" s="143"/>
      <c r="AV320" s="146"/>
      <c r="AW320" s="224">
        <f t="shared" si="125"/>
        <v>0</v>
      </c>
      <c r="AX320" s="274"/>
      <c r="AY320" s="126"/>
      <c r="AZ320" s="126"/>
      <c r="BA320" s="126"/>
      <c r="BB320" s="126"/>
      <c r="BC320" s="126"/>
      <c r="BD320" s="126"/>
      <c r="BE320" s="126"/>
      <c r="BF320" s="275"/>
      <c r="BG320" s="274"/>
      <c r="BH320" s="274"/>
      <c r="BI320" s="222">
        <f t="shared" si="126"/>
        <v>0</v>
      </c>
      <c r="BJ320" s="140">
        <f t="shared" si="127"/>
        <v>0</v>
      </c>
      <c r="BK320" s="132"/>
      <c r="BL320" s="140">
        <f t="shared" si="128"/>
        <v>0</v>
      </c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41"/>
      <c r="BY320" s="141"/>
      <c r="BZ320" s="130">
        <f t="shared" si="129"/>
        <v>0</v>
      </c>
      <c r="CA320" s="132"/>
    </row>
    <row r="321" ht="14.25" customHeight="1">
      <c r="A321" s="132"/>
      <c r="B321" s="215">
        <v>46310</v>
      </c>
      <c r="C321" s="133"/>
      <c r="D321" s="136"/>
      <c r="E321" s="135"/>
      <c r="F321" s="135"/>
      <c r="G321" s="147">
        <f t="shared" si="121"/>
        <v>0</v>
      </c>
      <c r="H321" s="144"/>
      <c r="I321" s="144"/>
      <c r="J321" s="144"/>
      <c r="K321" s="144"/>
      <c r="L321" s="143"/>
      <c r="M321" s="143"/>
      <c r="N321" s="143"/>
      <c r="O321" s="143"/>
      <c r="P321" s="611"/>
      <c r="Q321" s="143"/>
      <c r="R321" s="143"/>
      <c r="S321" s="136"/>
      <c r="T321" s="136"/>
      <c r="U321" s="143"/>
      <c r="V321" s="143"/>
      <c r="W321" s="143"/>
      <c r="X321" s="143"/>
      <c r="Y321" s="146"/>
      <c r="Z321" s="103">
        <f t="shared" si="122"/>
        <v>0</v>
      </c>
      <c r="AA321" s="144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43"/>
      <c r="AM321" s="143"/>
      <c r="AN321" s="103">
        <f t="shared" si="123"/>
        <v>0</v>
      </c>
      <c r="AO321" s="136"/>
      <c r="AP321" s="136"/>
      <c r="AQ321" s="136"/>
      <c r="AR321" s="105">
        <f t="shared" si="124"/>
        <v>0</v>
      </c>
      <c r="AS321" s="143"/>
      <c r="AT321" s="143"/>
      <c r="AU321" s="143"/>
      <c r="AV321" s="146"/>
      <c r="AW321" s="224">
        <f t="shared" si="125"/>
        <v>0</v>
      </c>
      <c r="AX321" s="274"/>
      <c r="AY321" s="126"/>
      <c r="AZ321" s="126"/>
      <c r="BA321" s="126"/>
      <c r="BB321" s="126"/>
      <c r="BC321" s="126"/>
      <c r="BD321" s="126"/>
      <c r="BE321" s="126"/>
      <c r="BF321" s="275"/>
      <c r="BG321" s="274"/>
      <c r="BH321" s="274"/>
      <c r="BI321" s="222">
        <f t="shared" si="126"/>
        <v>0</v>
      </c>
      <c r="BJ321" s="140">
        <f t="shared" si="127"/>
        <v>0</v>
      </c>
      <c r="BK321" s="132"/>
      <c r="BL321" s="140">
        <f t="shared" si="128"/>
        <v>0</v>
      </c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41"/>
      <c r="BY321" s="141"/>
      <c r="BZ321" s="130">
        <f t="shared" si="129"/>
        <v>0</v>
      </c>
      <c r="CA321" s="132"/>
    </row>
    <row r="322" ht="14.25" customHeight="1">
      <c r="A322" s="132"/>
      <c r="B322" s="215">
        <v>46311</v>
      </c>
      <c r="C322" s="133"/>
      <c r="D322" s="136"/>
      <c r="E322" s="135"/>
      <c r="F322" s="135"/>
      <c r="G322" s="147">
        <f t="shared" si="121"/>
        <v>0</v>
      </c>
      <c r="H322" s="144"/>
      <c r="I322" s="144"/>
      <c r="J322" s="144"/>
      <c r="K322" s="144"/>
      <c r="L322" s="143"/>
      <c r="M322" s="143"/>
      <c r="N322" s="143"/>
      <c r="O322" s="143"/>
      <c r="P322" s="611"/>
      <c r="Q322" s="143"/>
      <c r="R322" s="143"/>
      <c r="S322" s="136"/>
      <c r="T322" s="136"/>
      <c r="U322" s="143"/>
      <c r="V322" s="143"/>
      <c r="W322" s="143"/>
      <c r="X322" s="143"/>
      <c r="Y322" s="146"/>
      <c r="Z322" s="103">
        <f t="shared" si="122"/>
        <v>0</v>
      </c>
      <c r="AA322" s="144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43"/>
      <c r="AM322" s="143"/>
      <c r="AN322" s="103">
        <f t="shared" si="123"/>
        <v>0</v>
      </c>
      <c r="AO322" s="136"/>
      <c r="AP322" s="136"/>
      <c r="AQ322" s="136"/>
      <c r="AR322" s="105">
        <f t="shared" si="124"/>
        <v>0</v>
      </c>
      <c r="AS322" s="143"/>
      <c r="AT322" s="143"/>
      <c r="AU322" s="143"/>
      <c r="AV322" s="146"/>
      <c r="AW322" s="224">
        <f t="shared" si="125"/>
        <v>0</v>
      </c>
      <c r="AX322" s="274"/>
      <c r="AY322" s="126"/>
      <c r="AZ322" s="126"/>
      <c r="BA322" s="126"/>
      <c r="BB322" s="126"/>
      <c r="BC322" s="126"/>
      <c r="BD322" s="126"/>
      <c r="BE322" s="126"/>
      <c r="BF322" s="275"/>
      <c r="BG322" s="274"/>
      <c r="BH322" s="274"/>
      <c r="BI322" s="222">
        <f t="shared" si="126"/>
        <v>0</v>
      </c>
      <c r="BJ322" s="140">
        <f t="shared" si="127"/>
        <v>0</v>
      </c>
      <c r="BK322" s="132"/>
      <c r="BL322" s="140">
        <f t="shared" si="128"/>
        <v>0</v>
      </c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41"/>
      <c r="BY322" s="141"/>
      <c r="BZ322" s="130">
        <f t="shared" si="129"/>
        <v>0</v>
      </c>
      <c r="CA322" s="132"/>
    </row>
    <row r="323" ht="14.25" customHeight="1">
      <c r="A323" s="132"/>
      <c r="B323" s="215">
        <v>46312</v>
      </c>
      <c r="C323" s="133"/>
      <c r="D323" s="136"/>
      <c r="E323" s="135"/>
      <c r="F323" s="135"/>
      <c r="G323" s="147">
        <f t="shared" si="121"/>
        <v>0</v>
      </c>
      <c r="H323" s="144"/>
      <c r="I323" s="144"/>
      <c r="J323" s="144"/>
      <c r="K323" s="144"/>
      <c r="L323" s="143"/>
      <c r="M323" s="143"/>
      <c r="N323" s="143"/>
      <c r="O323" s="143"/>
      <c r="P323" s="611"/>
      <c r="Q323" s="143"/>
      <c r="R323" s="143"/>
      <c r="S323" s="99"/>
      <c r="T323" s="99"/>
      <c r="U323" s="143"/>
      <c r="V323" s="143"/>
      <c r="W323" s="143"/>
      <c r="X323" s="143"/>
      <c r="Y323" s="146"/>
      <c r="Z323" s="103">
        <f t="shared" si="122"/>
        <v>0</v>
      </c>
      <c r="AA323" s="144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43"/>
      <c r="AM323" s="143"/>
      <c r="AN323" s="103">
        <f t="shared" si="123"/>
        <v>0</v>
      </c>
      <c r="AO323" s="136"/>
      <c r="AP323" s="136"/>
      <c r="AQ323" s="136"/>
      <c r="AR323" s="105">
        <f t="shared" si="124"/>
        <v>0</v>
      </c>
      <c r="AS323" s="143"/>
      <c r="AT323" s="143"/>
      <c r="AU323" s="143"/>
      <c r="AV323" s="146"/>
      <c r="AW323" s="224">
        <f t="shared" si="125"/>
        <v>0</v>
      </c>
      <c r="AX323" s="274"/>
      <c r="AY323" s="126"/>
      <c r="AZ323" s="126"/>
      <c r="BA323" s="126"/>
      <c r="BB323" s="126"/>
      <c r="BC323" s="126"/>
      <c r="BD323" s="126"/>
      <c r="BE323" s="126"/>
      <c r="BF323" s="275"/>
      <c r="BG323" s="274"/>
      <c r="BH323" s="274"/>
      <c r="BI323" s="222">
        <f t="shared" si="126"/>
        <v>0</v>
      </c>
      <c r="BJ323" s="140">
        <f t="shared" si="127"/>
        <v>0</v>
      </c>
      <c r="BK323" s="132"/>
      <c r="BL323" s="140">
        <f t="shared" si="128"/>
        <v>0</v>
      </c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41"/>
      <c r="BY323" s="141"/>
      <c r="BZ323" s="130">
        <f t="shared" si="129"/>
        <v>0</v>
      </c>
      <c r="CA323" s="132"/>
    </row>
    <row r="324" ht="14.25" customHeight="1">
      <c r="A324" s="132"/>
      <c r="B324" s="215">
        <v>46313</v>
      </c>
      <c r="C324" s="133"/>
      <c r="D324" s="136"/>
      <c r="E324" s="135"/>
      <c r="F324" s="135"/>
      <c r="G324" s="147">
        <f t="shared" si="121"/>
        <v>0</v>
      </c>
      <c r="H324" s="144"/>
      <c r="I324" s="144"/>
      <c r="J324" s="144"/>
      <c r="K324" s="144"/>
      <c r="L324" s="143"/>
      <c r="M324" s="143"/>
      <c r="N324" s="143"/>
      <c r="O324" s="143"/>
      <c r="P324" s="611"/>
      <c r="Q324" s="143"/>
      <c r="R324" s="143"/>
      <c r="S324" s="136"/>
      <c r="T324" s="136"/>
      <c r="U324" s="143"/>
      <c r="V324" s="143"/>
      <c r="W324" s="143"/>
      <c r="X324" s="143"/>
      <c r="Y324" s="146"/>
      <c r="Z324" s="103">
        <f t="shared" si="122"/>
        <v>0</v>
      </c>
      <c r="AA324" s="144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43"/>
      <c r="AM324" s="143"/>
      <c r="AN324" s="103">
        <f t="shared" si="123"/>
        <v>0</v>
      </c>
      <c r="AO324" s="136"/>
      <c r="AP324" s="136"/>
      <c r="AQ324" s="136"/>
      <c r="AR324" s="105">
        <f t="shared" si="124"/>
        <v>0</v>
      </c>
      <c r="AS324" s="143"/>
      <c r="AT324" s="143"/>
      <c r="AU324" s="143"/>
      <c r="AV324" s="146"/>
      <c r="AW324" s="224">
        <f t="shared" si="125"/>
        <v>0</v>
      </c>
      <c r="AX324" s="274"/>
      <c r="AY324" s="126"/>
      <c r="AZ324" s="126"/>
      <c r="BA324" s="126"/>
      <c r="BB324" s="126"/>
      <c r="BC324" s="126"/>
      <c r="BD324" s="126"/>
      <c r="BE324" s="126"/>
      <c r="BF324" s="275"/>
      <c r="BG324" s="274"/>
      <c r="BH324" s="274"/>
      <c r="BI324" s="222">
        <f t="shared" si="126"/>
        <v>0</v>
      </c>
      <c r="BJ324" s="140">
        <f t="shared" si="127"/>
        <v>0</v>
      </c>
      <c r="BK324" s="132"/>
      <c r="BL324" s="140">
        <f t="shared" si="128"/>
        <v>0</v>
      </c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41"/>
      <c r="BY324" s="141"/>
      <c r="BZ324" s="130">
        <f t="shared" si="129"/>
        <v>0</v>
      </c>
      <c r="CA324" s="132"/>
    </row>
    <row r="325" ht="14.25" customHeight="1">
      <c r="A325" s="132"/>
      <c r="B325" s="215">
        <v>46314</v>
      </c>
      <c r="C325" s="133"/>
      <c r="D325" s="136"/>
      <c r="E325" s="135"/>
      <c r="F325" s="135"/>
      <c r="G325" s="147">
        <f t="shared" si="121"/>
        <v>0</v>
      </c>
      <c r="H325" s="144"/>
      <c r="I325" s="144"/>
      <c r="J325" s="144"/>
      <c r="K325" s="144"/>
      <c r="L325" s="143"/>
      <c r="M325" s="143"/>
      <c r="N325" s="143"/>
      <c r="O325" s="143"/>
      <c r="P325" s="611"/>
      <c r="Q325" s="143"/>
      <c r="R325" s="143"/>
      <c r="S325" s="136"/>
      <c r="T325" s="136"/>
      <c r="U325" s="143"/>
      <c r="V325" s="143"/>
      <c r="W325" s="143"/>
      <c r="X325" s="143"/>
      <c r="Y325" s="146"/>
      <c r="Z325" s="103">
        <f t="shared" si="122"/>
        <v>0</v>
      </c>
      <c r="AA325" s="144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43"/>
      <c r="AM325" s="143"/>
      <c r="AN325" s="103">
        <f t="shared" si="123"/>
        <v>0</v>
      </c>
      <c r="AO325" s="136"/>
      <c r="AP325" s="136"/>
      <c r="AQ325" s="136"/>
      <c r="AR325" s="105">
        <f t="shared" si="124"/>
        <v>0</v>
      </c>
      <c r="AS325" s="143"/>
      <c r="AT325" s="143"/>
      <c r="AU325" s="143"/>
      <c r="AV325" s="146"/>
      <c r="AW325" s="224">
        <f t="shared" si="125"/>
        <v>0</v>
      </c>
      <c r="AX325" s="274"/>
      <c r="AY325" s="126"/>
      <c r="AZ325" s="126"/>
      <c r="BA325" s="126"/>
      <c r="BB325" s="126"/>
      <c r="BC325" s="126"/>
      <c r="BD325" s="126"/>
      <c r="BE325" s="126"/>
      <c r="BF325" s="275"/>
      <c r="BG325" s="274"/>
      <c r="BH325" s="274"/>
      <c r="BI325" s="222">
        <f t="shared" si="126"/>
        <v>0</v>
      </c>
      <c r="BJ325" s="140">
        <f t="shared" si="127"/>
        <v>0</v>
      </c>
      <c r="BK325" s="132"/>
      <c r="BL325" s="140">
        <f t="shared" si="128"/>
        <v>0</v>
      </c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41"/>
      <c r="BY325" s="141"/>
      <c r="BZ325" s="130">
        <f t="shared" si="129"/>
        <v>0</v>
      </c>
      <c r="CA325" s="132"/>
    </row>
    <row r="326" ht="14.25" customHeight="1">
      <c r="A326" s="132"/>
      <c r="B326" s="215">
        <v>46315</v>
      </c>
      <c r="C326" s="133"/>
      <c r="D326" s="136"/>
      <c r="E326" s="136"/>
      <c r="F326" s="132"/>
      <c r="G326" s="147">
        <f t="shared" si="121"/>
        <v>0</v>
      </c>
      <c r="H326" s="144"/>
      <c r="I326" s="144"/>
      <c r="J326" s="144"/>
      <c r="K326" s="144"/>
      <c r="L326" s="143"/>
      <c r="M326" s="143"/>
      <c r="N326" s="143"/>
      <c r="O326" s="143"/>
      <c r="P326" s="611"/>
      <c r="Q326" s="143"/>
      <c r="R326" s="143"/>
      <c r="S326" s="136"/>
      <c r="T326" s="136"/>
      <c r="U326" s="143"/>
      <c r="V326" s="143"/>
      <c r="W326" s="143"/>
      <c r="X326" s="143"/>
      <c r="Y326" s="146"/>
      <c r="Z326" s="103">
        <f t="shared" si="122"/>
        <v>0</v>
      </c>
      <c r="AA326" s="144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43"/>
      <c r="AM326" s="143"/>
      <c r="AN326" s="103">
        <f t="shared" si="123"/>
        <v>0</v>
      </c>
      <c r="AO326" s="136"/>
      <c r="AP326" s="136"/>
      <c r="AQ326" s="136"/>
      <c r="AR326" s="105">
        <f t="shared" si="124"/>
        <v>0</v>
      </c>
      <c r="AS326" s="143"/>
      <c r="AT326" s="143"/>
      <c r="AU326" s="143"/>
      <c r="AV326" s="146"/>
      <c r="AW326" s="224">
        <f t="shared" si="125"/>
        <v>0</v>
      </c>
      <c r="AX326" s="274"/>
      <c r="AY326" s="126"/>
      <c r="AZ326" s="126"/>
      <c r="BA326" s="126"/>
      <c r="BB326" s="126"/>
      <c r="BC326" s="126"/>
      <c r="BD326" s="126"/>
      <c r="BE326" s="126"/>
      <c r="BF326" s="275"/>
      <c r="BG326" s="274"/>
      <c r="BH326" s="274"/>
      <c r="BI326" s="222">
        <f t="shared" si="126"/>
        <v>0</v>
      </c>
      <c r="BJ326" s="140">
        <f t="shared" si="127"/>
        <v>0</v>
      </c>
      <c r="BK326" s="132"/>
      <c r="BL326" s="140">
        <f t="shared" si="128"/>
        <v>0</v>
      </c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41"/>
      <c r="BY326" s="141"/>
      <c r="BZ326" s="130">
        <f t="shared" si="129"/>
        <v>0</v>
      </c>
      <c r="CA326" s="132"/>
    </row>
    <row r="327" ht="14.25" customHeight="1">
      <c r="A327" s="132"/>
      <c r="B327" s="215">
        <v>46316</v>
      </c>
      <c r="C327" s="133"/>
      <c r="D327" s="136"/>
      <c r="E327" s="135"/>
      <c r="F327" s="135"/>
      <c r="G327" s="147">
        <f t="shared" si="121"/>
        <v>0</v>
      </c>
      <c r="H327" s="144"/>
      <c r="I327" s="144"/>
      <c r="J327" s="144"/>
      <c r="K327" s="144"/>
      <c r="L327" s="143"/>
      <c r="M327" s="143"/>
      <c r="N327" s="143"/>
      <c r="O327" s="143"/>
      <c r="P327" s="611"/>
      <c r="Q327" s="143"/>
      <c r="R327" s="143"/>
      <c r="S327" s="136"/>
      <c r="T327" s="136"/>
      <c r="U327" s="143"/>
      <c r="V327" s="143"/>
      <c r="W327" s="143"/>
      <c r="X327" s="143"/>
      <c r="Y327" s="146"/>
      <c r="Z327" s="103">
        <f t="shared" si="122"/>
        <v>0</v>
      </c>
      <c r="AA327" s="144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43"/>
      <c r="AM327" s="143"/>
      <c r="AN327" s="103">
        <f t="shared" si="123"/>
        <v>0</v>
      </c>
      <c r="AO327" s="136"/>
      <c r="AP327" s="136"/>
      <c r="AQ327" s="136"/>
      <c r="AR327" s="105">
        <f t="shared" si="124"/>
        <v>0</v>
      </c>
      <c r="AS327" s="143"/>
      <c r="AT327" s="143"/>
      <c r="AU327" s="143"/>
      <c r="AV327" s="146"/>
      <c r="AW327" s="224">
        <f t="shared" si="125"/>
        <v>0</v>
      </c>
      <c r="AX327" s="274"/>
      <c r="AY327" s="126"/>
      <c r="AZ327" s="126"/>
      <c r="BA327" s="126"/>
      <c r="BB327" s="126"/>
      <c r="BC327" s="126"/>
      <c r="BD327" s="126"/>
      <c r="BE327" s="126"/>
      <c r="BF327" s="275"/>
      <c r="BG327" s="274"/>
      <c r="BH327" s="274"/>
      <c r="BI327" s="222">
        <f t="shared" si="126"/>
        <v>0</v>
      </c>
      <c r="BJ327" s="140">
        <f t="shared" si="127"/>
        <v>0</v>
      </c>
      <c r="BK327" s="132"/>
      <c r="BL327" s="140">
        <f t="shared" si="128"/>
        <v>0</v>
      </c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41"/>
      <c r="BY327" s="141"/>
      <c r="BZ327" s="130">
        <f t="shared" si="129"/>
        <v>0</v>
      </c>
      <c r="CA327" s="132"/>
    </row>
    <row r="328" ht="14.25" customHeight="1">
      <c r="A328" s="132"/>
      <c r="B328" s="215">
        <v>46317</v>
      </c>
      <c r="C328" s="133"/>
      <c r="D328" s="136"/>
      <c r="E328" s="135"/>
      <c r="F328" s="135"/>
      <c r="G328" s="147">
        <f t="shared" si="121"/>
        <v>0</v>
      </c>
      <c r="H328" s="144"/>
      <c r="I328" s="144"/>
      <c r="J328" s="144"/>
      <c r="K328" s="144"/>
      <c r="L328" s="143"/>
      <c r="M328" s="143"/>
      <c r="N328" s="143"/>
      <c r="O328" s="143"/>
      <c r="P328" s="611"/>
      <c r="Q328" s="143"/>
      <c r="R328" s="143"/>
      <c r="S328" s="136"/>
      <c r="T328" s="136"/>
      <c r="U328" s="143"/>
      <c r="V328" s="143"/>
      <c r="W328" s="143"/>
      <c r="X328" s="143"/>
      <c r="Y328" s="146"/>
      <c r="Z328" s="103">
        <f t="shared" si="122"/>
        <v>0</v>
      </c>
      <c r="AA328" s="144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43"/>
      <c r="AM328" s="143"/>
      <c r="AN328" s="103">
        <f t="shared" si="123"/>
        <v>0</v>
      </c>
      <c r="AO328" s="136"/>
      <c r="AP328" s="136"/>
      <c r="AQ328" s="136"/>
      <c r="AR328" s="105">
        <f t="shared" si="124"/>
        <v>0</v>
      </c>
      <c r="AS328" s="143"/>
      <c r="AT328" s="143"/>
      <c r="AU328" s="143"/>
      <c r="AV328" s="146"/>
      <c r="AW328" s="224">
        <f t="shared" si="125"/>
        <v>0</v>
      </c>
      <c r="AX328" s="274"/>
      <c r="AY328" s="126"/>
      <c r="AZ328" s="126"/>
      <c r="BA328" s="126"/>
      <c r="BB328" s="126"/>
      <c r="BC328" s="126"/>
      <c r="BD328" s="126"/>
      <c r="BE328" s="126"/>
      <c r="BF328" s="275"/>
      <c r="BG328" s="274"/>
      <c r="BH328" s="274"/>
      <c r="BI328" s="222">
        <f t="shared" si="126"/>
        <v>0</v>
      </c>
      <c r="BJ328" s="140">
        <f t="shared" si="127"/>
        <v>0</v>
      </c>
      <c r="BK328" s="132"/>
      <c r="BL328" s="140">
        <f t="shared" si="128"/>
        <v>0</v>
      </c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41"/>
      <c r="BY328" s="141"/>
      <c r="BZ328" s="130">
        <f t="shared" si="129"/>
        <v>0</v>
      </c>
      <c r="CA328" s="132"/>
    </row>
    <row r="329" ht="14.25" customHeight="1">
      <c r="A329" s="132"/>
      <c r="B329" s="215">
        <v>46318</v>
      </c>
      <c r="C329" s="133"/>
      <c r="D329" s="136"/>
      <c r="E329" s="135"/>
      <c r="F329" s="135"/>
      <c r="G329" s="147">
        <f t="shared" si="121"/>
        <v>0</v>
      </c>
      <c r="H329" s="144"/>
      <c r="I329" s="144"/>
      <c r="J329" s="144"/>
      <c r="K329" s="144"/>
      <c r="L329" s="143"/>
      <c r="M329" s="143"/>
      <c r="N329" s="143"/>
      <c r="O329" s="143"/>
      <c r="P329" s="611"/>
      <c r="Q329" s="143"/>
      <c r="R329" s="143"/>
      <c r="S329" s="136"/>
      <c r="T329" s="136"/>
      <c r="U329" s="143"/>
      <c r="V329" s="143"/>
      <c r="W329" s="143"/>
      <c r="X329" s="143"/>
      <c r="Y329" s="146"/>
      <c r="Z329" s="103">
        <f t="shared" si="122"/>
        <v>0</v>
      </c>
      <c r="AA329" s="144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43"/>
      <c r="AM329" s="143"/>
      <c r="AN329" s="103">
        <f t="shared" si="123"/>
        <v>0</v>
      </c>
      <c r="AO329" s="136"/>
      <c r="AP329" s="136"/>
      <c r="AQ329" s="136"/>
      <c r="AR329" s="105">
        <f t="shared" si="124"/>
        <v>0</v>
      </c>
      <c r="AS329" s="143"/>
      <c r="AT329" s="143"/>
      <c r="AU329" s="143"/>
      <c r="AV329" s="146"/>
      <c r="AW329" s="224">
        <f t="shared" si="125"/>
        <v>0</v>
      </c>
      <c r="AX329" s="274"/>
      <c r="AY329" s="126"/>
      <c r="AZ329" s="126"/>
      <c r="BA329" s="126"/>
      <c r="BB329" s="126"/>
      <c r="BC329" s="126"/>
      <c r="BD329" s="126"/>
      <c r="BE329" s="126"/>
      <c r="BF329" s="275"/>
      <c r="BG329" s="274"/>
      <c r="BH329" s="274"/>
      <c r="BI329" s="222">
        <f t="shared" si="126"/>
        <v>0</v>
      </c>
      <c r="BJ329" s="140">
        <f t="shared" si="127"/>
        <v>0</v>
      </c>
      <c r="BK329" s="132"/>
      <c r="BL329" s="140">
        <f t="shared" si="128"/>
        <v>0</v>
      </c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41"/>
      <c r="BY329" s="141"/>
      <c r="BZ329" s="130">
        <f t="shared" si="129"/>
        <v>0</v>
      </c>
      <c r="CA329" s="132"/>
    </row>
    <row r="330" ht="14.25" customHeight="1">
      <c r="A330" s="132"/>
      <c r="B330" s="215">
        <v>46319</v>
      </c>
      <c r="C330" s="133"/>
      <c r="D330" s="133"/>
      <c r="E330" s="133"/>
      <c r="F330" s="133"/>
      <c r="G330" s="147">
        <f t="shared" si="121"/>
        <v>0</v>
      </c>
      <c r="H330" s="144"/>
      <c r="I330" s="144"/>
      <c r="J330" s="144"/>
      <c r="K330" s="144"/>
      <c r="L330" s="143"/>
      <c r="M330" s="143"/>
      <c r="N330" s="143"/>
      <c r="O330" s="143"/>
      <c r="P330" s="611"/>
      <c r="Q330" s="143"/>
      <c r="R330" s="143"/>
      <c r="S330" s="143"/>
      <c r="T330" s="143"/>
      <c r="U330" s="143"/>
      <c r="V330" s="143"/>
      <c r="W330" s="143"/>
      <c r="X330" s="143"/>
      <c r="Y330" s="146"/>
      <c r="Z330" s="103">
        <f t="shared" si="122"/>
        <v>0</v>
      </c>
      <c r="AA330" s="144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43"/>
      <c r="AM330" s="143"/>
      <c r="AN330" s="103">
        <f t="shared" si="123"/>
        <v>0</v>
      </c>
      <c r="AO330" s="136"/>
      <c r="AP330" s="136"/>
      <c r="AQ330" s="136"/>
      <c r="AR330" s="105">
        <f t="shared" si="124"/>
        <v>0</v>
      </c>
      <c r="AS330" s="143"/>
      <c r="AT330" s="143"/>
      <c r="AU330" s="143"/>
      <c r="AV330" s="146"/>
      <c r="AW330" s="224">
        <f t="shared" si="125"/>
        <v>0</v>
      </c>
      <c r="AX330" s="274"/>
      <c r="AY330" s="126"/>
      <c r="AZ330" s="126"/>
      <c r="BA330" s="126"/>
      <c r="BB330" s="126"/>
      <c r="BC330" s="126"/>
      <c r="BD330" s="126"/>
      <c r="BE330" s="126"/>
      <c r="BF330" s="275"/>
      <c r="BG330" s="274"/>
      <c r="BH330" s="274"/>
      <c r="BI330" s="222">
        <f t="shared" si="126"/>
        <v>0</v>
      </c>
      <c r="BJ330" s="140">
        <f t="shared" si="127"/>
        <v>0</v>
      </c>
      <c r="BK330" s="132"/>
      <c r="BL330" s="140">
        <f t="shared" si="128"/>
        <v>0</v>
      </c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41"/>
      <c r="BY330" s="141"/>
      <c r="BZ330" s="130">
        <f t="shared" si="129"/>
        <v>0</v>
      </c>
      <c r="CA330" s="132"/>
    </row>
    <row r="331" ht="14.25" customHeight="1">
      <c r="A331" s="132"/>
      <c r="B331" s="215">
        <v>46320</v>
      </c>
      <c r="C331" s="133"/>
      <c r="D331" s="136"/>
      <c r="E331" s="135"/>
      <c r="F331" s="135"/>
      <c r="G331" s="147">
        <f t="shared" si="121"/>
        <v>0</v>
      </c>
      <c r="H331" s="144"/>
      <c r="I331" s="144"/>
      <c r="J331" s="144"/>
      <c r="K331" s="144"/>
      <c r="L331" s="143"/>
      <c r="M331" s="143"/>
      <c r="N331" s="143"/>
      <c r="O331" s="143"/>
      <c r="P331" s="611"/>
      <c r="Q331" s="143"/>
      <c r="R331" s="143"/>
      <c r="S331" s="136"/>
      <c r="T331" s="136"/>
      <c r="U331" s="143"/>
      <c r="V331" s="143"/>
      <c r="W331" s="143"/>
      <c r="X331" s="143"/>
      <c r="Y331" s="146"/>
      <c r="Z331" s="103">
        <f t="shared" si="122"/>
        <v>0</v>
      </c>
      <c r="AA331" s="144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43"/>
      <c r="AM331" s="143"/>
      <c r="AN331" s="103">
        <f t="shared" si="123"/>
        <v>0</v>
      </c>
      <c r="AO331" s="136"/>
      <c r="AP331" s="136"/>
      <c r="AQ331" s="136"/>
      <c r="AR331" s="105">
        <f t="shared" si="124"/>
        <v>0</v>
      </c>
      <c r="AS331" s="143"/>
      <c r="AT331" s="143"/>
      <c r="AU331" s="143"/>
      <c r="AV331" s="146"/>
      <c r="AW331" s="224">
        <f t="shared" si="125"/>
        <v>0</v>
      </c>
      <c r="AX331" s="274"/>
      <c r="AY331" s="126"/>
      <c r="AZ331" s="126"/>
      <c r="BA331" s="126"/>
      <c r="BB331" s="126"/>
      <c r="BC331" s="126"/>
      <c r="BD331" s="126"/>
      <c r="BE331" s="126"/>
      <c r="BF331" s="275"/>
      <c r="BG331" s="274"/>
      <c r="BH331" s="274"/>
      <c r="BI331" s="222">
        <f t="shared" si="126"/>
        <v>0</v>
      </c>
      <c r="BJ331" s="140">
        <f t="shared" si="127"/>
        <v>0</v>
      </c>
      <c r="BK331" s="132"/>
      <c r="BL331" s="140">
        <f t="shared" si="128"/>
        <v>0</v>
      </c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41"/>
      <c r="BY331" s="141"/>
      <c r="BZ331" s="130">
        <f t="shared" si="129"/>
        <v>0</v>
      </c>
      <c r="CA331" s="132"/>
    </row>
    <row r="332" ht="14.25" customHeight="1">
      <c r="A332" s="132"/>
      <c r="B332" s="215">
        <v>46321</v>
      </c>
      <c r="C332" s="133"/>
      <c r="D332" s="136"/>
      <c r="E332" s="135"/>
      <c r="F332" s="135"/>
      <c r="G332" s="147">
        <f t="shared" si="121"/>
        <v>0</v>
      </c>
      <c r="H332" s="144"/>
      <c r="I332" s="144"/>
      <c r="J332" s="144"/>
      <c r="K332" s="144"/>
      <c r="L332" s="143"/>
      <c r="M332" s="143"/>
      <c r="N332" s="143"/>
      <c r="O332" s="143"/>
      <c r="P332" s="611"/>
      <c r="Q332" s="143"/>
      <c r="R332" s="143"/>
      <c r="S332" s="136"/>
      <c r="T332" s="136"/>
      <c r="U332" s="143"/>
      <c r="V332" s="143"/>
      <c r="W332" s="143"/>
      <c r="X332" s="143"/>
      <c r="Y332" s="146"/>
      <c r="Z332" s="103">
        <f t="shared" si="122"/>
        <v>0</v>
      </c>
      <c r="AA332" s="144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43"/>
      <c r="AM332" s="143"/>
      <c r="AN332" s="103">
        <f t="shared" si="123"/>
        <v>0</v>
      </c>
      <c r="AO332" s="136"/>
      <c r="AP332" s="136"/>
      <c r="AQ332" s="136"/>
      <c r="AR332" s="105">
        <f t="shared" si="124"/>
        <v>0</v>
      </c>
      <c r="AS332" s="143"/>
      <c r="AT332" s="143"/>
      <c r="AU332" s="143"/>
      <c r="AV332" s="146"/>
      <c r="AW332" s="224">
        <f t="shared" si="125"/>
        <v>0</v>
      </c>
      <c r="AX332" s="274"/>
      <c r="AY332" s="126"/>
      <c r="AZ332" s="126"/>
      <c r="BA332" s="126"/>
      <c r="BB332" s="126"/>
      <c r="BC332" s="126"/>
      <c r="BD332" s="126"/>
      <c r="BE332" s="126"/>
      <c r="BF332" s="275"/>
      <c r="BG332" s="274"/>
      <c r="BH332" s="274"/>
      <c r="BI332" s="222">
        <f t="shared" si="126"/>
        <v>0</v>
      </c>
      <c r="BJ332" s="140">
        <f t="shared" si="127"/>
        <v>0</v>
      </c>
      <c r="BK332" s="132"/>
      <c r="BL332" s="140">
        <f t="shared" si="128"/>
        <v>0</v>
      </c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41"/>
      <c r="BY332" s="141"/>
      <c r="BZ332" s="130">
        <f t="shared" si="129"/>
        <v>0</v>
      </c>
      <c r="CA332" s="132"/>
    </row>
    <row r="333" ht="14.25" customHeight="1">
      <c r="A333" s="132"/>
      <c r="B333" s="215">
        <v>46322</v>
      </c>
      <c r="C333" s="133"/>
      <c r="D333" s="136"/>
      <c r="E333" s="135"/>
      <c r="F333" s="135"/>
      <c r="G333" s="147">
        <f t="shared" si="121"/>
        <v>0</v>
      </c>
      <c r="H333" s="144"/>
      <c r="I333" s="144"/>
      <c r="J333" s="144"/>
      <c r="K333" s="144"/>
      <c r="L333" s="143"/>
      <c r="M333" s="143"/>
      <c r="N333" s="143"/>
      <c r="O333" s="143"/>
      <c r="P333" s="611"/>
      <c r="Q333" s="143"/>
      <c r="R333" s="143"/>
      <c r="S333" s="136"/>
      <c r="T333" s="136"/>
      <c r="U333" s="143"/>
      <c r="V333" s="143"/>
      <c r="W333" s="143"/>
      <c r="X333" s="143"/>
      <c r="Y333" s="146"/>
      <c r="Z333" s="103">
        <f t="shared" si="122"/>
        <v>0</v>
      </c>
      <c r="AA333" s="144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03">
        <f t="shared" si="123"/>
        <v>0</v>
      </c>
      <c r="AO333" s="136"/>
      <c r="AP333" s="136"/>
      <c r="AQ333" s="136"/>
      <c r="AR333" s="105">
        <f t="shared" si="124"/>
        <v>0</v>
      </c>
      <c r="AS333" s="143"/>
      <c r="AT333" s="143"/>
      <c r="AU333" s="143"/>
      <c r="AV333" s="146"/>
      <c r="AW333" s="224">
        <f t="shared" si="125"/>
        <v>0</v>
      </c>
      <c r="AX333" s="274"/>
      <c r="AY333" s="126"/>
      <c r="AZ333" s="126"/>
      <c r="BA333" s="126"/>
      <c r="BB333" s="126"/>
      <c r="BC333" s="126"/>
      <c r="BD333" s="126"/>
      <c r="BE333" s="126"/>
      <c r="BF333" s="275"/>
      <c r="BG333" s="274"/>
      <c r="BH333" s="274"/>
      <c r="BI333" s="222">
        <f t="shared" si="126"/>
        <v>0</v>
      </c>
      <c r="BJ333" s="140">
        <f t="shared" si="127"/>
        <v>0</v>
      </c>
      <c r="BK333" s="132"/>
      <c r="BL333" s="140">
        <f t="shared" si="128"/>
        <v>0</v>
      </c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41"/>
      <c r="BY333" s="141"/>
      <c r="BZ333" s="130">
        <f t="shared" si="129"/>
        <v>0</v>
      </c>
      <c r="CA333" s="132"/>
    </row>
    <row r="334" ht="14.25" customHeight="1">
      <c r="A334" s="132"/>
      <c r="B334" s="215">
        <v>46323</v>
      </c>
      <c r="C334" s="133"/>
      <c r="D334" s="136"/>
      <c r="E334" s="135"/>
      <c r="F334" s="135"/>
      <c r="G334" s="147">
        <f t="shared" si="121"/>
        <v>0</v>
      </c>
      <c r="H334" s="144"/>
      <c r="I334" s="144"/>
      <c r="J334" s="144"/>
      <c r="K334" s="144"/>
      <c r="L334" s="143"/>
      <c r="M334" s="143"/>
      <c r="N334" s="143"/>
      <c r="O334" s="143"/>
      <c r="P334" s="611"/>
      <c r="Q334" s="143"/>
      <c r="R334" s="143"/>
      <c r="S334" s="143"/>
      <c r="T334" s="143"/>
      <c r="U334" s="143"/>
      <c r="V334" s="143"/>
      <c r="W334" s="143"/>
      <c r="X334" s="143"/>
      <c r="Y334" s="146"/>
      <c r="Z334" s="103">
        <f t="shared" si="122"/>
        <v>0</v>
      </c>
      <c r="AA334" s="144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43"/>
      <c r="AM334" s="143"/>
      <c r="AN334" s="103">
        <f t="shared" si="123"/>
        <v>0</v>
      </c>
      <c r="AO334" s="136"/>
      <c r="AP334" s="136"/>
      <c r="AQ334" s="136"/>
      <c r="AR334" s="105">
        <f t="shared" si="124"/>
        <v>0</v>
      </c>
      <c r="AS334" s="143"/>
      <c r="AT334" s="143"/>
      <c r="AU334" s="143"/>
      <c r="AV334" s="146"/>
      <c r="AW334" s="224">
        <f t="shared" si="125"/>
        <v>0</v>
      </c>
      <c r="AX334" s="274"/>
      <c r="AY334" s="126"/>
      <c r="AZ334" s="126"/>
      <c r="BA334" s="126"/>
      <c r="BB334" s="126"/>
      <c r="BC334" s="126"/>
      <c r="BD334" s="126"/>
      <c r="BE334" s="126"/>
      <c r="BF334" s="275"/>
      <c r="BG334" s="274"/>
      <c r="BH334" s="274"/>
      <c r="BI334" s="222">
        <f t="shared" si="126"/>
        <v>0</v>
      </c>
      <c r="BJ334" s="140">
        <f t="shared" si="127"/>
        <v>0</v>
      </c>
      <c r="BK334" s="132"/>
      <c r="BL334" s="140">
        <f t="shared" si="128"/>
        <v>0</v>
      </c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41"/>
      <c r="BY334" s="141"/>
      <c r="BZ334" s="130">
        <f t="shared" si="129"/>
        <v>0</v>
      </c>
      <c r="CA334" s="132"/>
    </row>
    <row r="335" ht="14.25" customHeight="1">
      <c r="A335" s="132"/>
      <c r="B335" s="215">
        <v>46324</v>
      </c>
      <c r="C335" s="133"/>
      <c r="D335" s="136"/>
      <c r="E335" s="135"/>
      <c r="F335" s="135"/>
      <c r="G335" s="147">
        <f t="shared" si="121"/>
        <v>0</v>
      </c>
      <c r="H335" s="144"/>
      <c r="I335" s="144"/>
      <c r="J335" s="144"/>
      <c r="K335" s="144"/>
      <c r="L335" s="143"/>
      <c r="M335" s="143"/>
      <c r="N335" s="143"/>
      <c r="O335" s="143"/>
      <c r="P335" s="611"/>
      <c r="Q335" s="143"/>
      <c r="R335" s="143"/>
      <c r="S335" s="143"/>
      <c r="T335" s="143"/>
      <c r="U335" s="143"/>
      <c r="V335" s="143"/>
      <c r="W335" s="143"/>
      <c r="X335" s="143"/>
      <c r="Y335" s="146"/>
      <c r="Z335" s="103">
        <f t="shared" si="122"/>
        <v>0</v>
      </c>
      <c r="AA335" s="144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43"/>
      <c r="AM335" s="143"/>
      <c r="AN335" s="103">
        <f t="shared" si="123"/>
        <v>0</v>
      </c>
      <c r="AO335" s="136"/>
      <c r="AP335" s="136"/>
      <c r="AQ335" s="136"/>
      <c r="AR335" s="105">
        <f t="shared" si="124"/>
        <v>0</v>
      </c>
      <c r="AS335" s="143"/>
      <c r="AT335" s="143"/>
      <c r="AU335" s="143"/>
      <c r="AV335" s="146"/>
      <c r="AW335" s="224">
        <f t="shared" si="125"/>
        <v>0</v>
      </c>
      <c r="AX335" s="274"/>
      <c r="AY335" s="126"/>
      <c r="AZ335" s="126"/>
      <c r="BA335" s="126"/>
      <c r="BB335" s="126"/>
      <c r="BC335" s="126"/>
      <c r="BD335" s="126"/>
      <c r="BE335" s="126"/>
      <c r="BF335" s="275"/>
      <c r="BG335" s="274"/>
      <c r="BH335" s="274"/>
      <c r="BI335" s="222">
        <f t="shared" si="126"/>
        <v>0</v>
      </c>
      <c r="BJ335" s="140">
        <f t="shared" si="127"/>
        <v>0</v>
      </c>
      <c r="BK335" s="132"/>
      <c r="BL335" s="140">
        <f t="shared" si="128"/>
        <v>0</v>
      </c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41"/>
      <c r="BY335" s="141"/>
      <c r="BZ335" s="130">
        <f t="shared" si="129"/>
        <v>0</v>
      </c>
      <c r="CA335" s="132"/>
    </row>
    <row r="336" ht="14.25" customHeight="1">
      <c r="A336" s="132"/>
      <c r="B336" s="215">
        <v>46325</v>
      </c>
      <c r="C336" s="133"/>
      <c r="D336" s="136"/>
      <c r="E336" s="135"/>
      <c r="F336" s="135"/>
      <c r="G336" s="147">
        <f t="shared" si="121"/>
        <v>0</v>
      </c>
      <c r="H336" s="144"/>
      <c r="I336" s="144"/>
      <c r="J336" s="144"/>
      <c r="K336" s="144"/>
      <c r="L336" s="143"/>
      <c r="M336" s="143"/>
      <c r="N336" s="143"/>
      <c r="O336" s="143"/>
      <c r="P336" s="611"/>
      <c r="Q336" s="143"/>
      <c r="R336" s="143"/>
      <c r="S336" s="143"/>
      <c r="T336" s="143"/>
      <c r="U336" s="143"/>
      <c r="V336" s="143"/>
      <c r="W336" s="143"/>
      <c r="X336" s="143"/>
      <c r="Y336" s="146"/>
      <c r="Z336" s="103">
        <f t="shared" si="122"/>
        <v>0</v>
      </c>
      <c r="AA336" s="144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43"/>
      <c r="AM336" s="143"/>
      <c r="AN336" s="103">
        <f t="shared" si="123"/>
        <v>0</v>
      </c>
      <c r="AO336" s="136"/>
      <c r="AP336" s="136"/>
      <c r="AQ336" s="136"/>
      <c r="AR336" s="105">
        <f t="shared" si="124"/>
        <v>0</v>
      </c>
      <c r="AS336" s="143"/>
      <c r="AT336" s="143"/>
      <c r="AU336" s="143"/>
      <c r="AV336" s="146"/>
      <c r="AW336" s="224">
        <f t="shared" si="125"/>
        <v>0</v>
      </c>
      <c r="AX336" s="274"/>
      <c r="AY336" s="126"/>
      <c r="AZ336" s="126"/>
      <c r="BA336" s="126"/>
      <c r="BB336" s="126"/>
      <c r="BC336" s="126"/>
      <c r="BD336" s="126"/>
      <c r="BE336" s="126"/>
      <c r="BF336" s="275"/>
      <c r="BG336" s="274"/>
      <c r="BH336" s="274"/>
      <c r="BI336" s="222">
        <f t="shared" si="126"/>
        <v>0</v>
      </c>
      <c r="BJ336" s="140">
        <f t="shared" si="127"/>
        <v>0</v>
      </c>
      <c r="BK336" s="132"/>
      <c r="BL336" s="140">
        <f t="shared" si="128"/>
        <v>0</v>
      </c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41"/>
      <c r="BY336" s="141"/>
      <c r="BZ336" s="130">
        <f t="shared" si="129"/>
        <v>0</v>
      </c>
      <c r="CA336" s="132"/>
    </row>
    <row r="337" ht="14.25" customHeight="1">
      <c r="A337" s="3"/>
      <c r="B337" s="215">
        <v>46326</v>
      </c>
      <c r="C337" s="277"/>
      <c r="D337" s="278"/>
      <c r="E337" s="279"/>
      <c r="F337" s="279"/>
      <c r="G337" s="147">
        <f t="shared" si="121"/>
        <v>0</v>
      </c>
      <c r="H337" s="612"/>
      <c r="I337" s="612"/>
      <c r="J337" s="612"/>
      <c r="K337" s="612"/>
      <c r="L337" s="157"/>
      <c r="M337" s="157"/>
      <c r="N337" s="157"/>
      <c r="O337" s="157"/>
      <c r="P337" s="613"/>
      <c r="Q337" s="157"/>
      <c r="R337" s="157"/>
      <c r="S337" s="157"/>
      <c r="T337" s="157"/>
      <c r="U337" s="157"/>
      <c r="V337" s="157"/>
      <c r="W337" s="143"/>
      <c r="X337" s="143"/>
      <c r="Y337" s="146"/>
      <c r="Z337" s="623">
        <f t="shared" si="122"/>
        <v>0</v>
      </c>
      <c r="AA337" s="612"/>
      <c r="AB337" s="157"/>
      <c r="AC337" s="157"/>
      <c r="AD337" s="157"/>
      <c r="AE337" s="157"/>
      <c r="AF337" s="157"/>
      <c r="AG337" s="157"/>
      <c r="AH337" s="157"/>
      <c r="AI337" s="157"/>
      <c r="AJ337" s="157"/>
      <c r="AK337" s="157"/>
      <c r="AL337" s="157"/>
      <c r="AM337" s="157"/>
      <c r="AN337" s="103">
        <f t="shared" si="123"/>
        <v>0</v>
      </c>
      <c r="AO337" s="278"/>
      <c r="AP337" s="278"/>
      <c r="AQ337" s="278"/>
      <c r="AR337" s="105">
        <f t="shared" si="124"/>
        <v>0</v>
      </c>
      <c r="AS337" s="157"/>
      <c r="AT337" s="157"/>
      <c r="AU337" s="157"/>
      <c r="AV337" s="160"/>
      <c r="AW337" s="224">
        <f t="shared" si="125"/>
        <v>0</v>
      </c>
      <c r="AX337" s="296"/>
      <c r="AY337" s="138"/>
      <c r="AZ337" s="138"/>
      <c r="BA337" s="138"/>
      <c r="BB337" s="138"/>
      <c r="BC337" s="138"/>
      <c r="BD337" s="138"/>
      <c r="BE337" s="138"/>
      <c r="BF337" s="297"/>
      <c r="BG337" s="296"/>
      <c r="BH337" s="296"/>
      <c r="BI337" s="222">
        <f t="shared" si="126"/>
        <v>0</v>
      </c>
      <c r="BJ337" s="281">
        <f t="shared" si="127"/>
        <v>0</v>
      </c>
      <c r="BK337" s="3"/>
      <c r="BL337" s="281">
        <f t="shared" si="128"/>
        <v>0</v>
      </c>
      <c r="BM337" s="282"/>
      <c r="BN337" s="282"/>
      <c r="BO337" s="282"/>
      <c r="BP337" s="282"/>
      <c r="BQ337" s="282"/>
      <c r="BR337" s="282"/>
      <c r="BS337" s="282"/>
      <c r="BT337" s="282"/>
      <c r="BU337" s="282"/>
      <c r="BV337" s="129"/>
      <c r="BW337" s="141"/>
      <c r="BX337" s="282"/>
      <c r="BY337" s="282"/>
      <c r="BZ337" s="164">
        <f t="shared" si="129"/>
        <v>0</v>
      </c>
      <c r="CA337" s="3"/>
    </row>
    <row r="338" ht="14.25" customHeight="1">
      <c r="A338" s="3"/>
      <c r="B338" s="2" t="s">
        <v>4</v>
      </c>
      <c r="C338" s="166">
        <f ref="C338:V338" t="shared" si="130">SUM(C307:C337)</f>
        <v>0</v>
      </c>
      <c r="D338" s="166">
        <f t="shared" si="130"/>
        <v>0</v>
      </c>
      <c r="E338" s="166">
        <f t="shared" si="130"/>
        <v>0</v>
      </c>
      <c r="F338" s="166">
        <f t="shared" si="130"/>
        <v>0</v>
      </c>
      <c r="G338" s="166">
        <f t="shared" si="130"/>
        <v>0</v>
      </c>
      <c r="H338" s="166">
        <f t="shared" si="130"/>
        <v>0</v>
      </c>
      <c r="I338" s="166">
        <f t="shared" si="130"/>
        <v>0</v>
      </c>
      <c r="J338" s="166">
        <f t="shared" si="130"/>
        <v>0</v>
      </c>
      <c r="K338" s="166">
        <f t="shared" si="130"/>
        <v>0</v>
      </c>
      <c r="L338" s="166">
        <f t="shared" si="130"/>
        <v>0</v>
      </c>
      <c r="M338" s="166">
        <f t="shared" si="130"/>
        <v>0</v>
      </c>
      <c r="N338" s="166">
        <f t="shared" si="130"/>
        <v>0</v>
      </c>
      <c r="O338" s="166">
        <f t="shared" si="130"/>
        <v>0</v>
      </c>
      <c r="P338" s="617">
        <f t="shared" si="130"/>
        <v>0</v>
      </c>
      <c r="Q338" s="166">
        <f t="shared" si="130"/>
        <v>0</v>
      </c>
      <c r="R338" s="166">
        <f t="shared" si="130"/>
        <v>0</v>
      </c>
      <c r="S338" s="166">
        <f t="shared" si="130"/>
        <v>0</v>
      </c>
      <c r="T338" s="166">
        <f t="shared" si="130"/>
        <v>0</v>
      </c>
      <c r="U338" s="166">
        <f t="shared" si="130"/>
        <v>0</v>
      </c>
      <c r="V338" s="166">
        <f t="shared" si="130"/>
        <v>0</v>
      </c>
      <c r="W338" s="166"/>
      <c r="X338" s="166">
        <f ref="X338:BJ338" t="shared" si="131">SUM(X307:X337)</f>
        <v>0</v>
      </c>
      <c r="Y338" s="166">
        <f t="shared" si="131"/>
        <v>0</v>
      </c>
      <c r="Z338" s="165">
        <f t="shared" si="131"/>
        <v>0</v>
      </c>
      <c r="AA338" s="166">
        <f t="shared" si="131"/>
        <v>0</v>
      </c>
      <c r="AB338" s="166">
        <f t="shared" si="131"/>
        <v>0</v>
      </c>
      <c r="AC338" s="166">
        <f t="shared" si="131"/>
        <v>0</v>
      </c>
      <c r="AD338" s="166">
        <f t="shared" si="131"/>
        <v>0</v>
      </c>
      <c r="AE338" s="166">
        <f t="shared" si="131"/>
        <v>0</v>
      </c>
      <c r="AF338" s="166">
        <f t="shared" si="131"/>
        <v>0</v>
      </c>
      <c r="AG338" s="166">
        <f t="shared" si="131"/>
        <v>0</v>
      </c>
      <c r="AH338" s="166">
        <f t="shared" si="131"/>
        <v>0</v>
      </c>
      <c r="AI338" s="166">
        <f t="shared" si="131"/>
        <v>0</v>
      </c>
      <c r="AJ338" s="166">
        <f t="shared" si="131"/>
        <v>0</v>
      </c>
      <c r="AK338" s="166">
        <f t="shared" si="131"/>
        <v>0</v>
      </c>
      <c r="AL338" s="166">
        <f t="shared" si="131"/>
        <v>0</v>
      </c>
      <c r="AM338" s="166">
        <f t="shared" si="131"/>
        <v>0</v>
      </c>
      <c r="AN338" s="166">
        <f t="shared" si="131"/>
        <v>0</v>
      </c>
      <c r="AO338" s="166">
        <f t="shared" si="131"/>
        <v>0</v>
      </c>
      <c r="AP338" s="166">
        <f t="shared" si="131"/>
        <v>0</v>
      </c>
      <c r="AQ338" s="166">
        <f t="shared" si="131"/>
        <v>0</v>
      </c>
      <c r="AR338" s="166">
        <f t="shared" si="131"/>
        <v>0</v>
      </c>
      <c r="AS338" s="166">
        <f t="shared" si="131"/>
        <v>0</v>
      </c>
      <c r="AT338" s="166">
        <f t="shared" si="131"/>
        <v>0</v>
      </c>
      <c r="AU338" s="166">
        <f t="shared" si="131"/>
        <v>0</v>
      </c>
      <c r="AV338" s="166">
        <f t="shared" si="131"/>
        <v>0</v>
      </c>
      <c r="AW338" s="166">
        <f t="shared" si="131"/>
        <v>0</v>
      </c>
      <c r="AX338" s="165">
        <f t="shared" si="131"/>
        <v>0</v>
      </c>
      <c r="AY338" s="165">
        <f t="shared" si="131"/>
        <v>0</v>
      </c>
      <c r="AZ338" s="165">
        <f t="shared" si="131"/>
        <v>0</v>
      </c>
      <c r="BA338" s="165">
        <f t="shared" si="131"/>
        <v>0</v>
      </c>
      <c r="BB338" s="165">
        <f t="shared" si="131"/>
        <v>0</v>
      </c>
      <c r="BC338" s="165">
        <f t="shared" si="131"/>
        <v>0</v>
      </c>
      <c r="BD338" s="165">
        <f t="shared" si="131"/>
        <v>0</v>
      </c>
      <c r="BE338" s="165">
        <f t="shared" si="131"/>
        <v>0</v>
      </c>
      <c r="BF338" s="165">
        <f t="shared" si="131"/>
        <v>0</v>
      </c>
      <c r="BG338" s="166">
        <f t="shared" si="131"/>
        <v>0</v>
      </c>
      <c r="BH338" s="166">
        <f t="shared" si="131"/>
        <v>0</v>
      </c>
      <c r="BI338" s="166">
        <f t="shared" si="131"/>
        <v>0</v>
      </c>
      <c r="BJ338" s="166">
        <f t="shared" si="131"/>
        <v>0</v>
      </c>
      <c r="BK338" s="132"/>
      <c r="BL338" s="166">
        <f ref="BL338:BZ338" t="shared" si="132">SUM(BL307:BL337)</f>
        <v>0</v>
      </c>
      <c r="BM338" s="166">
        <f t="shared" si="132"/>
        <v>0</v>
      </c>
      <c r="BN338" s="166">
        <f t="shared" si="132"/>
        <v>0</v>
      </c>
      <c r="BO338" s="166">
        <f t="shared" si="132"/>
        <v>0</v>
      </c>
      <c r="BP338" s="166">
        <f t="shared" si="132"/>
        <v>0</v>
      </c>
      <c r="BQ338" s="166">
        <f t="shared" si="132"/>
        <v>0</v>
      </c>
      <c r="BR338" s="166">
        <f t="shared" si="132"/>
        <v>0</v>
      </c>
      <c r="BS338" s="166">
        <f t="shared" si="132"/>
        <v>0</v>
      </c>
      <c r="BT338" s="166">
        <f t="shared" si="132"/>
        <v>0</v>
      </c>
      <c r="BU338" s="166">
        <f t="shared" si="132"/>
        <v>0</v>
      </c>
      <c r="BV338" s="166">
        <f t="shared" si="132"/>
        <v>0</v>
      </c>
      <c r="BW338" s="166">
        <f t="shared" si="132"/>
        <v>0</v>
      </c>
      <c r="BX338" s="166">
        <f t="shared" si="132"/>
        <v>0</v>
      </c>
      <c r="BY338" s="166">
        <f t="shared" si="132"/>
        <v>0</v>
      </c>
      <c r="BZ338" s="166">
        <f t="shared" si="132"/>
        <v>0</v>
      </c>
      <c r="CA338" s="132"/>
    </row>
    <row r="339" ht="14.25" customHeight="1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1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4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551"/>
      <c r="BG339" s="3"/>
      <c r="BH339" s="3"/>
      <c r="BI339" s="4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1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176"/>
      <c r="AO340" s="3"/>
      <c r="AP340" s="3"/>
      <c r="AQ340" s="3"/>
      <c r="AR340" s="4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551"/>
      <c r="BG340" s="3"/>
      <c r="BH340" s="3"/>
      <c r="BI340" s="4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</row>
    <row r="341" ht="14.25" customHeight="1">
      <c r="A341" s="3"/>
      <c r="B341" s="306">
        <v>46327</v>
      </c>
      <c r="C341" s="94"/>
      <c r="D341" s="104"/>
      <c r="E341" s="97"/>
      <c r="F341" s="97"/>
      <c r="G341" s="265">
        <f ref="G341:G370" t="shared" si="133">+C341+D341+E341+F341</f>
        <v>0</v>
      </c>
      <c r="H341" s="687"/>
      <c r="I341" s="187"/>
      <c r="J341" s="187"/>
      <c r="K341" s="187"/>
      <c r="L341" s="186"/>
      <c r="M341" s="186"/>
      <c r="N341" s="186"/>
      <c r="O341" s="186"/>
      <c r="P341" s="619"/>
      <c r="Q341" s="186"/>
      <c r="R341" s="186"/>
      <c r="S341" s="186"/>
      <c r="T341" s="186"/>
      <c r="U341" s="186"/>
      <c r="V341" s="186"/>
      <c r="W341" s="186"/>
      <c r="X341" s="186"/>
      <c r="Y341" s="193"/>
      <c r="Z341" s="189">
        <f ref="Z341:Z371" t="shared" si="134">SUM(H341:Y341)</f>
        <v>0</v>
      </c>
      <c r="AA341" s="187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03">
        <f ref="AN341:AN370" t="shared" si="135">SUM(AA341:AM341)</f>
        <v>0</v>
      </c>
      <c r="AO341" s="104"/>
      <c r="AP341" s="104"/>
      <c r="AQ341" s="104"/>
      <c r="AR341" s="191">
        <f ref="AR341:AR370" t="shared" si="136">SUM(AO341:AQ341)</f>
        <v>0</v>
      </c>
      <c r="AS341" s="186"/>
      <c r="AT341" s="186"/>
      <c r="AU341" s="186"/>
      <c r="AV341" s="193"/>
      <c r="AW341" s="266">
        <f ref="AW341:AW370" t="shared" si="137">+G341-Z341-AN341-AR341-AS341-AT341-AU341-AV341</f>
        <v>0</v>
      </c>
      <c r="AX341" s="269"/>
      <c r="AY341" s="109"/>
      <c r="AZ341" s="109"/>
      <c r="BA341" s="109"/>
      <c r="BB341" s="109"/>
      <c r="BC341" s="109"/>
      <c r="BD341" s="109"/>
      <c r="BE341" s="109"/>
      <c r="BF341" s="270"/>
      <c r="BG341" s="269"/>
      <c r="BH341" s="269"/>
      <c r="BI341" s="272">
        <f ref="BI341:BI370" t="shared" si="138">SUM(AX341:BH341)-BG341</f>
        <v>0</v>
      </c>
      <c r="BJ341" s="114">
        <f ref="BJ341:BJ370" t="shared" si="139">+AW341-BI341</f>
        <v>0</v>
      </c>
      <c r="BK341" s="96"/>
      <c r="BL341" s="114">
        <f ref="BL341:BL370" t="shared" si="140">SUM(BM341:BY341)</f>
        <v>0</v>
      </c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5"/>
      <c r="BX341" s="115"/>
      <c r="BY341" s="115"/>
      <c r="BZ341" s="116">
        <f ref="BZ341:BZ370" t="shared" si="141">+BJ341-BL341</f>
        <v>0</v>
      </c>
      <c r="CA341" s="3"/>
    </row>
    <row r="342" ht="14.25" customHeight="1">
      <c r="A342" s="3"/>
      <c r="B342" s="306">
        <v>46328</v>
      </c>
      <c r="C342" s="118"/>
      <c r="D342" s="123"/>
      <c r="E342" s="120"/>
      <c r="F342" s="120"/>
      <c r="G342" s="147">
        <f t="shared" si="133"/>
        <v>0</v>
      </c>
      <c r="H342" s="144"/>
      <c r="I342" s="144"/>
      <c r="J342" s="144"/>
      <c r="K342" s="144"/>
      <c r="L342" s="143"/>
      <c r="M342" s="143"/>
      <c r="N342" s="143"/>
      <c r="O342" s="143"/>
      <c r="P342" s="611"/>
      <c r="Q342" s="143"/>
      <c r="R342" s="143"/>
      <c r="S342" s="143"/>
      <c r="T342" s="143"/>
      <c r="U342" s="143"/>
      <c r="V342" s="143"/>
      <c r="W342" s="143"/>
      <c r="X342" s="143"/>
      <c r="Y342" s="146"/>
      <c r="Z342" s="103">
        <f t="shared" si="134"/>
        <v>0</v>
      </c>
      <c r="AA342" s="144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43"/>
      <c r="AM342" s="143"/>
      <c r="AN342" s="103">
        <f t="shared" si="135"/>
        <v>0</v>
      </c>
      <c r="AO342" s="123"/>
      <c r="AP342" s="123"/>
      <c r="AQ342" s="123"/>
      <c r="AR342" s="105">
        <f t="shared" si="136"/>
        <v>0</v>
      </c>
      <c r="AS342" s="143"/>
      <c r="AT342" s="143"/>
      <c r="AU342" s="143"/>
      <c r="AV342" s="146"/>
      <c r="AW342" s="224">
        <f t="shared" si="137"/>
        <v>0</v>
      </c>
      <c r="AX342" s="274"/>
      <c r="AY342" s="126"/>
      <c r="AZ342" s="126"/>
      <c r="BA342" s="126"/>
      <c r="BB342" s="126"/>
      <c r="BC342" s="126"/>
      <c r="BD342" s="126"/>
      <c r="BE342" s="126"/>
      <c r="BF342" s="275"/>
      <c r="BG342" s="274"/>
      <c r="BH342" s="274"/>
      <c r="BI342" s="222">
        <f t="shared" si="138"/>
        <v>0</v>
      </c>
      <c r="BJ342" s="113">
        <f t="shared" si="139"/>
        <v>0</v>
      </c>
      <c r="BK342" s="3"/>
      <c r="BL342" s="113">
        <f t="shared" si="140"/>
        <v>0</v>
      </c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30">
        <f t="shared" si="141"/>
        <v>0</v>
      </c>
      <c r="CA342" s="3"/>
    </row>
    <row r="343" ht="14.25" customHeight="1">
      <c r="A343" s="3"/>
      <c r="B343" s="306">
        <v>46329</v>
      </c>
      <c r="C343" s="118"/>
      <c r="D343" s="123"/>
      <c r="E343" s="120"/>
      <c r="F343" s="120"/>
      <c r="G343" s="147">
        <f t="shared" si="133"/>
        <v>0</v>
      </c>
      <c r="H343" s="144"/>
      <c r="I343" s="144"/>
      <c r="J343" s="144"/>
      <c r="K343" s="144"/>
      <c r="L343" s="143"/>
      <c r="M343" s="143"/>
      <c r="N343" s="143"/>
      <c r="O343" s="143"/>
      <c r="P343" s="611"/>
      <c r="Q343" s="143"/>
      <c r="R343" s="143"/>
      <c r="S343" s="143"/>
      <c r="T343" s="143"/>
      <c r="U343" s="143"/>
      <c r="V343" s="143"/>
      <c r="W343" s="143"/>
      <c r="X343" s="143"/>
      <c r="Y343" s="146"/>
      <c r="Z343" s="103">
        <f t="shared" si="134"/>
        <v>0</v>
      </c>
      <c r="AA343" s="144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43"/>
      <c r="AM343" s="143"/>
      <c r="AN343" s="103">
        <f t="shared" si="135"/>
        <v>0</v>
      </c>
      <c r="AO343" s="123"/>
      <c r="AP343" s="123"/>
      <c r="AQ343" s="123"/>
      <c r="AR343" s="105">
        <f t="shared" si="136"/>
        <v>0</v>
      </c>
      <c r="AS343" s="143"/>
      <c r="AT343" s="143"/>
      <c r="AU343" s="143"/>
      <c r="AV343" s="146"/>
      <c r="AW343" s="224">
        <f t="shared" si="137"/>
        <v>0</v>
      </c>
      <c r="AX343" s="274"/>
      <c r="AY343" s="126"/>
      <c r="AZ343" s="126"/>
      <c r="BA343" s="126"/>
      <c r="BB343" s="126"/>
      <c r="BC343" s="126"/>
      <c r="BD343" s="126"/>
      <c r="BE343" s="126"/>
      <c r="BF343" s="275"/>
      <c r="BG343" s="274"/>
      <c r="BH343" s="274"/>
      <c r="BI343" s="222">
        <f t="shared" si="138"/>
        <v>0</v>
      </c>
      <c r="BJ343" s="113">
        <f t="shared" si="139"/>
        <v>0</v>
      </c>
      <c r="BK343" s="3"/>
      <c r="BL343" s="113">
        <f t="shared" si="140"/>
        <v>0</v>
      </c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30">
        <f t="shared" si="141"/>
        <v>0</v>
      </c>
      <c r="CA343" s="3"/>
    </row>
    <row r="344" ht="14.25" customHeight="1">
      <c r="A344" s="132"/>
      <c r="B344" s="306">
        <v>46330</v>
      </c>
      <c r="C344" s="133"/>
      <c r="D344" s="136"/>
      <c r="E344" s="135"/>
      <c r="F344" s="135"/>
      <c r="G344" s="147">
        <f t="shared" si="133"/>
        <v>0</v>
      </c>
      <c r="H344" s="144"/>
      <c r="I344" s="144"/>
      <c r="J344" s="144"/>
      <c r="K344" s="144"/>
      <c r="L344" s="143"/>
      <c r="M344" s="143"/>
      <c r="N344" s="143"/>
      <c r="O344" s="143"/>
      <c r="P344" s="611"/>
      <c r="Q344" s="143"/>
      <c r="R344" s="143"/>
      <c r="S344" s="143"/>
      <c r="T344" s="143"/>
      <c r="U344" s="143"/>
      <c r="V344" s="143"/>
      <c r="W344" s="143"/>
      <c r="X344" s="143"/>
      <c r="Y344" s="146"/>
      <c r="Z344" s="103">
        <f t="shared" si="134"/>
        <v>0</v>
      </c>
      <c r="AA344" s="144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43"/>
      <c r="AM344" s="143"/>
      <c r="AN344" s="103">
        <f t="shared" si="135"/>
        <v>0</v>
      </c>
      <c r="AO344" s="136"/>
      <c r="AP344" s="136"/>
      <c r="AQ344" s="136"/>
      <c r="AR344" s="105">
        <f t="shared" si="136"/>
        <v>0</v>
      </c>
      <c r="AS344" s="143"/>
      <c r="AT344" s="143"/>
      <c r="AU344" s="143"/>
      <c r="AV344" s="146"/>
      <c r="AW344" s="224">
        <f t="shared" si="137"/>
        <v>0</v>
      </c>
      <c r="AX344" s="274"/>
      <c r="AY344" s="126"/>
      <c r="AZ344" s="126"/>
      <c r="BA344" s="126"/>
      <c r="BB344" s="126"/>
      <c r="BC344" s="126"/>
      <c r="BD344" s="126"/>
      <c r="BE344" s="126"/>
      <c r="BF344" s="275"/>
      <c r="BG344" s="274"/>
      <c r="BH344" s="274"/>
      <c r="BI344" s="222">
        <f t="shared" si="138"/>
        <v>0</v>
      </c>
      <c r="BJ344" s="140">
        <f t="shared" si="139"/>
        <v>0</v>
      </c>
      <c r="BK344" s="132"/>
      <c r="BL344" s="140">
        <f t="shared" si="140"/>
        <v>0</v>
      </c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30">
        <f t="shared" si="141"/>
        <v>0</v>
      </c>
      <c r="CA344" s="132"/>
    </row>
    <row r="345" ht="14.25" customHeight="1">
      <c r="A345" s="132"/>
      <c r="B345" s="306">
        <v>46331</v>
      </c>
      <c r="C345" s="133"/>
      <c r="D345" s="136"/>
      <c r="E345" s="135"/>
      <c r="F345" s="135"/>
      <c r="G345" s="147">
        <f t="shared" si="133"/>
        <v>0</v>
      </c>
      <c r="H345" s="144"/>
      <c r="I345" s="144"/>
      <c r="J345" s="144"/>
      <c r="K345" s="144"/>
      <c r="L345" s="143"/>
      <c r="M345" s="143"/>
      <c r="N345" s="143"/>
      <c r="O345" s="143"/>
      <c r="P345" s="611"/>
      <c r="Q345" s="143"/>
      <c r="R345" s="143"/>
      <c r="S345" s="143"/>
      <c r="T345" s="143"/>
      <c r="U345" s="143"/>
      <c r="V345" s="143"/>
      <c r="W345" s="143"/>
      <c r="X345" s="143"/>
      <c r="Y345" s="146"/>
      <c r="Z345" s="103">
        <f t="shared" si="134"/>
        <v>0</v>
      </c>
      <c r="AA345" s="144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43"/>
      <c r="AM345" s="143"/>
      <c r="AN345" s="103">
        <f t="shared" si="135"/>
        <v>0</v>
      </c>
      <c r="AO345" s="136"/>
      <c r="AP345" s="136"/>
      <c r="AQ345" s="136"/>
      <c r="AR345" s="105">
        <f t="shared" si="136"/>
        <v>0</v>
      </c>
      <c r="AS345" s="143"/>
      <c r="AT345" s="143"/>
      <c r="AU345" s="143"/>
      <c r="AV345" s="146"/>
      <c r="AW345" s="224">
        <f t="shared" si="137"/>
        <v>0</v>
      </c>
      <c r="AX345" s="274"/>
      <c r="AY345" s="126"/>
      <c r="AZ345" s="126"/>
      <c r="BA345" s="126"/>
      <c r="BB345" s="126"/>
      <c r="BC345" s="126"/>
      <c r="BD345" s="126"/>
      <c r="BE345" s="126"/>
      <c r="BF345" s="275"/>
      <c r="BG345" s="274"/>
      <c r="BH345" s="274"/>
      <c r="BI345" s="222">
        <f t="shared" si="138"/>
        <v>0</v>
      </c>
      <c r="BJ345" s="140">
        <f t="shared" si="139"/>
        <v>0</v>
      </c>
      <c r="BK345" s="132"/>
      <c r="BL345" s="140">
        <f t="shared" si="140"/>
        <v>0</v>
      </c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30">
        <f t="shared" si="141"/>
        <v>0</v>
      </c>
      <c r="CA345" s="132"/>
    </row>
    <row r="346" ht="14.25" customHeight="1">
      <c r="A346" s="132"/>
      <c r="B346" s="306">
        <v>46332</v>
      </c>
      <c r="C346" s="133"/>
      <c r="D346" s="136"/>
      <c r="E346" s="135"/>
      <c r="F346" s="135"/>
      <c r="G346" s="147">
        <f t="shared" si="133"/>
        <v>0</v>
      </c>
      <c r="H346" s="144"/>
      <c r="I346" s="144"/>
      <c r="J346" s="144"/>
      <c r="K346" s="144"/>
      <c r="L346" s="143"/>
      <c r="M346" s="143"/>
      <c r="N346" s="143"/>
      <c r="O346" s="143"/>
      <c r="P346" s="611"/>
      <c r="Q346" s="143"/>
      <c r="R346" s="143"/>
      <c r="S346" s="143"/>
      <c r="T346" s="143"/>
      <c r="U346" s="143"/>
      <c r="V346" s="143"/>
      <c r="W346" s="143"/>
      <c r="X346" s="143"/>
      <c r="Y346" s="146"/>
      <c r="Z346" s="103">
        <f t="shared" si="134"/>
        <v>0</v>
      </c>
      <c r="AA346" s="144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43"/>
      <c r="AM346" s="143"/>
      <c r="AN346" s="103">
        <f t="shared" si="135"/>
        <v>0</v>
      </c>
      <c r="AO346" s="136"/>
      <c r="AP346" s="136"/>
      <c r="AQ346" s="136"/>
      <c r="AR346" s="105">
        <f t="shared" si="136"/>
        <v>0</v>
      </c>
      <c r="AS346" s="143"/>
      <c r="AT346" s="143"/>
      <c r="AU346" s="143"/>
      <c r="AV346" s="146"/>
      <c r="AW346" s="224">
        <f t="shared" si="137"/>
        <v>0</v>
      </c>
      <c r="AX346" s="274"/>
      <c r="AY346" s="126"/>
      <c r="AZ346" s="126"/>
      <c r="BA346" s="126"/>
      <c r="BB346" s="126"/>
      <c r="BC346" s="126"/>
      <c r="BD346" s="126"/>
      <c r="BE346" s="126"/>
      <c r="BF346" s="275"/>
      <c r="BG346" s="274"/>
      <c r="BH346" s="274"/>
      <c r="BI346" s="222">
        <f t="shared" si="138"/>
        <v>0</v>
      </c>
      <c r="BJ346" s="140">
        <f t="shared" si="139"/>
        <v>0</v>
      </c>
      <c r="BK346" s="132"/>
      <c r="BL346" s="140">
        <f t="shared" si="140"/>
        <v>0</v>
      </c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29"/>
      <c r="BW346" s="129"/>
      <c r="BX346" s="129"/>
      <c r="BY346" s="129"/>
      <c r="BZ346" s="130">
        <f t="shared" si="141"/>
        <v>0</v>
      </c>
      <c r="CA346" s="132"/>
    </row>
    <row r="347" ht="14.25" customHeight="1">
      <c r="A347" s="132"/>
      <c r="B347" s="306">
        <v>46333</v>
      </c>
      <c r="C347" s="133"/>
      <c r="D347" s="136"/>
      <c r="E347" s="135"/>
      <c r="F347" s="135"/>
      <c r="G347" s="147">
        <f t="shared" si="133"/>
        <v>0</v>
      </c>
      <c r="H347" s="144"/>
      <c r="I347" s="144"/>
      <c r="J347" s="144"/>
      <c r="K347" s="144"/>
      <c r="L347" s="143"/>
      <c r="M347" s="143"/>
      <c r="N347" s="143"/>
      <c r="O347" s="143"/>
      <c r="P347" s="611"/>
      <c r="Q347" s="143"/>
      <c r="R347" s="143"/>
      <c r="S347" s="143"/>
      <c r="T347" s="143"/>
      <c r="U347" s="143"/>
      <c r="V347" s="143"/>
      <c r="W347" s="143"/>
      <c r="X347" s="143"/>
      <c r="Y347" s="146"/>
      <c r="Z347" s="103">
        <f t="shared" si="134"/>
        <v>0</v>
      </c>
      <c r="AA347" s="144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43"/>
      <c r="AM347" s="143"/>
      <c r="AN347" s="103">
        <f t="shared" si="135"/>
        <v>0</v>
      </c>
      <c r="AO347" s="136"/>
      <c r="AP347" s="136"/>
      <c r="AQ347" s="136"/>
      <c r="AR347" s="105">
        <f t="shared" si="136"/>
        <v>0</v>
      </c>
      <c r="AS347" s="143"/>
      <c r="AT347" s="143"/>
      <c r="AU347" s="143"/>
      <c r="AV347" s="146"/>
      <c r="AW347" s="224">
        <f t="shared" si="137"/>
        <v>0</v>
      </c>
      <c r="AX347" s="274"/>
      <c r="AY347" s="126"/>
      <c r="AZ347" s="126"/>
      <c r="BA347" s="126"/>
      <c r="BB347" s="126"/>
      <c r="BC347" s="126"/>
      <c r="BD347" s="126"/>
      <c r="BE347" s="126"/>
      <c r="BF347" s="275"/>
      <c r="BG347" s="274"/>
      <c r="BH347" s="274"/>
      <c r="BI347" s="222">
        <f t="shared" si="138"/>
        <v>0</v>
      </c>
      <c r="BJ347" s="140">
        <f t="shared" si="139"/>
        <v>0</v>
      </c>
      <c r="BK347" s="132"/>
      <c r="BL347" s="140">
        <f t="shared" si="140"/>
        <v>0</v>
      </c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41"/>
      <c r="BY347" s="141"/>
      <c r="BZ347" s="130">
        <f t="shared" si="141"/>
        <v>0</v>
      </c>
      <c r="CA347" s="132"/>
    </row>
    <row r="348" ht="14.25" customHeight="1">
      <c r="A348" s="132"/>
      <c r="B348" s="306">
        <v>46334</v>
      </c>
      <c r="C348" s="133"/>
      <c r="D348" s="136"/>
      <c r="E348" s="135"/>
      <c r="F348" s="135"/>
      <c r="G348" s="147">
        <f t="shared" si="133"/>
        <v>0</v>
      </c>
      <c r="H348" s="144"/>
      <c r="I348" s="144"/>
      <c r="J348" s="144"/>
      <c r="K348" s="144"/>
      <c r="L348" s="143"/>
      <c r="M348" s="143"/>
      <c r="N348" s="143"/>
      <c r="O348" s="143"/>
      <c r="P348" s="611"/>
      <c r="Q348" s="143"/>
      <c r="R348" s="143"/>
      <c r="S348" s="143"/>
      <c r="T348" s="143"/>
      <c r="U348" s="143"/>
      <c r="V348" s="143"/>
      <c r="W348" s="143"/>
      <c r="X348" s="143"/>
      <c r="Y348" s="146"/>
      <c r="Z348" s="103">
        <f t="shared" si="134"/>
        <v>0</v>
      </c>
      <c r="AA348" s="144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43"/>
      <c r="AM348" s="143"/>
      <c r="AN348" s="103">
        <f t="shared" si="135"/>
        <v>0</v>
      </c>
      <c r="AO348" s="136"/>
      <c r="AP348" s="136"/>
      <c r="AQ348" s="136"/>
      <c r="AR348" s="105">
        <f t="shared" si="136"/>
        <v>0</v>
      </c>
      <c r="AS348" s="143"/>
      <c r="AT348" s="143"/>
      <c r="AU348" s="143"/>
      <c r="AV348" s="146"/>
      <c r="AW348" s="224">
        <f t="shared" si="137"/>
        <v>0</v>
      </c>
      <c r="AX348" s="274"/>
      <c r="AY348" s="126"/>
      <c r="AZ348" s="126"/>
      <c r="BA348" s="126"/>
      <c r="BB348" s="126"/>
      <c r="BC348" s="126"/>
      <c r="BD348" s="126"/>
      <c r="BE348" s="126"/>
      <c r="BF348" s="275"/>
      <c r="BG348" s="274"/>
      <c r="BH348" s="274"/>
      <c r="BI348" s="222">
        <f t="shared" si="138"/>
        <v>0</v>
      </c>
      <c r="BJ348" s="140">
        <f t="shared" si="139"/>
        <v>0</v>
      </c>
      <c r="BK348" s="132"/>
      <c r="BL348" s="140">
        <f t="shared" si="140"/>
        <v>0</v>
      </c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41"/>
      <c r="BY348" s="141"/>
      <c r="BZ348" s="130">
        <f t="shared" si="141"/>
        <v>0</v>
      </c>
      <c r="CA348" s="132"/>
    </row>
    <row r="349" ht="14.25" customHeight="1">
      <c r="A349" s="132"/>
      <c r="B349" s="306">
        <v>46335</v>
      </c>
      <c r="C349" s="133"/>
      <c r="D349" s="136"/>
      <c r="E349" s="135"/>
      <c r="F349" s="135"/>
      <c r="G349" s="147">
        <f t="shared" si="133"/>
        <v>0</v>
      </c>
      <c r="H349" s="144"/>
      <c r="I349" s="144"/>
      <c r="J349" s="144"/>
      <c r="K349" s="144"/>
      <c r="L349" s="143"/>
      <c r="M349" s="143"/>
      <c r="N349" s="143"/>
      <c r="O349" s="143"/>
      <c r="P349" s="611"/>
      <c r="Q349" s="143"/>
      <c r="R349" s="143"/>
      <c r="S349" s="143"/>
      <c r="T349" s="143"/>
      <c r="U349" s="143"/>
      <c r="V349" s="143"/>
      <c r="W349" s="143"/>
      <c r="X349" s="143"/>
      <c r="Y349" s="146"/>
      <c r="Z349" s="103">
        <f t="shared" si="134"/>
        <v>0</v>
      </c>
      <c r="AA349" s="144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43"/>
      <c r="AM349" s="143"/>
      <c r="AN349" s="103">
        <f t="shared" si="135"/>
        <v>0</v>
      </c>
      <c r="AO349" s="136"/>
      <c r="AP349" s="136"/>
      <c r="AQ349" s="136"/>
      <c r="AR349" s="105">
        <f t="shared" si="136"/>
        <v>0</v>
      </c>
      <c r="AS349" s="143"/>
      <c r="AT349" s="143"/>
      <c r="AU349" s="143"/>
      <c r="AV349" s="146"/>
      <c r="AW349" s="224">
        <f t="shared" si="137"/>
        <v>0</v>
      </c>
      <c r="AX349" s="274"/>
      <c r="AY349" s="126"/>
      <c r="AZ349" s="126"/>
      <c r="BA349" s="126"/>
      <c r="BB349" s="126"/>
      <c r="BC349" s="126"/>
      <c r="BD349" s="126"/>
      <c r="BE349" s="126"/>
      <c r="BF349" s="275"/>
      <c r="BG349" s="274"/>
      <c r="BH349" s="274"/>
      <c r="BI349" s="222">
        <f t="shared" si="138"/>
        <v>0</v>
      </c>
      <c r="BJ349" s="140">
        <f t="shared" si="139"/>
        <v>0</v>
      </c>
      <c r="BK349" s="132"/>
      <c r="BL349" s="140">
        <f t="shared" si="140"/>
        <v>0</v>
      </c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41"/>
      <c r="BY349" s="141"/>
      <c r="BZ349" s="130">
        <f t="shared" si="141"/>
        <v>0</v>
      </c>
      <c r="CA349" s="132"/>
    </row>
    <row r="350" ht="14.25" customHeight="1">
      <c r="A350" s="132"/>
      <c r="B350" s="306">
        <v>46336</v>
      </c>
      <c r="C350" s="133"/>
      <c r="D350" s="136"/>
      <c r="E350" s="135"/>
      <c r="F350" s="135"/>
      <c r="G350" s="147">
        <f t="shared" si="133"/>
        <v>0</v>
      </c>
      <c r="H350" s="144"/>
      <c r="I350" s="144"/>
      <c r="J350" s="144"/>
      <c r="K350" s="144"/>
      <c r="L350" s="143"/>
      <c r="M350" s="143"/>
      <c r="N350" s="143"/>
      <c r="O350" s="143"/>
      <c r="P350" s="611"/>
      <c r="Q350" s="143"/>
      <c r="R350" s="143"/>
      <c r="S350" s="143"/>
      <c r="T350" s="143"/>
      <c r="U350" s="143"/>
      <c r="V350" s="143"/>
      <c r="W350" s="143"/>
      <c r="X350" s="143"/>
      <c r="Y350" s="146"/>
      <c r="Z350" s="103">
        <f t="shared" si="134"/>
        <v>0</v>
      </c>
      <c r="AA350" s="144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43"/>
      <c r="AM350" s="143"/>
      <c r="AN350" s="103">
        <f t="shared" si="135"/>
        <v>0</v>
      </c>
      <c r="AO350" s="136"/>
      <c r="AP350" s="136"/>
      <c r="AQ350" s="136"/>
      <c r="AR350" s="105">
        <f t="shared" si="136"/>
        <v>0</v>
      </c>
      <c r="AS350" s="143"/>
      <c r="AT350" s="143"/>
      <c r="AU350" s="143"/>
      <c r="AV350" s="146"/>
      <c r="AW350" s="224">
        <f t="shared" si="137"/>
        <v>0</v>
      </c>
      <c r="AX350" s="274"/>
      <c r="AY350" s="126"/>
      <c r="AZ350" s="126"/>
      <c r="BA350" s="126"/>
      <c r="BB350" s="126"/>
      <c r="BC350" s="126"/>
      <c r="BD350" s="126"/>
      <c r="BE350" s="126"/>
      <c r="BF350" s="275"/>
      <c r="BG350" s="274"/>
      <c r="BH350" s="274"/>
      <c r="BI350" s="222">
        <f t="shared" si="138"/>
        <v>0</v>
      </c>
      <c r="BJ350" s="140">
        <f t="shared" si="139"/>
        <v>0</v>
      </c>
      <c r="BK350" s="132"/>
      <c r="BL350" s="140">
        <f t="shared" si="140"/>
        <v>0</v>
      </c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41"/>
      <c r="BY350" s="141"/>
      <c r="BZ350" s="130">
        <f t="shared" si="141"/>
        <v>0</v>
      </c>
      <c r="CA350" s="132"/>
    </row>
    <row r="351" ht="14.25" customHeight="1">
      <c r="A351" s="132"/>
      <c r="B351" s="306">
        <v>46337</v>
      </c>
      <c r="C351" s="133"/>
      <c r="D351" s="136"/>
      <c r="E351" s="135"/>
      <c r="F351" s="135"/>
      <c r="G351" s="147">
        <f t="shared" si="133"/>
        <v>0</v>
      </c>
      <c r="H351" s="144"/>
      <c r="I351" s="144"/>
      <c r="J351" s="144"/>
      <c r="K351" s="144"/>
      <c r="L351" s="143"/>
      <c r="M351" s="143"/>
      <c r="N351" s="143"/>
      <c r="O351" s="143"/>
      <c r="P351" s="611"/>
      <c r="Q351" s="143"/>
      <c r="R351" s="143"/>
      <c r="S351" s="143"/>
      <c r="T351" s="143"/>
      <c r="U351" s="143"/>
      <c r="V351" s="143"/>
      <c r="W351" s="143"/>
      <c r="X351" s="143"/>
      <c r="Y351" s="146"/>
      <c r="Z351" s="103">
        <f t="shared" si="134"/>
        <v>0</v>
      </c>
      <c r="AA351" s="144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43"/>
      <c r="AM351" s="143"/>
      <c r="AN351" s="103">
        <f t="shared" si="135"/>
        <v>0</v>
      </c>
      <c r="AO351" s="136"/>
      <c r="AP351" s="136"/>
      <c r="AQ351" s="136"/>
      <c r="AR351" s="105">
        <f t="shared" si="136"/>
        <v>0</v>
      </c>
      <c r="AS351" s="143"/>
      <c r="AT351" s="143"/>
      <c r="AU351" s="143"/>
      <c r="AV351" s="146"/>
      <c r="AW351" s="224">
        <f t="shared" si="137"/>
        <v>0</v>
      </c>
      <c r="AX351" s="274"/>
      <c r="AY351" s="126"/>
      <c r="AZ351" s="126"/>
      <c r="BA351" s="126"/>
      <c r="BB351" s="126"/>
      <c r="BC351" s="126"/>
      <c r="BD351" s="126"/>
      <c r="BE351" s="126"/>
      <c r="BF351" s="275"/>
      <c r="BG351" s="274"/>
      <c r="BH351" s="274"/>
      <c r="BI351" s="222">
        <f t="shared" si="138"/>
        <v>0</v>
      </c>
      <c r="BJ351" s="140">
        <f t="shared" si="139"/>
        <v>0</v>
      </c>
      <c r="BK351" s="132"/>
      <c r="BL351" s="140">
        <f t="shared" si="140"/>
        <v>0</v>
      </c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41"/>
      <c r="BY351" s="141"/>
      <c r="BZ351" s="130">
        <f t="shared" si="141"/>
        <v>0</v>
      </c>
      <c r="CA351" s="132"/>
    </row>
    <row r="352" ht="14.25" customHeight="1">
      <c r="A352" s="132"/>
      <c r="B352" s="306">
        <v>46338</v>
      </c>
      <c r="C352" s="133"/>
      <c r="D352" s="136"/>
      <c r="E352" s="135"/>
      <c r="F352" s="135"/>
      <c r="G352" s="147">
        <f t="shared" si="133"/>
        <v>0</v>
      </c>
      <c r="H352" s="144"/>
      <c r="I352" s="144"/>
      <c r="J352" s="144"/>
      <c r="K352" s="144"/>
      <c r="L352" s="143"/>
      <c r="M352" s="143"/>
      <c r="N352" s="143"/>
      <c r="O352" s="143"/>
      <c r="P352" s="611"/>
      <c r="Q352" s="143"/>
      <c r="R352" s="143"/>
      <c r="S352" s="143"/>
      <c r="T352" s="143"/>
      <c r="U352" s="143"/>
      <c r="V352" s="143"/>
      <c r="W352" s="143"/>
      <c r="X352" s="143"/>
      <c r="Y352" s="146"/>
      <c r="Z352" s="103">
        <f t="shared" si="134"/>
        <v>0</v>
      </c>
      <c r="AA352" s="144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43"/>
      <c r="AM352" s="143"/>
      <c r="AN352" s="103">
        <f t="shared" si="135"/>
        <v>0</v>
      </c>
      <c r="AO352" s="136"/>
      <c r="AP352" s="136"/>
      <c r="AQ352" s="136"/>
      <c r="AR352" s="105">
        <f t="shared" si="136"/>
        <v>0</v>
      </c>
      <c r="AS352" s="143"/>
      <c r="AT352" s="143"/>
      <c r="AU352" s="143"/>
      <c r="AV352" s="146"/>
      <c r="AW352" s="224">
        <f t="shared" si="137"/>
        <v>0</v>
      </c>
      <c r="AX352" s="274"/>
      <c r="AY352" s="126"/>
      <c r="AZ352" s="126"/>
      <c r="BA352" s="126"/>
      <c r="BB352" s="126"/>
      <c r="BC352" s="126"/>
      <c r="BD352" s="126"/>
      <c r="BE352" s="126"/>
      <c r="BF352" s="275"/>
      <c r="BG352" s="274"/>
      <c r="BH352" s="274"/>
      <c r="BI352" s="222">
        <f t="shared" si="138"/>
        <v>0</v>
      </c>
      <c r="BJ352" s="140">
        <f t="shared" si="139"/>
        <v>0</v>
      </c>
      <c r="BK352" s="132"/>
      <c r="BL352" s="140">
        <f t="shared" si="140"/>
        <v>0</v>
      </c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41"/>
      <c r="BY352" s="141"/>
      <c r="BZ352" s="130">
        <f t="shared" si="141"/>
        <v>0</v>
      </c>
      <c r="CA352" s="132"/>
    </row>
    <row r="353" ht="14.25" customHeight="1">
      <c r="A353" s="132"/>
      <c r="B353" s="306">
        <v>46339</v>
      </c>
      <c r="C353" s="133"/>
      <c r="D353" s="136"/>
      <c r="E353" s="135"/>
      <c r="F353" s="135"/>
      <c r="G353" s="147">
        <f t="shared" si="133"/>
        <v>0</v>
      </c>
      <c r="H353" s="144"/>
      <c r="I353" s="144"/>
      <c r="J353" s="144"/>
      <c r="K353" s="144"/>
      <c r="L353" s="143"/>
      <c r="M353" s="143"/>
      <c r="N353" s="143"/>
      <c r="O353" s="143"/>
      <c r="P353" s="611"/>
      <c r="Q353" s="143"/>
      <c r="R353" s="143"/>
      <c r="S353" s="231"/>
      <c r="T353" s="231"/>
      <c r="U353" s="143"/>
      <c r="V353" s="143"/>
      <c r="W353" s="143"/>
      <c r="X353" s="143"/>
      <c r="Y353" s="146"/>
      <c r="Z353" s="103">
        <f t="shared" si="134"/>
        <v>0</v>
      </c>
      <c r="AA353" s="144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43"/>
      <c r="AM353" s="143"/>
      <c r="AN353" s="103">
        <f t="shared" si="135"/>
        <v>0</v>
      </c>
      <c r="AO353" s="136"/>
      <c r="AP353" s="136"/>
      <c r="AQ353" s="136"/>
      <c r="AR353" s="105">
        <f t="shared" si="136"/>
        <v>0</v>
      </c>
      <c r="AS353" s="143"/>
      <c r="AT353" s="143"/>
      <c r="AU353" s="143"/>
      <c r="AV353" s="146"/>
      <c r="AW353" s="224">
        <f t="shared" si="137"/>
        <v>0</v>
      </c>
      <c r="AX353" s="274"/>
      <c r="AY353" s="126"/>
      <c r="AZ353" s="126"/>
      <c r="BA353" s="126"/>
      <c r="BB353" s="126"/>
      <c r="BC353" s="126"/>
      <c r="BD353" s="126"/>
      <c r="BE353" s="126"/>
      <c r="BF353" s="275"/>
      <c r="BG353" s="274"/>
      <c r="BH353" s="274"/>
      <c r="BI353" s="222">
        <f t="shared" si="138"/>
        <v>0</v>
      </c>
      <c r="BJ353" s="140">
        <f t="shared" si="139"/>
        <v>0</v>
      </c>
      <c r="BK353" s="132"/>
      <c r="BL353" s="140">
        <f t="shared" si="140"/>
        <v>0</v>
      </c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41"/>
      <c r="BY353" s="141"/>
      <c r="BZ353" s="130">
        <f t="shared" si="141"/>
        <v>0</v>
      </c>
      <c r="CA353" s="132"/>
    </row>
    <row r="354" ht="14.25" customHeight="1">
      <c r="A354" s="132"/>
      <c r="B354" s="306">
        <v>46340</v>
      </c>
      <c r="C354" s="133"/>
      <c r="D354" s="136"/>
      <c r="E354" s="135"/>
      <c r="F354" s="135"/>
      <c r="G354" s="147">
        <f t="shared" si="133"/>
        <v>0</v>
      </c>
      <c r="H354" s="144"/>
      <c r="I354" s="144"/>
      <c r="J354" s="144"/>
      <c r="K354" s="144"/>
      <c r="L354" s="143"/>
      <c r="M354" s="143"/>
      <c r="N354" s="143"/>
      <c r="O354" s="143"/>
      <c r="P354" s="611"/>
      <c r="Q354" s="143"/>
      <c r="R354" s="143"/>
      <c r="S354" s="143"/>
      <c r="T354" s="143"/>
      <c r="U354" s="143"/>
      <c r="V354" s="143"/>
      <c r="W354" s="143"/>
      <c r="X354" s="143"/>
      <c r="Y354" s="146"/>
      <c r="Z354" s="103">
        <f t="shared" si="134"/>
        <v>0</v>
      </c>
      <c r="AA354" s="144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43"/>
      <c r="AM354" s="143"/>
      <c r="AN354" s="103">
        <f t="shared" si="135"/>
        <v>0</v>
      </c>
      <c r="AO354" s="136"/>
      <c r="AP354" s="136"/>
      <c r="AQ354" s="136"/>
      <c r="AR354" s="105">
        <f t="shared" si="136"/>
        <v>0</v>
      </c>
      <c r="AS354" s="143"/>
      <c r="AT354" s="143"/>
      <c r="AU354" s="143"/>
      <c r="AV354" s="146"/>
      <c r="AW354" s="224">
        <f t="shared" si="137"/>
        <v>0</v>
      </c>
      <c r="AX354" s="274"/>
      <c r="AY354" s="126"/>
      <c r="AZ354" s="126"/>
      <c r="BA354" s="126"/>
      <c r="BB354" s="126"/>
      <c r="BC354" s="126"/>
      <c r="BD354" s="126"/>
      <c r="BE354" s="126"/>
      <c r="BF354" s="275"/>
      <c r="BG354" s="274"/>
      <c r="BH354" s="274"/>
      <c r="BI354" s="222">
        <f t="shared" si="138"/>
        <v>0</v>
      </c>
      <c r="BJ354" s="140">
        <f t="shared" si="139"/>
        <v>0</v>
      </c>
      <c r="BK354" s="132"/>
      <c r="BL354" s="140">
        <f t="shared" si="140"/>
        <v>0</v>
      </c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41"/>
      <c r="BY354" s="141"/>
      <c r="BZ354" s="130">
        <f t="shared" si="141"/>
        <v>0</v>
      </c>
      <c r="CA354" s="132"/>
    </row>
    <row r="355" ht="14.25" customHeight="1">
      <c r="A355" s="132"/>
      <c r="B355" s="306">
        <v>46341</v>
      </c>
      <c r="C355" s="133"/>
      <c r="D355" s="136"/>
      <c r="E355" s="135"/>
      <c r="F355" s="135"/>
      <c r="G355" s="147">
        <f t="shared" si="133"/>
        <v>0</v>
      </c>
      <c r="H355" s="144"/>
      <c r="I355" s="144"/>
      <c r="J355" s="144"/>
      <c r="K355" s="144"/>
      <c r="L355" s="143"/>
      <c r="M355" s="143"/>
      <c r="N355" s="143"/>
      <c r="O355" s="143"/>
      <c r="P355" s="611"/>
      <c r="Q355" s="143"/>
      <c r="R355" s="143"/>
      <c r="S355" s="231"/>
      <c r="T355" s="231"/>
      <c r="U355" s="143"/>
      <c r="V355" s="143"/>
      <c r="W355" s="143"/>
      <c r="X355" s="143"/>
      <c r="Y355" s="146"/>
      <c r="Z355" s="103">
        <f t="shared" si="134"/>
        <v>0</v>
      </c>
      <c r="AA355" s="144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43"/>
      <c r="AM355" s="143"/>
      <c r="AN355" s="103">
        <f t="shared" si="135"/>
        <v>0</v>
      </c>
      <c r="AO355" s="136"/>
      <c r="AP355" s="136"/>
      <c r="AQ355" s="136"/>
      <c r="AR355" s="105">
        <f t="shared" si="136"/>
        <v>0</v>
      </c>
      <c r="AS355" s="143"/>
      <c r="AT355" s="143"/>
      <c r="AU355" s="143"/>
      <c r="AV355" s="146"/>
      <c r="AW355" s="224">
        <f t="shared" si="137"/>
        <v>0</v>
      </c>
      <c r="AX355" s="274"/>
      <c r="AY355" s="126"/>
      <c r="AZ355" s="126"/>
      <c r="BA355" s="126"/>
      <c r="BB355" s="126"/>
      <c r="BC355" s="126"/>
      <c r="BD355" s="126"/>
      <c r="BE355" s="126"/>
      <c r="BF355" s="275"/>
      <c r="BG355" s="274"/>
      <c r="BH355" s="274"/>
      <c r="BI355" s="222">
        <f t="shared" si="138"/>
        <v>0</v>
      </c>
      <c r="BJ355" s="140">
        <f t="shared" si="139"/>
        <v>0</v>
      </c>
      <c r="BK355" s="132"/>
      <c r="BL355" s="140">
        <f t="shared" si="140"/>
        <v>0</v>
      </c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41"/>
      <c r="BY355" s="141"/>
      <c r="BZ355" s="130">
        <f t="shared" si="141"/>
        <v>0</v>
      </c>
      <c r="CA355" s="132"/>
    </row>
    <row r="356" ht="14.25" customHeight="1">
      <c r="A356" s="132"/>
      <c r="B356" s="306">
        <v>46342</v>
      </c>
      <c r="C356" s="133"/>
      <c r="D356" s="136"/>
      <c r="E356" s="135"/>
      <c r="F356" s="135"/>
      <c r="G356" s="147">
        <f t="shared" si="133"/>
        <v>0</v>
      </c>
      <c r="H356" s="144"/>
      <c r="I356" s="144"/>
      <c r="J356" s="144"/>
      <c r="K356" s="144"/>
      <c r="L356" s="143"/>
      <c r="M356" s="143"/>
      <c r="N356" s="143"/>
      <c r="O356" s="143"/>
      <c r="P356" s="611"/>
      <c r="Q356" s="143"/>
      <c r="R356" s="143"/>
      <c r="S356" s="143"/>
      <c r="T356" s="143"/>
      <c r="U356" s="143"/>
      <c r="V356" s="143"/>
      <c r="W356" s="143"/>
      <c r="X356" s="143"/>
      <c r="Y356" s="146"/>
      <c r="Z356" s="103">
        <f t="shared" si="134"/>
        <v>0</v>
      </c>
      <c r="AA356" s="144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43"/>
      <c r="AM356" s="143"/>
      <c r="AN356" s="103">
        <f t="shared" si="135"/>
        <v>0</v>
      </c>
      <c r="AO356" s="136"/>
      <c r="AP356" s="136"/>
      <c r="AQ356" s="136"/>
      <c r="AR356" s="105">
        <f t="shared" si="136"/>
        <v>0</v>
      </c>
      <c r="AS356" s="143"/>
      <c r="AT356" s="143"/>
      <c r="AU356" s="143"/>
      <c r="AV356" s="146"/>
      <c r="AW356" s="224">
        <f t="shared" si="137"/>
        <v>0</v>
      </c>
      <c r="AX356" s="274"/>
      <c r="AY356" s="126"/>
      <c r="AZ356" s="126"/>
      <c r="BA356" s="126"/>
      <c r="BB356" s="126"/>
      <c r="BC356" s="126"/>
      <c r="BD356" s="126"/>
      <c r="BE356" s="126"/>
      <c r="BF356" s="275"/>
      <c r="BG356" s="274"/>
      <c r="BH356" s="274"/>
      <c r="BI356" s="222">
        <f t="shared" si="138"/>
        <v>0</v>
      </c>
      <c r="BJ356" s="140">
        <f t="shared" si="139"/>
        <v>0</v>
      </c>
      <c r="BK356" s="132"/>
      <c r="BL356" s="140">
        <f t="shared" si="140"/>
        <v>0</v>
      </c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41"/>
      <c r="BY356" s="141"/>
      <c r="BZ356" s="130">
        <f t="shared" si="141"/>
        <v>0</v>
      </c>
      <c r="CA356" s="132"/>
    </row>
    <row r="357" ht="14.25" customHeight="1">
      <c r="A357" s="132"/>
      <c r="B357" s="306">
        <v>46343</v>
      </c>
      <c r="C357" s="133"/>
      <c r="D357" s="136"/>
      <c r="E357" s="135"/>
      <c r="F357" s="135"/>
      <c r="G357" s="147">
        <f t="shared" si="133"/>
        <v>0</v>
      </c>
      <c r="H357" s="144"/>
      <c r="I357" s="144"/>
      <c r="J357" s="144"/>
      <c r="K357" s="144"/>
      <c r="L357" s="143"/>
      <c r="M357" s="143"/>
      <c r="N357" s="143"/>
      <c r="O357" s="143"/>
      <c r="P357" s="611"/>
      <c r="Q357" s="143"/>
      <c r="R357" s="143"/>
      <c r="S357" s="143"/>
      <c r="T357" s="143"/>
      <c r="U357" s="143"/>
      <c r="V357" s="143"/>
      <c r="W357" s="143"/>
      <c r="X357" s="143"/>
      <c r="Y357" s="146"/>
      <c r="Z357" s="103">
        <f t="shared" si="134"/>
        <v>0</v>
      </c>
      <c r="AA357" s="144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43"/>
      <c r="AM357" s="143"/>
      <c r="AN357" s="103">
        <f t="shared" si="135"/>
        <v>0</v>
      </c>
      <c r="AO357" s="136"/>
      <c r="AP357" s="136"/>
      <c r="AQ357" s="136"/>
      <c r="AR357" s="105">
        <f t="shared" si="136"/>
        <v>0</v>
      </c>
      <c r="AS357" s="143"/>
      <c r="AT357" s="143"/>
      <c r="AU357" s="143"/>
      <c r="AV357" s="146"/>
      <c r="AW357" s="224">
        <f t="shared" si="137"/>
        <v>0</v>
      </c>
      <c r="AX357" s="274"/>
      <c r="AY357" s="126"/>
      <c r="AZ357" s="126"/>
      <c r="BA357" s="126"/>
      <c r="BB357" s="126"/>
      <c r="BC357" s="126"/>
      <c r="BD357" s="126"/>
      <c r="BE357" s="126"/>
      <c r="BF357" s="275"/>
      <c r="BG357" s="274"/>
      <c r="BH357" s="274"/>
      <c r="BI357" s="222">
        <f t="shared" si="138"/>
        <v>0</v>
      </c>
      <c r="BJ357" s="140">
        <f t="shared" si="139"/>
        <v>0</v>
      </c>
      <c r="BK357" s="132"/>
      <c r="BL357" s="140">
        <f t="shared" si="140"/>
        <v>0</v>
      </c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41"/>
      <c r="BY357" s="141"/>
      <c r="BZ357" s="130">
        <f t="shared" si="141"/>
        <v>0</v>
      </c>
      <c r="CA357" s="132"/>
    </row>
    <row r="358" ht="14.25" customHeight="1">
      <c r="A358" s="132"/>
      <c r="B358" s="306">
        <v>46344</v>
      </c>
      <c r="C358" s="133"/>
      <c r="D358" s="136"/>
      <c r="E358" s="135"/>
      <c r="F358" s="135"/>
      <c r="G358" s="147">
        <f t="shared" si="133"/>
        <v>0</v>
      </c>
      <c r="H358" s="144"/>
      <c r="I358" s="144"/>
      <c r="J358" s="144"/>
      <c r="K358" s="144"/>
      <c r="L358" s="143"/>
      <c r="M358" s="143"/>
      <c r="N358" s="143"/>
      <c r="O358" s="143"/>
      <c r="P358" s="611"/>
      <c r="Q358" s="143"/>
      <c r="R358" s="143"/>
      <c r="S358" s="143"/>
      <c r="T358" s="143"/>
      <c r="U358" s="143"/>
      <c r="V358" s="143"/>
      <c r="W358" s="143"/>
      <c r="X358" s="143"/>
      <c r="Y358" s="146"/>
      <c r="Z358" s="103">
        <f t="shared" si="134"/>
        <v>0</v>
      </c>
      <c r="AA358" s="144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43"/>
      <c r="AM358" s="143"/>
      <c r="AN358" s="103">
        <f t="shared" si="135"/>
        <v>0</v>
      </c>
      <c r="AO358" s="136"/>
      <c r="AP358" s="136"/>
      <c r="AQ358" s="136"/>
      <c r="AR358" s="105">
        <f t="shared" si="136"/>
        <v>0</v>
      </c>
      <c r="AS358" s="143"/>
      <c r="AT358" s="143"/>
      <c r="AU358" s="143"/>
      <c r="AV358" s="146"/>
      <c r="AW358" s="224">
        <f t="shared" si="137"/>
        <v>0</v>
      </c>
      <c r="AX358" s="274"/>
      <c r="AY358" s="126"/>
      <c r="AZ358" s="126"/>
      <c r="BA358" s="126"/>
      <c r="BB358" s="126"/>
      <c r="BC358" s="126"/>
      <c r="BD358" s="126"/>
      <c r="BE358" s="126"/>
      <c r="BF358" s="275"/>
      <c r="BG358" s="274"/>
      <c r="BH358" s="274"/>
      <c r="BI358" s="222">
        <f t="shared" si="138"/>
        <v>0</v>
      </c>
      <c r="BJ358" s="140">
        <f t="shared" si="139"/>
        <v>0</v>
      </c>
      <c r="BK358" s="132"/>
      <c r="BL358" s="140">
        <f t="shared" si="140"/>
        <v>0</v>
      </c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41"/>
      <c r="BY358" s="141"/>
      <c r="BZ358" s="130">
        <f t="shared" si="141"/>
        <v>0</v>
      </c>
      <c r="CA358" s="132"/>
    </row>
    <row r="359" ht="14.25" customHeight="1">
      <c r="A359" s="132"/>
      <c r="B359" s="306">
        <v>46345</v>
      </c>
      <c r="C359" s="133"/>
      <c r="D359" s="136"/>
      <c r="E359" s="135"/>
      <c r="F359" s="135"/>
      <c r="G359" s="147">
        <f t="shared" si="133"/>
        <v>0</v>
      </c>
      <c r="H359" s="144"/>
      <c r="I359" s="144"/>
      <c r="J359" s="144"/>
      <c r="K359" s="144"/>
      <c r="L359" s="143"/>
      <c r="M359" s="143"/>
      <c r="N359" s="143"/>
      <c r="O359" s="143"/>
      <c r="P359" s="611"/>
      <c r="Q359" s="143"/>
      <c r="R359" s="143"/>
      <c r="S359" s="143"/>
      <c r="T359" s="143"/>
      <c r="U359" s="143"/>
      <c r="V359" s="143"/>
      <c r="W359" s="143"/>
      <c r="X359" s="143"/>
      <c r="Y359" s="146"/>
      <c r="Z359" s="103">
        <f t="shared" si="134"/>
        <v>0</v>
      </c>
      <c r="AA359" s="144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43"/>
      <c r="AM359" s="143"/>
      <c r="AN359" s="103">
        <f t="shared" si="135"/>
        <v>0</v>
      </c>
      <c r="AO359" s="136"/>
      <c r="AP359" s="136"/>
      <c r="AQ359" s="136"/>
      <c r="AR359" s="105">
        <f t="shared" si="136"/>
        <v>0</v>
      </c>
      <c r="AS359" s="143"/>
      <c r="AT359" s="143"/>
      <c r="AU359" s="143"/>
      <c r="AV359" s="146"/>
      <c r="AW359" s="224">
        <f t="shared" si="137"/>
        <v>0</v>
      </c>
      <c r="AX359" s="274"/>
      <c r="AY359" s="126"/>
      <c r="AZ359" s="126"/>
      <c r="BA359" s="126"/>
      <c r="BB359" s="126"/>
      <c r="BC359" s="126"/>
      <c r="BD359" s="126"/>
      <c r="BE359" s="126"/>
      <c r="BF359" s="275"/>
      <c r="BG359" s="274"/>
      <c r="BH359" s="274"/>
      <c r="BI359" s="222">
        <f t="shared" si="138"/>
        <v>0</v>
      </c>
      <c r="BJ359" s="140">
        <f t="shared" si="139"/>
        <v>0</v>
      </c>
      <c r="BK359" s="132"/>
      <c r="BL359" s="140">
        <f t="shared" si="140"/>
        <v>0</v>
      </c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41"/>
      <c r="BY359" s="141"/>
      <c r="BZ359" s="130">
        <f t="shared" si="141"/>
        <v>0</v>
      </c>
      <c r="CA359" s="132"/>
    </row>
    <row r="360" ht="14.25" customHeight="1">
      <c r="A360" s="132"/>
      <c r="B360" s="306">
        <v>46346</v>
      </c>
      <c r="C360" s="133"/>
      <c r="D360" s="136"/>
      <c r="E360" s="135"/>
      <c r="F360" s="135"/>
      <c r="G360" s="147">
        <f t="shared" si="133"/>
        <v>0</v>
      </c>
      <c r="H360" s="144"/>
      <c r="I360" s="144"/>
      <c r="J360" s="144"/>
      <c r="K360" s="144"/>
      <c r="L360" s="143"/>
      <c r="M360" s="143"/>
      <c r="N360" s="143"/>
      <c r="O360" s="143"/>
      <c r="P360" s="611"/>
      <c r="Q360" s="143"/>
      <c r="R360" s="143"/>
      <c r="S360" s="143"/>
      <c r="T360" s="143"/>
      <c r="U360" s="143"/>
      <c r="V360" s="143"/>
      <c r="W360" s="143"/>
      <c r="X360" s="143"/>
      <c r="Y360" s="146"/>
      <c r="Z360" s="103">
        <f t="shared" si="134"/>
        <v>0</v>
      </c>
      <c r="AA360" s="144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43"/>
      <c r="AM360" s="143"/>
      <c r="AN360" s="103">
        <f t="shared" si="135"/>
        <v>0</v>
      </c>
      <c r="AO360" s="136"/>
      <c r="AP360" s="136"/>
      <c r="AQ360" s="136"/>
      <c r="AR360" s="105">
        <f t="shared" si="136"/>
        <v>0</v>
      </c>
      <c r="AS360" s="143"/>
      <c r="AT360" s="143"/>
      <c r="AU360" s="143"/>
      <c r="AV360" s="146"/>
      <c r="AW360" s="224">
        <f t="shared" si="137"/>
        <v>0</v>
      </c>
      <c r="AX360" s="274"/>
      <c r="AY360" s="126"/>
      <c r="AZ360" s="126"/>
      <c r="BA360" s="126"/>
      <c r="BB360" s="126"/>
      <c r="BC360" s="126"/>
      <c r="BD360" s="126"/>
      <c r="BE360" s="126"/>
      <c r="BF360" s="275"/>
      <c r="BG360" s="274"/>
      <c r="BH360" s="274"/>
      <c r="BI360" s="222">
        <f t="shared" si="138"/>
        <v>0</v>
      </c>
      <c r="BJ360" s="140">
        <f t="shared" si="139"/>
        <v>0</v>
      </c>
      <c r="BK360" s="132"/>
      <c r="BL360" s="140">
        <f t="shared" si="140"/>
        <v>0</v>
      </c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41"/>
      <c r="BY360" s="141"/>
      <c r="BZ360" s="130">
        <f t="shared" si="141"/>
        <v>0</v>
      </c>
      <c r="CA360" s="132"/>
    </row>
    <row r="361" ht="14.25" customHeight="1">
      <c r="A361" s="132"/>
      <c r="B361" s="306">
        <v>46347</v>
      </c>
      <c r="C361" s="133"/>
      <c r="D361" s="136"/>
      <c r="E361" s="135"/>
      <c r="F361" s="135"/>
      <c r="G361" s="147">
        <f t="shared" si="133"/>
        <v>0</v>
      </c>
      <c r="H361" s="144"/>
      <c r="I361" s="144"/>
      <c r="J361" s="144"/>
      <c r="K361" s="144"/>
      <c r="L361" s="143"/>
      <c r="M361" s="143"/>
      <c r="N361" s="143"/>
      <c r="O361" s="143"/>
      <c r="P361" s="611"/>
      <c r="Q361" s="143"/>
      <c r="R361" s="143"/>
      <c r="S361" s="143"/>
      <c r="T361" s="143"/>
      <c r="U361" s="143"/>
      <c r="V361" s="143"/>
      <c r="W361" s="143"/>
      <c r="X361" s="143"/>
      <c r="Y361" s="146"/>
      <c r="Z361" s="103">
        <f t="shared" si="134"/>
        <v>0</v>
      </c>
      <c r="AA361" s="144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43"/>
      <c r="AM361" s="143"/>
      <c r="AN361" s="103">
        <f t="shared" si="135"/>
        <v>0</v>
      </c>
      <c r="AO361" s="136"/>
      <c r="AP361" s="136"/>
      <c r="AQ361" s="136"/>
      <c r="AR361" s="105">
        <f t="shared" si="136"/>
        <v>0</v>
      </c>
      <c r="AS361" s="143"/>
      <c r="AT361" s="143"/>
      <c r="AU361" s="143"/>
      <c r="AV361" s="146"/>
      <c r="AW361" s="224">
        <f t="shared" si="137"/>
        <v>0</v>
      </c>
      <c r="AX361" s="274"/>
      <c r="AY361" s="126"/>
      <c r="AZ361" s="126"/>
      <c r="BA361" s="126"/>
      <c r="BB361" s="126"/>
      <c r="BC361" s="126"/>
      <c r="BD361" s="126"/>
      <c r="BE361" s="126"/>
      <c r="BF361" s="275"/>
      <c r="BG361" s="274"/>
      <c r="BH361" s="274"/>
      <c r="BI361" s="222">
        <f t="shared" si="138"/>
        <v>0</v>
      </c>
      <c r="BJ361" s="140">
        <f t="shared" si="139"/>
        <v>0</v>
      </c>
      <c r="BK361" s="132"/>
      <c r="BL361" s="140">
        <f t="shared" si="140"/>
        <v>0</v>
      </c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41"/>
      <c r="BY361" s="141"/>
      <c r="BZ361" s="130">
        <f t="shared" si="141"/>
        <v>0</v>
      </c>
      <c r="CA361" s="132"/>
    </row>
    <row r="362" ht="14.25" customHeight="1">
      <c r="A362" s="132"/>
      <c r="B362" s="306">
        <v>46348</v>
      </c>
      <c r="C362" s="133"/>
      <c r="D362" s="136"/>
      <c r="E362" s="135"/>
      <c r="F362" s="135"/>
      <c r="G362" s="147">
        <f t="shared" si="133"/>
        <v>0</v>
      </c>
      <c r="H362" s="144"/>
      <c r="I362" s="144"/>
      <c r="J362" s="144"/>
      <c r="K362" s="144"/>
      <c r="L362" s="143"/>
      <c r="M362" s="143"/>
      <c r="N362" s="143"/>
      <c r="O362" s="143"/>
      <c r="P362" s="611"/>
      <c r="Q362" s="143"/>
      <c r="R362" s="143"/>
      <c r="S362" s="633"/>
      <c r="T362" s="633"/>
      <c r="U362" s="143"/>
      <c r="V362" s="143"/>
      <c r="W362" s="143"/>
      <c r="X362" s="143"/>
      <c r="Y362" s="146"/>
      <c r="Z362" s="103">
        <f t="shared" si="134"/>
        <v>0</v>
      </c>
      <c r="AA362" s="144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43"/>
      <c r="AM362" s="143"/>
      <c r="AN362" s="103">
        <f t="shared" si="135"/>
        <v>0</v>
      </c>
      <c r="AO362" s="136"/>
      <c r="AP362" s="136"/>
      <c r="AQ362" s="136"/>
      <c r="AR362" s="105">
        <f t="shared" si="136"/>
        <v>0</v>
      </c>
      <c r="AS362" s="143"/>
      <c r="AT362" s="143"/>
      <c r="AU362" s="143"/>
      <c r="AV362" s="146"/>
      <c r="AW362" s="224">
        <f t="shared" si="137"/>
        <v>0</v>
      </c>
      <c r="AX362" s="274"/>
      <c r="AY362" s="126"/>
      <c r="AZ362" s="126"/>
      <c r="BA362" s="126"/>
      <c r="BB362" s="126"/>
      <c r="BC362" s="126"/>
      <c r="BD362" s="126"/>
      <c r="BE362" s="126"/>
      <c r="BF362" s="275"/>
      <c r="BG362" s="274"/>
      <c r="BH362" s="274"/>
      <c r="BI362" s="222">
        <f t="shared" si="138"/>
        <v>0</v>
      </c>
      <c r="BJ362" s="140">
        <f t="shared" si="139"/>
        <v>0</v>
      </c>
      <c r="BK362" s="132"/>
      <c r="BL362" s="140">
        <f t="shared" si="140"/>
        <v>0</v>
      </c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41"/>
      <c r="BY362" s="141"/>
      <c r="BZ362" s="130">
        <f t="shared" si="141"/>
        <v>0</v>
      </c>
      <c r="CA362" s="132"/>
    </row>
    <row r="363" ht="14.25" customHeight="1">
      <c r="A363" s="132"/>
      <c r="B363" s="306">
        <v>46349</v>
      </c>
      <c r="C363" s="133"/>
      <c r="D363" s="136"/>
      <c r="E363" s="135"/>
      <c r="F363" s="135"/>
      <c r="G363" s="147">
        <f t="shared" si="133"/>
        <v>0</v>
      </c>
      <c r="H363" s="144"/>
      <c r="I363" s="144"/>
      <c r="J363" s="144"/>
      <c r="K363" s="144"/>
      <c r="L363" s="143"/>
      <c r="M363" s="143"/>
      <c r="N363" s="143"/>
      <c r="O363" s="143"/>
      <c r="P363" s="611"/>
      <c r="Q363" s="143"/>
      <c r="R363" s="143"/>
      <c r="S363" s="633"/>
      <c r="T363" s="633"/>
      <c r="U363" s="143"/>
      <c r="V363" s="143"/>
      <c r="W363" s="143"/>
      <c r="X363" s="143"/>
      <c r="Y363" s="146"/>
      <c r="Z363" s="103">
        <f t="shared" si="134"/>
        <v>0</v>
      </c>
      <c r="AA363" s="144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43"/>
      <c r="AM363" s="143"/>
      <c r="AN363" s="103">
        <f t="shared" si="135"/>
        <v>0</v>
      </c>
      <c r="AO363" s="136"/>
      <c r="AP363" s="136"/>
      <c r="AQ363" s="136"/>
      <c r="AR363" s="105">
        <f t="shared" si="136"/>
        <v>0</v>
      </c>
      <c r="AS363" s="143"/>
      <c r="AT363" s="143"/>
      <c r="AU363" s="143"/>
      <c r="AV363" s="146"/>
      <c r="AW363" s="224">
        <f t="shared" si="137"/>
        <v>0</v>
      </c>
      <c r="AX363" s="274"/>
      <c r="AY363" s="126"/>
      <c r="AZ363" s="126"/>
      <c r="BA363" s="126"/>
      <c r="BB363" s="126"/>
      <c r="BC363" s="126"/>
      <c r="BD363" s="126"/>
      <c r="BE363" s="126"/>
      <c r="BF363" s="275"/>
      <c r="BG363" s="274"/>
      <c r="BH363" s="274"/>
      <c r="BI363" s="222">
        <f t="shared" si="138"/>
        <v>0</v>
      </c>
      <c r="BJ363" s="140">
        <f t="shared" si="139"/>
        <v>0</v>
      </c>
      <c r="BK363" s="132"/>
      <c r="BL363" s="140">
        <f t="shared" si="140"/>
        <v>0</v>
      </c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41"/>
      <c r="BY363" s="141"/>
      <c r="BZ363" s="130">
        <f t="shared" si="141"/>
        <v>0</v>
      </c>
      <c r="CA363" s="132"/>
    </row>
    <row r="364" ht="14.25" customHeight="1">
      <c r="A364" s="132"/>
      <c r="B364" s="306">
        <v>46350</v>
      </c>
      <c r="C364" s="133"/>
      <c r="D364" s="136"/>
      <c r="E364" s="135"/>
      <c r="F364" s="135"/>
      <c r="G364" s="147">
        <f t="shared" si="133"/>
        <v>0</v>
      </c>
      <c r="H364" s="144"/>
      <c r="I364" s="144"/>
      <c r="J364" s="144"/>
      <c r="K364" s="144"/>
      <c r="L364" s="143"/>
      <c r="M364" s="143"/>
      <c r="N364" s="143"/>
      <c r="O364" s="143"/>
      <c r="P364" s="611"/>
      <c r="Q364" s="143"/>
      <c r="R364" s="143"/>
      <c r="S364" s="231"/>
      <c r="T364" s="231"/>
      <c r="U364" s="143"/>
      <c r="V364" s="143"/>
      <c r="W364" s="143"/>
      <c r="X364" s="143"/>
      <c r="Y364" s="146"/>
      <c r="Z364" s="103">
        <f t="shared" si="134"/>
        <v>0</v>
      </c>
      <c r="AA364" s="144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43"/>
      <c r="AM364" s="143"/>
      <c r="AN364" s="103">
        <f t="shared" si="135"/>
        <v>0</v>
      </c>
      <c r="AO364" s="136"/>
      <c r="AP364" s="136"/>
      <c r="AQ364" s="136"/>
      <c r="AR364" s="105">
        <f t="shared" si="136"/>
        <v>0</v>
      </c>
      <c r="AS364" s="143"/>
      <c r="AT364" s="143"/>
      <c r="AU364" s="143"/>
      <c r="AV364" s="146"/>
      <c r="AW364" s="224">
        <f t="shared" si="137"/>
        <v>0</v>
      </c>
      <c r="AX364" s="274"/>
      <c r="AY364" s="126"/>
      <c r="AZ364" s="126"/>
      <c r="BA364" s="126"/>
      <c r="BB364" s="126"/>
      <c r="BC364" s="126"/>
      <c r="BD364" s="126"/>
      <c r="BE364" s="126"/>
      <c r="BF364" s="275"/>
      <c r="BG364" s="274"/>
      <c r="BH364" s="274"/>
      <c r="BI364" s="222">
        <f t="shared" si="138"/>
        <v>0</v>
      </c>
      <c r="BJ364" s="140">
        <f t="shared" si="139"/>
        <v>0</v>
      </c>
      <c r="BK364" s="132"/>
      <c r="BL364" s="140">
        <f t="shared" si="140"/>
        <v>0</v>
      </c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41"/>
      <c r="BY364" s="141"/>
      <c r="BZ364" s="130">
        <f t="shared" si="141"/>
        <v>0</v>
      </c>
      <c r="CA364" s="132"/>
    </row>
    <row r="365" ht="14.25" customHeight="1">
      <c r="A365" s="132"/>
      <c r="B365" s="306">
        <v>46351</v>
      </c>
      <c r="C365" s="133"/>
      <c r="D365" s="136"/>
      <c r="E365" s="135"/>
      <c r="F365" s="135"/>
      <c r="G365" s="147">
        <f t="shared" si="133"/>
        <v>0</v>
      </c>
      <c r="H365" s="144"/>
      <c r="I365" s="144"/>
      <c r="J365" s="144"/>
      <c r="K365" s="144"/>
      <c r="L365" s="143"/>
      <c r="M365" s="143"/>
      <c r="N365" s="143"/>
      <c r="O365" s="143"/>
      <c r="P365" s="611"/>
      <c r="Q365" s="143"/>
      <c r="R365" s="143"/>
      <c r="S365" s="633"/>
      <c r="T365" s="633"/>
      <c r="U365" s="143"/>
      <c r="V365" s="143"/>
      <c r="W365" s="143"/>
      <c r="X365" s="143"/>
      <c r="Y365" s="146"/>
      <c r="Z365" s="103">
        <f t="shared" si="134"/>
        <v>0</v>
      </c>
      <c r="AA365" s="144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43"/>
      <c r="AM365" s="143"/>
      <c r="AN365" s="103">
        <f t="shared" si="135"/>
        <v>0</v>
      </c>
      <c r="AO365" s="136"/>
      <c r="AP365" s="136"/>
      <c r="AQ365" s="136"/>
      <c r="AR365" s="105">
        <f t="shared" si="136"/>
        <v>0</v>
      </c>
      <c r="AS365" s="143"/>
      <c r="AT365" s="143"/>
      <c r="AU365" s="143"/>
      <c r="AV365" s="146"/>
      <c r="AW365" s="224">
        <f t="shared" si="137"/>
        <v>0</v>
      </c>
      <c r="AX365" s="274"/>
      <c r="AY365" s="126"/>
      <c r="AZ365" s="126"/>
      <c r="BA365" s="126"/>
      <c r="BB365" s="126"/>
      <c r="BC365" s="126"/>
      <c r="BD365" s="126"/>
      <c r="BE365" s="126"/>
      <c r="BF365" s="275"/>
      <c r="BG365" s="274"/>
      <c r="BH365" s="274"/>
      <c r="BI365" s="222">
        <f t="shared" si="138"/>
        <v>0</v>
      </c>
      <c r="BJ365" s="140">
        <f t="shared" si="139"/>
        <v>0</v>
      </c>
      <c r="BK365" s="132"/>
      <c r="BL365" s="140">
        <f t="shared" si="140"/>
        <v>0</v>
      </c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41"/>
      <c r="BY365" s="141"/>
      <c r="BZ365" s="130">
        <f t="shared" si="141"/>
        <v>0</v>
      </c>
      <c r="CA365" s="132"/>
    </row>
    <row r="366" ht="14.25" customHeight="1">
      <c r="A366" s="132"/>
      <c r="B366" s="306">
        <v>46352</v>
      </c>
      <c r="C366" s="133"/>
      <c r="D366" s="136"/>
      <c r="E366" s="135"/>
      <c r="F366" s="135"/>
      <c r="G366" s="147">
        <f t="shared" si="133"/>
        <v>0</v>
      </c>
      <c r="H366" s="144"/>
      <c r="I366" s="144"/>
      <c r="J366" s="144"/>
      <c r="K366" s="144"/>
      <c r="L366" s="143"/>
      <c r="M366" s="143"/>
      <c r="N366" s="143"/>
      <c r="O366" s="143"/>
      <c r="P366" s="611"/>
      <c r="Q366" s="143"/>
      <c r="R366" s="143"/>
      <c r="S366" s="633"/>
      <c r="T366" s="633"/>
      <c r="U366" s="143"/>
      <c r="V366" s="143"/>
      <c r="W366" s="143"/>
      <c r="X366" s="143"/>
      <c r="Y366" s="146"/>
      <c r="Z366" s="103">
        <f t="shared" si="134"/>
        <v>0</v>
      </c>
      <c r="AA366" s="144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43"/>
      <c r="AM366" s="143"/>
      <c r="AN366" s="103">
        <f t="shared" si="135"/>
        <v>0</v>
      </c>
      <c r="AO366" s="136"/>
      <c r="AP366" s="136"/>
      <c r="AQ366" s="136"/>
      <c r="AR366" s="105">
        <f t="shared" si="136"/>
        <v>0</v>
      </c>
      <c r="AS366" s="143"/>
      <c r="AT366" s="143"/>
      <c r="AU366" s="143"/>
      <c r="AV366" s="146"/>
      <c r="AW366" s="224">
        <f t="shared" si="137"/>
        <v>0</v>
      </c>
      <c r="AX366" s="274"/>
      <c r="AY366" s="126"/>
      <c r="AZ366" s="126"/>
      <c r="BA366" s="126"/>
      <c r="BB366" s="126"/>
      <c r="BC366" s="126"/>
      <c r="BD366" s="126"/>
      <c r="BE366" s="126"/>
      <c r="BF366" s="275"/>
      <c r="BG366" s="274"/>
      <c r="BH366" s="274"/>
      <c r="BI366" s="222">
        <f t="shared" si="138"/>
        <v>0</v>
      </c>
      <c r="BJ366" s="140">
        <f t="shared" si="139"/>
        <v>0</v>
      </c>
      <c r="BK366" s="132"/>
      <c r="BL366" s="140">
        <f t="shared" si="140"/>
        <v>0</v>
      </c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41"/>
      <c r="BY366" s="141"/>
      <c r="BZ366" s="130">
        <f t="shared" si="141"/>
        <v>0</v>
      </c>
      <c r="CA366" s="132"/>
    </row>
    <row r="367" ht="14.25" customHeight="1">
      <c r="A367" s="132"/>
      <c r="B367" s="306">
        <v>46353</v>
      </c>
      <c r="C367" s="133"/>
      <c r="D367" s="136"/>
      <c r="E367" s="135"/>
      <c r="F367" s="135"/>
      <c r="G367" s="147">
        <f t="shared" si="133"/>
        <v>0</v>
      </c>
      <c r="H367" s="144"/>
      <c r="I367" s="144"/>
      <c r="J367" s="144"/>
      <c r="K367" s="144"/>
      <c r="L367" s="143"/>
      <c r="M367" s="143"/>
      <c r="N367" s="143"/>
      <c r="O367" s="143"/>
      <c r="P367" s="611"/>
      <c r="Q367" s="143"/>
      <c r="R367" s="143"/>
      <c r="S367" s="231"/>
      <c r="T367" s="231"/>
      <c r="U367" s="143"/>
      <c r="V367" s="143"/>
      <c r="W367" s="143"/>
      <c r="X367" s="143"/>
      <c r="Y367" s="146"/>
      <c r="Z367" s="103">
        <f t="shared" si="134"/>
        <v>0</v>
      </c>
      <c r="AA367" s="144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43"/>
      <c r="AM367" s="143"/>
      <c r="AN367" s="103">
        <f t="shared" si="135"/>
        <v>0</v>
      </c>
      <c r="AO367" s="136"/>
      <c r="AP367" s="136"/>
      <c r="AQ367" s="136"/>
      <c r="AR367" s="105">
        <f t="shared" si="136"/>
        <v>0</v>
      </c>
      <c r="AS367" s="143"/>
      <c r="AT367" s="143"/>
      <c r="AU367" s="143"/>
      <c r="AV367" s="146"/>
      <c r="AW367" s="224">
        <f t="shared" si="137"/>
        <v>0</v>
      </c>
      <c r="AX367" s="274"/>
      <c r="AY367" s="126"/>
      <c r="AZ367" s="126"/>
      <c r="BA367" s="126"/>
      <c r="BB367" s="126"/>
      <c r="BC367" s="126"/>
      <c r="BD367" s="126"/>
      <c r="BE367" s="126"/>
      <c r="BF367" s="275"/>
      <c r="BG367" s="274"/>
      <c r="BH367" s="274"/>
      <c r="BI367" s="222">
        <f t="shared" si="138"/>
        <v>0</v>
      </c>
      <c r="BJ367" s="140">
        <f t="shared" si="139"/>
        <v>0</v>
      </c>
      <c r="BK367" s="132"/>
      <c r="BL367" s="140">
        <f t="shared" si="140"/>
        <v>0</v>
      </c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41"/>
      <c r="BY367" s="141"/>
      <c r="BZ367" s="130">
        <f t="shared" si="141"/>
        <v>0</v>
      </c>
      <c r="CA367" s="132"/>
    </row>
    <row r="368" ht="14.25" customHeight="1">
      <c r="A368" s="132"/>
      <c r="B368" s="306">
        <v>46354</v>
      </c>
      <c r="C368" s="133"/>
      <c r="D368" s="136"/>
      <c r="E368" s="135"/>
      <c r="F368" s="135"/>
      <c r="G368" s="147">
        <f t="shared" si="133"/>
        <v>0</v>
      </c>
      <c r="H368" s="144"/>
      <c r="I368" s="144"/>
      <c r="J368" s="144"/>
      <c r="K368" s="144"/>
      <c r="L368" s="143"/>
      <c r="M368" s="143"/>
      <c r="N368" s="143"/>
      <c r="O368" s="143"/>
      <c r="P368" s="611"/>
      <c r="Q368" s="143"/>
      <c r="R368" s="143"/>
      <c r="S368" s="633"/>
      <c r="T368" s="633"/>
      <c r="U368" s="143"/>
      <c r="V368" s="143"/>
      <c r="W368" s="143"/>
      <c r="X368" s="143"/>
      <c r="Y368" s="146"/>
      <c r="Z368" s="103">
        <f t="shared" si="134"/>
        <v>0</v>
      </c>
      <c r="AA368" s="144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43"/>
      <c r="AM368" s="143"/>
      <c r="AN368" s="103">
        <f t="shared" si="135"/>
        <v>0</v>
      </c>
      <c r="AO368" s="136"/>
      <c r="AP368" s="136"/>
      <c r="AQ368" s="136"/>
      <c r="AR368" s="105">
        <f t="shared" si="136"/>
        <v>0</v>
      </c>
      <c r="AS368" s="143"/>
      <c r="AT368" s="143"/>
      <c r="AU368" s="143"/>
      <c r="AV368" s="146"/>
      <c r="AW368" s="224">
        <f t="shared" si="137"/>
        <v>0</v>
      </c>
      <c r="AX368" s="274"/>
      <c r="AY368" s="126"/>
      <c r="AZ368" s="126"/>
      <c r="BA368" s="126"/>
      <c r="BB368" s="126"/>
      <c r="BC368" s="126"/>
      <c r="BD368" s="126"/>
      <c r="BE368" s="126"/>
      <c r="BF368" s="275"/>
      <c r="BG368" s="274"/>
      <c r="BH368" s="274"/>
      <c r="BI368" s="222">
        <f t="shared" si="138"/>
        <v>0</v>
      </c>
      <c r="BJ368" s="140">
        <f t="shared" si="139"/>
        <v>0</v>
      </c>
      <c r="BK368" s="132"/>
      <c r="BL368" s="140">
        <f t="shared" si="140"/>
        <v>0</v>
      </c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41"/>
      <c r="BY368" s="141"/>
      <c r="BZ368" s="130">
        <f t="shared" si="141"/>
        <v>0</v>
      </c>
      <c r="CA368" s="132"/>
    </row>
    <row r="369" ht="14.25" customHeight="1">
      <c r="A369" s="132"/>
      <c r="B369" s="306">
        <v>46355</v>
      </c>
      <c r="C369" s="133"/>
      <c r="D369" s="136"/>
      <c r="E369" s="135"/>
      <c r="F369" s="135"/>
      <c r="G369" s="147">
        <f t="shared" si="133"/>
        <v>0</v>
      </c>
      <c r="H369" s="144"/>
      <c r="I369" s="144"/>
      <c r="J369" s="144"/>
      <c r="K369" s="144"/>
      <c r="L369" s="143"/>
      <c r="M369" s="143"/>
      <c r="N369" s="143"/>
      <c r="O369" s="143"/>
      <c r="P369" s="611"/>
      <c r="Q369" s="143"/>
      <c r="R369" s="143"/>
      <c r="S369" s="143"/>
      <c r="T369" s="143"/>
      <c r="U369" s="143"/>
      <c r="V369" s="143"/>
      <c r="W369" s="143"/>
      <c r="X369" s="143"/>
      <c r="Y369" s="146"/>
      <c r="Z369" s="103">
        <f t="shared" si="134"/>
        <v>0</v>
      </c>
      <c r="AA369" s="144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43"/>
      <c r="AM369" s="143"/>
      <c r="AN369" s="103">
        <f t="shared" si="135"/>
        <v>0</v>
      </c>
      <c r="AO369" s="136"/>
      <c r="AP369" s="136"/>
      <c r="AQ369" s="136"/>
      <c r="AR369" s="105">
        <f t="shared" si="136"/>
        <v>0</v>
      </c>
      <c r="AS369" s="143"/>
      <c r="AT369" s="143"/>
      <c r="AU369" s="143"/>
      <c r="AV369" s="146"/>
      <c r="AW369" s="224">
        <f t="shared" si="137"/>
        <v>0</v>
      </c>
      <c r="AX369" s="274"/>
      <c r="AY369" s="126"/>
      <c r="AZ369" s="126"/>
      <c r="BA369" s="126"/>
      <c r="BB369" s="126"/>
      <c r="BC369" s="126"/>
      <c r="BD369" s="126"/>
      <c r="BE369" s="126"/>
      <c r="BF369" s="275"/>
      <c r="BG369" s="274"/>
      <c r="BH369" s="274"/>
      <c r="BI369" s="222">
        <f t="shared" si="138"/>
        <v>0</v>
      </c>
      <c r="BJ369" s="140">
        <f t="shared" si="139"/>
        <v>0</v>
      </c>
      <c r="BK369" s="132"/>
      <c r="BL369" s="140">
        <f t="shared" si="140"/>
        <v>0</v>
      </c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41"/>
      <c r="BY369" s="141"/>
      <c r="BZ369" s="130">
        <f t="shared" si="141"/>
        <v>0</v>
      </c>
      <c r="CA369" s="132"/>
    </row>
    <row r="370" ht="14.25" customHeight="1">
      <c r="A370" s="132"/>
      <c r="B370" s="306">
        <v>46356</v>
      </c>
      <c r="C370" s="133"/>
      <c r="D370" s="136"/>
      <c r="E370" s="135"/>
      <c r="F370" s="135"/>
      <c r="G370" s="147">
        <f t="shared" si="133"/>
        <v>0</v>
      </c>
      <c r="H370" s="144"/>
      <c r="I370" s="144"/>
      <c r="J370" s="144"/>
      <c r="K370" s="144"/>
      <c r="L370" s="143"/>
      <c r="M370" s="143"/>
      <c r="N370" s="143"/>
      <c r="O370" s="143"/>
      <c r="P370" s="611"/>
      <c r="Q370" s="143"/>
      <c r="R370" s="143"/>
      <c r="S370" s="143"/>
      <c r="T370" s="143"/>
      <c r="U370" s="143"/>
      <c r="V370" s="143"/>
      <c r="W370" s="143"/>
      <c r="X370" s="143"/>
      <c r="Y370" s="146"/>
      <c r="Z370" s="103">
        <f t="shared" si="134"/>
        <v>0</v>
      </c>
      <c r="AA370" s="144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43"/>
      <c r="AM370" s="143"/>
      <c r="AN370" s="103">
        <f t="shared" si="135"/>
        <v>0</v>
      </c>
      <c r="AO370" s="136"/>
      <c r="AP370" s="136"/>
      <c r="AQ370" s="136"/>
      <c r="AR370" s="105">
        <f t="shared" si="136"/>
        <v>0</v>
      </c>
      <c r="AS370" s="143"/>
      <c r="AT370" s="143"/>
      <c r="AU370" s="143"/>
      <c r="AV370" s="146"/>
      <c r="AW370" s="224">
        <f t="shared" si="137"/>
        <v>0</v>
      </c>
      <c r="AX370" s="296"/>
      <c r="AY370" s="138"/>
      <c r="AZ370" s="138"/>
      <c r="BA370" s="138"/>
      <c r="BB370" s="138"/>
      <c r="BC370" s="138"/>
      <c r="BD370" s="138"/>
      <c r="BE370" s="138"/>
      <c r="BF370" s="297"/>
      <c r="BG370" s="274"/>
      <c r="BH370" s="274"/>
      <c r="BI370" s="222">
        <f t="shared" si="138"/>
        <v>0</v>
      </c>
      <c r="BJ370" s="140">
        <f t="shared" si="139"/>
        <v>0</v>
      </c>
      <c r="BK370" s="132"/>
      <c r="BL370" s="140">
        <f t="shared" si="140"/>
        <v>0</v>
      </c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41"/>
      <c r="BY370" s="141"/>
      <c r="BZ370" s="130">
        <f t="shared" si="141"/>
        <v>0</v>
      </c>
      <c r="CA370" s="132"/>
    </row>
    <row r="371" ht="14.25" customHeight="1">
      <c r="A371" s="3"/>
      <c r="B371" s="2" t="s">
        <v>4</v>
      </c>
      <c r="C371" s="166">
        <f ref="C371:V371" t="shared" si="142">SUM(C340:C370)</f>
        <v>0</v>
      </c>
      <c r="D371" s="166">
        <f t="shared" si="142"/>
        <v>0</v>
      </c>
      <c r="E371" s="166">
        <f t="shared" si="142"/>
        <v>0</v>
      </c>
      <c r="F371" s="166">
        <f t="shared" si="142"/>
        <v>0</v>
      </c>
      <c r="G371" s="166">
        <f t="shared" si="142"/>
        <v>0</v>
      </c>
      <c r="H371" s="166">
        <f t="shared" si="142"/>
        <v>0</v>
      </c>
      <c r="I371" s="166">
        <f t="shared" si="142"/>
        <v>0</v>
      </c>
      <c r="J371" s="166">
        <f t="shared" si="142"/>
        <v>0</v>
      </c>
      <c r="K371" s="166">
        <f t="shared" si="142"/>
        <v>0</v>
      </c>
      <c r="L371" s="166">
        <f t="shared" si="142"/>
        <v>0</v>
      </c>
      <c r="M371" s="166">
        <f t="shared" si="142"/>
        <v>0</v>
      </c>
      <c r="N371" s="166">
        <f t="shared" si="142"/>
        <v>0</v>
      </c>
      <c r="O371" s="166">
        <f t="shared" si="142"/>
        <v>0</v>
      </c>
      <c r="P371" s="617">
        <f t="shared" si="142"/>
        <v>0</v>
      </c>
      <c r="Q371" s="166">
        <f t="shared" si="142"/>
        <v>0</v>
      </c>
      <c r="R371" s="166">
        <f t="shared" si="142"/>
        <v>0</v>
      </c>
      <c r="S371" s="166">
        <f t="shared" si="142"/>
        <v>0</v>
      </c>
      <c r="T371" s="166">
        <f t="shared" si="142"/>
        <v>0</v>
      </c>
      <c r="U371" s="166">
        <f t="shared" si="142"/>
        <v>0</v>
      </c>
      <c r="V371" s="166">
        <f t="shared" si="142"/>
        <v>0</v>
      </c>
      <c r="W371" s="166"/>
      <c r="X371" s="166">
        <f ref="X371:Y371" t="shared" si="143">SUM(X340:X370)</f>
        <v>0</v>
      </c>
      <c r="Y371" s="167">
        <f t="shared" si="143"/>
        <v>0</v>
      </c>
      <c r="Z371" s="623">
        <f t="shared" si="134"/>
        <v>0</v>
      </c>
      <c r="AA371" s="284">
        <f ref="AA371:AK371" t="shared" si="144">SUM(AA340:AA370)</f>
        <v>0</v>
      </c>
      <c r="AB371" s="166">
        <f t="shared" si="144"/>
        <v>0</v>
      </c>
      <c r="AC371" s="166">
        <f t="shared" si="144"/>
        <v>0</v>
      </c>
      <c r="AD371" s="166">
        <f t="shared" si="144"/>
        <v>0</v>
      </c>
      <c r="AE371" s="166">
        <f t="shared" si="144"/>
        <v>0</v>
      </c>
      <c r="AF371" s="166">
        <f t="shared" si="144"/>
        <v>0</v>
      </c>
      <c r="AG371" s="166">
        <f t="shared" si="144"/>
        <v>0</v>
      </c>
      <c r="AH371" s="166">
        <f t="shared" si="144"/>
        <v>0</v>
      </c>
      <c r="AI371" s="166">
        <f t="shared" si="144"/>
        <v>0</v>
      </c>
      <c r="AJ371" s="166">
        <f t="shared" si="144"/>
        <v>0</v>
      </c>
      <c r="AK371" s="166">
        <f t="shared" si="144"/>
        <v>0</v>
      </c>
      <c r="AL371" s="166"/>
      <c r="AM371" s="166">
        <f ref="AM371:BJ371" t="shared" si="145">SUM(AM340:AM370)</f>
        <v>0</v>
      </c>
      <c r="AN371" s="166">
        <f t="shared" si="145"/>
        <v>0</v>
      </c>
      <c r="AO371" s="166">
        <f t="shared" si="145"/>
        <v>0</v>
      </c>
      <c r="AP371" s="166">
        <f t="shared" si="145"/>
        <v>0</v>
      </c>
      <c r="AQ371" s="166">
        <f t="shared" si="145"/>
        <v>0</v>
      </c>
      <c r="AR371" s="166">
        <f t="shared" si="145"/>
        <v>0</v>
      </c>
      <c r="AS371" s="166">
        <f t="shared" si="145"/>
        <v>0</v>
      </c>
      <c r="AT371" s="166">
        <f t="shared" si="145"/>
        <v>0</v>
      </c>
      <c r="AU371" s="166">
        <f t="shared" si="145"/>
        <v>0</v>
      </c>
      <c r="AV371" s="166">
        <f t="shared" si="145"/>
        <v>0</v>
      </c>
      <c r="AW371" s="166">
        <f t="shared" si="145"/>
        <v>0</v>
      </c>
      <c r="AX371" s="165">
        <f t="shared" si="145"/>
        <v>0</v>
      </c>
      <c r="AY371" s="165">
        <f t="shared" si="145"/>
        <v>0</v>
      </c>
      <c r="AZ371" s="165">
        <f t="shared" si="145"/>
        <v>0</v>
      </c>
      <c r="BA371" s="165">
        <f t="shared" si="145"/>
        <v>0</v>
      </c>
      <c r="BB371" s="165">
        <f t="shared" si="145"/>
        <v>0</v>
      </c>
      <c r="BC371" s="165">
        <f t="shared" si="145"/>
        <v>0</v>
      </c>
      <c r="BD371" s="165">
        <f t="shared" si="145"/>
        <v>0</v>
      </c>
      <c r="BE371" s="165">
        <f t="shared" si="145"/>
        <v>0</v>
      </c>
      <c r="BF371" s="165">
        <f t="shared" si="145"/>
        <v>0</v>
      </c>
      <c r="BG371" s="166">
        <f t="shared" si="145"/>
        <v>0</v>
      </c>
      <c r="BH371" s="166">
        <f t="shared" si="145"/>
        <v>0</v>
      </c>
      <c r="BI371" s="166">
        <f t="shared" si="145"/>
        <v>0</v>
      </c>
      <c r="BJ371" s="166">
        <f t="shared" si="145"/>
        <v>0</v>
      </c>
      <c r="BK371" s="132"/>
      <c r="BL371" s="166">
        <f ref="BL371:BZ371" t="shared" si="146">SUM(BL340:BL370)</f>
        <v>0</v>
      </c>
      <c r="BM371" s="166">
        <f t="shared" si="146"/>
        <v>0</v>
      </c>
      <c r="BN371" s="166">
        <f t="shared" si="146"/>
        <v>0</v>
      </c>
      <c r="BO371" s="166">
        <f t="shared" si="146"/>
        <v>0</v>
      </c>
      <c r="BP371" s="166">
        <f t="shared" si="146"/>
        <v>0</v>
      </c>
      <c r="BQ371" s="166">
        <f t="shared" si="146"/>
        <v>0</v>
      </c>
      <c r="BR371" s="166">
        <f t="shared" si="146"/>
        <v>0</v>
      </c>
      <c r="BS371" s="166">
        <f t="shared" si="146"/>
        <v>0</v>
      </c>
      <c r="BT371" s="166">
        <f t="shared" si="146"/>
        <v>0</v>
      </c>
      <c r="BU371" s="166">
        <f t="shared" si="146"/>
        <v>0</v>
      </c>
      <c r="BV371" s="166">
        <f t="shared" si="146"/>
        <v>0</v>
      </c>
      <c r="BW371" s="166">
        <f t="shared" si="146"/>
        <v>0</v>
      </c>
      <c r="BX371" s="166">
        <f t="shared" si="146"/>
        <v>0</v>
      </c>
      <c r="BY371" s="166">
        <f t="shared" si="146"/>
        <v>0</v>
      </c>
      <c r="BZ371" s="166">
        <f t="shared" si="146"/>
        <v>0</v>
      </c>
      <c r="CA371" s="132"/>
    </row>
    <row r="372" ht="14.25" customHeight="1">
      <c r="A372" s="1"/>
      <c r="B372" s="2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1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96"/>
      <c r="AO372" s="96"/>
      <c r="AP372" s="96"/>
      <c r="AQ372" s="3"/>
      <c r="AR372" s="4"/>
      <c r="AS372" s="3"/>
      <c r="AT372" s="3"/>
      <c r="AU372" s="3"/>
      <c r="AV372" s="3"/>
      <c r="AW372" s="3"/>
      <c r="AX372" s="3"/>
      <c r="AY372" s="3"/>
      <c r="AZ372" s="132"/>
      <c r="BA372" s="3"/>
      <c r="BB372" s="3"/>
      <c r="BC372" s="3"/>
      <c r="BD372" s="3"/>
      <c r="BE372" s="132"/>
      <c r="BF372" s="3"/>
      <c r="BG372" s="3"/>
      <c r="BH372" s="132"/>
      <c r="BI372" s="4"/>
      <c r="BJ372" s="3"/>
      <c r="BK372" s="235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1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176"/>
      <c r="AO373" s="176"/>
      <c r="AP373" s="176"/>
      <c r="AQ373" s="3"/>
      <c r="AR373" s="4"/>
      <c r="AS373" s="3"/>
      <c r="AT373" s="3"/>
      <c r="AU373" s="3"/>
      <c r="AV373" s="3"/>
      <c r="AW373" s="3"/>
      <c r="AX373" s="3"/>
      <c r="AY373" s="3"/>
      <c r="AZ373" s="132"/>
      <c r="BA373" s="3"/>
      <c r="BB373" s="3"/>
      <c r="BC373" s="3"/>
      <c r="BD373" s="3"/>
      <c r="BE373" s="132"/>
      <c r="BF373" s="3"/>
      <c r="BG373" s="3"/>
      <c r="BH373" s="132"/>
      <c r="BI373" s="4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</row>
    <row r="374" ht="14.25" customHeight="1">
      <c r="A374" s="3"/>
      <c r="B374" s="215">
        <v>46357</v>
      </c>
      <c r="C374" s="94"/>
      <c r="D374" s="104"/>
      <c r="E374" s="97"/>
      <c r="F374" s="97"/>
      <c r="G374" s="265">
        <f ref="G374:G404" t="shared" si="147">+C374+D374+E374+F374</f>
        <v>0</v>
      </c>
      <c r="H374" s="187"/>
      <c r="I374" s="187"/>
      <c r="J374" s="187"/>
      <c r="K374" s="187"/>
      <c r="L374" s="186"/>
      <c r="M374" s="186"/>
      <c r="N374" s="186"/>
      <c r="O374" s="186"/>
      <c r="P374" s="619"/>
      <c r="Q374" s="186"/>
      <c r="R374" s="186"/>
      <c r="S374" s="186"/>
      <c r="T374" s="186"/>
      <c r="U374" s="186"/>
      <c r="V374" s="186"/>
      <c r="W374" s="186"/>
      <c r="X374" s="186"/>
      <c r="Y374" s="186"/>
      <c r="Z374" s="189">
        <f ref="Z374:Z404" t="shared" si="148">SUM(H374:Y374)</f>
        <v>0</v>
      </c>
      <c r="AA374" s="186"/>
      <c r="AB374" s="186"/>
      <c r="AC374" s="186"/>
      <c r="AD374" s="186"/>
      <c r="AE374" s="186"/>
      <c r="AF374" s="186"/>
      <c r="AG374" s="186"/>
      <c r="AH374" s="186"/>
      <c r="AI374" s="186"/>
      <c r="AJ374" s="186"/>
      <c r="AK374" s="186"/>
      <c r="AL374" s="186"/>
      <c r="AM374" s="186"/>
      <c r="AN374" s="189">
        <f ref="AN374:AN404" t="shared" si="149">SUM(AA374:AM374)</f>
        <v>0</v>
      </c>
      <c r="AO374" s="104"/>
      <c r="AP374" s="104"/>
      <c r="AQ374" s="104"/>
      <c r="AR374" s="191">
        <f ref="AR374:AR404" t="shared" si="150">SUM(AO374:AQ374)</f>
        <v>0</v>
      </c>
      <c r="AS374" s="186"/>
      <c r="AT374" s="186"/>
      <c r="AU374" s="186"/>
      <c r="AV374" s="193"/>
      <c r="AW374" s="266">
        <f ref="AW374:AW404" t="shared" si="151">+G374-Z374-AN374-AR374-AS374-AT374-AU374-AV374</f>
        <v>0</v>
      </c>
      <c r="AX374" s="269"/>
      <c r="AY374" s="109"/>
      <c r="AZ374" s="109"/>
      <c r="BA374" s="109"/>
      <c r="BB374" s="109"/>
      <c r="BC374" s="109"/>
      <c r="BD374" s="109"/>
      <c r="BE374" s="270"/>
      <c r="BF374" s="109"/>
      <c r="BG374" s="269"/>
      <c r="BH374" s="269"/>
      <c r="BI374" s="292">
        <f ref="BI374:BI404" t="shared" si="152">SUM(AX374:BH374)-BG374</f>
        <v>0</v>
      </c>
      <c r="BJ374" s="114">
        <f ref="BJ374:BJ404" t="shared" si="153">+AW374-BI374</f>
        <v>0</v>
      </c>
      <c r="BK374" s="3"/>
      <c r="BL374" s="114">
        <f ref="BL374:BL404" t="shared" si="154">SUM(BM374:BY374)</f>
        <v>0</v>
      </c>
      <c r="BM374" s="115"/>
      <c r="BN374" s="115"/>
      <c r="BO374" s="115"/>
      <c r="BP374" s="115"/>
      <c r="BQ374" s="115"/>
      <c r="BR374" s="115"/>
      <c r="BS374" s="115"/>
      <c r="BT374" s="115"/>
      <c r="BU374" s="115"/>
      <c r="BV374" s="115"/>
      <c r="BW374" s="115"/>
      <c r="BX374" s="115"/>
      <c r="BY374" s="115"/>
      <c r="BZ374" s="116">
        <f ref="BZ374:BZ404" t="shared" si="155">+BJ374-BL374</f>
        <v>0</v>
      </c>
      <c r="CA374" s="3"/>
    </row>
    <row r="375" ht="14.25" customHeight="1">
      <c r="A375" s="132"/>
      <c r="B375" s="215">
        <v>46358</v>
      </c>
      <c r="C375" s="133"/>
      <c r="D375" s="136"/>
      <c r="E375" s="135"/>
      <c r="F375" s="135"/>
      <c r="G375" s="147">
        <f t="shared" si="147"/>
        <v>0</v>
      </c>
      <c r="H375" s="144"/>
      <c r="I375" s="144"/>
      <c r="J375" s="144"/>
      <c r="K375" s="144"/>
      <c r="L375" s="143"/>
      <c r="M375" s="143"/>
      <c r="N375" s="143"/>
      <c r="O375" s="143"/>
      <c r="P375" s="611"/>
      <c r="Q375" s="143"/>
      <c r="R375" s="143"/>
      <c r="S375" s="143"/>
      <c r="T375" s="143"/>
      <c r="U375" s="143"/>
      <c r="V375" s="143"/>
      <c r="W375" s="143"/>
      <c r="X375" s="143"/>
      <c r="Y375" s="143"/>
      <c r="Z375" s="103">
        <f t="shared" si="148"/>
        <v>0</v>
      </c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43"/>
      <c r="AM375" s="143"/>
      <c r="AN375" s="103">
        <f t="shared" si="149"/>
        <v>0</v>
      </c>
      <c r="AO375" s="136"/>
      <c r="AP375" s="136"/>
      <c r="AQ375" s="136"/>
      <c r="AR375" s="105">
        <f t="shared" si="150"/>
        <v>0</v>
      </c>
      <c r="AS375" s="143"/>
      <c r="AT375" s="143"/>
      <c r="AU375" s="143"/>
      <c r="AV375" s="146"/>
      <c r="AW375" s="224">
        <f t="shared" si="151"/>
        <v>0</v>
      </c>
      <c r="AX375" s="274"/>
      <c r="AY375" s="126"/>
      <c r="AZ375" s="126"/>
      <c r="BA375" s="126"/>
      <c r="BB375" s="126"/>
      <c r="BC375" s="126"/>
      <c r="BD375" s="126"/>
      <c r="BE375" s="275"/>
      <c r="BF375" s="126"/>
      <c r="BG375" s="274"/>
      <c r="BH375" s="274"/>
      <c r="BI375" s="222">
        <f t="shared" si="152"/>
        <v>0</v>
      </c>
      <c r="BJ375" s="140">
        <f t="shared" si="153"/>
        <v>0</v>
      </c>
      <c r="BK375" s="132"/>
      <c r="BL375" s="140">
        <f t="shared" si="154"/>
        <v>0</v>
      </c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30">
        <f t="shared" si="155"/>
        <v>0</v>
      </c>
      <c r="CA375" s="132"/>
    </row>
    <row r="376" ht="14.25" customHeight="1">
      <c r="A376" s="132"/>
      <c r="B376" s="215">
        <v>46359</v>
      </c>
      <c r="C376" s="133"/>
      <c r="D376" s="136"/>
      <c r="E376" s="135"/>
      <c r="F376" s="135"/>
      <c r="G376" s="147">
        <f t="shared" si="147"/>
        <v>0</v>
      </c>
      <c r="H376" s="144"/>
      <c r="I376" s="144"/>
      <c r="J376" s="144"/>
      <c r="K376" s="144"/>
      <c r="L376" s="143"/>
      <c r="M376" s="143"/>
      <c r="N376" s="143"/>
      <c r="O376" s="143"/>
      <c r="P376" s="611"/>
      <c r="Q376" s="143"/>
      <c r="R376" s="143"/>
      <c r="S376" s="143"/>
      <c r="T376" s="143"/>
      <c r="U376" s="143"/>
      <c r="V376" s="143"/>
      <c r="W376" s="143"/>
      <c r="X376" s="143"/>
      <c r="Y376" s="143"/>
      <c r="Z376" s="103">
        <f t="shared" si="148"/>
        <v>0</v>
      </c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43"/>
      <c r="AM376" s="143"/>
      <c r="AN376" s="103">
        <f t="shared" si="149"/>
        <v>0</v>
      </c>
      <c r="AO376" s="136"/>
      <c r="AP376" s="136"/>
      <c r="AQ376" s="136"/>
      <c r="AR376" s="105">
        <f t="shared" si="150"/>
        <v>0</v>
      </c>
      <c r="AS376" s="143"/>
      <c r="AT376" s="143"/>
      <c r="AU376" s="143"/>
      <c r="AV376" s="146"/>
      <c r="AW376" s="224">
        <f t="shared" si="151"/>
        <v>0</v>
      </c>
      <c r="AX376" s="274"/>
      <c r="AY376" s="126"/>
      <c r="AZ376" s="126"/>
      <c r="BA376" s="126"/>
      <c r="BB376" s="126"/>
      <c r="BC376" s="126"/>
      <c r="BD376" s="126"/>
      <c r="BE376" s="275"/>
      <c r="BF376" s="126"/>
      <c r="BG376" s="274"/>
      <c r="BH376" s="274"/>
      <c r="BI376" s="222">
        <f t="shared" si="152"/>
        <v>0</v>
      </c>
      <c r="BJ376" s="140">
        <f t="shared" si="153"/>
        <v>0</v>
      </c>
      <c r="BK376" s="132"/>
      <c r="BL376" s="140">
        <f t="shared" si="154"/>
        <v>0</v>
      </c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30">
        <f t="shared" si="155"/>
        <v>0</v>
      </c>
      <c r="CA376" s="132"/>
    </row>
    <row r="377" ht="14.25" customHeight="1">
      <c r="A377" s="132"/>
      <c r="B377" s="215">
        <v>46360</v>
      </c>
      <c r="C377" s="133"/>
      <c r="D377" s="136"/>
      <c r="E377" s="135"/>
      <c r="F377" s="135"/>
      <c r="G377" s="147">
        <f t="shared" si="147"/>
        <v>0</v>
      </c>
      <c r="H377" s="144"/>
      <c r="I377" s="144"/>
      <c r="J377" s="144"/>
      <c r="K377" s="144"/>
      <c r="L377" s="143"/>
      <c r="M377" s="143"/>
      <c r="N377" s="143"/>
      <c r="O377" s="143"/>
      <c r="P377" s="611"/>
      <c r="Q377" s="143"/>
      <c r="R377" s="143"/>
      <c r="S377" s="143"/>
      <c r="T377" s="143"/>
      <c r="U377" s="143"/>
      <c r="V377" s="143"/>
      <c r="W377" s="143"/>
      <c r="X377" s="143"/>
      <c r="Y377" s="143"/>
      <c r="Z377" s="103">
        <f t="shared" si="148"/>
        <v>0</v>
      </c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43"/>
      <c r="AM377" s="143"/>
      <c r="AN377" s="103">
        <f t="shared" si="149"/>
        <v>0</v>
      </c>
      <c r="AO377" s="136"/>
      <c r="AP377" s="136"/>
      <c r="AQ377" s="136"/>
      <c r="AR377" s="105">
        <f t="shared" si="150"/>
        <v>0</v>
      </c>
      <c r="AS377" s="143"/>
      <c r="AT377" s="143"/>
      <c r="AU377" s="143"/>
      <c r="AV377" s="146"/>
      <c r="AW377" s="224">
        <f t="shared" si="151"/>
        <v>0</v>
      </c>
      <c r="AX377" s="274"/>
      <c r="AY377" s="126"/>
      <c r="AZ377" s="126"/>
      <c r="BA377" s="126"/>
      <c r="BB377" s="126"/>
      <c r="BC377" s="126"/>
      <c r="BD377" s="126"/>
      <c r="BE377" s="275"/>
      <c r="BF377" s="126"/>
      <c r="BG377" s="274"/>
      <c r="BH377" s="274"/>
      <c r="BI377" s="222">
        <f t="shared" si="152"/>
        <v>0</v>
      </c>
      <c r="BJ377" s="140">
        <f t="shared" si="153"/>
        <v>0</v>
      </c>
      <c r="BK377" s="132"/>
      <c r="BL377" s="140">
        <f t="shared" si="154"/>
        <v>0</v>
      </c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29"/>
      <c r="BY377" s="129"/>
      <c r="BZ377" s="130">
        <f t="shared" si="155"/>
        <v>0</v>
      </c>
      <c r="CA377" s="132"/>
    </row>
    <row r="378" ht="14.25" customHeight="1">
      <c r="A378" s="132"/>
      <c r="B378" s="215">
        <v>46361</v>
      </c>
      <c r="C378" s="133"/>
      <c r="D378" s="136"/>
      <c r="E378" s="135"/>
      <c r="F378" s="135"/>
      <c r="G378" s="147">
        <f t="shared" si="147"/>
        <v>0</v>
      </c>
      <c r="H378" s="144"/>
      <c r="I378" s="144"/>
      <c r="J378" s="144"/>
      <c r="K378" s="144"/>
      <c r="L378" s="143"/>
      <c r="M378" s="143"/>
      <c r="N378" s="143"/>
      <c r="O378" s="143"/>
      <c r="P378" s="611"/>
      <c r="Q378" s="143"/>
      <c r="R378" s="143"/>
      <c r="S378" s="143"/>
      <c r="T378" s="143"/>
      <c r="U378" s="143"/>
      <c r="V378" s="143"/>
      <c r="W378" s="143"/>
      <c r="X378" s="143"/>
      <c r="Y378" s="143"/>
      <c r="Z378" s="103">
        <f t="shared" si="148"/>
        <v>0</v>
      </c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43"/>
      <c r="AM378" s="143"/>
      <c r="AN378" s="103">
        <f t="shared" si="149"/>
        <v>0</v>
      </c>
      <c r="AO378" s="136"/>
      <c r="AP378" s="136"/>
      <c r="AQ378" s="136"/>
      <c r="AR378" s="105">
        <f t="shared" si="150"/>
        <v>0</v>
      </c>
      <c r="AS378" s="143"/>
      <c r="AT378" s="143"/>
      <c r="AU378" s="143"/>
      <c r="AV378" s="146"/>
      <c r="AW378" s="224">
        <f t="shared" si="151"/>
        <v>0</v>
      </c>
      <c r="AX378" s="274"/>
      <c r="AY378" s="126"/>
      <c r="AZ378" s="126"/>
      <c r="BA378" s="126"/>
      <c r="BB378" s="126"/>
      <c r="BC378" s="126"/>
      <c r="BD378" s="126"/>
      <c r="BE378" s="275"/>
      <c r="BF378" s="126"/>
      <c r="BG378" s="274"/>
      <c r="BH378" s="274"/>
      <c r="BI378" s="222">
        <f t="shared" si="152"/>
        <v>0</v>
      </c>
      <c r="BJ378" s="140">
        <f t="shared" si="153"/>
        <v>0</v>
      </c>
      <c r="BK378" s="132"/>
      <c r="BL378" s="140">
        <f t="shared" si="154"/>
        <v>0</v>
      </c>
      <c r="BM378" s="141"/>
      <c r="BN378" s="141"/>
      <c r="BO378" s="141"/>
      <c r="BP378" s="141"/>
      <c r="BQ378" s="141"/>
      <c r="BR378" s="141"/>
      <c r="BS378" s="141"/>
      <c r="BT378" s="141"/>
      <c r="BU378" s="141"/>
      <c r="BV378" s="141"/>
      <c r="BW378" s="141"/>
      <c r="BX378" s="141"/>
      <c r="BY378" s="141"/>
      <c r="BZ378" s="130">
        <f t="shared" si="155"/>
        <v>0</v>
      </c>
      <c r="CA378" s="132"/>
    </row>
    <row r="379" ht="14.25" customHeight="1">
      <c r="A379" s="132"/>
      <c r="B379" s="215">
        <v>46362</v>
      </c>
      <c r="C379" s="133"/>
      <c r="D379" s="136"/>
      <c r="E379" s="135"/>
      <c r="F379" s="135"/>
      <c r="G379" s="147">
        <f t="shared" si="147"/>
        <v>0</v>
      </c>
      <c r="H379" s="144"/>
      <c r="I379" s="144"/>
      <c r="J379" s="144"/>
      <c r="K379" s="144"/>
      <c r="L379" s="143"/>
      <c r="M379" s="143"/>
      <c r="N379" s="143"/>
      <c r="O379" s="143"/>
      <c r="P379" s="611"/>
      <c r="Q379" s="143"/>
      <c r="R379" s="143"/>
      <c r="S379" s="143"/>
      <c r="T379" s="143"/>
      <c r="U379" s="143"/>
      <c r="V379" s="143"/>
      <c r="W379" s="143"/>
      <c r="X379" s="143"/>
      <c r="Y379" s="143"/>
      <c r="Z379" s="103">
        <f t="shared" si="148"/>
        <v>0</v>
      </c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43"/>
      <c r="AM379" s="143"/>
      <c r="AN379" s="103">
        <f t="shared" si="149"/>
        <v>0</v>
      </c>
      <c r="AO379" s="136"/>
      <c r="AP379" s="136"/>
      <c r="AQ379" s="136"/>
      <c r="AR379" s="105">
        <f t="shared" si="150"/>
        <v>0</v>
      </c>
      <c r="AS379" s="143"/>
      <c r="AT379" s="143"/>
      <c r="AU379" s="143"/>
      <c r="AV379" s="146"/>
      <c r="AW379" s="224">
        <f t="shared" si="151"/>
        <v>0</v>
      </c>
      <c r="AX379" s="274"/>
      <c r="AY379" s="126"/>
      <c r="AZ379" s="126"/>
      <c r="BA379" s="126"/>
      <c r="BB379" s="126"/>
      <c r="BC379" s="126"/>
      <c r="BD379" s="126"/>
      <c r="BE379" s="275"/>
      <c r="BF379" s="126"/>
      <c r="BG379" s="274"/>
      <c r="BH379" s="274"/>
      <c r="BI379" s="222">
        <f t="shared" si="152"/>
        <v>0</v>
      </c>
      <c r="BJ379" s="140">
        <f t="shared" si="153"/>
        <v>0</v>
      </c>
      <c r="BK379" s="132"/>
      <c r="BL379" s="140">
        <f t="shared" si="154"/>
        <v>0</v>
      </c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1"/>
      <c r="BY379" s="141"/>
      <c r="BZ379" s="130">
        <f t="shared" si="155"/>
        <v>0</v>
      </c>
      <c r="CA379" s="132"/>
    </row>
    <row r="380" ht="14.25" customHeight="1">
      <c r="A380" s="132"/>
      <c r="B380" s="215">
        <v>46363</v>
      </c>
      <c r="C380" s="133"/>
      <c r="D380" s="136"/>
      <c r="E380" s="135"/>
      <c r="F380" s="135"/>
      <c r="G380" s="147">
        <f t="shared" si="147"/>
        <v>0</v>
      </c>
      <c r="H380" s="144"/>
      <c r="I380" s="144"/>
      <c r="J380" s="144"/>
      <c r="K380" s="144"/>
      <c r="L380" s="143"/>
      <c r="M380" s="143"/>
      <c r="N380" s="143"/>
      <c r="O380" s="143"/>
      <c r="P380" s="611"/>
      <c r="Q380" s="143"/>
      <c r="R380" s="143"/>
      <c r="S380" s="143"/>
      <c r="T380" s="143"/>
      <c r="U380" s="143"/>
      <c r="V380" s="143"/>
      <c r="W380" s="143"/>
      <c r="X380" s="143"/>
      <c r="Y380" s="143"/>
      <c r="Z380" s="103">
        <f t="shared" si="148"/>
        <v>0</v>
      </c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43"/>
      <c r="AM380" s="143"/>
      <c r="AN380" s="103">
        <f t="shared" si="149"/>
        <v>0</v>
      </c>
      <c r="AO380" s="136"/>
      <c r="AP380" s="136"/>
      <c r="AQ380" s="136"/>
      <c r="AR380" s="105">
        <f t="shared" si="150"/>
        <v>0</v>
      </c>
      <c r="AS380" s="143"/>
      <c r="AT380" s="143"/>
      <c r="AU380" s="143"/>
      <c r="AV380" s="146"/>
      <c r="AW380" s="224">
        <f t="shared" si="151"/>
        <v>0</v>
      </c>
      <c r="AX380" s="274"/>
      <c r="AY380" s="126"/>
      <c r="AZ380" s="126"/>
      <c r="BA380" s="126"/>
      <c r="BB380" s="126"/>
      <c r="BC380" s="126"/>
      <c r="BD380" s="126"/>
      <c r="BE380" s="275"/>
      <c r="BF380" s="126"/>
      <c r="BG380" s="274"/>
      <c r="BH380" s="274"/>
      <c r="BI380" s="222">
        <f t="shared" si="152"/>
        <v>0</v>
      </c>
      <c r="BJ380" s="140">
        <f t="shared" si="153"/>
        <v>0</v>
      </c>
      <c r="BK380" s="132"/>
      <c r="BL380" s="140">
        <f t="shared" si="154"/>
        <v>0</v>
      </c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1"/>
      <c r="BY380" s="141"/>
      <c r="BZ380" s="130">
        <f t="shared" si="155"/>
        <v>0</v>
      </c>
      <c r="CA380" s="132"/>
    </row>
    <row r="381" ht="14.25" customHeight="1">
      <c r="A381" s="132"/>
      <c r="B381" s="215">
        <v>46364</v>
      </c>
      <c r="C381" s="133"/>
      <c r="D381" s="136"/>
      <c r="E381" s="135"/>
      <c r="F381" s="135"/>
      <c r="G381" s="147">
        <f t="shared" si="147"/>
        <v>0</v>
      </c>
      <c r="H381" s="144"/>
      <c r="I381" s="144"/>
      <c r="J381" s="144"/>
      <c r="K381" s="144"/>
      <c r="L381" s="143"/>
      <c r="M381" s="143"/>
      <c r="N381" s="143"/>
      <c r="O381" s="143"/>
      <c r="P381" s="611"/>
      <c r="Q381" s="143"/>
      <c r="R381" s="143"/>
      <c r="S381" s="143"/>
      <c r="T381" s="143"/>
      <c r="U381" s="143"/>
      <c r="V381" s="143"/>
      <c r="W381" s="143"/>
      <c r="X381" s="143"/>
      <c r="Y381" s="143"/>
      <c r="Z381" s="103">
        <f t="shared" si="148"/>
        <v>0</v>
      </c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43"/>
      <c r="AM381" s="143"/>
      <c r="AN381" s="103">
        <f t="shared" si="149"/>
        <v>0</v>
      </c>
      <c r="AO381" s="136"/>
      <c r="AP381" s="136"/>
      <c r="AQ381" s="136"/>
      <c r="AR381" s="105">
        <f t="shared" si="150"/>
        <v>0</v>
      </c>
      <c r="AS381" s="143"/>
      <c r="AT381" s="143"/>
      <c r="AU381" s="143"/>
      <c r="AV381" s="146"/>
      <c r="AW381" s="224">
        <f t="shared" si="151"/>
        <v>0</v>
      </c>
      <c r="AX381" s="274"/>
      <c r="AY381" s="126"/>
      <c r="AZ381" s="126"/>
      <c r="BA381" s="126"/>
      <c r="BB381" s="126"/>
      <c r="BC381" s="126"/>
      <c r="BD381" s="126"/>
      <c r="BE381" s="275"/>
      <c r="BF381" s="126"/>
      <c r="BG381" s="274"/>
      <c r="BH381" s="274"/>
      <c r="BI381" s="222">
        <f t="shared" si="152"/>
        <v>0</v>
      </c>
      <c r="BJ381" s="140">
        <f t="shared" si="153"/>
        <v>0</v>
      </c>
      <c r="BK381" s="132"/>
      <c r="BL381" s="140">
        <f t="shared" si="154"/>
        <v>0</v>
      </c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1"/>
      <c r="BY381" s="141"/>
      <c r="BZ381" s="130">
        <f t="shared" si="155"/>
        <v>0</v>
      </c>
      <c r="CA381" s="132"/>
    </row>
    <row r="382" ht="14.25" customHeight="1">
      <c r="A382" s="132"/>
      <c r="B382" s="215">
        <v>46365</v>
      </c>
      <c r="C382" s="133"/>
      <c r="D382" s="136"/>
      <c r="E382" s="135"/>
      <c r="F382" s="135"/>
      <c r="G382" s="147">
        <f t="shared" si="147"/>
        <v>0</v>
      </c>
      <c r="H382" s="144"/>
      <c r="I382" s="144"/>
      <c r="J382" s="144"/>
      <c r="K382" s="144"/>
      <c r="L382" s="143"/>
      <c r="M382" s="143"/>
      <c r="N382" s="143"/>
      <c r="O382" s="143"/>
      <c r="P382" s="611"/>
      <c r="Q382" s="143"/>
      <c r="R382" s="143"/>
      <c r="S382" s="143"/>
      <c r="T382" s="143"/>
      <c r="U382" s="143"/>
      <c r="V382" s="143"/>
      <c r="W382" s="143"/>
      <c r="X382" s="143"/>
      <c r="Y382" s="143"/>
      <c r="Z382" s="103">
        <f t="shared" si="148"/>
        <v>0</v>
      </c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43"/>
      <c r="AM382" s="143"/>
      <c r="AN382" s="103">
        <f t="shared" si="149"/>
        <v>0</v>
      </c>
      <c r="AO382" s="136"/>
      <c r="AP382" s="136"/>
      <c r="AQ382" s="136"/>
      <c r="AR382" s="105">
        <f t="shared" si="150"/>
        <v>0</v>
      </c>
      <c r="AS382" s="143"/>
      <c r="AT382" s="143"/>
      <c r="AU382" s="143"/>
      <c r="AV382" s="146"/>
      <c r="AW382" s="224">
        <f t="shared" si="151"/>
        <v>0</v>
      </c>
      <c r="AX382" s="274"/>
      <c r="AY382" s="126"/>
      <c r="AZ382" s="126"/>
      <c r="BA382" s="126"/>
      <c r="BB382" s="126"/>
      <c r="BC382" s="126"/>
      <c r="BD382" s="126"/>
      <c r="BE382" s="275"/>
      <c r="BF382" s="126"/>
      <c r="BG382" s="274"/>
      <c r="BH382" s="274"/>
      <c r="BI382" s="222">
        <f t="shared" si="152"/>
        <v>0</v>
      </c>
      <c r="BJ382" s="140">
        <f t="shared" si="153"/>
        <v>0</v>
      </c>
      <c r="BK382" s="132"/>
      <c r="BL382" s="140">
        <f t="shared" si="154"/>
        <v>0</v>
      </c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1"/>
      <c r="BY382" s="141"/>
      <c r="BZ382" s="130">
        <f t="shared" si="155"/>
        <v>0</v>
      </c>
      <c r="CA382" s="132"/>
    </row>
    <row r="383" ht="14.25" customHeight="1">
      <c r="A383" s="132"/>
      <c r="B383" s="215">
        <v>46366</v>
      </c>
      <c r="C383" s="133"/>
      <c r="D383" s="136"/>
      <c r="E383" s="135"/>
      <c r="F383" s="135"/>
      <c r="G383" s="147">
        <f t="shared" si="147"/>
        <v>0</v>
      </c>
      <c r="H383" s="144"/>
      <c r="I383" s="144"/>
      <c r="J383" s="144"/>
      <c r="K383" s="144"/>
      <c r="L383" s="143"/>
      <c r="M383" s="143"/>
      <c r="N383" s="143"/>
      <c r="O383" s="143"/>
      <c r="P383" s="611"/>
      <c r="Q383" s="143"/>
      <c r="R383" s="143"/>
      <c r="S383" s="143"/>
      <c r="T383" s="143"/>
      <c r="U383" s="143"/>
      <c r="V383" s="143"/>
      <c r="W383" s="143"/>
      <c r="X383" s="143"/>
      <c r="Y383" s="143"/>
      <c r="Z383" s="103">
        <f t="shared" si="148"/>
        <v>0</v>
      </c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43"/>
      <c r="AM383" s="143"/>
      <c r="AN383" s="103">
        <f t="shared" si="149"/>
        <v>0</v>
      </c>
      <c r="AO383" s="136"/>
      <c r="AP383" s="136"/>
      <c r="AQ383" s="136"/>
      <c r="AR383" s="105">
        <f t="shared" si="150"/>
        <v>0</v>
      </c>
      <c r="AS383" s="143"/>
      <c r="AT383" s="143"/>
      <c r="AU383" s="143"/>
      <c r="AV383" s="146"/>
      <c r="AW383" s="224">
        <f t="shared" si="151"/>
        <v>0</v>
      </c>
      <c r="AX383" s="274"/>
      <c r="AY383" s="126"/>
      <c r="AZ383" s="126"/>
      <c r="BA383" s="126"/>
      <c r="BB383" s="126"/>
      <c r="BC383" s="126"/>
      <c r="BD383" s="126"/>
      <c r="BE383" s="275"/>
      <c r="BF383" s="126"/>
      <c r="BG383" s="274"/>
      <c r="BH383" s="274"/>
      <c r="BI383" s="222">
        <f t="shared" si="152"/>
        <v>0</v>
      </c>
      <c r="BJ383" s="140">
        <f t="shared" si="153"/>
        <v>0</v>
      </c>
      <c r="BK383" s="132"/>
      <c r="BL383" s="140">
        <f t="shared" si="154"/>
        <v>0</v>
      </c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1"/>
      <c r="BY383" s="141"/>
      <c r="BZ383" s="130">
        <f t="shared" si="155"/>
        <v>0</v>
      </c>
      <c r="CA383" s="132"/>
    </row>
    <row r="384" ht="14.25" customHeight="1">
      <c r="A384" s="132"/>
      <c r="B384" s="215">
        <v>46367</v>
      </c>
      <c r="C384" s="133"/>
      <c r="D384" s="136"/>
      <c r="E384" s="135"/>
      <c r="F384" s="135"/>
      <c r="G384" s="147">
        <f t="shared" si="147"/>
        <v>0</v>
      </c>
      <c r="H384" s="144"/>
      <c r="I384" s="144"/>
      <c r="J384" s="144"/>
      <c r="K384" s="144"/>
      <c r="L384" s="143"/>
      <c r="M384" s="143"/>
      <c r="N384" s="143"/>
      <c r="O384" s="143"/>
      <c r="P384" s="611"/>
      <c r="Q384" s="143"/>
      <c r="R384" s="143"/>
      <c r="S384" s="143"/>
      <c r="T384" s="143"/>
      <c r="U384" s="143"/>
      <c r="V384" s="143"/>
      <c r="W384" s="143"/>
      <c r="X384" s="143"/>
      <c r="Y384" s="143"/>
      <c r="Z384" s="103">
        <f t="shared" si="148"/>
        <v>0</v>
      </c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43"/>
      <c r="AM384" s="143"/>
      <c r="AN384" s="103">
        <f t="shared" si="149"/>
        <v>0</v>
      </c>
      <c r="AO384" s="136"/>
      <c r="AP384" s="136"/>
      <c r="AQ384" s="136"/>
      <c r="AR384" s="105">
        <f t="shared" si="150"/>
        <v>0</v>
      </c>
      <c r="AS384" s="143"/>
      <c r="AT384" s="143"/>
      <c r="AU384" s="143"/>
      <c r="AV384" s="146"/>
      <c r="AW384" s="224">
        <f t="shared" si="151"/>
        <v>0</v>
      </c>
      <c r="AX384" s="274"/>
      <c r="AY384" s="126"/>
      <c r="AZ384" s="126"/>
      <c r="BA384" s="126"/>
      <c r="BB384" s="126"/>
      <c r="BC384" s="126"/>
      <c r="BD384" s="126"/>
      <c r="BE384" s="275"/>
      <c r="BF384" s="126"/>
      <c r="BG384" s="274"/>
      <c r="BH384" s="274"/>
      <c r="BI384" s="222">
        <f t="shared" si="152"/>
        <v>0</v>
      </c>
      <c r="BJ384" s="140">
        <f t="shared" si="153"/>
        <v>0</v>
      </c>
      <c r="BK384" s="132"/>
      <c r="BL384" s="140">
        <f t="shared" si="154"/>
        <v>0</v>
      </c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1"/>
      <c r="BY384" s="141"/>
      <c r="BZ384" s="130">
        <f t="shared" si="155"/>
        <v>0</v>
      </c>
      <c r="CA384" s="132"/>
    </row>
    <row r="385" ht="14.25" customHeight="1">
      <c r="A385" s="132"/>
      <c r="B385" s="215">
        <v>46368</v>
      </c>
      <c r="C385" s="133"/>
      <c r="D385" s="136"/>
      <c r="E385" s="135"/>
      <c r="F385" s="135"/>
      <c r="G385" s="147">
        <f t="shared" si="147"/>
        <v>0</v>
      </c>
      <c r="H385" s="144"/>
      <c r="I385" s="144"/>
      <c r="J385" s="144"/>
      <c r="K385" s="144"/>
      <c r="L385" s="143"/>
      <c r="M385" s="143"/>
      <c r="N385" s="143"/>
      <c r="O385" s="143"/>
      <c r="P385" s="611"/>
      <c r="Q385" s="143"/>
      <c r="R385" s="143"/>
      <c r="S385" s="143"/>
      <c r="T385" s="143"/>
      <c r="U385" s="143"/>
      <c r="V385" s="143"/>
      <c r="W385" s="143"/>
      <c r="X385" s="143"/>
      <c r="Y385" s="143"/>
      <c r="Z385" s="103">
        <f t="shared" si="148"/>
        <v>0</v>
      </c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43"/>
      <c r="AM385" s="143"/>
      <c r="AN385" s="103">
        <f t="shared" si="149"/>
        <v>0</v>
      </c>
      <c r="AO385" s="136"/>
      <c r="AP385" s="136"/>
      <c r="AQ385" s="136"/>
      <c r="AR385" s="105">
        <f t="shared" si="150"/>
        <v>0</v>
      </c>
      <c r="AS385" s="143"/>
      <c r="AT385" s="143"/>
      <c r="AU385" s="143"/>
      <c r="AV385" s="146"/>
      <c r="AW385" s="224">
        <f t="shared" si="151"/>
        <v>0</v>
      </c>
      <c r="AX385" s="274"/>
      <c r="AY385" s="126"/>
      <c r="AZ385" s="126"/>
      <c r="BA385" s="126"/>
      <c r="BB385" s="126"/>
      <c r="BC385" s="126"/>
      <c r="BD385" s="126"/>
      <c r="BE385" s="275"/>
      <c r="BF385" s="126"/>
      <c r="BG385" s="274"/>
      <c r="BH385" s="274"/>
      <c r="BI385" s="222">
        <f t="shared" si="152"/>
        <v>0</v>
      </c>
      <c r="BJ385" s="140">
        <f t="shared" si="153"/>
        <v>0</v>
      </c>
      <c r="BK385" s="132"/>
      <c r="BL385" s="140">
        <f t="shared" si="154"/>
        <v>0</v>
      </c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1"/>
      <c r="BY385" s="141"/>
      <c r="BZ385" s="130">
        <f t="shared" si="155"/>
        <v>0</v>
      </c>
      <c r="CA385" s="132"/>
    </row>
    <row r="386" ht="14.25" customHeight="1">
      <c r="A386" s="132"/>
      <c r="B386" s="215">
        <v>46369</v>
      </c>
      <c r="C386" s="133"/>
      <c r="D386" s="136"/>
      <c r="E386" s="135"/>
      <c r="F386" s="135"/>
      <c r="G386" s="147">
        <f t="shared" si="147"/>
        <v>0</v>
      </c>
      <c r="H386" s="144"/>
      <c r="I386" s="144"/>
      <c r="J386" s="144"/>
      <c r="K386" s="144"/>
      <c r="L386" s="143"/>
      <c r="M386" s="143"/>
      <c r="N386" s="143"/>
      <c r="O386" s="143"/>
      <c r="P386" s="611"/>
      <c r="Q386" s="143"/>
      <c r="R386" s="143"/>
      <c r="S386" s="143"/>
      <c r="T386" s="143"/>
      <c r="U386" s="143"/>
      <c r="V386" s="143"/>
      <c r="W386" s="143"/>
      <c r="X386" s="143"/>
      <c r="Y386" s="143"/>
      <c r="Z386" s="103">
        <f t="shared" si="148"/>
        <v>0</v>
      </c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43"/>
      <c r="AM386" s="143"/>
      <c r="AN386" s="103">
        <f t="shared" si="149"/>
        <v>0</v>
      </c>
      <c r="AO386" s="136"/>
      <c r="AP386" s="136"/>
      <c r="AQ386" s="136"/>
      <c r="AR386" s="105">
        <f t="shared" si="150"/>
        <v>0</v>
      </c>
      <c r="AS386" s="143"/>
      <c r="AT386" s="143"/>
      <c r="AU386" s="143"/>
      <c r="AV386" s="146"/>
      <c r="AW386" s="224">
        <f t="shared" si="151"/>
        <v>0</v>
      </c>
      <c r="AX386" s="274"/>
      <c r="AY386" s="126"/>
      <c r="AZ386" s="126"/>
      <c r="BA386" s="126"/>
      <c r="BB386" s="126"/>
      <c r="BC386" s="126"/>
      <c r="BD386" s="126"/>
      <c r="BE386" s="275"/>
      <c r="BF386" s="126"/>
      <c r="BG386" s="274"/>
      <c r="BH386" s="274"/>
      <c r="BI386" s="222">
        <f t="shared" si="152"/>
        <v>0</v>
      </c>
      <c r="BJ386" s="140">
        <f t="shared" si="153"/>
        <v>0</v>
      </c>
      <c r="BK386" s="132"/>
      <c r="BL386" s="140">
        <f t="shared" si="154"/>
        <v>0</v>
      </c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1"/>
      <c r="BY386" s="141"/>
      <c r="BZ386" s="130">
        <f t="shared" si="155"/>
        <v>0</v>
      </c>
      <c r="CA386" s="132"/>
    </row>
    <row r="387" ht="14.25" customHeight="1">
      <c r="A387" s="132"/>
      <c r="B387" s="215">
        <v>46370</v>
      </c>
      <c r="C387" s="133"/>
      <c r="D387" s="136"/>
      <c r="E387" s="135"/>
      <c r="F387" s="135"/>
      <c r="G387" s="147">
        <f t="shared" si="147"/>
        <v>0</v>
      </c>
      <c r="H387" s="457"/>
      <c r="I387" s="457"/>
      <c r="J387" s="457"/>
      <c r="K387" s="457"/>
      <c r="L387" s="143"/>
      <c r="M387" s="143"/>
      <c r="N387" s="143"/>
      <c r="O387" s="143"/>
      <c r="P387" s="611"/>
      <c r="Q387" s="143"/>
      <c r="R387" s="143"/>
      <c r="S387" s="143"/>
      <c r="T387" s="143"/>
      <c r="U387" s="143"/>
      <c r="V387" s="143"/>
      <c r="W387" s="143"/>
      <c r="X387" s="143"/>
      <c r="Y387" s="143"/>
      <c r="Z387" s="103">
        <f t="shared" si="148"/>
        <v>0</v>
      </c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43"/>
      <c r="AM387" s="143"/>
      <c r="AN387" s="103">
        <f t="shared" si="149"/>
        <v>0</v>
      </c>
      <c r="AO387" s="136"/>
      <c r="AP387" s="136"/>
      <c r="AQ387" s="136"/>
      <c r="AR387" s="105">
        <f t="shared" si="150"/>
        <v>0</v>
      </c>
      <c r="AS387" s="143"/>
      <c r="AT387" s="143"/>
      <c r="AU387" s="143"/>
      <c r="AV387" s="146"/>
      <c r="AW387" s="224">
        <f t="shared" si="151"/>
        <v>0</v>
      </c>
      <c r="AX387" s="274"/>
      <c r="AY387" s="126"/>
      <c r="AZ387" s="126"/>
      <c r="BA387" s="126"/>
      <c r="BB387" s="126"/>
      <c r="BC387" s="126"/>
      <c r="BD387" s="126"/>
      <c r="BE387" s="275"/>
      <c r="BF387" s="126"/>
      <c r="BG387" s="274"/>
      <c r="BH387" s="274"/>
      <c r="BI387" s="222">
        <f t="shared" si="152"/>
        <v>0</v>
      </c>
      <c r="BJ387" s="140">
        <f t="shared" si="153"/>
        <v>0</v>
      </c>
      <c r="BK387" s="132"/>
      <c r="BL387" s="140">
        <f t="shared" si="154"/>
        <v>0</v>
      </c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1"/>
      <c r="BY387" s="141"/>
      <c r="BZ387" s="130">
        <f t="shared" si="155"/>
        <v>0</v>
      </c>
      <c r="CA387" s="132"/>
    </row>
    <row r="388" ht="14.25" customHeight="1">
      <c r="A388" s="132"/>
      <c r="B388" s="215">
        <v>46371</v>
      </c>
      <c r="C388" s="133"/>
      <c r="D388" s="136"/>
      <c r="E388" s="135"/>
      <c r="F388" s="135"/>
      <c r="G388" s="147">
        <f t="shared" si="147"/>
        <v>0</v>
      </c>
      <c r="H388" s="144"/>
      <c r="I388" s="144"/>
      <c r="J388" s="144"/>
      <c r="K388" s="144"/>
      <c r="L388" s="143"/>
      <c r="M388" s="143"/>
      <c r="N388" s="143"/>
      <c r="O388" s="143"/>
      <c r="P388" s="611"/>
      <c r="Q388" s="143"/>
      <c r="R388" s="143"/>
      <c r="S388" s="143"/>
      <c r="T388" s="143"/>
      <c r="U388" s="143"/>
      <c r="V388" s="143"/>
      <c r="W388" s="143"/>
      <c r="X388" s="143"/>
      <c r="Y388" s="143"/>
      <c r="Z388" s="103">
        <f t="shared" si="148"/>
        <v>0</v>
      </c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43"/>
      <c r="AM388" s="143"/>
      <c r="AN388" s="103">
        <f t="shared" si="149"/>
        <v>0</v>
      </c>
      <c r="AO388" s="136"/>
      <c r="AP388" s="136"/>
      <c r="AQ388" s="136"/>
      <c r="AR388" s="105">
        <f t="shared" si="150"/>
        <v>0</v>
      </c>
      <c r="AS388" s="143"/>
      <c r="AT388" s="143"/>
      <c r="AU388" s="143"/>
      <c r="AV388" s="146"/>
      <c r="AW388" s="224">
        <f t="shared" si="151"/>
        <v>0</v>
      </c>
      <c r="AX388" s="274"/>
      <c r="AY388" s="126"/>
      <c r="AZ388" s="126"/>
      <c r="BA388" s="126"/>
      <c r="BB388" s="126"/>
      <c r="BC388" s="126"/>
      <c r="BD388" s="126"/>
      <c r="BE388" s="275"/>
      <c r="BF388" s="126"/>
      <c r="BG388" s="274"/>
      <c r="BH388" s="274"/>
      <c r="BI388" s="222">
        <f t="shared" si="152"/>
        <v>0</v>
      </c>
      <c r="BJ388" s="140">
        <f t="shared" si="153"/>
        <v>0</v>
      </c>
      <c r="BK388" s="132"/>
      <c r="BL388" s="140">
        <f t="shared" si="154"/>
        <v>0</v>
      </c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1"/>
      <c r="BY388" s="141"/>
      <c r="BZ388" s="130">
        <f t="shared" si="155"/>
        <v>0</v>
      </c>
      <c r="CA388" s="132"/>
    </row>
    <row r="389" ht="14.25" customHeight="1">
      <c r="A389" s="132"/>
      <c r="B389" s="215">
        <v>46372</v>
      </c>
      <c r="C389" s="133"/>
      <c r="D389" s="136"/>
      <c r="E389" s="135"/>
      <c r="F389" s="135"/>
      <c r="G389" s="147">
        <f t="shared" si="147"/>
        <v>0</v>
      </c>
      <c r="H389" s="144"/>
      <c r="I389" s="144"/>
      <c r="J389" s="144"/>
      <c r="K389" s="144"/>
      <c r="L389" s="143"/>
      <c r="M389" s="143"/>
      <c r="N389" s="143"/>
      <c r="O389" s="143"/>
      <c r="P389" s="611"/>
      <c r="Q389" s="143"/>
      <c r="R389" s="143"/>
      <c r="S389" s="143"/>
      <c r="T389" s="143"/>
      <c r="U389" s="143"/>
      <c r="V389" s="143"/>
      <c r="W389" s="143"/>
      <c r="X389" s="143"/>
      <c r="Y389" s="143"/>
      <c r="Z389" s="103">
        <f t="shared" si="148"/>
        <v>0</v>
      </c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43"/>
      <c r="AM389" s="143"/>
      <c r="AN389" s="103">
        <f t="shared" si="149"/>
        <v>0</v>
      </c>
      <c r="AO389" s="136"/>
      <c r="AP389" s="136"/>
      <c r="AQ389" s="136"/>
      <c r="AR389" s="105">
        <f t="shared" si="150"/>
        <v>0</v>
      </c>
      <c r="AS389" s="143"/>
      <c r="AT389" s="143"/>
      <c r="AU389" s="143"/>
      <c r="AV389" s="146"/>
      <c r="AW389" s="224">
        <f t="shared" si="151"/>
        <v>0</v>
      </c>
      <c r="AX389" s="274"/>
      <c r="AY389" s="126"/>
      <c r="AZ389" s="126"/>
      <c r="BA389" s="126"/>
      <c r="BB389" s="126"/>
      <c r="BC389" s="126"/>
      <c r="BD389" s="126"/>
      <c r="BE389" s="275"/>
      <c r="BF389" s="126"/>
      <c r="BG389" s="274"/>
      <c r="BH389" s="274"/>
      <c r="BI389" s="222">
        <f t="shared" si="152"/>
        <v>0</v>
      </c>
      <c r="BJ389" s="140">
        <f t="shared" si="153"/>
        <v>0</v>
      </c>
      <c r="BK389" s="132"/>
      <c r="BL389" s="140">
        <f t="shared" si="154"/>
        <v>0</v>
      </c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1"/>
      <c r="BY389" s="141"/>
      <c r="BZ389" s="130">
        <f t="shared" si="155"/>
        <v>0</v>
      </c>
      <c r="CA389" s="132"/>
    </row>
    <row r="390" ht="14.25" customHeight="1">
      <c r="A390" s="132"/>
      <c r="B390" s="215">
        <v>46373</v>
      </c>
      <c r="C390" s="133"/>
      <c r="D390" s="136"/>
      <c r="E390" s="135"/>
      <c r="F390" s="135"/>
      <c r="G390" s="147">
        <f t="shared" si="147"/>
        <v>0</v>
      </c>
      <c r="H390" s="144"/>
      <c r="I390" s="144"/>
      <c r="J390" s="144"/>
      <c r="K390" s="144"/>
      <c r="L390" s="143"/>
      <c r="M390" s="143"/>
      <c r="N390" s="143"/>
      <c r="O390" s="143"/>
      <c r="P390" s="611"/>
      <c r="Q390" s="143"/>
      <c r="R390" s="143"/>
      <c r="S390" s="143"/>
      <c r="T390" s="143"/>
      <c r="U390" s="143"/>
      <c r="V390" s="143"/>
      <c r="W390" s="143"/>
      <c r="X390" s="143"/>
      <c r="Y390" s="143"/>
      <c r="Z390" s="103">
        <f t="shared" si="148"/>
        <v>0</v>
      </c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43"/>
      <c r="AM390" s="143"/>
      <c r="AN390" s="103">
        <f t="shared" si="149"/>
        <v>0</v>
      </c>
      <c r="AO390" s="136"/>
      <c r="AP390" s="136"/>
      <c r="AQ390" s="136"/>
      <c r="AR390" s="105">
        <f t="shared" si="150"/>
        <v>0</v>
      </c>
      <c r="AS390" s="143"/>
      <c r="AT390" s="143"/>
      <c r="AU390" s="143"/>
      <c r="AV390" s="146"/>
      <c r="AW390" s="224">
        <f t="shared" si="151"/>
        <v>0</v>
      </c>
      <c r="AX390" s="274"/>
      <c r="AY390" s="126"/>
      <c r="AZ390" s="126"/>
      <c r="BA390" s="126"/>
      <c r="BB390" s="126"/>
      <c r="BC390" s="126"/>
      <c r="BD390" s="126"/>
      <c r="BE390" s="275"/>
      <c r="BF390" s="126"/>
      <c r="BG390" s="274"/>
      <c r="BH390" s="274"/>
      <c r="BI390" s="222">
        <f t="shared" si="152"/>
        <v>0</v>
      </c>
      <c r="BJ390" s="140">
        <f t="shared" si="153"/>
        <v>0</v>
      </c>
      <c r="BK390" s="132"/>
      <c r="BL390" s="140">
        <f t="shared" si="154"/>
        <v>0</v>
      </c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1"/>
      <c r="BY390" s="141"/>
      <c r="BZ390" s="130">
        <f t="shared" si="155"/>
        <v>0</v>
      </c>
      <c r="CA390" s="132"/>
    </row>
    <row r="391" ht="14.25" customHeight="1">
      <c r="A391" s="132"/>
      <c r="B391" s="215">
        <v>46374</v>
      </c>
      <c r="C391" s="133"/>
      <c r="D391" s="136"/>
      <c r="E391" s="135"/>
      <c r="F391" s="135"/>
      <c r="G391" s="147">
        <f t="shared" si="147"/>
        <v>0</v>
      </c>
      <c r="H391" s="144"/>
      <c r="I391" s="144"/>
      <c r="J391" s="144"/>
      <c r="K391" s="144"/>
      <c r="L391" s="143"/>
      <c r="M391" s="143"/>
      <c r="N391" s="143"/>
      <c r="O391" s="143"/>
      <c r="P391" s="611"/>
      <c r="Q391" s="143"/>
      <c r="R391" s="143"/>
      <c r="S391" s="143"/>
      <c r="T391" s="143"/>
      <c r="U391" s="143"/>
      <c r="V391" s="143"/>
      <c r="W391" s="143"/>
      <c r="X391" s="143"/>
      <c r="Y391" s="143"/>
      <c r="Z391" s="103">
        <f t="shared" si="148"/>
        <v>0</v>
      </c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43"/>
      <c r="AM391" s="143"/>
      <c r="AN391" s="103">
        <f t="shared" si="149"/>
        <v>0</v>
      </c>
      <c r="AO391" s="136"/>
      <c r="AP391" s="136"/>
      <c r="AQ391" s="136"/>
      <c r="AR391" s="105">
        <f t="shared" si="150"/>
        <v>0</v>
      </c>
      <c r="AS391" s="143"/>
      <c r="AT391" s="143"/>
      <c r="AU391" s="143"/>
      <c r="AV391" s="146"/>
      <c r="AW391" s="224">
        <f t="shared" si="151"/>
        <v>0</v>
      </c>
      <c r="AX391" s="274"/>
      <c r="AY391" s="126"/>
      <c r="AZ391" s="126"/>
      <c r="BA391" s="126"/>
      <c r="BB391" s="126"/>
      <c r="BC391" s="126"/>
      <c r="BD391" s="126"/>
      <c r="BE391" s="275"/>
      <c r="BF391" s="126"/>
      <c r="BG391" s="274"/>
      <c r="BH391" s="274"/>
      <c r="BI391" s="222">
        <f t="shared" si="152"/>
        <v>0</v>
      </c>
      <c r="BJ391" s="140">
        <f t="shared" si="153"/>
        <v>0</v>
      </c>
      <c r="BK391" s="132"/>
      <c r="BL391" s="140">
        <f t="shared" si="154"/>
        <v>0</v>
      </c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1"/>
      <c r="BY391" s="141"/>
      <c r="BZ391" s="130">
        <f t="shared" si="155"/>
        <v>0</v>
      </c>
      <c r="CA391" s="132"/>
    </row>
    <row r="392" ht="14.25" customHeight="1">
      <c r="A392" s="132"/>
      <c r="B392" s="215">
        <v>46375</v>
      </c>
      <c r="C392" s="133"/>
      <c r="D392" s="136"/>
      <c r="E392" s="135"/>
      <c r="F392" s="135"/>
      <c r="G392" s="147">
        <f t="shared" si="147"/>
        <v>0</v>
      </c>
      <c r="H392" s="144"/>
      <c r="I392" s="144"/>
      <c r="J392" s="144"/>
      <c r="K392" s="144"/>
      <c r="L392" s="143"/>
      <c r="M392" s="143"/>
      <c r="N392" s="143"/>
      <c r="O392" s="143"/>
      <c r="P392" s="611"/>
      <c r="Q392" s="143"/>
      <c r="R392" s="143"/>
      <c r="S392" s="143"/>
      <c r="T392" s="143"/>
      <c r="U392" s="143"/>
      <c r="V392" s="143"/>
      <c r="W392" s="143"/>
      <c r="X392" s="143"/>
      <c r="Y392" s="143"/>
      <c r="Z392" s="103">
        <f t="shared" si="148"/>
        <v>0</v>
      </c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43"/>
      <c r="AM392" s="143"/>
      <c r="AN392" s="103">
        <f t="shared" si="149"/>
        <v>0</v>
      </c>
      <c r="AO392" s="136"/>
      <c r="AP392" s="136"/>
      <c r="AQ392" s="136"/>
      <c r="AR392" s="105">
        <f t="shared" si="150"/>
        <v>0</v>
      </c>
      <c r="AS392" s="143"/>
      <c r="AT392" s="143"/>
      <c r="AU392" s="143"/>
      <c r="AV392" s="146"/>
      <c r="AW392" s="224">
        <f t="shared" si="151"/>
        <v>0</v>
      </c>
      <c r="AX392" s="274"/>
      <c r="AY392" s="126"/>
      <c r="AZ392" s="126"/>
      <c r="BA392" s="126"/>
      <c r="BB392" s="126"/>
      <c r="BC392" s="126"/>
      <c r="BD392" s="126"/>
      <c r="BE392" s="275"/>
      <c r="BF392" s="126"/>
      <c r="BG392" s="274"/>
      <c r="BH392" s="274"/>
      <c r="BI392" s="222">
        <f t="shared" si="152"/>
        <v>0</v>
      </c>
      <c r="BJ392" s="140">
        <f t="shared" si="153"/>
        <v>0</v>
      </c>
      <c r="BK392" s="132"/>
      <c r="BL392" s="140">
        <f t="shared" si="154"/>
        <v>0</v>
      </c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1"/>
      <c r="BY392" s="141"/>
      <c r="BZ392" s="130">
        <f t="shared" si="155"/>
        <v>0</v>
      </c>
      <c r="CA392" s="132"/>
    </row>
    <row r="393" ht="14.25" customHeight="1">
      <c r="A393" s="132"/>
      <c r="B393" s="215">
        <v>46376</v>
      </c>
      <c r="C393" s="133"/>
      <c r="D393" s="136"/>
      <c r="E393" s="135"/>
      <c r="F393" s="135"/>
      <c r="G393" s="147">
        <f t="shared" si="147"/>
        <v>0</v>
      </c>
      <c r="H393" s="144"/>
      <c r="I393" s="144"/>
      <c r="J393" s="144"/>
      <c r="K393" s="144"/>
      <c r="L393" s="143"/>
      <c r="M393" s="143"/>
      <c r="N393" s="143"/>
      <c r="O393" s="143"/>
      <c r="P393" s="611"/>
      <c r="Q393" s="143"/>
      <c r="R393" s="143"/>
      <c r="S393" s="143"/>
      <c r="T393" s="143"/>
      <c r="U393" s="143"/>
      <c r="V393" s="143"/>
      <c r="W393" s="143"/>
      <c r="X393" s="143"/>
      <c r="Y393" s="143"/>
      <c r="Z393" s="103">
        <f t="shared" si="148"/>
        <v>0</v>
      </c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43"/>
      <c r="AM393" s="143"/>
      <c r="AN393" s="103">
        <f t="shared" si="149"/>
        <v>0</v>
      </c>
      <c r="AO393" s="136"/>
      <c r="AP393" s="136"/>
      <c r="AQ393" s="136"/>
      <c r="AR393" s="105">
        <f t="shared" si="150"/>
        <v>0</v>
      </c>
      <c r="AS393" s="143"/>
      <c r="AT393" s="143"/>
      <c r="AU393" s="143"/>
      <c r="AV393" s="146"/>
      <c r="AW393" s="224">
        <f t="shared" si="151"/>
        <v>0</v>
      </c>
      <c r="AX393" s="274"/>
      <c r="AY393" s="126"/>
      <c r="AZ393" s="126"/>
      <c r="BA393" s="126"/>
      <c r="BB393" s="126"/>
      <c r="BC393" s="126"/>
      <c r="BD393" s="126"/>
      <c r="BE393" s="275"/>
      <c r="BF393" s="126"/>
      <c r="BG393" s="274"/>
      <c r="BH393" s="274"/>
      <c r="BI393" s="222">
        <f t="shared" si="152"/>
        <v>0</v>
      </c>
      <c r="BJ393" s="140">
        <f t="shared" si="153"/>
        <v>0</v>
      </c>
      <c r="BK393" s="132"/>
      <c r="BL393" s="140">
        <f t="shared" si="154"/>
        <v>0</v>
      </c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1"/>
      <c r="BY393" s="141"/>
      <c r="BZ393" s="130">
        <f t="shared" si="155"/>
        <v>0</v>
      </c>
      <c r="CA393" s="132"/>
    </row>
    <row r="394" ht="14.25" customHeight="1">
      <c r="A394" s="132"/>
      <c r="B394" s="215">
        <v>46377</v>
      </c>
      <c r="C394" s="133"/>
      <c r="D394" s="136"/>
      <c r="E394" s="135"/>
      <c r="F394" s="135"/>
      <c r="G394" s="147">
        <f t="shared" si="147"/>
        <v>0</v>
      </c>
      <c r="H394" s="144"/>
      <c r="I394" s="144"/>
      <c r="J394" s="144"/>
      <c r="K394" s="144"/>
      <c r="L394" s="143"/>
      <c r="M394" s="143"/>
      <c r="N394" s="143"/>
      <c r="O394" s="143"/>
      <c r="P394" s="611"/>
      <c r="Q394" s="143"/>
      <c r="R394" s="143"/>
      <c r="S394" s="143"/>
      <c r="T394" s="143"/>
      <c r="U394" s="143"/>
      <c r="V394" s="143"/>
      <c r="W394" s="143"/>
      <c r="X394" s="143"/>
      <c r="Y394" s="143"/>
      <c r="Z394" s="103">
        <f t="shared" si="148"/>
        <v>0</v>
      </c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43"/>
      <c r="AM394" s="143"/>
      <c r="AN394" s="103">
        <f t="shared" si="149"/>
        <v>0</v>
      </c>
      <c r="AO394" s="136"/>
      <c r="AP394" s="136"/>
      <c r="AQ394" s="136"/>
      <c r="AR394" s="105">
        <f t="shared" si="150"/>
        <v>0</v>
      </c>
      <c r="AS394" s="143"/>
      <c r="AT394" s="143"/>
      <c r="AU394" s="143"/>
      <c r="AV394" s="146"/>
      <c r="AW394" s="224">
        <f t="shared" si="151"/>
        <v>0</v>
      </c>
      <c r="AX394" s="274"/>
      <c r="AY394" s="126"/>
      <c r="AZ394" s="126"/>
      <c r="BA394" s="126"/>
      <c r="BB394" s="126"/>
      <c r="BC394" s="126"/>
      <c r="BD394" s="126"/>
      <c r="BE394" s="275"/>
      <c r="BF394" s="126"/>
      <c r="BG394" s="274"/>
      <c r="BH394" s="274"/>
      <c r="BI394" s="222">
        <f t="shared" si="152"/>
        <v>0</v>
      </c>
      <c r="BJ394" s="140">
        <f t="shared" si="153"/>
        <v>0</v>
      </c>
      <c r="BK394" s="132"/>
      <c r="BL394" s="140">
        <f t="shared" si="154"/>
        <v>0</v>
      </c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1"/>
      <c r="BY394" s="141"/>
      <c r="BZ394" s="130">
        <f t="shared" si="155"/>
        <v>0</v>
      </c>
      <c r="CA394" s="132"/>
    </row>
    <row r="395" ht="14.25" customHeight="1">
      <c r="A395" s="132"/>
      <c r="B395" s="215">
        <v>46378</v>
      </c>
      <c r="C395" s="133"/>
      <c r="D395" s="136"/>
      <c r="E395" s="135"/>
      <c r="F395" s="135"/>
      <c r="G395" s="147">
        <f t="shared" si="147"/>
        <v>0</v>
      </c>
      <c r="H395" s="144"/>
      <c r="I395" s="144"/>
      <c r="J395" s="144"/>
      <c r="K395" s="144"/>
      <c r="L395" s="143"/>
      <c r="M395" s="143"/>
      <c r="N395" s="143"/>
      <c r="O395" s="143"/>
      <c r="P395" s="611"/>
      <c r="Q395" s="143"/>
      <c r="R395" s="143"/>
      <c r="S395" s="143"/>
      <c r="T395" s="143"/>
      <c r="U395" s="143"/>
      <c r="V395" s="143"/>
      <c r="W395" s="143"/>
      <c r="X395" s="143"/>
      <c r="Y395" s="143"/>
      <c r="Z395" s="103">
        <f t="shared" si="148"/>
        <v>0</v>
      </c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43"/>
      <c r="AM395" s="143"/>
      <c r="AN395" s="103">
        <f t="shared" si="149"/>
        <v>0</v>
      </c>
      <c r="AO395" s="136"/>
      <c r="AP395" s="136"/>
      <c r="AQ395" s="136"/>
      <c r="AR395" s="105">
        <f t="shared" si="150"/>
        <v>0</v>
      </c>
      <c r="AS395" s="143"/>
      <c r="AT395" s="143"/>
      <c r="AU395" s="143"/>
      <c r="AV395" s="146"/>
      <c r="AW395" s="224">
        <f t="shared" si="151"/>
        <v>0</v>
      </c>
      <c r="AX395" s="274"/>
      <c r="AY395" s="126"/>
      <c r="AZ395" s="126"/>
      <c r="BA395" s="126"/>
      <c r="BB395" s="126"/>
      <c r="BC395" s="126"/>
      <c r="BD395" s="126"/>
      <c r="BE395" s="275"/>
      <c r="BF395" s="126"/>
      <c r="BG395" s="274"/>
      <c r="BH395" s="274"/>
      <c r="BI395" s="222">
        <f t="shared" si="152"/>
        <v>0</v>
      </c>
      <c r="BJ395" s="140">
        <f t="shared" si="153"/>
        <v>0</v>
      </c>
      <c r="BK395" s="132"/>
      <c r="BL395" s="140">
        <f t="shared" si="154"/>
        <v>0</v>
      </c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1"/>
      <c r="BY395" s="141"/>
      <c r="BZ395" s="130">
        <f t="shared" si="155"/>
        <v>0</v>
      </c>
      <c r="CA395" s="132"/>
    </row>
    <row r="396" ht="14.25" customHeight="1">
      <c r="A396" s="132"/>
      <c r="B396" s="215">
        <v>46379</v>
      </c>
      <c r="C396" s="133"/>
      <c r="D396" s="136"/>
      <c r="E396" s="135"/>
      <c r="F396" s="135"/>
      <c r="G396" s="147">
        <f t="shared" si="147"/>
        <v>0</v>
      </c>
      <c r="H396" s="144"/>
      <c r="I396" s="144"/>
      <c r="J396" s="144"/>
      <c r="K396" s="144"/>
      <c r="L396" s="143"/>
      <c r="M396" s="143"/>
      <c r="N396" s="143"/>
      <c r="O396" s="143"/>
      <c r="P396" s="611"/>
      <c r="Q396" s="143"/>
      <c r="R396" s="143"/>
      <c r="S396" s="143"/>
      <c r="T396" s="143"/>
      <c r="U396" s="143"/>
      <c r="V396" s="143"/>
      <c r="W396" s="143"/>
      <c r="X396" s="143"/>
      <c r="Y396" s="143"/>
      <c r="Z396" s="103">
        <f t="shared" si="148"/>
        <v>0</v>
      </c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43"/>
      <c r="AM396" s="143"/>
      <c r="AN396" s="103">
        <f t="shared" si="149"/>
        <v>0</v>
      </c>
      <c r="AO396" s="136"/>
      <c r="AP396" s="136"/>
      <c r="AQ396" s="136"/>
      <c r="AR396" s="105">
        <f t="shared" si="150"/>
        <v>0</v>
      </c>
      <c r="AS396" s="143"/>
      <c r="AT396" s="143"/>
      <c r="AU396" s="143"/>
      <c r="AV396" s="146"/>
      <c r="AW396" s="224">
        <f t="shared" si="151"/>
        <v>0</v>
      </c>
      <c r="AX396" s="274"/>
      <c r="AY396" s="126"/>
      <c r="AZ396" s="126"/>
      <c r="BA396" s="126"/>
      <c r="BB396" s="126"/>
      <c r="BC396" s="126"/>
      <c r="BD396" s="126"/>
      <c r="BE396" s="275"/>
      <c r="BF396" s="126"/>
      <c r="BG396" s="274"/>
      <c r="BH396" s="274"/>
      <c r="BI396" s="222">
        <f t="shared" si="152"/>
        <v>0</v>
      </c>
      <c r="BJ396" s="140">
        <f t="shared" si="153"/>
        <v>0</v>
      </c>
      <c r="BK396" s="132"/>
      <c r="BL396" s="140">
        <f t="shared" si="154"/>
        <v>0</v>
      </c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1"/>
      <c r="BY396" s="141"/>
      <c r="BZ396" s="130">
        <f t="shared" si="155"/>
        <v>0</v>
      </c>
      <c r="CA396" s="132"/>
    </row>
    <row r="397" ht="14.25" customHeight="1">
      <c r="A397" s="132"/>
      <c r="B397" s="215">
        <v>46380</v>
      </c>
      <c r="C397" s="133"/>
      <c r="D397" s="136"/>
      <c r="E397" s="135"/>
      <c r="F397" s="135"/>
      <c r="G397" s="147">
        <f t="shared" si="147"/>
        <v>0</v>
      </c>
      <c r="H397" s="144"/>
      <c r="I397" s="144"/>
      <c r="J397" s="144"/>
      <c r="K397" s="144"/>
      <c r="L397" s="143"/>
      <c r="M397" s="143"/>
      <c r="N397" s="143"/>
      <c r="O397" s="143"/>
      <c r="P397" s="611"/>
      <c r="Q397" s="143"/>
      <c r="R397" s="143"/>
      <c r="S397" s="143"/>
      <c r="T397" s="143"/>
      <c r="U397" s="143"/>
      <c r="V397" s="143"/>
      <c r="W397" s="143"/>
      <c r="X397" s="143"/>
      <c r="Y397" s="143"/>
      <c r="Z397" s="103">
        <f t="shared" si="148"/>
        <v>0</v>
      </c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43"/>
      <c r="AM397" s="143"/>
      <c r="AN397" s="103">
        <f t="shared" si="149"/>
        <v>0</v>
      </c>
      <c r="AO397" s="136"/>
      <c r="AP397" s="136"/>
      <c r="AQ397" s="136"/>
      <c r="AR397" s="105">
        <f t="shared" si="150"/>
        <v>0</v>
      </c>
      <c r="AS397" s="143"/>
      <c r="AT397" s="143"/>
      <c r="AU397" s="143"/>
      <c r="AV397" s="146"/>
      <c r="AW397" s="224">
        <f t="shared" si="151"/>
        <v>0</v>
      </c>
      <c r="AX397" s="274"/>
      <c r="AY397" s="126"/>
      <c r="AZ397" s="126"/>
      <c r="BA397" s="126"/>
      <c r="BB397" s="126"/>
      <c r="BC397" s="126"/>
      <c r="BD397" s="126"/>
      <c r="BE397" s="275"/>
      <c r="BF397" s="126"/>
      <c r="BG397" s="274"/>
      <c r="BH397" s="274"/>
      <c r="BI397" s="222">
        <f t="shared" si="152"/>
        <v>0</v>
      </c>
      <c r="BJ397" s="140">
        <f t="shared" si="153"/>
        <v>0</v>
      </c>
      <c r="BK397" s="132"/>
      <c r="BL397" s="140">
        <f t="shared" si="154"/>
        <v>0</v>
      </c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1"/>
      <c r="BY397" s="141"/>
      <c r="BZ397" s="130">
        <f t="shared" si="155"/>
        <v>0</v>
      </c>
      <c r="CA397" s="132"/>
    </row>
    <row r="398" ht="14.25" customHeight="1">
      <c r="A398" s="132"/>
      <c r="B398" s="215">
        <v>46381</v>
      </c>
      <c r="C398" s="133"/>
      <c r="D398" s="136"/>
      <c r="E398" s="135"/>
      <c r="F398" s="135"/>
      <c r="G398" s="147">
        <f t="shared" si="147"/>
        <v>0</v>
      </c>
      <c r="H398" s="144"/>
      <c r="I398" s="144"/>
      <c r="J398" s="144"/>
      <c r="K398" s="144"/>
      <c r="L398" s="143"/>
      <c r="M398" s="143"/>
      <c r="N398" s="143"/>
      <c r="O398" s="143"/>
      <c r="P398" s="611"/>
      <c r="Q398" s="143"/>
      <c r="R398" s="143"/>
      <c r="S398" s="143"/>
      <c r="T398" s="143"/>
      <c r="U398" s="143"/>
      <c r="V398" s="143"/>
      <c r="W398" s="143"/>
      <c r="X398" s="143"/>
      <c r="Y398" s="143"/>
      <c r="Z398" s="103">
        <f t="shared" si="148"/>
        <v>0</v>
      </c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43"/>
      <c r="AM398" s="143"/>
      <c r="AN398" s="103">
        <f t="shared" si="149"/>
        <v>0</v>
      </c>
      <c r="AO398" s="136"/>
      <c r="AP398" s="136"/>
      <c r="AQ398" s="136"/>
      <c r="AR398" s="105">
        <f t="shared" si="150"/>
        <v>0</v>
      </c>
      <c r="AS398" s="143"/>
      <c r="AT398" s="143"/>
      <c r="AU398" s="143"/>
      <c r="AV398" s="146"/>
      <c r="AW398" s="224">
        <f t="shared" si="151"/>
        <v>0</v>
      </c>
      <c r="AX398" s="274"/>
      <c r="AY398" s="126"/>
      <c r="AZ398" s="126"/>
      <c r="BA398" s="126"/>
      <c r="BB398" s="126"/>
      <c r="BC398" s="126"/>
      <c r="BD398" s="126"/>
      <c r="BE398" s="275"/>
      <c r="BF398" s="126"/>
      <c r="BG398" s="274"/>
      <c r="BH398" s="274"/>
      <c r="BI398" s="222">
        <f t="shared" si="152"/>
        <v>0</v>
      </c>
      <c r="BJ398" s="140">
        <f t="shared" si="153"/>
        <v>0</v>
      </c>
      <c r="BK398" s="132"/>
      <c r="BL398" s="140">
        <f t="shared" si="154"/>
        <v>0</v>
      </c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1"/>
      <c r="BY398" s="141"/>
      <c r="BZ398" s="130">
        <f t="shared" si="155"/>
        <v>0</v>
      </c>
      <c r="CA398" s="132"/>
    </row>
    <row r="399" ht="14.25" customHeight="1">
      <c r="A399" s="132"/>
      <c r="B399" s="215">
        <v>46382</v>
      </c>
      <c r="C399" s="133"/>
      <c r="D399" s="136"/>
      <c r="E399" s="135"/>
      <c r="F399" s="135"/>
      <c r="G399" s="147">
        <f t="shared" si="147"/>
        <v>0</v>
      </c>
      <c r="H399" s="144"/>
      <c r="I399" s="144"/>
      <c r="J399" s="144"/>
      <c r="K399" s="144"/>
      <c r="L399" s="143"/>
      <c r="M399" s="143"/>
      <c r="N399" s="143"/>
      <c r="O399" s="143"/>
      <c r="P399" s="611"/>
      <c r="Q399" s="143"/>
      <c r="R399" s="143"/>
      <c r="S399" s="143"/>
      <c r="T399" s="143"/>
      <c r="U399" s="143"/>
      <c r="V399" s="143"/>
      <c r="W399" s="143"/>
      <c r="X399" s="143"/>
      <c r="Y399" s="143"/>
      <c r="Z399" s="103">
        <f t="shared" si="148"/>
        <v>0</v>
      </c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43"/>
      <c r="AM399" s="143"/>
      <c r="AN399" s="103">
        <f t="shared" si="149"/>
        <v>0</v>
      </c>
      <c r="AO399" s="136"/>
      <c r="AP399" s="136"/>
      <c r="AQ399" s="136"/>
      <c r="AR399" s="105">
        <f t="shared" si="150"/>
        <v>0</v>
      </c>
      <c r="AS399" s="143"/>
      <c r="AT399" s="143"/>
      <c r="AU399" s="143"/>
      <c r="AV399" s="146"/>
      <c r="AW399" s="224">
        <f t="shared" si="151"/>
        <v>0</v>
      </c>
      <c r="AX399" s="274"/>
      <c r="AY399" s="126"/>
      <c r="AZ399" s="126"/>
      <c r="BA399" s="126"/>
      <c r="BB399" s="126"/>
      <c r="BC399" s="126"/>
      <c r="BD399" s="126"/>
      <c r="BE399" s="275"/>
      <c r="BF399" s="126"/>
      <c r="BG399" s="274"/>
      <c r="BH399" s="274"/>
      <c r="BI399" s="222">
        <f t="shared" si="152"/>
        <v>0</v>
      </c>
      <c r="BJ399" s="140">
        <f t="shared" si="153"/>
        <v>0</v>
      </c>
      <c r="BK399" s="132"/>
      <c r="BL399" s="140">
        <f t="shared" si="154"/>
        <v>0</v>
      </c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1"/>
      <c r="BY399" s="141"/>
      <c r="BZ399" s="130">
        <f t="shared" si="155"/>
        <v>0</v>
      </c>
      <c r="CA399" s="132"/>
    </row>
    <row r="400" ht="14.25" customHeight="1">
      <c r="A400" s="132"/>
      <c r="B400" s="215">
        <v>46383</v>
      </c>
      <c r="C400" s="133"/>
      <c r="D400" s="136"/>
      <c r="E400" s="135"/>
      <c r="F400" s="135"/>
      <c r="G400" s="147">
        <f t="shared" si="147"/>
        <v>0</v>
      </c>
      <c r="H400" s="144"/>
      <c r="I400" s="144"/>
      <c r="J400" s="144"/>
      <c r="K400" s="144"/>
      <c r="L400" s="143"/>
      <c r="M400" s="143"/>
      <c r="N400" s="143"/>
      <c r="O400" s="143"/>
      <c r="P400" s="611"/>
      <c r="Q400" s="143"/>
      <c r="R400" s="143"/>
      <c r="S400" s="143"/>
      <c r="T400" s="143"/>
      <c r="U400" s="143"/>
      <c r="V400" s="143"/>
      <c r="W400" s="143"/>
      <c r="X400" s="143"/>
      <c r="Y400" s="143"/>
      <c r="Z400" s="103">
        <f t="shared" si="148"/>
        <v>0</v>
      </c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43"/>
      <c r="AM400" s="143"/>
      <c r="AN400" s="103">
        <f t="shared" si="149"/>
        <v>0</v>
      </c>
      <c r="AO400" s="136"/>
      <c r="AP400" s="136"/>
      <c r="AQ400" s="136"/>
      <c r="AR400" s="105">
        <f t="shared" si="150"/>
        <v>0</v>
      </c>
      <c r="AS400" s="143"/>
      <c r="AT400" s="143"/>
      <c r="AU400" s="143"/>
      <c r="AV400" s="146"/>
      <c r="AW400" s="224">
        <f t="shared" si="151"/>
        <v>0</v>
      </c>
      <c r="AX400" s="274"/>
      <c r="AY400" s="126"/>
      <c r="AZ400" s="126"/>
      <c r="BA400" s="126"/>
      <c r="BB400" s="126"/>
      <c r="BC400" s="126"/>
      <c r="BD400" s="126"/>
      <c r="BE400" s="275"/>
      <c r="BF400" s="126"/>
      <c r="BG400" s="274"/>
      <c r="BH400" s="274"/>
      <c r="BI400" s="222">
        <f t="shared" si="152"/>
        <v>0</v>
      </c>
      <c r="BJ400" s="140">
        <f t="shared" si="153"/>
        <v>0</v>
      </c>
      <c r="BK400" s="132"/>
      <c r="BL400" s="140">
        <f t="shared" si="154"/>
        <v>0</v>
      </c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1"/>
      <c r="BY400" s="141"/>
      <c r="BZ400" s="130">
        <f t="shared" si="155"/>
        <v>0</v>
      </c>
      <c r="CA400" s="132"/>
    </row>
    <row r="401" ht="14.25" customHeight="1">
      <c r="A401" s="132"/>
      <c r="B401" s="215">
        <v>46384</v>
      </c>
      <c r="C401" s="133"/>
      <c r="D401" s="136"/>
      <c r="E401" s="135"/>
      <c r="F401" s="135"/>
      <c r="G401" s="147">
        <f t="shared" si="147"/>
        <v>0</v>
      </c>
      <c r="H401" s="144"/>
      <c r="I401" s="144"/>
      <c r="J401" s="144"/>
      <c r="K401" s="144"/>
      <c r="L401" s="143"/>
      <c r="M401" s="143"/>
      <c r="N401" s="143"/>
      <c r="O401" s="143"/>
      <c r="P401" s="611"/>
      <c r="Q401" s="143"/>
      <c r="R401" s="143"/>
      <c r="S401" s="143"/>
      <c r="T401" s="143"/>
      <c r="U401" s="143"/>
      <c r="V401" s="143"/>
      <c r="W401" s="143"/>
      <c r="X401" s="143"/>
      <c r="Y401" s="143"/>
      <c r="Z401" s="103">
        <f t="shared" si="148"/>
        <v>0</v>
      </c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43"/>
      <c r="AM401" s="143"/>
      <c r="AN401" s="103">
        <f t="shared" si="149"/>
        <v>0</v>
      </c>
      <c r="AO401" s="136"/>
      <c r="AP401" s="136"/>
      <c r="AQ401" s="136"/>
      <c r="AR401" s="105">
        <f t="shared" si="150"/>
        <v>0</v>
      </c>
      <c r="AS401" s="143"/>
      <c r="AT401" s="143"/>
      <c r="AU401" s="143"/>
      <c r="AV401" s="146"/>
      <c r="AW401" s="224">
        <f t="shared" si="151"/>
        <v>0</v>
      </c>
      <c r="AX401" s="274"/>
      <c r="AY401" s="126"/>
      <c r="AZ401" s="126"/>
      <c r="BA401" s="126"/>
      <c r="BB401" s="126"/>
      <c r="BC401" s="126"/>
      <c r="BD401" s="126"/>
      <c r="BE401" s="275"/>
      <c r="BF401" s="126"/>
      <c r="BG401" s="274"/>
      <c r="BH401" s="274"/>
      <c r="BI401" s="222">
        <f t="shared" si="152"/>
        <v>0</v>
      </c>
      <c r="BJ401" s="140">
        <f t="shared" si="153"/>
        <v>0</v>
      </c>
      <c r="BK401" s="132"/>
      <c r="BL401" s="140">
        <f t="shared" si="154"/>
        <v>0</v>
      </c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1"/>
      <c r="BY401" s="141"/>
      <c r="BZ401" s="130">
        <f t="shared" si="155"/>
        <v>0</v>
      </c>
      <c r="CA401" s="132"/>
    </row>
    <row r="402" ht="14.25" customHeight="1">
      <c r="A402" s="132"/>
      <c r="B402" s="215">
        <v>46385</v>
      </c>
      <c r="C402" s="133"/>
      <c r="D402" s="136"/>
      <c r="E402" s="135"/>
      <c r="F402" s="135"/>
      <c r="G402" s="147">
        <f t="shared" si="147"/>
        <v>0</v>
      </c>
      <c r="H402" s="144"/>
      <c r="I402" s="144"/>
      <c r="J402" s="144"/>
      <c r="K402" s="144"/>
      <c r="L402" s="143"/>
      <c r="M402" s="143"/>
      <c r="N402" s="143"/>
      <c r="O402" s="143"/>
      <c r="P402" s="611"/>
      <c r="Q402" s="143"/>
      <c r="R402" s="143"/>
      <c r="S402" s="143"/>
      <c r="T402" s="143"/>
      <c r="U402" s="143"/>
      <c r="V402" s="143"/>
      <c r="W402" s="143"/>
      <c r="X402" s="143"/>
      <c r="Y402" s="143"/>
      <c r="Z402" s="103">
        <f t="shared" si="148"/>
        <v>0</v>
      </c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43"/>
      <c r="AM402" s="143"/>
      <c r="AN402" s="103">
        <f t="shared" si="149"/>
        <v>0</v>
      </c>
      <c r="AO402" s="136"/>
      <c r="AP402" s="136"/>
      <c r="AQ402" s="136"/>
      <c r="AR402" s="105">
        <f t="shared" si="150"/>
        <v>0</v>
      </c>
      <c r="AS402" s="143"/>
      <c r="AT402" s="143"/>
      <c r="AU402" s="143"/>
      <c r="AV402" s="146"/>
      <c r="AW402" s="224">
        <f t="shared" si="151"/>
        <v>0</v>
      </c>
      <c r="AX402" s="274"/>
      <c r="AY402" s="126"/>
      <c r="AZ402" s="126"/>
      <c r="BA402" s="126"/>
      <c r="BB402" s="126"/>
      <c r="BC402" s="126"/>
      <c r="BD402" s="126"/>
      <c r="BE402" s="275"/>
      <c r="BF402" s="126"/>
      <c r="BG402" s="274"/>
      <c r="BH402" s="274"/>
      <c r="BI402" s="222">
        <f t="shared" si="152"/>
        <v>0</v>
      </c>
      <c r="BJ402" s="140">
        <f t="shared" si="153"/>
        <v>0</v>
      </c>
      <c r="BK402" s="132"/>
      <c r="BL402" s="140">
        <f t="shared" si="154"/>
        <v>0</v>
      </c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1"/>
      <c r="BY402" s="141"/>
      <c r="BZ402" s="130">
        <f t="shared" si="155"/>
        <v>0</v>
      </c>
      <c r="CA402" s="132"/>
    </row>
    <row r="403" ht="14.25" customHeight="1">
      <c r="A403" s="132"/>
      <c r="B403" s="215">
        <v>46386</v>
      </c>
      <c r="C403" s="136"/>
      <c r="D403" s="136"/>
      <c r="E403" s="135"/>
      <c r="F403" s="135"/>
      <c r="G403" s="147">
        <f t="shared" si="147"/>
        <v>0</v>
      </c>
      <c r="H403" s="144"/>
      <c r="I403" s="144"/>
      <c r="J403" s="144"/>
      <c r="K403" s="144"/>
      <c r="L403" s="143"/>
      <c r="M403" s="143"/>
      <c r="N403" s="143"/>
      <c r="O403" s="143"/>
      <c r="P403" s="611"/>
      <c r="Q403" s="143"/>
      <c r="R403" s="143"/>
      <c r="S403" s="143"/>
      <c r="T403" s="143"/>
      <c r="U403" s="143"/>
      <c r="V403" s="143"/>
      <c r="W403" s="143"/>
      <c r="X403" s="143"/>
      <c r="Y403" s="143"/>
      <c r="Z403" s="103">
        <f t="shared" si="148"/>
        <v>0</v>
      </c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43"/>
      <c r="AM403" s="143"/>
      <c r="AN403" s="103">
        <f t="shared" si="149"/>
        <v>0</v>
      </c>
      <c r="AO403" s="136"/>
      <c r="AP403" s="136"/>
      <c r="AQ403" s="136"/>
      <c r="AR403" s="105">
        <f t="shared" si="150"/>
        <v>0</v>
      </c>
      <c r="AS403" s="143"/>
      <c r="AT403" s="143"/>
      <c r="AU403" s="143"/>
      <c r="AV403" s="146"/>
      <c r="AW403" s="224">
        <f t="shared" si="151"/>
        <v>0</v>
      </c>
      <c r="AX403" s="274"/>
      <c r="AY403" s="126"/>
      <c r="AZ403" s="126"/>
      <c r="BA403" s="126"/>
      <c r="BB403" s="126"/>
      <c r="BC403" s="126"/>
      <c r="BD403" s="126"/>
      <c r="BE403" s="275"/>
      <c r="BF403" s="126"/>
      <c r="BG403" s="274"/>
      <c r="BH403" s="274"/>
      <c r="BI403" s="222">
        <f t="shared" si="152"/>
        <v>0</v>
      </c>
      <c r="BJ403" s="140">
        <f t="shared" si="153"/>
        <v>0</v>
      </c>
      <c r="BK403" s="132"/>
      <c r="BL403" s="140">
        <f t="shared" si="154"/>
        <v>0</v>
      </c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41"/>
      <c r="BY403" s="141"/>
      <c r="BZ403" s="130">
        <f t="shared" si="155"/>
        <v>0</v>
      </c>
      <c r="CA403" s="132"/>
    </row>
    <row r="404" ht="14.25" customHeight="1">
      <c r="A404" s="132"/>
      <c r="B404" s="215">
        <v>46387</v>
      </c>
      <c r="C404" s="159"/>
      <c r="D404" s="159"/>
      <c r="E404" s="156"/>
      <c r="F404" s="156"/>
      <c r="G404" s="147">
        <f t="shared" si="147"/>
        <v>0</v>
      </c>
      <c r="H404" s="612"/>
      <c r="I404" s="612"/>
      <c r="J404" s="612"/>
      <c r="K404" s="612"/>
      <c r="L404" s="157"/>
      <c r="M404" s="157"/>
      <c r="N404" s="157"/>
      <c r="O404" s="157"/>
      <c r="P404" s="613"/>
      <c r="Q404" s="157"/>
      <c r="R404" s="157"/>
      <c r="S404" s="157"/>
      <c r="T404" s="157"/>
      <c r="U404" s="157"/>
      <c r="V404" s="157"/>
      <c r="W404" s="143"/>
      <c r="X404" s="143"/>
      <c r="Y404" s="143"/>
      <c r="Z404" s="623">
        <f t="shared" si="148"/>
        <v>0</v>
      </c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57"/>
      <c r="AK404" s="157"/>
      <c r="AL404" s="157"/>
      <c r="AM404" s="157"/>
      <c r="AN404" s="623">
        <f t="shared" si="149"/>
        <v>0</v>
      </c>
      <c r="AO404" s="159"/>
      <c r="AP404" s="159"/>
      <c r="AQ404" s="159"/>
      <c r="AR404" s="105">
        <f t="shared" si="150"/>
        <v>0</v>
      </c>
      <c r="AS404" s="157"/>
      <c r="AT404" s="157"/>
      <c r="AU404" s="157"/>
      <c r="AV404" s="160"/>
      <c r="AW404" s="224">
        <f t="shared" si="151"/>
        <v>0</v>
      </c>
      <c r="AX404" s="296"/>
      <c r="AY404" s="138"/>
      <c r="AZ404" s="138"/>
      <c r="BA404" s="138"/>
      <c r="BB404" s="138"/>
      <c r="BC404" s="138"/>
      <c r="BD404" s="138"/>
      <c r="BE404" s="297"/>
      <c r="BF404" s="138"/>
      <c r="BG404" s="296"/>
      <c r="BH404" s="296"/>
      <c r="BI404" s="222">
        <f t="shared" si="152"/>
        <v>0</v>
      </c>
      <c r="BJ404" s="162">
        <f t="shared" si="153"/>
        <v>0</v>
      </c>
      <c r="BK404" s="132"/>
      <c r="BL404" s="162">
        <f t="shared" si="154"/>
        <v>0</v>
      </c>
      <c r="BM404" s="163"/>
      <c r="BN404" s="163"/>
      <c r="BO404" s="163"/>
      <c r="BP404" s="163"/>
      <c r="BQ404" s="163"/>
      <c r="BR404" s="163"/>
      <c r="BS404" s="163"/>
      <c r="BT404" s="163"/>
      <c r="BU404" s="163"/>
      <c r="BV404" s="141"/>
      <c r="BW404" s="163"/>
      <c r="BX404" s="163"/>
      <c r="BY404" s="163"/>
      <c r="BZ404" s="164">
        <f t="shared" si="155"/>
        <v>0</v>
      </c>
      <c r="CA404" s="132"/>
    </row>
    <row r="405" ht="14.25" customHeight="1">
      <c r="A405" s="3"/>
      <c r="B405" s="2" t="s">
        <v>4</v>
      </c>
      <c r="C405" s="166">
        <f ref="C405:V405" t="shared" si="156">SUM(C374:C404)</f>
        <v>0</v>
      </c>
      <c r="D405" s="166">
        <f t="shared" si="156"/>
        <v>0</v>
      </c>
      <c r="E405" s="166">
        <f t="shared" si="156"/>
        <v>0</v>
      </c>
      <c r="F405" s="166">
        <f t="shared" si="156"/>
        <v>0</v>
      </c>
      <c r="G405" s="166">
        <f t="shared" si="156"/>
        <v>0</v>
      </c>
      <c r="H405" s="166">
        <f t="shared" si="156"/>
        <v>0</v>
      </c>
      <c r="I405" s="166">
        <f t="shared" si="156"/>
        <v>0</v>
      </c>
      <c r="J405" s="166">
        <f t="shared" si="156"/>
        <v>0</v>
      </c>
      <c r="K405" s="166">
        <f t="shared" si="156"/>
        <v>0</v>
      </c>
      <c r="L405" s="166">
        <f t="shared" si="156"/>
        <v>0</v>
      </c>
      <c r="M405" s="166">
        <f t="shared" si="156"/>
        <v>0</v>
      </c>
      <c r="N405" s="166">
        <f t="shared" si="156"/>
        <v>0</v>
      </c>
      <c r="O405" s="166">
        <f t="shared" si="156"/>
        <v>0</v>
      </c>
      <c r="P405" s="617">
        <f t="shared" si="156"/>
        <v>0</v>
      </c>
      <c r="Q405" s="166">
        <f t="shared" si="156"/>
        <v>0</v>
      </c>
      <c r="R405" s="166">
        <f t="shared" si="156"/>
        <v>0</v>
      </c>
      <c r="S405" s="166">
        <f t="shared" si="156"/>
        <v>0</v>
      </c>
      <c r="T405" s="166">
        <f t="shared" si="156"/>
        <v>0</v>
      </c>
      <c r="U405" s="166">
        <f t="shared" si="156"/>
        <v>0</v>
      </c>
      <c r="V405" s="166">
        <f t="shared" si="156"/>
        <v>0</v>
      </c>
      <c r="W405" s="166"/>
      <c r="X405" s="166">
        <f ref="X405:AK405" t="shared" si="157">SUM(X374:X404)</f>
        <v>0</v>
      </c>
      <c r="Y405" s="166">
        <f t="shared" si="157"/>
        <v>0</v>
      </c>
      <c r="Z405" s="166">
        <f t="shared" si="157"/>
        <v>0</v>
      </c>
      <c r="AA405" s="166">
        <f t="shared" si="157"/>
        <v>0</v>
      </c>
      <c r="AB405" s="166">
        <f t="shared" si="157"/>
        <v>0</v>
      </c>
      <c r="AC405" s="166">
        <f t="shared" si="157"/>
        <v>0</v>
      </c>
      <c r="AD405" s="166">
        <f t="shared" si="157"/>
        <v>0</v>
      </c>
      <c r="AE405" s="166">
        <f t="shared" si="157"/>
        <v>0</v>
      </c>
      <c r="AF405" s="166">
        <f t="shared" si="157"/>
        <v>0</v>
      </c>
      <c r="AG405" s="166">
        <f t="shared" si="157"/>
        <v>0</v>
      </c>
      <c r="AH405" s="166">
        <f t="shared" si="157"/>
        <v>0</v>
      </c>
      <c r="AI405" s="166">
        <f t="shared" si="157"/>
        <v>0</v>
      </c>
      <c r="AJ405" s="166">
        <f t="shared" si="157"/>
        <v>0</v>
      </c>
      <c r="AK405" s="166">
        <f t="shared" si="157"/>
        <v>0</v>
      </c>
      <c r="AL405" s="166"/>
      <c r="AM405" s="166">
        <f ref="AM405:BJ405" t="shared" si="158">SUM(AM374:AM404)</f>
        <v>0</v>
      </c>
      <c r="AN405" s="166">
        <f t="shared" si="158"/>
        <v>0</v>
      </c>
      <c r="AO405" s="166">
        <f t="shared" si="158"/>
        <v>0</v>
      </c>
      <c r="AP405" s="166">
        <f t="shared" si="158"/>
        <v>0</v>
      </c>
      <c r="AQ405" s="166">
        <f t="shared" si="158"/>
        <v>0</v>
      </c>
      <c r="AR405" s="166">
        <f t="shared" si="158"/>
        <v>0</v>
      </c>
      <c r="AS405" s="166">
        <f t="shared" si="158"/>
        <v>0</v>
      </c>
      <c r="AT405" s="166">
        <f t="shared" si="158"/>
        <v>0</v>
      </c>
      <c r="AU405" s="166">
        <f t="shared" si="158"/>
        <v>0</v>
      </c>
      <c r="AV405" s="166">
        <f t="shared" si="158"/>
        <v>0</v>
      </c>
      <c r="AW405" s="166">
        <f t="shared" si="158"/>
        <v>0</v>
      </c>
      <c r="AX405" s="165">
        <f t="shared" si="158"/>
        <v>0</v>
      </c>
      <c r="AY405" s="165">
        <f t="shared" si="158"/>
        <v>0</v>
      </c>
      <c r="AZ405" s="165">
        <f t="shared" si="158"/>
        <v>0</v>
      </c>
      <c r="BA405" s="165">
        <f t="shared" si="158"/>
        <v>0</v>
      </c>
      <c r="BB405" s="165">
        <f t="shared" si="158"/>
        <v>0</v>
      </c>
      <c r="BC405" s="165">
        <f t="shared" si="158"/>
        <v>0</v>
      </c>
      <c r="BD405" s="165">
        <f t="shared" si="158"/>
        <v>0</v>
      </c>
      <c r="BE405" s="165">
        <f t="shared" si="158"/>
        <v>0</v>
      </c>
      <c r="BF405" s="165">
        <f t="shared" si="158"/>
        <v>0</v>
      </c>
      <c r="BG405" s="166">
        <f t="shared" si="158"/>
        <v>0</v>
      </c>
      <c r="BH405" s="166">
        <f t="shared" si="158"/>
        <v>0</v>
      </c>
      <c r="BI405" s="166">
        <f t="shared" si="158"/>
        <v>0</v>
      </c>
      <c r="BJ405" s="166">
        <f t="shared" si="158"/>
        <v>0</v>
      </c>
      <c r="BK405" s="132"/>
      <c r="BL405" s="166">
        <f ref="BL405:BZ405" t="shared" si="159">SUM(BL374:BL404)</f>
        <v>0</v>
      </c>
      <c r="BM405" s="166">
        <f t="shared" si="159"/>
        <v>0</v>
      </c>
      <c r="BN405" s="166">
        <f t="shared" si="159"/>
        <v>0</v>
      </c>
      <c r="BO405" s="166">
        <f t="shared" si="159"/>
        <v>0</v>
      </c>
      <c r="BP405" s="166">
        <f t="shared" si="159"/>
        <v>0</v>
      </c>
      <c r="BQ405" s="166">
        <f t="shared" si="159"/>
        <v>0</v>
      </c>
      <c r="BR405" s="166">
        <f t="shared" si="159"/>
        <v>0</v>
      </c>
      <c r="BS405" s="166">
        <f t="shared" si="159"/>
        <v>0</v>
      </c>
      <c r="BT405" s="166">
        <f t="shared" si="159"/>
        <v>0</v>
      </c>
      <c r="BU405" s="166">
        <f t="shared" si="159"/>
        <v>0</v>
      </c>
      <c r="BV405" s="166">
        <f t="shared" si="159"/>
        <v>0</v>
      </c>
      <c r="BW405" s="166">
        <f t="shared" si="159"/>
        <v>0</v>
      </c>
      <c r="BX405" s="166">
        <f t="shared" si="159"/>
        <v>0</v>
      </c>
      <c r="BY405" s="166">
        <f t="shared" si="159"/>
        <v>0</v>
      </c>
      <c r="BZ405" s="166">
        <f t="shared" si="159"/>
        <v>0</v>
      </c>
      <c r="CA405" s="132"/>
    </row>
  </sheetData>
  <mergeCells>
    <mergeCell ref="BX4:BX5"/>
  </mergeCells>
  <pageMargins left="0.7" right="0.7" top="0.75" bottom="0.75" header="0" footer="0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5623"/>
  </sheetPr>
  <dimension ref="A1:BV41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B7"/>
    </sheetView>
  </sheetViews>
  <sheetFormatPr baseColWidth="10" defaultColWidth="14.42578125" defaultRowHeight="15" customHeight="1" x14ac:dyDescent="0.25"/>
  <cols>
    <col min="1" max="1" width="2.85546875" customWidth="1"/>
    <col min="2" max="2" width="16" customWidth="1"/>
    <col min="3" max="4" width="13.42578125" customWidth="1"/>
    <col min="5" max="5" hidden="1" width="12.42578125" customWidth="1"/>
    <col min="6" max="6" hidden="1" width="13.85546875" customWidth="1"/>
    <col min="7" max="7" width="13.42578125" customWidth="1"/>
    <col min="9" max="9" width="15.140625" customWidth="1"/>
    <col min="10" max="10" width="11.42578125" customWidth="1"/>
    <col min="11" max="11" width="13.85546875" customWidth="1"/>
    <col min="12" max="12" width="19.140625" customWidth="1"/>
    <col min="15" max="15" width="23.42578125" customWidth="1"/>
    <col min="16" max="16" width="23.7109375" customWidth="1"/>
    <col min="17" max="17" width="18.42578125" customWidth="1"/>
    <col min="18" max="18" width="17.28515625" customWidth="1"/>
    <col min="19" max="19" width="13" customWidth="1"/>
    <col min="20" max="20" width="17.7109375" customWidth="1"/>
    <col min="21" max="21" width="15.140625" customWidth="1"/>
    <col min="22" max="22" hidden="1" width="27.140625" customWidth="1"/>
    <col min="23" max="23" width="15.85546875" customWidth="1"/>
    <col min="24" max="24" hidden="1" width="20.42578125" customWidth="1"/>
    <col min="25" max="25" hidden="1" width="15.42578125" customWidth="1"/>
    <col min="26" max="26" width="21.42578125" customWidth="1"/>
    <col min="27" max="27" hidden="1" width="14" customWidth="1"/>
    <col min="28" max="31" hidden="1" width="13" customWidth="1"/>
    <col min="32" max="32" hidden="1" width="8.140625" customWidth="1"/>
    <col min="33" max="34" width="25.28515625" customWidth="1"/>
    <col min="35" max="37" width="13" customWidth="1"/>
    <col min="38" max="38" hidden="1" width="13" customWidth="1"/>
    <col min="39" max="41" width="13" customWidth="1"/>
    <col min="42" max="42" hidden="1" width="13" customWidth="1"/>
    <col min="43" max="44" width="13" customWidth="1"/>
    <col min="45" max="46" width="14.5703125" customWidth="1"/>
    <col min="47" max="47" hidden="1" width="13" customWidth="1"/>
    <col min="48" max="48" hidden="1" width="12.85546875" customWidth="1"/>
    <col min="49" max="49" hidden="1" width="9.42578125" customWidth="1"/>
    <col min="50" max="50" hidden="1" width="12.28515625" customWidth="1"/>
    <col min="51" max="51" width="11.85546875" customWidth="1"/>
    <col min="52" max="53" hidden="1" width="11.85546875" customWidth="1"/>
    <col min="54" max="54" hidden="1" width="13.42578125" customWidth="1"/>
    <col min="55" max="55" width="11.85546875" customWidth="1"/>
    <col min="56" max="56" width="13" customWidth="1"/>
    <col min="57" max="57" width="16.42578125" customWidth="1"/>
    <col min="58" max="58" width="4" customWidth="1"/>
    <col min="59" max="59" width="11.42578125" customWidth="1"/>
    <col min="60" max="62" width="12.7109375" customWidth="1"/>
    <col min="63" max="65" hidden="1" width="12.7109375" customWidth="1"/>
    <col min="66" max="66" hidden="1" width="15" customWidth="1"/>
    <col min="67" max="67" hidden="1" width="14.42578125" customWidth="1"/>
    <col min="69" max="69" width="12.7109375" customWidth="1"/>
    <col min="70" max="70" width="14.5703125" customWidth="1"/>
    <col min="71" max="71" width="12.7109375" customWidth="1"/>
    <col min="72" max="72" hidden="1" width="12.7109375" customWidth="1"/>
    <col min="73" max="73" width="11.42578125" customWidth="1"/>
    <col min="74" max="74" width="3" customWidth="1"/>
  </cols>
  <sheetData>
    <row r="1" ht="7.5" customHeight="1">
      <c r="A1" s="1"/>
      <c r="B1" s="2"/>
      <c r="C1" s="3"/>
      <c r="D1" s="3"/>
      <c r="E1" s="3"/>
      <c r="F1" s="3"/>
      <c r="G1" s="4"/>
      <c r="H1" s="4"/>
      <c r="I1" s="1"/>
      <c r="J1" s="3"/>
      <c r="K1" s="3"/>
      <c r="L1" s="3"/>
      <c r="M1" s="3"/>
      <c r="N1" s="3"/>
      <c r="O1" s="3"/>
      <c r="P1" s="3"/>
      <c r="Q1" s="3"/>
      <c r="R1" s="1"/>
      <c r="S1" s="1"/>
      <c r="T1" s="3"/>
      <c r="U1" s="3"/>
      <c r="V1" s="3"/>
      <c r="W1" s="3"/>
      <c r="X1" s="3"/>
      <c r="Y1" s="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3"/>
      <c r="AO1" s="3"/>
      <c r="AP1" s="3"/>
      <c r="AQ1" s="3"/>
      <c r="AR1" s="4"/>
      <c r="AS1" s="380"/>
      <c r="AT1" s="132"/>
      <c r="AU1" s="132"/>
      <c r="AV1" s="3"/>
      <c r="AW1" s="3"/>
      <c r="AX1" s="3"/>
      <c r="AY1" s="132"/>
      <c r="AZ1" s="132"/>
      <c r="BA1" s="132"/>
      <c r="BB1" s="132"/>
      <c r="BC1" s="132"/>
      <c r="BD1" s="4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ht="13.5" customHeight="1">
      <c r="A2" s="7"/>
      <c r="B2" s="13" t="s">
        <v>1</v>
      </c>
      <c r="C2" s="7"/>
      <c r="D2" s="7"/>
      <c r="E2" s="7"/>
      <c r="F2" s="7"/>
      <c r="G2" s="8"/>
      <c r="H2" s="8"/>
      <c r="I2" s="8"/>
      <c r="J2" s="8"/>
      <c r="K2" s="8"/>
      <c r="L2" s="8"/>
      <c r="M2" s="7"/>
      <c r="N2" s="7"/>
      <c r="O2" s="7"/>
      <c r="P2" s="8"/>
      <c r="Q2" s="8"/>
      <c r="R2" s="68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9"/>
      <c r="AM2" s="9"/>
      <c r="AN2" s="9"/>
      <c r="AO2" s="9"/>
      <c r="AP2" s="9"/>
      <c r="AQ2" s="9"/>
      <c r="AR2" s="7"/>
      <c r="AS2" s="10"/>
      <c r="AT2" s="7"/>
      <c r="AU2" s="7"/>
      <c r="AV2" s="9"/>
      <c r="AW2" s="9"/>
      <c r="AX2" s="7"/>
      <c r="AY2" s="7"/>
      <c r="AZ2" s="7"/>
      <c r="BA2" s="7"/>
      <c r="BB2" s="7"/>
      <c r="BC2" s="9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ht="12.75" customHeight="1">
      <c r="A3" s="14"/>
      <c r="B3" s="20"/>
      <c r="C3" s="689" t="s">
        <v>159</v>
      </c>
      <c r="D3" s="14"/>
      <c r="E3" s="14"/>
      <c r="F3" s="14"/>
      <c r="G3" s="15"/>
      <c r="H3" s="15"/>
      <c r="I3" s="690"/>
      <c r="J3" s="15"/>
      <c r="K3" s="15"/>
      <c r="L3" s="15"/>
      <c r="M3" s="14"/>
      <c r="N3" s="14"/>
      <c r="O3" s="14"/>
      <c r="P3" s="14"/>
      <c r="Q3" s="15"/>
      <c r="R3" s="690"/>
      <c r="S3" s="690"/>
      <c r="T3" s="14"/>
      <c r="U3" s="14"/>
      <c r="V3" s="14"/>
      <c r="W3" s="14"/>
      <c r="X3" s="14"/>
      <c r="Y3" s="17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6"/>
      <c r="AN3" s="16"/>
      <c r="AO3" s="16"/>
      <c r="AP3" s="16"/>
      <c r="AQ3" s="16"/>
      <c r="AR3" s="16"/>
      <c r="AS3" s="691"/>
      <c r="AT3" s="16"/>
      <c r="AU3" s="16"/>
      <c r="AV3" s="16"/>
      <c r="AW3" s="16"/>
      <c r="AX3" s="16"/>
      <c r="AY3" s="14"/>
      <c r="AZ3" s="14"/>
      <c r="BA3" s="14"/>
      <c r="BB3" s="14"/>
      <c r="BC3" s="14"/>
      <c r="BD3" s="16"/>
      <c r="BE3" s="14"/>
      <c r="BF3" s="14"/>
      <c r="BG3" s="14" t="s">
        <v>3</v>
      </c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</row>
    <row r="4" ht="12" customHeight="1">
      <c r="A4" s="3"/>
      <c r="B4" s="692"/>
      <c r="C4" s="3"/>
      <c r="D4" s="3"/>
      <c r="E4" s="3"/>
      <c r="F4" s="3"/>
      <c r="G4" s="693"/>
      <c r="H4" s="693"/>
      <c r="I4" s="694"/>
      <c r="J4" s="693"/>
      <c r="K4" s="693"/>
      <c r="L4" s="693"/>
      <c r="M4" s="693"/>
      <c r="N4" s="693"/>
      <c r="O4" s="693"/>
      <c r="P4" s="693"/>
      <c r="Q4" s="693"/>
      <c r="R4" s="694"/>
      <c r="S4" s="694"/>
      <c r="T4" s="693"/>
      <c r="U4" s="693"/>
      <c r="V4" s="693"/>
      <c r="W4" s="693"/>
      <c r="X4" s="693"/>
      <c r="Y4" s="694"/>
      <c r="Z4" s="693"/>
      <c r="AA4" s="693"/>
      <c r="AB4" s="693"/>
      <c r="AC4" s="693"/>
      <c r="AD4" s="693"/>
      <c r="AE4" s="693"/>
      <c r="AF4" s="693"/>
      <c r="AG4" s="693"/>
      <c r="AH4" s="693"/>
      <c r="AI4" s="25" t="s">
        <v>4</v>
      </c>
      <c r="AJ4" s="3"/>
      <c r="AK4" s="3"/>
      <c r="AL4" s="3"/>
      <c r="AM4" s="695" t="s">
        <v>5</v>
      </c>
      <c r="AN4" s="693"/>
      <c r="AO4" s="693"/>
      <c r="AP4" s="693"/>
      <c r="AQ4" s="693"/>
      <c r="AR4" s="175"/>
      <c r="AS4" s="257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175"/>
      <c r="BV4" s="3"/>
    </row>
    <row r="5" ht="16.5" customHeight="1">
      <c r="A5" s="697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698" t="s">
        <v>10</v>
      </c>
      <c r="I5" s="699" t="s">
        <v>10</v>
      </c>
      <c r="J5" s="700"/>
      <c r="K5" s="700" t="s">
        <v>10</v>
      </c>
      <c r="L5" s="701" t="s">
        <v>10</v>
      </c>
      <c r="M5" s="702" t="s">
        <v>10</v>
      </c>
      <c r="N5" s="26" t="s">
        <v>10</v>
      </c>
      <c r="O5" s="703" t="s">
        <v>10</v>
      </c>
      <c r="P5" s="701" t="s">
        <v>10</v>
      </c>
      <c r="Q5" s="701" t="s">
        <v>10</v>
      </c>
      <c r="R5" s="704" t="s">
        <v>10</v>
      </c>
      <c r="S5" s="701" t="s">
        <v>10</v>
      </c>
      <c r="T5" s="705" t="s">
        <v>10</v>
      </c>
      <c r="U5" s="25" t="s">
        <v>11</v>
      </c>
      <c r="V5" s="706" t="s">
        <v>12</v>
      </c>
      <c r="W5" s="42" t="s">
        <v>12</v>
      </c>
      <c r="X5" s="42" t="s">
        <v>12</v>
      </c>
      <c r="Y5" s="42" t="s">
        <v>12</v>
      </c>
      <c r="Z5" s="42" t="s">
        <v>12</v>
      </c>
      <c r="AA5" s="42" t="s">
        <v>12</v>
      </c>
      <c r="AB5" s="707" t="s">
        <v>12</v>
      </c>
      <c r="AC5" s="570" t="s">
        <v>12</v>
      </c>
      <c r="AD5" s="571" t="s">
        <v>12</v>
      </c>
      <c r="AE5" s="571" t="s">
        <v>12</v>
      </c>
      <c r="AF5" s="571" t="s">
        <v>12</v>
      </c>
      <c r="AG5" s="571" t="s">
        <v>10</v>
      </c>
      <c r="AH5" s="708" t="s">
        <v>10</v>
      </c>
      <c r="AI5" s="709" t="s">
        <v>12</v>
      </c>
      <c r="AJ5" s="572" t="s">
        <v>13</v>
      </c>
      <c r="AK5" s="573" t="s">
        <v>13</v>
      </c>
      <c r="AL5" s="573" t="s">
        <v>13</v>
      </c>
      <c r="AM5" s="605" t="s">
        <v>14</v>
      </c>
      <c r="AN5" s="710" t="s">
        <v>15</v>
      </c>
      <c r="AO5" s="710" t="s">
        <v>15</v>
      </c>
      <c r="AP5" s="573" t="s">
        <v>15</v>
      </c>
      <c r="AQ5" s="711" t="s">
        <v>16</v>
      </c>
      <c r="AR5" s="51" t="s">
        <v>4</v>
      </c>
      <c r="AS5" s="712" t="s">
        <v>17</v>
      </c>
      <c r="AT5" s="713" t="s">
        <v>160</v>
      </c>
      <c r="AU5" s="59" t="s">
        <v>20</v>
      </c>
      <c r="AV5" s="59" t="s">
        <v>20</v>
      </c>
      <c r="AW5" s="59" t="s">
        <v>20</v>
      </c>
      <c r="AX5" s="59" t="s">
        <v>20</v>
      </c>
      <c r="AY5" s="714" t="s">
        <v>20</v>
      </c>
      <c r="AZ5" s="715" t="s">
        <v>20</v>
      </c>
      <c r="BA5" s="715" t="s">
        <v>21</v>
      </c>
      <c r="BB5" s="59" t="s">
        <v>22</v>
      </c>
      <c r="BC5" s="716" t="s">
        <v>24</v>
      </c>
      <c r="BD5" s="51" t="s">
        <v>5</v>
      </c>
      <c r="BE5" s="58" t="s">
        <v>25</v>
      </c>
      <c r="BF5" s="697"/>
      <c r="BG5" s="58" t="s">
        <v>4</v>
      </c>
      <c r="BH5" s="59" t="s">
        <v>26</v>
      </c>
      <c r="BI5" s="59" t="s">
        <v>89</v>
      </c>
      <c r="BJ5" s="59" t="s">
        <v>90</v>
      </c>
      <c r="BK5" s="59" t="s">
        <v>91</v>
      </c>
      <c r="BL5" s="59" t="s">
        <v>92</v>
      </c>
      <c r="BM5" s="59" t="s">
        <v>93</v>
      </c>
      <c r="BN5" s="59" t="s">
        <v>94</v>
      </c>
      <c r="BO5" s="59" t="s">
        <v>95</v>
      </c>
      <c r="BP5" s="59" t="s">
        <v>95</v>
      </c>
      <c r="BQ5" s="59" t="s">
        <v>27</v>
      </c>
      <c r="BR5" s="59" t="s">
        <v>28</v>
      </c>
      <c r="BS5" s="59" t="s">
        <v>28</v>
      </c>
      <c r="BT5" s="59" t="s">
        <v>28</v>
      </c>
      <c r="BU5" s="60" t="s">
        <v>29</v>
      </c>
      <c r="BV5" s="697"/>
    </row>
    <row r="6" ht="28.5" customHeight="1">
      <c r="A6" s="697"/>
      <c r="B6" s="63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717" t="s">
        <v>161</v>
      </c>
      <c r="I6" s="718" t="s">
        <v>162</v>
      </c>
      <c r="J6" s="719" t="s">
        <v>112</v>
      </c>
      <c r="K6" s="719" t="s">
        <v>106</v>
      </c>
      <c r="L6" s="719" t="s">
        <v>163</v>
      </c>
      <c r="M6" s="720" t="s">
        <v>164</v>
      </c>
      <c r="N6" s="720" t="s">
        <v>35</v>
      </c>
      <c r="O6" s="721" t="s">
        <v>165</v>
      </c>
      <c r="P6" s="722" t="s">
        <v>166</v>
      </c>
      <c r="Q6" s="723" t="s">
        <v>167</v>
      </c>
      <c r="R6" s="724" t="s">
        <v>168</v>
      </c>
      <c r="S6" s="725" t="s">
        <v>103</v>
      </c>
      <c r="T6" s="726" t="s">
        <v>169</v>
      </c>
      <c r="U6" s="727"/>
      <c r="V6" s="728" t="s">
        <v>170</v>
      </c>
      <c r="W6" s="729" t="s">
        <v>171</v>
      </c>
      <c r="X6" s="729" t="s">
        <v>172</v>
      </c>
      <c r="Y6" s="730" t="s">
        <v>173</v>
      </c>
      <c r="Z6" s="730" t="s">
        <v>174</v>
      </c>
      <c r="AA6" s="730"/>
      <c r="AB6" s="731" t="s">
        <v>55</v>
      </c>
      <c r="AC6" s="732" t="s">
        <v>56</v>
      </c>
      <c r="AD6" s="733" t="s">
        <v>57</v>
      </c>
      <c r="AE6" s="733" t="s">
        <v>58</v>
      </c>
      <c r="AF6" s="733" t="s">
        <v>59</v>
      </c>
      <c r="AG6" s="588" t="s">
        <v>175</v>
      </c>
      <c r="AH6" s="734" t="s">
        <v>176</v>
      </c>
      <c r="AI6" s="595" t="s">
        <v>30</v>
      </c>
      <c r="AJ6" s="599" t="s">
        <v>30</v>
      </c>
      <c r="AK6" s="600" t="s">
        <v>31</v>
      </c>
      <c r="AL6" s="600" t="s">
        <v>32</v>
      </c>
      <c r="AM6" s="90" t="s">
        <v>34</v>
      </c>
      <c r="AN6" s="735" t="s">
        <v>48</v>
      </c>
      <c r="AO6" s="735" t="s">
        <v>31</v>
      </c>
      <c r="AP6" s="600" t="s">
        <v>32</v>
      </c>
      <c r="AQ6" s="736" t="s">
        <v>60</v>
      </c>
      <c r="AR6" s="81" t="s">
        <v>61</v>
      </c>
      <c r="AS6" s="737" t="s">
        <v>62</v>
      </c>
      <c r="AT6" s="605" t="s">
        <v>65</v>
      </c>
      <c r="AU6" s="605" t="s">
        <v>158</v>
      </c>
      <c r="AV6" s="605" t="s">
        <v>66</v>
      </c>
      <c r="AW6" s="605" t="s">
        <v>67</v>
      </c>
      <c r="AX6" s="605" t="s">
        <v>68</v>
      </c>
      <c r="AY6" s="738" t="s">
        <v>31</v>
      </c>
      <c r="AZ6" s="739" t="s">
        <v>32</v>
      </c>
      <c r="BA6" s="739" t="s">
        <v>32</v>
      </c>
      <c r="BB6" s="605"/>
      <c r="BC6" s="740" t="s">
        <v>69</v>
      </c>
      <c r="BD6" s="81" t="s">
        <v>70</v>
      </c>
      <c r="BE6" s="89" t="s">
        <v>71</v>
      </c>
      <c r="BF6" s="697"/>
      <c r="BG6" s="89" t="s">
        <v>72</v>
      </c>
      <c r="BH6" s="90"/>
      <c r="BI6" s="90" t="s">
        <v>125</v>
      </c>
      <c r="BJ6" s="90"/>
      <c r="BK6" s="90" t="s">
        <v>126</v>
      </c>
      <c r="BL6" s="90" t="s">
        <v>127</v>
      </c>
      <c r="BM6" s="90" t="s">
        <v>128</v>
      </c>
      <c r="BN6" s="90" t="s">
        <v>129</v>
      </c>
      <c r="BO6" s="90" t="s">
        <v>130</v>
      </c>
      <c r="BP6" s="90" t="s">
        <v>131</v>
      </c>
      <c r="BQ6" s="90" t="s">
        <v>73</v>
      </c>
      <c r="BR6" s="741" t="s">
        <v>72</v>
      </c>
      <c r="BS6" s="90" t="s">
        <v>75</v>
      </c>
      <c r="BT6" s="90" t="s">
        <v>52</v>
      </c>
      <c r="BU6" s="91"/>
      <c r="BV6" s="697"/>
    </row>
    <row r="7" ht="14.25" customHeight="1">
      <c r="A7" s="3"/>
      <c r="B7" s="512">
        <v>46023</v>
      </c>
      <c r="C7" s="94">
        <f>19896.43-D7-0</f>
      </c>
      <c r="D7" s="95">
        <v>4862.96</v>
      </c>
      <c r="E7" s="97"/>
      <c r="F7" s="97"/>
      <c r="G7" s="147">
        <f ref="G7:G37" t="shared" si="0">+C7+D7+E7+F7</f>
        <v>0</v>
      </c>
      <c r="H7" s="742"/>
      <c r="I7" s="743"/>
      <c r="J7" s="744"/>
      <c r="K7" s="744"/>
      <c r="L7" s="745"/>
      <c r="M7" s="745"/>
      <c r="N7" s="745"/>
      <c r="O7" s="745">
        <v>1082.72</v>
      </c>
      <c r="P7" s="99"/>
      <c r="Q7" s="99"/>
      <c r="R7" s="641">
        <v>592.31</v>
      </c>
      <c r="S7" s="641"/>
      <c r="T7" s="99"/>
      <c r="U7" s="103">
        <f ref="U7:U11" t="shared" si="1">SUM(I7:T7)</f>
        <v>0</v>
      </c>
      <c r="V7" s="143"/>
      <c r="W7" s="143"/>
      <c r="X7" s="143"/>
      <c r="Y7" s="611"/>
      <c r="Z7" s="143"/>
      <c r="AA7" s="143"/>
      <c r="AB7" s="143"/>
      <c r="AC7" s="186"/>
      <c r="AD7" s="186"/>
      <c r="AE7" s="186"/>
      <c r="AF7" s="186"/>
      <c r="AG7" s="186"/>
      <c r="AH7" s="186"/>
      <c r="AI7" s="103">
        <f ref="AI7:AI37" t="shared" si="2">SUM(V7:AH7)</f>
        <v>0</v>
      </c>
      <c r="AJ7" s="95">
        <v>6744.2</v>
      </c>
      <c r="AK7" s="95">
        <v>1540.38</v>
      </c>
      <c r="AL7" s="104"/>
      <c r="AM7" s="105">
        <f ref="AM7:AM37" t="shared" si="3">SUM(AJ7:AL7)</f>
        <v>0</v>
      </c>
      <c r="AN7" s="188">
        <v>26.34</v>
      </c>
      <c r="AO7" s="186"/>
      <c r="AP7" s="186"/>
      <c r="AQ7" s="193"/>
      <c r="AR7" s="224">
        <f ref="AR7:AR37" t="shared" si="4">+G7-U7-AI7-AM7-AN7-AO7-AP7-AQ7</f>
        <v>0</v>
      </c>
      <c r="AS7" s="488">
        <v>6123.5</v>
      </c>
      <c r="AT7" s="109"/>
      <c r="AU7" s="110"/>
      <c r="AV7" s="110"/>
      <c r="AW7" s="110"/>
      <c r="AX7" s="110"/>
      <c r="AY7" s="271">
        <v>3264.5</v>
      </c>
      <c r="AZ7" s="110"/>
      <c r="BA7" s="110"/>
      <c r="BB7" s="110"/>
      <c r="BC7" s="269"/>
      <c r="BD7" s="222">
        <f ref="BD7:BD37" t="shared" si="5">SUM(AS7:BC7)-BB7</f>
        <v>0</v>
      </c>
      <c r="BE7" s="114">
        <f ref="BE7:BE37" t="shared" si="6">+AR7-BD7</f>
        <v>0</v>
      </c>
      <c r="BF7" s="3"/>
      <c r="BG7" s="114">
        <f ref="BG7:BG37" t="shared" si="7">SUM(BH7:BT7)</f>
        <v>520</v>
      </c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250">
        <v>520</v>
      </c>
      <c r="BS7" s="115">
        <v>520</v>
      </c>
      <c r="BT7" s="115"/>
      <c r="BU7" s="116">
        <f ref="BU7:BU37" t="shared" si="8">+BE7-BG7</f>
        <v>-520</v>
      </c>
      <c r="BV7" s="3"/>
    </row>
    <row r="8" ht="14.25" customHeight="1">
      <c r="A8" s="132"/>
      <c r="B8" s="512">
        <v>46024</v>
      </c>
      <c r="C8" s="133">
        <f>19815.70-D8-0</f>
      </c>
      <c r="D8" s="134">
        <v>3101.92</v>
      </c>
      <c r="E8" s="135"/>
      <c r="F8" s="135"/>
      <c r="G8" s="147">
        <f t="shared" si="0"/>
        <v>0</v>
      </c>
      <c r="H8" s="742"/>
      <c r="I8" s="746"/>
      <c r="J8" s="744"/>
      <c r="K8" s="744"/>
      <c r="L8" s="745"/>
      <c r="M8" s="745"/>
      <c r="N8" s="745"/>
      <c r="O8" s="747">
        <v>79.24</v>
      </c>
      <c r="P8" s="99"/>
      <c r="Q8" s="99"/>
      <c r="R8" s="641">
        <v>2417.74</v>
      </c>
      <c r="S8" s="748">
        <v>917.86</v>
      </c>
      <c r="T8" s="99"/>
      <c r="U8" s="103">
        <f t="shared" si="1"/>
        <v>0</v>
      </c>
      <c r="V8" s="143"/>
      <c r="W8" s="143"/>
      <c r="X8" s="143"/>
      <c r="Y8" s="611"/>
      <c r="Z8" s="143"/>
      <c r="AA8" s="143"/>
      <c r="AB8" s="143"/>
      <c r="AC8" s="143"/>
      <c r="AD8" s="143"/>
      <c r="AE8" s="143"/>
      <c r="AF8" s="143"/>
      <c r="AG8" s="143"/>
      <c r="AH8" s="143"/>
      <c r="AI8" s="103">
        <f t="shared" si="2"/>
        <v>0</v>
      </c>
      <c r="AJ8" s="134">
        <v>6465.01</v>
      </c>
      <c r="AK8" s="134">
        <v>1093.88</v>
      </c>
      <c r="AL8" s="136"/>
      <c r="AM8" s="105">
        <f t="shared" si="3"/>
        <v>0</v>
      </c>
      <c r="AN8" s="145">
        <v>209.37</v>
      </c>
      <c r="AO8" s="143"/>
      <c r="AP8" s="143"/>
      <c r="AQ8" s="146"/>
      <c r="AR8" s="224">
        <f t="shared" si="4"/>
        <v>0</v>
      </c>
      <c r="AS8" s="492">
        <v>6325.9</v>
      </c>
      <c r="AT8" s="229">
        <v>377.27</v>
      </c>
      <c r="AU8" s="127"/>
      <c r="AV8" s="127"/>
      <c r="AW8" s="127"/>
      <c r="AX8" s="127"/>
      <c r="AY8" s="229">
        <v>1927.6</v>
      </c>
      <c r="AZ8" s="127"/>
      <c r="BA8" s="127"/>
      <c r="BB8" s="127"/>
      <c r="BC8" s="274"/>
      <c r="BD8" s="222">
        <f t="shared" si="5"/>
        <v>0</v>
      </c>
      <c r="BE8" s="140">
        <f t="shared" si="6"/>
        <v>0</v>
      </c>
      <c r="BF8" s="132"/>
      <c r="BG8" s="140">
        <f t="shared" si="7"/>
        <v>0</v>
      </c>
      <c r="BH8" s="141"/>
      <c r="BI8" s="141"/>
      <c r="BJ8" s="141"/>
      <c r="BK8" s="141"/>
      <c r="BL8" s="141"/>
      <c r="BM8" s="141"/>
      <c r="BN8" s="141"/>
      <c r="BO8" s="141"/>
      <c r="BP8" s="141"/>
      <c r="BQ8" s="141"/>
      <c r="BR8" s="141"/>
      <c r="BS8" s="141"/>
      <c r="BT8" s="141"/>
      <c r="BU8" s="130">
        <f t="shared" si="8"/>
        <v>0</v>
      </c>
      <c r="BV8" s="132"/>
    </row>
    <row r="9" ht="14.25" customHeight="1">
      <c r="A9" s="132"/>
      <c r="B9" s="512">
        <v>46025</v>
      </c>
      <c r="C9" s="133">
        <f>18506.07-D9-0</f>
      </c>
      <c r="D9" s="134">
        <v>2503.89</v>
      </c>
      <c r="E9" s="135"/>
      <c r="F9" s="135"/>
      <c r="G9" s="147">
        <f t="shared" si="0"/>
        <v>0</v>
      </c>
      <c r="H9" s="742"/>
      <c r="I9" s="746"/>
      <c r="J9" s="744"/>
      <c r="K9" s="744"/>
      <c r="L9" s="747">
        <v>217.62</v>
      </c>
      <c r="M9" s="745"/>
      <c r="N9" s="745"/>
      <c r="O9" s="745">
        <v>206.37</v>
      </c>
      <c r="P9" s="99"/>
      <c r="Q9" s="99"/>
      <c r="R9" s="641">
        <v>1256.24</v>
      </c>
      <c r="S9" s="748">
        <v>911.4</v>
      </c>
      <c r="T9" s="99"/>
      <c r="U9" s="103">
        <f t="shared" si="1"/>
        <v>0</v>
      </c>
      <c r="V9" s="143"/>
      <c r="W9" s="143"/>
      <c r="X9" s="143"/>
      <c r="Y9" s="611"/>
      <c r="Z9" s="143"/>
      <c r="AA9" s="143"/>
      <c r="AB9" s="143"/>
      <c r="AC9" s="143"/>
      <c r="AD9" s="143"/>
      <c r="AE9" s="143"/>
      <c r="AF9" s="143"/>
      <c r="AG9" s="143"/>
      <c r="AH9" s="143"/>
      <c r="AI9" s="103">
        <f t="shared" si="2"/>
        <v>0</v>
      </c>
      <c r="AJ9" s="134">
        <v>5513.02</v>
      </c>
      <c r="AK9" s="134">
        <v>829.3</v>
      </c>
      <c r="AL9" s="136"/>
      <c r="AM9" s="105">
        <f t="shared" si="3"/>
        <v>0</v>
      </c>
      <c r="AN9" s="145">
        <v>207.9</v>
      </c>
      <c r="AO9" s="143"/>
      <c r="AP9" s="143"/>
      <c r="AQ9" s="146"/>
      <c r="AR9" s="224">
        <f t="shared" si="4"/>
        <v>0</v>
      </c>
      <c r="AS9" s="492">
        <v>7634</v>
      </c>
      <c r="AT9" s="229">
        <v>98</v>
      </c>
      <c r="AU9" s="127"/>
      <c r="AV9" s="127"/>
      <c r="AW9" s="127"/>
      <c r="AX9" s="127"/>
      <c r="AY9" s="229">
        <v>1630.4</v>
      </c>
      <c r="AZ9" s="127"/>
      <c r="BA9" s="127"/>
      <c r="BB9" s="127"/>
      <c r="BC9" s="274"/>
      <c r="BD9" s="222">
        <f t="shared" si="5"/>
        <v>0</v>
      </c>
      <c r="BE9" s="140">
        <f t="shared" si="6"/>
        <v>0</v>
      </c>
      <c r="BF9" s="132"/>
      <c r="BG9" s="140">
        <f t="shared" si="7"/>
        <v>0</v>
      </c>
      <c r="BH9" s="141"/>
      <c r="BI9" s="141"/>
      <c r="BJ9" s="141"/>
      <c r="BK9" s="141"/>
      <c r="BL9" s="141"/>
      <c r="BM9" s="141"/>
      <c r="BN9" s="141"/>
      <c r="BO9" s="141"/>
      <c r="BP9" s="141"/>
      <c r="BQ9" s="141"/>
      <c r="BR9" s="150"/>
      <c r="BS9" s="141"/>
      <c r="BT9" s="141"/>
      <c r="BU9" s="130">
        <f t="shared" si="8"/>
        <v>0</v>
      </c>
      <c r="BV9" s="132"/>
    </row>
    <row r="10" ht="13.5" customHeight="1">
      <c r="A10" s="132"/>
      <c r="B10" s="512">
        <v>46026</v>
      </c>
      <c r="C10" s="133">
        <f>18509.94-D10-0</f>
      </c>
      <c r="D10" s="134">
        <v>3072.2</v>
      </c>
      <c r="E10" s="135"/>
      <c r="F10" s="135"/>
      <c r="G10" s="147">
        <f t="shared" si="0"/>
        <v>0</v>
      </c>
      <c r="H10" s="742"/>
      <c r="I10" s="746"/>
      <c r="J10" s="744"/>
      <c r="K10" s="744"/>
      <c r="L10" s="747">
        <v>299.01</v>
      </c>
      <c r="M10" s="745"/>
      <c r="N10" s="745"/>
      <c r="O10" s="747">
        <v>111.8</v>
      </c>
      <c r="P10" s="121">
        <v>264.03</v>
      </c>
      <c r="Q10" s="99"/>
      <c r="R10" s="641">
        <v>1604.51</v>
      </c>
      <c r="S10" s="641"/>
      <c r="T10" s="99"/>
      <c r="U10" s="103">
        <f t="shared" si="1"/>
        <v>0</v>
      </c>
      <c r="V10" s="143"/>
      <c r="W10" s="143"/>
      <c r="X10" s="143"/>
      <c r="Y10" s="611"/>
      <c r="Z10" s="143"/>
      <c r="AA10" s="143"/>
      <c r="AB10" s="143"/>
      <c r="AC10" s="143"/>
      <c r="AD10" s="143"/>
      <c r="AE10" s="143"/>
      <c r="AF10" s="143"/>
      <c r="AG10" s="143"/>
      <c r="AH10" s="143"/>
      <c r="AI10" s="103">
        <f t="shared" si="2"/>
        <v>0</v>
      </c>
      <c r="AJ10" s="134">
        <v>5574.02</v>
      </c>
      <c r="AK10" s="134">
        <v>775.41</v>
      </c>
      <c r="AL10" s="136"/>
      <c r="AM10" s="105">
        <f t="shared" si="3"/>
        <v>0</v>
      </c>
      <c r="AN10" s="145"/>
      <c r="AO10" s="143"/>
      <c r="AP10" s="143"/>
      <c r="AQ10" s="146"/>
      <c r="AR10" s="224">
        <f t="shared" si="4"/>
        <v>0</v>
      </c>
      <c r="AS10" s="492">
        <v>7695.5</v>
      </c>
      <c r="AT10" s="749"/>
      <c r="AU10" s="127"/>
      <c r="AV10" s="127"/>
      <c r="AW10" s="127"/>
      <c r="AX10" s="127"/>
      <c r="AY10" s="229">
        <v>2183.2</v>
      </c>
      <c r="AZ10" s="127"/>
      <c r="BA10" s="127"/>
      <c r="BB10" s="127"/>
      <c r="BC10" s="274"/>
      <c r="BD10" s="222">
        <f t="shared" si="5"/>
        <v>0</v>
      </c>
      <c r="BE10" s="140">
        <f t="shared" si="6"/>
        <v>0</v>
      </c>
      <c r="BF10" s="132"/>
      <c r="BG10" s="140">
        <f t="shared" si="7"/>
        <v>0</v>
      </c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30">
        <f t="shared" si="8"/>
        <v>0</v>
      </c>
      <c r="BV10" s="132"/>
    </row>
    <row r="11" ht="14.25" customHeight="1">
      <c r="A11" s="132"/>
      <c r="B11" s="512">
        <v>46027</v>
      </c>
      <c r="C11" s="133">
        <f>17065.45-D11-0</f>
      </c>
      <c r="D11" s="134">
        <v>2890.31</v>
      </c>
      <c r="E11" s="135"/>
      <c r="F11" s="135"/>
      <c r="G11" s="147">
        <f t="shared" si="0"/>
        <v>0</v>
      </c>
      <c r="H11" s="742"/>
      <c r="I11" s="746"/>
      <c r="J11" s="744"/>
      <c r="K11" s="744"/>
      <c r="L11" s="747">
        <v>405.51</v>
      </c>
      <c r="M11" s="745"/>
      <c r="N11" s="745"/>
      <c r="O11" s="747">
        <v>110.66</v>
      </c>
      <c r="P11" s="121">
        <v>233.21</v>
      </c>
      <c r="Q11" s="99"/>
      <c r="R11" s="641">
        <v>2596.58</v>
      </c>
      <c r="S11" s="641"/>
      <c r="T11" s="99"/>
      <c r="U11" s="103">
        <f t="shared" si="1"/>
        <v>0</v>
      </c>
      <c r="V11" s="143"/>
      <c r="W11" s="143"/>
      <c r="X11" s="143"/>
      <c r="Y11" s="611"/>
      <c r="Z11" s="143"/>
      <c r="AA11" s="143"/>
      <c r="AB11" s="143"/>
      <c r="AC11" s="143"/>
      <c r="AD11" s="143"/>
      <c r="AE11" s="143"/>
      <c r="AF11" s="143"/>
      <c r="AG11" s="143"/>
      <c r="AH11" s="143"/>
      <c r="AI11" s="103">
        <f t="shared" si="2"/>
        <v>0</v>
      </c>
      <c r="AJ11" s="134">
        <v>5709.37</v>
      </c>
      <c r="AK11" s="134">
        <v>993.54</v>
      </c>
      <c r="AL11" s="136"/>
      <c r="AM11" s="105">
        <f t="shared" si="3"/>
        <v>0</v>
      </c>
      <c r="AN11" s="145"/>
      <c r="AO11" s="143"/>
      <c r="AP11" s="143"/>
      <c r="AQ11" s="149">
        <v>5</v>
      </c>
      <c r="AR11" s="224">
        <f t="shared" si="4"/>
        <v>0</v>
      </c>
      <c r="AS11" s="492">
        <v>5289.8</v>
      </c>
      <c r="AT11" s="126"/>
      <c r="AU11" s="127"/>
      <c r="AV11" s="127"/>
      <c r="AW11" s="127"/>
      <c r="AX11" s="127"/>
      <c r="AY11" s="229">
        <v>1719.5</v>
      </c>
      <c r="AZ11" s="127"/>
      <c r="BA11" s="127"/>
      <c r="BB11" s="127"/>
      <c r="BC11" s="274"/>
      <c r="BD11" s="222">
        <f t="shared" si="5"/>
        <v>0</v>
      </c>
      <c r="BE11" s="140">
        <f t="shared" si="6"/>
        <v>0</v>
      </c>
      <c r="BF11" s="132"/>
      <c r="BG11" s="140">
        <f t="shared" si="7"/>
        <v>0</v>
      </c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41"/>
      <c r="BS11" s="141"/>
      <c r="BT11" s="141"/>
      <c r="BU11" s="130">
        <f t="shared" si="8"/>
        <v>0</v>
      </c>
      <c r="BV11" s="132"/>
    </row>
    <row r="12" ht="14.25" customHeight="1">
      <c r="A12" s="132"/>
      <c r="B12" s="512">
        <v>46028</v>
      </c>
      <c r="C12" s="133">
        <f>15757.10-D12-0</f>
      </c>
      <c r="D12" s="134">
        <v>2916.46</v>
      </c>
      <c r="E12" s="135"/>
      <c r="F12" s="135"/>
      <c r="G12" s="147">
        <f t="shared" si="0"/>
        <v>0</v>
      </c>
      <c r="H12" s="742"/>
      <c r="I12" s="746"/>
      <c r="J12" s="744"/>
      <c r="K12" s="744"/>
      <c r="L12" s="745"/>
      <c r="M12" s="745"/>
      <c r="N12" s="745"/>
      <c r="O12" s="747">
        <v>40.99</v>
      </c>
      <c r="P12" s="121">
        <v>30</v>
      </c>
      <c r="Q12" s="99"/>
      <c r="R12" s="641">
        <v>2005.42</v>
      </c>
      <c r="S12" s="641"/>
      <c r="T12" s="99"/>
      <c r="U12" s="103">
        <f>SUM(H12:T12)</f>
        <v>0</v>
      </c>
      <c r="V12" s="143"/>
      <c r="W12" s="143"/>
      <c r="X12" s="143"/>
      <c r="Y12" s="611"/>
      <c r="Z12" s="143"/>
      <c r="AA12" s="143"/>
      <c r="AB12" s="143"/>
      <c r="AC12" s="143"/>
      <c r="AD12" s="143"/>
      <c r="AE12" s="143"/>
      <c r="AF12" s="143"/>
      <c r="AG12" s="143"/>
      <c r="AH12" s="143"/>
      <c r="AI12" s="103">
        <f t="shared" si="2"/>
        <v>0</v>
      </c>
      <c r="AJ12" s="134">
        <v>5647</v>
      </c>
      <c r="AK12" s="134">
        <v>773.23</v>
      </c>
      <c r="AL12" s="136"/>
      <c r="AM12" s="105">
        <f t="shared" si="3"/>
        <v>0</v>
      </c>
      <c r="AN12" s="145"/>
      <c r="AO12" s="143"/>
      <c r="AP12" s="143"/>
      <c r="AQ12" s="146"/>
      <c r="AR12" s="224">
        <f t="shared" si="4"/>
        <v>0</v>
      </c>
      <c r="AS12" s="492">
        <v>5157.5</v>
      </c>
      <c r="AT12" s="126"/>
      <c r="AU12" s="127"/>
      <c r="AV12" s="127"/>
      <c r="AW12" s="127"/>
      <c r="AX12" s="127"/>
      <c r="AY12" s="229">
        <v>2100.9</v>
      </c>
      <c r="AZ12" s="127"/>
      <c r="BA12" s="127"/>
      <c r="BB12" s="127"/>
      <c r="BC12" s="274"/>
      <c r="BD12" s="222">
        <f t="shared" si="5"/>
        <v>0</v>
      </c>
      <c r="BE12" s="140">
        <f t="shared" si="6"/>
        <v>0</v>
      </c>
      <c r="BF12" s="132"/>
      <c r="BG12" s="140">
        <f t="shared" si="7"/>
        <v>0</v>
      </c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30">
        <f t="shared" si="8"/>
        <v>0</v>
      </c>
      <c r="BV12" s="132"/>
    </row>
    <row r="13" ht="14.25" customHeight="1">
      <c r="A13" s="132"/>
      <c r="B13" s="512">
        <v>46029</v>
      </c>
      <c r="C13" s="133">
        <f>19864.20-D13-0</f>
      </c>
      <c r="D13" s="134">
        <v>4718.41</v>
      </c>
      <c r="E13" s="135"/>
      <c r="F13" s="135"/>
      <c r="G13" s="147">
        <f t="shared" si="0"/>
        <v>0</v>
      </c>
      <c r="H13" s="742"/>
      <c r="I13" s="746"/>
      <c r="J13" s="744"/>
      <c r="K13" s="744"/>
      <c r="L13" s="747">
        <v>211.07</v>
      </c>
      <c r="M13" s="745"/>
      <c r="N13" s="745"/>
      <c r="O13" s="745">
        <v>107.5</v>
      </c>
      <c r="P13" s="99"/>
      <c r="Q13" s="99"/>
      <c r="R13" s="641">
        <v>2996.57</v>
      </c>
      <c r="S13" s="748">
        <v>859.32</v>
      </c>
      <c r="T13" s="99"/>
      <c r="U13" s="103">
        <f ref="U13:U27" t="shared" si="9">SUM(I13:T13)</f>
        <v>0</v>
      </c>
      <c r="V13" s="143"/>
      <c r="W13" s="143"/>
      <c r="X13" s="143"/>
      <c r="Y13" s="611"/>
      <c r="Z13" s="143"/>
      <c r="AA13" s="143"/>
      <c r="AB13" s="143"/>
      <c r="AC13" s="143"/>
      <c r="AD13" s="143"/>
      <c r="AE13" s="143"/>
      <c r="AF13" s="143"/>
      <c r="AG13" s="143"/>
      <c r="AH13" s="143"/>
      <c r="AI13" s="103">
        <f t="shared" si="2"/>
        <v>0</v>
      </c>
      <c r="AJ13" s="134">
        <v>4971.56</v>
      </c>
      <c r="AK13" s="134">
        <v>925.47</v>
      </c>
      <c r="AL13" s="136"/>
      <c r="AM13" s="105">
        <f t="shared" si="3"/>
        <v>0</v>
      </c>
      <c r="AN13" s="145">
        <v>196.02</v>
      </c>
      <c r="AO13" s="143"/>
      <c r="AP13" s="143"/>
      <c r="AQ13" s="146"/>
      <c r="AR13" s="224">
        <f t="shared" si="4"/>
        <v>0</v>
      </c>
      <c r="AS13" s="492">
        <v>5881</v>
      </c>
      <c r="AT13" s="126"/>
      <c r="AU13" s="127"/>
      <c r="AV13" s="127"/>
      <c r="AW13" s="127"/>
      <c r="AX13" s="127"/>
      <c r="AY13" s="229">
        <v>3713.1</v>
      </c>
      <c r="AZ13" s="127"/>
      <c r="BA13" s="127"/>
      <c r="BB13" s="127"/>
      <c r="BC13" s="274"/>
      <c r="BD13" s="222">
        <f t="shared" si="5"/>
        <v>0</v>
      </c>
      <c r="BE13" s="140">
        <f t="shared" si="6"/>
        <v>0</v>
      </c>
      <c r="BF13" s="132"/>
      <c r="BG13" s="140">
        <f t="shared" si="7"/>
        <v>0</v>
      </c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30">
        <f t="shared" si="8"/>
        <v>0</v>
      </c>
      <c r="BV13" s="132"/>
    </row>
    <row r="14" ht="14.25" customHeight="1">
      <c r="A14" s="132"/>
      <c r="B14" s="512">
        <v>46030</v>
      </c>
      <c r="C14" s="133">
        <f>17181.38-D14-0</f>
      </c>
      <c r="D14" s="134">
        <v>2958.07</v>
      </c>
      <c r="E14" s="135"/>
      <c r="F14" s="135"/>
      <c r="G14" s="147">
        <f t="shared" si="0"/>
        <v>0</v>
      </c>
      <c r="H14" s="742"/>
      <c r="I14" s="746"/>
      <c r="J14" s="744"/>
      <c r="K14" s="744"/>
      <c r="L14" s="747">
        <v>492.01</v>
      </c>
      <c r="M14" s="745"/>
      <c r="N14" s="745"/>
      <c r="O14" s="747">
        <v>50.02</v>
      </c>
      <c r="P14" s="121">
        <v>65.58</v>
      </c>
      <c r="Q14" s="99"/>
      <c r="R14" s="641">
        <v>2387.19</v>
      </c>
      <c r="S14" s="748">
        <v>820.26</v>
      </c>
      <c r="T14" s="99"/>
      <c r="U14" s="103">
        <f t="shared" si="9"/>
        <v>0</v>
      </c>
      <c r="V14" s="143"/>
      <c r="W14" s="143"/>
      <c r="X14" s="143"/>
      <c r="Y14" s="611"/>
      <c r="Z14" s="143"/>
      <c r="AA14" s="143"/>
      <c r="AB14" s="143"/>
      <c r="AC14" s="143"/>
      <c r="AD14" s="143"/>
      <c r="AE14" s="143"/>
      <c r="AF14" s="143"/>
      <c r="AG14" s="143"/>
      <c r="AH14" s="143"/>
      <c r="AI14" s="103">
        <f t="shared" si="2"/>
        <v>0</v>
      </c>
      <c r="AJ14" s="134">
        <v>4460.01</v>
      </c>
      <c r="AK14" s="134">
        <v>963.2</v>
      </c>
      <c r="AL14" s="136"/>
      <c r="AM14" s="105">
        <f t="shared" si="3"/>
        <v>0</v>
      </c>
      <c r="AN14" s="145">
        <v>187.11</v>
      </c>
      <c r="AO14" s="143"/>
      <c r="AP14" s="143"/>
      <c r="AQ14" s="146"/>
      <c r="AR14" s="224">
        <f t="shared" si="4"/>
        <v>0</v>
      </c>
      <c r="AS14" s="492">
        <v>5844.2</v>
      </c>
      <c r="AT14" s="750">
        <v>98</v>
      </c>
      <c r="AU14" s="751"/>
      <c r="AV14" s="127"/>
      <c r="AW14" s="127"/>
      <c r="AX14" s="127"/>
      <c r="AY14" s="229">
        <v>12.4</v>
      </c>
      <c r="AZ14" s="127"/>
      <c r="BA14" s="127"/>
      <c r="BB14" s="127"/>
      <c r="BC14" s="274"/>
      <c r="BD14" s="222">
        <f t="shared" si="5"/>
        <v>0</v>
      </c>
      <c r="BE14" s="140">
        <f t="shared" si="6"/>
        <v>0</v>
      </c>
      <c r="BF14" s="132"/>
      <c r="BG14" s="140">
        <f t="shared" si="7"/>
        <v>0</v>
      </c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150"/>
      <c r="BS14" s="141">
        <v>1800</v>
      </c>
      <c r="BT14" s="141"/>
      <c r="BU14" s="130">
        <f t="shared" si="8"/>
        <v>0</v>
      </c>
      <c r="BV14" s="132"/>
    </row>
    <row r="15" ht="14.25" customHeight="1">
      <c r="A15" s="132"/>
      <c r="B15" s="512">
        <v>46031</v>
      </c>
      <c r="C15" s="133">
        <f>15597.89-D15-0</f>
      </c>
      <c r="D15" s="134">
        <v>2621.86</v>
      </c>
      <c r="E15" s="135"/>
      <c r="F15" s="135"/>
      <c r="G15" s="147">
        <f t="shared" si="0"/>
        <v>0</v>
      </c>
      <c r="H15" s="742"/>
      <c r="I15" s="746"/>
      <c r="J15" s="744"/>
      <c r="K15" s="744"/>
      <c r="L15" s="745"/>
      <c r="M15" s="745"/>
      <c r="N15" s="745"/>
      <c r="O15" s="745">
        <v>171.74</v>
      </c>
      <c r="P15" s="99"/>
      <c r="Q15" s="99"/>
      <c r="R15" s="641">
        <v>1288.76</v>
      </c>
      <c r="S15" s="641"/>
      <c r="T15" s="99"/>
      <c r="U15" s="103">
        <f t="shared" si="9"/>
        <v>0</v>
      </c>
      <c r="V15" s="143"/>
      <c r="W15" s="143"/>
      <c r="X15" s="143"/>
      <c r="Y15" s="611"/>
      <c r="Z15" s="143"/>
      <c r="AA15" s="143"/>
      <c r="AB15" s="143"/>
      <c r="AC15" s="143"/>
      <c r="AD15" s="143"/>
      <c r="AE15" s="143"/>
      <c r="AF15" s="143"/>
      <c r="AG15" s="143"/>
      <c r="AH15" s="143"/>
      <c r="AI15" s="103">
        <f t="shared" si="2"/>
        <v>0</v>
      </c>
      <c r="AJ15" s="134">
        <v>6426.52</v>
      </c>
      <c r="AK15" s="134">
        <v>833.64</v>
      </c>
      <c r="AL15" s="136"/>
      <c r="AM15" s="105">
        <f t="shared" si="3"/>
        <v>0</v>
      </c>
      <c r="AN15" s="145"/>
      <c r="AO15" s="143"/>
      <c r="AP15" s="143"/>
      <c r="AQ15" s="146"/>
      <c r="AR15" s="224">
        <f t="shared" si="4"/>
        <v>0</v>
      </c>
      <c r="AS15" s="492">
        <v>5047.4</v>
      </c>
      <c r="AT15" s="229">
        <v>98</v>
      </c>
      <c r="AU15" s="127"/>
      <c r="AV15" s="127"/>
      <c r="AW15" s="127"/>
      <c r="AX15" s="127"/>
      <c r="AY15" s="229">
        <v>29.4</v>
      </c>
      <c r="AZ15" s="752"/>
      <c r="BA15" s="127"/>
      <c r="BB15" s="127"/>
      <c r="BC15" s="274"/>
      <c r="BD15" s="222">
        <f t="shared" si="5"/>
        <v>0</v>
      </c>
      <c r="BE15" s="140">
        <f t="shared" si="6"/>
        <v>0</v>
      </c>
      <c r="BF15" s="132"/>
      <c r="BG15" s="140">
        <f t="shared" si="7"/>
        <v>0</v>
      </c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50"/>
      <c r="BS15" s="141">
        <v>1700</v>
      </c>
      <c r="BT15" s="141"/>
      <c r="BU15" s="130">
        <f t="shared" si="8"/>
        <v>0</v>
      </c>
      <c r="BV15" s="132"/>
    </row>
    <row r="16" ht="14.25" customHeight="1">
      <c r="A16" s="132"/>
      <c r="B16" s="512">
        <v>46032</v>
      </c>
      <c r="C16" s="133">
        <f>18996.20-D16-0</f>
      </c>
      <c r="D16" s="134">
        <v>2806.29</v>
      </c>
      <c r="E16" s="135"/>
      <c r="F16" s="135"/>
      <c r="G16" s="147">
        <f t="shared" si="0"/>
        <v>0</v>
      </c>
      <c r="H16" s="742"/>
      <c r="I16" s="746"/>
      <c r="J16" s="744"/>
      <c r="K16" s="744"/>
      <c r="L16" s="747">
        <v>416.7</v>
      </c>
      <c r="M16" s="745"/>
      <c r="N16" s="745"/>
      <c r="O16" s="747">
        <v>75.07</v>
      </c>
      <c r="P16" s="99">
        <v>1341.5</v>
      </c>
      <c r="Q16" s="99"/>
      <c r="R16" s="641">
        <v>4273.53</v>
      </c>
      <c r="S16" s="641"/>
      <c r="T16" s="99"/>
      <c r="U16" s="103">
        <f t="shared" si="9"/>
        <v>0</v>
      </c>
      <c r="V16" s="143"/>
      <c r="W16" s="143"/>
      <c r="X16" s="143"/>
      <c r="Y16" s="611"/>
      <c r="Z16" s="143"/>
      <c r="AA16" s="143"/>
      <c r="AB16" s="143"/>
      <c r="AC16" s="143"/>
      <c r="AD16" s="143"/>
      <c r="AE16" s="143"/>
      <c r="AF16" s="143"/>
      <c r="AG16" s="143"/>
      <c r="AH16" s="143"/>
      <c r="AI16" s="103">
        <f t="shared" si="2"/>
        <v>0</v>
      </c>
      <c r="AJ16" s="134">
        <v>5435.22</v>
      </c>
      <c r="AK16" s="134">
        <v>709.59</v>
      </c>
      <c r="AL16" s="136"/>
      <c r="AM16" s="105">
        <f t="shared" si="3"/>
        <v>0</v>
      </c>
      <c r="AN16" s="145"/>
      <c r="AO16" s="143"/>
      <c r="AP16" s="143"/>
      <c r="AQ16" s="146"/>
      <c r="AR16" s="224">
        <f t="shared" si="4"/>
        <v>0</v>
      </c>
      <c r="AS16" s="492">
        <v>4441.8</v>
      </c>
      <c r="AT16" s="126"/>
      <c r="AU16" s="127"/>
      <c r="AV16" s="127"/>
      <c r="AW16" s="127"/>
      <c r="AX16" s="127"/>
      <c r="AY16" s="229">
        <v>61.3</v>
      </c>
      <c r="AZ16" s="127"/>
      <c r="BA16" s="127"/>
      <c r="BB16" s="127"/>
      <c r="BC16" s="274"/>
      <c r="BD16" s="222">
        <f t="shared" si="5"/>
        <v>0</v>
      </c>
      <c r="BE16" s="140">
        <f t="shared" si="6"/>
        <v>0</v>
      </c>
      <c r="BF16" s="132"/>
      <c r="BG16" s="140">
        <f t="shared" si="7"/>
        <v>0</v>
      </c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150"/>
      <c r="BS16" s="150">
        <v>2240</v>
      </c>
      <c r="BT16" s="141"/>
      <c r="BU16" s="130">
        <f t="shared" si="8"/>
        <v>0</v>
      </c>
      <c r="BV16" s="132"/>
    </row>
    <row r="17" ht="14.25" customHeight="1">
      <c r="A17" s="132"/>
      <c r="B17" s="512">
        <v>46033</v>
      </c>
      <c r="C17" s="133">
        <f>17642.96-D17-0</f>
      </c>
      <c r="D17" s="134">
        <v>5225.96</v>
      </c>
      <c r="E17" s="135"/>
      <c r="F17" s="135"/>
      <c r="G17" s="147">
        <f t="shared" si="0"/>
        <v>0</v>
      </c>
      <c r="H17" s="742"/>
      <c r="I17" s="746"/>
      <c r="J17" s="744"/>
      <c r="K17" s="744"/>
      <c r="L17" s="745"/>
      <c r="M17" s="745"/>
      <c r="N17" s="745"/>
      <c r="O17" s="745">
        <v>203.29</v>
      </c>
      <c r="P17" s="99"/>
      <c r="Q17" s="99"/>
      <c r="R17" s="748">
        <v>423.83</v>
      </c>
      <c r="S17" s="641"/>
      <c r="T17" s="99"/>
      <c r="U17" s="103">
        <f t="shared" si="9"/>
        <v>0</v>
      </c>
      <c r="V17" s="143"/>
      <c r="W17" s="143"/>
      <c r="X17" s="143"/>
      <c r="Y17" s="611"/>
      <c r="Z17" s="143"/>
      <c r="AA17" s="143"/>
      <c r="AB17" s="143"/>
      <c r="AC17" s="143"/>
      <c r="AD17" s="143"/>
      <c r="AE17" s="143"/>
      <c r="AF17" s="143"/>
      <c r="AG17" s="143"/>
      <c r="AH17" s="143"/>
      <c r="AI17" s="103">
        <f t="shared" si="2"/>
        <v>0</v>
      </c>
      <c r="AJ17" s="134">
        <v>4495.62</v>
      </c>
      <c r="AK17" s="134">
        <v>1232.09</v>
      </c>
      <c r="AL17" s="136"/>
      <c r="AM17" s="105">
        <f t="shared" si="3"/>
        <v>0</v>
      </c>
      <c r="AN17" s="145"/>
      <c r="AO17" s="143"/>
      <c r="AP17" s="143"/>
      <c r="AQ17" s="146"/>
      <c r="AR17" s="224">
        <f t="shared" si="4"/>
        <v>0</v>
      </c>
      <c r="AS17" s="492">
        <v>7386.8</v>
      </c>
      <c r="AT17" s="126"/>
      <c r="AU17" s="127"/>
      <c r="AV17" s="127"/>
      <c r="AW17" s="127"/>
      <c r="AX17" s="127"/>
      <c r="AY17" s="229">
        <v>98</v>
      </c>
      <c r="AZ17" s="127"/>
      <c r="BA17" s="127"/>
      <c r="BB17" s="127"/>
      <c r="BC17" s="274"/>
      <c r="BD17" s="222">
        <f t="shared" si="5"/>
        <v>0</v>
      </c>
      <c r="BE17" s="140">
        <f t="shared" si="6"/>
        <v>0</v>
      </c>
      <c r="BF17" s="132"/>
      <c r="BG17" s="140">
        <f t="shared" si="7"/>
        <v>0</v>
      </c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150"/>
      <c r="BS17" s="141">
        <v>3800</v>
      </c>
      <c r="BT17" s="141"/>
      <c r="BU17" s="130">
        <f t="shared" si="8"/>
        <v>0</v>
      </c>
      <c r="BV17" s="132"/>
    </row>
    <row r="18" ht="14.25" customHeight="1">
      <c r="A18" s="132"/>
      <c r="B18" s="512">
        <v>46034</v>
      </c>
      <c r="C18" s="133">
        <f>19501.78-D18-0</f>
      </c>
      <c r="D18" s="134">
        <v>2811.62</v>
      </c>
      <c r="E18" s="135"/>
      <c r="F18" s="135"/>
      <c r="G18" s="147">
        <f t="shared" si="0"/>
        <v>0</v>
      </c>
      <c r="H18" s="742"/>
      <c r="I18" s="746"/>
      <c r="J18" s="744"/>
      <c r="K18" s="744"/>
      <c r="L18" s="747">
        <v>390.01</v>
      </c>
      <c r="M18" s="745"/>
      <c r="N18" s="745"/>
      <c r="O18" s="747">
        <v>96.47</v>
      </c>
      <c r="P18" s="121">
        <v>260.04</v>
      </c>
      <c r="Q18" s="99"/>
      <c r="R18" s="641">
        <v>4023.93</v>
      </c>
      <c r="S18" s="641"/>
      <c r="T18" s="99"/>
      <c r="U18" s="103">
        <f t="shared" si="9"/>
        <v>0</v>
      </c>
      <c r="V18" s="143"/>
      <c r="W18" s="143"/>
      <c r="X18" s="143"/>
      <c r="Y18" s="611"/>
      <c r="Z18" s="143"/>
      <c r="AA18" s="143"/>
      <c r="AB18" s="143"/>
      <c r="AC18" s="143"/>
      <c r="AD18" s="143"/>
      <c r="AE18" s="143"/>
      <c r="AF18" s="143"/>
      <c r="AG18" s="143"/>
      <c r="AH18" s="143"/>
      <c r="AI18" s="103">
        <f t="shared" si="2"/>
        <v>0</v>
      </c>
      <c r="AJ18" s="134">
        <v>5478.03</v>
      </c>
      <c r="AK18" s="134">
        <v>928.72</v>
      </c>
      <c r="AL18" s="136"/>
      <c r="AM18" s="105">
        <f t="shared" si="3"/>
        <v>0</v>
      </c>
      <c r="AN18" s="145"/>
      <c r="AO18" s="143"/>
      <c r="AP18" s="143"/>
      <c r="AQ18" s="146"/>
      <c r="AR18" s="224">
        <f t="shared" si="4"/>
        <v>0</v>
      </c>
      <c r="AS18" s="492">
        <v>6537.6</v>
      </c>
      <c r="AT18" s="749"/>
      <c r="AU18" s="751"/>
      <c r="AV18" s="127"/>
      <c r="AW18" s="127"/>
      <c r="AX18" s="127"/>
      <c r="AY18" s="229">
        <v>84.9</v>
      </c>
      <c r="AZ18" s="127"/>
      <c r="BA18" s="127"/>
      <c r="BB18" s="127"/>
      <c r="BC18" s="274"/>
      <c r="BD18" s="222">
        <f t="shared" si="5"/>
        <v>0</v>
      </c>
      <c r="BE18" s="140">
        <f t="shared" si="6"/>
        <v>0</v>
      </c>
      <c r="BF18" s="132"/>
      <c r="BG18" s="140">
        <f t="shared" si="7"/>
        <v>0</v>
      </c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50"/>
      <c r="BS18" s="141">
        <v>1700</v>
      </c>
      <c r="BT18" s="141"/>
      <c r="BU18" s="130">
        <f t="shared" si="8"/>
        <v>0</v>
      </c>
      <c r="BV18" s="132"/>
    </row>
    <row r="19" ht="14.25" customHeight="1">
      <c r="A19" s="132"/>
      <c r="B19" s="512">
        <v>46035</v>
      </c>
      <c r="C19" s="133">
        <f>16867.83-D19-0</f>
      </c>
      <c r="D19" s="134">
        <v>2781.88</v>
      </c>
      <c r="E19" s="135"/>
      <c r="F19" s="135"/>
      <c r="G19" s="147">
        <f t="shared" si="0"/>
        <v>0</v>
      </c>
      <c r="H19" s="742"/>
      <c r="I19" s="746"/>
      <c r="J19" s="744"/>
      <c r="K19" s="744"/>
      <c r="L19" s="745"/>
      <c r="M19" s="745"/>
      <c r="N19" s="745"/>
      <c r="O19" s="747">
        <v>46.3</v>
      </c>
      <c r="P19" s="99">
        <v>125.17</v>
      </c>
      <c r="Q19" s="99"/>
      <c r="R19" s="641">
        <v>3088.47</v>
      </c>
      <c r="S19" s="748">
        <v>1103.45</v>
      </c>
      <c r="T19" s="99"/>
      <c r="U19" s="103">
        <f t="shared" si="9"/>
        <v>0</v>
      </c>
      <c r="V19" s="143"/>
      <c r="W19" s="143"/>
      <c r="X19" s="143"/>
      <c r="Y19" s="611"/>
      <c r="Z19" s="143"/>
      <c r="AA19" s="143"/>
      <c r="AB19" s="143"/>
      <c r="AC19" s="143"/>
      <c r="AD19" s="143"/>
      <c r="AE19" s="143"/>
      <c r="AF19" s="143"/>
      <c r="AG19" s="143"/>
      <c r="AH19" s="143"/>
      <c r="AI19" s="103">
        <f t="shared" si="2"/>
        <v>0</v>
      </c>
      <c r="AJ19" s="134">
        <v>4070.73</v>
      </c>
      <c r="AK19" s="134">
        <v>721.04</v>
      </c>
      <c r="AL19" s="136"/>
      <c r="AM19" s="105">
        <f t="shared" si="3"/>
        <v>0</v>
      </c>
      <c r="AN19" s="145"/>
      <c r="AO19" s="143"/>
      <c r="AP19" s="143"/>
      <c r="AQ19" s="146"/>
      <c r="AR19" s="224">
        <f t="shared" si="4"/>
        <v>0</v>
      </c>
      <c r="AS19" s="492">
        <v>5743.5</v>
      </c>
      <c r="AT19" s="126"/>
      <c r="AU19" s="127"/>
      <c r="AV19" s="127"/>
      <c r="AW19" s="127"/>
      <c r="AX19" s="127"/>
      <c r="AY19" s="229">
        <v>617</v>
      </c>
      <c r="AZ19" s="127"/>
      <c r="BA19" s="127"/>
      <c r="BB19" s="127"/>
      <c r="BC19" s="274"/>
      <c r="BD19" s="222">
        <f t="shared" si="5"/>
        <v>0</v>
      </c>
      <c r="BE19" s="140">
        <f t="shared" si="6"/>
        <v>0</v>
      </c>
      <c r="BF19" s="132"/>
      <c r="BG19" s="140">
        <f t="shared" si="7"/>
        <v>0</v>
      </c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150"/>
      <c r="BS19" s="141">
        <v>1350</v>
      </c>
      <c r="BT19" s="141"/>
      <c r="BU19" s="130">
        <f t="shared" si="8"/>
        <v>0</v>
      </c>
      <c r="BV19" s="132"/>
    </row>
    <row r="20" ht="15.75" customHeight="1">
      <c r="A20" s="132"/>
      <c r="B20" s="512">
        <v>46036</v>
      </c>
      <c r="C20" s="133">
        <f>18337.43-D20-0</f>
      </c>
      <c r="D20" s="134">
        <v>2455.3</v>
      </c>
      <c r="E20" s="135"/>
      <c r="F20" s="135"/>
      <c r="G20" s="147">
        <f t="shared" si="0"/>
        <v>0</v>
      </c>
      <c r="H20" s="742"/>
      <c r="I20" s="746"/>
      <c r="J20" s="744"/>
      <c r="K20" s="744"/>
      <c r="L20" s="747">
        <v>203.01</v>
      </c>
      <c r="M20" s="745"/>
      <c r="N20" s="745"/>
      <c r="O20" s="747">
        <v>114.92</v>
      </c>
      <c r="P20" s="99"/>
      <c r="Q20" s="99"/>
      <c r="R20" s="641">
        <v>4071.65</v>
      </c>
      <c r="S20" s="748">
        <v>961.99</v>
      </c>
      <c r="T20" s="99"/>
      <c r="U20" s="103">
        <f t="shared" si="9"/>
        <v>0</v>
      </c>
      <c r="V20" s="143"/>
      <c r="W20" s="143"/>
      <c r="X20" s="143"/>
      <c r="Y20" s="611"/>
      <c r="Z20" s="143"/>
      <c r="AA20" s="143"/>
      <c r="AB20" s="143"/>
      <c r="AC20" s="143"/>
      <c r="AD20" s="143"/>
      <c r="AE20" s="143"/>
      <c r="AF20" s="143"/>
      <c r="AG20" s="143"/>
      <c r="AH20" s="143"/>
      <c r="AI20" s="103">
        <f t="shared" si="2"/>
        <v>0</v>
      </c>
      <c r="AJ20" s="134">
        <v>4974.37</v>
      </c>
      <c r="AK20" s="134">
        <v>886.76</v>
      </c>
      <c r="AL20" s="136"/>
      <c r="AM20" s="105">
        <f t="shared" si="3"/>
        <v>0</v>
      </c>
      <c r="AN20" s="145"/>
      <c r="AO20" s="143"/>
      <c r="AP20" s="143"/>
      <c r="AQ20" s="146"/>
      <c r="AR20" s="224">
        <f t="shared" si="4"/>
        <v>0</v>
      </c>
      <c r="AS20" s="492">
        <v>5670.5</v>
      </c>
      <c r="AT20" s="126"/>
      <c r="AU20" s="127"/>
      <c r="AV20" s="127"/>
      <c r="AW20" s="127"/>
      <c r="AX20" s="127"/>
      <c r="AY20" s="229">
        <v>1452.5</v>
      </c>
      <c r="AZ20" s="127"/>
      <c r="BA20" s="127"/>
      <c r="BB20" s="127"/>
      <c r="BC20" s="274"/>
      <c r="BD20" s="222">
        <f t="shared" si="5"/>
        <v>0</v>
      </c>
      <c r="BE20" s="140">
        <f t="shared" si="6"/>
        <v>0</v>
      </c>
      <c r="BF20" s="132"/>
      <c r="BG20" s="140">
        <f t="shared" si="7"/>
        <v>0</v>
      </c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30">
        <f t="shared" si="8"/>
        <v>0</v>
      </c>
      <c r="BV20" s="132"/>
    </row>
    <row r="21" ht="14.25" customHeight="1">
      <c r="A21" s="132"/>
      <c r="B21" s="512">
        <v>46037</v>
      </c>
      <c r="C21" s="133">
        <f>11122.66-D21-0</f>
      </c>
      <c r="D21" s="134">
        <v>2066.63</v>
      </c>
      <c r="E21" s="135"/>
      <c r="F21" s="135"/>
      <c r="G21" s="147">
        <f t="shared" si="0"/>
        <v>0</v>
      </c>
      <c r="H21" s="742"/>
      <c r="I21" s="746"/>
      <c r="J21" s="744"/>
      <c r="K21" s="744"/>
      <c r="L21" s="747">
        <v>671.63</v>
      </c>
      <c r="M21" s="745"/>
      <c r="N21" s="745"/>
      <c r="O21" s="747">
        <v>125.81</v>
      </c>
      <c r="P21" s="121">
        <v>37.34</v>
      </c>
      <c r="Q21" s="99"/>
      <c r="R21" s="748">
        <v>135.27</v>
      </c>
      <c r="S21" s="641"/>
      <c r="T21" s="99"/>
      <c r="U21" s="103">
        <f t="shared" si="9"/>
        <v>0</v>
      </c>
      <c r="V21" s="143"/>
      <c r="W21" s="143"/>
      <c r="X21" s="143"/>
      <c r="Y21" s="611"/>
      <c r="Z21" s="143"/>
      <c r="AA21" s="143"/>
      <c r="AB21" s="143"/>
      <c r="AC21" s="143"/>
      <c r="AD21" s="143"/>
      <c r="AE21" s="143"/>
      <c r="AF21" s="143"/>
      <c r="AG21" s="143"/>
      <c r="AH21" s="143"/>
      <c r="AI21" s="103">
        <f t="shared" si="2"/>
        <v>0</v>
      </c>
      <c r="AJ21" s="134">
        <v>3983.9</v>
      </c>
      <c r="AK21" s="134">
        <v>564.1</v>
      </c>
      <c r="AL21" s="136"/>
      <c r="AM21" s="105">
        <f t="shared" si="3"/>
        <v>0</v>
      </c>
      <c r="AN21" s="145">
        <v>3.23</v>
      </c>
      <c r="AO21" s="143"/>
      <c r="AP21" s="143"/>
      <c r="AQ21" s="146"/>
      <c r="AR21" s="224">
        <f t="shared" si="4"/>
        <v>0</v>
      </c>
      <c r="AS21" s="492">
        <v>3658.8</v>
      </c>
      <c r="AT21" s="126"/>
      <c r="AU21" s="127"/>
      <c r="AV21" s="127"/>
      <c r="AW21" s="127"/>
      <c r="AX21" s="127"/>
      <c r="AY21" s="229">
        <v>1464</v>
      </c>
      <c r="AZ21" s="127"/>
      <c r="BA21" s="127"/>
      <c r="BB21" s="127"/>
      <c r="BC21" s="274"/>
      <c r="BD21" s="222">
        <f t="shared" si="5"/>
        <v>0</v>
      </c>
      <c r="BE21" s="140">
        <f t="shared" si="6"/>
        <v>0</v>
      </c>
      <c r="BF21" s="132"/>
      <c r="BG21" s="140">
        <f t="shared" si="7"/>
        <v>0</v>
      </c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150"/>
      <c r="BS21" s="141">
        <v>480</v>
      </c>
      <c r="BT21" s="141"/>
      <c r="BU21" s="130">
        <f t="shared" si="8"/>
        <v>0</v>
      </c>
      <c r="BV21" s="132"/>
    </row>
    <row r="22" ht="14.25" customHeight="1">
      <c r="A22" s="3"/>
      <c r="B22" s="512">
        <v>46038</v>
      </c>
      <c r="C22" s="118">
        <f>14732.06-D22-0</f>
      </c>
      <c r="D22" s="119">
        <v>2250.01</v>
      </c>
      <c r="E22" s="120"/>
      <c r="F22" s="120"/>
      <c r="G22" s="147">
        <f t="shared" si="0"/>
        <v>0</v>
      </c>
      <c r="H22" s="742"/>
      <c r="I22" s="746"/>
      <c r="J22" s="744"/>
      <c r="K22" s="744"/>
      <c r="L22" s="745"/>
      <c r="M22" s="745"/>
      <c r="N22" s="745"/>
      <c r="O22" s="745">
        <v>180.3</v>
      </c>
      <c r="P22" s="121">
        <v>250.26</v>
      </c>
      <c r="Q22" s="99"/>
      <c r="R22" s="641">
        <v>3111.62</v>
      </c>
      <c r="S22" s="641"/>
      <c r="T22" s="99"/>
      <c r="U22" s="103">
        <f t="shared" si="9"/>
        <v>0</v>
      </c>
      <c r="V22" s="143"/>
      <c r="W22" s="143"/>
      <c r="X22" s="143"/>
      <c r="Y22" s="611"/>
      <c r="Z22" s="143"/>
      <c r="AA22" s="143"/>
      <c r="AB22" s="143"/>
      <c r="AC22" s="143"/>
      <c r="AD22" s="143"/>
      <c r="AE22" s="143"/>
      <c r="AF22" s="143"/>
      <c r="AG22" s="143"/>
      <c r="AH22" s="143"/>
      <c r="AI22" s="103">
        <f t="shared" si="2"/>
        <v>0</v>
      </c>
      <c r="AJ22" s="119">
        <v>5441.69</v>
      </c>
      <c r="AK22" s="119">
        <v>582.53</v>
      </c>
      <c r="AL22" s="123"/>
      <c r="AM22" s="105">
        <f t="shared" si="3"/>
        <v>0</v>
      </c>
      <c r="AN22" s="143"/>
      <c r="AO22" s="143"/>
      <c r="AP22" s="143"/>
      <c r="AQ22" s="146"/>
      <c r="AR22" s="224">
        <f t="shared" si="4"/>
        <v>0</v>
      </c>
      <c r="AS22" s="492">
        <v>3265.6</v>
      </c>
      <c r="AT22" s="126"/>
      <c r="AU22" s="127"/>
      <c r="AV22" s="127"/>
      <c r="AW22" s="127"/>
      <c r="AX22" s="127"/>
      <c r="AY22" s="229">
        <v>1555.6</v>
      </c>
      <c r="AZ22" s="127"/>
      <c r="BA22" s="127"/>
      <c r="BB22" s="127"/>
      <c r="BC22" s="274"/>
      <c r="BD22" s="222">
        <f t="shared" si="5"/>
        <v>0</v>
      </c>
      <c r="BE22" s="113">
        <f t="shared" si="6"/>
        <v>0</v>
      </c>
      <c r="BF22" s="3"/>
      <c r="BG22" s="113">
        <f t="shared" si="7"/>
        <v>0</v>
      </c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31"/>
      <c r="BS22" s="129">
        <v>342.35</v>
      </c>
      <c r="BT22" s="129"/>
      <c r="BU22" s="130">
        <f t="shared" si="8"/>
        <v>0</v>
      </c>
      <c r="BV22" s="3"/>
    </row>
    <row r="23" ht="14.25" customHeight="1">
      <c r="A23" s="132"/>
      <c r="B23" s="512">
        <v>46039</v>
      </c>
      <c r="C23" s="133">
        <f>17207.29-D23-0</f>
      </c>
      <c r="D23" s="134">
        <v>3147.72</v>
      </c>
      <c r="E23" s="135"/>
      <c r="F23" s="135"/>
      <c r="G23" s="147">
        <f t="shared" si="0"/>
        <v>0</v>
      </c>
      <c r="H23" s="742"/>
      <c r="I23" s="746"/>
      <c r="J23" s="744"/>
      <c r="K23" s="744"/>
      <c r="L23" s="745"/>
      <c r="M23" s="745"/>
      <c r="N23" s="745"/>
      <c r="O23" s="745">
        <v>214.72</v>
      </c>
      <c r="P23" s="99">
        <v>166.98</v>
      </c>
      <c r="Q23" s="99"/>
      <c r="R23" s="641">
        <v>2188.22</v>
      </c>
      <c r="S23" s="641"/>
      <c r="T23" s="99"/>
      <c r="U23" s="103">
        <f t="shared" si="9"/>
        <v>0</v>
      </c>
      <c r="V23" s="143"/>
      <c r="W23" s="143"/>
      <c r="X23" s="143"/>
      <c r="Y23" s="611"/>
      <c r="Z23" s="143"/>
      <c r="AA23" s="143"/>
      <c r="AB23" s="143"/>
      <c r="AC23" s="143"/>
      <c r="AD23" s="143"/>
      <c r="AE23" s="143"/>
      <c r="AF23" s="143"/>
      <c r="AG23" s="143"/>
      <c r="AH23" s="143"/>
      <c r="AI23" s="103">
        <f t="shared" si="2"/>
        <v>0</v>
      </c>
      <c r="AJ23" s="134">
        <v>4832.39</v>
      </c>
      <c r="AK23" s="134">
        <v>1054.78</v>
      </c>
      <c r="AL23" s="136"/>
      <c r="AM23" s="105">
        <f t="shared" si="3"/>
        <v>0</v>
      </c>
      <c r="AN23" s="143"/>
      <c r="AO23" s="143"/>
      <c r="AP23" s="143"/>
      <c r="AQ23" s="146"/>
      <c r="AR23" s="224">
        <f t="shared" si="4"/>
        <v>0</v>
      </c>
      <c r="AS23" s="492">
        <v>5107.3</v>
      </c>
      <c r="AT23" s="229">
        <v>1681.4</v>
      </c>
      <c r="AU23" s="753"/>
      <c r="AV23" s="753"/>
      <c r="AW23" s="127"/>
      <c r="AX23" s="127"/>
      <c r="AY23" s="229">
        <v>1959.2</v>
      </c>
      <c r="AZ23" s="127"/>
      <c r="BA23" s="127"/>
      <c r="BB23" s="127"/>
      <c r="BC23" s="274"/>
      <c r="BD23" s="222">
        <f t="shared" si="5"/>
        <v>0</v>
      </c>
      <c r="BE23" s="140">
        <f t="shared" si="6"/>
        <v>0</v>
      </c>
      <c r="BF23" s="132"/>
      <c r="BG23" s="140">
        <f t="shared" si="7"/>
        <v>0</v>
      </c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30">
        <f t="shared" si="8"/>
        <v>0</v>
      </c>
      <c r="BV23" s="132"/>
    </row>
    <row r="24" ht="14.25" customHeight="1">
      <c r="A24" s="132"/>
      <c r="B24" s="512">
        <v>46040</v>
      </c>
      <c r="C24" s="133">
        <f>12601.31-D24-0</f>
      </c>
      <c r="D24" s="134">
        <v>2963.4</v>
      </c>
      <c r="E24" s="135"/>
      <c r="F24" s="135"/>
      <c r="G24" s="147">
        <f t="shared" si="0"/>
        <v>0</v>
      </c>
      <c r="H24" s="742"/>
      <c r="I24" s="746"/>
      <c r="J24" s="744"/>
      <c r="K24" s="744"/>
      <c r="L24" s="745"/>
      <c r="M24" s="745"/>
      <c r="N24" s="745"/>
      <c r="O24" s="747">
        <v>31.04</v>
      </c>
      <c r="P24" s="99"/>
      <c r="Q24" s="99"/>
      <c r="R24" s="641">
        <v>636.19</v>
      </c>
      <c r="S24" s="641"/>
      <c r="T24" s="99"/>
      <c r="U24" s="103">
        <f t="shared" si="9"/>
        <v>0</v>
      </c>
      <c r="V24" s="143"/>
      <c r="W24" s="143"/>
      <c r="X24" s="143"/>
      <c r="Y24" s="611"/>
      <c r="Z24" s="143"/>
      <c r="AA24" s="143"/>
      <c r="AB24" s="143"/>
      <c r="AC24" s="143"/>
      <c r="AD24" s="143"/>
      <c r="AE24" s="143"/>
      <c r="AF24" s="143"/>
      <c r="AG24" s="143"/>
      <c r="AH24" s="143"/>
      <c r="AI24" s="103">
        <f t="shared" si="2"/>
        <v>0</v>
      </c>
      <c r="AJ24" s="134">
        <v>4396.68</v>
      </c>
      <c r="AK24" s="134">
        <v>912.47</v>
      </c>
      <c r="AL24" s="136"/>
      <c r="AM24" s="105">
        <f t="shared" si="3"/>
        <v>0</v>
      </c>
      <c r="AN24" s="143"/>
      <c r="AO24" s="143"/>
      <c r="AP24" s="143"/>
      <c r="AQ24" s="146"/>
      <c r="AR24" s="224">
        <f t="shared" si="4"/>
        <v>0</v>
      </c>
      <c r="AS24" s="492">
        <v>4604.4</v>
      </c>
      <c r="AT24" s="126"/>
      <c r="AU24" s="127"/>
      <c r="AV24" s="127"/>
      <c r="AW24" s="127"/>
      <c r="AX24" s="127"/>
      <c r="AY24" s="229">
        <v>2018.3</v>
      </c>
      <c r="AZ24" s="127"/>
      <c r="BA24" s="127"/>
      <c r="BB24" s="127"/>
      <c r="BC24" s="274"/>
      <c r="BD24" s="222">
        <f t="shared" si="5"/>
        <v>0</v>
      </c>
      <c r="BE24" s="140">
        <f t="shared" si="6"/>
        <v>0</v>
      </c>
      <c r="BF24" s="132"/>
      <c r="BG24" s="140">
        <f t="shared" si="7"/>
        <v>0</v>
      </c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130">
        <f t="shared" si="8"/>
        <v>0</v>
      </c>
      <c r="BV24" s="132"/>
    </row>
    <row r="25" ht="14.25" customHeight="1">
      <c r="A25" s="132"/>
      <c r="B25" s="512">
        <v>46041</v>
      </c>
      <c r="C25" s="133">
        <f>17262.90-D25-0</f>
      </c>
      <c r="D25" s="134">
        <v>2765.97</v>
      </c>
      <c r="E25" s="135"/>
      <c r="F25" s="135"/>
      <c r="G25" s="147">
        <f t="shared" si="0"/>
        <v>0</v>
      </c>
      <c r="H25" s="742"/>
      <c r="I25" s="746"/>
      <c r="J25" s="744"/>
      <c r="K25" s="744"/>
      <c r="L25" s="745"/>
      <c r="M25" s="745"/>
      <c r="N25" s="745"/>
      <c r="O25" s="747">
        <v>29.73</v>
      </c>
      <c r="P25" s="99"/>
      <c r="Q25" s="99"/>
      <c r="R25" s="641">
        <v>4049.49</v>
      </c>
      <c r="S25" s="748">
        <v>1039.38</v>
      </c>
      <c r="T25" s="99"/>
      <c r="U25" s="103">
        <f t="shared" si="9"/>
        <v>0</v>
      </c>
      <c r="V25" s="143"/>
      <c r="W25" s="143"/>
      <c r="X25" s="143"/>
      <c r="Y25" s="611"/>
      <c r="Z25" s="143"/>
      <c r="AA25" s="143"/>
      <c r="AB25" s="143"/>
      <c r="AC25" s="143"/>
      <c r="AD25" s="143"/>
      <c r="AE25" s="143"/>
      <c r="AF25" s="143"/>
      <c r="AG25" s="143"/>
      <c r="AH25" s="143"/>
      <c r="AI25" s="103">
        <f t="shared" si="2"/>
        <v>0</v>
      </c>
      <c r="AJ25" s="134">
        <v>4192.58</v>
      </c>
      <c r="AK25" s="134">
        <v>689.32</v>
      </c>
      <c r="AL25" s="136"/>
      <c r="AM25" s="105">
        <f t="shared" si="3"/>
        <v>0</v>
      </c>
      <c r="AN25" s="143"/>
      <c r="AO25" s="143"/>
      <c r="AP25" s="143"/>
      <c r="AQ25" s="146"/>
      <c r="AR25" s="224">
        <f t="shared" si="4"/>
        <v>0</v>
      </c>
      <c r="AS25" s="492">
        <v>5185.3</v>
      </c>
      <c r="AT25" s="126"/>
      <c r="AU25" s="127"/>
      <c r="AV25" s="127"/>
      <c r="AW25" s="127"/>
      <c r="AX25" s="127"/>
      <c r="AY25" s="229">
        <v>2075</v>
      </c>
      <c r="AZ25" s="127"/>
      <c r="BA25" s="127"/>
      <c r="BB25" s="127"/>
      <c r="BC25" s="274"/>
      <c r="BD25" s="222">
        <f t="shared" si="5"/>
        <v>0</v>
      </c>
      <c r="BE25" s="140">
        <f t="shared" si="6"/>
        <v>0</v>
      </c>
      <c r="BF25" s="132"/>
      <c r="BG25" s="140">
        <f t="shared" si="7"/>
        <v>0</v>
      </c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130">
        <f t="shared" si="8"/>
        <v>0</v>
      </c>
      <c r="BV25" s="132"/>
    </row>
    <row r="26" ht="14.25" customHeight="1">
      <c r="A26" s="132"/>
      <c r="B26" s="512">
        <v>46042</v>
      </c>
      <c r="C26" s="133">
        <f>21085.88-D26-0</f>
      </c>
      <c r="D26" s="134">
        <v>2566.07</v>
      </c>
      <c r="E26" s="135"/>
      <c r="F26" s="135"/>
      <c r="G26" s="147">
        <f t="shared" si="0"/>
        <v>0</v>
      </c>
      <c r="H26" s="742"/>
      <c r="I26" s="746"/>
      <c r="J26" s="744"/>
      <c r="K26" s="744"/>
      <c r="L26" s="745"/>
      <c r="M26" s="745"/>
      <c r="N26" s="745"/>
      <c r="O26" s="747">
        <v>143</v>
      </c>
      <c r="P26" s="99">
        <v>609.7</v>
      </c>
      <c r="Q26" s="99"/>
      <c r="R26" s="641">
        <v>3621.58</v>
      </c>
      <c r="S26" s="748">
        <v>959.42</v>
      </c>
      <c r="T26" s="99"/>
      <c r="U26" s="103">
        <f t="shared" si="9"/>
        <v>0</v>
      </c>
      <c r="V26" s="143"/>
      <c r="W26" s="143"/>
      <c r="X26" s="143"/>
      <c r="Y26" s="611"/>
      <c r="Z26" s="143"/>
      <c r="AA26" s="143"/>
      <c r="AB26" s="143"/>
      <c r="AC26" s="143"/>
      <c r="AD26" s="143"/>
      <c r="AE26" s="143"/>
      <c r="AF26" s="143"/>
      <c r="AG26" s="143"/>
      <c r="AH26" s="143"/>
      <c r="AI26" s="103">
        <f t="shared" si="2"/>
        <v>0</v>
      </c>
      <c r="AJ26" s="134">
        <v>7689.68</v>
      </c>
      <c r="AK26" s="134">
        <v>659.04</v>
      </c>
      <c r="AL26" s="136"/>
      <c r="AM26" s="105">
        <f t="shared" si="3"/>
        <v>0</v>
      </c>
      <c r="AN26" s="143"/>
      <c r="AO26" s="143"/>
      <c r="AP26" s="143"/>
      <c r="AQ26" s="146"/>
      <c r="AR26" s="224">
        <f t="shared" si="4"/>
        <v>0</v>
      </c>
      <c r="AS26" s="492">
        <v>5571.9</v>
      </c>
      <c r="AT26" s="126"/>
      <c r="AU26" s="127"/>
      <c r="AV26" s="127"/>
      <c r="AW26" s="127"/>
      <c r="AX26" s="127"/>
      <c r="AY26" s="229">
        <v>1829.2</v>
      </c>
      <c r="AZ26" s="127"/>
      <c r="BA26" s="127"/>
      <c r="BB26" s="127"/>
      <c r="BC26" s="274"/>
      <c r="BD26" s="222">
        <f t="shared" si="5"/>
        <v>0</v>
      </c>
      <c r="BE26" s="140">
        <f t="shared" si="6"/>
        <v>0</v>
      </c>
      <c r="BF26" s="132"/>
      <c r="BG26" s="140">
        <f t="shared" si="7"/>
        <v>0</v>
      </c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130">
        <f t="shared" si="8"/>
        <v>0</v>
      </c>
      <c r="BV26" s="132"/>
    </row>
    <row r="27" ht="13.5" customHeight="1">
      <c r="A27" s="132"/>
      <c r="B27" s="512">
        <v>46043</v>
      </c>
      <c r="C27" s="133">
        <f>17829.67-D27-0</f>
      </c>
      <c r="D27" s="134">
        <v>2371.16</v>
      </c>
      <c r="E27" s="135"/>
      <c r="F27" s="135"/>
      <c r="G27" s="147">
        <f t="shared" si="0"/>
        <v>0</v>
      </c>
      <c r="H27" s="742"/>
      <c r="I27" s="746"/>
      <c r="J27" s="744"/>
      <c r="K27" s="744"/>
      <c r="L27" s="747">
        <v>230.26</v>
      </c>
      <c r="M27" s="745"/>
      <c r="N27" s="745"/>
      <c r="O27" s="745">
        <v>81.46</v>
      </c>
      <c r="P27" s="99"/>
      <c r="Q27" s="99"/>
      <c r="R27" s="641">
        <v>2876.08</v>
      </c>
      <c r="S27" s="641"/>
      <c r="T27" s="99"/>
      <c r="U27" s="103">
        <f t="shared" si="9"/>
        <v>0</v>
      </c>
      <c r="V27" s="143"/>
      <c r="W27" s="143"/>
      <c r="X27" s="143"/>
      <c r="Y27" s="611"/>
      <c r="Z27" s="143"/>
      <c r="AA27" s="143"/>
      <c r="AB27" s="143"/>
      <c r="AC27" s="143"/>
      <c r="AD27" s="143"/>
      <c r="AE27" s="143"/>
      <c r="AF27" s="143"/>
      <c r="AG27" s="143"/>
      <c r="AH27" s="143"/>
      <c r="AI27" s="103">
        <f t="shared" si="2"/>
        <v>0</v>
      </c>
      <c r="AJ27" s="134">
        <v>5532.27</v>
      </c>
      <c r="AK27" s="134">
        <v>698.31</v>
      </c>
      <c r="AL27" s="136"/>
      <c r="AM27" s="105">
        <f t="shared" si="3"/>
        <v>0</v>
      </c>
      <c r="AN27" s="145">
        <v>0.8</v>
      </c>
      <c r="AO27" s="143"/>
      <c r="AP27" s="143"/>
      <c r="AQ27" s="146"/>
      <c r="AR27" s="224">
        <f t="shared" si="4"/>
        <v>0</v>
      </c>
      <c r="AS27" s="492">
        <v>6457.7</v>
      </c>
      <c r="AT27" s="126"/>
      <c r="AU27" s="127"/>
      <c r="AV27" s="127"/>
      <c r="AW27" s="127"/>
      <c r="AX27" s="127"/>
      <c r="AY27" s="229">
        <v>1671.5</v>
      </c>
      <c r="AZ27" s="127"/>
      <c r="BA27" s="127"/>
      <c r="BB27" s="127"/>
      <c r="BC27" s="274"/>
      <c r="BD27" s="222">
        <f t="shared" si="5"/>
        <v>0</v>
      </c>
      <c r="BE27" s="140">
        <f t="shared" si="6"/>
        <v>0</v>
      </c>
      <c r="BF27" s="132"/>
      <c r="BG27" s="140">
        <f t="shared" si="7"/>
        <v>0</v>
      </c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50"/>
      <c r="BS27" s="141">
        <v>280</v>
      </c>
      <c r="BT27" s="141"/>
      <c r="BU27" s="130">
        <f t="shared" si="8"/>
        <v>0</v>
      </c>
      <c r="BV27" s="132"/>
    </row>
    <row r="28" ht="14.25" customHeight="1">
      <c r="A28" s="132"/>
      <c r="B28" s="512">
        <v>46044</v>
      </c>
      <c r="C28" s="133">
        <f>16825.68-D28-0</f>
      </c>
      <c r="D28" s="134">
        <v>2172.05</v>
      </c>
      <c r="E28" s="135"/>
      <c r="F28" s="135"/>
      <c r="G28" s="147">
        <f t="shared" si="0"/>
        <v>0</v>
      </c>
      <c r="H28" s="754">
        <v>200</v>
      </c>
      <c r="I28" s="746"/>
      <c r="J28" s="744"/>
      <c r="K28" s="744"/>
      <c r="L28" s="747">
        <v>180.03</v>
      </c>
      <c r="M28" s="745"/>
      <c r="N28" s="745"/>
      <c r="O28" s="747">
        <v>98.07</v>
      </c>
      <c r="P28" s="121">
        <v>69.6</v>
      </c>
      <c r="Q28" s="99"/>
      <c r="R28" s="641">
        <v>3042.26</v>
      </c>
      <c r="S28" s="748">
        <v>1052.05</v>
      </c>
      <c r="T28" s="99"/>
      <c r="U28" s="103">
        <f>SUM(H28:T28)</f>
        <v>0</v>
      </c>
      <c r="V28" s="143"/>
      <c r="W28" s="143"/>
      <c r="X28" s="143"/>
      <c r="Y28" s="611"/>
      <c r="Z28" s="143"/>
      <c r="AA28" s="143"/>
      <c r="AB28" s="143"/>
      <c r="AC28" s="143"/>
      <c r="AD28" s="143"/>
      <c r="AE28" s="143"/>
      <c r="AF28" s="143"/>
      <c r="AG28" s="143"/>
      <c r="AH28" s="143"/>
      <c r="AI28" s="103">
        <f t="shared" si="2"/>
        <v>0</v>
      </c>
      <c r="AJ28" s="134">
        <v>4819.28</v>
      </c>
      <c r="AK28" s="134">
        <v>583.51</v>
      </c>
      <c r="AL28" s="136"/>
      <c r="AM28" s="105">
        <f t="shared" si="3"/>
        <v>0</v>
      </c>
      <c r="AN28" s="143"/>
      <c r="AO28" s="143"/>
      <c r="AP28" s="143"/>
      <c r="AQ28" s="146"/>
      <c r="AR28" s="224">
        <f t="shared" si="4"/>
        <v>0</v>
      </c>
      <c r="AS28" s="492">
        <v>5359.4</v>
      </c>
      <c r="AT28" s="126"/>
      <c r="AU28" s="127"/>
      <c r="AV28" s="127"/>
      <c r="AW28" s="127"/>
      <c r="AX28" s="127"/>
      <c r="AY28" s="229">
        <v>1419.4</v>
      </c>
      <c r="AZ28" s="127"/>
      <c r="BA28" s="127"/>
      <c r="BB28" s="127"/>
      <c r="BC28" s="274"/>
      <c r="BD28" s="222">
        <f t="shared" si="5"/>
        <v>0</v>
      </c>
      <c r="BE28" s="140">
        <f t="shared" si="6"/>
        <v>0</v>
      </c>
      <c r="BF28" s="132"/>
      <c r="BG28" s="140">
        <f t="shared" si="7"/>
        <v>0</v>
      </c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30">
        <f t="shared" si="8"/>
        <v>0</v>
      </c>
      <c r="BV28" s="132"/>
    </row>
    <row r="29" ht="14.25" customHeight="1">
      <c r="A29" s="132"/>
      <c r="B29" s="512">
        <v>46045</v>
      </c>
      <c r="C29" s="133">
        <f>18886.90-D29-0</f>
      </c>
      <c r="D29" s="134">
        <v>2681.65</v>
      </c>
      <c r="E29" s="135"/>
      <c r="F29" s="135"/>
      <c r="G29" s="147">
        <f t="shared" si="0"/>
        <v>0</v>
      </c>
      <c r="H29" s="742"/>
      <c r="I29" s="746"/>
      <c r="J29" s="744"/>
      <c r="K29" s="744"/>
      <c r="L29" s="747">
        <v>1350.69</v>
      </c>
      <c r="M29" s="745"/>
      <c r="N29" s="745"/>
      <c r="O29" s="745">
        <v>205.42</v>
      </c>
      <c r="P29" s="99">
        <v>976.86</v>
      </c>
      <c r="Q29" s="99"/>
      <c r="R29" s="641">
        <v>1577.47</v>
      </c>
      <c r="S29" s="748">
        <v>2718.32</v>
      </c>
      <c r="T29" s="99"/>
      <c r="U29" s="103">
        <f ref="U29:U37" t="shared" si="10">SUM(I29:T29)</f>
        <v>0</v>
      </c>
      <c r="V29" s="143"/>
      <c r="W29" s="143"/>
      <c r="X29" s="143"/>
      <c r="Y29" s="611"/>
      <c r="Z29" s="143"/>
      <c r="AA29" s="143"/>
      <c r="AB29" s="143"/>
      <c r="AC29" s="143"/>
      <c r="AD29" s="143"/>
      <c r="AE29" s="143"/>
      <c r="AF29" s="143"/>
      <c r="AG29" s="143"/>
      <c r="AH29" s="143"/>
      <c r="AI29" s="103">
        <f t="shared" si="2"/>
        <v>0</v>
      </c>
      <c r="AJ29" s="134">
        <v>4634.46</v>
      </c>
      <c r="AK29" s="134">
        <v>1071.03</v>
      </c>
      <c r="AL29" s="136"/>
      <c r="AM29" s="105">
        <f t="shared" si="3"/>
        <v>0</v>
      </c>
      <c r="AN29" s="143"/>
      <c r="AO29" s="143"/>
      <c r="AP29" s="143"/>
      <c r="AQ29" s="146"/>
      <c r="AR29" s="224">
        <f t="shared" si="4"/>
        <v>0</v>
      </c>
      <c r="AS29" s="492">
        <v>4817.3</v>
      </c>
      <c r="AT29" s="126"/>
      <c r="AU29" s="127"/>
      <c r="AV29" s="127"/>
      <c r="AW29" s="127"/>
      <c r="AX29" s="127"/>
      <c r="AY29" s="229">
        <v>1533.5</v>
      </c>
      <c r="AZ29" s="127"/>
      <c r="BA29" s="127"/>
      <c r="BB29" s="127"/>
      <c r="BC29" s="274"/>
      <c r="BD29" s="222">
        <f t="shared" si="5"/>
        <v>0</v>
      </c>
      <c r="BE29" s="140">
        <f t="shared" si="6"/>
        <v>0</v>
      </c>
      <c r="BF29" s="132"/>
      <c r="BG29" s="140">
        <f t="shared" si="7"/>
        <v>0</v>
      </c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30">
        <f t="shared" si="8"/>
        <v>0</v>
      </c>
      <c r="BV29" s="132"/>
    </row>
    <row r="30" ht="14.25" customHeight="1">
      <c r="A30" s="132"/>
      <c r="B30" s="512">
        <v>46046</v>
      </c>
      <c r="C30" s="133">
        <f>20089.57-D30-0</f>
      </c>
      <c r="D30" s="134">
        <v>2755.08</v>
      </c>
      <c r="E30" s="135"/>
      <c r="F30" s="135"/>
      <c r="G30" s="147">
        <f t="shared" si="0"/>
        <v>0</v>
      </c>
      <c r="H30" s="742"/>
      <c r="I30" s="746"/>
      <c r="J30" s="744"/>
      <c r="K30" s="744"/>
      <c r="L30" s="747">
        <v>150</v>
      </c>
      <c r="M30" s="745"/>
      <c r="N30" s="747">
        <v>249.35</v>
      </c>
      <c r="O30" s="745">
        <v>355.92</v>
      </c>
      <c r="P30" s="99">
        <v>80.06</v>
      </c>
      <c r="Q30" s="99"/>
      <c r="R30" s="641">
        <v>1711.37</v>
      </c>
      <c r="S30" s="748">
        <v>1039.33</v>
      </c>
      <c r="T30" s="99"/>
      <c r="U30" s="103">
        <f t="shared" si="10"/>
        <v>0</v>
      </c>
      <c r="V30" s="143"/>
      <c r="W30" s="143"/>
      <c r="X30" s="143"/>
      <c r="Y30" s="611"/>
      <c r="Z30" s="143"/>
      <c r="AA30" s="143"/>
      <c r="AB30" s="143"/>
      <c r="AC30" s="143"/>
      <c r="AD30" s="143"/>
      <c r="AE30" s="143"/>
      <c r="AF30" s="143"/>
      <c r="AG30" s="143"/>
      <c r="AH30" s="143"/>
      <c r="AI30" s="103">
        <f t="shared" si="2"/>
        <v>0</v>
      </c>
      <c r="AJ30" s="134">
        <v>8978.17</v>
      </c>
      <c r="AK30" s="134">
        <v>786.79</v>
      </c>
      <c r="AL30" s="136"/>
      <c r="AM30" s="105">
        <f t="shared" si="3"/>
        <v>0</v>
      </c>
      <c r="AN30" s="145">
        <v>4</v>
      </c>
      <c r="AO30" s="143"/>
      <c r="AP30" s="143"/>
      <c r="AQ30" s="146"/>
      <c r="AR30" s="224">
        <f t="shared" si="4"/>
        <v>0</v>
      </c>
      <c r="AS30" s="492">
        <v>4811.7</v>
      </c>
      <c r="AT30" s="749"/>
      <c r="AU30" s="127"/>
      <c r="AV30" s="127"/>
      <c r="AW30" s="127"/>
      <c r="AX30" s="127"/>
      <c r="AY30" s="229">
        <v>1925</v>
      </c>
      <c r="AZ30" s="127"/>
      <c r="BA30" s="127"/>
      <c r="BB30" s="127"/>
      <c r="BC30" s="274"/>
      <c r="BD30" s="222">
        <f t="shared" si="5"/>
        <v>0</v>
      </c>
      <c r="BE30" s="140">
        <f t="shared" si="6"/>
        <v>0</v>
      </c>
      <c r="BF30" s="132"/>
      <c r="BG30" s="140">
        <f t="shared" si="7"/>
        <v>0</v>
      </c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30">
        <f t="shared" si="8"/>
        <v>0</v>
      </c>
      <c r="BV30" s="132"/>
    </row>
    <row r="31" ht="14.25" customHeight="1">
      <c r="A31" s="132"/>
      <c r="B31" s="512">
        <v>46047</v>
      </c>
      <c r="C31" s="133">
        <f>14832.10-D31-0</f>
      </c>
      <c r="D31" s="134">
        <v>3620.43</v>
      </c>
      <c r="E31" s="135"/>
      <c r="F31" s="135"/>
      <c r="G31" s="147">
        <f t="shared" si="0"/>
        <v>0</v>
      </c>
      <c r="H31" s="742"/>
      <c r="I31" s="746"/>
      <c r="J31" s="744"/>
      <c r="K31" s="744"/>
      <c r="L31" s="745"/>
      <c r="M31" s="745"/>
      <c r="N31" s="745"/>
      <c r="O31" s="745">
        <v>262.31</v>
      </c>
      <c r="P31" s="99"/>
      <c r="Q31" s="99"/>
      <c r="R31" s="748">
        <v>191.9</v>
      </c>
      <c r="S31" s="641"/>
      <c r="T31" s="99"/>
      <c r="U31" s="103">
        <f t="shared" si="10"/>
        <v>0</v>
      </c>
      <c r="V31" s="143"/>
      <c r="W31" s="143"/>
      <c r="X31" s="143"/>
      <c r="Y31" s="611"/>
      <c r="Z31" s="143"/>
      <c r="AA31" s="143"/>
      <c r="AB31" s="143"/>
      <c r="AC31" s="143"/>
      <c r="AD31" s="143"/>
      <c r="AE31" s="143"/>
      <c r="AF31" s="143"/>
      <c r="AG31" s="143"/>
      <c r="AH31" s="143"/>
      <c r="AI31" s="103">
        <f t="shared" si="2"/>
        <v>0</v>
      </c>
      <c r="AJ31" s="134">
        <v>4968.18</v>
      </c>
      <c r="AK31" s="134">
        <v>1460.14</v>
      </c>
      <c r="AL31" s="136"/>
      <c r="AM31" s="105">
        <f t="shared" si="3"/>
        <v>0</v>
      </c>
      <c r="AN31" s="143"/>
      <c r="AO31" s="143"/>
      <c r="AP31" s="143"/>
      <c r="AQ31" s="146"/>
      <c r="AR31" s="224">
        <f t="shared" si="4"/>
        <v>0</v>
      </c>
      <c r="AS31" s="492">
        <v>5851.1</v>
      </c>
      <c r="AT31" s="126"/>
      <c r="AU31" s="127"/>
      <c r="AV31" s="127"/>
      <c r="AW31" s="127"/>
      <c r="AX31" s="127"/>
      <c r="AY31" s="229">
        <v>2096.1</v>
      </c>
      <c r="AZ31" s="127"/>
      <c r="BA31" s="127"/>
      <c r="BB31" s="127"/>
      <c r="BC31" s="274"/>
      <c r="BD31" s="222">
        <f t="shared" si="5"/>
        <v>0</v>
      </c>
      <c r="BE31" s="140">
        <f t="shared" si="6"/>
        <v>0</v>
      </c>
      <c r="BF31" s="132"/>
      <c r="BG31" s="140">
        <f t="shared" si="7"/>
        <v>0</v>
      </c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130">
        <f t="shared" si="8"/>
        <v>0</v>
      </c>
      <c r="BV31" s="132"/>
    </row>
    <row r="32" ht="14.25" customHeight="1">
      <c r="A32" s="132"/>
      <c r="B32" s="512">
        <v>46048</v>
      </c>
      <c r="C32" s="133">
        <f>17909.16-D32-0</f>
      </c>
      <c r="D32" s="134">
        <v>2613.02</v>
      </c>
      <c r="E32" s="135"/>
      <c r="F32" s="135"/>
      <c r="G32" s="147">
        <f t="shared" si="0"/>
        <v>0</v>
      </c>
      <c r="H32" s="742"/>
      <c r="I32" s="746"/>
      <c r="J32" s="744"/>
      <c r="K32" s="744"/>
      <c r="L32" s="747">
        <v>219.94</v>
      </c>
      <c r="M32" s="745"/>
      <c r="N32" s="745"/>
      <c r="O32" s="747">
        <v>129.04</v>
      </c>
      <c r="P32" s="99"/>
      <c r="Q32" s="99"/>
      <c r="R32" s="641">
        <v>3006.33</v>
      </c>
      <c r="S32" s="641"/>
      <c r="T32" s="99"/>
      <c r="U32" s="103">
        <f t="shared" si="10"/>
        <v>0</v>
      </c>
      <c r="V32" s="143"/>
      <c r="W32" s="143"/>
      <c r="X32" s="143"/>
      <c r="Y32" s="611"/>
      <c r="Z32" s="143"/>
      <c r="AA32" s="143"/>
      <c r="AB32" s="143"/>
      <c r="AC32" s="143"/>
      <c r="AD32" s="143"/>
      <c r="AE32" s="143"/>
      <c r="AF32" s="143"/>
      <c r="AG32" s="143"/>
      <c r="AH32" s="143"/>
      <c r="AI32" s="103">
        <f t="shared" si="2"/>
        <v>0</v>
      </c>
      <c r="AJ32" s="134">
        <v>6469.31</v>
      </c>
      <c r="AK32" s="134">
        <v>709.24</v>
      </c>
      <c r="AL32" s="136"/>
      <c r="AM32" s="105">
        <f t="shared" si="3"/>
        <v>0</v>
      </c>
      <c r="AN32" s="143"/>
      <c r="AO32" s="143"/>
      <c r="AP32" s="143"/>
      <c r="AQ32" s="146"/>
      <c r="AR32" s="224">
        <f t="shared" si="4"/>
        <v>0</v>
      </c>
      <c r="AS32" s="492">
        <v>4725.1</v>
      </c>
      <c r="AT32" s="126"/>
      <c r="AU32" s="127"/>
      <c r="AV32" s="127"/>
      <c r="AW32" s="127"/>
      <c r="AX32" s="127"/>
      <c r="AY32" s="229">
        <v>1861.6</v>
      </c>
      <c r="AZ32" s="127"/>
      <c r="BA32" s="127"/>
      <c r="BB32" s="127"/>
      <c r="BC32" s="274"/>
      <c r="BD32" s="222">
        <f t="shared" si="5"/>
        <v>0</v>
      </c>
      <c r="BE32" s="140">
        <f t="shared" si="6"/>
        <v>0</v>
      </c>
      <c r="BF32" s="132"/>
      <c r="BG32" s="140">
        <f t="shared" si="7"/>
        <v>0</v>
      </c>
      <c r="BH32" s="141"/>
      <c r="BI32" s="141"/>
      <c r="BJ32" s="141"/>
      <c r="BK32" s="141"/>
      <c r="BL32" s="141"/>
      <c r="BM32" s="141"/>
      <c r="BN32" s="141"/>
      <c r="BO32" s="141"/>
      <c r="BP32" s="141"/>
      <c r="BQ32" s="150"/>
      <c r="BR32" s="150"/>
      <c r="BS32" s="141">
        <v>786.8</v>
      </c>
      <c r="BT32" s="141"/>
      <c r="BU32" s="130">
        <f t="shared" si="8"/>
        <v>0</v>
      </c>
      <c r="BV32" s="132"/>
    </row>
    <row r="33" ht="14.25" customHeight="1">
      <c r="A33" s="132"/>
      <c r="B33" s="512">
        <v>46049</v>
      </c>
      <c r="C33" s="133">
        <f>16312.57-D33-0</f>
      </c>
      <c r="D33" s="134">
        <v>2478.1</v>
      </c>
      <c r="E33" s="135"/>
      <c r="F33" s="135"/>
      <c r="G33" s="147">
        <f t="shared" si="0"/>
        <v>0</v>
      </c>
      <c r="H33" s="742"/>
      <c r="I33" s="746"/>
      <c r="J33" s="744"/>
      <c r="K33" s="744"/>
      <c r="L33" s="745"/>
      <c r="M33" s="745"/>
      <c r="N33" s="745"/>
      <c r="O33" s="747">
        <v>200</v>
      </c>
      <c r="P33" s="121">
        <v>559.65</v>
      </c>
      <c r="Q33" s="99"/>
      <c r="R33" s="641">
        <v>3983.32</v>
      </c>
      <c r="S33" s="641"/>
      <c r="T33" s="99"/>
      <c r="U33" s="103">
        <f t="shared" si="10"/>
        <v>0</v>
      </c>
      <c r="V33" s="143"/>
      <c r="W33" s="143"/>
      <c r="X33" s="143"/>
      <c r="Y33" s="611"/>
      <c r="Z33" s="143"/>
      <c r="AA33" s="143"/>
      <c r="AB33" s="143"/>
      <c r="AC33" s="143"/>
      <c r="AD33" s="143"/>
      <c r="AE33" s="143"/>
      <c r="AF33" s="143"/>
      <c r="AG33" s="143"/>
      <c r="AH33" s="143"/>
      <c r="AI33" s="103">
        <f t="shared" si="2"/>
        <v>0</v>
      </c>
      <c r="AJ33" s="134">
        <v>4187.24</v>
      </c>
      <c r="AK33" s="134">
        <v>845.91</v>
      </c>
      <c r="AL33" s="136"/>
      <c r="AM33" s="105">
        <f t="shared" si="3"/>
        <v>0</v>
      </c>
      <c r="AN33" s="143"/>
      <c r="AO33" s="143"/>
      <c r="AP33" s="143"/>
      <c r="AQ33" s="146"/>
      <c r="AR33" s="224">
        <f t="shared" si="4"/>
        <v>0</v>
      </c>
      <c r="AS33" s="492">
        <v>4903.3</v>
      </c>
      <c r="AT33" s="126"/>
      <c r="AU33" s="127"/>
      <c r="AV33" s="127"/>
      <c r="AW33" s="127"/>
      <c r="AX33" s="127"/>
      <c r="AY33" s="229">
        <v>1630.7</v>
      </c>
      <c r="AZ33" s="127"/>
      <c r="BA33" s="127"/>
      <c r="BB33" s="127"/>
      <c r="BC33" s="274"/>
      <c r="BD33" s="222">
        <f t="shared" si="5"/>
        <v>0</v>
      </c>
      <c r="BE33" s="140">
        <f t="shared" si="6"/>
        <v>0</v>
      </c>
      <c r="BF33" s="132"/>
      <c r="BG33" s="140">
        <f t="shared" si="7"/>
        <v>0</v>
      </c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30">
        <f t="shared" si="8"/>
        <v>0</v>
      </c>
      <c r="BV33" s="132"/>
    </row>
    <row r="34" ht="14.25" customHeight="1">
      <c r="A34" s="132"/>
      <c r="B34" s="512">
        <v>46050</v>
      </c>
      <c r="C34" s="133">
        <f>18459.42-D34-0</f>
      </c>
      <c r="D34" s="134">
        <v>2730.14</v>
      </c>
      <c r="E34" s="135"/>
      <c r="F34" s="135"/>
      <c r="G34" s="147">
        <f t="shared" si="0"/>
        <v>0</v>
      </c>
      <c r="H34" s="742"/>
      <c r="I34" s="746"/>
      <c r="J34" s="744"/>
      <c r="K34" s="744"/>
      <c r="L34" s="747">
        <v>401.03</v>
      </c>
      <c r="M34" s="745"/>
      <c r="N34" s="745"/>
      <c r="O34" s="747">
        <v>200</v>
      </c>
      <c r="P34" s="99">
        <v>458.82</v>
      </c>
      <c r="Q34" s="99"/>
      <c r="R34" s="641">
        <v>2459.81</v>
      </c>
      <c r="S34" s="748">
        <v>2078.66</v>
      </c>
      <c r="T34" s="99"/>
      <c r="U34" s="103">
        <f t="shared" si="10"/>
        <v>0</v>
      </c>
      <c r="V34" s="143"/>
      <c r="W34" s="143"/>
      <c r="X34" s="143"/>
      <c r="Y34" s="611"/>
      <c r="Z34" s="143"/>
      <c r="AA34" s="143"/>
      <c r="AB34" s="143"/>
      <c r="AC34" s="143"/>
      <c r="AD34" s="143"/>
      <c r="AE34" s="143"/>
      <c r="AF34" s="143"/>
      <c r="AG34" s="143"/>
      <c r="AH34" s="143"/>
      <c r="AI34" s="103">
        <f t="shared" si="2"/>
        <v>0</v>
      </c>
      <c r="AJ34" s="134">
        <v>5296.79</v>
      </c>
      <c r="AK34" s="134">
        <v>906.25</v>
      </c>
      <c r="AL34" s="136"/>
      <c r="AM34" s="105">
        <f t="shared" si="3"/>
        <v>0</v>
      </c>
      <c r="AN34" s="143"/>
      <c r="AO34" s="143"/>
      <c r="AP34" s="143"/>
      <c r="AQ34" s="146"/>
      <c r="AR34" s="224">
        <f t="shared" si="4"/>
        <v>0</v>
      </c>
      <c r="AS34" s="492">
        <v>4892.7</v>
      </c>
      <c r="AT34" s="126"/>
      <c r="AU34" s="127"/>
      <c r="AV34" s="127"/>
      <c r="AW34" s="127"/>
      <c r="AX34" s="127"/>
      <c r="AY34" s="229">
        <v>1763.7</v>
      </c>
      <c r="AZ34" s="127"/>
      <c r="BA34" s="127"/>
      <c r="BB34" s="127"/>
      <c r="BC34" s="274"/>
      <c r="BD34" s="222">
        <f t="shared" si="5"/>
        <v>0</v>
      </c>
      <c r="BE34" s="140">
        <f t="shared" si="6"/>
        <v>0</v>
      </c>
      <c r="BF34" s="132"/>
      <c r="BG34" s="140">
        <f t="shared" si="7"/>
        <v>0</v>
      </c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130">
        <f t="shared" si="8"/>
        <v>0</v>
      </c>
      <c r="BV34" s="132"/>
    </row>
    <row r="35" ht="14.25" customHeight="1">
      <c r="A35" s="132"/>
      <c r="B35" s="512">
        <v>46051</v>
      </c>
      <c r="C35" s="133">
        <f>15245.85-D35-0</f>
      </c>
      <c r="D35" s="134">
        <v>2419.74</v>
      </c>
      <c r="E35" s="135"/>
      <c r="F35" s="135"/>
      <c r="G35" s="147">
        <f t="shared" si="0"/>
        <v>0</v>
      </c>
      <c r="H35" s="742"/>
      <c r="I35" s="746"/>
      <c r="J35" s="744"/>
      <c r="K35" s="744"/>
      <c r="L35" s="745"/>
      <c r="M35" s="745"/>
      <c r="N35" s="745"/>
      <c r="O35" s="745">
        <v>253.05</v>
      </c>
      <c r="P35" s="121">
        <v>32.81</v>
      </c>
      <c r="Q35" s="99"/>
      <c r="R35" s="641">
        <v>2098.32</v>
      </c>
      <c r="S35" s="641"/>
      <c r="T35" s="99"/>
      <c r="U35" s="103">
        <f t="shared" si="10"/>
        <v>0</v>
      </c>
      <c r="V35" s="143"/>
      <c r="W35" s="143"/>
      <c r="X35" s="143"/>
      <c r="Y35" s="611"/>
      <c r="Z35" s="143"/>
      <c r="AA35" s="143"/>
      <c r="AB35" s="143"/>
      <c r="AC35" s="143"/>
      <c r="AD35" s="143"/>
      <c r="AE35" s="143"/>
      <c r="AF35" s="143"/>
      <c r="AG35" s="143"/>
      <c r="AH35" s="143"/>
      <c r="AI35" s="103">
        <f t="shared" si="2"/>
        <v>0</v>
      </c>
      <c r="AJ35" s="134">
        <v>4634.49</v>
      </c>
      <c r="AK35" s="134">
        <v>738.63</v>
      </c>
      <c r="AL35" s="136"/>
      <c r="AM35" s="105">
        <f t="shared" si="3"/>
        <v>0</v>
      </c>
      <c r="AN35" s="143"/>
      <c r="AO35" s="143"/>
      <c r="AP35" s="143"/>
      <c r="AQ35" s="146"/>
      <c r="AR35" s="224">
        <f t="shared" si="4"/>
        <v>0</v>
      </c>
      <c r="AS35" s="492">
        <v>5696</v>
      </c>
      <c r="AT35" s="750">
        <v>163.92</v>
      </c>
      <c r="AU35" s="751"/>
      <c r="AV35" s="127"/>
      <c r="AW35" s="127"/>
      <c r="AX35" s="127"/>
      <c r="AY35" s="229">
        <v>1627</v>
      </c>
      <c r="AZ35" s="127"/>
      <c r="BA35" s="127"/>
      <c r="BB35" s="127"/>
      <c r="BC35" s="274"/>
      <c r="BD35" s="222">
        <f t="shared" si="5"/>
        <v>0</v>
      </c>
      <c r="BE35" s="140">
        <f t="shared" si="6"/>
        <v>0</v>
      </c>
      <c r="BF35" s="132"/>
      <c r="BG35" s="140">
        <f t="shared" si="7"/>
        <v>0</v>
      </c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30">
        <f t="shared" si="8"/>
        <v>0</v>
      </c>
      <c r="BV35" s="132"/>
    </row>
    <row r="36" ht="14.25" customHeight="1">
      <c r="A36" s="132"/>
      <c r="B36" s="512">
        <v>46052</v>
      </c>
      <c r="C36" s="133">
        <f>16650.73-D36-0</f>
      </c>
      <c r="D36" s="134">
        <v>2769.59</v>
      </c>
      <c r="E36" s="135"/>
      <c r="F36" s="135"/>
      <c r="G36" s="147">
        <f t="shared" si="0"/>
        <v>0</v>
      </c>
      <c r="H36" s="742"/>
      <c r="I36" s="746"/>
      <c r="J36" s="744"/>
      <c r="K36" s="744"/>
      <c r="L36" s="745"/>
      <c r="M36" s="745"/>
      <c r="N36" s="745"/>
      <c r="O36" s="747">
        <v>200</v>
      </c>
      <c r="P36" s="121">
        <v>159.92</v>
      </c>
      <c r="Q36" s="99"/>
      <c r="R36" s="748">
        <v>1713.82</v>
      </c>
      <c r="S36" s="641"/>
      <c r="T36" s="99"/>
      <c r="U36" s="103">
        <f t="shared" si="10"/>
        <v>0</v>
      </c>
      <c r="V36" s="143"/>
      <c r="W36" s="143"/>
      <c r="X36" s="143"/>
      <c r="Y36" s="611"/>
      <c r="Z36" s="143"/>
      <c r="AA36" s="143"/>
      <c r="AB36" s="143"/>
      <c r="AC36" s="143"/>
      <c r="AD36" s="143"/>
      <c r="AE36" s="143"/>
      <c r="AF36" s="143"/>
      <c r="AG36" s="143"/>
      <c r="AH36" s="143"/>
      <c r="AI36" s="103">
        <f t="shared" si="2"/>
        <v>0</v>
      </c>
      <c r="AJ36" s="134">
        <v>5270.04</v>
      </c>
      <c r="AK36" s="134">
        <v>892.03</v>
      </c>
      <c r="AL36" s="136"/>
      <c r="AM36" s="105">
        <f t="shared" si="3"/>
        <v>0</v>
      </c>
      <c r="AN36" s="143"/>
      <c r="AO36" s="143"/>
      <c r="AP36" s="143"/>
      <c r="AQ36" s="146"/>
      <c r="AR36" s="224">
        <f t="shared" si="4"/>
        <v>0</v>
      </c>
      <c r="AS36" s="492">
        <v>6536.7</v>
      </c>
      <c r="AT36" s="126"/>
      <c r="AU36" s="127"/>
      <c r="AV36" s="127"/>
      <c r="AW36" s="127"/>
      <c r="AX36" s="127"/>
      <c r="AY36" s="229">
        <v>1876.3</v>
      </c>
      <c r="AZ36" s="127"/>
      <c r="BA36" s="127"/>
      <c r="BB36" s="127"/>
      <c r="BC36" s="274"/>
      <c r="BD36" s="222">
        <f t="shared" si="5"/>
        <v>0</v>
      </c>
      <c r="BE36" s="140">
        <f t="shared" si="6"/>
        <v>0</v>
      </c>
      <c r="BF36" s="132"/>
      <c r="BG36" s="140">
        <f t="shared" si="7"/>
        <v>0</v>
      </c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30">
        <f t="shared" si="8"/>
        <v>0</v>
      </c>
      <c r="BV36" s="132"/>
    </row>
    <row r="37" ht="14.25" customHeight="1">
      <c r="A37" s="132"/>
      <c r="B37" s="512">
        <v>46053</v>
      </c>
      <c r="C37" s="133">
        <f>19645.12-D37-0</f>
      </c>
      <c r="D37" s="134">
        <v>3867.03</v>
      </c>
      <c r="E37" s="135"/>
      <c r="F37" s="135"/>
      <c r="G37" s="147">
        <f t="shared" si="0"/>
        <v>0</v>
      </c>
      <c r="H37" s="742"/>
      <c r="I37" s="746"/>
      <c r="J37" s="744"/>
      <c r="K37" s="744"/>
      <c r="L37" s="745"/>
      <c r="M37" s="745"/>
      <c r="N37" s="745"/>
      <c r="O37" s="745">
        <v>257</v>
      </c>
      <c r="P37" s="121">
        <v>57.61</v>
      </c>
      <c r="Q37" s="99"/>
      <c r="R37" s="641">
        <v>1717.95</v>
      </c>
      <c r="S37" s="748">
        <v>2118.71</v>
      </c>
      <c r="T37" s="99"/>
      <c r="U37" s="103">
        <f t="shared" si="10"/>
        <v>0</v>
      </c>
      <c r="V37" s="143"/>
      <c r="W37" s="143"/>
      <c r="X37" s="143"/>
      <c r="Y37" s="611"/>
      <c r="Z37" s="143"/>
      <c r="AA37" s="143"/>
      <c r="AB37" s="143"/>
      <c r="AC37" s="143"/>
      <c r="AD37" s="143"/>
      <c r="AE37" s="143"/>
      <c r="AF37" s="143"/>
      <c r="AG37" s="143"/>
      <c r="AH37" s="143"/>
      <c r="AI37" s="103">
        <f t="shared" si="2"/>
        <v>0</v>
      </c>
      <c r="AJ37" s="134">
        <v>6427.33</v>
      </c>
      <c r="AK37" s="134">
        <v>1240.37</v>
      </c>
      <c r="AL37" s="136"/>
      <c r="AM37" s="105">
        <f t="shared" si="3"/>
        <v>0</v>
      </c>
      <c r="AN37" s="143"/>
      <c r="AO37" s="143"/>
      <c r="AP37" s="143"/>
      <c r="AQ37" s="146"/>
      <c r="AR37" s="224">
        <f t="shared" si="4"/>
        <v>0</v>
      </c>
      <c r="AS37" s="505">
        <v>4713.6</v>
      </c>
      <c r="AT37" s="138"/>
      <c r="AU37" s="161"/>
      <c r="AV37" s="161"/>
      <c r="AW37" s="161"/>
      <c r="AX37" s="161"/>
      <c r="AY37" s="259">
        <v>2510.2</v>
      </c>
      <c r="AZ37" s="161"/>
      <c r="BA37" s="161"/>
      <c r="BB37" s="161"/>
      <c r="BC37" s="296"/>
      <c r="BD37" s="222">
        <f t="shared" si="5"/>
        <v>0</v>
      </c>
      <c r="BE37" s="140">
        <f t="shared" si="6"/>
        <v>0</v>
      </c>
      <c r="BF37" s="132"/>
      <c r="BG37" s="162">
        <f t="shared" si="7"/>
        <v>0</v>
      </c>
      <c r="BH37" s="163"/>
      <c r="BI37" s="163"/>
      <c r="BJ37" s="163"/>
      <c r="BK37" s="163"/>
      <c r="BL37" s="163"/>
      <c r="BM37" s="163"/>
      <c r="BN37" s="163"/>
      <c r="BO37" s="163"/>
      <c r="BP37" s="163"/>
      <c r="BQ37" s="141"/>
      <c r="BR37" s="150"/>
      <c r="BS37" s="163">
        <v>600</v>
      </c>
      <c r="BT37" s="163"/>
      <c r="BU37" s="164">
        <f t="shared" si="8"/>
        <v>0</v>
      </c>
      <c r="BV37" s="132"/>
    </row>
    <row r="38" ht="14.25" customHeight="1">
      <c r="A38" s="3"/>
      <c r="B38" s="2" t="s">
        <v>177</v>
      </c>
      <c r="C38" s="755">
        <f ref="C38:I38" t="shared" si="11">SUM(C7:C37)</f>
        <v>0</v>
      </c>
      <c r="D38" s="755">
        <f t="shared" si="11"/>
        <v>0</v>
      </c>
      <c r="E38" s="755">
        <f t="shared" si="11"/>
        <v>0</v>
      </c>
      <c r="F38" s="755">
        <f t="shared" si="11"/>
        <v>0</v>
      </c>
      <c r="G38" s="755">
        <f t="shared" si="11"/>
        <v>0</v>
      </c>
      <c r="H38" s="755">
        <f t="shared" si="11"/>
        <v>0</v>
      </c>
      <c r="I38" s="755">
        <f t="shared" si="11"/>
        <v>0</v>
      </c>
      <c r="J38" s="755"/>
      <c r="K38" s="755"/>
      <c r="L38" s="755">
        <f>SUM(L7:L37)</f>
        <v>0</v>
      </c>
      <c r="M38" s="755"/>
      <c r="N38" s="755">
        <f ref="N38:V38" t="shared" si="12">SUM(N7:N37)</f>
        <v>0</v>
      </c>
      <c r="O38" s="755">
        <f t="shared" si="12"/>
        <v>0</v>
      </c>
      <c r="P38" s="755">
        <f t="shared" si="12"/>
        <v>0</v>
      </c>
      <c r="Q38" s="755">
        <f t="shared" si="12"/>
        <v>0</v>
      </c>
      <c r="R38" s="755">
        <f t="shared" si="12"/>
        <v>0</v>
      </c>
      <c r="S38" s="755">
        <f t="shared" si="12"/>
        <v>0</v>
      </c>
      <c r="T38" s="755">
        <f t="shared" si="12"/>
        <v>0</v>
      </c>
      <c r="U38" s="755">
        <f t="shared" si="12"/>
        <v>0</v>
      </c>
      <c r="V38" s="755">
        <f t="shared" si="12"/>
        <v>0</v>
      </c>
      <c r="W38" s="755"/>
      <c r="X38" s="755">
        <f ref="X38:BE38" t="shared" si="13">SUM(X7:X37)</f>
        <v>0</v>
      </c>
      <c r="Y38" s="755">
        <f t="shared" si="13"/>
        <v>0</v>
      </c>
      <c r="Z38" s="755">
        <f t="shared" si="13"/>
        <v>0</v>
      </c>
      <c r="AA38" s="755">
        <f t="shared" si="13"/>
        <v>0</v>
      </c>
      <c r="AB38" s="755">
        <f t="shared" si="13"/>
        <v>0</v>
      </c>
      <c r="AC38" s="755">
        <f t="shared" si="13"/>
        <v>0</v>
      </c>
      <c r="AD38" s="755">
        <f t="shared" si="13"/>
        <v>0</v>
      </c>
      <c r="AE38" s="755">
        <f t="shared" si="13"/>
        <v>0</v>
      </c>
      <c r="AF38" s="755">
        <f t="shared" si="13"/>
        <v>0</v>
      </c>
      <c r="AG38" s="755">
        <f t="shared" si="13"/>
        <v>0</v>
      </c>
      <c r="AH38" s="755">
        <f t="shared" si="13"/>
        <v>0</v>
      </c>
      <c r="AI38" s="755">
        <f t="shared" si="13"/>
        <v>0</v>
      </c>
      <c r="AJ38" s="755">
        <f t="shared" si="13"/>
        <v>0</v>
      </c>
      <c r="AK38" s="755">
        <f t="shared" si="13"/>
        <v>0</v>
      </c>
      <c r="AL38" s="755">
        <f t="shared" si="13"/>
        <v>0</v>
      </c>
      <c r="AM38" s="755">
        <f t="shared" si="13"/>
        <v>0</v>
      </c>
      <c r="AN38" s="755">
        <f t="shared" si="13"/>
        <v>0</v>
      </c>
      <c r="AO38" s="755">
        <f t="shared" si="13"/>
        <v>0</v>
      </c>
      <c r="AP38" s="755">
        <f t="shared" si="13"/>
        <v>0</v>
      </c>
      <c r="AQ38" s="755">
        <f t="shared" si="13"/>
        <v>0</v>
      </c>
      <c r="AR38" s="755">
        <f t="shared" si="13"/>
        <v>0</v>
      </c>
      <c r="AS38" s="756">
        <f t="shared" si="13"/>
        <v>0</v>
      </c>
      <c r="AT38" s="757">
        <f t="shared" si="13"/>
        <v>0</v>
      </c>
      <c r="AU38" s="757">
        <f t="shared" si="13"/>
        <v>0</v>
      </c>
      <c r="AV38" s="757">
        <f t="shared" si="13"/>
        <v>0</v>
      </c>
      <c r="AW38" s="757">
        <f t="shared" si="13"/>
        <v>0</v>
      </c>
      <c r="AX38" s="757">
        <f t="shared" si="13"/>
        <v>0</v>
      </c>
      <c r="AY38" s="757">
        <f t="shared" si="13"/>
        <v>0</v>
      </c>
      <c r="AZ38" s="757">
        <f t="shared" si="13"/>
        <v>0</v>
      </c>
      <c r="BA38" s="757">
        <f t="shared" si="13"/>
        <v>0</v>
      </c>
      <c r="BB38" s="757">
        <f t="shared" si="13"/>
        <v>0</v>
      </c>
      <c r="BC38" s="757">
        <f t="shared" si="13"/>
        <v>0</v>
      </c>
      <c r="BD38" s="755">
        <f t="shared" si="13"/>
        <v>0</v>
      </c>
      <c r="BE38" s="755">
        <f t="shared" si="13"/>
        <v>0</v>
      </c>
      <c r="BF38" s="132"/>
      <c r="BG38" s="755">
        <f ref="BG38:BU38" t="shared" si="14">SUM(BG7:BG37)</f>
        <v>520</v>
      </c>
      <c r="BH38" s="755">
        <f t="shared" si="14"/>
        <v>0</v>
      </c>
      <c r="BI38" s="755">
        <f t="shared" si="14"/>
        <v>0</v>
      </c>
      <c r="BJ38" s="755">
        <f t="shared" si="14"/>
        <v>0</v>
      </c>
      <c r="BK38" s="755">
        <f t="shared" si="14"/>
        <v>0</v>
      </c>
      <c r="BL38" s="755">
        <f t="shared" si="14"/>
        <v>0</v>
      </c>
      <c r="BM38" s="755">
        <f t="shared" si="14"/>
        <v>0</v>
      </c>
      <c r="BN38" s="755">
        <f t="shared" si="14"/>
        <v>0</v>
      </c>
      <c r="BO38" s="755">
        <f t="shared" si="14"/>
        <v>0</v>
      </c>
      <c r="BP38" s="755">
        <f t="shared" si="14"/>
        <v>0</v>
      </c>
      <c r="BQ38" s="755">
        <f t="shared" si="14"/>
        <v>0</v>
      </c>
      <c r="BR38" s="755">
        <f t="shared" si="14"/>
        <v>520</v>
      </c>
      <c r="BS38" s="755">
        <f t="shared" si="14"/>
        <v>0</v>
      </c>
      <c r="BT38" s="755">
        <f t="shared" si="14"/>
        <v>0</v>
      </c>
      <c r="BU38" s="755">
        <f t="shared" si="14"/>
        <v>-520</v>
      </c>
      <c r="BV38" s="132"/>
    </row>
    <row r="39" ht="14.25" customHeight="1">
      <c r="A39" s="3"/>
      <c r="B39" s="174"/>
      <c r="C39" s="3"/>
      <c r="D39" s="3"/>
      <c r="E39" s="3"/>
      <c r="F39" s="3"/>
      <c r="G39" s="4"/>
      <c r="H39" s="4"/>
      <c r="I39" s="1"/>
      <c r="J39" s="758"/>
      <c r="K39" s="758"/>
      <c r="L39" s="758"/>
      <c r="M39" s="758"/>
      <c r="N39" s="758"/>
      <c r="O39" s="758"/>
      <c r="P39" s="3"/>
      <c r="Q39" s="3"/>
      <c r="R39" s="1"/>
      <c r="S39" s="1"/>
      <c r="T39" s="175"/>
      <c r="U39" s="3"/>
      <c r="V39" s="3"/>
      <c r="W39" s="3"/>
      <c r="X39" s="3"/>
      <c r="Y39" s="1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4"/>
      <c r="AN39" s="3"/>
      <c r="AO39" s="3"/>
      <c r="AP39" s="3"/>
      <c r="AQ39" s="3"/>
      <c r="AR39" s="4"/>
      <c r="AS39" s="380"/>
      <c r="AT39" s="132"/>
      <c r="AU39" s="132"/>
      <c r="AV39" s="3"/>
      <c r="AW39" s="3"/>
      <c r="AX39" s="3"/>
      <c r="AY39" s="132"/>
      <c r="AZ39" s="132"/>
      <c r="BA39" s="132"/>
      <c r="BB39" s="132"/>
      <c r="BC39" s="132"/>
      <c r="BD39" s="4"/>
      <c r="BE39" s="3"/>
      <c r="BF39" s="132"/>
      <c r="BG39" s="17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173"/>
      <c r="BV39" s="3"/>
    </row>
    <row r="40" ht="14.25" customHeight="1">
      <c r="A40" s="3"/>
      <c r="B40" s="174"/>
      <c r="C40" s="3"/>
      <c r="D40" s="3"/>
      <c r="E40" s="3"/>
      <c r="F40" s="3"/>
      <c r="G40" s="4"/>
      <c r="H40" s="4"/>
      <c r="I40" s="1"/>
      <c r="J40" s="758"/>
      <c r="K40" s="758"/>
      <c r="L40" s="758"/>
      <c r="M40" s="758"/>
      <c r="N40" s="758"/>
      <c r="O40" s="758"/>
      <c r="P40" s="3"/>
      <c r="Q40" s="3"/>
      <c r="R40" s="1"/>
      <c r="S40" s="1"/>
      <c r="T40" s="175"/>
      <c r="U40" s="3"/>
      <c r="V40" s="3"/>
      <c r="W40" s="3"/>
      <c r="X40" s="3"/>
      <c r="Y40" s="1"/>
      <c r="Z40" s="3"/>
      <c r="AA40" s="3"/>
      <c r="AB40" s="3"/>
      <c r="AC40" s="3"/>
      <c r="AD40" s="3"/>
      <c r="AE40" s="3"/>
      <c r="AF40" s="3"/>
      <c r="AG40" s="3"/>
      <c r="AH40" s="3"/>
      <c r="AI40" s="176"/>
      <c r="AJ40" s="3"/>
      <c r="AK40" s="3"/>
      <c r="AL40" s="3"/>
      <c r="AM40" s="4"/>
      <c r="AN40" s="3"/>
      <c r="AO40" s="3"/>
      <c r="AP40" s="3"/>
      <c r="AQ40" s="3"/>
      <c r="AR40" s="4"/>
      <c r="AS40" s="380"/>
      <c r="AT40" s="132"/>
      <c r="AU40" s="132"/>
      <c r="AV40" s="3"/>
      <c r="AW40" s="3"/>
      <c r="AX40" s="3"/>
      <c r="AY40" s="132"/>
      <c r="AZ40" s="132"/>
      <c r="BA40" s="132"/>
      <c r="BB40" s="132"/>
      <c r="BC40" s="132"/>
      <c r="BD40" s="177"/>
      <c r="BE40" s="3"/>
      <c r="BF40" s="3"/>
      <c r="BG40" s="178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8"/>
      <c r="BV40" s="3"/>
    </row>
    <row r="41" ht="14.25" customHeight="1">
      <c r="A41" s="132"/>
      <c r="B41" s="179">
        <v>46054</v>
      </c>
      <c r="C41" s="180">
        <f>14217.04-D41-0</f>
      </c>
      <c r="D41" s="181">
        <v>3693.34</v>
      </c>
      <c r="E41" s="182"/>
      <c r="F41" s="182"/>
      <c r="G41" s="216">
        <f ref="G41:G69" t="shared" si="15">+C41+D41+E41+F41</f>
        <v>0</v>
      </c>
      <c r="H41" s="742"/>
      <c r="I41" s="743"/>
      <c r="J41" s="759"/>
      <c r="K41" s="759"/>
      <c r="L41" s="760"/>
      <c r="M41" s="760"/>
      <c r="N41" s="760"/>
      <c r="O41" s="761">
        <v>200</v>
      </c>
      <c r="P41" s="638"/>
      <c r="Q41" s="101"/>
      <c r="R41" s="762">
        <v>123.18</v>
      </c>
      <c r="S41" s="638"/>
      <c r="T41" s="101"/>
      <c r="U41" s="189">
        <f ref="U41:U51" t="shared" si="16">SUM(I41:T41)</f>
        <v>0</v>
      </c>
      <c r="V41" s="186"/>
      <c r="W41" s="186"/>
      <c r="X41" s="186"/>
      <c r="Y41" s="619"/>
      <c r="Z41" s="186"/>
      <c r="AA41" s="186"/>
      <c r="AB41" s="186"/>
      <c r="AC41" s="186"/>
      <c r="AD41" s="186"/>
      <c r="AE41" s="186"/>
      <c r="AF41" s="186"/>
      <c r="AG41" s="186"/>
      <c r="AH41" s="186"/>
      <c r="AI41" s="103">
        <f ref="AI41:AI69" t="shared" si="17">SUM(V41:AH41)</f>
        <v>0</v>
      </c>
      <c r="AJ41" s="181">
        <v>5271.22</v>
      </c>
      <c r="AK41" s="181">
        <v>1064.48</v>
      </c>
      <c r="AL41" s="190"/>
      <c r="AM41" s="191">
        <f ref="AM41:AM69" t="shared" si="18">SUM(AJ41:AL41)</f>
        <v>0</v>
      </c>
      <c r="AN41" s="186"/>
      <c r="AO41" s="186"/>
      <c r="AP41" s="186"/>
      <c r="AQ41" s="193"/>
      <c r="AR41" s="620">
        <f ref="AR41:AR69" t="shared" si="19">+G41-U41-AI41-AM41-AN41-AO41-AP41-AQ41</f>
        <v>0</v>
      </c>
      <c r="AS41" s="488">
        <v>4928.9</v>
      </c>
      <c r="AT41" s="109"/>
      <c r="AU41" s="110"/>
      <c r="AV41" s="110"/>
      <c r="AW41" s="110"/>
      <c r="AX41" s="110"/>
      <c r="AY41" s="271">
        <v>2626.8</v>
      </c>
      <c r="AZ41" s="110"/>
      <c r="BA41" s="110"/>
      <c r="BB41" s="110"/>
      <c r="BC41" s="269"/>
      <c r="BD41" s="222">
        <f ref="BD41:BD69" t="shared" si="20">SUM(AS41:BC41)-BB41</f>
        <v>0</v>
      </c>
      <c r="BE41" s="195">
        <f ref="BE41:BE69" t="shared" si="21">+AR41-BD41</f>
        <v>0</v>
      </c>
      <c r="BF41" s="132"/>
      <c r="BG41" s="195">
        <f ref="BG41:BG69" t="shared" si="22">SUM(BH41:BT41)</f>
        <v>0</v>
      </c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6"/>
      <c r="BU41" s="116">
        <f ref="BU41:BU69" t="shared" si="23">+BE41-BG41</f>
        <v>0</v>
      </c>
      <c r="BV41" s="132"/>
    </row>
    <row r="42" ht="14.25" customHeight="1">
      <c r="A42" s="3"/>
      <c r="B42" s="179">
        <v>46055</v>
      </c>
      <c r="C42" s="118">
        <f>19307.60-D42-0</f>
      </c>
      <c r="D42" s="119">
        <v>3258.34</v>
      </c>
      <c r="E42" s="120"/>
      <c r="F42" s="120"/>
      <c r="G42" s="147">
        <f t="shared" si="15"/>
        <v>0</v>
      </c>
      <c r="H42" s="742"/>
      <c r="I42" s="746"/>
      <c r="J42" s="744"/>
      <c r="K42" s="744"/>
      <c r="L42" s="745"/>
      <c r="M42" s="745"/>
      <c r="N42" s="745"/>
      <c r="O42" s="745">
        <v>238.56</v>
      </c>
      <c r="P42" s="641">
        <v>599.97</v>
      </c>
      <c r="Q42" s="99"/>
      <c r="R42" s="641">
        <v>3586.16</v>
      </c>
      <c r="S42" s="641"/>
      <c r="T42" s="99"/>
      <c r="U42" s="103">
        <f t="shared" si="16"/>
        <v>0</v>
      </c>
      <c r="V42" s="143"/>
      <c r="W42" s="143"/>
      <c r="X42" s="143"/>
      <c r="Y42" s="611"/>
      <c r="Z42" s="143"/>
      <c r="AA42" s="143"/>
      <c r="AB42" s="143"/>
      <c r="AC42" s="143"/>
      <c r="AD42" s="143"/>
      <c r="AE42" s="143"/>
      <c r="AF42" s="143"/>
      <c r="AG42" s="143"/>
      <c r="AH42" s="143"/>
      <c r="AI42" s="103">
        <f t="shared" si="17"/>
        <v>0</v>
      </c>
      <c r="AJ42" s="119">
        <v>4518.85</v>
      </c>
      <c r="AK42" s="119">
        <v>652.74</v>
      </c>
      <c r="AL42" s="123"/>
      <c r="AM42" s="105">
        <f t="shared" si="18"/>
        <v>0</v>
      </c>
      <c r="AN42" s="143"/>
      <c r="AO42" s="143"/>
      <c r="AP42" s="143"/>
      <c r="AQ42" s="146"/>
      <c r="AR42" s="621">
        <f t="shared" si="19"/>
        <v>0</v>
      </c>
      <c r="AS42" s="492">
        <v>7187.6</v>
      </c>
      <c r="AT42" s="126"/>
      <c r="AU42" s="127"/>
      <c r="AV42" s="127"/>
      <c r="AW42" s="127"/>
      <c r="AX42" s="127"/>
      <c r="AY42" s="229">
        <v>2521.6</v>
      </c>
      <c r="AZ42" s="127"/>
      <c r="BA42" s="127"/>
      <c r="BB42" s="127"/>
      <c r="BC42" s="274"/>
      <c r="BD42" s="222">
        <f t="shared" si="20"/>
        <v>0</v>
      </c>
      <c r="BE42" s="113">
        <f t="shared" si="21"/>
        <v>0</v>
      </c>
      <c r="BF42" s="3"/>
      <c r="BG42" s="113">
        <f t="shared" si="22"/>
        <v>0</v>
      </c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30">
        <f t="shared" si="23"/>
        <v>0</v>
      </c>
      <c r="BV42" s="3"/>
    </row>
    <row r="43" ht="14.25" customHeight="1">
      <c r="A43" s="132"/>
      <c r="B43" s="179">
        <v>46056</v>
      </c>
      <c r="C43" s="133">
        <f>17973.64-D43-0</f>
      </c>
      <c r="D43" s="134">
        <v>2668.66</v>
      </c>
      <c r="E43" s="135"/>
      <c r="F43" s="135"/>
      <c r="G43" s="147">
        <f t="shared" si="15"/>
        <v>0</v>
      </c>
      <c r="H43" s="742"/>
      <c r="I43" s="746"/>
      <c r="J43" s="744"/>
      <c r="K43" s="744"/>
      <c r="L43" s="745"/>
      <c r="M43" s="745"/>
      <c r="N43" s="745"/>
      <c r="O43" s="745"/>
      <c r="P43" s="748">
        <v>111.93</v>
      </c>
      <c r="Q43" s="99"/>
      <c r="R43" s="641">
        <v>4171.61</v>
      </c>
      <c r="S43" s="641"/>
      <c r="T43" s="99"/>
      <c r="U43" s="103">
        <f t="shared" si="16"/>
        <v>0</v>
      </c>
      <c r="V43" s="143"/>
      <c r="W43" s="143"/>
      <c r="X43" s="143"/>
      <c r="Y43" s="611"/>
      <c r="Z43" s="143"/>
      <c r="AA43" s="143"/>
      <c r="AB43" s="143"/>
      <c r="AC43" s="143"/>
      <c r="AD43" s="143"/>
      <c r="AE43" s="143"/>
      <c r="AF43" s="143"/>
      <c r="AG43" s="143"/>
      <c r="AH43" s="143"/>
      <c r="AI43" s="103">
        <f t="shared" si="17"/>
        <v>0</v>
      </c>
      <c r="AJ43" s="134">
        <v>5010.33</v>
      </c>
      <c r="AK43" s="134">
        <v>711.74</v>
      </c>
      <c r="AL43" s="136"/>
      <c r="AM43" s="105">
        <f t="shared" si="18"/>
        <v>0</v>
      </c>
      <c r="AN43" s="143"/>
      <c r="AO43" s="143"/>
      <c r="AP43" s="143"/>
      <c r="AQ43" s="146"/>
      <c r="AR43" s="621">
        <f t="shared" si="19"/>
        <v>0</v>
      </c>
      <c r="AS43" s="492">
        <v>6010.4</v>
      </c>
      <c r="AT43" s="126"/>
      <c r="AU43" s="127"/>
      <c r="AV43" s="127"/>
      <c r="AW43" s="127"/>
      <c r="AX43" s="127"/>
      <c r="AY43" s="229">
        <v>1955.6</v>
      </c>
      <c r="AZ43" s="127"/>
      <c r="BA43" s="127"/>
      <c r="BB43" s="127"/>
      <c r="BC43" s="274"/>
      <c r="BD43" s="222">
        <f t="shared" si="20"/>
        <v>0</v>
      </c>
      <c r="BE43" s="140">
        <f t="shared" si="21"/>
        <v>0</v>
      </c>
      <c r="BF43" s="132"/>
      <c r="BG43" s="140">
        <f t="shared" si="22"/>
        <v>0</v>
      </c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30">
        <f t="shared" si="23"/>
        <v>0</v>
      </c>
      <c r="BV43" s="132"/>
    </row>
    <row r="44" ht="14.25" customHeight="1">
      <c r="A44" s="132"/>
      <c r="B44" s="179">
        <v>46057</v>
      </c>
      <c r="C44" s="133">
        <f>17452.29-D44-0</f>
      </c>
      <c r="D44" s="134">
        <v>3187.89</v>
      </c>
      <c r="E44" s="135"/>
      <c r="F44" s="135"/>
      <c r="G44" s="147">
        <f t="shared" si="15"/>
        <v>0</v>
      </c>
      <c r="H44" s="742"/>
      <c r="I44" s="746"/>
      <c r="J44" s="744"/>
      <c r="K44" s="744"/>
      <c r="L44" s="745"/>
      <c r="M44" s="745"/>
      <c r="N44" s="745"/>
      <c r="O44" s="745">
        <v>157.82</v>
      </c>
      <c r="P44" s="641">
        <v>1292.97</v>
      </c>
      <c r="Q44" s="99"/>
      <c r="R44" s="641">
        <v>1345.59</v>
      </c>
      <c r="S44" s="748">
        <v>1599.06</v>
      </c>
      <c r="T44" s="99"/>
      <c r="U44" s="103">
        <f t="shared" si="16"/>
        <v>0</v>
      </c>
      <c r="V44" s="143"/>
      <c r="W44" s="143"/>
      <c r="X44" s="143"/>
      <c r="Y44" s="611"/>
      <c r="Z44" s="143"/>
      <c r="AA44" s="143"/>
      <c r="AB44" s="143"/>
      <c r="AC44" s="143"/>
      <c r="AD44" s="143"/>
      <c r="AE44" s="143"/>
      <c r="AF44" s="143"/>
      <c r="AG44" s="143"/>
      <c r="AH44" s="143"/>
      <c r="AI44" s="103">
        <f t="shared" si="17"/>
        <v>0</v>
      </c>
      <c r="AJ44" s="134">
        <v>4522.85</v>
      </c>
      <c r="AK44" s="134">
        <v>824.65</v>
      </c>
      <c r="AL44" s="136"/>
      <c r="AM44" s="105">
        <f t="shared" si="18"/>
        <v>0</v>
      </c>
      <c r="AN44" s="143"/>
      <c r="AO44" s="143"/>
      <c r="AP44" s="143"/>
      <c r="AQ44" s="146"/>
      <c r="AR44" s="621">
        <f t="shared" si="19"/>
        <v>0</v>
      </c>
      <c r="AS44" s="492">
        <v>5273.7</v>
      </c>
      <c r="AT44" s="229">
        <v>300</v>
      </c>
      <c r="AU44" s="127"/>
      <c r="AV44" s="127"/>
      <c r="AW44" s="127"/>
      <c r="AX44" s="127"/>
      <c r="AY44" s="229">
        <v>2133.3</v>
      </c>
      <c r="AZ44" s="127"/>
      <c r="BA44" s="127"/>
      <c r="BB44" s="127"/>
      <c r="BC44" s="274"/>
      <c r="BD44" s="222">
        <f t="shared" si="20"/>
        <v>0</v>
      </c>
      <c r="BE44" s="140">
        <f t="shared" si="21"/>
        <v>0</v>
      </c>
      <c r="BF44" s="132"/>
      <c r="BG44" s="140">
        <f t="shared" si="22"/>
        <v>0</v>
      </c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30">
        <f t="shared" si="23"/>
        <v>0</v>
      </c>
      <c r="BV44" s="132"/>
    </row>
    <row r="45" ht="14.25" customHeight="1">
      <c r="A45" s="132"/>
      <c r="B45" s="179">
        <v>46058</v>
      </c>
      <c r="C45" s="133">
        <f>14541.30-D45-0</f>
      </c>
      <c r="D45" s="134">
        <v>3249.47</v>
      </c>
      <c r="E45" s="135"/>
      <c r="F45" s="135"/>
      <c r="G45" s="147">
        <f t="shared" si="15"/>
        <v>0</v>
      </c>
      <c r="H45" s="742"/>
      <c r="I45" s="746"/>
      <c r="J45" s="744"/>
      <c r="K45" s="744"/>
      <c r="L45" s="747">
        <v>179.55</v>
      </c>
      <c r="M45" s="745"/>
      <c r="N45" s="745"/>
      <c r="O45" s="763">
        <v>51.99</v>
      </c>
      <c r="P45" s="748">
        <v>239.85</v>
      </c>
      <c r="Q45" s="99"/>
      <c r="R45" s="641">
        <v>1326.73</v>
      </c>
      <c r="S45" s="641"/>
      <c r="T45" s="99"/>
      <c r="U45" s="103">
        <f t="shared" si="16"/>
        <v>0</v>
      </c>
      <c r="V45" s="143"/>
      <c r="W45" s="143"/>
      <c r="X45" s="143"/>
      <c r="Y45" s="611"/>
      <c r="Z45" s="143"/>
      <c r="AA45" s="143"/>
      <c r="AB45" s="143"/>
      <c r="AC45" s="143"/>
      <c r="AD45" s="143"/>
      <c r="AE45" s="143"/>
      <c r="AF45" s="143"/>
      <c r="AG45" s="143"/>
      <c r="AH45" s="143"/>
      <c r="AI45" s="103">
        <f t="shared" si="17"/>
        <v>0</v>
      </c>
      <c r="AJ45" s="134">
        <v>4419.2</v>
      </c>
      <c r="AK45" s="134">
        <v>788.4</v>
      </c>
      <c r="AL45" s="136"/>
      <c r="AM45" s="105">
        <f t="shared" si="18"/>
        <v>0</v>
      </c>
      <c r="AN45" s="136"/>
      <c r="AO45" s="143"/>
      <c r="AP45" s="143"/>
      <c r="AQ45" s="146"/>
      <c r="AR45" s="621">
        <f t="shared" si="19"/>
        <v>0</v>
      </c>
      <c r="AS45" s="492">
        <v>5211.8</v>
      </c>
      <c r="AT45" s="126"/>
      <c r="AU45" s="127"/>
      <c r="AV45" s="127"/>
      <c r="AW45" s="127"/>
      <c r="AX45" s="127"/>
      <c r="AY45" s="229">
        <v>2322.1</v>
      </c>
      <c r="AZ45" s="127"/>
      <c r="BA45" s="127"/>
      <c r="BB45" s="127"/>
      <c r="BC45" s="274"/>
      <c r="BD45" s="222">
        <f t="shared" si="20"/>
        <v>0</v>
      </c>
      <c r="BE45" s="140">
        <f t="shared" si="21"/>
        <v>0</v>
      </c>
      <c r="BF45" s="132"/>
      <c r="BG45" s="140">
        <f t="shared" si="22"/>
        <v>0</v>
      </c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30">
        <f t="shared" si="23"/>
        <v>0</v>
      </c>
      <c r="BV45" s="132"/>
    </row>
    <row r="46" ht="15" customHeight="1">
      <c r="A46" s="132"/>
      <c r="B46" s="179">
        <v>46059</v>
      </c>
      <c r="C46" s="133">
        <f>21045.50-D46-0</f>
      </c>
      <c r="D46" s="134">
        <v>3699.31</v>
      </c>
      <c r="E46" s="135"/>
      <c r="F46" s="135"/>
      <c r="G46" s="147">
        <f t="shared" si="15"/>
        <v>0</v>
      </c>
      <c r="H46" s="742"/>
      <c r="I46" s="746"/>
      <c r="J46" s="744"/>
      <c r="K46" s="744"/>
      <c r="L46" s="747">
        <v>220.66</v>
      </c>
      <c r="M46" s="745"/>
      <c r="N46" s="745"/>
      <c r="O46" s="764"/>
      <c r="P46" s="641">
        <v>1089.83</v>
      </c>
      <c r="Q46" s="99"/>
      <c r="R46" s="641">
        <v>2854.07</v>
      </c>
      <c r="S46" s="748">
        <v>1113</v>
      </c>
      <c r="T46" s="99"/>
      <c r="U46" s="103">
        <f t="shared" si="16"/>
        <v>0</v>
      </c>
      <c r="V46" s="143"/>
      <c r="W46" s="143"/>
      <c r="X46" s="143"/>
      <c r="Y46" s="611"/>
      <c r="Z46" s="143"/>
      <c r="AA46" s="143"/>
      <c r="AB46" s="143"/>
      <c r="AC46" s="143"/>
      <c r="AD46" s="143"/>
      <c r="AE46" s="143"/>
      <c r="AF46" s="143"/>
      <c r="AG46" s="145"/>
      <c r="AH46" s="145"/>
      <c r="AI46" s="103">
        <f t="shared" si="17"/>
        <v>0</v>
      </c>
      <c r="AJ46" s="134">
        <v>6073.31</v>
      </c>
      <c r="AK46" s="134">
        <v>753.83</v>
      </c>
      <c r="AL46" s="136"/>
      <c r="AM46" s="105">
        <f t="shared" si="18"/>
        <v>0</v>
      </c>
      <c r="AN46" s="143"/>
      <c r="AO46" s="143"/>
      <c r="AP46" s="143"/>
      <c r="AQ46" s="146"/>
      <c r="AR46" s="621">
        <f t="shared" si="19"/>
        <v>0</v>
      </c>
      <c r="AS46" s="492">
        <v>5933.2</v>
      </c>
      <c r="AT46" s="126"/>
      <c r="AU46" s="127"/>
      <c r="AV46" s="127"/>
      <c r="AW46" s="127"/>
      <c r="AX46" s="127"/>
      <c r="AY46" s="229">
        <v>2943.9</v>
      </c>
      <c r="AZ46" s="127"/>
      <c r="BA46" s="127"/>
      <c r="BB46" s="127"/>
      <c r="BC46" s="274"/>
      <c r="BD46" s="222">
        <f t="shared" si="20"/>
        <v>0</v>
      </c>
      <c r="BE46" s="140">
        <f t="shared" si="21"/>
        <v>0</v>
      </c>
      <c r="BF46" s="132"/>
      <c r="BG46" s="140">
        <f t="shared" si="22"/>
        <v>0</v>
      </c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30">
        <f t="shared" si="23"/>
        <v>0</v>
      </c>
      <c r="BV46" s="132"/>
    </row>
    <row r="47" ht="14.25" customHeight="1">
      <c r="A47" s="132"/>
      <c r="B47" s="179">
        <v>46060</v>
      </c>
      <c r="C47" s="133">
        <f>22993.79-D47-0</f>
      </c>
      <c r="D47" s="134">
        <v>5320.64</v>
      </c>
      <c r="E47" s="135"/>
      <c r="F47" s="135"/>
      <c r="G47" s="147">
        <f t="shared" si="15"/>
        <v>0</v>
      </c>
      <c r="H47" s="742"/>
      <c r="I47" s="746"/>
      <c r="J47" s="744"/>
      <c r="K47" s="744"/>
      <c r="L47" s="745"/>
      <c r="M47" s="745"/>
      <c r="N47" s="745"/>
      <c r="O47" s="747">
        <v>59.05</v>
      </c>
      <c r="P47" s="748">
        <v>70.06</v>
      </c>
      <c r="Q47" s="99"/>
      <c r="R47" s="641">
        <v>3695.13</v>
      </c>
      <c r="S47" s="748">
        <v>1045.71</v>
      </c>
      <c r="T47" s="99"/>
      <c r="U47" s="103">
        <f t="shared" si="16"/>
        <v>0</v>
      </c>
      <c r="V47" s="143"/>
      <c r="W47" s="143"/>
      <c r="X47" s="143"/>
      <c r="Y47" s="611"/>
      <c r="Z47" s="143"/>
      <c r="AA47" s="143"/>
      <c r="AB47" s="143"/>
      <c r="AC47" s="143"/>
      <c r="AD47" s="143"/>
      <c r="AE47" s="143"/>
      <c r="AF47" s="143"/>
      <c r="AG47" s="143"/>
      <c r="AH47" s="143"/>
      <c r="AI47" s="103">
        <f t="shared" si="17"/>
        <v>0</v>
      </c>
      <c r="AJ47" s="134">
        <v>7120.59</v>
      </c>
      <c r="AK47" s="134">
        <v>1318.09</v>
      </c>
      <c r="AL47" s="136"/>
      <c r="AM47" s="105">
        <f t="shared" si="18"/>
        <v>0</v>
      </c>
      <c r="AN47" s="143"/>
      <c r="AO47" s="143"/>
      <c r="AP47" s="143"/>
      <c r="AQ47" s="146"/>
      <c r="AR47" s="621">
        <f t="shared" si="19"/>
        <v>0</v>
      </c>
      <c r="AS47" s="492">
        <v>5811.3</v>
      </c>
      <c r="AT47" s="126"/>
      <c r="AU47" s="127"/>
      <c r="AV47" s="127"/>
      <c r="AW47" s="127"/>
      <c r="AX47" s="127"/>
      <c r="AY47" s="229">
        <v>3871.2</v>
      </c>
      <c r="AZ47" s="127"/>
      <c r="BA47" s="127"/>
      <c r="BB47" s="127"/>
      <c r="BC47" s="274"/>
      <c r="BD47" s="222">
        <f t="shared" si="20"/>
        <v>0</v>
      </c>
      <c r="BE47" s="140">
        <f t="shared" si="21"/>
        <v>0</v>
      </c>
      <c r="BF47" s="132"/>
      <c r="BG47" s="140">
        <f t="shared" si="22"/>
        <v>0</v>
      </c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30">
        <f t="shared" si="23"/>
        <v>0</v>
      </c>
      <c r="BV47" s="132"/>
    </row>
    <row r="48" ht="14.25" customHeight="1">
      <c r="A48" s="132"/>
      <c r="B48" s="179">
        <v>46061</v>
      </c>
      <c r="C48" s="133">
        <f>13394.32-D48-0</f>
      </c>
      <c r="D48" s="134">
        <v>4827.5</v>
      </c>
      <c r="E48" s="135"/>
      <c r="F48" s="135"/>
      <c r="G48" s="147">
        <f t="shared" si="15"/>
        <v>0</v>
      </c>
      <c r="H48" s="742"/>
      <c r="I48" s="746"/>
      <c r="J48" s="744"/>
      <c r="K48" s="744"/>
      <c r="L48" s="745"/>
      <c r="M48" s="745"/>
      <c r="N48" s="745"/>
      <c r="O48" s="745"/>
      <c r="P48" s="748">
        <v>559.78</v>
      </c>
      <c r="Q48" s="99"/>
      <c r="R48" s="641">
        <v>604.92</v>
      </c>
      <c r="S48" s="641"/>
      <c r="T48" s="99"/>
      <c r="U48" s="103">
        <f t="shared" si="16"/>
        <v>0</v>
      </c>
      <c r="V48" s="143"/>
      <c r="W48" s="143"/>
      <c r="X48" s="143"/>
      <c r="Y48" s="611"/>
      <c r="Z48" s="143"/>
      <c r="AA48" s="143"/>
      <c r="AB48" s="143"/>
      <c r="AC48" s="143"/>
      <c r="AD48" s="143"/>
      <c r="AE48" s="143"/>
      <c r="AF48" s="143"/>
      <c r="AG48" s="143"/>
      <c r="AH48" s="143"/>
      <c r="AI48" s="103">
        <f t="shared" si="17"/>
        <v>0</v>
      </c>
      <c r="AJ48" s="134">
        <v>3094.13</v>
      </c>
      <c r="AK48" s="134">
        <v>1422.95</v>
      </c>
      <c r="AL48" s="136"/>
      <c r="AM48" s="105">
        <f t="shared" si="18"/>
        <v>0</v>
      </c>
      <c r="AN48" s="143"/>
      <c r="AO48" s="143"/>
      <c r="AP48" s="143"/>
      <c r="AQ48" s="146"/>
      <c r="AR48" s="621">
        <f t="shared" si="19"/>
        <v>0</v>
      </c>
      <c r="AS48" s="492">
        <v>4360.5</v>
      </c>
      <c r="AT48" s="126"/>
      <c r="AU48" s="127"/>
      <c r="AV48" s="127"/>
      <c r="AW48" s="127"/>
      <c r="AX48" s="127"/>
      <c r="AY48" s="229">
        <v>3350.1</v>
      </c>
      <c r="AZ48" s="127"/>
      <c r="BA48" s="127"/>
      <c r="BB48" s="127"/>
      <c r="BC48" s="274"/>
      <c r="BD48" s="222">
        <f t="shared" si="20"/>
        <v>0</v>
      </c>
      <c r="BE48" s="140">
        <f t="shared" si="21"/>
        <v>0</v>
      </c>
      <c r="BF48" s="132"/>
      <c r="BG48" s="140">
        <f t="shared" si="22"/>
        <v>0</v>
      </c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30">
        <f t="shared" si="23"/>
        <v>0</v>
      </c>
      <c r="BV48" s="132"/>
    </row>
    <row r="49" ht="14.25" customHeight="1">
      <c r="A49" s="132"/>
      <c r="B49" s="179">
        <v>46062</v>
      </c>
      <c r="C49" s="133">
        <f>18572.68-D49-0</f>
      </c>
      <c r="D49" s="134">
        <v>3074.34</v>
      </c>
      <c r="E49" s="135"/>
      <c r="F49" s="135"/>
      <c r="G49" s="147">
        <f t="shared" si="15"/>
        <v>0</v>
      </c>
      <c r="H49" s="742"/>
      <c r="I49" s="746"/>
      <c r="J49" s="744"/>
      <c r="K49" s="744"/>
      <c r="L49" s="745"/>
      <c r="M49" s="745"/>
      <c r="N49" s="745"/>
      <c r="O49" s="745"/>
      <c r="P49" s="641">
        <v>467.31</v>
      </c>
      <c r="Q49" s="99"/>
      <c r="R49" s="641">
        <v>2390.4</v>
      </c>
      <c r="S49" s="641"/>
      <c r="T49" s="99"/>
      <c r="U49" s="103">
        <f t="shared" si="16"/>
        <v>0</v>
      </c>
      <c r="V49" s="143"/>
      <c r="W49" s="143"/>
      <c r="X49" s="143"/>
      <c r="Y49" s="611"/>
      <c r="Z49" s="143"/>
      <c r="AA49" s="143"/>
      <c r="AB49" s="143"/>
      <c r="AC49" s="143"/>
      <c r="AD49" s="143"/>
      <c r="AE49" s="143"/>
      <c r="AF49" s="143"/>
      <c r="AG49" s="145"/>
      <c r="AH49" s="143"/>
      <c r="AI49" s="103">
        <f t="shared" si="17"/>
        <v>0</v>
      </c>
      <c r="AJ49" s="134">
        <v>7187.21</v>
      </c>
      <c r="AK49" s="134">
        <v>898.7</v>
      </c>
      <c r="AL49" s="136"/>
      <c r="AM49" s="105">
        <f t="shared" si="18"/>
        <v>0</v>
      </c>
      <c r="AN49" s="143"/>
      <c r="AO49" s="143"/>
      <c r="AP49" s="143"/>
      <c r="AQ49" s="146"/>
      <c r="AR49" s="621">
        <f t="shared" si="19"/>
        <v>0</v>
      </c>
      <c r="AS49" s="492">
        <v>4591.3</v>
      </c>
      <c r="AT49" s="229">
        <v>761.48</v>
      </c>
      <c r="AU49" s="127"/>
      <c r="AV49" s="127"/>
      <c r="AW49" s="127"/>
      <c r="AX49" s="127"/>
      <c r="AY49" s="229">
        <v>2174.8</v>
      </c>
      <c r="AZ49" s="127"/>
      <c r="BA49" s="127"/>
      <c r="BB49" s="127"/>
      <c r="BC49" s="274"/>
      <c r="BD49" s="222">
        <f t="shared" si="20"/>
        <v>0</v>
      </c>
      <c r="BE49" s="140">
        <f t="shared" si="21"/>
        <v>0</v>
      </c>
      <c r="BF49" s="132"/>
      <c r="BG49" s="140">
        <f t="shared" si="22"/>
        <v>0</v>
      </c>
      <c r="BH49" s="141"/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30">
        <f t="shared" si="23"/>
        <v>0</v>
      </c>
      <c r="BV49" s="132"/>
    </row>
    <row r="50" ht="14.25" customHeight="1">
      <c r="A50" s="132"/>
      <c r="B50" s="179">
        <v>46063</v>
      </c>
      <c r="C50" s="133">
        <f>15198.03-D50-0</f>
      </c>
      <c r="D50" s="134">
        <v>2692.59</v>
      </c>
      <c r="E50" s="135"/>
      <c r="F50" s="135"/>
      <c r="G50" s="147">
        <f t="shared" si="15"/>
        <v>0</v>
      </c>
      <c r="H50" s="742"/>
      <c r="I50" s="746"/>
      <c r="J50" s="744"/>
      <c r="K50" s="744"/>
      <c r="L50" s="747">
        <v>242.33</v>
      </c>
      <c r="M50" s="745"/>
      <c r="N50" s="745"/>
      <c r="O50" s="747">
        <v>62.01</v>
      </c>
      <c r="P50" s="641">
        <v>701.66</v>
      </c>
      <c r="Q50" s="99"/>
      <c r="R50" s="641">
        <v>2140.54</v>
      </c>
      <c r="S50" s="641"/>
      <c r="T50" s="99"/>
      <c r="U50" s="103">
        <f t="shared" si="16"/>
        <v>0</v>
      </c>
      <c r="V50" s="143"/>
      <c r="W50" s="765"/>
      <c r="X50" s="765"/>
      <c r="Y50" s="611"/>
      <c r="Z50" s="143"/>
      <c r="AA50" s="143"/>
      <c r="AB50" s="143"/>
      <c r="AC50" s="143"/>
      <c r="AD50" s="143"/>
      <c r="AE50" s="143"/>
      <c r="AF50" s="143"/>
      <c r="AG50" s="145"/>
      <c r="AH50" s="143"/>
      <c r="AI50" s="103">
        <f t="shared" si="17"/>
        <v>0</v>
      </c>
      <c r="AJ50" s="134">
        <v>4401.69</v>
      </c>
      <c r="AK50" s="134">
        <v>816.84</v>
      </c>
      <c r="AL50" s="136"/>
      <c r="AM50" s="105">
        <f t="shared" si="18"/>
        <v>0</v>
      </c>
      <c r="AN50" s="143"/>
      <c r="AO50" s="143"/>
      <c r="AP50" s="143"/>
      <c r="AQ50" s="146"/>
      <c r="AR50" s="621">
        <f t="shared" si="19"/>
        <v>0</v>
      </c>
      <c r="AS50" s="492">
        <v>4880.7</v>
      </c>
      <c r="AT50" s="126"/>
      <c r="AU50" s="127"/>
      <c r="AV50" s="127"/>
      <c r="AW50" s="127"/>
      <c r="AX50" s="127"/>
      <c r="AY50" s="229">
        <v>1750.5</v>
      </c>
      <c r="AZ50" s="127"/>
      <c r="BA50" s="127"/>
      <c r="BB50" s="127"/>
      <c r="BC50" s="274"/>
      <c r="BD50" s="222">
        <f t="shared" si="20"/>
        <v>0</v>
      </c>
      <c r="BE50" s="140">
        <f t="shared" si="21"/>
        <v>0</v>
      </c>
      <c r="BF50" s="132"/>
      <c r="BG50" s="140">
        <f t="shared" si="22"/>
        <v>0</v>
      </c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30">
        <f t="shared" si="23"/>
        <v>0</v>
      </c>
      <c r="BV50" s="132"/>
    </row>
    <row r="51" ht="14.25" customHeight="1">
      <c r="A51" s="132"/>
      <c r="B51" s="179">
        <v>46064</v>
      </c>
      <c r="C51" s="133">
        <f>15934.72-D51-0</f>
      </c>
      <c r="D51" s="134">
        <v>3471.01</v>
      </c>
      <c r="E51" s="135"/>
      <c r="F51" s="135"/>
      <c r="G51" s="147">
        <f t="shared" si="15"/>
        <v>0</v>
      </c>
      <c r="H51" s="742"/>
      <c r="I51" s="746"/>
      <c r="J51" s="744"/>
      <c r="K51" s="744"/>
      <c r="L51" s="745"/>
      <c r="M51" s="745"/>
      <c r="N51" s="745"/>
      <c r="O51" s="747">
        <v>89.56</v>
      </c>
      <c r="P51" s="748">
        <v>250.55</v>
      </c>
      <c r="Q51" s="99"/>
      <c r="R51" s="641">
        <v>796.92</v>
      </c>
      <c r="S51" s="748">
        <v>1046.1</v>
      </c>
      <c r="T51" s="99"/>
      <c r="U51" s="103">
        <f t="shared" si="16"/>
        <v>0</v>
      </c>
      <c r="V51" s="143"/>
      <c r="W51" s="766"/>
      <c r="X51" s="766"/>
      <c r="Y51" s="611"/>
      <c r="Z51" s="143"/>
      <c r="AA51" s="143"/>
      <c r="AB51" s="143"/>
      <c r="AC51" s="143"/>
      <c r="AD51" s="143"/>
      <c r="AE51" s="143"/>
      <c r="AF51" s="143"/>
      <c r="AG51" s="143"/>
      <c r="AH51" s="143"/>
      <c r="AI51" s="103">
        <f t="shared" si="17"/>
        <v>0</v>
      </c>
      <c r="AJ51" s="134">
        <v>5204.08</v>
      </c>
      <c r="AK51" s="134">
        <v>943.69</v>
      </c>
      <c r="AL51" s="136"/>
      <c r="AM51" s="105">
        <f t="shared" si="18"/>
        <v>0</v>
      </c>
      <c r="AN51" s="143"/>
      <c r="AO51" s="143"/>
      <c r="AP51" s="143"/>
      <c r="AQ51" s="146"/>
      <c r="AR51" s="621">
        <f t="shared" si="19"/>
        <v>0</v>
      </c>
      <c r="AS51" s="492">
        <v>5165.4</v>
      </c>
      <c r="AT51" s="126"/>
      <c r="AU51" s="127"/>
      <c r="AV51" s="127"/>
      <c r="AW51" s="127"/>
      <c r="AX51" s="127"/>
      <c r="AY51" s="229">
        <v>2436.4</v>
      </c>
      <c r="AZ51" s="127"/>
      <c r="BA51" s="127"/>
      <c r="BB51" s="127"/>
      <c r="BC51" s="274"/>
      <c r="BD51" s="222">
        <f t="shared" si="20"/>
        <v>0</v>
      </c>
      <c r="BE51" s="140">
        <f t="shared" si="21"/>
        <v>0</v>
      </c>
      <c r="BF51" s="132"/>
      <c r="BG51" s="140">
        <f t="shared" si="22"/>
        <v>0</v>
      </c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30">
        <f t="shared" si="23"/>
        <v>0</v>
      </c>
      <c r="BV51" s="132"/>
    </row>
    <row r="52" ht="14.25" customHeight="1">
      <c r="A52" s="132"/>
      <c r="B52" s="179">
        <v>46065</v>
      </c>
      <c r="C52" s="133">
        <f>18623.74-D52-0</f>
      </c>
      <c r="D52" s="134">
        <v>2207.73</v>
      </c>
      <c r="E52" s="135"/>
      <c r="F52" s="135"/>
      <c r="G52" s="147">
        <f t="shared" si="15"/>
        <v>0</v>
      </c>
      <c r="H52" s="742"/>
      <c r="I52" s="746"/>
      <c r="J52" s="744"/>
      <c r="K52" s="744"/>
      <c r="L52" s="745"/>
      <c r="M52" s="745"/>
      <c r="N52" s="745"/>
      <c r="O52" s="747">
        <v>60.72</v>
      </c>
      <c r="P52" s="641"/>
      <c r="Q52" s="99"/>
      <c r="R52" s="641">
        <v>3777.05</v>
      </c>
      <c r="S52" s="748">
        <v>1131.29</v>
      </c>
      <c r="T52" s="99"/>
      <c r="U52" s="103">
        <f>SUM(H52:T52)</f>
        <v>0</v>
      </c>
      <c r="V52" s="143"/>
      <c r="W52" s="767"/>
      <c r="X52" s="767"/>
      <c r="Y52" s="611"/>
      <c r="Z52" s="143"/>
      <c r="AA52" s="143"/>
      <c r="AB52" s="143"/>
      <c r="AC52" s="143"/>
      <c r="AD52" s="143"/>
      <c r="AE52" s="143"/>
      <c r="AF52" s="143"/>
      <c r="AG52" s="143"/>
      <c r="AH52" s="145"/>
      <c r="AI52" s="103">
        <f t="shared" si="17"/>
        <v>0</v>
      </c>
      <c r="AJ52" s="134">
        <v>5564.68</v>
      </c>
      <c r="AK52" s="134">
        <v>529.7</v>
      </c>
      <c r="AL52" s="136"/>
      <c r="AM52" s="105">
        <f t="shared" si="18"/>
        <v>0</v>
      </c>
      <c r="AN52" s="143"/>
      <c r="AO52" s="143"/>
      <c r="AP52" s="143"/>
      <c r="AQ52" s="146"/>
      <c r="AR52" s="621">
        <f t="shared" si="19"/>
        <v>0</v>
      </c>
      <c r="AS52" s="492">
        <v>5991.4</v>
      </c>
      <c r="AT52" s="126"/>
      <c r="AU52" s="127"/>
      <c r="AV52" s="127"/>
      <c r="AW52" s="127"/>
      <c r="AX52" s="127"/>
      <c r="AY52" s="229">
        <v>1548.3</v>
      </c>
      <c r="AZ52" s="127"/>
      <c r="BA52" s="127"/>
      <c r="BB52" s="127"/>
      <c r="BC52" s="274"/>
      <c r="BD52" s="222">
        <f t="shared" si="20"/>
        <v>0</v>
      </c>
      <c r="BE52" s="140">
        <f t="shared" si="21"/>
        <v>0</v>
      </c>
      <c r="BF52" s="132"/>
      <c r="BG52" s="140">
        <f t="shared" si="22"/>
        <v>0</v>
      </c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30">
        <f t="shared" si="23"/>
        <v>0</v>
      </c>
      <c r="BV52" s="132"/>
    </row>
    <row r="53" ht="14.25" customHeight="1">
      <c r="A53" s="132"/>
      <c r="B53" s="179">
        <v>46066</v>
      </c>
      <c r="C53" s="133">
        <f>21415.30-D53-0</f>
      </c>
      <c r="D53" s="134">
        <v>3212.01</v>
      </c>
      <c r="E53" s="135"/>
      <c r="F53" s="135"/>
      <c r="G53" s="147">
        <f t="shared" si="15"/>
        <v>0</v>
      </c>
      <c r="H53" s="742"/>
      <c r="I53" s="746"/>
      <c r="J53" s="744"/>
      <c r="K53" s="744"/>
      <c r="L53" s="745"/>
      <c r="M53" s="745"/>
      <c r="N53" s="745"/>
      <c r="O53" s="745">
        <v>242.04</v>
      </c>
      <c r="P53" s="641">
        <v>283.19</v>
      </c>
      <c r="Q53" s="99"/>
      <c r="R53" s="641">
        <v>3624.12</v>
      </c>
      <c r="S53" s="641">
        <v>1587.21</v>
      </c>
      <c r="T53" s="99"/>
      <c r="U53" s="103">
        <f ref="U53:U69" t="shared" si="24">SUM(I53:T53)</f>
        <v>0</v>
      </c>
      <c r="V53" s="143"/>
      <c r="W53" s="143"/>
      <c r="X53" s="143"/>
      <c r="Y53" s="611"/>
      <c r="Z53" s="143"/>
      <c r="AA53" s="143"/>
      <c r="AB53" s="143"/>
      <c r="AC53" s="143"/>
      <c r="AD53" s="143"/>
      <c r="AE53" s="143"/>
      <c r="AF53" s="143"/>
      <c r="AG53" s="143"/>
      <c r="AH53" s="143"/>
      <c r="AI53" s="103">
        <f t="shared" si="17"/>
        <v>0</v>
      </c>
      <c r="AJ53" s="134">
        <v>7058.62</v>
      </c>
      <c r="AK53" s="134">
        <v>1018.48</v>
      </c>
      <c r="AL53" s="136"/>
      <c r="AM53" s="105">
        <f t="shared" si="18"/>
        <v>0</v>
      </c>
      <c r="AN53" s="143"/>
      <c r="AO53" s="143"/>
      <c r="AP53" s="143"/>
      <c r="AQ53" s="146"/>
      <c r="AR53" s="621">
        <f t="shared" si="19"/>
        <v>0</v>
      </c>
      <c r="AS53" s="492">
        <v>5544.3</v>
      </c>
      <c r="AT53" s="126"/>
      <c r="AU53" s="127"/>
      <c r="AV53" s="127"/>
      <c r="AW53" s="127"/>
      <c r="AX53" s="127"/>
      <c r="AY53" s="229">
        <v>2055.1</v>
      </c>
      <c r="AZ53" s="127"/>
      <c r="BA53" s="127"/>
      <c r="BB53" s="127"/>
      <c r="BC53" s="274"/>
      <c r="BD53" s="222">
        <f t="shared" si="20"/>
        <v>0</v>
      </c>
      <c r="BE53" s="140">
        <f t="shared" si="21"/>
        <v>0</v>
      </c>
      <c r="BF53" s="132"/>
      <c r="BG53" s="140">
        <f t="shared" si="22"/>
        <v>0</v>
      </c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30">
        <f t="shared" si="23"/>
        <v>0</v>
      </c>
      <c r="BV53" s="132"/>
    </row>
    <row r="54" ht="14.25" customHeight="1">
      <c r="A54" s="132"/>
      <c r="B54" s="179">
        <v>46067</v>
      </c>
      <c r="C54" s="133">
        <f>15220.40-D54-0</f>
      </c>
      <c r="D54" s="134">
        <v>3113.2</v>
      </c>
      <c r="E54" s="135"/>
      <c r="F54" s="135"/>
      <c r="G54" s="147">
        <f t="shared" si="15"/>
        <v>0</v>
      </c>
      <c r="H54" s="742"/>
      <c r="I54" s="746"/>
      <c r="J54" s="744"/>
      <c r="K54" s="744"/>
      <c r="L54" s="747">
        <v>238.83</v>
      </c>
      <c r="M54" s="745"/>
      <c r="N54" s="745"/>
      <c r="O54" s="747">
        <v>40</v>
      </c>
      <c r="P54" s="641"/>
      <c r="Q54" s="99"/>
      <c r="R54" s="641">
        <v>1209.55</v>
      </c>
      <c r="S54" s="641">
        <v>369.77</v>
      </c>
      <c r="T54" s="99"/>
      <c r="U54" s="103">
        <f t="shared" si="24"/>
        <v>0</v>
      </c>
      <c r="V54" s="143"/>
      <c r="W54" s="143"/>
      <c r="X54" s="143"/>
      <c r="Y54" s="611"/>
      <c r="Z54" s="143"/>
      <c r="AA54" s="143"/>
      <c r="AB54" s="143"/>
      <c r="AC54" s="143"/>
      <c r="AD54" s="143"/>
      <c r="AE54" s="143"/>
      <c r="AF54" s="143"/>
      <c r="AG54" s="143"/>
      <c r="AH54" s="143"/>
      <c r="AI54" s="103">
        <f t="shared" si="17"/>
        <v>0</v>
      </c>
      <c r="AJ54" s="134">
        <v>5009.51</v>
      </c>
      <c r="AK54" s="134">
        <v>851.21</v>
      </c>
      <c r="AL54" s="136"/>
      <c r="AM54" s="105">
        <f t="shared" si="18"/>
        <v>0</v>
      </c>
      <c r="AN54" s="143"/>
      <c r="AO54" s="143"/>
      <c r="AP54" s="143"/>
      <c r="AQ54" s="146"/>
      <c r="AR54" s="621">
        <f t="shared" si="19"/>
        <v>0</v>
      </c>
      <c r="AS54" s="492">
        <v>5278.9</v>
      </c>
      <c r="AT54" s="126"/>
      <c r="AU54" s="127"/>
      <c r="AV54" s="127"/>
      <c r="AW54" s="127"/>
      <c r="AX54" s="127"/>
      <c r="AY54" s="229">
        <v>2220.3</v>
      </c>
      <c r="AZ54" s="127"/>
      <c r="BA54" s="127"/>
      <c r="BB54" s="127"/>
      <c r="BC54" s="274"/>
      <c r="BD54" s="222">
        <f t="shared" si="20"/>
        <v>0</v>
      </c>
      <c r="BE54" s="140">
        <f t="shared" si="21"/>
        <v>0</v>
      </c>
      <c r="BF54" s="132"/>
      <c r="BG54" s="140">
        <f t="shared" si="22"/>
        <v>0</v>
      </c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30">
        <f t="shared" si="23"/>
        <v>0</v>
      </c>
      <c r="BV54" s="132"/>
    </row>
    <row r="55" ht="14.25" customHeight="1">
      <c r="A55" s="132"/>
      <c r="B55" s="179">
        <v>46068</v>
      </c>
      <c r="C55" s="133">
        <f>18003.21-D55-0</f>
      </c>
      <c r="D55" s="134">
        <v>3617.08</v>
      </c>
      <c r="E55" s="135"/>
      <c r="F55" s="135"/>
      <c r="G55" s="147">
        <f t="shared" si="15"/>
        <v>0</v>
      </c>
      <c r="H55" s="742"/>
      <c r="I55" s="746"/>
      <c r="J55" s="744"/>
      <c r="K55" s="744"/>
      <c r="L55" s="747">
        <v>260.83</v>
      </c>
      <c r="M55" s="745"/>
      <c r="N55" s="745"/>
      <c r="O55" s="745"/>
      <c r="P55" s="748">
        <v>271.39</v>
      </c>
      <c r="Q55" s="99"/>
      <c r="R55" s="641">
        <v>1078.91</v>
      </c>
      <c r="S55" s="641"/>
      <c r="T55" s="99"/>
      <c r="U55" s="103">
        <f t="shared" si="24"/>
        <v>0</v>
      </c>
      <c r="V55" s="143"/>
      <c r="W55" s="133"/>
      <c r="X55" s="133"/>
      <c r="Y55" s="611"/>
      <c r="Z55" s="143"/>
      <c r="AA55" s="143"/>
      <c r="AB55" s="143"/>
      <c r="AC55" s="143"/>
      <c r="AD55" s="143"/>
      <c r="AE55" s="143"/>
      <c r="AF55" s="143"/>
      <c r="AG55" s="143"/>
      <c r="AH55" s="143"/>
      <c r="AI55" s="103">
        <f t="shared" si="17"/>
        <v>0</v>
      </c>
      <c r="AJ55" s="134">
        <v>5970.43</v>
      </c>
      <c r="AK55" s="134">
        <v>1048.07</v>
      </c>
      <c r="AL55" s="136"/>
      <c r="AM55" s="105">
        <f t="shared" si="18"/>
        <v>0</v>
      </c>
      <c r="AN55" s="143"/>
      <c r="AO55" s="143"/>
      <c r="AP55" s="143"/>
      <c r="AQ55" s="146"/>
      <c r="AR55" s="621">
        <f t="shared" si="19"/>
        <v>0</v>
      </c>
      <c r="AS55" s="492">
        <v>6324</v>
      </c>
      <c r="AT55" s="126"/>
      <c r="AU55" s="127"/>
      <c r="AV55" s="127"/>
      <c r="AW55" s="127"/>
      <c r="AX55" s="127"/>
      <c r="AY55" s="229">
        <v>2567.4</v>
      </c>
      <c r="AZ55" s="127"/>
      <c r="BA55" s="127"/>
      <c r="BB55" s="127"/>
      <c r="BC55" s="274"/>
      <c r="BD55" s="222">
        <f t="shared" si="20"/>
        <v>0</v>
      </c>
      <c r="BE55" s="140">
        <f t="shared" si="21"/>
        <v>0</v>
      </c>
      <c r="BF55" s="132"/>
      <c r="BG55" s="140">
        <f t="shared" si="22"/>
        <v>0</v>
      </c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50"/>
      <c r="BS55" s="141">
        <v>480</v>
      </c>
      <c r="BT55" s="141"/>
      <c r="BU55" s="130">
        <f t="shared" si="23"/>
        <v>0</v>
      </c>
      <c r="BV55" s="132"/>
    </row>
    <row r="56" ht="14.25" customHeight="1">
      <c r="A56" s="132"/>
      <c r="B56" s="179">
        <v>46069</v>
      </c>
      <c r="C56" s="133">
        <f>21237.66-D56-0</f>
      </c>
      <c r="D56" s="134">
        <v>2937.68</v>
      </c>
      <c r="E56" s="135"/>
      <c r="F56" s="135"/>
      <c r="G56" s="147">
        <f t="shared" si="15"/>
        <v>0</v>
      </c>
      <c r="H56" s="742"/>
      <c r="I56" s="746"/>
      <c r="J56" s="744"/>
      <c r="K56" s="744"/>
      <c r="L56" s="747">
        <v>161.95</v>
      </c>
      <c r="M56" s="745"/>
      <c r="N56" s="745"/>
      <c r="O56" s="747">
        <v>63.76</v>
      </c>
      <c r="P56" s="748">
        <v>142.33</v>
      </c>
      <c r="Q56" s="99"/>
      <c r="R56" s="641">
        <v>4379.98</v>
      </c>
      <c r="S56" s="748">
        <v>3407.88</v>
      </c>
      <c r="T56" s="99"/>
      <c r="U56" s="103">
        <f t="shared" si="24"/>
        <v>0</v>
      </c>
      <c r="V56" s="143"/>
      <c r="W56" s="143"/>
      <c r="X56" s="143"/>
      <c r="Y56" s="611"/>
      <c r="Z56" s="143"/>
      <c r="AA56" s="143"/>
      <c r="AB56" s="143"/>
      <c r="AC56" s="143"/>
      <c r="AD56" s="143"/>
      <c r="AE56" s="143"/>
      <c r="AF56" s="143"/>
      <c r="AG56" s="143"/>
      <c r="AH56" s="143"/>
      <c r="AI56" s="103">
        <f t="shared" si="17"/>
        <v>0</v>
      </c>
      <c r="AJ56" s="134">
        <v>3930.37</v>
      </c>
      <c r="AK56" s="134">
        <v>474.65</v>
      </c>
      <c r="AL56" s="136"/>
      <c r="AM56" s="105">
        <f t="shared" si="18"/>
        <v>0</v>
      </c>
      <c r="AN56" s="143"/>
      <c r="AO56" s="143"/>
      <c r="AP56" s="143"/>
      <c r="AQ56" s="146"/>
      <c r="AR56" s="621">
        <f t="shared" si="19"/>
        <v>0</v>
      </c>
      <c r="AS56" s="492">
        <v>6396.8</v>
      </c>
      <c r="AT56" s="749"/>
      <c r="AU56" s="127"/>
      <c r="AV56" s="127"/>
      <c r="AW56" s="127"/>
      <c r="AX56" s="127"/>
      <c r="AY56" s="229">
        <v>2277.9</v>
      </c>
      <c r="AZ56" s="127"/>
      <c r="BA56" s="127"/>
      <c r="BB56" s="127"/>
      <c r="BC56" s="274"/>
      <c r="BD56" s="222">
        <f t="shared" si="20"/>
        <v>0</v>
      </c>
      <c r="BE56" s="140">
        <f t="shared" si="21"/>
        <v>0</v>
      </c>
      <c r="BF56" s="132"/>
      <c r="BG56" s="140">
        <f t="shared" si="22"/>
        <v>0</v>
      </c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30">
        <f t="shared" si="23"/>
        <v>0</v>
      </c>
      <c r="BV56" s="132"/>
    </row>
    <row r="57" ht="14.25" customHeight="1">
      <c r="A57" s="132"/>
      <c r="B57" s="179">
        <v>46070</v>
      </c>
      <c r="C57" s="133">
        <f>15843.70-D57-0</f>
      </c>
      <c r="D57" s="134">
        <v>3191.69</v>
      </c>
      <c r="E57" s="135"/>
      <c r="F57" s="135"/>
      <c r="G57" s="147">
        <f t="shared" si="15"/>
        <v>0</v>
      </c>
      <c r="H57" s="742"/>
      <c r="I57" s="746"/>
      <c r="J57" s="744"/>
      <c r="K57" s="744"/>
      <c r="L57" s="747">
        <v>205.41</v>
      </c>
      <c r="M57" s="745"/>
      <c r="N57" s="745"/>
      <c r="O57" s="747">
        <v>76.05</v>
      </c>
      <c r="P57" s="641">
        <v>705.19</v>
      </c>
      <c r="Q57" s="99"/>
      <c r="R57" s="641">
        <v>2069.13</v>
      </c>
      <c r="S57" s="641">
        <v>1120.84</v>
      </c>
      <c r="T57" s="99"/>
      <c r="U57" s="103">
        <f t="shared" si="24"/>
        <v>0</v>
      </c>
      <c r="V57" s="146"/>
      <c r="W57" s="135"/>
      <c r="X57" s="136"/>
      <c r="Y57" s="768"/>
      <c r="Z57" s="143"/>
      <c r="AA57" s="143"/>
      <c r="AB57" s="143"/>
      <c r="AC57" s="143"/>
      <c r="AD57" s="143"/>
      <c r="AE57" s="143"/>
      <c r="AF57" s="143"/>
      <c r="AG57" s="143"/>
      <c r="AH57" s="143"/>
      <c r="AI57" s="103">
        <f t="shared" si="17"/>
        <v>0</v>
      </c>
      <c r="AJ57" s="134">
        <v>4284.98</v>
      </c>
      <c r="AK57" s="134">
        <v>649.16</v>
      </c>
      <c r="AL57" s="136"/>
      <c r="AM57" s="105">
        <f t="shared" si="18"/>
        <v>0</v>
      </c>
      <c r="AN57" s="143"/>
      <c r="AO57" s="143"/>
      <c r="AP57" s="143"/>
      <c r="AQ57" s="146"/>
      <c r="AR57" s="621">
        <f t="shared" si="19"/>
        <v>0</v>
      </c>
      <c r="AS57" s="492">
        <v>4265.9</v>
      </c>
      <c r="AT57" s="229"/>
      <c r="AU57" s="127"/>
      <c r="AV57" s="127"/>
      <c r="AW57" s="127"/>
      <c r="AX57" s="127"/>
      <c r="AY57" s="229">
        <v>2465.2</v>
      </c>
      <c r="AZ57" s="127"/>
      <c r="BA57" s="127"/>
      <c r="BB57" s="127"/>
      <c r="BC57" s="274"/>
      <c r="BD57" s="222">
        <f t="shared" si="20"/>
        <v>0</v>
      </c>
      <c r="BE57" s="140">
        <f t="shared" si="21"/>
        <v>0</v>
      </c>
      <c r="BF57" s="132"/>
      <c r="BG57" s="140">
        <f t="shared" si="22"/>
        <v>0</v>
      </c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30">
        <f t="shared" si="23"/>
        <v>0</v>
      </c>
      <c r="BV57" s="132"/>
    </row>
    <row r="58" ht="14.25" customHeight="1">
      <c r="A58" s="132"/>
      <c r="B58" s="179">
        <v>46071</v>
      </c>
      <c r="C58" s="133">
        <f>17218.92-D58-0</f>
      </c>
      <c r="D58" s="134">
        <v>2635</v>
      </c>
      <c r="E58" s="135"/>
      <c r="F58" s="135"/>
      <c r="G58" s="147">
        <f t="shared" si="15"/>
        <v>0</v>
      </c>
      <c r="H58" s="742"/>
      <c r="I58" s="746"/>
      <c r="J58" s="744"/>
      <c r="K58" s="744"/>
      <c r="L58" s="747">
        <v>211.71</v>
      </c>
      <c r="M58" s="745"/>
      <c r="N58" s="745"/>
      <c r="O58" s="745"/>
      <c r="P58" s="641">
        <v>682.97</v>
      </c>
      <c r="Q58" s="99"/>
      <c r="R58" s="641">
        <v>2496.42</v>
      </c>
      <c r="S58" s="641">
        <v>1239.99</v>
      </c>
      <c r="T58" s="99"/>
      <c r="U58" s="103">
        <f t="shared" si="24"/>
        <v>0</v>
      </c>
      <c r="V58" s="143"/>
      <c r="W58" s="143"/>
      <c r="X58" s="143"/>
      <c r="Y58" s="611"/>
      <c r="Z58" s="143"/>
      <c r="AA58" s="143"/>
      <c r="AB58" s="143"/>
      <c r="AC58" s="143"/>
      <c r="AD58" s="143"/>
      <c r="AE58" s="143"/>
      <c r="AF58" s="143"/>
      <c r="AG58" s="143"/>
      <c r="AH58" s="143"/>
      <c r="AI58" s="103">
        <f t="shared" si="17"/>
        <v>0</v>
      </c>
      <c r="AJ58" s="134">
        <v>4876.92</v>
      </c>
      <c r="AK58" s="134">
        <v>672.76</v>
      </c>
      <c r="AL58" s="136"/>
      <c r="AM58" s="105">
        <f t="shared" si="18"/>
        <v>0</v>
      </c>
      <c r="AN58" s="143"/>
      <c r="AO58" s="143"/>
      <c r="AP58" s="143"/>
      <c r="AQ58" s="146"/>
      <c r="AR58" s="621">
        <f t="shared" si="19"/>
        <v>0</v>
      </c>
      <c r="AS58" s="492">
        <v>5075.3</v>
      </c>
      <c r="AT58" s="126"/>
      <c r="AU58" s="127"/>
      <c r="AV58" s="127"/>
      <c r="AW58" s="127"/>
      <c r="AX58" s="127"/>
      <c r="AY58" s="229">
        <v>1960.9</v>
      </c>
      <c r="AZ58" s="127"/>
      <c r="BA58" s="127"/>
      <c r="BB58" s="127"/>
      <c r="BC58" s="274"/>
      <c r="BD58" s="222">
        <f t="shared" si="20"/>
        <v>0</v>
      </c>
      <c r="BE58" s="140">
        <f t="shared" si="21"/>
        <v>0</v>
      </c>
      <c r="BF58" s="132"/>
      <c r="BG58" s="140">
        <f t="shared" si="22"/>
        <v>0</v>
      </c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30">
        <f t="shared" si="23"/>
        <v>0</v>
      </c>
      <c r="BV58" s="132"/>
    </row>
    <row r="59" ht="14.25" customHeight="1">
      <c r="A59" s="132"/>
      <c r="B59" s="179">
        <v>46072</v>
      </c>
      <c r="C59" s="133">
        <f>18393.57-D59-0</f>
      </c>
      <c r="D59" s="134">
        <v>2928.63</v>
      </c>
      <c r="E59" s="135"/>
      <c r="F59" s="135"/>
      <c r="G59" s="147">
        <f t="shared" si="15"/>
        <v>0</v>
      </c>
      <c r="H59" s="742"/>
      <c r="I59" s="746"/>
      <c r="J59" s="744"/>
      <c r="K59" s="744"/>
      <c r="L59" s="745"/>
      <c r="M59" s="745"/>
      <c r="N59" s="745"/>
      <c r="O59" s="747">
        <v>178.14</v>
      </c>
      <c r="P59" s="748">
        <v>182.14</v>
      </c>
      <c r="Q59" s="641"/>
      <c r="R59" s="641">
        <v>1814.35</v>
      </c>
      <c r="S59" s="641">
        <v>363.46</v>
      </c>
      <c r="T59" s="99"/>
      <c r="U59" s="103">
        <f t="shared" si="24"/>
        <v>0</v>
      </c>
      <c r="V59" s="143"/>
      <c r="W59" s="143"/>
      <c r="X59" s="143"/>
      <c r="Y59" s="611"/>
      <c r="Z59" s="143"/>
      <c r="AA59" s="143"/>
      <c r="AB59" s="143"/>
      <c r="AC59" s="143"/>
      <c r="AD59" s="143"/>
      <c r="AE59" s="143"/>
      <c r="AF59" s="143"/>
      <c r="AG59" s="143"/>
      <c r="AH59" s="143"/>
      <c r="AI59" s="103">
        <f t="shared" si="17"/>
        <v>0</v>
      </c>
      <c r="AJ59" s="134">
        <v>5306.38</v>
      </c>
      <c r="AK59" s="134">
        <v>867.7</v>
      </c>
      <c r="AL59" s="136"/>
      <c r="AM59" s="105">
        <f t="shared" si="18"/>
        <v>0</v>
      </c>
      <c r="AN59" s="143"/>
      <c r="AO59" s="143"/>
      <c r="AP59" s="143"/>
      <c r="AQ59" s="146"/>
      <c r="AR59" s="621">
        <f t="shared" si="19"/>
        <v>0</v>
      </c>
      <c r="AS59" s="492">
        <v>7798</v>
      </c>
      <c r="AT59" s="126"/>
      <c r="AU59" s="127"/>
      <c r="AV59" s="127"/>
      <c r="AW59" s="127"/>
      <c r="AX59" s="127"/>
      <c r="AY59" s="229">
        <v>1881.5</v>
      </c>
      <c r="AZ59" s="127"/>
      <c r="BA59" s="127"/>
      <c r="BB59" s="127"/>
      <c r="BC59" s="274"/>
      <c r="BD59" s="222">
        <f t="shared" si="20"/>
        <v>0</v>
      </c>
      <c r="BE59" s="140">
        <f t="shared" si="21"/>
        <v>0</v>
      </c>
      <c r="BF59" s="132"/>
      <c r="BG59" s="140">
        <f t="shared" si="22"/>
        <v>0</v>
      </c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30">
        <f t="shared" si="23"/>
        <v>0</v>
      </c>
      <c r="BV59" s="132"/>
    </row>
    <row r="60" ht="14.25" customHeight="1">
      <c r="A60" s="132"/>
      <c r="B60" s="179">
        <v>46073</v>
      </c>
      <c r="C60" s="133">
        <f>17141.93-D60-0</f>
      </c>
      <c r="D60" s="200">
        <v>2705.85</v>
      </c>
      <c r="E60" s="135"/>
      <c r="F60" s="135"/>
      <c r="G60" s="147">
        <f t="shared" si="15"/>
        <v>0</v>
      </c>
      <c r="H60" s="742"/>
      <c r="I60" s="746"/>
      <c r="J60" s="744"/>
      <c r="K60" s="744"/>
      <c r="L60" s="745"/>
      <c r="M60" s="745"/>
      <c r="N60" s="745"/>
      <c r="O60" s="745">
        <v>223.05</v>
      </c>
      <c r="P60" s="748">
        <v>60.04</v>
      </c>
      <c r="Q60" s="99"/>
      <c r="R60" s="641">
        <v>1869.44</v>
      </c>
      <c r="S60" s="641">
        <v>1733.31</v>
      </c>
      <c r="T60" s="99"/>
      <c r="U60" s="103">
        <f t="shared" si="24"/>
        <v>0</v>
      </c>
      <c r="V60" s="143"/>
      <c r="W60" s="143"/>
      <c r="X60" s="143"/>
      <c r="Y60" s="611"/>
      <c r="Z60" s="143"/>
      <c r="AA60" s="143"/>
      <c r="AB60" s="143"/>
      <c r="AC60" s="143"/>
      <c r="AD60" s="143"/>
      <c r="AE60" s="143"/>
      <c r="AF60" s="143"/>
      <c r="AG60" s="143"/>
      <c r="AH60" s="143"/>
      <c r="AI60" s="103">
        <f t="shared" si="17"/>
        <v>0</v>
      </c>
      <c r="AJ60" s="134">
        <v>5274.39</v>
      </c>
      <c r="AK60" s="134">
        <v>939.35</v>
      </c>
      <c r="AL60" s="136"/>
      <c r="AM60" s="105">
        <f t="shared" si="18"/>
        <v>0</v>
      </c>
      <c r="AN60" s="143"/>
      <c r="AO60" s="143"/>
      <c r="AP60" s="143"/>
      <c r="AQ60" s="146"/>
      <c r="AR60" s="621">
        <f t="shared" si="19"/>
        <v>0</v>
      </c>
      <c r="AS60" s="492">
        <v>5458.5</v>
      </c>
      <c r="AT60" s="126"/>
      <c r="AU60" s="127"/>
      <c r="AV60" s="127"/>
      <c r="AW60" s="127"/>
      <c r="AX60" s="127"/>
      <c r="AY60" s="229">
        <v>1582.3</v>
      </c>
      <c r="AZ60" s="127"/>
      <c r="BA60" s="127"/>
      <c r="BB60" s="127"/>
      <c r="BC60" s="274"/>
      <c r="BD60" s="222">
        <f t="shared" si="20"/>
        <v>0</v>
      </c>
      <c r="BE60" s="140">
        <f t="shared" si="21"/>
        <v>0</v>
      </c>
      <c r="BF60" s="132"/>
      <c r="BG60" s="140">
        <f t="shared" si="22"/>
        <v>0</v>
      </c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30">
        <f t="shared" si="23"/>
        <v>0</v>
      </c>
      <c r="BV60" s="132"/>
    </row>
    <row r="61" ht="14.25" customHeight="1">
      <c r="A61" s="132"/>
      <c r="B61" s="179">
        <v>46074</v>
      </c>
      <c r="C61" s="133">
        <f>21956.03-D61-0</f>
      </c>
      <c r="D61" s="134">
        <v>4081.61</v>
      </c>
      <c r="E61" s="135"/>
      <c r="F61" s="135"/>
      <c r="G61" s="147">
        <f t="shared" si="15"/>
        <v>0</v>
      </c>
      <c r="H61" s="742"/>
      <c r="I61" s="746"/>
      <c r="J61" s="744"/>
      <c r="K61" s="744"/>
      <c r="L61" s="745"/>
      <c r="M61" s="745"/>
      <c r="N61" s="745"/>
      <c r="O61" s="747">
        <v>45.31</v>
      </c>
      <c r="P61" s="748">
        <v>212.23</v>
      </c>
      <c r="Q61" s="99"/>
      <c r="R61" s="641">
        <v>3640.47</v>
      </c>
      <c r="S61" s="748">
        <v>1070.95</v>
      </c>
      <c r="T61" s="99"/>
      <c r="U61" s="103">
        <f t="shared" si="24"/>
        <v>0</v>
      </c>
      <c r="V61" s="143"/>
      <c r="W61" s="143"/>
      <c r="X61" s="143"/>
      <c r="Y61" s="611"/>
      <c r="Z61" s="143"/>
      <c r="AA61" s="143"/>
      <c r="AB61" s="143"/>
      <c r="AC61" s="143"/>
      <c r="AD61" s="143"/>
      <c r="AE61" s="143"/>
      <c r="AF61" s="143"/>
      <c r="AG61" s="143"/>
      <c r="AH61" s="143"/>
      <c r="AI61" s="103">
        <f t="shared" si="17"/>
        <v>0</v>
      </c>
      <c r="AJ61" s="134">
        <v>6701.55</v>
      </c>
      <c r="AK61" s="134">
        <v>1228.45</v>
      </c>
      <c r="AL61" s="136"/>
      <c r="AM61" s="105">
        <f t="shared" si="18"/>
        <v>0</v>
      </c>
      <c r="AN61" s="143"/>
      <c r="AO61" s="143"/>
      <c r="AP61" s="143"/>
      <c r="AQ61" s="146"/>
      <c r="AR61" s="621">
        <f t="shared" si="19"/>
        <v>0</v>
      </c>
      <c r="AS61" s="492">
        <v>6248.7</v>
      </c>
      <c r="AT61" s="126"/>
      <c r="AU61" s="127"/>
      <c r="AV61" s="127"/>
      <c r="AW61" s="127"/>
      <c r="AX61" s="127"/>
      <c r="AY61" s="229">
        <v>2806.8</v>
      </c>
      <c r="AZ61" s="127"/>
      <c r="BA61" s="127"/>
      <c r="BB61" s="127"/>
      <c r="BC61" s="274"/>
      <c r="BD61" s="222">
        <f t="shared" si="20"/>
        <v>0</v>
      </c>
      <c r="BE61" s="140">
        <f t="shared" si="21"/>
        <v>0</v>
      </c>
      <c r="BF61" s="132"/>
      <c r="BG61" s="140">
        <f t="shared" si="22"/>
        <v>0</v>
      </c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30">
        <f t="shared" si="23"/>
        <v>0</v>
      </c>
      <c r="BV61" s="132"/>
    </row>
    <row r="62" ht="14.25" customHeight="1">
      <c r="A62" s="132"/>
      <c r="B62" s="179">
        <v>46075</v>
      </c>
      <c r="C62" s="133">
        <f>17774.70-D62-0</f>
      </c>
      <c r="D62" s="134">
        <v>4637.48</v>
      </c>
      <c r="E62" s="135"/>
      <c r="F62" s="135"/>
      <c r="G62" s="147">
        <f t="shared" si="15"/>
        <v>0</v>
      </c>
      <c r="H62" s="742"/>
      <c r="I62" s="746"/>
      <c r="J62" s="744"/>
      <c r="K62" s="744"/>
      <c r="L62" s="745"/>
      <c r="M62" s="745"/>
      <c r="N62" s="745"/>
      <c r="O62" s="747">
        <v>51</v>
      </c>
      <c r="P62" s="641"/>
      <c r="Q62" s="99"/>
      <c r="R62" s="641">
        <v>558.62</v>
      </c>
      <c r="S62" s="641"/>
      <c r="T62" s="99"/>
      <c r="U62" s="103">
        <f t="shared" si="24"/>
        <v>0</v>
      </c>
      <c r="V62" s="143"/>
      <c r="W62" s="143"/>
      <c r="X62" s="143"/>
      <c r="Y62" s="611"/>
      <c r="Z62" s="143"/>
      <c r="AA62" s="143"/>
      <c r="AB62" s="143"/>
      <c r="AC62" s="143"/>
      <c r="AD62" s="143"/>
      <c r="AE62" s="143"/>
      <c r="AF62" s="143"/>
      <c r="AG62" s="143"/>
      <c r="AH62" s="143"/>
      <c r="AI62" s="103">
        <f t="shared" si="17"/>
        <v>0</v>
      </c>
      <c r="AJ62" s="134">
        <v>5124.07</v>
      </c>
      <c r="AK62" s="134">
        <v>1557.42</v>
      </c>
      <c r="AL62" s="136"/>
      <c r="AM62" s="105">
        <f t="shared" si="18"/>
        <v>0</v>
      </c>
      <c r="AN62" s="143"/>
      <c r="AO62" s="143"/>
      <c r="AP62" s="143"/>
      <c r="AQ62" s="146"/>
      <c r="AR62" s="621">
        <f t="shared" si="19"/>
        <v>0</v>
      </c>
      <c r="AS62" s="492">
        <v>7453.8</v>
      </c>
      <c r="AT62" s="126"/>
      <c r="AU62" s="127"/>
      <c r="AV62" s="127"/>
      <c r="AW62" s="127"/>
      <c r="AX62" s="127"/>
      <c r="AY62" s="229">
        <v>3027.3</v>
      </c>
      <c r="AZ62" s="127"/>
      <c r="BA62" s="127"/>
      <c r="BB62" s="127"/>
      <c r="BC62" s="274"/>
      <c r="BD62" s="222">
        <f t="shared" si="20"/>
        <v>0</v>
      </c>
      <c r="BE62" s="140">
        <f t="shared" si="21"/>
        <v>0</v>
      </c>
      <c r="BF62" s="132"/>
      <c r="BG62" s="140">
        <f t="shared" si="22"/>
        <v>0</v>
      </c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30">
        <f t="shared" si="23"/>
        <v>0</v>
      </c>
      <c r="BV62" s="132"/>
    </row>
    <row r="63" ht="14.25" customHeight="1">
      <c r="A63" s="132"/>
      <c r="B63" s="179">
        <v>46076</v>
      </c>
      <c r="C63" s="133">
        <f>20755.43-D63-0</f>
      </c>
      <c r="D63" s="134">
        <v>2977.36</v>
      </c>
      <c r="E63" s="135"/>
      <c r="F63" s="135"/>
      <c r="G63" s="147">
        <f t="shared" si="15"/>
        <v>0</v>
      </c>
      <c r="H63" s="742"/>
      <c r="I63" s="746"/>
      <c r="J63" s="744"/>
      <c r="K63" s="744"/>
      <c r="L63" s="747">
        <v>213.31</v>
      </c>
      <c r="M63" s="747"/>
      <c r="N63" s="747">
        <v>255.42</v>
      </c>
      <c r="O63" s="747">
        <v>48.04</v>
      </c>
      <c r="P63" s="641">
        <v>432.58</v>
      </c>
      <c r="Q63" s="99"/>
      <c r="R63" s="641">
        <v>2410.68</v>
      </c>
      <c r="S63" s="641">
        <v>2546.58</v>
      </c>
      <c r="T63" s="99"/>
      <c r="U63" s="103">
        <f t="shared" si="24"/>
        <v>0</v>
      </c>
      <c r="V63" s="143"/>
      <c r="W63" s="143"/>
      <c r="X63" s="143"/>
      <c r="Y63" s="611"/>
      <c r="Z63" s="143"/>
      <c r="AA63" s="143"/>
      <c r="AB63" s="143"/>
      <c r="AC63" s="143"/>
      <c r="AD63" s="143"/>
      <c r="AE63" s="143"/>
      <c r="AF63" s="143"/>
      <c r="AG63" s="143"/>
      <c r="AH63" s="145"/>
      <c r="AI63" s="103">
        <f t="shared" si="17"/>
        <v>0</v>
      </c>
      <c r="AJ63" s="134">
        <v>3919.44</v>
      </c>
      <c r="AK63" s="134">
        <v>854.37</v>
      </c>
      <c r="AL63" s="136"/>
      <c r="AM63" s="105">
        <f t="shared" si="18"/>
        <v>0</v>
      </c>
      <c r="AN63" s="143"/>
      <c r="AO63" s="143"/>
      <c r="AP63" s="143"/>
      <c r="AQ63" s="146"/>
      <c r="AR63" s="621">
        <f t="shared" si="19"/>
        <v>0</v>
      </c>
      <c r="AS63" s="492">
        <v>4977.4</v>
      </c>
      <c r="AT63" s="126"/>
      <c r="AU63" s="127"/>
      <c r="AV63" s="127"/>
      <c r="AW63" s="127"/>
      <c r="AX63" s="127"/>
      <c r="AY63" s="229">
        <v>2073.6</v>
      </c>
      <c r="AZ63" s="127"/>
      <c r="BA63" s="127"/>
      <c r="BB63" s="127"/>
      <c r="BC63" s="274"/>
      <c r="BD63" s="222">
        <f t="shared" si="20"/>
        <v>0</v>
      </c>
      <c r="BE63" s="140">
        <f t="shared" si="21"/>
        <v>0</v>
      </c>
      <c r="BF63" s="132"/>
      <c r="BG63" s="140">
        <f t="shared" si="22"/>
        <v>0</v>
      </c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30">
        <f t="shared" si="23"/>
        <v>0</v>
      </c>
      <c r="BV63" s="132"/>
    </row>
    <row r="64" ht="14.25" customHeight="1">
      <c r="A64" s="132"/>
      <c r="B64" s="179">
        <v>46077</v>
      </c>
      <c r="C64" s="133">
        <f>18077.87-D64-0</f>
      </c>
      <c r="D64" s="134">
        <v>2958.4</v>
      </c>
      <c r="E64" s="135"/>
      <c r="F64" s="135"/>
      <c r="G64" s="147">
        <f t="shared" si="15"/>
        <v>0</v>
      </c>
      <c r="H64" s="742"/>
      <c r="I64" s="746"/>
      <c r="J64" s="744"/>
      <c r="K64" s="744"/>
      <c r="L64" s="747">
        <v>1222.81</v>
      </c>
      <c r="M64" s="745"/>
      <c r="N64" s="745"/>
      <c r="O64" s="745">
        <v>249.63</v>
      </c>
      <c r="P64" s="641">
        <v>301.66</v>
      </c>
      <c r="Q64" s="99"/>
      <c r="R64" s="641">
        <v>3531.33</v>
      </c>
      <c r="S64" s="748">
        <v>239.88</v>
      </c>
      <c r="T64" s="99"/>
      <c r="U64" s="103">
        <f t="shared" si="24"/>
        <v>0</v>
      </c>
      <c r="V64" s="143"/>
      <c r="W64" s="143"/>
      <c r="X64" s="143"/>
      <c r="Y64" s="611"/>
      <c r="Z64" s="143"/>
      <c r="AA64" s="143"/>
      <c r="AB64" s="143"/>
      <c r="AC64" s="143"/>
      <c r="AD64" s="143"/>
      <c r="AE64" s="143"/>
      <c r="AF64" s="143"/>
      <c r="AG64" s="143"/>
      <c r="AH64" s="145"/>
      <c r="AI64" s="103">
        <f t="shared" si="17"/>
        <v>0</v>
      </c>
      <c r="AJ64" s="134">
        <v>4980.37</v>
      </c>
      <c r="AK64" s="134">
        <v>805.37</v>
      </c>
      <c r="AL64" s="136"/>
      <c r="AM64" s="105">
        <f t="shared" si="18"/>
        <v>0</v>
      </c>
      <c r="AN64" s="145">
        <v>2.4</v>
      </c>
      <c r="AO64" s="143"/>
      <c r="AP64" s="143"/>
      <c r="AQ64" s="146"/>
      <c r="AR64" s="621">
        <f t="shared" si="19"/>
        <v>0</v>
      </c>
      <c r="AS64" s="492">
        <v>4727.4</v>
      </c>
      <c r="AT64" s="126"/>
      <c r="AU64" s="127"/>
      <c r="AV64" s="127"/>
      <c r="AW64" s="127"/>
      <c r="AX64" s="127"/>
      <c r="AY64" s="229">
        <v>1984.7</v>
      </c>
      <c r="AZ64" s="127"/>
      <c r="BA64" s="127"/>
      <c r="BB64" s="127"/>
      <c r="BC64" s="274"/>
      <c r="BD64" s="222">
        <f t="shared" si="20"/>
        <v>0</v>
      </c>
      <c r="BE64" s="140">
        <f t="shared" si="21"/>
        <v>0</v>
      </c>
      <c r="BF64" s="132"/>
      <c r="BG64" s="140">
        <f t="shared" si="22"/>
        <v>0</v>
      </c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30">
        <f t="shared" si="23"/>
        <v>0</v>
      </c>
      <c r="BV64" s="132"/>
    </row>
    <row r="65" ht="14.25" customHeight="1">
      <c r="A65" s="132"/>
      <c r="B65" s="179">
        <v>46078</v>
      </c>
      <c r="C65" s="133">
        <f>17046.75-D65-0</f>
      </c>
      <c r="D65" s="134">
        <v>2879.3</v>
      </c>
      <c r="E65" s="135"/>
      <c r="F65" s="135"/>
      <c r="G65" s="147">
        <f t="shared" si="15"/>
        <v>0</v>
      </c>
      <c r="H65" s="742"/>
      <c r="I65" s="746"/>
      <c r="J65" s="744"/>
      <c r="K65" s="744"/>
      <c r="L65" s="745"/>
      <c r="M65" s="745"/>
      <c r="N65" s="745"/>
      <c r="O65" s="747">
        <v>180.95</v>
      </c>
      <c r="P65" s="121">
        <v>639.6</v>
      </c>
      <c r="Q65" s="99"/>
      <c r="R65" s="641">
        <v>1638.82</v>
      </c>
      <c r="S65" s="641">
        <v>1546.26</v>
      </c>
      <c r="T65" s="99"/>
      <c r="U65" s="103">
        <f t="shared" si="24"/>
        <v>0</v>
      </c>
      <c r="V65" s="143"/>
      <c r="W65" s="143"/>
      <c r="X65" s="143"/>
      <c r="Y65" s="611"/>
      <c r="Z65" s="143"/>
      <c r="AA65" s="143"/>
      <c r="AB65" s="143"/>
      <c r="AC65" s="143"/>
      <c r="AD65" s="143"/>
      <c r="AE65" s="143"/>
      <c r="AF65" s="143"/>
      <c r="AG65" s="143"/>
      <c r="AH65" s="143"/>
      <c r="AI65" s="103">
        <f t="shared" si="17"/>
        <v>0</v>
      </c>
      <c r="AJ65" s="134">
        <v>4754.61</v>
      </c>
      <c r="AK65" s="134">
        <v>762.43</v>
      </c>
      <c r="AL65" s="136"/>
      <c r="AM65" s="105">
        <f t="shared" si="18"/>
        <v>0</v>
      </c>
      <c r="AN65" s="143"/>
      <c r="AO65" s="143"/>
      <c r="AP65" s="143"/>
      <c r="AQ65" s="146"/>
      <c r="AR65" s="621">
        <f t="shared" si="19"/>
        <v>0</v>
      </c>
      <c r="AS65" s="492">
        <v>5746.6</v>
      </c>
      <c r="AT65" s="126"/>
      <c r="AU65" s="127"/>
      <c r="AV65" s="127"/>
      <c r="AW65" s="127"/>
      <c r="AX65" s="127"/>
      <c r="AY65" s="229">
        <v>1775.9</v>
      </c>
      <c r="AZ65" s="127"/>
      <c r="BA65" s="127"/>
      <c r="BB65" s="127"/>
      <c r="BC65" s="274"/>
      <c r="BD65" s="222">
        <f t="shared" si="20"/>
        <v>0</v>
      </c>
      <c r="BE65" s="140">
        <f t="shared" si="21"/>
        <v>0</v>
      </c>
      <c r="BF65" s="132"/>
      <c r="BG65" s="140">
        <f t="shared" si="22"/>
        <v>0</v>
      </c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30">
        <f t="shared" si="23"/>
        <v>0</v>
      </c>
      <c r="BV65" s="132"/>
    </row>
    <row r="66" ht="14.25" customHeight="1">
      <c r="A66" s="132"/>
      <c r="B66" s="179">
        <v>46079</v>
      </c>
      <c r="C66" s="133">
        <f>16818.22-D66-0</f>
      </c>
      <c r="D66" s="134">
        <v>2279.3</v>
      </c>
      <c r="E66" s="135"/>
      <c r="F66" s="135"/>
      <c r="G66" s="147">
        <f t="shared" si="15"/>
        <v>0</v>
      </c>
      <c r="H66" s="742"/>
      <c r="I66" s="746"/>
      <c r="J66" s="744"/>
      <c r="K66" s="744"/>
      <c r="L66" s="745"/>
      <c r="M66" s="745"/>
      <c r="N66" s="745"/>
      <c r="O66" s="745">
        <v>91.78</v>
      </c>
      <c r="P66" s="641"/>
      <c r="Q66" s="99"/>
      <c r="R66" s="641">
        <v>3231.2</v>
      </c>
      <c r="S66" s="641">
        <v>846.26</v>
      </c>
      <c r="T66" s="99"/>
      <c r="U66" s="103">
        <f t="shared" si="24"/>
        <v>0</v>
      </c>
      <c r="V66" s="143"/>
      <c r="W66" s="143"/>
      <c r="X66" s="143"/>
      <c r="Y66" s="611"/>
      <c r="Z66" s="143"/>
      <c r="AA66" s="143"/>
      <c r="AB66" s="143"/>
      <c r="AC66" s="143"/>
      <c r="AD66" s="143"/>
      <c r="AE66" s="143"/>
      <c r="AF66" s="143"/>
      <c r="AG66" s="143"/>
      <c r="AH66" s="145"/>
      <c r="AI66" s="103">
        <f t="shared" si="17"/>
        <v>0</v>
      </c>
      <c r="AJ66" s="134">
        <v>4365.34</v>
      </c>
      <c r="AK66" s="134">
        <v>668.26</v>
      </c>
      <c r="AL66" s="136"/>
      <c r="AM66" s="105">
        <f t="shared" si="18"/>
        <v>0</v>
      </c>
      <c r="AN66" s="143"/>
      <c r="AO66" s="143"/>
      <c r="AP66" s="143"/>
      <c r="AQ66" s="146"/>
      <c r="AR66" s="621">
        <f t="shared" si="19"/>
        <v>0</v>
      </c>
      <c r="AS66" s="492">
        <v>5882.9</v>
      </c>
      <c r="AT66" s="126"/>
      <c r="AU66" s="127"/>
      <c r="AV66" s="127"/>
      <c r="AW66" s="127"/>
      <c r="AX66" s="127"/>
      <c r="AY66" s="229">
        <v>1571.1</v>
      </c>
      <c r="AZ66" s="127"/>
      <c r="BA66" s="127"/>
      <c r="BB66" s="127"/>
      <c r="BC66" s="274"/>
      <c r="BD66" s="222">
        <f t="shared" si="20"/>
        <v>0</v>
      </c>
      <c r="BE66" s="140">
        <f t="shared" si="21"/>
        <v>0</v>
      </c>
      <c r="BF66" s="132"/>
      <c r="BG66" s="140">
        <f t="shared" si="22"/>
        <v>0</v>
      </c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30">
        <f t="shared" si="23"/>
        <v>0</v>
      </c>
      <c r="BV66" s="132"/>
    </row>
    <row r="67" ht="14.25" customHeight="1">
      <c r="A67" s="132"/>
      <c r="B67" s="179">
        <v>46080</v>
      </c>
      <c r="C67" s="133">
        <f>20338.75-D67-0</f>
      </c>
      <c r="D67" s="134">
        <v>2557.22</v>
      </c>
      <c r="E67" s="135"/>
      <c r="F67" s="135"/>
      <c r="G67" s="147">
        <f t="shared" si="15"/>
        <v>0</v>
      </c>
      <c r="H67" s="742"/>
      <c r="I67" s="746"/>
      <c r="J67" s="744"/>
      <c r="K67" s="744"/>
      <c r="L67" s="745"/>
      <c r="M67" s="745"/>
      <c r="N67" s="745"/>
      <c r="O67" s="745">
        <v>148.93</v>
      </c>
      <c r="P67" s="641">
        <v>400.74</v>
      </c>
      <c r="Q67" s="99"/>
      <c r="R67" s="641">
        <v>2545.86</v>
      </c>
      <c r="S67" s="641">
        <v>2974.48</v>
      </c>
      <c r="T67" s="99"/>
      <c r="U67" s="103">
        <f t="shared" si="24"/>
        <v>0</v>
      </c>
      <c r="V67" s="143"/>
      <c r="W67" s="143"/>
      <c r="X67" s="143"/>
      <c r="Y67" s="611"/>
      <c r="Z67" s="143"/>
      <c r="AA67" s="143"/>
      <c r="AB67" s="143"/>
      <c r="AC67" s="143"/>
      <c r="AD67" s="143"/>
      <c r="AE67" s="143"/>
      <c r="AF67" s="143"/>
      <c r="AG67" s="143"/>
      <c r="AH67" s="143"/>
      <c r="AI67" s="103">
        <f t="shared" si="17"/>
        <v>0</v>
      </c>
      <c r="AJ67" s="134">
        <v>5140.73</v>
      </c>
      <c r="AK67" s="134">
        <v>539.76</v>
      </c>
      <c r="AL67" s="136"/>
      <c r="AM67" s="105">
        <f t="shared" si="18"/>
        <v>0</v>
      </c>
      <c r="AN67" s="143"/>
      <c r="AO67" s="143"/>
      <c r="AP67" s="143"/>
      <c r="AQ67" s="146"/>
      <c r="AR67" s="621">
        <f t="shared" si="19"/>
        <v>0</v>
      </c>
      <c r="AS67" s="492">
        <v>6103.8</v>
      </c>
      <c r="AT67" s="229">
        <v>726.71</v>
      </c>
      <c r="AU67" s="127"/>
      <c r="AV67" s="127"/>
      <c r="AW67" s="127"/>
      <c r="AX67" s="127"/>
      <c r="AY67" s="229">
        <v>1756.4</v>
      </c>
      <c r="AZ67" s="127"/>
      <c r="BA67" s="127"/>
      <c r="BB67" s="127"/>
      <c r="BC67" s="274"/>
      <c r="BD67" s="222">
        <f t="shared" si="20"/>
        <v>0</v>
      </c>
      <c r="BE67" s="140">
        <f t="shared" si="21"/>
        <v>0</v>
      </c>
      <c r="BF67" s="132"/>
      <c r="BG67" s="140">
        <f t="shared" si="22"/>
        <v>0</v>
      </c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30">
        <f t="shared" si="23"/>
        <v>0</v>
      </c>
      <c r="BV67" s="132"/>
    </row>
    <row r="68" ht="14.25" customHeight="1">
      <c r="A68" s="132"/>
      <c r="B68" s="179">
        <v>46081</v>
      </c>
      <c r="C68" s="133">
        <f>22149.40-D68-0</f>
      </c>
      <c r="D68" s="134">
        <v>3122.86</v>
      </c>
      <c r="E68" s="135"/>
      <c r="F68" s="135"/>
      <c r="G68" s="147">
        <f t="shared" si="15"/>
        <v>0</v>
      </c>
      <c r="H68" s="742"/>
      <c r="I68" s="746"/>
      <c r="J68" s="744"/>
      <c r="K68" s="744"/>
      <c r="L68" s="745"/>
      <c r="M68" s="745"/>
      <c r="N68" s="745"/>
      <c r="O68" s="745"/>
      <c r="P68" s="641">
        <v>353.87</v>
      </c>
      <c r="Q68" s="99"/>
      <c r="R68" s="641">
        <v>2002.22</v>
      </c>
      <c r="S68" s="641">
        <v>3941.23</v>
      </c>
      <c r="T68" s="99"/>
      <c r="U68" s="103">
        <f t="shared" si="24"/>
        <v>0</v>
      </c>
      <c r="V68" s="143"/>
      <c r="W68" s="143"/>
      <c r="X68" s="143"/>
      <c r="Y68" s="611"/>
      <c r="Z68" s="143"/>
      <c r="AA68" s="143"/>
      <c r="AB68" s="143"/>
      <c r="AC68" s="143"/>
      <c r="AD68" s="143"/>
      <c r="AE68" s="143"/>
      <c r="AF68" s="143"/>
      <c r="AG68" s="143"/>
      <c r="AH68" s="143"/>
      <c r="AI68" s="103">
        <f t="shared" si="17"/>
        <v>0</v>
      </c>
      <c r="AJ68" s="134">
        <v>7032.58</v>
      </c>
      <c r="AK68" s="134">
        <v>1046.64</v>
      </c>
      <c r="AL68" s="136"/>
      <c r="AM68" s="105">
        <f t="shared" si="18"/>
        <v>0</v>
      </c>
      <c r="AN68" s="143"/>
      <c r="AO68" s="143"/>
      <c r="AP68" s="143"/>
      <c r="AQ68" s="146"/>
      <c r="AR68" s="621">
        <f t="shared" si="19"/>
        <v>0</v>
      </c>
      <c r="AS68" s="492">
        <v>5303.4</v>
      </c>
      <c r="AT68" s="126"/>
      <c r="AU68" s="127"/>
      <c r="AV68" s="127"/>
      <c r="AW68" s="127"/>
      <c r="AX68" s="127"/>
      <c r="AY68" s="229">
        <v>1988.3</v>
      </c>
      <c r="AZ68" s="127"/>
      <c r="BA68" s="127"/>
      <c r="BB68" s="127"/>
      <c r="BC68" s="274"/>
      <c r="BD68" s="222">
        <f t="shared" si="20"/>
        <v>0</v>
      </c>
      <c r="BE68" s="140">
        <f t="shared" si="21"/>
        <v>0</v>
      </c>
      <c r="BF68" s="132"/>
      <c r="BG68" s="140">
        <f t="shared" si="22"/>
        <v>0</v>
      </c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50"/>
      <c r="BS68" s="141">
        <v>480</v>
      </c>
      <c r="BT68" s="141"/>
      <c r="BU68" s="130">
        <f t="shared" si="23"/>
        <v>0</v>
      </c>
      <c r="BV68" s="132"/>
    </row>
    <row r="69" ht="14.25" customHeight="1">
      <c r="A69" s="132"/>
      <c r="B69" s="179"/>
      <c r="C69" s="133"/>
      <c r="D69" s="136"/>
      <c r="E69" s="135"/>
      <c r="F69" s="135"/>
      <c r="G69" s="147">
        <f t="shared" si="15"/>
        <v>0</v>
      </c>
      <c r="H69" s="742"/>
      <c r="I69" s="746"/>
      <c r="J69" s="744"/>
      <c r="K69" s="744"/>
      <c r="L69" s="745"/>
      <c r="M69" s="745"/>
      <c r="N69" s="745"/>
      <c r="O69" s="745"/>
      <c r="P69" s="641"/>
      <c r="Q69" s="99"/>
      <c r="R69" s="641"/>
      <c r="S69" s="641"/>
      <c r="T69" s="99"/>
      <c r="U69" s="103">
        <f t="shared" si="24"/>
        <v>0</v>
      </c>
      <c r="V69" s="143"/>
      <c r="W69" s="143"/>
      <c r="X69" s="143"/>
      <c r="Y69" s="611"/>
      <c r="Z69" s="143"/>
      <c r="AA69" s="143"/>
      <c r="AB69" s="143"/>
      <c r="AC69" s="143"/>
      <c r="AD69" s="143"/>
      <c r="AE69" s="143"/>
      <c r="AF69" s="143"/>
      <c r="AG69" s="143"/>
      <c r="AH69" s="143"/>
      <c r="AI69" s="103">
        <f t="shared" si="17"/>
        <v>0</v>
      </c>
      <c r="AJ69" s="136"/>
      <c r="AK69" s="136"/>
      <c r="AL69" s="136"/>
      <c r="AM69" s="105">
        <f t="shared" si="18"/>
        <v>0</v>
      </c>
      <c r="AN69" s="143"/>
      <c r="AO69" s="143"/>
      <c r="AP69" s="143"/>
      <c r="AQ69" s="146"/>
      <c r="AR69" s="621">
        <f t="shared" si="19"/>
        <v>0</v>
      </c>
      <c r="AS69" s="435"/>
      <c r="AT69" s="138"/>
      <c r="AU69" s="161"/>
      <c r="AV69" s="161"/>
      <c r="AW69" s="161"/>
      <c r="AX69" s="161"/>
      <c r="AY69" s="138"/>
      <c r="AZ69" s="161"/>
      <c r="BA69" s="161"/>
      <c r="BB69" s="161"/>
      <c r="BC69" s="296"/>
      <c r="BD69" s="222">
        <f t="shared" si="20"/>
        <v>0</v>
      </c>
      <c r="BE69" s="140">
        <f t="shared" si="21"/>
        <v>0</v>
      </c>
      <c r="BF69" s="132"/>
      <c r="BG69" s="140">
        <f t="shared" si="22"/>
        <v>0</v>
      </c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30">
        <f t="shared" si="23"/>
        <v>0</v>
      </c>
      <c r="BV69" s="132"/>
    </row>
    <row r="70" ht="14.25" customHeight="1">
      <c r="A70" s="3"/>
      <c r="B70" s="769" t="s">
        <v>76</v>
      </c>
      <c r="C70" s="770">
        <f ref="C70:D70" t="shared" si="25">SUM(C41:C69)</f>
        <v>0</v>
      </c>
      <c r="D70" s="755">
        <f t="shared" si="25"/>
        <v>0</v>
      </c>
      <c r="E70" s="755">
        <f ref="E70:I70" t="shared" si="26">SUM(E41:E68)</f>
        <v>0</v>
      </c>
      <c r="F70" s="755">
        <f t="shared" si="26"/>
        <v>0</v>
      </c>
      <c r="G70" s="755">
        <f t="shared" si="26"/>
        <v>0</v>
      </c>
      <c r="H70" s="755">
        <f t="shared" si="26"/>
        <v>0</v>
      </c>
      <c r="I70" s="755">
        <f t="shared" si="26"/>
        <v>0</v>
      </c>
      <c r="J70" s="755"/>
      <c r="K70" s="755"/>
      <c r="L70" s="755">
        <f>SUM(L41:L68)</f>
        <v>0</v>
      </c>
      <c r="M70" s="755"/>
      <c r="N70" s="755">
        <f>SUM(N41:N68)</f>
        <v>0</v>
      </c>
      <c r="O70" s="755">
        <f>SUM(O41:O69)</f>
        <v>0</v>
      </c>
      <c r="P70" s="755">
        <f ref="P70:Q70" t="shared" si="27">SUM(P41:P68)</f>
        <v>0</v>
      </c>
      <c r="Q70" s="755">
        <f t="shared" si="27"/>
        <v>0</v>
      </c>
      <c r="R70" s="755">
        <f>SUM(R41:R69)</f>
        <v>0</v>
      </c>
      <c r="S70" s="755">
        <f ref="S70:V70" t="shared" si="28">SUM(S41:S68)</f>
        <v>0</v>
      </c>
      <c r="T70" s="755">
        <f t="shared" si="28"/>
        <v>0</v>
      </c>
      <c r="U70" s="755">
        <f t="shared" si="28"/>
        <v>0</v>
      </c>
      <c r="V70" s="755">
        <f t="shared" si="28"/>
        <v>0</v>
      </c>
      <c r="W70" s="755"/>
      <c r="X70" s="755">
        <f ref="X70:AI70" t="shared" si="29">SUM(X41:X68)</f>
        <v>0</v>
      </c>
      <c r="Y70" s="755">
        <f t="shared" si="29"/>
        <v>0</v>
      </c>
      <c r="Z70" s="755">
        <f t="shared" si="29"/>
        <v>0</v>
      </c>
      <c r="AA70" s="755">
        <f t="shared" si="29"/>
        <v>0</v>
      </c>
      <c r="AB70" s="755">
        <f t="shared" si="29"/>
        <v>0</v>
      </c>
      <c r="AC70" s="755">
        <f t="shared" si="29"/>
        <v>0</v>
      </c>
      <c r="AD70" s="755">
        <f t="shared" si="29"/>
        <v>0</v>
      </c>
      <c r="AE70" s="755">
        <f t="shared" si="29"/>
        <v>0</v>
      </c>
      <c r="AF70" s="755">
        <f t="shared" si="29"/>
        <v>0</v>
      </c>
      <c r="AG70" s="755">
        <f t="shared" si="29"/>
        <v>0</v>
      </c>
      <c r="AH70" s="755">
        <f t="shared" si="29"/>
        <v>0</v>
      </c>
      <c r="AI70" s="755">
        <f t="shared" si="29"/>
        <v>0</v>
      </c>
      <c r="AJ70" s="755">
        <f ref="AJ70:AK70" t="shared" si="30">SUM(AJ41:AJ69)</f>
        <v>0</v>
      </c>
      <c r="AK70" s="755">
        <f t="shared" si="30"/>
        <v>0</v>
      </c>
      <c r="AL70" s="755">
        <f ref="AL70:AR70" t="shared" si="31">SUM(AL41:AL68)</f>
        <v>0</v>
      </c>
      <c r="AM70" s="755">
        <f t="shared" si="31"/>
        <v>0</v>
      </c>
      <c r="AN70" s="755">
        <f t="shared" si="31"/>
        <v>0</v>
      </c>
      <c r="AO70" s="755">
        <f t="shared" si="31"/>
        <v>0</v>
      </c>
      <c r="AP70" s="755">
        <f t="shared" si="31"/>
        <v>0</v>
      </c>
      <c r="AQ70" s="755">
        <f t="shared" si="31"/>
        <v>0</v>
      </c>
      <c r="AR70" s="755">
        <f t="shared" si="31"/>
        <v>0</v>
      </c>
      <c r="AS70" s="756">
        <f>SUM(AS41:AS69)</f>
        <v>0</v>
      </c>
      <c r="AT70" s="757">
        <f ref="AT70:AX70" t="shared" si="32">SUM(AT41:AT68)</f>
        <v>0</v>
      </c>
      <c r="AU70" s="757">
        <f t="shared" si="32"/>
        <v>0</v>
      </c>
      <c r="AV70" s="757">
        <f t="shared" si="32"/>
        <v>0</v>
      </c>
      <c r="AW70" s="757">
        <f t="shared" si="32"/>
        <v>0</v>
      </c>
      <c r="AX70" s="757">
        <f t="shared" si="32"/>
        <v>0</v>
      </c>
      <c r="AY70" s="757">
        <f>SUM(AY41:AY69)</f>
        <v>0</v>
      </c>
      <c r="AZ70" s="757">
        <f ref="AZ70:BE70" t="shared" si="33">SUM(AZ41:AZ68)</f>
        <v>0</v>
      </c>
      <c r="BA70" s="757">
        <f t="shared" si="33"/>
        <v>0</v>
      </c>
      <c r="BB70" s="757">
        <f t="shared" si="33"/>
        <v>0</v>
      </c>
      <c r="BC70" s="757">
        <f t="shared" si="33"/>
        <v>0</v>
      </c>
      <c r="BD70" s="755">
        <f t="shared" si="33"/>
        <v>0</v>
      </c>
      <c r="BE70" s="755">
        <f t="shared" si="33"/>
        <v>0</v>
      </c>
      <c r="BF70" s="235"/>
      <c r="BG70" s="755">
        <f ref="BG70:BU70" t="shared" si="34">SUM(BG41:BG68)</f>
        <v>0</v>
      </c>
      <c r="BH70" s="755">
        <f t="shared" si="34"/>
        <v>0</v>
      </c>
      <c r="BI70" s="755">
        <f t="shared" si="34"/>
        <v>0</v>
      </c>
      <c r="BJ70" s="755">
        <f t="shared" si="34"/>
        <v>0</v>
      </c>
      <c r="BK70" s="755">
        <f t="shared" si="34"/>
        <v>0</v>
      </c>
      <c r="BL70" s="755">
        <f t="shared" si="34"/>
        <v>0</v>
      </c>
      <c r="BM70" s="755">
        <f t="shared" si="34"/>
        <v>0</v>
      </c>
      <c r="BN70" s="755">
        <f t="shared" si="34"/>
        <v>0</v>
      </c>
      <c r="BO70" s="755">
        <f t="shared" si="34"/>
        <v>0</v>
      </c>
      <c r="BP70" s="755">
        <f t="shared" si="34"/>
        <v>0</v>
      </c>
      <c r="BQ70" s="755">
        <f t="shared" si="34"/>
        <v>0</v>
      </c>
      <c r="BR70" s="755">
        <f t="shared" si="34"/>
        <v>0</v>
      </c>
      <c r="BS70" s="755">
        <f t="shared" si="34"/>
        <v>0</v>
      </c>
      <c r="BT70" s="755">
        <f t="shared" si="34"/>
        <v>0</v>
      </c>
      <c r="BU70" s="771">
        <f t="shared" si="34"/>
        <v>0</v>
      </c>
      <c r="BV70" s="235"/>
    </row>
    <row r="71" ht="14.25" customHeight="1">
      <c r="A71" s="1"/>
      <c r="B71" s="2"/>
      <c r="C71" s="3"/>
      <c r="D71" s="3"/>
      <c r="E71" s="3"/>
      <c r="F71" s="3"/>
      <c r="G71" s="4"/>
      <c r="H71" s="4"/>
      <c r="I71" s="1"/>
      <c r="J71" s="758"/>
      <c r="K71" s="758"/>
      <c r="L71" s="758"/>
      <c r="M71" s="758"/>
      <c r="N71" s="758"/>
      <c r="O71" s="758"/>
      <c r="P71" s="3"/>
      <c r="Q71" s="3"/>
      <c r="R71" s="1"/>
      <c r="S71" s="1"/>
      <c r="T71" s="3"/>
      <c r="U71" s="3"/>
      <c r="V71" s="3"/>
      <c r="W71" s="132"/>
      <c r="X71" s="132"/>
      <c r="Y71" s="1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4"/>
      <c r="AN71" s="3"/>
      <c r="AO71" s="3"/>
      <c r="AP71" s="3"/>
      <c r="AQ71" s="3"/>
      <c r="AR71" s="4"/>
      <c r="AS71" s="772"/>
      <c r="AT71" s="628"/>
      <c r="AU71" s="628"/>
      <c r="AV71" s="773"/>
      <c r="AW71" s="773"/>
      <c r="AX71" s="773"/>
      <c r="AY71" s="774"/>
      <c r="AZ71" s="774"/>
      <c r="BA71" s="628"/>
      <c r="BB71" s="628"/>
      <c r="BC71" s="628"/>
      <c r="BD71" s="4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ht="14.25" customHeight="1">
      <c r="A72" s="205"/>
      <c r="B72" s="206"/>
      <c r="C72" s="207"/>
      <c r="D72" s="207"/>
      <c r="E72" s="207"/>
      <c r="F72" s="207"/>
      <c r="G72" s="208"/>
      <c r="H72" s="208"/>
      <c r="I72" s="205"/>
      <c r="J72" s="775"/>
      <c r="K72" s="775"/>
      <c r="L72" s="775"/>
      <c r="M72" s="775"/>
      <c r="N72" s="775"/>
      <c r="O72" s="775"/>
      <c r="P72" s="207"/>
      <c r="Q72" s="207"/>
      <c r="R72" s="205"/>
      <c r="S72" s="205"/>
      <c r="T72" s="207"/>
      <c r="U72" s="207"/>
      <c r="V72" s="207"/>
      <c r="W72" s="316"/>
      <c r="X72" s="316"/>
      <c r="Y72" s="205"/>
      <c r="Z72" s="207"/>
      <c r="AA72" s="207"/>
      <c r="AB72" s="207"/>
      <c r="AC72" s="207"/>
      <c r="AD72" s="207"/>
      <c r="AE72" s="207"/>
      <c r="AF72" s="207"/>
      <c r="AG72" s="207"/>
      <c r="AH72" s="207"/>
      <c r="AI72" s="209"/>
      <c r="AJ72" s="207"/>
      <c r="AK72" s="207"/>
      <c r="AL72" s="207"/>
      <c r="AM72" s="208"/>
      <c r="AN72" s="207"/>
      <c r="AO72" s="207"/>
      <c r="AP72" s="207"/>
      <c r="AQ72" s="207"/>
      <c r="AR72" s="210"/>
      <c r="AS72" s="776"/>
      <c r="AT72" s="777"/>
      <c r="AU72" s="316"/>
      <c r="AV72" s="207"/>
      <c r="AW72" s="207"/>
      <c r="AX72" s="207"/>
      <c r="AY72" s="316"/>
      <c r="AZ72" s="316"/>
      <c r="BA72" s="316"/>
      <c r="BB72" s="316"/>
      <c r="BC72" s="316"/>
      <c r="BD72" s="214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</row>
    <row r="73" ht="14.25" customHeight="1">
      <c r="A73" s="132"/>
      <c r="B73" s="512">
        <v>46082</v>
      </c>
      <c r="C73" s="180">
        <f>16031.63-D73-0</f>
      </c>
      <c r="D73" s="181">
        <v>3177.87</v>
      </c>
      <c r="E73" s="182"/>
      <c r="F73" s="182"/>
      <c r="G73" s="216">
        <f ref="G73:G103" t="shared" si="35">+C73+D73+E73+F73</f>
        <v>0</v>
      </c>
      <c r="H73" s="742"/>
      <c r="I73" s="743"/>
      <c r="J73" s="759"/>
      <c r="K73" s="759"/>
      <c r="L73" s="760"/>
      <c r="M73" s="760"/>
      <c r="N73" s="760"/>
      <c r="O73" s="760">
        <v>237.41</v>
      </c>
      <c r="P73" s="638"/>
      <c r="Q73" s="101"/>
      <c r="R73" s="638">
        <v>982.99</v>
      </c>
      <c r="S73" s="101"/>
      <c r="T73" s="101"/>
      <c r="U73" s="103">
        <f ref="U73:U75" t="shared" si="36">SUM(I73:T73)</f>
        <v>0</v>
      </c>
      <c r="V73" s="193"/>
      <c r="W73" s="193"/>
      <c r="X73" s="186"/>
      <c r="Y73" s="778"/>
      <c r="Z73" s="186"/>
      <c r="AA73" s="186"/>
      <c r="AB73" s="186"/>
      <c r="AC73" s="186"/>
      <c r="AD73" s="186"/>
      <c r="AE73" s="186"/>
      <c r="AF73" s="186"/>
      <c r="AG73" s="186"/>
      <c r="AH73" s="186"/>
      <c r="AI73" s="103">
        <f ref="AI73:AI103" t="shared" si="37">SUM(V73:AH73)</f>
        <v>0</v>
      </c>
      <c r="AJ73" s="181">
        <v>5484.52</v>
      </c>
      <c r="AK73" s="181">
        <v>988.78</v>
      </c>
      <c r="AL73" s="190"/>
      <c r="AM73" s="191">
        <f ref="AM73:AM103" t="shared" si="38">SUM(AJ73:AL73)</f>
        <v>0</v>
      </c>
      <c r="AN73" s="1741">
        <v>4.42</v>
      </c>
      <c r="AO73" s="1742"/>
      <c r="AP73" s="1742"/>
      <c r="AQ73" s="1743"/>
      <c r="AR73" s="224">
        <f ref="AR73:AR103" t="shared" si="39">+G73-U73-AI73-AM73-AN73-AO73-AP73-AQ73</f>
        <v>0</v>
      </c>
      <c r="AS73" s="419">
        <v>6209</v>
      </c>
      <c r="AT73" s="190"/>
      <c r="AU73" s="132"/>
      <c r="AV73" s="132"/>
      <c r="AW73" s="132"/>
      <c r="AX73" s="132"/>
      <c r="AY73" s="181">
        <v>2122.5</v>
      </c>
      <c r="AZ73" s="132"/>
      <c r="BA73" s="132"/>
      <c r="BB73" s="132"/>
      <c r="BC73" s="190"/>
      <c r="BD73" s="222">
        <f ref="BD73:BD103" t="shared" si="40">SUM(AS73:BC73)-BB73</f>
        <v>0</v>
      </c>
      <c r="BE73" s="195">
        <f ref="BE73:BE103" t="shared" si="41">+AR73-BD73</f>
        <v>0</v>
      </c>
      <c r="BF73" s="132"/>
      <c r="BG73" s="195">
        <f ref="BG73:BG103" t="shared" si="42">SUM(BH73:BT73)</f>
        <v>0</v>
      </c>
      <c r="BH73" s="196"/>
      <c r="BI73" s="196"/>
      <c r="BJ73" s="196"/>
      <c r="BK73" s="196"/>
      <c r="BL73" s="196"/>
      <c r="BM73" s="196"/>
      <c r="BN73" s="196"/>
      <c r="BO73" s="196"/>
      <c r="BP73" s="196"/>
      <c r="BQ73" s="196"/>
      <c r="BR73" s="196"/>
      <c r="BS73" s="196"/>
      <c r="BT73" s="196"/>
      <c r="BU73" s="116">
        <f ref="BU73:BU103" t="shared" si="43">+BE73-BG73</f>
        <v>0</v>
      </c>
      <c r="BV73" s="132"/>
    </row>
    <row r="74" ht="14.25" customHeight="1">
      <c r="A74" s="132"/>
      <c r="B74" s="512">
        <v>46083</v>
      </c>
      <c r="C74" s="133">
        <f>12313.61-D74-0</f>
      </c>
      <c r="D74" s="134">
        <v>2810.1</v>
      </c>
      <c r="E74" s="135"/>
      <c r="F74" s="135"/>
      <c r="G74" s="147">
        <f t="shared" si="35"/>
        <v>0</v>
      </c>
      <c r="H74" s="742"/>
      <c r="I74" s="746"/>
      <c r="J74" s="744"/>
      <c r="K74" s="744"/>
      <c r="L74" s="745"/>
      <c r="M74" s="745"/>
      <c r="N74" s="745"/>
      <c r="O74" s="745">
        <v>335.33</v>
      </c>
      <c r="P74" s="748">
        <v>227.59</v>
      </c>
      <c r="Q74" s="99"/>
      <c r="R74" s="641">
        <v>1551.43</v>
      </c>
      <c r="S74" s="748">
        <v>1051.5</v>
      </c>
      <c r="T74" s="99"/>
      <c r="U74" s="103">
        <f t="shared" si="36"/>
        <v>0</v>
      </c>
      <c r="V74" s="146"/>
      <c r="W74" s="146"/>
      <c r="X74" s="143"/>
      <c r="Y74" s="768"/>
      <c r="Z74" s="143"/>
      <c r="AA74" s="143"/>
      <c r="AB74" s="143"/>
      <c r="AC74" s="143"/>
      <c r="AD74" s="143"/>
      <c r="AE74" s="143"/>
      <c r="AF74" s="143"/>
      <c r="AG74" s="143"/>
      <c r="AH74" s="143"/>
      <c r="AI74" s="103">
        <f t="shared" si="37"/>
        <v>0</v>
      </c>
      <c r="AJ74" s="134">
        <v>3304.89</v>
      </c>
      <c r="AK74" s="134">
        <v>784.8</v>
      </c>
      <c r="AL74" s="136"/>
      <c r="AM74" s="105">
        <f t="shared" si="38"/>
        <v>0</v>
      </c>
      <c r="AN74" s="1744">
        <v>6.88</v>
      </c>
      <c r="AO74" s="1745"/>
      <c r="AP74" s="1745"/>
      <c r="AQ74" s="1746"/>
      <c r="AR74" s="224">
        <f t="shared" si="39"/>
        <v>0</v>
      </c>
      <c r="AS74" s="1751">
        <v>3092.3</v>
      </c>
      <c r="AT74" s="1752"/>
      <c r="AU74" s="1753"/>
      <c r="AV74" s="1753"/>
      <c r="AW74" s="1753"/>
      <c r="AX74" s="1753"/>
      <c r="AY74" s="1754">
        <v>1956.8</v>
      </c>
      <c r="AZ74" s="1753"/>
      <c r="BA74" s="1753"/>
      <c r="BB74" s="1753"/>
      <c r="BC74" s="1752"/>
      <c r="BD74" s="222">
        <f t="shared" si="40"/>
        <v>0</v>
      </c>
      <c r="BE74" s="140">
        <f t="shared" si="41"/>
        <v>0</v>
      </c>
      <c r="BF74" s="132"/>
      <c r="BG74" s="140">
        <f t="shared" si="42"/>
        <v>0</v>
      </c>
      <c r="BH74" s="141"/>
      <c r="BI74" s="141"/>
      <c r="BJ74" s="141"/>
      <c r="BK74" s="141"/>
      <c r="BL74" s="141"/>
      <c r="BM74" s="141"/>
      <c r="BN74" s="141"/>
      <c r="BO74" s="141"/>
      <c r="BP74" s="141"/>
      <c r="BQ74" s="141"/>
      <c r="BR74" s="141"/>
      <c r="BS74" s="141"/>
      <c r="BT74" s="141"/>
      <c r="BU74" s="130">
        <f t="shared" si="43"/>
        <v>0</v>
      </c>
      <c r="BV74" s="132"/>
    </row>
    <row r="75" ht="14.25" customHeight="1">
      <c r="A75" s="132"/>
      <c r="B75" s="512">
        <v>46084</v>
      </c>
      <c r="C75" s="133">
        <f>15875.96-D75-0</f>
      </c>
      <c r="D75" s="134">
        <v>2807.7</v>
      </c>
      <c r="E75" s="135"/>
      <c r="F75" s="135"/>
      <c r="G75" s="147">
        <f t="shared" si="35"/>
        <v>0</v>
      </c>
      <c r="H75" s="742"/>
      <c r="I75" s="746"/>
      <c r="J75" s="744"/>
      <c r="K75" s="744"/>
      <c r="L75" s="745"/>
      <c r="M75" s="745"/>
      <c r="N75" s="747">
        <v>203.99</v>
      </c>
      <c r="O75" s="745">
        <v>223.89</v>
      </c>
      <c r="P75" s="748">
        <v>99.2</v>
      </c>
      <c r="Q75" s="99"/>
      <c r="R75" s="748">
        <v>1906.39</v>
      </c>
      <c r="S75" s="641">
        <v>1188.81</v>
      </c>
      <c r="T75" s="99"/>
      <c r="U75" s="103">
        <f t="shared" si="36"/>
        <v>0</v>
      </c>
      <c r="V75" s="146"/>
      <c r="W75" s="146"/>
      <c r="X75" s="143"/>
      <c r="Y75" s="768"/>
      <c r="Z75" s="143"/>
      <c r="AA75" s="143"/>
      <c r="AB75" s="143"/>
      <c r="AC75" s="143"/>
      <c r="AD75" s="143"/>
      <c r="AE75" s="143"/>
      <c r="AF75" s="143"/>
      <c r="AG75" s="143"/>
      <c r="AH75" s="145"/>
      <c r="AI75" s="103">
        <f t="shared" si="37"/>
        <v>0</v>
      </c>
      <c r="AJ75" s="134">
        <v>5055.8</v>
      </c>
      <c r="AK75" s="134">
        <v>1028.04</v>
      </c>
      <c r="AL75" s="136"/>
      <c r="AM75" s="105">
        <f t="shared" si="38"/>
        <v>0</v>
      </c>
      <c r="AN75" s="1744">
        <v>149.99</v>
      </c>
      <c r="AO75" s="1745"/>
      <c r="AP75" s="1745"/>
      <c r="AQ75" s="1746"/>
      <c r="AR75" s="224">
        <f t="shared" si="39"/>
        <v>0</v>
      </c>
      <c r="AS75" s="1751">
        <v>4384.8</v>
      </c>
      <c r="AT75" s="1752"/>
      <c r="AU75" s="1753"/>
      <c r="AV75" s="1753"/>
      <c r="AW75" s="1753"/>
      <c r="AX75" s="1753"/>
      <c r="AY75" s="1754">
        <v>1589.9</v>
      </c>
      <c r="AZ75" s="1753"/>
      <c r="BA75" s="1753"/>
      <c r="BB75" s="1753"/>
      <c r="BC75" s="1752"/>
      <c r="BD75" s="222">
        <f t="shared" si="40"/>
        <v>0</v>
      </c>
      <c r="BE75" s="140">
        <f t="shared" si="41"/>
        <v>0</v>
      </c>
      <c r="BF75" s="132"/>
      <c r="BG75" s="140">
        <f t="shared" si="42"/>
        <v>0</v>
      </c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30">
        <f t="shared" si="43"/>
        <v>0</v>
      </c>
      <c r="BV75" s="132"/>
    </row>
    <row r="76" ht="14.25" customHeight="1">
      <c r="A76" s="132"/>
      <c r="B76" s="512">
        <v>46085</v>
      </c>
      <c r="C76" s="133">
        <f>14589.04-D76-0</f>
      </c>
      <c r="D76" s="134">
        <v>2648.38</v>
      </c>
      <c r="E76" s="135"/>
      <c r="F76" s="135"/>
      <c r="G76" s="147">
        <f t="shared" si="35"/>
        <v>0</v>
      </c>
      <c r="H76" s="754">
        <v>200</v>
      </c>
      <c r="I76" s="746"/>
      <c r="J76" s="744"/>
      <c r="K76" s="744"/>
      <c r="L76" s="747">
        <v>578.36</v>
      </c>
      <c r="M76" s="745"/>
      <c r="N76" s="745"/>
      <c r="O76" s="745">
        <v>228.01</v>
      </c>
      <c r="P76" s="748">
        <v>246.72</v>
      </c>
      <c r="Q76" s="99"/>
      <c r="R76" s="641">
        <v>980.23</v>
      </c>
      <c r="S76" s="748">
        <v>218.01</v>
      </c>
      <c r="T76" s="99"/>
      <c r="U76" s="103">
        <f ref="U76:U103" t="shared" si="44">SUM(H76:T76)</f>
        <v>0</v>
      </c>
      <c r="V76" s="146"/>
      <c r="W76" s="135"/>
      <c r="X76" s="136"/>
      <c r="Y76" s="768"/>
      <c r="Z76" s="143"/>
      <c r="AA76" s="143"/>
      <c r="AB76" s="143"/>
      <c r="AC76" s="143"/>
      <c r="AD76" s="143"/>
      <c r="AE76" s="143"/>
      <c r="AF76" s="143"/>
      <c r="AG76" s="143"/>
      <c r="AH76" s="145"/>
      <c r="AI76" s="103">
        <f t="shared" si="37"/>
        <v>0</v>
      </c>
      <c r="AJ76" s="134">
        <v>4487.21</v>
      </c>
      <c r="AK76" s="134">
        <v>714.08</v>
      </c>
      <c r="AL76" s="136"/>
      <c r="AM76" s="105">
        <f t="shared" si="38"/>
        <v>0</v>
      </c>
      <c r="AN76" s="1744">
        <v>53.25</v>
      </c>
      <c r="AO76" s="1745"/>
      <c r="AP76" s="1745"/>
      <c r="AQ76" s="1747">
        <v>5.63</v>
      </c>
      <c r="AR76" s="224">
        <f t="shared" si="39"/>
        <v>0</v>
      </c>
      <c r="AS76" s="1751">
        <v>4625.6</v>
      </c>
      <c r="AT76" s="1755"/>
      <c r="AU76" s="1753"/>
      <c r="AV76" s="1753"/>
      <c r="AW76" s="1753"/>
      <c r="AX76" s="1753"/>
      <c r="AY76" s="1754">
        <v>1933.3</v>
      </c>
      <c r="AZ76" s="1753"/>
      <c r="BA76" s="1753"/>
      <c r="BB76" s="1753"/>
      <c r="BC76" s="1752"/>
      <c r="BD76" s="222">
        <f t="shared" si="40"/>
        <v>0</v>
      </c>
      <c r="BE76" s="140">
        <f t="shared" si="41"/>
        <v>0</v>
      </c>
      <c r="BF76" s="132"/>
      <c r="BG76" s="140">
        <f t="shared" si="42"/>
        <v>0</v>
      </c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41"/>
      <c r="BS76" s="141"/>
      <c r="BT76" s="141"/>
      <c r="BU76" s="130">
        <f t="shared" si="43"/>
        <v>0</v>
      </c>
      <c r="BV76" s="132"/>
    </row>
    <row r="77" ht="14.25" customHeight="1">
      <c r="A77" s="132"/>
      <c r="B77" s="512">
        <v>46086</v>
      </c>
      <c r="C77" s="133">
        <f>21697.75-D77-0</f>
      </c>
      <c r="D77" s="134">
        <v>2729.2</v>
      </c>
      <c r="E77" s="135"/>
      <c r="F77" s="135"/>
      <c r="G77" s="147">
        <f t="shared" si="35"/>
        <v>0</v>
      </c>
      <c r="H77" s="742"/>
      <c r="I77" s="746"/>
      <c r="J77" s="744"/>
      <c r="K77" s="744"/>
      <c r="L77" s="745"/>
      <c r="M77" s="745"/>
      <c r="N77" s="745"/>
      <c r="O77" s="745">
        <v>3759.18</v>
      </c>
      <c r="P77" s="748">
        <v>314.48</v>
      </c>
      <c r="Q77" s="99"/>
      <c r="R77" s="641">
        <v>5307.98</v>
      </c>
      <c r="S77" s="748">
        <v>377.79</v>
      </c>
      <c r="T77" s="99"/>
      <c r="U77" s="103">
        <f t="shared" si="44"/>
        <v>0</v>
      </c>
      <c r="V77" s="146"/>
      <c r="W77" s="146"/>
      <c r="X77" s="143"/>
      <c r="Y77" s="768"/>
      <c r="Z77" s="143"/>
      <c r="AA77" s="143"/>
      <c r="AB77" s="143"/>
      <c r="AC77" s="143"/>
      <c r="AD77" s="143"/>
      <c r="AE77" s="143"/>
      <c r="AF77" s="143"/>
      <c r="AG77" s="143"/>
      <c r="AH77" s="143"/>
      <c r="AI77" s="103">
        <f t="shared" si="37"/>
        <v>0</v>
      </c>
      <c r="AJ77" s="134">
        <v>4720.58</v>
      </c>
      <c r="AK77" s="134">
        <v>811.53</v>
      </c>
      <c r="AL77" s="136"/>
      <c r="AM77" s="105">
        <f t="shared" si="38"/>
        <v>0</v>
      </c>
      <c r="AN77" s="1744">
        <v>206.06</v>
      </c>
      <c r="AO77" s="1745"/>
      <c r="AP77" s="1745"/>
      <c r="AQ77" s="1746"/>
      <c r="AR77" s="224">
        <f t="shared" si="39"/>
        <v>0</v>
      </c>
      <c r="AS77" s="1751">
        <v>4491</v>
      </c>
      <c r="AT77" s="1752"/>
      <c r="AU77" s="1753"/>
      <c r="AV77" s="1753"/>
      <c r="AW77" s="1753"/>
      <c r="AX77" s="1753"/>
      <c r="AY77" s="1754">
        <v>1708.4</v>
      </c>
      <c r="AZ77" s="1753"/>
      <c r="BA77" s="1753"/>
      <c r="BB77" s="1753"/>
      <c r="BC77" s="1752"/>
      <c r="BD77" s="222">
        <f t="shared" si="40"/>
        <v>0</v>
      </c>
      <c r="BE77" s="140">
        <f t="shared" si="41"/>
        <v>0</v>
      </c>
      <c r="BF77" s="132"/>
      <c r="BG77" s="140">
        <f t="shared" si="42"/>
        <v>0</v>
      </c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30">
        <f t="shared" si="43"/>
        <v>0</v>
      </c>
      <c r="BV77" s="132"/>
    </row>
    <row r="78" ht="14.25" customHeight="1">
      <c r="A78" s="132"/>
      <c r="B78" s="512">
        <v>46087</v>
      </c>
      <c r="C78" s="133">
        <f>23110.11-D78-0</f>
      </c>
      <c r="D78" s="134">
        <v>3200.38</v>
      </c>
      <c r="E78" s="135"/>
      <c r="F78" s="135"/>
      <c r="G78" s="147">
        <f t="shared" si="35"/>
        <v>0</v>
      </c>
      <c r="H78" s="742"/>
      <c r="I78" s="746"/>
      <c r="J78" s="744"/>
      <c r="K78" s="744"/>
      <c r="L78" s="747">
        <v>541.14</v>
      </c>
      <c r="M78" s="745"/>
      <c r="N78" s="747">
        <v>289.06</v>
      </c>
      <c r="O78" s="747">
        <v>248.49</v>
      </c>
      <c r="P78" s="641"/>
      <c r="Q78" s="99"/>
      <c r="R78" s="641">
        <v>6149.61</v>
      </c>
      <c r="S78" s="641">
        <v>3050.43</v>
      </c>
      <c r="T78" s="99"/>
      <c r="U78" s="103">
        <f t="shared" si="44"/>
        <v>0</v>
      </c>
      <c r="V78" s="146"/>
      <c r="W78" s="146"/>
      <c r="X78" s="143"/>
      <c r="Y78" s="768"/>
      <c r="Z78" s="143"/>
      <c r="AA78" s="143"/>
      <c r="AB78" s="143"/>
      <c r="AC78" s="143"/>
      <c r="AD78" s="143"/>
      <c r="AE78" s="143"/>
      <c r="AF78" s="143"/>
      <c r="AG78" s="143"/>
      <c r="AH78" s="143"/>
      <c r="AI78" s="103">
        <f t="shared" si="37"/>
        <v>0</v>
      </c>
      <c r="AJ78" s="134">
        <v>4599.95</v>
      </c>
      <c r="AK78" s="134">
        <v>1137.5</v>
      </c>
      <c r="AL78" s="136"/>
      <c r="AM78" s="105">
        <f t="shared" si="38"/>
        <v>0</v>
      </c>
      <c r="AN78" s="1744">
        <v>1319.43</v>
      </c>
      <c r="AO78" s="1745"/>
      <c r="AP78" s="1745"/>
      <c r="AQ78" s="1746"/>
      <c r="AR78" s="224">
        <f t="shared" si="39"/>
        <v>0</v>
      </c>
      <c r="AS78" s="1751">
        <v>3110</v>
      </c>
      <c r="AT78" s="1754">
        <v>600</v>
      </c>
      <c r="AU78" s="1753"/>
      <c r="AV78" s="1753"/>
      <c r="AW78" s="1753"/>
      <c r="AX78" s="1753"/>
      <c r="AY78" s="1754">
        <v>2060.4</v>
      </c>
      <c r="AZ78" s="1753"/>
      <c r="BA78" s="1753"/>
      <c r="BB78" s="1753"/>
      <c r="BC78" s="1752"/>
      <c r="BD78" s="222">
        <f t="shared" si="40"/>
        <v>0</v>
      </c>
      <c r="BE78" s="140">
        <f t="shared" si="41"/>
        <v>0</v>
      </c>
      <c r="BF78" s="132"/>
      <c r="BG78" s="140">
        <f t="shared" si="42"/>
        <v>0</v>
      </c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30">
        <f t="shared" si="43"/>
        <v>0</v>
      </c>
      <c r="BV78" s="132"/>
    </row>
    <row r="79" ht="14.25" customHeight="1">
      <c r="A79" s="132"/>
      <c r="B79" s="512">
        <v>46088</v>
      </c>
      <c r="C79" s="133">
        <f>25479.28-D79-0</f>
      </c>
      <c r="D79" s="134">
        <v>9005.64</v>
      </c>
      <c r="E79" s="135"/>
      <c r="F79" s="135"/>
      <c r="G79" s="147">
        <f t="shared" si="35"/>
        <v>0</v>
      </c>
      <c r="H79" s="742"/>
      <c r="I79" s="746"/>
      <c r="J79" s="744"/>
      <c r="K79" s="744"/>
      <c r="L79" s="747">
        <v>652.79</v>
      </c>
      <c r="M79" s="745"/>
      <c r="N79" s="745"/>
      <c r="O79" s="747">
        <v>229.43</v>
      </c>
      <c r="P79" s="641">
        <v>124.35</v>
      </c>
      <c r="Q79" s="99"/>
      <c r="R79" s="748">
        <v>1447.31</v>
      </c>
      <c r="S79" s="748">
        <v>754.4</v>
      </c>
      <c r="T79" s="99"/>
      <c r="U79" s="103">
        <f t="shared" si="44"/>
        <v>0</v>
      </c>
      <c r="V79" s="146"/>
      <c r="W79" s="146"/>
      <c r="X79" s="143"/>
      <c r="Y79" s="768"/>
      <c r="Z79" s="143"/>
      <c r="AA79" s="143"/>
      <c r="AB79" s="143"/>
      <c r="AC79" s="143"/>
      <c r="AD79" s="143"/>
      <c r="AE79" s="143"/>
      <c r="AF79" s="143"/>
      <c r="AG79" s="143"/>
      <c r="AH79" s="143"/>
      <c r="AI79" s="103">
        <f t="shared" si="37"/>
        <v>0</v>
      </c>
      <c r="AJ79" s="134">
        <v>6355.39</v>
      </c>
      <c r="AK79" s="134">
        <v>2781.37</v>
      </c>
      <c r="AL79" s="136"/>
      <c r="AM79" s="105">
        <f t="shared" si="38"/>
        <v>0</v>
      </c>
      <c r="AN79" s="1744">
        <v>347.17</v>
      </c>
      <c r="AO79" s="1745"/>
      <c r="AP79" s="1745"/>
      <c r="AQ79" s="1746"/>
      <c r="AR79" s="224">
        <f t="shared" si="39"/>
        <v>0</v>
      </c>
      <c r="AS79" s="1751">
        <v>6607.4</v>
      </c>
      <c r="AT79" s="1752"/>
      <c r="AU79" s="1753"/>
      <c r="AV79" s="1753"/>
      <c r="AW79" s="1753"/>
      <c r="AX79" s="1753"/>
      <c r="AY79" s="1754">
        <v>6174.8</v>
      </c>
      <c r="AZ79" s="1753"/>
      <c r="BA79" s="1753"/>
      <c r="BB79" s="1753"/>
      <c r="BC79" s="1752"/>
      <c r="BD79" s="222">
        <f t="shared" si="40"/>
        <v>0</v>
      </c>
      <c r="BE79" s="140">
        <f t="shared" si="41"/>
        <v>0</v>
      </c>
      <c r="BF79" s="132"/>
      <c r="BG79" s="140">
        <f t="shared" si="42"/>
        <v>0</v>
      </c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30">
        <f t="shared" si="43"/>
        <v>0</v>
      </c>
      <c r="BV79" s="132"/>
    </row>
    <row r="80" ht="14.25" customHeight="1">
      <c r="A80" s="132"/>
      <c r="B80" s="512">
        <v>46089</v>
      </c>
      <c r="C80" s="133">
        <f>25528.74-D80-0</f>
      </c>
      <c r="D80" s="134">
        <v>13200.05</v>
      </c>
      <c r="E80" s="135"/>
      <c r="F80" s="135"/>
      <c r="G80" s="147">
        <f t="shared" si="35"/>
        <v>0</v>
      </c>
      <c r="H80" s="742"/>
      <c r="I80" s="746"/>
      <c r="J80" s="744"/>
      <c r="K80" s="744"/>
      <c r="L80" s="745"/>
      <c r="M80" s="745"/>
      <c r="N80" s="745"/>
      <c r="O80" s="745">
        <v>427.69</v>
      </c>
      <c r="P80" s="641"/>
      <c r="Q80" s="99"/>
      <c r="R80" s="748">
        <v>249.01</v>
      </c>
      <c r="S80" s="641"/>
      <c r="T80" s="99"/>
      <c r="U80" s="103">
        <f t="shared" si="44"/>
        <v>0</v>
      </c>
      <c r="V80" s="146"/>
      <c r="W80" s="146"/>
      <c r="X80" s="143"/>
      <c r="Y80" s="768"/>
      <c r="Z80" s="143"/>
      <c r="AA80" s="143"/>
      <c r="AB80" s="143"/>
      <c r="AC80" s="143"/>
      <c r="AD80" s="143"/>
      <c r="AE80" s="143"/>
      <c r="AF80" s="143"/>
      <c r="AG80" s="143"/>
      <c r="AH80" s="143"/>
      <c r="AI80" s="103">
        <f t="shared" si="37"/>
        <v>0</v>
      </c>
      <c r="AJ80" s="134">
        <v>6132</v>
      </c>
      <c r="AK80" s="134">
        <v>3919.66</v>
      </c>
      <c r="AL80" s="136"/>
      <c r="AM80" s="105">
        <f t="shared" si="38"/>
        <v>0</v>
      </c>
      <c r="AN80" s="1745"/>
      <c r="AO80" s="1745"/>
      <c r="AP80" s="1745"/>
      <c r="AQ80" s="1746"/>
      <c r="AR80" s="224">
        <f t="shared" si="39"/>
        <v>0</v>
      </c>
      <c r="AS80" s="1751">
        <v>5559.7</v>
      </c>
      <c r="AT80" s="1752"/>
      <c r="AU80" s="1753"/>
      <c r="AV80" s="1753"/>
      <c r="AW80" s="1753"/>
      <c r="AX80" s="1753"/>
      <c r="AY80" s="1754">
        <v>9233.2</v>
      </c>
      <c r="AZ80" s="1753"/>
      <c r="BA80" s="1753"/>
      <c r="BB80" s="1753"/>
      <c r="BC80" s="1752"/>
      <c r="BD80" s="222">
        <f t="shared" si="40"/>
        <v>0</v>
      </c>
      <c r="BE80" s="140">
        <f t="shared" si="41"/>
        <v>0</v>
      </c>
      <c r="BF80" s="132"/>
      <c r="BG80" s="140">
        <f t="shared" si="42"/>
        <v>0</v>
      </c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30">
        <f t="shared" si="43"/>
        <v>0</v>
      </c>
      <c r="BV80" s="132"/>
    </row>
    <row r="81" ht="14.25" customHeight="1">
      <c r="A81" s="132"/>
      <c r="B81" s="512">
        <v>46090</v>
      </c>
      <c r="C81" s="133">
        <f>15179.66-D81-0</f>
      </c>
      <c r="D81" s="134">
        <v>1354.8</v>
      </c>
      <c r="E81" s="135"/>
      <c r="F81" s="135"/>
      <c r="G81" s="147">
        <f t="shared" si="35"/>
        <v>0</v>
      </c>
      <c r="H81" s="742"/>
      <c r="I81" s="746"/>
      <c r="J81" s="744"/>
      <c r="K81" s="744"/>
      <c r="L81" s="747">
        <v>306.01</v>
      </c>
      <c r="M81" s="745"/>
      <c r="N81" s="745"/>
      <c r="O81" s="745">
        <v>253.71</v>
      </c>
      <c r="P81" s="748">
        <v>700.79</v>
      </c>
      <c r="Q81" s="99"/>
      <c r="R81" s="779">
        <v>844.5</v>
      </c>
      <c r="S81" s="641">
        <v>1923.43</v>
      </c>
      <c r="T81" s="99"/>
      <c r="U81" s="103">
        <f t="shared" si="44"/>
        <v>0</v>
      </c>
      <c r="V81" s="146"/>
      <c r="W81" s="146"/>
      <c r="X81" s="143"/>
      <c r="Y81" s="768"/>
      <c r="Z81" s="143"/>
      <c r="AA81" s="143"/>
      <c r="AB81" s="143"/>
      <c r="AC81" s="143"/>
      <c r="AD81" s="143"/>
      <c r="AE81" s="143"/>
      <c r="AF81" s="143"/>
      <c r="AG81" s="143"/>
      <c r="AH81" s="145"/>
      <c r="AI81" s="103">
        <f t="shared" si="37"/>
        <v>0</v>
      </c>
      <c r="AJ81" s="134">
        <v>3943.47</v>
      </c>
      <c r="AK81" s="134">
        <v>285.93</v>
      </c>
      <c r="AL81" s="136"/>
      <c r="AM81" s="105">
        <f t="shared" si="38"/>
        <v>0</v>
      </c>
      <c r="AN81" s="1744">
        <v>1077.32</v>
      </c>
      <c r="AO81" s="1745"/>
      <c r="AP81" s="1745"/>
      <c r="AQ81" s="1746"/>
      <c r="AR81" s="224">
        <f t="shared" si="39"/>
        <v>0</v>
      </c>
      <c r="AS81" s="1751">
        <v>4451.8</v>
      </c>
      <c r="AT81" s="1752"/>
      <c r="AU81" s="1753"/>
      <c r="AV81" s="1753"/>
      <c r="AW81" s="1753"/>
      <c r="AX81" s="1753"/>
      <c r="AY81" s="1754">
        <v>1068.1</v>
      </c>
      <c r="AZ81" s="1753"/>
      <c r="BA81" s="1753"/>
      <c r="BB81" s="1753"/>
      <c r="BC81" s="1752"/>
      <c r="BD81" s="222">
        <f t="shared" si="40"/>
        <v>0</v>
      </c>
      <c r="BE81" s="140">
        <f t="shared" si="41"/>
        <v>0</v>
      </c>
      <c r="BF81" s="132"/>
      <c r="BG81" s="140">
        <f t="shared" si="42"/>
        <v>0</v>
      </c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30">
        <f t="shared" si="43"/>
        <v>0</v>
      </c>
      <c r="BV81" s="132"/>
    </row>
    <row r="82" ht="14.25" customHeight="1">
      <c r="A82" s="132"/>
      <c r="B82" s="512">
        <v>46091</v>
      </c>
      <c r="C82" s="230">
        <f>18007.06-D82-0</f>
      </c>
      <c r="D82" s="134"/>
      <c r="E82" s="135"/>
      <c r="F82" s="135"/>
      <c r="G82" s="147">
        <f t="shared" si="35"/>
        <v>0</v>
      </c>
      <c r="H82" s="742"/>
      <c r="I82" s="746"/>
      <c r="J82" s="744"/>
      <c r="K82" s="744"/>
      <c r="L82" s="745"/>
      <c r="M82" s="745"/>
      <c r="N82" s="745"/>
      <c r="O82" s="747">
        <v>157.85</v>
      </c>
      <c r="P82" s="748">
        <v>64.15</v>
      </c>
      <c r="Q82" s="99"/>
      <c r="R82" s="641">
        <v>5292.51</v>
      </c>
      <c r="S82" s="641">
        <v>481.61</v>
      </c>
      <c r="T82" s="99"/>
      <c r="U82" s="103">
        <f t="shared" si="44"/>
        <v>0</v>
      </c>
      <c r="V82" s="146"/>
      <c r="W82" s="146"/>
      <c r="X82" s="143"/>
      <c r="Y82" s="768"/>
      <c r="Z82" s="143"/>
      <c r="AA82" s="143"/>
      <c r="AB82" s="143"/>
      <c r="AC82" s="143"/>
      <c r="AD82" s="143"/>
      <c r="AE82" s="143"/>
      <c r="AF82" s="143"/>
      <c r="AG82" s="143"/>
      <c r="AH82" s="143"/>
      <c r="AI82" s="103">
        <f t="shared" si="37"/>
        <v>0</v>
      </c>
      <c r="AJ82" s="134">
        <v>5389.91</v>
      </c>
      <c r="AK82" s="134"/>
      <c r="AL82" s="136"/>
      <c r="AM82" s="105">
        <f t="shared" si="38"/>
        <v>0</v>
      </c>
      <c r="AN82" s="1744">
        <v>198.31</v>
      </c>
      <c r="AO82" s="1745"/>
      <c r="AP82" s="1745"/>
      <c r="AQ82" s="1746"/>
      <c r="AR82" s="224">
        <f t="shared" si="39"/>
        <v>0</v>
      </c>
      <c r="AS82" s="1751">
        <v>6422</v>
      </c>
      <c r="AT82" s="1752"/>
      <c r="AU82" s="1753"/>
      <c r="AV82" s="1753"/>
      <c r="AW82" s="1753"/>
      <c r="AX82" s="1753"/>
      <c r="AY82" s="1754"/>
      <c r="AZ82" s="1753"/>
      <c r="BA82" s="1753"/>
      <c r="BB82" s="1753"/>
      <c r="BC82" s="1752"/>
      <c r="BD82" s="222">
        <f t="shared" si="40"/>
        <v>0</v>
      </c>
      <c r="BE82" s="140">
        <f t="shared" si="41"/>
        <v>0</v>
      </c>
      <c r="BF82" s="132"/>
      <c r="BG82" s="140">
        <f t="shared" si="42"/>
        <v>0</v>
      </c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30">
        <f t="shared" si="43"/>
        <v>0</v>
      </c>
      <c r="BV82" s="132"/>
    </row>
    <row r="83" ht="14.25" customHeight="1">
      <c r="A83" s="132"/>
      <c r="B83" s="512">
        <v>46092</v>
      </c>
      <c r="C83" s="230">
        <f>18982.12-D83-0</f>
      </c>
      <c r="D83" s="134"/>
      <c r="E83" s="135"/>
      <c r="F83" s="135"/>
      <c r="G83" s="147">
        <f t="shared" si="35"/>
        <v>0</v>
      </c>
      <c r="H83" s="742"/>
      <c r="I83" s="746"/>
      <c r="J83" s="744"/>
      <c r="K83" s="744"/>
      <c r="L83" s="745"/>
      <c r="M83" s="745"/>
      <c r="N83" s="745"/>
      <c r="O83" s="747">
        <v>600.24</v>
      </c>
      <c r="P83" s="641"/>
      <c r="Q83" s="99"/>
      <c r="R83" s="641">
        <v>6664.45</v>
      </c>
      <c r="S83" s="748">
        <v>1326.57</v>
      </c>
      <c r="T83" s="99"/>
      <c r="U83" s="103">
        <f t="shared" si="44"/>
        <v>0</v>
      </c>
      <c r="V83" s="146"/>
      <c r="W83" s="780"/>
      <c r="X83" s="231"/>
      <c r="Y83" s="768"/>
      <c r="Z83" s="143"/>
      <c r="AA83" s="143"/>
      <c r="AB83" s="143"/>
      <c r="AC83" s="143"/>
      <c r="AD83" s="143"/>
      <c r="AE83" s="143"/>
      <c r="AF83" s="143"/>
      <c r="AG83" s="143"/>
      <c r="AH83" s="143"/>
      <c r="AI83" s="103">
        <f t="shared" si="37"/>
        <v>0</v>
      </c>
      <c r="AJ83" s="134">
        <v>4449.89</v>
      </c>
      <c r="AK83" s="134"/>
      <c r="AL83" s="136"/>
      <c r="AM83" s="105">
        <f t="shared" si="38"/>
        <v>0</v>
      </c>
      <c r="AN83" s="1744">
        <v>539.72</v>
      </c>
      <c r="AO83" s="1745"/>
      <c r="AP83" s="1745"/>
      <c r="AQ83" s="1746"/>
      <c r="AR83" s="224">
        <f t="shared" si="39"/>
        <v>0</v>
      </c>
      <c r="AS83" s="1751">
        <v>5400</v>
      </c>
      <c r="AT83" s="1752"/>
      <c r="AU83" s="1753"/>
      <c r="AV83" s="1753"/>
      <c r="AW83" s="1753"/>
      <c r="AX83" s="1753"/>
      <c r="AY83" s="1754"/>
      <c r="AZ83" s="1753"/>
      <c r="BA83" s="1753"/>
      <c r="BB83" s="1753"/>
      <c r="BC83" s="1752"/>
      <c r="BD83" s="222">
        <f t="shared" si="40"/>
        <v>0</v>
      </c>
      <c r="BE83" s="140">
        <f t="shared" si="41"/>
        <v>0</v>
      </c>
      <c r="BF83" s="132"/>
      <c r="BG83" s="140">
        <f t="shared" si="42"/>
        <v>0</v>
      </c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30">
        <f t="shared" si="43"/>
        <v>0</v>
      </c>
      <c r="BV83" s="132"/>
    </row>
    <row r="84" ht="14.25" customHeight="1">
      <c r="A84" s="132"/>
      <c r="B84" s="512">
        <v>46093</v>
      </c>
      <c r="C84" s="230">
        <f>18840.00-D84-0</f>
      </c>
      <c r="D84" s="134"/>
      <c r="E84" s="135"/>
      <c r="F84" s="135"/>
      <c r="G84" s="147">
        <f t="shared" si="35"/>
        <v>0</v>
      </c>
      <c r="H84" s="742"/>
      <c r="I84" s="746"/>
      <c r="J84" s="744"/>
      <c r="K84" s="744"/>
      <c r="L84" s="745"/>
      <c r="M84" s="745"/>
      <c r="N84" s="747">
        <v>166.71</v>
      </c>
      <c r="O84" s="747">
        <v>242.33</v>
      </c>
      <c r="P84" s="748">
        <v>342.79</v>
      </c>
      <c r="Q84" s="99"/>
      <c r="R84" s="641">
        <v>2930.45</v>
      </c>
      <c r="S84" s="748">
        <v>2578.72</v>
      </c>
      <c r="T84" s="99"/>
      <c r="U84" s="103">
        <f t="shared" si="44"/>
        <v>0</v>
      </c>
      <c r="V84" s="146"/>
      <c r="W84" s="146"/>
      <c r="X84" s="143"/>
      <c r="Y84" s="768"/>
      <c r="Z84" s="143"/>
      <c r="AA84" s="143"/>
      <c r="AB84" s="143"/>
      <c r="AC84" s="143"/>
      <c r="AD84" s="143"/>
      <c r="AE84" s="143"/>
      <c r="AF84" s="143"/>
      <c r="AG84" s="143"/>
      <c r="AH84" s="143"/>
      <c r="AI84" s="103">
        <f t="shared" si="37"/>
        <v>0</v>
      </c>
      <c r="AJ84" s="134">
        <v>3685.9</v>
      </c>
      <c r="AK84" s="134"/>
      <c r="AL84" s="136"/>
      <c r="AM84" s="105">
        <f t="shared" si="38"/>
        <v>0</v>
      </c>
      <c r="AN84" s="1744">
        <v>1028.54</v>
      </c>
      <c r="AO84" s="1745"/>
      <c r="AP84" s="1745"/>
      <c r="AQ84" s="1746"/>
      <c r="AR84" s="224">
        <f t="shared" si="39"/>
        <v>0</v>
      </c>
      <c r="AS84" s="1751">
        <v>7863</v>
      </c>
      <c r="AT84" s="1752"/>
      <c r="AU84" s="1753"/>
      <c r="AV84" s="1753"/>
      <c r="AW84" s="1753"/>
      <c r="AX84" s="1753"/>
      <c r="AY84" s="1754"/>
      <c r="AZ84" s="1753"/>
      <c r="BA84" s="1753"/>
      <c r="BB84" s="1753"/>
      <c r="BC84" s="1752"/>
      <c r="BD84" s="222">
        <f t="shared" si="40"/>
        <v>0</v>
      </c>
      <c r="BE84" s="140">
        <f t="shared" si="41"/>
        <v>0</v>
      </c>
      <c r="BF84" s="132"/>
      <c r="BG84" s="140">
        <f t="shared" si="42"/>
        <v>0</v>
      </c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30">
        <f t="shared" si="43"/>
        <v>0</v>
      </c>
      <c r="BV84" s="132"/>
    </row>
    <row r="85" ht="14.25" customHeight="1">
      <c r="A85" s="132"/>
      <c r="B85" s="512">
        <v>46094</v>
      </c>
      <c r="C85" s="230">
        <f>18262.47-D85-0</f>
      </c>
      <c r="D85" s="134"/>
      <c r="E85" s="135"/>
      <c r="F85" s="135"/>
      <c r="G85" s="147">
        <f t="shared" si="35"/>
        <v>0</v>
      </c>
      <c r="H85" s="742"/>
      <c r="I85" s="746"/>
      <c r="J85" s="744"/>
      <c r="K85" s="744"/>
      <c r="L85" s="745"/>
      <c r="M85" s="745"/>
      <c r="N85" s="745"/>
      <c r="O85" s="745">
        <v>285.01</v>
      </c>
      <c r="P85" s="748">
        <v>70.02</v>
      </c>
      <c r="Q85" s="99"/>
      <c r="R85" s="641">
        <v>5414.15</v>
      </c>
      <c r="S85" s="641">
        <v>676.48</v>
      </c>
      <c r="T85" s="99"/>
      <c r="U85" s="103">
        <f t="shared" si="44"/>
        <v>0</v>
      </c>
      <c r="V85" s="146"/>
      <c r="W85" s="146"/>
      <c r="X85" s="143"/>
      <c r="Y85" s="768"/>
      <c r="Z85" s="143"/>
      <c r="AA85" s="143"/>
      <c r="AB85" s="143"/>
      <c r="AC85" s="143"/>
      <c r="AD85" s="143"/>
      <c r="AE85" s="143"/>
      <c r="AF85" s="143"/>
      <c r="AG85" s="143"/>
      <c r="AH85" s="143"/>
      <c r="AI85" s="103">
        <f t="shared" si="37"/>
        <v>0</v>
      </c>
      <c r="AJ85" s="134">
        <v>4092.7</v>
      </c>
      <c r="AK85" s="134"/>
      <c r="AL85" s="136"/>
      <c r="AM85" s="105">
        <f t="shared" si="38"/>
        <v>0</v>
      </c>
      <c r="AN85" s="1744">
        <v>270.84</v>
      </c>
      <c r="AO85" s="1745"/>
      <c r="AP85" s="1745"/>
      <c r="AQ85" s="1746"/>
      <c r="AR85" s="224">
        <f t="shared" si="39"/>
        <v>0</v>
      </c>
      <c r="AS85" s="1751">
        <v>6294.5</v>
      </c>
      <c r="AT85" s="1754">
        <v>1157.28</v>
      </c>
      <c r="AU85" s="1753"/>
      <c r="AV85" s="1753"/>
      <c r="AW85" s="1753"/>
      <c r="AX85" s="1753"/>
      <c r="AY85" s="1754"/>
      <c r="AZ85" s="1753"/>
      <c r="BA85" s="1753"/>
      <c r="BB85" s="1753"/>
      <c r="BC85" s="1752"/>
      <c r="BD85" s="222">
        <f t="shared" si="40"/>
        <v>0</v>
      </c>
      <c r="BE85" s="140">
        <f t="shared" si="41"/>
        <v>0</v>
      </c>
      <c r="BF85" s="132"/>
      <c r="BG85" s="140">
        <f t="shared" si="42"/>
        <v>0</v>
      </c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30">
        <f t="shared" si="43"/>
        <v>0</v>
      </c>
      <c r="BV85" s="132"/>
    </row>
    <row r="86" ht="14.25" customHeight="1">
      <c r="A86" s="132"/>
      <c r="B86" s="512">
        <v>46095</v>
      </c>
      <c r="C86" s="230">
        <f>18215.53-D86-0</f>
      </c>
      <c r="D86" s="134"/>
      <c r="E86" s="135"/>
      <c r="F86" s="135"/>
      <c r="G86" s="147">
        <f t="shared" si="35"/>
        <v>0</v>
      </c>
      <c r="H86" s="742"/>
      <c r="I86" s="746"/>
      <c r="J86" s="744"/>
      <c r="K86" s="744"/>
      <c r="L86" s="747">
        <v>861.16</v>
      </c>
      <c r="M86" s="745"/>
      <c r="N86" s="745"/>
      <c r="O86" s="745">
        <v>339.12</v>
      </c>
      <c r="P86" s="641">
        <v>308.06</v>
      </c>
      <c r="Q86" s="99"/>
      <c r="R86" s="641">
        <v>3555.05</v>
      </c>
      <c r="S86" s="641">
        <v>481.61</v>
      </c>
      <c r="T86" s="99"/>
      <c r="U86" s="103">
        <f t="shared" si="44"/>
        <v>0</v>
      </c>
      <c r="V86" s="146"/>
      <c r="W86" s="146"/>
      <c r="X86" s="143"/>
      <c r="Y86" s="768"/>
      <c r="Z86" s="143"/>
      <c r="AA86" s="143"/>
      <c r="AB86" s="143"/>
      <c r="AC86" s="143"/>
      <c r="AD86" s="143"/>
      <c r="AE86" s="143"/>
      <c r="AF86" s="143"/>
      <c r="AG86" s="143"/>
      <c r="AH86" s="143"/>
      <c r="AI86" s="103">
        <f t="shared" si="37"/>
        <v>0</v>
      </c>
      <c r="AJ86" s="134">
        <v>6470.96</v>
      </c>
      <c r="AK86" s="134"/>
      <c r="AL86" s="136"/>
      <c r="AM86" s="105">
        <f t="shared" si="38"/>
        <v>0</v>
      </c>
      <c r="AN86" s="1744">
        <v>198.31</v>
      </c>
      <c r="AO86" s="1745"/>
      <c r="AP86" s="1745"/>
      <c r="AQ86" s="1746"/>
      <c r="AR86" s="224">
        <f t="shared" si="39"/>
        <v>0</v>
      </c>
      <c r="AS86" s="1751">
        <v>6000</v>
      </c>
      <c r="AT86" s="1752"/>
      <c r="AU86" s="1753"/>
      <c r="AV86" s="1753"/>
      <c r="AW86" s="1753"/>
      <c r="AX86" s="1753"/>
      <c r="AY86" s="1754"/>
      <c r="AZ86" s="1753"/>
      <c r="BA86" s="1753"/>
      <c r="BB86" s="1753"/>
      <c r="BC86" s="1752"/>
      <c r="BD86" s="222">
        <f t="shared" si="40"/>
        <v>0</v>
      </c>
      <c r="BE86" s="140">
        <f t="shared" si="41"/>
        <v>0</v>
      </c>
      <c r="BF86" s="132"/>
      <c r="BG86" s="140">
        <f t="shared" si="42"/>
        <v>0</v>
      </c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30">
        <f t="shared" si="43"/>
        <v>0</v>
      </c>
      <c r="BV86" s="132"/>
    </row>
    <row r="87" ht="13.5" customHeight="1">
      <c r="A87" s="132"/>
      <c r="B87" s="512">
        <v>46096</v>
      </c>
      <c r="C87" s="230">
        <f>15693.61-D87-0</f>
      </c>
      <c r="D87" s="134"/>
      <c r="E87" s="135"/>
      <c r="F87" s="135"/>
      <c r="G87" s="147">
        <f t="shared" si="35"/>
        <v>0</v>
      </c>
      <c r="H87" s="742"/>
      <c r="I87" s="746"/>
      <c r="J87" s="744"/>
      <c r="K87" s="744"/>
      <c r="L87" s="747">
        <v>1329.96</v>
      </c>
      <c r="M87" s="745"/>
      <c r="N87" s="745"/>
      <c r="O87" s="747">
        <v>164.5</v>
      </c>
      <c r="P87" s="748">
        <v>717.88</v>
      </c>
      <c r="Q87" s="99"/>
      <c r="R87" s="641">
        <v>987.95</v>
      </c>
      <c r="S87" s="641"/>
      <c r="T87" s="99"/>
      <c r="U87" s="103">
        <f t="shared" si="44"/>
        <v>0</v>
      </c>
      <c r="V87" s="146"/>
      <c r="W87" s="146"/>
      <c r="X87" s="143"/>
      <c r="Y87" s="768"/>
      <c r="Z87" s="143"/>
      <c r="AA87" s="143"/>
      <c r="AB87" s="143"/>
      <c r="AC87" s="143"/>
      <c r="AD87" s="143"/>
      <c r="AE87" s="143"/>
      <c r="AF87" s="143"/>
      <c r="AG87" s="143"/>
      <c r="AH87" s="143"/>
      <c r="AI87" s="103">
        <f t="shared" si="37"/>
        <v>0</v>
      </c>
      <c r="AJ87" s="134">
        <v>5760.01</v>
      </c>
      <c r="AK87" s="134"/>
      <c r="AL87" s="136"/>
      <c r="AM87" s="105">
        <f t="shared" si="38"/>
        <v>0</v>
      </c>
      <c r="AN87" s="1744"/>
      <c r="AO87" s="1745"/>
      <c r="AP87" s="1745"/>
      <c r="AQ87" s="1746"/>
      <c r="AR87" s="224">
        <f t="shared" si="39"/>
        <v>0</v>
      </c>
      <c r="AS87" s="1751">
        <v>6252</v>
      </c>
      <c r="AT87" s="1752"/>
      <c r="AU87" s="1753"/>
      <c r="AV87" s="1753"/>
      <c r="AW87" s="1753"/>
      <c r="AX87" s="1753"/>
      <c r="AY87" s="1754"/>
      <c r="AZ87" s="1753"/>
      <c r="BA87" s="1753"/>
      <c r="BB87" s="1753"/>
      <c r="BC87" s="1752"/>
      <c r="BD87" s="222">
        <f t="shared" si="40"/>
        <v>0</v>
      </c>
      <c r="BE87" s="140">
        <f t="shared" si="41"/>
        <v>0</v>
      </c>
      <c r="BF87" s="132"/>
      <c r="BG87" s="140">
        <f t="shared" si="42"/>
        <v>0</v>
      </c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50"/>
      <c r="BS87" s="141">
        <v>480</v>
      </c>
      <c r="BT87" s="141"/>
      <c r="BU87" s="130">
        <f t="shared" si="43"/>
        <v>0</v>
      </c>
      <c r="BV87" s="132"/>
    </row>
    <row r="88" ht="14.25" customHeight="1">
      <c r="A88" s="132"/>
      <c r="B88" s="512">
        <v>46097</v>
      </c>
      <c r="C88" s="133">
        <f>27056.24-D88-0</f>
      </c>
      <c r="D88" s="134">
        <v>8698.4</v>
      </c>
      <c r="E88" s="135"/>
      <c r="F88" s="135"/>
      <c r="G88" s="147">
        <f t="shared" si="35"/>
        <v>0</v>
      </c>
      <c r="H88" s="742"/>
      <c r="I88" s="746"/>
      <c r="J88" s="744"/>
      <c r="K88" s="744"/>
      <c r="L88" s="745"/>
      <c r="M88" s="745"/>
      <c r="N88" s="745"/>
      <c r="O88" s="745">
        <v>649.08</v>
      </c>
      <c r="P88" s="748">
        <v>295.98</v>
      </c>
      <c r="Q88" s="99"/>
      <c r="R88" s="641">
        <v>1504.53</v>
      </c>
      <c r="S88" s="641">
        <v>1625.56</v>
      </c>
      <c r="T88" s="99"/>
      <c r="U88" s="103">
        <f t="shared" si="44"/>
        <v>0</v>
      </c>
      <c r="V88" s="146"/>
      <c r="W88" s="780"/>
      <c r="X88" s="231"/>
      <c r="Y88" s="768"/>
      <c r="Z88" s="143"/>
      <c r="AA88" s="143"/>
      <c r="AB88" s="143"/>
      <c r="AC88" s="143"/>
      <c r="AD88" s="143"/>
      <c r="AE88" s="143"/>
      <c r="AF88" s="143"/>
      <c r="AG88" s="143"/>
      <c r="AH88" s="143"/>
      <c r="AI88" s="103">
        <f t="shared" si="37"/>
        <v>0</v>
      </c>
      <c r="AJ88" s="134">
        <v>5242.21</v>
      </c>
      <c r="AK88" s="134">
        <v>2868.56</v>
      </c>
      <c r="AL88" s="136"/>
      <c r="AM88" s="105">
        <f t="shared" si="38"/>
        <v>0</v>
      </c>
      <c r="AN88" s="1744">
        <v>661.78</v>
      </c>
      <c r="AO88" s="1745"/>
      <c r="AP88" s="1745"/>
      <c r="AQ88" s="1746"/>
      <c r="AR88" s="224">
        <f t="shared" si="39"/>
        <v>0</v>
      </c>
      <c r="AS88" s="1751">
        <v>8480</v>
      </c>
      <c r="AT88" s="1752"/>
      <c r="AU88" s="1753"/>
      <c r="AV88" s="1753"/>
      <c r="AW88" s="1753"/>
      <c r="AX88" s="1753"/>
      <c r="AY88" s="1754">
        <v>5727.5</v>
      </c>
      <c r="AZ88" s="1753"/>
      <c r="BA88" s="1753"/>
      <c r="BB88" s="1753"/>
      <c r="BC88" s="1752"/>
      <c r="BD88" s="222">
        <f t="shared" si="40"/>
        <v>0</v>
      </c>
      <c r="BE88" s="140">
        <f t="shared" si="41"/>
        <v>0</v>
      </c>
      <c r="BF88" s="132"/>
      <c r="BG88" s="140">
        <f t="shared" si="42"/>
        <v>0</v>
      </c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30">
        <f t="shared" si="43"/>
        <v>0</v>
      </c>
      <c r="BV88" s="132"/>
    </row>
    <row r="89" ht="13.5" customHeight="1">
      <c r="A89" s="132"/>
      <c r="B89" s="512">
        <v>46098</v>
      </c>
      <c r="C89" s="133">
        <f>26141.36-D89-0</f>
      </c>
      <c r="D89" s="134">
        <v>3453.83</v>
      </c>
      <c r="E89" s="135"/>
      <c r="F89" s="135"/>
      <c r="G89" s="147">
        <f t="shared" si="35"/>
        <v>0</v>
      </c>
      <c r="H89" s="742"/>
      <c r="I89" s="746"/>
      <c r="J89" s="744"/>
      <c r="K89" s="744"/>
      <c r="L89" s="747">
        <v>723.1</v>
      </c>
      <c r="M89" s="745"/>
      <c r="N89" s="745"/>
      <c r="O89" s="747">
        <v>38.85</v>
      </c>
      <c r="P89" s="748">
        <v>86.67</v>
      </c>
      <c r="Q89" s="99"/>
      <c r="R89" s="641">
        <v>5883.11</v>
      </c>
      <c r="S89" s="641">
        <v>2071.85</v>
      </c>
      <c r="T89" s="99"/>
      <c r="U89" s="103">
        <f t="shared" si="44"/>
        <v>0</v>
      </c>
      <c r="V89" s="146"/>
      <c r="W89" s="146"/>
      <c r="X89" s="143"/>
      <c r="Y89" s="768"/>
      <c r="Z89" s="143"/>
      <c r="AA89" s="143"/>
      <c r="AB89" s="143"/>
      <c r="AC89" s="143"/>
      <c r="AD89" s="143"/>
      <c r="AE89" s="143"/>
      <c r="AF89" s="143"/>
      <c r="AG89" s="143"/>
      <c r="AH89" s="145"/>
      <c r="AI89" s="103">
        <f t="shared" si="37"/>
        <v>0</v>
      </c>
      <c r="AJ89" s="134">
        <v>5465.04</v>
      </c>
      <c r="AK89" s="134">
        <v>1643.66</v>
      </c>
      <c r="AL89" s="136"/>
      <c r="AM89" s="105">
        <f t="shared" si="38"/>
        <v>0</v>
      </c>
      <c r="AN89" s="1744">
        <v>403.66</v>
      </c>
      <c r="AO89" s="1745"/>
      <c r="AP89" s="1745"/>
      <c r="AQ89" s="1746"/>
      <c r="AR89" s="224">
        <f t="shared" si="39"/>
        <v>0</v>
      </c>
      <c r="AS89" s="1751">
        <v>7970.7</v>
      </c>
      <c r="AT89" s="1752"/>
      <c r="AU89" s="1753"/>
      <c r="AV89" s="1753"/>
      <c r="AW89" s="1753"/>
      <c r="AX89" s="1753"/>
      <c r="AY89" s="1754">
        <v>1809.7</v>
      </c>
      <c r="AZ89" s="1753"/>
      <c r="BA89" s="1753"/>
      <c r="BB89" s="1753"/>
      <c r="BC89" s="1752"/>
      <c r="BD89" s="222">
        <f t="shared" si="40"/>
        <v>0</v>
      </c>
      <c r="BE89" s="140">
        <f t="shared" si="41"/>
        <v>0</v>
      </c>
      <c r="BF89" s="132"/>
      <c r="BG89" s="140">
        <f t="shared" si="42"/>
        <v>0</v>
      </c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30">
        <f t="shared" si="43"/>
        <v>0</v>
      </c>
      <c r="BV89" s="132"/>
    </row>
    <row r="90" ht="14.25" customHeight="1">
      <c r="A90" s="132"/>
      <c r="B90" s="512">
        <v>46099</v>
      </c>
      <c r="C90" s="133">
        <f>15810.86-D90-0</f>
      </c>
      <c r="D90" s="134"/>
      <c r="E90" s="135"/>
      <c r="F90" s="135"/>
      <c r="G90" s="147">
        <f t="shared" si="35"/>
        <v>0</v>
      </c>
      <c r="H90" s="742"/>
      <c r="I90" s="380"/>
      <c r="J90" s="781"/>
      <c r="K90" s="781"/>
      <c r="L90" s="747">
        <v>370.36</v>
      </c>
      <c r="M90" s="745"/>
      <c r="N90" s="745"/>
      <c r="O90" s="747">
        <v>732.09</v>
      </c>
      <c r="P90" s="748">
        <v>376.75</v>
      </c>
      <c r="Q90" s="99"/>
      <c r="R90" s="641">
        <v>3002.45</v>
      </c>
      <c r="S90" s="641">
        <v>1032.21</v>
      </c>
      <c r="T90" s="99"/>
      <c r="U90" s="103">
        <f t="shared" si="44"/>
        <v>0</v>
      </c>
      <c r="V90" s="146"/>
      <c r="W90" s="146"/>
      <c r="X90" s="143"/>
      <c r="Y90" s="768"/>
      <c r="Z90" s="143"/>
      <c r="AA90" s="143"/>
      <c r="AB90" s="143"/>
      <c r="AC90" s="143"/>
      <c r="AD90" s="143"/>
      <c r="AE90" s="143"/>
      <c r="AF90" s="143"/>
      <c r="AG90" s="143"/>
      <c r="AH90" s="143"/>
      <c r="AI90" s="103">
        <f t="shared" si="37"/>
        <v>0</v>
      </c>
      <c r="AJ90" s="134">
        <v>6278.55</v>
      </c>
      <c r="AK90" s="134"/>
      <c r="AL90" s="136"/>
      <c r="AM90" s="105">
        <f t="shared" si="38"/>
        <v>0</v>
      </c>
      <c r="AN90" s="1744">
        <v>194.34</v>
      </c>
      <c r="AO90" s="1745"/>
      <c r="AP90" s="1745"/>
      <c r="AQ90" s="1746"/>
      <c r="AR90" s="224">
        <f t="shared" si="39"/>
        <v>0</v>
      </c>
      <c r="AS90" s="1751">
        <v>3822.7</v>
      </c>
      <c r="AT90" s="1752"/>
      <c r="AU90" s="1753"/>
      <c r="AV90" s="1753"/>
      <c r="AW90" s="1753"/>
      <c r="AX90" s="1753"/>
      <c r="AY90" s="1754"/>
      <c r="AZ90" s="1753"/>
      <c r="BA90" s="1753"/>
      <c r="BB90" s="1753"/>
      <c r="BC90" s="1752"/>
      <c r="BD90" s="222">
        <f t="shared" si="40"/>
        <v>0</v>
      </c>
      <c r="BE90" s="140">
        <f t="shared" si="41"/>
        <v>0</v>
      </c>
      <c r="BF90" s="132"/>
      <c r="BG90" s="140">
        <f t="shared" si="42"/>
        <v>0</v>
      </c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30">
        <f t="shared" si="43"/>
        <v>0</v>
      </c>
      <c r="BV90" s="132"/>
    </row>
    <row r="91" ht="14.25" customHeight="1">
      <c r="A91" s="132"/>
      <c r="B91" s="512">
        <v>46100</v>
      </c>
      <c r="C91" s="133">
        <f>25510.42-D91-0</f>
      </c>
      <c r="D91" s="134">
        <v>2901.02</v>
      </c>
      <c r="E91" s="135"/>
      <c r="F91" s="135"/>
      <c r="G91" s="147">
        <f t="shared" si="35"/>
        <v>0</v>
      </c>
      <c r="H91" s="742"/>
      <c r="I91" s="746"/>
      <c r="J91" s="744"/>
      <c r="K91" s="744"/>
      <c r="L91" s="747">
        <v>780.04</v>
      </c>
      <c r="M91" s="745"/>
      <c r="N91" s="745"/>
      <c r="O91" s="747">
        <v>340.79</v>
      </c>
      <c r="P91" s="641">
        <v>459.57</v>
      </c>
      <c r="Q91" s="99"/>
      <c r="R91" s="641">
        <v>6000.48</v>
      </c>
      <c r="S91" s="641">
        <v>3118.03</v>
      </c>
      <c r="T91" s="99"/>
      <c r="U91" s="103">
        <f t="shared" si="44"/>
        <v>0</v>
      </c>
      <c r="V91" s="146"/>
      <c r="W91" s="146"/>
      <c r="X91" s="143"/>
      <c r="Y91" s="768"/>
      <c r="Z91" s="143"/>
      <c r="AA91" s="143"/>
      <c r="AB91" s="143"/>
      <c r="AC91" s="143"/>
      <c r="AD91" s="143"/>
      <c r="AE91" s="143"/>
      <c r="AF91" s="143"/>
      <c r="AG91" s="143"/>
      <c r="AH91" s="143"/>
      <c r="AI91" s="103">
        <f t="shared" si="37"/>
        <v>0</v>
      </c>
      <c r="AJ91" s="134">
        <v>6570.57</v>
      </c>
      <c r="AK91" s="134">
        <v>737.45</v>
      </c>
      <c r="AL91" s="136"/>
      <c r="AM91" s="105">
        <f t="shared" si="38"/>
        <v>0</v>
      </c>
      <c r="AN91" s="1744">
        <v>523.44</v>
      </c>
      <c r="AO91" s="1745"/>
      <c r="AP91" s="1745"/>
      <c r="AQ91" s="1746"/>
      <c r="AR91" s="224">
        <f t="shared" si="39"/>
        <v>0</v>
      </c>
      <c r="AS91" s="1751">
        <v>5240</v>
      </c>
      <c r="AT91" s="1752"/>
      <c r="AU91" s="1753"/>
      <c r="AV91" s="1753"/>
      <c r="AW91" s="1753"/>
      <c r="AX91" s="1753"/>
      <c r="AY91" s="1754">
        <v>1738</v>
      </c>
      <c r="AZ91" s="1753"/>
      <c r="BA91" s="1753"/>
      <c r="BB91" s="1753"/>
      <c r="BC91" s="1752"/>
      <c r="BD91" s="222">
        <f t="shared" si="40"/>
        <v>0</v>
      </c>
      <c r="BE91" s="140">
        <f t="shared" si="41"/>
        <v>0</v>
      </c>
      <c r="BF91" s="132"/>
      <c r="BG91" s="140">
        <f t="shared" si="42"/>
        <v>0</v>
      </c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30">
        <f t="shared" si="43"/>
        <v>0</v>
      </c>
      <c r="BV91" s="132"/>
    </row>
    <row r="92" ht="14.25" customHeight="1">
      <c r="A92" s="132"/>
      <c r="B92" s="512">
        <v>46101</v>
      </c>
      <c r="C92" s="133">
        <f>22272.41-D92-0</f>
      </c>
      <c r="D92" s="134">
        <v>2623.52</v>
      </c>
      <c r="E92" s="135"/>
      <c r="F92" s="135"/>
      <c r="G92" s="147">
        <f t="shared" si="35"/>
        <v>0</v>
      </c>
      <c r="H92" s="742"/>
      <c r="I92" s="746"/>
      <c r="J92" s="744"/>
      <c r="K92" s="744"/>
      <c r="L92" s="747">
        <v>318.03</v>
      </c>
      <c r="M92" s="745"/>
      <c r="N92" s="745"/>
      <c r="O92" s="745">
        <v>223.98</v>
      </c>
      <c r="P92" s="641"/>
      <c r="Q92" s="99"/>
      <c r="R92" s="641">
        <v>5367.62</v>
      </c>
      <c r="S92" s="641">
        <v>940.24</v>
      </c>
      <c r="T92" s="99"/>
      <c r="U92" s="103">
        <f t="shared" si="44"/>
        <v>0</v>
      </c>
      <c r="V92" s="146"/>
      <c r="W92" s="146"/>
      <c r="X92" s="143"/>
      <c r="Y92" s="768"/>
      <c r="Z92" s="143"/>
      <c r="AA92" s="143"/>
      <c r="AB92" s="143"/>
      <c r="AC92" s="143"/>
      <c r="AD92" s="143"/>
      <c r="AE92" s="143"/>
      <c r="AF92" s="143"/>
      <c r="AG92" s="143"/>
      <c r="AH92" s="143"/>
      <c r="AI92" s="103">
        <f t="shared" si="37"/>
        <v>0</v>
      </c>
      <c r="AJ92" s="134">
        <v>7069.87</v>
      </c>
      <c r="AK92" s="134">
        <v>894.42</v>
      </c>
      <c r="AL92" s="136"/>
      <c r="AM92" s="105">
        <f t="shared" si="38"/>
        <v>0</v>
      </c>
      <c r="AN92" s="1744">
        <v>184.61</v>
      </c>
      <c r="AO92" s="1745"/>
      <c r="AP92" s="1745"/>
      <c r="AQ92" s="1746"/>
      <c r="AR92" s="224">
        <f t="shared" si="39"/>
        <v>0</v>
      </c>
      <c r="AS92" s="1751">
        <v>5739.5</v>
      </c>
      <c r="AT92" s="1752"/>
      <c r="AU92" s="1753"/>
      <c r="AV92" s="1753"/>
      <c r="AW92" s="1753"/>
      <c r="AX92" s="1753"/>
      <c r="AY92" s="1754">
        <v>1532</v>
      </c>
      <c r="AZ92" s="1753"/>
      <c r="BA92" s="1753"/>
      <c r="BB92" s="1753"/>
      <c r="BC92" s="1752"/>
      <c r="BD92" s="222">
        <f t="shared" si="40"/>
        <v>0</v>
      </c>
      <c r="BE92" s="140">
        <f t="shared" si="41"/>
        <v>0</v>
      </c>
      <c r="BF92" s="132"/>
      <c r="BG92" s="140">
        <f t="shared" si="42"/>
        <v>0</v>
      </c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30">
        <f t="shared" si="43"/>
        <v>0</v>
      </c>
      <c r="BV92" s="132"/>
    </row>
    <row r="93" ht="14.25" customHeight="1">
      <c r="A93" s="132"/>
      <c r="B93" s="512">
        <v>46102</v>
      </c>
      <c r="C93" s="133">
        <f>30397.41-D93-0</f>
      </c>
      <c r="D93" s="134">
        <v>3136.96</v>
      </c>
      <c r="E93" s="135"/>
      <c r="F93" s="135"/>
      <c r="G93" s="147">
        <f t="shared" si="35"/>
        <v>0</v>
      </c>
      <c r="H93" s="742"/>
      <c r="I93" s="746"/>
      <c r="J93" s="744"/>
      <c r="K93" s="782"/>
      <c r="L93" s="747">
        <v>818.83</v>
      </c>
      <c r="M93" s="745"/>
      <c r="N93" s="745"/>
      <c r="O93" s="747">
        <v>466.31</v>
      </c>
      <c r="P93" s="748">
        <v>350.43</v>
      </c>
      <c r="Q93" s="99"/>
      <c r="R93" s="748">
        <v>5788.92</v>
      </c>
      <c r="S93" s="641">
        <v>1694.93</v>
      </c>
      <c r="T93" s="99"/>
      <c r="U93" s="103">
        <f t="shared" si="44"/>
        <v>0</v>
      </c>
      <c r="V93" s="146"/>
      <c r="W93" s="146"/>
      <c r="X93" s="143"/>
      <c r="Y93" s="768"/>
      <c r="Z93" s="145"/>
      <c r="AA93" s="143"/>
      <c r="AB93" s="143"/>
      <c r="AC93" s="143"/>
      <c r="AD93" s="143"/>
      <c r="AE93" s="143"/>
      <c r="AF93" s="143"/>
      <c r="AG93" s="143"/>
      <c r="AH93" s="143"/>
      <c r="AI93" s="103">
        <f t="shared" si="37"/>
        <v>0</v>
      </c>
      <c r="AJ93" s="134">
        <v>8755.84</v>
      </c>
      <c r="AK93" s="134">
        <v>1354.29</v>
      </c>
      <c r="AL93" s="136"/>
      <c r="AM93" s="105">
        <f t="shared" si="38"/>
        <v>0</v>
      </c>
      <c r="AN93" s="1744">
        <v>307.9</v>
      </c>
      <c r="AO93" s="1745"/>
      <c r="AP93" s="1745"/>
      <c r="AQ93" s="1746"/>
      <c r="AR93" s="224">
        <f t="shared" si="39"/>
        <v>0</v>
      </c>
      <c r="AS93" s="1751">
        <v>6207</v>
      </c>
      <c r="AT93" s="1752"/>
      <c r="AU93" s="1753"/>
      <c r="AV93" s="1753"/>
      <c r="AW93" s="1753"/>
      <c r="AX93" s="1753"/>
      <c r="AY93" s="1754">
        <v>1781.5</v>
      </c>
      <c r="AZ93" s="1753"/>
      <c r="BA93" s="1753"/>
      <c r="BB93" s="1753"/>
      <c r="BC93" s="1752"/>
      <c r="BD93" s="222">
        <f t="shared" si="40"/>
        <v>0</v>
      </c>
      <c r="BE93" s="140">
        <f t="shared" si="41"/>
        <v>0</v>
      </c>
      <c r="BF93" s="132"/>
      <c r="BG93" s="140">
        <f t="shared" si="42"/>
        <v>0</v>
      </c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30">
        <f t="shared" si="43"/>
        <v>0</v>
      </c>
      <c r="BV93" s="132"/>
    </row>
    <row r="94" ht="14.25" customHeight="1">
      <c r="A94" s="132"/>
      <c r="B94" s="512">
        <v>46103</v>
      </c>
      <c r="C94" s="133">
        <f>20870.32-D94-0</f>
      </c>
      <c r="D94" s="134">
        <v>6520.09</v>
      </c>
      <c r="E94" s="135"/>
      <c r="F94" s="135"/>
      <c r="G94" s="147">
        <f t="shared" si="35"/>
        <v>0</v>
      </c>
      <c r="H94" s="742"/>
      <c r="I94" s="746"/>
      <c r="J94" s="744"/>
      <c r="K94" s="744"/>
      <c r="L94" s="745"/>
      <c r="M94" s="745"/>
      <c r="N94" s="745"/>
      <c r="O94" s="745"/>
      <c r="P94" s="641"/>
      <c r="Q94" s="99"/>
      <c r="R94" s="748">
        <v>2112.53</v>
      </c>
      <c r="S94" s="641"/>
      <c r="T94" s="99"/>
      <c r="U94" s="103">
        <f t="shared" si="44"/>
        <v>0</v>
      </c>
      <c r="V94" s="146"/>
      <c r="W94" s="146"/>
      <c r="X94" s="143"/>
      <c r="Y94" s="768"/>
      <c r="Z94" s="143"/>
      <c r="AA94" s="143"/>
      <c r="AB94" s="143"/>
      <c r="AC94" s="143"/>
      <c r="AD94" s="143"/>
      <c r="AE94" s="143"/>
      <c r="AF94" s="143"/>
      <c r="AG94" s="143"/>
      <c r="AH94" s="143"/>
      <c r="AI94" s="103">
        <f t="shared" si="37"/>
        <v>0</v>
      </c>
      <c r="AJ94" s="134">
        <v>5064.81</v>
      </c>
      <c r="AK94" s="134">
        <v>1748.11</v>
      </c>
      <c r="AL94" s="136"/>
      <c r="AM94" s="105">
        <f t="shared" si="38"/>
        <v>0</v>
      </c>
      <c r="AN94" s="1745"/>
      <c r="AO94" s="1745"/>
      <c r="AP94" s="1745"/>
      <c r="AQ94" s="1746"/>
      <c r="AR94" s="224">
        <f t="shared" si="39"/>
        <v>0</v>
      </c>
      <c r="AS94" s="1751">
        <v>7172</v>
      </c>
      <c r="AT94" s="1752"/>
      <c r="AU94" s="1753"/>
      <c r="AV94" s="1753"/>
      <c r="AW94" s="1753"/>
      <c r="AX94" s="1753"/>
      <c r="AY94" s="1754">
        <v>4771</v>
      </c>
      <c r="AZ94" s="1753"/>
      <c r="BA94" s="1753"/>
      <c r="BB94" s="1753"/>
      <c r="BC94" s="1752"/>
      <c r="BD94" s="222">
        <f t="shared" si="40"/>
        <v>0</v>
      </c>
      <c r="BE94" s="140">
        <f t="shared" si="41"/>
        <v>0</v>
      </c>
      <c r="BF94" s="132"/>
      <c r="BG94" s="140">
        <f t="shared" si="42"/>
        <v>0</v>
      </c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30">
        <f t="shared" si="43"/>
        <v>0</v>
      </c>
      <c r="BV94" s="132"/>
    </row>
    <row r="95" ht="14.25" customHeight="1">
      <c r="A95" s="132"/>
      <c r="B95" s="512">
        <v>46104</v>
      </c>
      <c r="C95" s="133">
        <f>22502.36-D95-0</f>
      </c>
      <c r="D95" s="134">
        <v>4704.2</v>
      </c>
      <c r="E95" s="135"/>
      <c r="F95" s="135"/>
      <c r="G95" s="147">
        <f t="shared" si="35"/>
        <v>0</v>
      </c>
      <c r="H95" s="742"/>
      <c r="I95" s="746"/>
      <c r="J95" s="744"/>
      <c r="K95" s="744"/>
      <c r="L95" s="745"/>
      <c r="M95" s="745"/>
      <c r="N95" s="745"/>
      <c r="O95" s="745">
        <v>845.7</v>
      </c>
      <c r="P95" s="748">
        <v>80.09</v>
      </c>
      <c r="Q95" s="99"/>
      <c r="R95" s="641">
        <v>3483.42</v>
      </c>
      <c r="S95" s="748">
        <v>975.04</v>
      </c>
      <c r="T95" s="99"/>
      <c r="U95" s="103">
        <f t="shared" si="44"/>
        <v>0</v>
      </c>
      <c r="V95" s="146"/>
      <c r="W95" s="780"/>
      <c r="X95" s="231"/>
      <c r="Y95" s="768"/>
      <c r="Z95" s="143"/>
      <c r="AA95" s="143"/>
      <c r="AB95" s="143"/>
      <c r="AC95" s="143"/>
      <c r="AD95" s="143"/>
      <c r="AE95" s="143"/>
      <c r="AF95" s="143"/>
      <c r="AG95" s="143"/>
      <c r="AH95" s="143"/>
      <c r="AI95" s="103">
        <f t="shared" si="37"/>
        <v>0</v>
      </c>
      <c r="AJ95" s="134">
        <v>6665.69</v>
      </c>
      <c r="AK95" s="134">
        <v>1552.54</v>
      </c>
      <c r="AL95" s="136"/>
      <c r="AM95" s="105">
        <f t="shared" si="38"/>
        <v>0</v>
      </c>
      <c r="AN95" s="1744">
        <v>179.81</v>
      </c>
      <c r="AO95" s="1745"/>
      <c r="AP95" s="1745"/>
      <c r="AQ95" s="1746"/>
      <c r="AR95" s="224">
        <f t="shared" si="39"/>
        <v>0</v>
      </c>
      <c r="AS95" s="1751">
        <v>5851</v>
      </c>
      <c r="AT95" s="1752"/>
      <c r="AU95" s="1753"/>
      <c r="AV95" s="1753"/>
      <c r="AW95" s="1753"/>
      <c r="AX95" s="1753"/>
      <c r="AY95" s="1754">
        <v>2867</v>
      </c>
      <c r="AZ95" s="1753"/>
      <c r="BA95" s="1753"/>
      <c r="BB95" s="1753"/>
      <c r="BC95" s="1752"/>
      <c r="BD95" s="222">
        <f t="shared" si="40"/>
        <v>0</v>
      </c>
      <c r="BE95" s="140">
        <f t="shared" si="41"/>
        <v>0</v>
      </c>
      <c r="BF95" s="132"/>
      <c r="BG95" s="140">
        <f t="shared" si="42"/>
        <v>0</v>
      </c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30">
        <f t="shared" si="43"/>
        <v>0</v>
      </c>
      <c r="BV95" s="132"/>
    </row>
    <row r="96" ht="14.25" customHeight="1">
      <c r="A96" s="132"/>
      <c r="B96" s="512">
        <v>46105</v>
      </c>
      <c r="C96" s="133">
        <f>28154.80-D96-0</f>
      </c>
      <c r="D96" s="134">
        <v>3287.76</v>
      </c>
      <c r="E96" s="135"/>
      <c r="F96" s="135"/>
      <c r="G96" s="147">
        <f t="shared" si="35"/>
        <v>0</v>
      </c>
      <c r="H96" s="742"/>
      <c r="I96" s="746"/>
      <c r="J96" s="744"/>
      <c r="K96" s="744"/>
      <c r="L96" s="747">
        <v>1149.85</v>
      </c>
      <c r="M96" s="745"/>
      <c r="N96" s="745"/>
      <c r="O96" s="745">
        <v>313.76</v>
      </c>
      <c r="P96" s="748">
        <v>365.62</v>
      </c>
      <c r="Q96" s="99"/>
      <c r="R96" s="641">
        <v>5353.21</v>
      </c>
      <c r="S96" s="641">
        <v>2932.05</v>
      </c>
      <c r="T96" s="99"/>
      <c r="U96" s="103">
        <f t="shared" si="44"/>
        <v>0</v>
      </c>
      <c r="V96" s="146"/>
      <c r="W96" s="780"/>
      <c r="X96" s="231"/>
      <c r="Y96" s="768"/>
      <c r="Z96" s="145"/>
      <c r="AA96" s="143"/>
      <c r="AB96" s="143"/>
      <c r="AC96" s="143"/>
      <c r="AD96" s="143"/>
      <c r="AE96" s="143"/>
      <c r="AF96" s="143"/>
      <c r="AG96" s="143"/>
      <c r="AH96" s="143"/>
      <c r="AI96" s="103">
        <f t="shared" si="37"/>
        <v>0</v>
      </c>
      <c r="AJ96" s="134">
        <v>7657</v>
      </c>
      <c r="AK96" s="134">
        <v>941.79</v>
      </c>
      <c r="AL96" s="136"/>
      <c r="AM96" s="105">
        <f t="shared" si="38"/>
        <v>0</v>
      </c>
      <c r="AN96" s="1744">
        <v>299.17</v>
      </c>
      <c r="AO96" s="1745"/>
      <c r="AP96" s="1745"/>
      <c r="AQ96" s="1746"/>
      <c r="AR96" s="224">
        <f t="shared" si="39"/>
        <v>0</v>
      </c>
      <c r="AS96" s="1751">
        <v>6320</v>
      </c>
      <c r="AT96" s="1752"/>
      <c r="AU96" s="1753"/>
      <c r="AV96" s="1753"/>
      <c r="AW96" s="1753"/>
      <c r="AX96" s="1753"/>
      <c r="AY96" s="1754">
        <v>2344</v>
      </c>
      <c r="AZ96" s="1753"/>
      <c r="BA96" s="1753"/>
      <c r="BB96" s="1753"/>
      <c r="BC96" s="1752"/>
      <c r="BD96" s="222">
        <f t="shared" si="40"/>
        <v>0</v>
      </c>
      <c r="BE96" s="140">
        <f t="shared" si="41"/>
        <v>0</v>
      </c>
      <c r="BF96" s="132"/>
      <c r="BG96" s="140">
        <f t="shared" si="42"/>
        <v>0</v>
      </c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30">
        <f t="shared" si="43"/>
        <v>0</v>
      </c>
      <c r="BV96" s="132"/>
    </row>
    <row r="97" ht="14.25" customHeight="1">
      <c r="A97" s="132"/>
      <c r="B97" s="512">
        <v>46106</v>
      </c>
      <c r="C97" s="133">
        <f>32239.29-D97-0</f>
      </c>
      <c r="D97" s="134">
        <v>2649.94</v>
      </c>
      <c r="E97" s="135"/>
      <c r="F97" s="135"/>
      <c r="G97" s="147">
        <f t="shared" si="35"/>
        <v>0</v>
      </c>
      <c r="H97" s="742"/>
      <c r="I97" s="746"/>
      <c r="J97" s="744"/>
      <c r="K97" s="744"/>
      <c r="L97" s="745"/>
      <c r="M97" s="745"/>
      <c r="N97" s="745"/>
      <c r="O97" s="745">
        <v>10012.21</v>
      </c>
      <c r="P97" s="748">
        <v>349.38</v>
      </c>
      <c r="Q97" s="99"/>
      <c r="R97" s="641">
        <v>3465.19</v>
      </c>
      <c r="S97" s="641">
        <v>1968.62</v>
      </c>
      <c r="T97" s="99"/>
      <c r="U97" s="103">
        <f t="shared" si="44"/>
        <v>0</v>
      </c>
      <c r="V97" s="146"/>
      <c r="W97" s="146"/>
      <c r="X97" s="143"/>
      <c r="Y97" s="768"/>
      <c r="Z97" s="143"/>
      <c r="AA97" s="143"/>
      <c r="AB97" s="143"/>
      <c r="AC97" s="143"/>
      <c r="AD97" s="143"/>
      <c r="AE97" s="143"/>
      <c r="AF97" s="143"/>
      <c r="AG97" s="143"/>
      <c r="AH97" s="143"/>
      <c r="AI97" s="103">
        <f t="shared" si="37"/>
        <v>0</v>
      </c>
      <c r="AJ97" s="134">
        <v>5831.47</v>
      </c>
      <c r="AK97" s="134">
        <v>902.5</v>
      </c>
      <c r="AL97" s="136"/>
      <c r="AM97" s="105">
        <f t="shared" si="38"/>
        <v>0</v>
      </c>
      <c r="AN97" s="1744">
        <v>183.02</v>
      </c>
      <c r="AO97" s="1745"/>
      <c r="AP97" s="1745"/>
      <c r="AQ97" s="1746"/>
      <c r="AR97" s="224">
        <f t="shared" si="39"/>
        <v>0</v>
      </c>
      <c r="AS97" s="1751">
        <v>8005</v>
      </c>
      <c r="AT97" s="1752"/>
      <c r="AU97" s="1753"/>
      <c r="AV97" s="1753"/>
      <c r="AW97" s="1753"/>
      <c r="AX97" s="1753"/>
      <c r="AY97" s="1754">
        <v>1519</v>
      </c>
      <c r="AZ97" s="1753"/>
      <c r="BA97" s="1753"/>
      <c r="BB97" s="1753"/>
      <c r="BC97" s="1752"/>
      <c r="BD97" s="222">
        <f t="shared" si="40"/>
        <v>0</v>
      </c>
      <c r="BE97" s="140">
        <f t="shared" si="41"/>
        <v>0</v>
      </c>
      <c r="BF97" s="132"/>
      <c r="BG97" s="140">
        <f t="shared" si="42"/>
        <v>0</v>
      </c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30">
        <f t="shared" si="43"/>
        <v>0</v>
      </c>
      <c r="BV97" s="132"/>
    </row>
    <row r="98" ht="14.25" customHeight="1">
      <c r="A98" s="132"/>
      <c r="B98" s="512">
        <v>46107</v>
      </c>
      <c r="C98" s="133">
        <f>32870.18-D98-0</f>
      </c>
      <c r="D98" s="134">
        <v>2801.04</v>
      </c>
      <c r="E98" s="135"/>
      <c r="F98" s="135"/>
      <c r="G98" s="147">
        <f t="shared" si="35"/>
        <v>0</v>
      </c>
      <c r="H98" s="742"/>
      <c r="I98" s="746"/>
      <c r="J98" s="744"/>
      <c r="K98" s="744"/>
      <c r="L98" s="747">
        <v>877.11</v>
      </c>
      <c r="M98" s="745"/>
      <c r="N98" s="745"/>
      <c r="O98" s="745">
        <v>4798.83</v>
      </c>
      <c r="P98" s="641">
        <v>228</v>
      </c>
      <c r="Q98" s="99"/>
      <c r="R98" s="641">
        <v>2240.48</v>
      </c>
      <c r="S98" s="641">
        <v>3960.69</v>
      </c>
      <c r="T98" s="99"/>
      <c r="U98" s="103">
        <f t="shared" si="44"/>
        <v>0</v>
      </c>
      <c r="V98" s="146"/>
      <c r="W98" s="146"/>
      <c r="X98" s="143"/>
      <c r="Y98" s="768"/>
      <c r="Z98" s="143"/>
      <c r="AA98" s="143"/>
      <c r="AB98" s="143"/>
      <c r="AC98" s="143"/>
      <c r="AD98" s="143"/>
      <c r="AE98" s="143"/>
      <c r="AF98" s="143"/>
      <c r="AG98" s="143"/>
      <c r="AH98" s="145"/>
      <c r="AI98" s="103">
        <f t="shared" si="37"/>
        <v>0</v>
      </c>
      <c r="AJ98" s="134">
        <v>9080.1</v>
      </c>
      <c r="AK98" s="134">
        <v>862.71</v>
      </c>
      <c r="AL98" s="136"/>
      <c r="AM98" s="105">
        <f t="shared" si="38"/>
        <v>0</v>
      </c>
      <c r="AN98" s="1744">
        <v>342.08</v>
      </c>
      <c r="AO98" s="1745"/>
      <c r="AP98" s="1745"/>
      <c r="AQ98" s="1746"/>
      <c r="AR98" s="224">
        <f t="shared" si="39"/>
        <v>0</v>
      </c>
      <c r="AS98" s="1751">
        <v>8402</v>
      </c>
      <c r="AT98" s="1752"/>
      <c r="AU98" s="1753"/>
      <c r="AV98" s="1753"/>
      <c r="AW98" s="1753"/>
      <c r="AX98" s="1753"/>
      <c r="AY98" s="1754">
        <v>1779</v>
      </c>
      <c r="AZ98" s="1753"/>
      <c r="BA98" s="1753"/>
      <c r="BB98" s="1753"/>
      <c r="BC98" s="1752"/>
      <c r="BD98" s="222">
        <f t="shared" si="40"/>
        <v>0</v>
      </c>
      <c r="BE98" s="140">
        <f t="shared" si="41"/>
        <v>0</v>
      </c>
      <c r="BF98" s="132"/>
      <c r="BG98" s="140">
        <f t="shared" si="42"/>
        <v>0</v>
      </c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/>
      <c r="BS98" s="141">
        <v>108.03</v>
      </c>
      <c r="BT98" s="141"/>
      <c r="BU98" s="130">
        <f t="shared" si="43"/>
        <v>0</v>
      </c>
      <c r="BV98" s="132"/>
    </row>
    <row r="99" ht="14.25" customHeight="1">
      <c r="A99" s="132"/>
      <c r="B99" s="512">
        <v>46108</v>
      </c>
      <c r="C99" s="133">
        <f>25968.54-D99-0</f>
      </c>
      <c r="D99" s="134">
        <v>3175.53</v>
      </c>
      <c r="E99" s="135"/>
      <c r="F99" s="135"/>
      <c r="G99" s="147">
        <f t="shared" si="35"/>
        <v>0</v>
      </c>
      <c r="H99" s="742"/>
      <c r="I99" s="746"/>
      <c r="J99" s="744"/>
      <c r="K99" s="744"/>
      <c r="L99" s="747">
        <v>1587.64</v>
      </c>
      <c r="M99" s="745"/>
      <c r="N99" s="745"/>
      <c r="O99" s="747">
        <v>330.74</v>
      </c>
      <c r="P99" s="641"/>
      <c r="Q99" s="99"/>
      <c r="R99" s="641">
        <v>1881.41</v>
      </c>
      <c r="S99" s="748">
        <v>627.98</v>
      </c>
      <c r="T99" s="99"/>
      <c r="U99" s="103">
        <f t="shared" si="44"/>
        <v>0</v>
      </c>
      <c r="V99" s="146"/>
      <c r="W99" s="146"/>
      <c r="X99" s="143"/>
      <c r="Y99" s="768"/>
      <c r="Z99" s="143"/>
      <c r="AA99" s="143"/>
      <c r="AB99" s="143"/>
      <c r="AC99" s="143"/>
      <c r="AD99" s="143"/>
      <c r="AE99" s="143"/>
      <c r="AF99" s="143"/>
      <c r="AG99" s="143"/>
      <c r="AH99" s="143"/>
      <c r="AI99" s="103">
        <f t="shared" si="37"/>
        <v>0</v>
      </c>
      <c r="AJ99" s="134">
        <v>8467.7</v>
      </c>
      <c r="AK99" s="134">
        <v>940.67</v>
      </c>
      <c r="AL99" s="136"/>
      <c r="AM99" s="105">
        <f t="shared" si="38"/>
        <v>0</v>
      </c>
      <c r="AN99" s="1744">
        <v>76.81</v>
      </c>
      <c r="AO99" s="1745"/>
      <c r="AP99" s="1745"/>
      <c r="AQ99" s="1746"/>
      <c r="AR99" s="224">
        <f t="shared" si="39"/>
        <v>0</v>
      </c>
      <c r="AS99" s="1751">
        <v>9820</v>
      </c>
      <c r="AT99" s="1752"/>
      <c r="AU99" s="1753"/>
      <c r="AV99" s="1753"/>
      <c r="AW99" s="1753"/>
      <c r="AX99" s="1753"/>
      <c r="AY99" s="1754">
        <v>2233</v>
      </c>
      <c r="AZ99" s="1753"/>
      <c r="BA99" s="1753"/>
      <c r="BB99" s="1753"/>
      <c r="BC99" s="1752"/>
      <c r="BD99" s="222">
        <f t="shared" si="40"/>
        <v>0</v>
      </c>
      <c r="BE99" s="140">
        <f t="shared" si="41"/>
        <v>0</v>
      </c>
      <c r="BF99" s="132"/>
      <c r="BG99" s="140">
        <f t="shared" si="42"/>
        <v>0</v>
      </c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30">
        <f t="shared" si="43"/>
        <v>0</v>
      </c>
      <c r="BV99" s="132"/>
    </row>
    <row r="100" ht="14.25" customHeight="1">
      <c r="A100" s="132"/>
      <c r="B100" s="512">
        <v>46109</v>
      </c>
      <c r="C100" s="133">
        <f>23304.41-D100-0</f>
      </c>
      <c r="D100" s="134">
        <v>2778.32</v>
      </c>
      <c r="E100" s="135"/>
      <c r="F100" s="135"/>
      <c r="G100" s="147">
        <f t="shared" si="35"/>
        <v>0</v>
      </c>
      <c r="H100" s="742"/>
      <c r="I100" s="746"/>
      <c r="J100" s="744"/>
      <c r="K100" s="744"/>
      <c r="L100" s="745"/>
      <c r="M100" s="745"/>
      <c r="N100" s="745"/>
      <c r="O100" s="747">
        <v>341.26</v>
      </c>
      <c r="P100" s="641">
        <v>443.18</v>
      </c>
      <c r="Q100" s="99"/>
      <c r="R100" s="641">
        <v>4740.98</v>
      </c>
      <c r="S100" s="641">
        <v>1833.15</v>
      </c>
      <c r="T100" s="99"/>
      <c r="U100" s="103">
        <f t="shared" si="44"/>
        <v>0</v>
      </c>
      <c r="V100" s="146"/>
      <c r="W100" s="146"/>
      <c r="X100" s="143"/>
      <c r="Y100" s="768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03">
        <f t="shared" si="37"/>
        <v>0</v>
      </c>
      <c r="AJ100" s="134">
        <v>5635.96</v>
      </c>
      <c r="AK100" s="134">
        <v>920.94</v>
      </c>
      <c r="AL100" s="136"/>
      <c r="AM100" s="105">
        <f t="shared" si="38"/>
        <v>0</v>
      </c>
      <c r="AN100" s="1744">
        <v>266.96</v>
      </c>
      <c r="AO100" s="1745"/>
      <c r="AP100" s="1745"/>
      <c r="AQ100" s="1746"/>
      <c r="AR100" s="224">
        <f t="shared" si="39"/>
        <v>0</v>
      </c>
      <c r="AS100" s="1751">
        <v>7336</v>
      </c>
      <c r="AT100" s="1752"/>
      <c r="AU100" s="1753"/>
      <c r="AV100" s="1753"/>
      <c r="AW100" s="1753"/>
      <c r="AX100" s="1753"/>
      <c r="AY100" s="1754">
        <v>1783</v>
      </c>
      <c r="AZ100" s="1753"/>
      <c r="BA100" s="1753"/>
      <c r="BB100" s="1753"/>
      <c r="BC100" s="1752"/>
      <c r="BD100" s="222">
        <f t="shared" si="40"/>
        <v>0</v>
      </c>
      <c r="BE100" s="140">
        <f t="shared" si="41"/>
        <v>0</v>
      </c>
      <c r="BF100" s="132"/>
      <c r="BG100" s="140">
        <f t="shared" si="42"/>
        <v>0</v>
      </c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30">
        <f t="shared" si="43"/>
        <v>0</v>
      </c>
      <c r="BV100" s="132"/>
    </row>
    <row r="101" ht="14.25" customHeight="1">
      <c r="A101" s="132"/>
      <c r="B101" s="512">
        <v>46110</v>
      </c>
      <c r="C101" s="133">
        <f>16613.31-D101-0</f>
      </c>
      <c r="D101" s="134">
        <v>2827.35</v>
      </c>
      <c r="E101" s="135"/>
      <c r="F101" s="135"/>
      <c r="G101" s="147">
        <f t="shared" si="35"/>
        <v>0</v>
      </c>
      <c r="H101" s="742"/>
      <c r="I101" s="746"/>
      <c r="J101" s="744"/>
      <c r="K101" s="744"/>
      <c r="L101" s="745"/>
      <c r="M101" s="745"/>
      <c r="N101" s="745"/>
      <c r="O101" s="747">
        <v>156.68</v>
      </c>
      <c r="P101" s="641"/>
      <c r="Q101" s="99"/>
      <c r="R101" s="641">
        <v>763.54</v>
      </c>
      <c r="S101" s="641"/>
      <c r="T101" s="99"/>
      <c r="U101" s="103">
        <f t="shared" si="44"/>
        <v>0</v>
      </c>
      <c r="V101" s="146"/>
      <c r="W101" s="146"/>
      <c r="X101" s="143"/>
      <c r="Y101" s="768"/>
      <c r="Z101" s="143"/>
      <c r="AA101" s="143"/>
      <c r="AB101" s="143"/>
      <c r="AC101" s="143"/>
      <c r="AD101" s="143"/>
      <c r="AE101" s="143"/>
      <c r="AF101" s="143"/>
      <c r="AG101" s="143"/>
      <c r="AH101" s="143"/>
      <c r="AI101" s="103">
        <f t="shared" si="37"/>
        <v>0</v>
      </c>
      <c r="AJ101" s="134">
        <v>6191.69</v>
      </c>
      <c r="AK101" s="134">
        <v>1118.14</v>
      </c>
      <c r="AL101" s="136"/>
      <c r="AM101" s="105">
        <f t="shared" si="38"/>
        <v>0</v>
      </c>
      <c r="AN101" s="1745"/>
      <c r="AO101" s="1745"/>
      <c r="AP101" s="1745"/>
      <c r="AQ101" s="1746"/>
      <c r="AR101" s="224">
        <f t="shared" si="39"/>
        <v>0</v>
      </c>
      <c r="AS101" s="1751">
        <v>6673</v>
      </c>
      <c r="AT101" s="1752"/>
      <c r="AU101" s="1753"/>
      <c r="AV101" s="1753"/>
      <c r="AW101" s="1753"/>
      <c r="AX101" s="1753"/>
      <c r="AY101" s="1754">
        <v>1707</v>
      </c>
      <c r="AZ101" s="1753"/>
      <c r="BA101" s="1753"/>
      <c r="BB101" s="1753"/>
      <c r="BC101" s="1752"/>
      <c r="BD101" s="222">
        <f t="shared" si="40"/>
        <v>0</v>
      </c>
      <c r="BE101" s="140">
        <f t="shared" si="41"/>
        <v>0</v>
      </c>
      <c r="BF101" s="132"/>
      <c r="BG101" s="140">
        <f t="shared" si="42"/>
        <v>0</v>
      </c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30">
        <f t="shared" si="43"/>
        <v>0</v>
      </c>
      <c r="BV101" s="132"/>
    </row>
    <row r="102" ht="14.25" customHeight="1">
      <c r="A102" s="132"/>
      <c r="B102" s="512">
        <v>46111</v>
      </c>
      <c r="C102" s="133">
        <f>24674.07-D102-0</f>
      </c>
      <c r="D102" s="134">
        <v>2550.81</v>
      </c>
      <c r="E102" s="135"/>
      <c r="F102" s="135"/>
      <c r="G102" s="147">
        <f t="shared" si="35"/>
        <v>0</v>
      </c>
      <c r="H102" s="742"/>
      <c r="I102" s="746"/>
      <c r="J102" s="744"/>
      <c r="K102" s="744"/>
      <c r="L102" s="745"/>
      <c r="M102" s="745"/>
      <c r="N102" s="745"/>
      <c r="O102" s="747">
        <v>624.11</v>
      </c>
      <c r="P102" s="748">
        <v>348.01</v>
      </c>
      <c r="Q102" s="99"/>
      <c r="R102" s="641">
        <v>3007.66</v>
      </c>
      <c r="S102" s="641">
        <v>1707.59</v>
      </c>
      <c r="T102" s="99"/>
      <c r="U102" s="103">
        <f t="shared" si="44"/>
        <v>0</v>
      </c>
      <c r="V102" s="146"/>
      <c r="W102" s="146"/>
      <c r="X102" s="143"/>
      <c r="Y102" s="768"/>
      <c r="Z102" s="145"/>
      <c r="AA102" s="143"/>
      <c r="AB102" s="143"/>
      <c r="AC102" s="143"/>
      <c r="AD102" s="143"/>
      <c r="AE102" s="143"/>
      <c r="AF102" s="143"/>
      <c r="AG102" s="143"/>
      <c r="AH102" s="143"/>
      <c r="AI102" s="103">
        <f t="shared" si="37"/>
        <v>0</v>
      </c>
      <c r="AJ102" s="134">
        <v>7846.3</v>
      </c>
      <c r="AK102" s="134">
        <v>1001.17</v>
      </c>
      <c r="AL102" s="136"/>
      <c r="AM102" s="105">
        <f t="shared" si="38"/>
        <v>0</v>
      </c>
      <c r="AN102" s="1744">
        <v>251.6</v>
      </c>
      <c r="AO102" s="1745"/>
      <c r="AP102" s="1745"/>
      <c r="AQ102" s="1746"/>
      <c r="AR102" s="224">
        <f t="shared" si="39"/>
        <v>0</v>
      </c>
      <c r="AS102" s="1751">
        <v>8331</v>
      </c>
      <c r="AT102" s="1752"/>
      <c r="AU102" s="1753"/>
      <c r="AV102" s="1753"/>
      <c r="AW102" s="1753"/>
      <c r="AX102" s="1753"/>
      <c r="AY102" s="1754">
        <v>1354</v>
      </c>
      <c r="AZ102" s="1753"/>
      <c r="BA102" s="1753"/>
      <c r="BB102" s="1753"/>
      <c r="BC102" s="1752"/>
      <c r="BD102" s="222">
        <f t="shared" si="40"/>
        <v>0</v>
      </c>
      <c r="BE102" s="140">
        <f t="shared" si="41"/>
        <v>0</v>
      </c>
      <c r="BF102" s="132"/>
      <c r="BG102" s="140">
        <f t="shared" si="42"/>
        <v>0</v>
      </c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30">
        <f t="shared" si="43"/>
        <v>0</v>
      </c>
      <c r="BV102" s="132"/>
    </row>
    <row r="103" ht="14.25" customHeight="1">
      <c r="A103" s="132"/>
      <c r="B103" s="512">
        <v>46112</v>
      </c>
      <c r="C103" s="133">
        <f>18904.89-D103-0</f>
      </c>
      <c r="D103" s="134">
        <v>2249.51</v>
      </c>
      <c r="E103" s="156"/>
      <c r="F103" s="156"/>
      <c r="G103" s="147">
        <f t="shared" si="35"/>
        <v>0</v>
      </c>
      <c r="H103" s="742"/>
      <c r="I103" s="783"/>
      <c r="J103" s="784"/>
      <c r="K103" s="784"/>
      <c r="L103" s="785"/>
      <c r="M103" s="785"/>
      <c r="N103" s="785"/>
      <c r="O103" s="786">
        <v>106.6</v>
      </c>
      <c r="P103" s="658"/>
      <c r="Q103" s="657"/>
      <c r="R103" s="658">
        <v>3815.79</v>
      </c>
      <c r="S103" s="658">
        <v>585.08</v>
      </c>
      <c r="T103" s="657"/>
      <c r="U103" s="103">
        <f t="shared" si="44"/>
        <v>0</v>
      </c>
      <c r="V103" s="160"/>
      <c r="W103" s="780"/>
      <c r="X103" s="787"/>
      <c r="Y103" s="788"/>
      <c r="Z103" s="158"/>
      <c r="AA103" s="157"/>
      <c r="AB103" s="157"/>
      <c r="AC103" s="157"/>
      <c r="AD103" s="157"/>
      <c r="AE103" s="157"/>
      <c r="AF103" s="157"/>
      <c r="AG103" s="157"/>
      <c r="AH103" s="157"/>
      <c r="AI103" s="103">
        <f t="shared" si="37"/>
        <v>0</v>
      </c>
      <c r="AJ103" s="154">
        <v>6409.43</v>
      </c>
      <c r="AK103" s="154">
        <v>723.07</v>
      </c>
      <c r="AL103" s="159"/>
      <c r="AM103" s="105">
        <f t="shared" si="38"/>
        <v>0</v>
      </c>
      <c r="AN103" s="1748">
        <v>97.21</v>
      </c>
      <c r="AO103" s="1749"/>
      <c r="AP103" s="1749"/>
      <c r="AQ103" s="1750"/>
      <c r="AR103" s="224">
        <f t="shared" si="39"/>
        <v>0</v>
      </c>
      <c r="AS103" s="1756">
        <v>5070</v>
      </c>
      <c r="AT103" s="1757"/>
      <c r="AU103" s="1753"/>
      <c r="AV103" s="1753"/>
      <c r="AW103" s="1753"/>
      <c r="AX103" s="1753"/>
      <c r="AY103" s="1758">
        <v>1435</v>
      </c>
      <c r="AZ103" s="1753"/>
      <c r="BA103" s="1753"/>
      <c r="BB103" s="1753"/>
      <c r="BC103" s="1757"/>
      <c r="BD103" s="222">
        <f t="shared" si="40"/>
        <v>0</v>
      </c>
      <c r="BE103" s="162">
        <f t="shared" si="41"/>
        <v>0</v>
      </c>
      <c r="BF103" s="132"/>
      <c r="BG103" s="162">
        <f t="shared" si="42"/>
        <v>0</v>
      </c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41"/>
      <c r="BR103" s="789"/>
      <c r="BS103" s="163">
        <v>560</v>
      </c>
      <c r="BT103" s="163"/>
      <c r="BU103" s="164">
        <f t="shared" si="43"/>
        <v>0</v>
      </c>
      <c r="BV103" s="132"/>
    </row>
    <row r="104" ht="14.25" customHeight="1">
      <c r="A104" s="3"/>
      <c r="B104" s="2" t="s">
        <v>77</v>
      </c>
      <c r="C104" s="755">
        <f ref="C104:I104" t="shared" si="45">SUM(C76:C103)</f>
        <v>0</v>
      </c>
      <c r="D104" s="755">
        <f t="shared" si="45"/>
        <v>0</v>
      </c>
      <c r="E104" s="755">
        <f t="shared" si="45"/>
        <v>0</v>
      </c>
      <c r="F104" s="755">
        <f t="shared" si="45"/>
        <v>0</v>
      </c>
      <c r="G104" s="755">
        <f t="shared" si="45"/>
        <v>0</v>
      </c>
      <c r="H104" s="755">
        <f t="shared" si="45"/>
        <v>0</v>
      </c>
      <c r="I104" s="755">
        <f t="shared" si="45"/>
        <v>0</v>
      </c>
      <c r="J104" s="755"/>
      <c r="K104" s="755">
        <f ref="K104:L104" t="shared" si="46">SUM(K76:K103)</f>
        <v>0</v>
      </c>
      <c r="L104" s="755">
        <f t="shared" si="46"/>
        <v>0</v>
      </c>
      <c r="M104" s="755"/>
      <c r="N104" s="755">
        <f ref="N104:V104" t="shared" si="47">SUM(N76:N103)</f>
        <v>0</v>
      </c>
      <c r="O104" s="755">
        <f t="shared" si="47"/>
        <v>0</v>
      </c>
      <c r="P104" s="755">
        <f t="shared" si="47"/>
        <v>0</v>
      </c>
      <c r="Q104" s="755">
        <f t="shared" si="47"/>
        <v>0</v>
      </c>
      <c r="R104" s="755">
        <f t="shared" si="47"/>
        <v>0</v>
      </c>
      <c r="S104" s="755">
        <f t="shared" si="47"/>
        <v>0</v>
      </c>
      <c r="T104" s="755">
        <f t="shared" si="47"/>
        <v>0</v>
      </c>
      <c r="U104" s="755">
        <f t="shared" si="47"/>
        <v>0</v>
      </c>
      <c r="V104" s="755">
        <f t="shared" si="47"/>
        <v>0</v>
      </c>
      <c r="W104" s="755"/>
      <c r="X104" s="755">
        <f ref="X104:AI104" t="shared" si="48">SUM(X76:X103)</f>
        <v>0</v>
      </c>
      <c r="Y104" s="755">
        <f t="shared" si="48"/>
        <v>0</v>
      </c>
      <c r="Z104" s="755">
        <f t="shared" si="48"/>
        <v>0</v>
      </c>
      <c r="AA104" s="755">
        <f t="shared" si="48"/>
        <v>0</v>
      </c>
      <c r="AB104" s="755">
        <f t="shared" si="48"/>
        <v>0</v>
      </c>
      <c r="AC104" s="755">
        <f t="shared" si="48"/>
        <v>0</v>
      </c>
      <c r="AD104" s="755">
        <f t="shared" si="48"/>
        <v>0</v>
      </c>
      <c r="AE104" s="755">
        <f t="shared" si="48"/>
        <v>0</v>
      </c>
      <c r="AF104" s="755">
        <f t="shared" si="48"/>
        <v>0</v>
      </c>
      <c r="AG104" s="755">
        <f t="shared" si="48"/>
        <v>0</v>
      </c>
      <c r="AH104" s="755">
        <f t="shared" si="48"/>
        <v>0</v>
      </c>
      <c r="AI104" s="755">
        <f t="shared" si="48"/>
        <v>0</v>
      </c>
      <c r="AJ104" s="755">
        <f ref="AJ104:AN104" t="shared" si="49">SUM(AJ73:AJ103)</f>
        <v>0</v>
      </c>
      <c r="AK104" s="755">
        <f t="shared" si="49"/>
        <v>0</v>
      </c>
      <c r="AL104" s="755">
        <f t="shared" si="49"/>
        <v>0</v>
      </c>
      <c r="AM104" s="755">
        <f t="shared" si="49"/>
        <v>0</v>
      </c>
      <c r="AN104" s="755">
        <f t="shared" si="49"/>
        <v>0</v>
      </c>
      <c r="AO104" s="755">
        <f ref="AO104:BE104" t="shared" si="50">SUM(AO76:AO103)</f>
        <v>0</v>
      </c>
      <c r="AP104" s="755">
        <f t="shared" si="50"/>
        <v>0</v>
      </c>
      <c r="AQ104" s="755">
        <f t="shared" si="50"/>
        <v>0</v>
      </c>
      <c r="AR104" s="755">
        <f t="shared" si="50"/>
        <v>0</v>
      </c>
      <c r="AS104" s="756">
        <f t="shared" si="50"/>
        <v>0</v>
      </c>
      <c r="AT104" s="757">
        <f t="shared" si="50"/>
        <v>0</v>
      </c>
      <c r="AU104" s="757">
        <f t="shared" si="50"/>
        <v>0</v>
      </c>
      <c r="AV104" s="757">
        <f t="shared" si="50"/>
        <v>0</v>
      </c>
      <c r="AW104" s="757">
        <f t="shared" si="50"/>
        <v>0</v>
      </c>
      <c r="AX104" s="757">
        <f t="shared" si="50"/>
        <v>0</v>
      </c>
      <c r="AY104" s="757">
        <f t="shared" si="50"/>
        <v>0</v>
      </c>
      <c r="AZ104" s="757">
        <f t="shared" si="50"/>
        <v>0</v>
      </c>
      <c r="BA104" s="757">
        <f t="shared" si="50"/>
        <v>0</v>
      </c>
      <c r="BB104" s="757">
        <f t="shared" si="50"/>
        <v>0</v>
      </c>
      <c r="BC104" s="757">
        <f t="shared" si="50"/>
        <v>0</v>
      </c>
      <c r="BD104" s="755">
        <f t="shared" si="50"/>
        <v>0</v>
      </c>
      <c r="BE104" s="771">
        <f t="shared" si="50"/>
        <v>0</v>
      </c>
      <c r="BF104" s="235"/>
      <c r="BG104" s="755">
        <f ref="BG104:BU104" t="shared" si="51">SUM(BG76:BG103)</f>
        <v>0</v>
      </c>
      <c r="BH104" s="755">
        <f t="shared" si="51"/>
        <v>0</v>
      </c>
      <c r="BI104" s="755">
        <f t="shared" si="51"/>
        <v>0</v>
      </c>
      <c r="BJ104" s="755">
        <f t="shared" si="51"/>
        <v>0</v>
      </c>
      <c r="BK104" s="755">
        <f t="shared" si="51"/>
        <v>0</v>
      </c>
      <c r="BL104" s="755">
        <f t="shared" si="51"/>
        <v>0</v>
      </c>
      <c r="BM104" s="755">
        <f t="shared" si="51"/>
        <v>0</v>
      </c>
      <c r="BN104" s="755">
        <f t="shared" si="51"/>
        <v>0</v>
      </c>
      <c r="BO104" s="755">
        <f t="shared" si="51"/>
        <v>0</v>
      </c>
      <c r="BP104" s="755">
        <f t="shared" si="51"/>
        <v>0</v>
      </c>
      <c r="BQ104" s="755">
        <f t="shared" si="51"/>
        <v>0</v>
      </c>
      <c r="BR104" s="755">
        <f t="shared" si="51"/>
        <v>0</v>
      </c>
      <c r="BS104" s="755">
        <f t="shared" si="51"/>
        <v>0</v>
      </c>
      <c r="BT104" s="755">
        <f t="shared" si="51"/>
        <v>0</v>
      </c>
      <c r="BU104" s="771">
        <f t="shared" si="51"/>
        <v>0</v>
      </c>
      <c r="BV104" s="235"/>
    </row>
    <row r="105" ht="14.25" customHeight="1">
      <c r="A105" s="1"/>
      <c r="B105" s="2"/>
      <c r="C105" s="3"/>
      <c r="D105" s="3"/>
      <c r="E105" s="3"/>
      <c r="F105" s="3"/>
      <c r="G105" s="4"/>
      <c r="H105" s="4"/>
      <c r="I105" s="1"/>
      <c r="J105" s="758"/>
      <c r="K105" s="758"/>
      <c r="L105" s="758"/>
      <c r="M105" s="758"/>
      <c r="N105" s="758"/>
      <c r="O105" s="758"/>
      <c r="P105" s="3"/>
      <c r="Q105" s="3"/>
      <c r="R105" s="1"/>
      <c r="S105" s="1"/>
      <c r="T105" s="3"/>
      <c r="U105" s="3"/>
      <c r="V105" s="3"/>
      <c r="W105" s="132"/>
      <c r="X105" s="132"/>
      <c r="Y105" s="1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4"/>
      <c r="AN105" s="3"/>
      <c r="AO105" s="3"/>
      <c r="AP105" s="3"/>
      <c r="AQ105" s="3"/>
      <c r="AR105" s="4"/>
      <c r="AS105" s="380"/>
      <c r="AT105" s="132"/>
      <c r="AU105" s="132"/>
      <c r="AV105" s="3"/>
      <c r="AW105" s="3"/>
      <c r="AX105" s="3"/>
      <c r="AY105" s="132"/>
      <c r="AZ105" s="132"/>
      <c r="BA105" s="132"/>
      <c r="BB105" s="132"/>
      <c r="BC105" s="132"/>
      <c r="BD105" s="4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ht="14.25" customHeight="1">
      <c r="A106" s="1"/>
      <c r="B106" s="2"/>
      <c r="C106" s="3"/>
      <c r="D106" s="3"/>
      <c r="E106" s="3"/>
      <c r="F106" s="3"/>
      <c r="G106" s="4"/>
      <c r="H106" s="4"/>
      <c r="I106" s="1"/>
      <c r="J106" s="758"/>
      <c r="K106" s="758"/>
      <c r="L106" s="758"/>
      <c r="M106" s="758"/>
      <c r="N106" s="758"/>
      <c r="O106" s="758"/>
      <c r="P106" s="3"/>
      <c r="Q106" s="3"/>
      <c r="R106" s="1"/>
      <c r="S106" s="1"/>
      <c r="T106" s="3"/>
      <c r="U106" s="3"/>
      <c r="V106" s="3"/>
      <c r="W106" s="132"/>
      <c r="X106" s="132"/>
      <c r="Y106" s="1"/>
      <c r="Z106" s="3"/>
      <c r="AA106" s="3"/>
      <c r="AB106" s="3"/>
      <c r="AC106" s="3"/>
      <c r="AD106" s="3"/>
      <c r="AE106" s="3"/>
      <c r="AF106" s="3"/>
      <c r="AG106" s="3"/>
      <c r="AH106" s="3"/>
      <c r="AI106" s="176"/>
      <c r="AJ106" s="3"/>
      <c r="AK106" s="3"/>
      <c r="AL106" s="3"/>
      <c r="AM106" s="4"/>
      <c r="AN106" s="3"/>
      <c r="AO106" s="3"/>
      <c r="AP106" s="3"/>
      <c r="AQ106" s="3"/>
      <c r="AR106" s="177"/>
      <c r="AS106" s="790"/>
      <c r="AT106" s="4"/>
      <c r="AU106" s="4"/>
      <c r="AV106" s="4"/>
      <c r="AW106" s="4"/>
      <c r="AX106" s="4"/>
      <c r="AY106" s="4"/>
      <c r="AZ106" s="4"/>
      <c r="BA106" s="4"/>
      <c r="BB106" s="132"/>
      <c r="BC106" s="132"/>
      <c r="BD106" s="177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ht="14.25" customHeight="1">
      <c r="A107" s="132"/>
      <c r="B107" s="791">
        <v>46113</v>
      </c>
      <c r="C107" s="180">
        <f>26515.91-D107-0</f>
      </c>
      <c r="D107" s="181">
        <v>2755.36</v>
      </c>
      <c r="E107" s="182"/>
      <c r="F107" s="182"/>
      <c r="G107" s="265">
        <f ref="G107:G136" t="shared" si="52">+C107+D107+E107+F107</f>
        <v>0</v>
      </c>
      <c r="H107" s="792">
        <v>250</v>
      </c>
      <c r="I107" s="778"/>
      <c r="J107" s="793"/>
      <c r="K107" s="793"/>
      <c r="L107" s="794">
        <v>964.31</v>
      </c>
      <c r="M107" s="795"/>
      <c r="N107" s="795"/>
      <c r="O107" s="795"/>
      <c r="P107" s="186">
        <v>378.64</v>
      </c>
      <c r="Q107" s="186"/>
      <c r="R107" s="619">
        <v>3946.18</v>
      </c>
      <c r="S107" s="796">
        <v>2584.59</v>
      </c>
      <c r="T107" s="186"/>
      <c r="U107" s="103">
        <f>SUM(H107:T107)</f>
        <v>0</v>
      </c>
      <c r="V107" s="193"/>
      <c r="W107" s="193"/>
      <c r="X107" s="186"/>
      <c r="Y107" s="778"/>
      <c r="Z107" s="186"/>
      <c r="AA107" s="186"/>
      <c r="AB107" s="186"/>
      <c r="AC107" s="186"/>
      <c r="AD107" s="186"/>
      <c r="AE107" s="186"/>
      <c r="AF107" s="186"/>
      <c r="AG107" s="186"/>
      <c r="AH107" s="188"/>
      <c r="AI107" s="103">
        <f ref="AI107:AI134" t="shared" si="53">SUM(V107:AH107)</f>
        <v>0</v>
      </c>
      <c r="AJ107" s="181">
        <v>8235</v>
      </c>
      <c r="AK107" s="181">
        <v>1100.2</v>
      </c>
      <c r="AL107" s="190"/>
      <c r="AM107" s="191">
        <f ref="AM107:AM136" t="shared" si="54">SUM(AJ107:AL107)</f>
        <v>0</v>
      </c>
      <c r="AN107" s="188">
        <v>222.31</v>
      </c>
      <c r="AO107" s="186"/>
      <c r="AP107" s="186"/>
      <c r="AQ107" s="193"/>
      <c r="AR107" s="219">
        <f ref="AR107:AR136" t="shared" si="55">+G107-U107-AI107-AM107-AN107-AO107-AP107-AQ107</f>
        <v>0</v>
      </c>
      <c r="AS107" s="271">
        <v>7177</v>
      </c>
      <c r="AT107" s="109"/>
      <c r="AU107" s="127"/>
      <c r="AV107" s="127"/>
      <c r="AW107" s="127"/>
      <c r="AX107" s="127"/>
      <c r="AY107" s="271">
        <v>1598</v>
      </c>
      <c r="AZ107" s="127"/>
      <c r="BA107" s="127"/>
      <c r="BB107" s="127"/>
      <c r="BC107" s="109"/>
      <c r="BD107" s="222">
        <f ref="BD107:BD136" t="shared" si="56">SUM(AS107:BC107)-BB107</f>
        <v>0</v>
      </c>
      <c r="BE107" s="195">
        <f ref="BE107:BE136" t="shared" si="57">+AR107-BD107</f>
        <v>0</v>
      </c>
      <c r="BF107" s="132"/>
      <c r="BG107" s="195">
        <f ref="BG107:BG136" t="shared" si="58">SUM(BH107:BT107)</f>
        <v>0</v>
      </c>
      <c r="BH107" s="196"/>
      <c r="BI107" s="196"/>
      <c r="BJ107" s="196"/>
      <c r="BK107" s="196"/>
      <c r="BL107" s="196"/>
      <c r="BM107" s="196"/>
      <c r="BN107" s="196"/>
      <c r="BO107" s="196"/>
      <c r="BP107" s="196"/>
      <c r="BQ107" s="196"/>
      <c r="BR107" s="196"/>
      <c r="BS107" s="196"/>
      <c r="BT107" s="196"/>
      <c r="BU107" s="116">
        <f ref="BU107:BU136" t="shared" si="59">+BE107-BG107</f>
        <v>0</v>
      </c>
      <c r="BV107" s="132"/>
    </row>
    <row r="108" ht="14.25" customHeight="1">
      <c r="A108" s="132"/>
      <c r="B108" s="791">
        <v>46114</v>
      </c>
      <c r="C108" s="133">
        <f>20335.81-D108-0</f>
      </c>
      <c r="D108" s="134">
        <v>3189.38</v>
      </c>
      <c r="E108" s="135"/>
      <c r="F108" s="135"/>
      <c r="G108" s="147">
        <f t="shared" si="52"/>
        <v>0</v>
      </c>
      <c r="H108" s="797"/>
      <c r="I108" s="768"/>
      <c r="J108" s="798"/>
      <c r="K108" s="798"/>
      <c r="L108" s="799"/>
      <c r="M108" s="799"/>
      <c r="N108" s="799"/>
      <c r="O108" s="800">
        <v>464.88</v>
      </c>
      <c r="P108" s="799">
        <v>638.17</v>
      </c>
      <c r="Q108" s="143"/>
      <c r="R108" s="611">
        <v>2083.37</v>
      </c>
      <c r="S108" s="611"/>
      <c r="T108" s="143"/>
      <c r="U108" s="103">
        <f>SUM(I108:T108)</f>
        <v>0</v>
      </c>
      <c r="V108" s="146"/>
      <c r="W108" s="146"/>
      <c r="X108" s="143"/>
      <c r="Y108" s="768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03">
        <f t="shared" si="53"/>
        <v>0</v>
      </c>
      <c r="AJ108" s="134">
        <v>8841.11</v>
      </c>
      <c r="AK108" s="134">
        <v>1005.44</v>
      </c>
      <c r="AL108" s="136"/>
      <c r="AM108" s="105">
        <f t="shared" si="54"/>
        <v>0</v>
      </c>
      <c r="AN108" s="143"/>
      <c r="AO108" s="143"/>
      <c r="AP108" s="143"/>
      <c r="AQ108" s="146"/>
      <c r="AR108" s="224">
        <f t="shared" si="55"/>
        <v>0</v>
      </c>
      <c r="AS108" s="229">
        <v>5207</v>
      </c>
      <c r="AT108" s="126"/>
      <c r="AU108" s="127"/>
      <c r="AV108" s="127"/>
      <c r="AW108" s="127"/>
      <c r="AX108" s="127"/>
      <c r="AY108" s="229">
        <v>2093</v>
      </c>
      <c r="AZ108" s="127"/>
      <c r="BA108" s="127"/>
      <c r="BB108" s="127"/>
      <c r="BC108" s="126"/>
      <c r="BD108" s="222">
        <f t="shared" si="56"/>
        <v>0</v>
      </c>
      <c r="BE108" s="140">
        <f t="shared" si="57"/>
        <v>0</v>
      </c>
      <c r="BF108" s="132"/>
      <c r="BG108" s="140">
        <f t="shared" si="58"/>
        <v>0</v>
      </c>
      <c r="BH108" s="141"/>
      <c r="BI108" s="141"/>
      <c r="BJ108" s="141"/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30">
        <f t="shared" si="59"/>
        <v>0</v>
      </c>
      <c r="BV108" s="132"/>
    </row>
    <row r="109" ht="14.25" customHeight="1">
      <c r="A109" s="132"/>
      <c r="B109" s="791">
        <v>46115</v>
      </c>
      <c r="C109" s="133">
        <f>19703.64-D109-0</f>
      </c>
      <c r="D109" s="134">
        <v>3014.47</v>
      </c>
      <c r="E109" s="135"/>
      <c r="F109" s="135"/>
      <c r="G109" s="147">
        <f t="shared" si="52"/>
        <v>0</v>
      </c>
      <c r="H109" s="797"/>
      <c r="I109" s="768"/>
      <c r="J109" s="798"/>
      <c r="K109" s="798"/>
      <c r="L109" s="799"/>
      <c r="M109" s="799"/>
      <c r="N109" s="799"/>
      <c r="O109" s="799">
        <v>364.06</v>
      </c>
      <c r="P109" s="143"/>
      <c r="Q109" s="143"/>
      <c r="R109" s="801">
        <v>96.1</v>
      </c>
      <c r="S109" s="611"/>
      <c r="T109" s="143"/>
      <c r="U109" s="103">
        <f>SUM(H109:T109)</f>
        <v>0</v>
      </c>
      <c r="V109" s="146"/>
      <c r="W109" s="146"/>
      <c r="X109" s="143"/>
      <c r="Y109" s="768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03">
        <f t="shared" si="53"/>
        <v>0</v>
      </c>
      <c r="AJ109" s="134">
        <v>7224.96</v>
      </c>
      <c r="AK109" s="134">
        <v>1284.77</v>
      </c>
      <c r="AL109" s="136"/>
      <c r="AM109" s="105">
        <f t="shared" si="54"/>
        <v>0</v>
      </c>
      <c r="AN109" s="143"/>
      <c r="AO109" s="143"/>
      <c r="AP109" s="143"/>
      <c r="AQ109" s="146"/>
      <c r="AR109" s="224">
        <f t="shared" si="55"/>
        <v>0</v>
      </c>
      <c r="AS109" s="229">
        <v>9179</v>
      </c>
      <c r="AT109" s="126"/>
      <c r="AU109" s="127"/>
      <c r="AV109" s="127"/>
      <c r="AW109" s="127"/>
      <c r="AX109" s="127"/>
      <c r="AY109" s="229">
        <v>1552</v>
      </c>
      <c r="AZ109" s="127"/>
      <c r="BA109" s="127"/>
      <c r="BB109" s="127"/>
      <c r="BC109" s="126"/>
      <c r="BD109" s="222">
        <f t="shared" si="56"/>
        <v>0</v>
      </c>
      <c r="BE109" s="140">
        <f t="shared" si="57"/>
        <v>0</v>
      </c>
      <c r="BF109" s="132"/>
      <c r="BG109" s="140">
        <f t="shared" si="58"/>
        <v>0</v>
      </c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30">
        <f t="shared" si="59"/>
        <v>0</v>
      </c>
      <c r="BV109" s="132"/>
    </row>
    <row r="110" ht="14.25" customHeight="1">
      <c r="A110" s="132"/>
      <c r="B110" s="791">
        <v>46116</v>
      </c>
      <c r="C110" s="133">
        <f>21513.24-D110-0</f>
      </c>
      <c r="D110" s="134">
        <v>3394.52</v>
      </c>
      <c r="E110" s="135"/>
      <c r="F110" s="135"/>
      <c r="G110" s="147">
        <f t="shared" si="52"/>
        <v>0</v>
      </c>
      <c r="H110" s="797"/>
      <c r="I110" s="768"/>
      <c r="J110" s="798"/>
      <c r="K110" s="798"/>
      <c r="L110" s="799"/>
      <c r="M110" s="799"/>
      <c r="N110" s="799"/>
      <c r="O110" s="800">
        <v>327.75</v>
      </c>
      <c r="P110" s="143"/>
      <c r="Q110" s="143"/>
      <c r="R110" s="611">
        <v>1962.82</v>
      </c>
      <c r="S110" s="611"/>
      <c r="T110" s="143"/>
      <c r="U110" s="103">
        <f ref="U110:U136" t="shared" si="60">SUM(I110:T110)</f>
        <v>0</v>
      </c>
      <c r="V110" s="146"/>
      <c r="W110" s="146"/>
      <c r="X110" s="143"/>
      <c r="Y110" s="768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03">
        <f t="shared" si="53"/>
        <v>0</v>
      </c>
      <c r="AJ110" s="134">
        <v>8528.13</v>
      </c>
      <c r="AK110" s="134">
        <v>1303.68</v>
      </c>
      <c r="AL110" s="136"/>
      <c r="AM110" s="105">
        <f t="shared" si="54"/>
        <v>0</v>
      </c>
      <c r="AN110" s="143"/>
      <c r="AO110" s="143"/>
      <c r="AP110" s="143"/>
      <c r="AQ110" s="146"/>
      <c r="AR110" s="224">
        <f t="shared" si="55"/>
        <v>0</v>
      </c>
      <c r="AS110" s="229">
        <v>7300</v>
      </c>
      <c r="AT110" s="126"/>
      <c r="AU110" s="127"/>
      <c r="AV110" s="127"/>
      <c r="AW110" s="127"/>
      <c r="AX110" s="127"/>
      <c r="AY110" s="229">
        <v>2088</v>
      </c>
      <c r="AZ110" s="127"/>
      <c r="BA110" s="127"/>
      <c r="BB110" s="127"/>
      <c r="BC110" s="126"/>
      <c r="BD110" s="222">
        <f t="shared" si="56"/>
        <v>0</v>
      </c>
      <c r="BE110" s="140">
        <f t="shared" si="57"/>
        <v>0</v>
      </c>
      <c r="BF110" s="132"/>
      <c r="BG110" s="140">
        <f t="shared" si="58"/>
        <v>0</v>
      </c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30">
        <f t="shared" si="59"/>
        <v>0</v>
      </c>
      <c r="BV110" s="132"/>
    </row>
    <row r="111" ht="14.25" customHeight="1">
      <c r="A111" s="132"/>
      <c r="B111" s="791">
        <v>46117</v>
      </c>
      <c r="C111" s="133">
        <f>22204.84-D111-0</f>
      </c>
      <c r="D111" s="134">
        <v>2882.07</v>
      </c>
      <c r="E111" s="135"/>
      <c r="F111" s="135"/>
      <c r="G111" s="147">
        <f t="shared" si="52"/>
        <v>0</v>
      </c>
      <c r="H111" s="797"/>
      <c r="I111" s="768"/>
      <c r="J111" s="798"/>
      <c r="K111" s="798"/>
      <c r="L111" s="799"/>
      <c r="M111" s="799"/>
      <c r="N111" s="799"/>
      <c r="O111" s="799"/>
      <c r="P111" s="143"/>
      <c r="Q111" s="143"/>
      <c r="R111" s="801">
        <v>824.36</v>
      </c>
      <c r="S111" s="611"/>
      <c r="T111" s="143"/>
      <c r="U111" s="103">
        <f t="shared" si="60"/>
        <v>0</v>
      </c>
      <c r="V111" s="146"/>
      <c r="W111" s="146"/>
      <c r="X111" s="143"/>
      <c r="Y111" s="768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03">
        <f t="shared" si="53"/>
        <v>0</v>
      </c>
      <c r="AJ111" s="134">
        <v>9252.26</v>
      </c>
      <c r="AK111" s="134">
        <v>851.52</v>
      </c>
      <c r="AL111" s="136"/>
      <c r="AM111" s="105">
        <f t="shared" si="54"/>
        <v>0</v>
      </c>
      <c r="AN111" s="143"/>
      <c r="AO111" s="143"/>
      <c r="AP111" s="143"/>
      <c r="AQ111" s="146"/>
      <c r="AR111" s="224">
        <f t="shared" si="55"/>
        <v>0</v>
      </c>
      <c r="AS111" s="229">
        <v>9245</v>
      </c>
      <c r="AT111" s="126"/>
      <c r="AU111" s="127"/>
      <c r="AV111" s="127"/>
      <c r="AW111" s="127"/>
      <c r="AX111" s="127"/>
      <c r="AY111" s="229">
        <v>2029</v>
      </c>
      <c r="AZ111" s="127"/>
      <c r="BA111" s="127"/>
      <c r="BB111" s="127"/>
      <c r="BC111" s="126"/>
      <c r="BD111" s="222">
        <f t="shared" si="56"/>
        <v>0</v>
      </c>
      <c r="BE111" s="140">
        <f t="shared" si="57"/>
        <v>0</v>
      </c>
      <c r="BF111" s="132"/>
      <c r="BG111" s="140">
        <f t="shared" si="58"/>
        <v>0</v>
      </c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30">
        <f t="shared" si="59"/>
        <v>0</v>
      </c>
      <c r="BV111" s="132"/>
    </row>
    <row r="112" ht="14.25" customHeight="1">
      <c r="A112" s="132"/>
      <c r="B112" s="791">
        <v>46118</v>
      </c>
      <c r="C112" s="133">
        <f>26190.78-D112-0</f>
      </c>
      <c r="D112" s="134">
        <v>3186.35</v>
      </c>
      <c r="E112" s="135"/>
      <c r="F112" s="135"/>
      <c r="G112" s="147">
        <f t="shared" si="52"/>
        <v>0</v>
      </c>
      <c r="H112" s="797"/>
      <c r="I112" s="768"/>
      <c r="J112" s="798"/>
      <c r="K112" s="798"/>
      <c r="L112" s="800">
        <v>599.77</v>
      </c>
      <c r="M112" s="799"/>
      <c r="N112" s="799"/>
      <c r="O112" s="799">
        <v>519.17</v>
      </c>
      <c r="P112" s="143"/>
      <c r="Q112" s="143"/>
      <c r="R112" s="611">
        <v>3278.78</v>
      </c>
      <c r="S112" s="611">
        <v>1537.93</v>
      </c>
      <c r="T112" s="143"/>
      <c r="U112" s="103">
        <f t="shared" si="60"/>
        <v>0</v>
      </c>
      <c r="V112" s="146"/>
      <c r="W112" s="146"/>
      <c r="X112" s="143"/>
      <c r="Y112" s="768"/>
      <c r="Z112" s="143"/>
      <c r="AA112" s="143"/>
      <c r="AB112" s="143"/>
      <c r="AC112" s="143"/>
      <c r="AD112" s="143"/>
      <c r="AE112" s="143"/>
      <c r="AF112" s="143"/>
      <c r="AG112" s="145"/>
      <c r="AH112" s="143"/>
      <c r="AI112" s="103">
        <f t="shared" si="53"/>
        <v>0</v>
      </c>
      <c r="AJ112" s="134">
        <v>8320.88</v>
      </c>
      <c r="AK112" s="134">
        <v>915.61</v>
      </c>
      <c r="AL112" s="136"/>
      <c r="AM112" s="105">
        <f t="shared" si="54"/>
        <v>0</v>
      </c>
      <c r="AN112" s="145">
        <v>186.81</v>
      </c>
      <c r="AO112" s="143"/>
      <c r="AP112" s="143"/>
      <c r="AQ112" s="146"/>
      <c r="AR112" s="224">
        <f t="shared" si="55"/>
        <v>0</v>
      </c>
      <c r="AS112" s="229">
        <v>8632</v>
      </c>
      <c r="AT112" s="126"/>
      <c r="AU112" s="127"/>
      <c r="AV112" s="127"/>
      <c r="AW112" s="127"/>
      <c r="AX112" s="127"/>
      <c r="AY112" s="229">
        <v>2034</v>
      </c>
      <c r="AZ112" s="127"/>
      <c r="BA112" s="127"/>
      <c r="BB112" s="127"/>
      <c r="BC112" s="126"/>
      <c r="BD112" s="222">
        <f t="shared" si="56"/>
        <v>0</v>
      </c>
      <c r="BE112" s="140">
        <f t="shared" si="57"/>
        <v>0</v>
      </c>
      <c r="BF112" s="132"/>
      <c r="BG112" s="140">
        <f t="shared" si="58"/>
        <v>0</v>
      </c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30">
        <f t="shared" si="59"/>
        <v>0</v>
      </c>
      <c r="BV112" s="132"/>
    </row>
    <row r="113" ht="14.25" customHeight="1">
      <c r="A113" s="132"/>
      <c r="B113" s="791">
        <v>46119</v>
      </c>
      <c r="C113" s="132">
        <f>21144.23-D113-0</f>
      </c>
      <c r="D113" s="134">
        <v>2642.4</v>
      </c>
      <c r="E113" s="135"/>
      <c r="F113" s="135"/>
      <c r="G113" s="147">
        <f t="shared" si="52"/>
        <v>0</v>
      </c>
      <c r="H113" s="797"/>
      <c r="I113" s="768"/>
      <c r="J113" s="798"/>
      <c r="K113" s="798"/>
      <c r="L113" s="799">
        <v>1130.25</v>
      </c>
      <c r="M113" s="799"/>
      <c r="N113" s="799"/>
      <c r="O113" s="799">
        <v>313.6</v>
      </c>
      <c r="P113" s="143">
        <v>769.71</v>
      </c>
      <c r="Q113" s="143"/>
      <c r="R113" s="611">
        <v>2906.74</v>
      </c>
      <c r="S113" s="801">
        <v>282.23</v>
      </c>
      <c r="T113" s="143"/>
      <c r="U113" s="103">
        <f t="shared" si="60"/>
        <v>0</v>
      </c>
      <c r="V113" s="146"/>
      <c r="W113" s="146"/>
      <c r="X113" s="143"/>
      <c r="Y113" s="768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03">
        <f t="shared" si="53"/>
        <v>0</v>
      </c>
      <c r="AJ113" s="134">
        <v>6858.3</v>
      </c>
      <c r="AK113" s="134">
        <v>802.22</v>
      </c>
      <c r="AL113" s="136"/>
      <c r="AM113" s="105">
        <f t="shared" si="54"/>
        <v>0</v>
      </c>
      <c r="AN113" s="145">
        <v>47.71</v>
      </c>
      <c r="AO113" s="143"/>
      <c r="AP113" s="143"/>
      <c r="AQ113" s="146"/>
      <c r="AR113" s="224">
        <f t="shared" si="55"/>
        <v>0</v>
      </c>
      <c r="AS113" s="229">
        <v>6382</v>
      </c>
      <c r="AT113" s="126"/>
      <c r="AU113" s="127"/>
      <c r="AV113" s="127"/>
      <c r="AW113" s="127"/>
      <c r="AX113" s="127"/>
      <c r="AY113" s="229">
        <v>1649</v>
      </c>
      <c r="AZ113" s="127"/>
      <c r="BA113" s="127"/>
      <c r="BB113" s="127"/>
      <c r="BC113" s="126"/>
      <c r="BD113" s="222">
        <f t="shared" si="56"/>
        <v>0</v>
      </c>
      <c r="BE113" s="140">
        <f t="shared" si="57"/>
        <v>0</v>
      </c>
      <c r="BF113" s="132"/>
      <c r="BG113" s="140">
        <f t="shared" si="58"/>
        <v>0</v>
      </c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30">
        <f t="shared" si="59"/>
        <v>0</v>
      </c>
      <c r="BV113" s="132"/>
    </row>
    <row r="114" ht="14.25" customHeight="1">
      <c r="A114" s="132"/>
      <c r="B114" s="791">
        <v>46120</v>
      </c>
      <c r="C114" s="133">
        <f>27601.06-D114-0</f>
      </c>
      <c r="D114" s="134">
        <v>2512.5</v>
      </c>
      <c r="E114" s="135"/>
      <c r="F114" s="135"/>
      <c r="G114" s="147">
        <f t="shared" si="52"/>
        <v>0</v>
      </c>
      <c r="H114" s="797"/>
      <c r="I114" s="768"/>
      <c r="J114" s="798"/>
      <c r="K114" s="798"/>
      <c r="L114" s="800">
        <v>1024.2</v>
      </c>
      <c r="M114" s="799"/>
      <c r="N114" s="799"/>
      <c r="O114" s="799">
        <v>574.62</v>
      </c>
      <c r="P114" s="143">
        <v>144.98</v>
      </c>
      <c r="Q114" s="143"/>
      <c r="R114" s="611">
        <v>2511.7</v>
      </c>
      <c r="S114" s="611">
        <v>775.66</v>
      </c>
      <c r="T114" s="143"/>
      <c r="U114" s="103">
        <f t="shared" si="60"/>
        <v>0</v>
      </c>
      <c r="V114" s="146"/>
      <c r="W114" s="780"/>
      <c r="X114" s="231"/>
      <c r="Y114" s="768"/>
      <c r="Z114" s="143"/>
      <c r="AA114" s="143"/>
      <c r="AB114" s="143"/>
      <c r="AC114" s="143"/>
      <c r="AD114" s="143"/>
      <c r="AE114" s="143"/>
      <c r="AF114" s="143"/>
      <c r="AG114" s="145"/>
      <c r="AH114" s="145"/>
      <c r="AI114" s="103">
        <f t="shared" si="53"/>
        <v>0</v>
      </c>
      <c r="AJ114" s="134">
        <v>10356.88</v>
      </c>
      <c r="AK114" s="134">
        <v>854.89</v>
      </c>
      <c r="AL114" s="136"/>
      <c r="AM114" s="105">
        <f t="shared" si="54"/>
        <v>0</v>
      </c>
      <c r="AN114" s="145">
        <v>84.11</v>
      </c>
      <c r="AO114" s="143"/>
      <c r="AP114" s="143"/>
      <c r="AQ114" s="146"/>
      <c r="AR114" s="224">
        <f t="shared" si="55"/>
        <v>0</v>
      </c>
      <c r="AS114" s="229">
        <v>9629.6</v>
      </c>
      <c r="AT114" s="126"/>
      <c r="AU114" s="127"/>
      <c r="AV114" s="127"/>
      <c r="AW114" s="127"/>
      <c r="AX114" s="127"/>
      <c r="AY114" s="229">
        <v>1460</v>
      </c>
      <c r="AZ114" s="127"/>
      <c r="BA114" s="127"/>
      <c r="BB114" s="127"/>
      <c r="BC114" s="126"/>
      <c r="BD114" s="222">
        <f t="shared" si="56"/>
        <v>0</v>
      </c>
      <c r="BE114" s="140">
        <f t="shared" si="57"/>
        <v>0</v>
      </c>
      <c r="BF114" s="132"/>
      <c r="BG114" s="140">
        <f t="shared" si="58"/>
        <v>0</v>
      </c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30">
        <f t="shared" si="59"/>
        <v>0</v>
      </c>
      <c r="BV114" s="132"/>
    </row>
    <row r="115" ht="14.25" customHeight="1">
      <c r="A115" s="132"/>
      <c r="B115" s="791">
        <v>46121</v>
      </c>
      <c r="C115" s="133">
        <f>23746.07-D115-0</f>
      </c>
      <c r="D115" s="134">
        <v>2697.5</v>
      </c>
      <c r="E115" s="135"/>
      <c r="F115" s="135"/>
      <c r="G115" s="147">
        <f t="shared" si="52"/>
        <v>0</v>
      </c>
      <c r="H115" s="797"/>
      <c r="I115" s="768"/>
      <c r="J115" s="798"/>
      <c r="K115" s="798"/>
      <c r="L115" s="799"/>
      <c r="M115" s="799"/>
      <c r="N115" s="799"/>
      <c r="O115" s="799">
        <v>218.09</v>
      </c>
      <c r="P115" s="143">
        <v>506.54</v>
      </c>
      <c r="Q115" s="143"/>
      <c r="R115" s="611">
        <v>4068.89</v>
      </c>
      <c r="S115" s="801">
        <v>288.19</v>
      </c>
      <c r="T115" s="143"/>
      <c r="U115" s="103">
        <f t="shared" si="60"/>
        <v>0</v>
      </c>
      <c r="V115" s="146"/>
      <c r="W115" s="802"/>
      <c r="X115" s="611"/>
      <c r="Y115" s="768"/>
      <c r="Z115" s="143"/>
      <c r="AA115" s="143"/>
      <c r="AB115" s="143"/>
      <c r="AC115" s="143"/>
      <c r="AD115" s="143"/>
      <c r="AE115" s="143"/>
      <c r="AF115" s="143"/>
      <c r="AG115" s="145"/>
      <c r="AH115" s="143"/>
      <c r="AI115" s="103">
        <f t="shared" si="53"/>
        <v>0</v>
      </c>
      <c r="AJ115" s="134">
        <v>7664.88</v>
      </c>
      <c r="AK115" s="134">
        <v>765.95</v>
      </c>
      <c r="AL115" s="136"/>
      <c r="AM115" s="105">
        <f t="shared" si="54"/>
        <v>0</v>
      </c>
      <c r="AN115" s="145">
        <v>41.7</v>
      </c>
      <c r="AO115" s="143"/>
      <c r="AP115" s="143"/>
      <c r="AQ115" s="146"/>
      <c r="AR115" s="224">
        <f t="shared" si="55"/>
        <v>0</v>
      </c>
      <c r="AS115" s="229">
        <v>7905</v>
      </c>
      <c r="AT115" s="126"/>
      <c r="AU115" s="127"/>
      <c r="AV115" s="127"/>
      <c r="AW115" s="127"/>
      <c r="AX115" s="127"/>
      <c r="AY115" s="229">
        <v>1645</v>
      </c>
      <c r="AZ115" s="127"/>
      <c r="BA115" s="127"/>
      <c r="BB115" s="127"/>
      <c r="BC115" s="126"/>
      <c r="BD115" s="222">
        <f t="shared" si="56"/>
        <v>0</v>
      </c>
      <c r="BE115" s="140">
        <f t="shared" si="57"/>
        <v>0</v>
      </c>
      <c r="BF115" s="132"/>
      <c r="BG115" s="140">
        <f t="shared" si="58"/>
        <v>0</v>
      </c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30">
        <f t="shared" si="59"/>
        <v>0</v>
      </c>
      <c r="BV115" s="132"/>
    </row>
    <row r="116" ht="14.25" customHeight="1">
      <c r="A116" s="132"/>
      <c r="B116" s="791">
        <v>46122</v>
      </c>
      <c r="C116" s="133">
        <f>29800.27-D116-0</f>
      </c>
      <c r="D116" s="134">
        <v>2628.33</v>
      </c>
      <c r="E116" s="135"/>
      <c r="F116" s="135"/>
      <c r="G116" s="147">
        <f t="shared" si="52"/>
        <v>0</v>
      </c>
      <c r="H116" s="797"/>
      <c r="I116" s="768"/>
      <c r="J116" s="798"/>
      <c r="K116" s="798"/>
      <c r="L116" s="800">
        <v>816.75</v>
      </c>
      <c r="M116" s="799"/>
      <c r="N116" s="799"/>
      <c r="O116" s="799">
        <v>777.16</v>
      </c>
      <c r="P116" s="145">
        <v>26.48</v>
      </c>
      <c r="Q116" s="143"/>
      <c r="R116" s="611">
        <v>5308.63</v>
      </c>
      <c r="S116" s="611">
        <v>1365.83</v>
      </c>
      <c r="T116" s="143"/>
      <c r="U116" s="103">
        <f t="shared" si="60"/>
        <v>0</v>
      </c>
      <c r="V116" s="146"/>
      <c r="W116" s="780"/>
      <c r="X116" s="231"/>
      <c r="Y116" s="768"/>
      <c r="Z116" s="143"/>
      <c r="AA116" s="143"/>
      <c r="AB116" s="143"/>
      <c r="AC116" s="143"/>
      <c r="AD116" s="143"/>
      <c r="AE116" s="143"/>
      <c r="AF116" s="143"/>
      <c r="AG116" s="143"/>
      <c r="AH116" s="145"/>
      <c r="AI116" s="103">
        <f t="shared" si="53"/>
        <v>0</v>
      </c>
      <c r="AJ116" s="134">
        <v>10548.99</v>
      </c>
      <c r="AK116" s="134">
        <v>839.07</v>
      </c>
      <c r="AL116" s="136"/>
      <c r="AM116" s="105">
        <f t="shared" si="54"/>
        <v>0</v>
      </c>
      <c r="AN116" s="145">
        <v>153.82</v>
      </c>
      <c r="AO116" s="143"/>
      <c r="AP116" s="143"/>
      <c r="AQ116" s="146"/>
      <c r="AR116" s="224">
        <f t="shared" si="55"/>
        <v>0</v>
      </c>
      <c r="AS116" s="229">
        <v>7847</v>
      </c>
      <c r="AT116" s="126"/>
      <c r="AU116" s="127"/>
      <c r="AV116" s="127"/>
      <c r="AW116" s="127"/>
      <c r="AX116" s="127"/>
      <c r="AY116" s="229">
        <v>1624</v>
      </c>
      <c r="AZ116" s="127"/>
      <c r="BA116" s="127"/>
      <c r="BB116" s="127"/>
      <c r="BC116" s="126"/>
      <c r="BD116" s="222">
        <f t="shared" si="56"/>
        <v>0</v>
      </c>
      <c r="BE116" s="140">
        <f t="shared" si="57"/>
        <v>0</v>
      </c>
      <c r="BF116" s="132"/>
      <c r="BG116" s="140">
        <f t="shared" si="58"/>
        <v>0</v>
      </c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30">
        <f t="shared" si="59"/>
        <v>0</v>
      </c>
      <c r="BV116" s="132"/>
    </row>
    <row r="117" ht="14.25" customHeight="1">
      <c r="A117" s="132"/>
      <c r="B117" s="791">
        <v>46123</v>
      </c>
      <c r="C117" s="133">
        <f>23553.88-D117-0</f>
      </c>
      <c r="D117" s="134">
        <v>2706.94</v>
      </c>
      <c r="E117" s="135"/>
      <c r="F117" s="135"/>
      <c r="G117" s="147">
        <f t="shared" si="52"/>
        <v>0</v>
      </c>
      <c r="H117" s="797"/>
      <c r="I117" s="768"/>
      <c r="J117" s="798"/>
      <c r="K117" s="798"/>
      <c r="L117" s="800">
        <v>387.17</v>
      </c>
      <c r="M117" s="799"/>
      <c r="N117" s="799"/>
      <c r="O117" s="800">
        <v>117.5</v>
      </c>
      <c r="P117" s="143">
        <v>449.14</v>
      </c>
      <c r="Q117" s="143"/>
      <c r="R117" s="611">
        <v>2785.25</v>
      </c>
      <c r="S117" s="611"/>
      <c r="T117" s="143"/>
      <c r="U117" s="103">
        <f t="shared" si="60"/>
        <v>0</v>
      </c>
      <c r="V117" s="146"/>
      <c r="W117" s="146"/>
      <c r="X117" s="143"/>
      <c r="Y117" s="768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03">
        <f t="shared" si="53"/>
        <v>0</v>
      </c>
      <c r="AJ117" s="134">
        <v>8597.9</v>
      </c>
      <c r="AK117" s="134">
        <v>1034.13</v>
      </c>
      <c r="AL117" s="136"/>
      <c r="AM117" s="105">
        <f t="shared" si="54"/>
        <v>0</v>
      </c>
      <c r="AN117" s="143"/>
      <c r="AO117" s="143"/>
      <c r="AP117" s="143"/>
      <c r="AQ117" s="146"/>
      <c r="AR117" s="224">
        <f t="shared" si="55"/>
        <v>0</v>
      </c>
      <c r="AS117" s="229">
        <v>8604</v>
      </c>
      <c r="AT117" s="126"/>
      <c r="AU117" s="127"/>
      <c r="AV117" s="127"/>
      <c r="AW117" s="127"/>
      <c r="AX117" s="127"/>
      <c r="AY117" s="229">
        <v>1576</v>
      </c>
      <c r="AZ117" s="127"/>
      <c r="BA117" s="127"/>
      <c r="BB117" s="127"/>
      <c r="BC117" s="126"/>
      <c r="BD117" s="222">
        <f t="shared" si="56"/>
        <v>0</v>
      </c>
      <c r="BE117" s="140">
        <f t="shared" si="57"/>
        <v>0</v>
      </c>
      <c r="BF117" s="132"/>
      <c r="BG117" s="140">
        <f t="shared" si="58"/>
        <v>0</v>
      </c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30">
        <f t="shared" si="59"/>
        <v>0</v>
      </c>
      <c r="BV117" s="132"/>
    </row>
    <row r="118" ht="14.25" customHeight="1">
      <c r="A118" s="132"/>
      <c r="B118" s="791">
        <v>46124</v>
      </c>
      <c r="C118" s="133">
        <f>22563.47-D118-0</f>
      </c>
      <c r="D118" s="134">
        <v>4800.57</v>
      </c>
      <c r="E118" s="135"/>
      <c r="F118" s="135"/>
      <c r="G118" s="147">
        <f t="shared" si="52"/>
        <v>0</v>
      </c>
      <c r="H118" s="797"/>
      <c r="I118" s="768"/>
      <c r="J118" s="798"/>
      <c r="K118" s="798"/>
      <c r="L118" s="799"/>
      <c r="M118" s="799"/>
      <c r="N118" s="799"/>
      <c r="O118" s="799">
        <v>364.9</v>
      </c>
      <c r="P118" s="143"/>
      <c r="Q118" s="143"/>
      <c r="R118" s="801">
        <v>500</v>
      </c>
      <c r="S118" s="611"/>
      <c r="T118" s="143"/>
      <c r="U118" s="103">
        <f t="shared" si="60"/>
        <v>0</v>
      </c>
      <c r="V118" s="146"/>
      <c r="W118" s="146"/>
      <c r="X118" s="143"/>
      <c r="Y118" s="768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03">
        <f t="shared" si="53"/>
        <v>0</v>
      </c>
      <c r="AJ118" s="134">
        <v>6536.54</v>
      </c>
      <c r="AK118" s="134">
        <v>1365.71</v>
      </c>
      <c r="AL118" s="136"/>
      <c r="AM118" s="105">
        <f t="shared" si="54"/>
        <v>0</v>
      </c>
      <c r="AN118" s="143"/>
      <c r="AO118" s="143"/>
      <c r="AP118" s="143"/>
      <c r="AQ118" s="146"/>
      <c r="AR118" s="224">
        <f t="shared" si="55"/>
        <v>0</v>
      </c>
      <c r="AS118" s="229">
        <v>10450</v>
      </c>
      <c r="AT118" s="126"/>
      <c r="AU118" s="127"/>
      <c r="AV118" s="127"/>
      <c r="AW118" s="127"/>
      <c r="AX118" s="127"/>
      <c r="AY118" s="229">
        <v>3344</v>
      </c>
      <c r="AZ118" s="803"/>
      <c r="BA118" s="127"/>
      <c r="BB118" s="127"/>
      <c r="BC118" s="126"/>
      <c r="BD118" s="222">
        <f t="shared" si="56"/>
        <v>0</v>
      </c>
      <c r="BE118" s="140">
        <f t="shared" si="57"/>
        <v>0</v>
      </c>
      <c r="BF118" s="132"/>
      <c r="BG118" s="140">
        <f t="shared" si="58"/>
        <v>0</v>
      </c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30">
        <f t="shared" si="59"/>
        <v>0</v>
      </c>
      <c r="BV118" s="132"/>
    </row>
    <row r="119" ht="14.25" customHeight="1">
      <c r="A119" s="132"/>
      <c r="B119" s="791">
        <v>46125</v>
      </c>
      <c r="C119" s="133">
        <f>36880.48-D119-0</f>
      </c>
      <c r="D119" s="134">
        <v>2245.97</v>
      </c>
      <c r="E119" s="135"/>
      <c r="F119" s="135"/>
      <c r="G119" s="147">
        <f t="shared" si="52"/>
        <v>0</v>
      </c>
      <c r="H119" s="797"/>
      <c r="I119" s="768"/>
      <c r="J119" s="798"/>
      <c r="K119" s="798"/>
      <c r="L119" s="799"/>
      <c r="M119" s="799"/>
      <c r="N119" s="799"/>
      <c r="O119" s="799">
        <v>8983.62</v>
      </c>
      <c r="P119" s="145">
        <v>499.8</v>
      </c>
      <c r="Q119" s="143"/>
      <c r="R119" s="611">
        <v>5657.63</v>
      </c>
      <c r="S119" s="611">
        <v>1063.75</v>
      </c>
      <c r="T119" s="143"/>
      <c r="U119" s="103">
        <f t="shared" si="60"/>
        <v>0</v>
      </c>
      <c r="V119" s="146"/>
      <c r="W119" s="146"/>
      <c r="X119" s="143"/>
      <c r="Y119" s="768"/>
      <c r="Z119" s="231"/>
      <c r="AA119" s="143"/>
      <c r="AB119" s="143"/>
      <c r="AC119" s="143"/>
      <c r="AD119" s="143"/>
      <c r="AE119" s="143"/>
      <c r="AF119" s="143"/>
      <c r="AG119" s="143"/>
      <c r="AH119" s="143"/>
      <c r="AI119" s="103">
        <f t="shared" si="53"/>
        <v>0</v>
      </c>
      <c r="AJ119" s="134">
        <v>9030.99</v>
      </c>
      <c r="AK119" s="134">
        <v>670.01</v>
      </c>
      <c r="AL119" s="136"/>
      <c r="AM119" s="105">
        <f t="shared" si="54"/>
        <v>0</v>
      </c>
      <c r="AN119" s="145">
        <v>125.8</v>
      </c>
      <c r="AO119" s="143"/>
      <c r="AP119" s="143"/>
      <c r="AQ119" s="146"/>
      <c r="AR119" s="224">
        <f t="shared" si="55"/>
        <v>0</v>
      </c>
      <c r="AS119" s="229">
        <v>9271</v>
      </c>
      <c r="AT119" s="126"/>
      <c r="AU119" s="127"/>
      <c r="AV119" s="127"/>
      <c r="AW119" s="127"/>
      <c r="AX119" s="127"/>
      <c r="AY119" s="229">
        <v>1575</v>
      </c>
      <c r="AZ119" s="803"/>
      <c r="BA119" s="127"/>
      <c r="BB119" s="127"/>
      <c r="BC119" s="126"/>
      <c r="BD119" s="222">
        <f t="shared" si="56"/>
        <v>0</v>
      </c>
      <c r="BE119" s="140">
        <f t="shared" si="57"/>
        <v>0</v>
      </c>
      <c r="BF119" s="132"/>
      <c r="BG119" s="140">
        <f t="shared" si="58"/>
        <v>0</v>
      </c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30">
        <f t="shared" si="59"/>
        <v>0</v>
      </c>
      <c r="BV119" s="132"/>
    </row>
    <row r="120" ht="14.25" customHeight="1">
      <c r="A120" s="132"/>
      <c r="B120" s="791">
        <v>46126</v>
      </c>
      <c r="C120" s="133">
        <f>32084.67-D120-0</f>
      </c>
      <c r="D120" s="134">
        <v>2455.41</v>
      </c>
      <c r="E120" s="135"/>
      <c r="F120" s="135"/>
      <c r="G120" s="147">
        <f t="shared" si="52"/>
        <v>0</v>
      </c>
      <c r="H120" s="797"/>
      <c r="I120" s="768"/>
      <c r="J120" s="798"/>
      <c r="K120" s="798"/>
      <c r="L120" s="799"/>
      <c r="M120" s="799"/>
      <c r="N120" s="799"/>
      <c r="O120" s="800">
        <v>3653.83</v>
      </c>
      <c r="P120" s="143">
        <v>241.53</v>
      </c>
      <c r="Q120" s="143"/>
      <c r="R120" s="611">
        <v>7877.09</v>
      </c>
      <c r="S120" s="611">
        <v>2901.67</v>
      </c>
      <c r="T120" s="143"/>
      <c r="U120" s="103">
        <f t="shared" si="60"/>
        <v>0</v>
      </c>
      <c r="V120" s="146"/>
      <c r="W120" s="146"/>
      <c r="X120" s="143"/>
      <c r="Y120" s="768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03">
        <f t="shared" si="53"/>
        <v>0</v>
      </c>
      <c r="AJ120" s="134">
        <v>8820.93</v>
      </c>
      <c r="AK120" s="134">
        <v>703.15</v>
      </c>
      <c r="AL120" s="136"/>
      <c r="AM120" s="105">
        <f t="shared" si="54"/>
        <v>0</v>
      </c>
      <c r="AN120" s="145">
        <v>302.28</v>
      </c>
      <c r="AO120" s="143"/>
      <c r="AP120" s="143"/>
      <c r="AQ120" s="146"/>
      <c r="AR120" s="224">
        <f t="shared" si="55"/>
        <v>0</v>
      </c>
      <c r="AS120" s="229">
        <v>5919</v>
      </c>
      <c r="AT120" s="126"/>
      <c r="AU120" s="127"/>
      <c r="AV120" s="127"/>
      <c r="AW120" s="127"/>
      <c r="AX120" s="127"/>
      <c r="AY120" s="229">
        <v>1662</v>
      </c>
      <c r="AZ120" s="803"/>
      <c r="BA120" s="127"/>
      <c r="BB120" s="127"/>
      <c r="BC120" s="126"/>
      <c r="BD120" s="222">
        <f t="shared" si="56"/>
        <v>0</v>
      </c>
      <c r="BE120" s="140">
        <f t="shared" si="57"/>
        <v>0</v>
      </c>
      <c r="BF120" s="132"/>
      <c r="BG120" s="140">
        <f t="shared" si="58"/>
        <v>0</v>
      </c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30">
        <f t="shared" si="59"/>
        <v>0</v>
      </c>
      <c r="BV120" s="132"/>
    </row>
    <row r="121" ht="14.25" customHeight="1">
      <c r="A121" s="132"/>
      <c r="B121" s="791">
        <v>46127</v>
      </c>
      <c r="C121" s="133">
        <f>21263.69-D121-0</f>
      </c>
      <c r="D121" s="134">
        <v>2453.4</v>
      </c>
      <c r="E121" s="135"/>
      <c r="F121" s="135"/>
      <c r="G121" s="147">
        <f t="shared" si="52"/>
        <v>0</v>
      </c>
      <c r="H121" s="797"/>
      <c r="I121" s="768"/>
      <c r="J121" s="798"/>
      <c r="K121" s="798"/>
      <c r="L121" s="799"/>
      <c r="M121" s="799"/>
      <c r="N121" s="799"/>
      <c r="O121" s="800">
        <v>505.07</v>
      </c>
      <c r="P121" s="145">
        <v>419.01</v>
      </c>
      <c r="Q121" s="143"/>
      <c r="R121" s="801">
        <v>2692.47</v>
      </c>
      <c r="S121" s="801">
        <v>780.6</v>
      </c>
      <c r="T121" s="143"/>
      <c r="U121" s="103">
        <f t="shared" si="60"/>
        <v>0</v>
      </c>
      <c r="V121" s="146"/>
      <c r="W121" s="780"/>
      <c r="X121" s="231"/>
      <c r="Y121" s="768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03">
        <f t="shared" si="53"/>
        <v>0</v>
      </c>
      <c r="AJ121" s="134">
        <v>8061.49</v>
      </c>
      <c r="AK121" s="134">
        <v>769.17</v>
      </c>
      <c r="AL121" s="136"/>
      <c r="AM121" s="105">
        <f t="shared" si="54"/>
        <v>0</v>
      </c>
      <c r="AN121" s="145">
        <v>79.1</v>
      </c>
      <c r="AO121" s="143"/>
      <c r="AP121" s="143"/>
      <c r="AQ121" s="146"/>
      <c r="AR121" s="224">
        <f t="shared" si="55"/>
        <v>0</v>
      </c>
      <c r="AS121" s="229">
        <v>5832</v>
      </c>
      <c r="AT121" s="126"/>
      <c r="AU121" s="127"/>
      <c r="AV121" s="127"/>
      <c r="AW121" s="127"/>
      <c r="AX121" s="127"/>
      <c r="AY121" s="229">
        <v>1682</v>
      </c>
      <c r="AZ121" s="127"/>
      <c r="BA121" s="127"/>
      <c r="BB121" s="127"/>
      <c r="BC121" s="126"/>
      <c r="BD121" s="222">
        <f t="shared" si="56"/>
        <v>0</v>
      </c>
      <c r="BE121" s="140">
        <f t="shared" si="57"/>
        <v>0</v>
      </c>
      <c r="BF121" s="132"/>
      <c r="BG121" s="140">
        <f t="shared" si="58"/>
        <v>0</v>
      </c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50">
        <v>440</v>
      </c>
      <c r="BT121" s="141"/>
      <c r="BU121" s="130">
        <f t="shared" si="59"/>
        <v>0</v>
      </c>
      <c r="BV121" s="132"/>
    </row>
    <row r="122" ht="14.25" customHeight="1">
      <c r="A122" s="132"/>
      <c r="B122" s="791">
        <v>46128</v>
      </c>
      <c r="C122" s="133">
        <f>18428.29-D122-0</f>
      </c>
      <c r="D122" s="134">
        <v>2525.81</v>
      </c>
      <c r="E122" s="135"/>
      <c r="F122" s="135"/>
      <c r="G122" s="147">
        <f t="shared" si="52"/>
        <v>0</v>
      </c>
      <c r="H122" s="805"/>
      <c r="I122" s="768"/>
      <c r="J122" s="798"/>
      <c r="K122" s="798"/>
      <c r="L122" s="799"/>
      <c r="M122" s="799"/>
      <c r="N122" s="799"/>
      <c r="O122" s="799">
        <v>365.1</v>
      </c>
      <c r="P122" s="143"/>
      <c r="Q122" s="143"/>
      <c r="R122" s="801">
        <v>2450.69</v>
      </c>
      <c r="S122" s="801">
        <v>383.8</v>
      </c>
      <c r="T122" s="143"/>
      <c r="U122" s="103">
        <f t="shared" si="60"/>
        <v>0</v>
      </c>
      <c r="V122" s="146"/>
      <c r="W122" s="146"/>
      <c r="X122" s="143"/>
      <c r="Y122" s="768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03">
        <f t="shared" si="53"/>
        <v>0</v>
      </c>
      <c r="AJ122" s="134">
        <v>5499.92</v>
      </c>
      <c r="AK122" s="134">
        <v>796.16</v>
      </c>
      <c r="AL122" s="136"/>
      <c r="AM122" s="105">
        <f t="shared" si="54"/>
        <v>0</v>
      </c>
      <c r="AN122" s="145">
        <v>56</v>
      </c>
      <c r="AO122" s="143"/>
      <c r="AP122" s="143"/>
      <c r="AQ122" s="146"/>
      <c r="AR122" s="224">
        <f t="shared" si="55"/>
        <v>0</v>
      </c>
      <c r="AS122" s="229">
        <v>7235</v>
      </c>
      <c r="AT122" s="126"/>
      <c r="AU122" s="127"/>
      <c r="AV122" s="127"/>
      <c r="AW122" s="127"/>
      <c r="AX122" s="127"/>
      <c r="AY122" s="229">
        <v>1639</v>
      </c>
      <c r="AZ122" s="127"/>
      <c r="BA122" s="127"/>
      <c r="BB122" s="127"/>
      <c r="BC122" s="126"/>
      <c r="BD122" s="222">
        <f t="shared" si="56"/>
        <v>0</v>
      </c>
      <c r="BE122" s="140">
        <f t="shared" si="57"/>
        <v>0</v>
      </c>
      <c r="BF122" s="132"/>
      <c r="BG122" s="140">
        <f t="shared" si="58"/>
        <v>0</v>
      </c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30">
        <f t="shared" si="59"/>
        <v>0</v>
      </c>
      <c r="BV122" s="132"/>
    </row>
    <row r="123" ht="14.25" customHeight="1">
      <c r="A123" s="132"/>
      <c r="B123" s="791">
        <v>46129</v>
      </c>
      <c r="C123" s="133">
        <f>27225.47-D123-0</f>
      </c>
      <c r="D123" s="134">
        <v>2703.71</v>
      </c>
      <c r="E123" s="135"/>
      <c r="F123" s="135"/>
      <c r="G123" s="147">
        <f t="shared" si="52"/>
        <v>0</v>
      </c>
      <c r="H123" s="797"/>
      <c r="I123" s="768"/>
      <c r="J123" s="798"/>
      <c r="K123" s="798"/>
      <c r="L123" s="799"/>
      <c r="M123" s="799"/>
      <c r="N123" s="799"/>
      <c r="O123" s="799">
        <v>5936.97</v>
      </c>
      <c r="P123" s="145">
        <v>94.39</v>
      </c>
      <c r="Q123" s="143"/>
      <c r="R123" s="611">
        <v>3315.3</v>
      </c>
      <c r="S123" s="611">
        <v>876.74</v>
      </c>
      <c r="T123" s="143"/>
      <c r="U123" s="103">
        <f t="shared" si="60"/>
        <v>0</v>
      </c>
      <c r="V123" s="146"/>
      <c r="W123" s="146"/>
      <c r="X123" s="143"/>
      <c r="Y123" s="768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03">
        <f t="shared" si="53"/>
        <v>0</v>
      </c>
      <c r="AJ123" s="134">
        <v>7898.58</v>
      </c>
      <c r="AK123" s="134">
        <v>700.66</v>
      </c>
      <c r="AL123" s="136"/>
      <c r="AM123" s="105">
        <f t="shared" si="54"/>
        <v>0</v>
      </c>
      <c r="AN123" s="145">
        <v>93.12</v>
      </c>
      <c r="AO123" s="143"/>
      <c r="AP123" s="143"/>
      <c r="AQ123" s="146"/>
      <c r="AR123" s="224">
        <f t="shared" si="55"/>
        <v>0</v>
      </c>
      <c r="AS123" s="229">
        <v>6493</v>
      </c>
      <c r="AT123" s="126"/>
      <c r="AU123" s="127"/>
      <c r="AV123" s="127"/>
      <c r="AW123" s="127"/>
      <c r="AX123" s="127"/>
      <c r="AY123" s="229">
        <v>1814</v>
      </c>
      <c r="AZ123" s="127"/>
      <c r="BA123" s="127"/>
      <c r="BB123" s="127"/>
      <c r="BC123" s="126"/>
      <c r="BD123" s="222">
        <f t="shared" si="56"/>
        <v>0</v>
      </c>
      <c r="BE123" s="140">
        <f t="shared" si="57"/>
        <v>0</v>
      </c>
      <c r="BF123" s="132"/>
      <c r="BG123" s="140">
        <f t="shared" si="58"/>
        <v>0</v>
      </c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30">
        <f t="shared" si="59"/>
        <v>0</v>
      </c>
      <c r="BV123" s="132"/>
    </row>
    <row r="124" ht="14.25" customHeight="1">
      <c r="A124" s="132"/>
      <c r="B124" s="791">
        <v>46130</v>
      </c>
      <c r="C124" s="133">
        <f>23654.21-D124-0</f>
      </c>
      <c r="D124" s="134">
        <v>2979.56</v>
      </c>
      <c r="E124" s="135"/>
      <c r="F124" s="135"/>
      <c r="G124" s="147">
        <f t="shared" si="52"/>
        <v>0</v>
      </c>
      <c r="H124" s="797"/>
      <c r="I124" s="768"/>
      <c r="J124" s="798"/>
      <c r="K124" s="798"/>
      <c r="L124" s="799"/>
      <c r="M124" s="799"/>
      <c r="N124" s="799"/>
      <c r="O124" s="799">
        <v>192.76</v>
      </c>
      <c r="P124" s="145">
        <v>474.33</v>
      </c>
      <c r="Q124" s="143"/>
      <c r="R124" s="611">
        <v>4360.21</v>
      </c>
      <c r="S124" s="611">
        <v>630.24</v>
      </c>
      <c r="T124" s="143"/>
      <c r="U124" s="103">
        <f t="shared" si="60"/>
        <v>0</v>
      </c>
      <c r="V124" s="146"/>
      <c r="W124" s="146"/>
      <c r="X124" s="143"/>
      <c r="Y124" s="768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03">
        <f t="shared" si="53"/>
        <v>0</v>
      </c>
      <c r="AJ124" s="134">
        <v>7239.54</v>
      </c>
      <c r="AK124" s="134">
        <v>914.98</v>
      </c>
      <c r="AL124" s="136"/>
      <c r="AM124" s="105">
        <f t="shared" si="54"/>
        <v>0</v>
      </c>
      <c r="AN124" s="145">
        <v>74.55</v>
      </c>
      <c r="AO124" s="143"/>
      <c r="AP124" s="143"/>
      <c r="AQ124" s="146"/>
      <c r="AR124" s="224">
        <f t="shared" si="55"/>
        <v>0</v>
      </c>
      <c r="AS124" s="229">
        <v>7772</v>
      </c>
      <c r="AT124" s="126"/>
      <c r="AU124" s="127"/>
      <c r="AV124" s="127"/>
      <c r="AW124" s="127"/>
      <c r="AX124" s="127"/>
      <c r="AY124" s="229">
        <v>1993</v>
      </c>
      <c r="AZ124" s="127"/>
      <c r="BA124" s="127"/>
      <c r="BB124" s="127"/>
      <c r="BC124" s="126"/>
      <c r="BD124" s="222">
        <f t="shared" si="56"/>
        <v>0</v>
      </c>
      <c r="BE124" s="140">
        <f t="shared" si="57"/>
        <v>0</v>
      </c>
      <c r="BF124" s="132"/>
      <c r="BG124" s="140">
        <f t="shared" si="58"/>
        <v>0</v>
      </c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30">
        <f t="shared" si="59"/>
        <v>0</v>
      </c>
      <c r="BV124" s="132"/>
    </row>
    <row r="125" ht="14.25" customHeight="1">
      <c r="A125" s="132"/>
      <c r="B125" s="791">
        <v>46131</v>
      </c>
      <c r="C125" s="133">
        <f>25734.56-D125-0</f>
      </c>
      <c r="D125" s="134">
        <v>5711.36</v>
      </c>
      <c r="E125" s="135"/>
      <c r="F125" s="135"/>
      <c r="G125" s="147">
        <f t="shared" si="52"/>
        <v>0</v>
      </c>
      <c r="H125" s="797"/>
      <c r="I125" s="768"/>
      <c r="J125" s="798"/>
      <c r="K125" s="798"/>
      <c r="L125" s="799"/>
      <c r="M125" s="799"/>
      <c r="N125" s="799"/>
      <c r="O125" s="799">
        <v>285.48</v>
      </c>
      <c r="P125" s="145">
        <v>499</v>
      </c>
      <c r="Q125" s="143"/>
      <c r="R125" s="611">
        <v>3985.34</v>
      </c>
      <c r="S125" s="611"/>
      <c r="T125" s="143"/>
      <c r="U125" s="103">
        <f t="shared" si="60"/>
        <v>0</v>
      </c>
      <c r="V125" s="146"/>
      <c r="W125" s="146"/>
      <c r="X125" s="143"/>
      <c r="Y125" s="768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03">
        <f t="shared" si="53"/>
        <v>0</v>
      </c>
      <c r="AJ125" s="134">
        <v>1285.5</v>
      </c>
      <c r="AK125" s="134">
        <v>277.43</v>
      </c>
      <c r="AL125" s="136"/>
      <c r="AM125" s="105">
        <f t="shared" si="54"/>
        <v>0</v>
      </c>
      <c r="AN125" s="143"/>
      <c r="AO125" s="143"/>
      <c r="AP125" s="143"/>
      <c r="AQ125" s="146"/>
      <c r="AR125" s="224">
        <f t="shared" si="55"/>
        <v>0</v>
      </c>
      <c r="AS125" s="229">
        <v>13417</v>
      </c>
      <c r="AT125" s="126"/>
      <c r="AU125" s="127"/>
      <c r="AV125" s="127"/>
      <c r="AW125" s="127"/>
      <c r="AX125" s="127"/>
      <c r="AY125" s="229">
        <v>5432</v>
      </c>
      <c r="AZ125" s="803"/>
      <c r="BA125" s="127"/>
      <c r="BB125" s="127"/>
      <c r="BC125" s="126"/>
      <c r="BD125" s="222">
        <f t="shared" si="56"/>
        <v>0</v>
      </c>
      <c r="BE125" s="140">
        <f t="shared" si="57"/>
        <v>0</v>
      </c>
      <c r="BF125" s="132"/>
      <c r="BG125" s="140">
        <f t="shared" si="58"/>
        <v>0</v>
      </c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50"/>
      <c r="BS125" s="150">
        <v>550</v>
      </c>
      <c r="BT125" s="141"/>
      <c r="BU125" s="130">
        <f t="shared" si="59"/>
        <v>0</v>
      </c>
      <c r="BV125" s="132"/>
    </row>
    <row r="126" ht="14.25" customHeight="1">
      <c r="A126" s="132"/>
      <c r="B126" s="791">
        <v>46132</v>
      </c>
      <c r="C126" s="133">
        <f>25748.30-D126-0</f>
      </c>
      <c r="D126" s="134">
        <v>3396.24</v>
      </c>
      <c r="E126" s="135"/>
      <c r="F126" s="135"/>
      <c r="G126" s="147">
        <f t="shared" si="52"/>
        <v>0</v>
      </c>
      <c r="H126" s="797"/>
      <c r="I126" s="768"/>
      <c r="J126" s="798"/>
      <c r="K126" s="798"/>
      <c r="L126" s="800">
        <v>299.9</v>
      </c>
      <c r="M126" s="799"/>
      <c r="N126" s="799"/>
      <c r="O126" s="799">
        <v>1067.58</v>
      </c>
      <c r="P126" s="143">
        <v>169.4</v>
      </c>
      <c r="Q126" s="143"/>
      <c r="R126" s="611">
        <v>3699.08</v>
      </c>
      <c r="S126" s="611">
        <v>780.66</v>
      </c>
      <c r="T126" s="143"/>
      <c r="U126" s="103">
        <f t="shared" si="60"/>
        <v>0</v>
      </c>
      <c r="V126" s="146"/>
      <c r="W126" s="780"/>
      <c r="X126" s="231"/>
      <c r="Y126" s="768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03">
        <f t="shared" si="53"/>
        <v>0</v>
      </c>
      <c r="AJ126" s="134">
        <v>9215.77</v>
      </c>
      <c r="AK126" s="134">
        <v>1340.47</v>
      </c>
      <c r="AL126" s="136"/>
      <c r="AM126" s="105">
        <f t="shared" si="54"/>
        <v>0</v>
      </c>
      <c r="AN126" s="145">
        <v>79.11</v>
      </c>
      <c r="AO126" s="143"/>
      <c r="AP126" s="143"/>
      <c r="AQ126" s="146"/>
      <c r="AR126" s="224">
        <f t="shared" si="55"/>
        <v>0</v>
      </c>
      <c r="AS126" s="229">
        <v>7203</v>
      </c>
      <c r="AT126" s="126"/>
      <c r="AU126" s="127"/>
      <c r="AV126" s="127"/>
      <c r="AW126" s="127"/>
      <c r="AX126" s="127"/>
      <c r="AY126" s="229">
        <v>1891</v>
      </c>
      <c r="AZ126" s="127"/>
      <c r="BA126" s="127"/>
      <c r="BB126" s="127"/>
      <c r="BC126" s="126"/>
      <c r="BD126" s="222">
        <f t="shared" si="56"/>
        <v>0</v>
      </c>
      <c r="BE126" s="140">
        <f t="shared" si="57"/>
        <v>0</v>
      </c>
      <c r="BF126" s="132"/>
      <c r="BG126" s="140">
        <f t="shared" si="58"/>
        <v>0</v>
      </c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30">
        <f t="shared" si="59"/>
        <v>0</v>
      </c>
      <c r="BV126" s="132"/>
    </row>
    <row r="127" ht="14.25" customHeight="1">
      <c r="A127" s="132"/>
      <c r="B127" s="791">
        <v>46133</v>
      </c>
      <c r="C127" s="133">
        <f>21511.33-D127-0</f>
      </c>
      <c r="D127" s="134">
        <v>2503.62</v>
      </c>
      <c r="E127" s="135"/>
      <c r="F127" s="135"/>
      <c r="G127" s="147">
        <f t="shared" si="52"/>
        <v>0</v>
      </c>
      <c r="H127" s="797"/>
      <c r="I127" s="768"/>
      <c r="J127" s="798"/>
      <c r="K127" s="798"/>
      <c r="L127" s="799"/>
      <c r="M127" s="799"/>
      <c r="N127" s="799"/>
      <c r="O127" s="800">
        <v>379.33</v>
      </c>
      <c r="P127" s="145">
        <v>413.51</v>
      </c>
      <c r="Q127" s="143"/>
      <c r="R127" s="611">
        <v>2030.84</v>
      </c>
      <c r="S127" s="801">
        <v>1300.36</v>
      </c>
      <c r="T127" s="143"/>
      <c r="U127" s="103">
        <f t="shared" si="60"/>
        <v>0</v>
      </c>
      <c r="V127" s="146"/>
      <c r="W127" s="146"/>
      <c r="X127" s="143"/>
      <c r="Y127" s="768"/>
      <c r="Z127" s="145"/>
      <c r="AA127" s="143"/>
      <c r="AB127" s="143"/>
      <c r="AC127" s="143"/>
      <c r="AD127" s="143"/>
      <c r="AE127" s="143"/>
      <c r="AF127" s="143"/>
      <c r="AG127" s="143"/>
      <c r="AH127" s="143"/>
      <c r="AI127" s="103">
        <f t="shared" si="53"/>
        <v>0</v>
      </c>
      <c r="AJ127" s="134">
        <v>7809.8</v>
      </c>
      <c r="AK127" s="134">
        <v>746.94</v>
      </c>
      <c r="AL127" s="136"/>
      <c r="AM127" s="105">
        <f t="shared" si="54"/>
        <v>0</v>
      </c>
      <c r="AN127" s="145">
        <v>204.09</v>
      </c>
      <c r="AO127" s="143"/>
      <c r="AP127" s="143"/>
      <c r="AQ127" s="146"/>
      <c r="AR127" s="224">
        <f t="shared" si="55"/>
        <v>0</v>
      </c>
      <c r="AS127" s="229">
        <v>6902</v>
      </c>
      <c r="AT127" s="126"/>
      <c r="AU127" s="127"/>
      <c r="AV127" s="127"/>
      <c r="AW127" s="127"/>
      <c r="AX127" s="127"/>
      <c r="AY127" s="229">
        <v>1622</v>
      </c>
      <c r="AZ127" s="127"/>
      <c r="BA127" s="127"/>
      <c r="BB127" s="127"/>
      <c r="BC127" s="126"/>
      <c r="BD127" s="222">
        <f t="shared" si="56"/>
        <v>0</v>
      </c>
      <c r="BE127" s="140">
        <f t="shared" si="57"/>
        <v>0</v>
      </c>
      <c r="BF127" s="132"/>
      <c r="BG127" s="140">
        <f t="shared" si="58"/>
        <v>0</v>
      </c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30">
        <f t="shared" si="59"/>
        <v>0</v>
      </c>
      <c r="BV127" s="132"/>
    </row>
    <row r="128" ht="14.25" customHeight="1">
      <c r="A128" s="132"/>
      <c r="B128" s="791">
        <v>46134</v>
      </c>
      <c r="C128" s="133">
        <f>22993.38-D128-0</f>
      </c>
      <c r="D128" s="134">
        <v>2661.37</v>
      </c>
      <c r="E128" s="135"/>
      <c r="F128" s="135"/>
      <c r="G128" s="147">
        <f t="shared" si="52"/>
        <v>0</v>
      </c>
      <c r="H128" s="797"/>
      <c r="I128" s="768"/>
      <c r="J128" s="798"/>
      <c r="K128" s="798"/>
      <c r="L128" s="799"/>
      <c r="M128" s="799"/>
      <c r="N128" s="799"/>
      <c r="O128" s="799">
        <v>566.21</v>
      </c>
      <c r="P128" s="143">
        <v>435.71</v>
      </c>
      <c r="Q128" s="143"/>
      <c r="R128" s="611">
        <v>5092.91</v>
      </c>
      <c r="S128" s="611">
        <v>1207.56</v>
      </c>
      <c r="T128" s="143"/>
      <c r="U128" s="103">
        <f t="shared" si="60"/>
        <v>0</v>
      </c>
      <c r="V128" s="146"/>
      <c r="W128" s="146"/>
      <c r="X128" s="143"/>
      <c r="Y128" s="768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03">
        <f t="shared" si="53"/>
        <v>0</v>
      </c>
      <c r="AJ128" s="134">
        <v>5977.74</v>
      </c>
      <c r="AK128" s="134">
        <v>736.07</v>
      </c>
      <c r="AL128" s="136"/>
      <c r="AM128" s="105">
        <f t="shared" si="54"/>
        <v>0</v>
      </c>
      <c r="AN128" s="145">
        <v>201.91</v>
      </c>
      <c r="AO128" s="143"/>
      <c r="AP128" s="143"/>
      <c r="AQ128" s="146"/>
      <c r="AR128" s="224">
        <f t="shared" si="55"/>
        <v>0</v>
      </c>
      <c r="AS128" s="229">
        <v>6516</v>
      </c>
      <c r="AT128" s="126"/>
      <c r="AU128" s="127"/>
      <c r="AV128" s="127"/>
      <c r="AW128" s="127"/>
      <c r="AX128" s="127"/>
      <c r="AY128" s="229">
        <v>1860</v>
      </c>
      <c r="AZ128" s="127"/>
      <c r="BA128" s="127"/>
      <c r="BB128" s="127"/>
      <c r="BC128" s="126"/>
      <c r="BD128" s="222">
        <f t="shared" si="56"/>
        <v>0</v>
      </c>
      <c r="BE128" s="140">
        <f t="shared" si="57"/>
        <v>0</v>
      </c>
      <c r="BF128" s="132"/>
      <c r="BG128" s="140">
        <f t="shared" si="58"/>
        <v>0</v>
      </c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30">
        <f t="shared" si="59"/>
        <v>0</v>
      </c>
      <c r="BV128" s="132"/>
    </row>
    <row r="129" ht="14.25" customHeight="1">
      <c r="A129" s="132"/>
      <c r="B129" s="791">
        <v>46135</v>
      </c>
      <c r="C129" s="133">
        <f>21496.95-D129-0</f>
      </c>
      <c r="D129" s="134">
        <v>3447.06</v>
      </c>
      <c r="E129" s="135"/>
      <c r="F129" s="135"/>
      <c r="G129" s="147">
        <f t="shared" si="52"/>
        <v>0</v>
      </c>
      <c r="H129" s="797"/>
      <c r="I129" s="768"/>
      <c r="J129" s="798"/>
      <c r="K129" s="798"/>
      <c r="L129" s="799"/>
      <c r="M129" s="799"/>
      <c r="N129" s="799"/>
      <c r="O129" s="799"/>
      <c r="P129" s="145">
        <v>80.39</v>
      </c>
      <c r="Q129" s="143"/>
      <c r="R129" s="611">
        <v>2869.91</v>
      </c>
      <c r="S129" s="611">
        <v>1674.7</v>
      </c>
      <c r="T129" s="143"/>
      <c r="U129" s="103">
        <f t="shared" si="60"/>
        <v>0</v>
      </c>
      <c r="V129" s="146"/>
      <c r="W129" s="146"/>
      <c r="X129" s="143"/>
      <c r="Y129" s="768"/>
      <c r="Z129" s="145"/>
      <c r="AA129" s="143"/>
      <c r="AB129" s="143"/>
      <c r="AC129" s="143"/>
      <c r="AD129" s="143"/>
      <c r="AE129" s="143"/>
      <c r="AF129" s="143"/>
      <c r="AG129" s="143"/>
      <c r="AH129" s="143"/>
      <c r="AI129" s="103">
        <f t="shared" si="53"/>
        <v>0</v>
      </c>
      <c r="AJ129" s="134">
        <v>6828.78</v>
      </c>
      <c r="AK129" s="134">
        <v>1158.04</v>
      </c>
      <c r="AL129" s="136"/>
      <c r="AM129" s="105">
        <f t="shared" si="54"/>
        <v>0</v>
      </c>
      <c r="AN129" s="145">
        <v>266.88</v>
      </c>
      <c r="AO129" s="143"/>
      <c r="AP129" s="143"/>
      <c r="AQ129" s="146"/>
      <c r="AR129" s="224">
        <f t="shared" si="55"/>
        <v>0</v>
      </c>
      <c r="AS129" s="229">
        <v>6400</v>
      </c>
      <c r="AT129" s="126"/>
      <c r="AU129" s="127"/>
      <c r="AV129" s="127"/>
      <c r="AW129" s="127"/>
      <c r="AX129" s="127"/>
      <c r="AY129" s="229">
        <v>2115</v>
      </c>
      <c r="AZ129" s="127"/>
      <c r="BA129" s="127"/>
      <c r="BB129" s="127"/>
      <c r="BC129" s="126"/>
      <c r="BD129" s="222">
        <f t="shared" si="56"/>
        <v>0</v>
      </c>
      <c r="BE129" s="140">
        <f t="shared" si="57"/>
        <v>0</v>
      </c>
      <c r="BF129" s="132"/>
      <c r="BG129" s="140">
        <f t="shared" si="58"/>
        <v>0</v>
      </c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30">
        <f t="shared" si="59"/>
        <v>0</v>
      </c>
      <c r="BV129" s="132"/>
    </row>
    <row r="130" ht="14.25" customHeight="1">
      <c r="A130" s="132"/>
      <c r="B130" s="791">
        <v>46136</v>
      </c>
      <c r="C130" s="133">
        <f>20173.03-D130-0</f>
      </c>
      <c r="D130" s="134">
        <v>2759.86</v>
      </c>
      <c r="E130" s="135"/>
      <c r="F130" s="135"/>
      <c r="G130" s="147">
        <f t="shared" si="52"/>
        <v>0</v>
      </c>
      <c r="H130" s="797"/>
      <c r="I130" s="768"/>
      <c r="J130" s="798"/>
      <c r="K130" s="798"/>
      <c r="L130" s="799"/>
      <c r="M130" s="799"/>
      <c r="N130" s="799"/>
      <c r="O130" s="800">
        <v>483.36</v>
      </c>
      <c r="P130" s="143"/>
      <c r="Q130" s="143"/>
      <c r="R130" s="611">
        <v>4109.31</v>
      </c>
      <c r="S130" s="611"/>
      <c r="T130" s="143"/>
      <c r="U130" s="103">
        <f t="shared" si="60"/>
        <v>0</v>
      </c>
      <c r="V130" s="146"/>
      <c r="W130" s="146"/>
      <c r="X130" s="143"/>
      <c r="Y130" s="768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03">
        <f t="shared" si="53"/>
        <v>0</v>
      </c>
      <c r="AJ130" s="134">
        <v>6396.49</v>
      </c>
      <c r="AK130" s="134">
        <v>1065.9</v>
      </c>
      <c r="AL130" s="136"/>
      <c r="AM130" s="105">
        <f t="shared" si="54"/>
        <v>0</v>
      </c>
      <c r="AN130" s="143"/>
      <c r="AO130" s="143"/>
      <c r="AP130" s="143"/>
      <c r="AQ130" s="146"/>
      <c r="AR130" s="224">
        <f t="shared" si="55"/>
        <v>0</v>
      </c>
      <c r="AS130" s="229">
        <v>6167</v>
      </c>
      <c r="AT130" s="126"/>
      <c r="AU130" s="127"/>
      <c r="AV130" s="127"/>
      <c r="AW130" s="127"/>
      <c r="AX130" s="127"/>
      <c r="AY130" s="229">
        <v>1693</v>
      </c>
      <c r="AZ130" s="803"/>
      <c r="BA130" s="127"/>
      <c r="BB130" s="127"/>
      <c r="BC130" s="126"/>
      <c r="BD130" s="222">
        <f t="shared" si="56"/>
        <v>0</v>
      </c>
      <c r="BE130" s="140">
        <f t="shared" si="57"/>
        <v>0</v>
      </c>
      <c r="BF130" s="132"/>
      <c r="BG130" s="140">
        <f t="shared" si="58"/>
        <v>0</v>
      </c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50">
        <v>255</v>
      </c>
      <c r="BT130" s="141"/>
      <c r="BU130" s="130">
        <f t="shared" si="59"/>
        <v>0</v>
      </c>
      <c r="BV130" s="132"/>
    </row>
    <row r="131" ht="14.25" customHeight="1">
      <c r="A131" s="132"/>
      <c r="B131" s="791">
        <v>46137</v>
      </c>
      <c r="C131" s="133">
        <f>24120.10-D131-0</f>
      </c>
      <c r="D131" s="134">
        <v>3362.15</v>
      </c>
      <c r="E131" s="135"/>
      <c r="F131" s="135"/>
      <c r="G131" s="147">
        <f t="shared" si="52"/>
        <v>0</v>
      </c>
      <c r="H131" s="797"/>
      <c r="I131" s="768"/>
      <c r="J131" s="798"/>
      <c r="K131" s="798"/>
      <c r="L131" s="799"/>
      <c r="M131" s="799"/>
      <c r="N131" s="799"/>
      <c r="O131" s="799">
        <v>168.85</v>
      </c>
      <c r="P131" s="143">
        <v>499.92</v>
      </c>
      <c r="Q131" s="143"/>
      <c r="R131" s="611">
        <v>2370.22</v>
      </c>
      <c r="S131" s="611">
        <v>682.36</v>
      </c>
      <c r="T131" s="143"/>
      <c r="U131" s="103">
        <f t="shared" si="60"/>
        <v>0</v>
      </c>
      <c r="V131" s="146"/>
      <c r="W131" s="146"/>
      <c r="X131" s="143"/>
      <c r="Y131" s="768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03">
        <f t="shared" si="53"/>
        <v>0</v>
      </c>
      <c r="AJ131" s="134">
        <v>9282.75</v>
      </c>
      <c r="AK131" s="134">
        <v>1351.88</v>
      </c>
      <c r="AL131" s="136"/>
      <c r="AM131" s="105">
        <f t="shared" si="54"/>
        <v>0</v>
      </c>
      <c r="AN131" s="145">
        <v>117.41</v>
      </c>
      <c r="AO131" s="143"/>
      <c r="AP131" s="143"/>
      <c r="AQ131" s="146"/>
      <c r="AR131" s="224">
        <f t="shared" si="55"/>
        <v>0</v>
      </c>
      <c r="AS131" s="229">
        <v>7710</v>
      </c>
      <c r="AT131" s="126"/>
      <c r="AU131" s="127"/>
      <c r="AV131" s="127"/>
      <c r="AW131" s="127"/>
      <c r="AX131" s="127"/>
      <c r="AY131" s="229">
        <v>1934</v>
      </c>
      <c r="AZ131" s="127"/>
      <c r="BA131" s="127"/>
      <c r="BB131" s="127"/>
      <c r="BC131" s="126"/>
      <c r="BD131" s="222">
        <f t="shared" si="56"/>
        <v>0</v>
      </c>
      <c r="BE131" s="140">
        <f t="shared" si="57"/>
        <v>0</v>
      </c>
      <c r="BF131" s="132"/>
      <c r="BG131" s="140">
        <f t="shared" si="58"/>
        <v>0</v>
      </c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30">
        <f t="shared" si="59"/>
        <v>0</v>
      </c>
      <c r="BV131" s="132"/>
    </row>
    <row r="132" ht="14.25" customHeight="1">
      <c r="A132" s="132"/>
      <c r="B132" s="791">
        <v>46138</v>
      </c>
      <c r="C132" s="133">
        <f>17211.74-D132-0</f>
      </c>
      <c r="D132" s="134">
        <v>3464.09</v>
      </c>
      <c r="E132" s="135"/>
      <c r="F132" s="135"/>
      <c r="G132" s="147">
        <f t="shared" si="52"/>
        <v>0</v>
      </c>
      <c r="H132" s="797"/>
      <c r="I132" s="768"/>
      <c r="J132" s="144"/>
      <c r="K132" s="144"/>
      <c r="L132" s="143"/>
      <c r="M132" s="143"/>
      <c r="N132" s="143"/>
      <c r="O132" s="145">
        <v>316</v>
      </c>
      <c r="P132" s="143"/>
      <c r="Q132" s="143"/>
      <c r="R132" s="611">
        <v>760.82</v>
      </c>
      <c r="S132" s="611"/>
      <c r="T132" s="143"/>
      <c r="U132" s="103">
        <f t="shared" si="60"/>
        <v>0</v>
      </c>
      <c r="V132" s="146"/>
      <c r="W132" s="146"/>
      <c r="X132" s="143"/>
      <c r="Y132" s="768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03">
        <f t="shared" si="53"/>
        <v>0</v>
      </c>
      <c r="AJ132" s="134">
        <v>5445.38</v>
      </c>
      <c r="AK132" s="134">
        <v>1434.55</v>
      </c>
      <c r="AL132" s="136"/>
      <c r="AM132" s="105">
        <f t="shared" si="54"/>
        <v>0</v>
      </c>
      <c r="AN132" s="143"/>
      <c r="AO132" s="143"/>
      <c r="AP132" s="143"/>
      <c r="AQ132" s="146"/>
      <c r="AR132" s="224">
        <f t="shared" si="55"/>
        <v>0</v>
      </c>
      <c r="AS132" s="229">
        <v>7224</v>
      </c>
      <c r="AT132" s="126"/>
      <c r="AU132" s="127"/>
      <c r="AV132" s="127"/>
      <c r="AW132" s="127"/>
      <c r="AX132" s="127"/>
      <c r="AY132" s="229">
        <v>2028</v>
      </c>
      <c r="AZ132" s="803"/>
      <c r="BA132" s="127"/>
      <c r="BB132" s="127"/>
      <c r="BC132" s="126"/>
      <c r="BD132" s="222">
        <f t="shared" si="56"/>
        <v>0</v>
      </c>
      <c r="BE132" s="140">
        <f t="shared" si="57"/>
        <v>0</v>
      </c>
      <c r="BF132" s="132"/>
      <c r="BG132" s="140">
        <f t="shared" si="58"/>
        <v>0</v>
      </c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30">
        <f t="shared" si="59"/>
        <v>0</v>
      </c>
      <c r="BV132" s="132"/>
    </row>
    <row r="133" ht="14.25" customHeight="1">
      <c r="A133" s="132"/>
      <c r="B133" s="791">
        <v>46139</v>
      </c>
      <c r="C133" s="133">
        <f>23234.42-D133-0</f>
      </c>
      <c r="D133" s="134">
        <v>2394.48</v>
      </c>
      <c r="E133" s="135"/>
      <c r="F133" s="135"/>
      <c r="G133" s="147">
        <f t="shared" si="52"/>
        <v>0</v>
      </c>
      <c r="H133" s="797"/>
      <c r="I133" s="768"/>
      <c r="J133" s="144"/>
      <c r="K133" s="144"/>
      <c r="L133" s="143"/>
      <c r="M133" s="143"/>
      <c r="N133" s="143"/>
      <c r="O133" s="143">
        <v>276.65</v>
      </c>
      <c r="P133" s="143"/>
      <c r="Q133" s="143"/>
      <c r="R133" s="611">
        <v>4809.4</v>
      </c>
      <c r="S133" s="611">
        <v>1758.71</v>
      </c>
      <c r="T133" s="143"/>
      <c r="U133" s="103">
        <f t="shared" si="60"/>
        <v>0</v>
      </c>
      <c r="V133" s="146"/>
      <c r="W133" s="146"/>
      <c r="X133" s="143"/>
      <c r="Y133" s="768"/>
      <c r="Z133" s="143"/>
      <c r="AA133" s="143"/>
      <c r="AB133" s="143"/>
      <c r="AC133" s="143"/>
      <c r="AD133" s="143"/>
      <c r="AE133" s="143"/>
      <c r="AF133" s="143"/>
      <c r="AG133" s="143"/>
      <c r="AH133" s="145"/>
      <c r="AI133" s="103">
        <f t="shared" si="53"/>
        <v>0</v>
      </c>
      <c r="AJ133" s="134">
        <v>7122.8</v>
      </c>
      <c r="AK133" s="134">
        <v>840.82</v>
      </c>
      <c r="AL133" s="136"/>
      <c r="AM133" s="105">
        <f t="shared" si="54"/>
        <v>0</v>
      </c>
      <c r="AN133" s="145">
        <v>279.22</v>
      </c>
      <c r="AO133" s="143"/>
      <c r="AP133" s="143"/>
      <c r="AQ133" s="146"/>
      <c r="AR133" s="224">
        <f t="shared" si="55"/>
        <v>0</v>
      </c>
      <c r="AS133" s="229">
        <v>6630</v>
      </c>
      <c r="AT133" s="126"/>
      <c r="AU133" s="127"/>
      <c r="AV133" s="127"/>
      <c r="AW133" s="127"/>
      <c r="AX133" s="127"/>
      <c r="AY133" s="229">
        <v>1468</v>
      </c>
      <c r="AZ133" s="127"/>
      <c r="BA133" s="127"/>
      <c r="BB133" s="127"/>
      <c r="BC133" s="126"/>
      <c r="BD133" s="222">
        <f t="shared" si="56"/>
        <v>0</v>
      </c>
      <c r="BE133" s="140">
        <f t="shared" si="57"/>
        <v>0</v>
      </c>
      <c r="BF133" s="132"/>
      <c r="BG133" s="140">
        <f t="shared" si="58"/>
        <v>0</v>
      </c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30">
        <f t="shared" si="59"/>
        <v>0</v>
      </c>
      <c r="BV133" s="132"/>
    </row>
    <row r="134" ht="14.25" customHeight="1">
      <c r="A134" s="132"/>
      <c r="B134" s="791">
        <v>46140</v>
      </c>
      <c r="C134" s="133">
        <f>23890.43-D134-0</f>
      </c>
      <c r="D134" s="134">
        <v>2579.72</v>
      </c>
      <c r="E134" s="135"/>
      <c r="F134" s="135"/>
      <c r="G134" s="147">
        <f t="shared" si="52"/>
        <v>0</v>
      </c>
      <c r="H134" s="797"/>
      <c r="I134" s="768"/>
      <c r="J134" s="144"/>
      <c r="K134" s="144"/>
      <c r="L134" s="143"/>
      <c r="M134" s="143"/>
      <c r="N134" s="143"/>
      <c r="O134" s="143">
        <v>1223.93</v>
      </c>
      <c r="P134" s="145">
        <v>817.53</v>
      </c>
      <c r="Q134" s="143"/>
      <c r="R134" s="611">
        <v>2884.41</v>
      </c>
      <c r="S134" s="611">
        <v>1756.53</v>
      </c>
      <c r="T134" s="143"/>
      <c r="U134" s="103">
        <f t="shared" si="60"/>
        <v>0</v>
      </c>
      <c r="V134" s="146"/>
      <c r="W134" s="780"/>
      <c r="X134" s="231"/>
      <c r="Y134" s="768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03">
        <f t="shared" si="53"/>
        <v>0</v>
      </c>
      <c r="AJ134" s="134">
        <v>7809.48</v>
      </c>
      <c r="AK134" s="134">
        <v>818.33</v>
      </c>
      <c r="AL134" s="136"/>
      <c r="AM134" s="105">
        <f t="shared" si="54"/>
        <v>0</v>
      </c>
      <c r="AN134" s="145">
        <v>277.74</v>
      </c>
      <c r="AO134" s="143"/>
      <c r="AP134" s="143"/>
      <c r="AQ134" s="146"/>
      <c r="AR134" s="224">
        <f t="shared" si="55"/>
        <v>0</v>
      </c>
      <c r="AS134" s="229">
        <v>6672</v>
      </c>
      <c r="AT134" s="126"/>
      <c r="AU134" s="127"/>
      <c r="AV134" s="127"/>
      <c r="AW134" s="127"/>
      <c r="AX134" s="127"/>
      <c r="AY134" s="229">
        <v>1628</v>
      </c>
      <c r="AZ134" s="127"/>
      <c r="BA134" s="127"/>
      <c r="BB134" s="127"/>
      <c r="BC134" s="126"/>
      <c r="BD134" s="222">
        <f t="shared" si="56"/>
        <v>0</v>
      </c>
      <c r="BE134" s="140">
        <f t="shared" si="57"/>
        <v>0</v>
      </c>
      <c r="BF134" s="132"/>
      <c r="BG134" s="140">
        <f t="shared" si="58"/>
        <v>0</v>
      </c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30">
        <f t="shared" si="59"/>
        <v>0</v>
      </c>
      <c r="BV134" s="132"/>
    </row>
    <row r="135" ht="14.25" customHeight="1">
      <c r="A135" s="132"/>
      <c r="B135" s="791">
        <v>46141</v>
      </c>
      <c r="C135" s="133">
        <f>18639.80-D135-0</f>
      </c>
      <c r="D135" s="134">
        <v>2457.78</v>
      </c>
      <c r="E135" s="135"/>
      <c r="F135" s="135"/>
      <c r="G135" s="147">
        <f t="shared" si="52"/>
        <v>0</v>
      </c>
      <c r="H135" s="797"/>
      <c r="I135" s="768"/>
      <c r="J135" s="144"/>
      <c r="K135" s="144"/>
      <c r="L135" s="143"/>
      <c r="M135" s="143"/>
      <c r="N135" s="143"/>
      <c r="O135" s="145">
        <v>96.91</v>
      </c>
      <c r="P135" s="143">
        <v>158.08</v>
      </c>
      <c r="Q135" s="143"/>
      <c r="R135" s="611">
        <v>1413.83</v>
      </c>
      <c r="S135" s="611">
        <v>1001.48</v>
      </c>
      <c r="T135" s="143"/>
      <c r="U135" s="103">
        <f t="shared" si="60"/>
        <v>0</v>
      </c>
      <c r="V135" s="143"/>
      <c r="W135" s="143"/>
      <c r="X135" s="143"/>
      <c r="Y135" s="611"/>
      <c r="Z135" s="145"/>
      <c r="AA135" s="143"/>
      <c r="AB135" s="143"/>
      <c r="AC135" s="143"/>
      <c r="AD135" s="143"/>
      <c r="AE135" s="143"/>
      <c r="AF135" s="143"/>
      <c r="AG135" s="143"/>
      <c r="AH135" s="143"/>
      <c r="AI135" s="103"/>
      <c r="AJ135" s="134">
        <v>6864.54</v>
      </c>
      <c r="AK135" s="134">
        <v>943.07</v>
      </c>
      <c r="AL135" s="136"/>
      <c r="AM135" s="105">
        <f t="shared" si="54"/>
        <v>0</v>
      </c>
      <c r="AN135" s="145">
        <v>188.12</v>
      </c>
      <c r="AO135" s="143"/>
      <c r="AP135" s="143"/>
      <c r="AQ135" s="146"/>
      <c r="AR135" s="224">
        <f t="shared" si="55"/>
        <v>0</v>
      </c>
      <c r="AS135" s="229">
        <v>6436</v>
      </c>
      <c r="AT135" s="126"/>
      <c r="AU135" s="127"/>
      <c r="AV135" s="127"/>
      <c r="AW135" s="127"/>
      <c r="AX135" s="127"/>
      <c r="AY135" s="229">
        <v>1435</v>
      </c>
      <c r="AZ135" s="127"/>
      <c r="BA135" s="127"/>
      <c r="BB135" s="127"/>
      <c r="BC135" s="126"/>
      <c r="BD135" s="222">
        <f t="shared" si="56"/>
        <v>0</v>
      </c>
      <c r="BE135" s="140">
        <f t="shared" si="57"/>
        <v>0</v>
      </c>
      <c r="BF135" s="132"/>
      <c r="BG135" s="140">
        <f t="shared" si="58"/>
        <v>0</v>
      </c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30">
        <f t="shared" si="59"/>
        <v>0</v>
      </c>
      <c r="BV135" s="132"/>
    </row>
    <row r="136" ht="14.25" customHeight="1">
      <c r="A136" s="132"/>
      <c r="B136" s="791">
        <v>46142</v>
      </c>
      <c r="C136" s="133">
        <f>25558.68-D136-0</f>
      </c>
      <c r="D136" s="134">
        <v>2348.15</v>
      </c>
      <c r="E136" s="135"/>
      <c r="F136" s="135"/>
      <c r="G136" s="147">
        <f t="shared" si="52"/>
        <v>0</v>
      </c>
      <c r="H136" s="797"/>
      <c r="I136" s="768"/>
      <c r="J136" s="144"/>
      <c r="K136" s="144"/>
      <c r="L136" s="143"/>
      <c r="M136" s="143"/>
      <c r="N136" s="143"/>
      <c r="O136" s="143">
        <v>466.41</v>
      </c>
      <c r="P136" s="143"/>
      <c r="Q136" s="143"/>
      <c r="R136" s="611">
        <v>7185.09</v>
      </c>
      <c r="S136" s="611"/>
      <c r="T136" s="143"/>
      <c r="U136" s="103">
        <f t="shared" si="60"/>
        <v>0</v>
      </c>
      <c r="V136" s="143"/>
      <c r="W136" s="143"/>
      <c r="X136" s="143"/>
      <c r="Y136" s="611"/>
      <c r="Z136" s="145"/>
      <c r="AA136" s="143"/>
      <c r="AB136" s="143"/>
      <c r="AC136" s="143"/>
      <c r="AD136" s="143"/>
      <c r="AE136" s="143"/>
      <c r="AF136" s="143"/>
      <c r="AG136" s="143"/>
      <c r="AH136" s="143"/>
      <c r="AI136" s="103"/>
      <c r="AJ136" s="134">
        <v>7973.24</v>
      </c>
      <c r="AK136" s="134">
        <v>606.43</v>
      </c>
      <c r="AL136" s="136"/>
      <c r="AM136" s="105">
        <f t="shared" si="54"/>
        <v>0</v>
      </c>
      <c r="AN136" s="143"/>
      <c r="AO136" s="143"/>
      <c r="AP136" s="143"/>
      <c r="AQ136" s="146"/>
      <c r="AR136" s="224">
        <f t="shared" si="55"/>
        <v>0</v>
      </c>
      <c r="AS136" s="259">
        <v>7028</v>
      </c>
      <c r="AT136" s="138"/>
      <c r="AU136" s="127"/>
      <c r="AV136" s="127"/>
      <c r="AW136" s="127"/>
      <c r="AX136" s="127"/>
      <c r="AY136" s="259">
        <v>1677</v>
      </c>
      <c r="AZ136" s="127"/>
      <c r="BA136" s="127"/>
      <c r="BB136" s="127"/>
      <c r="BC136" s="138"/>
      <c r="BD136" s="222">
        <f t="shared" si="56"/>
        <v>0</v>
      </c>
      <c r="BE136" s="140">
        <f t="shared" si="57"/>
        <v>0</v>
      </c>
      <c r="BF136" s="132"/>
      <c r="BG136" s="140">
        <f t="shared" si="58"/>
        <v>520</v>
      </c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50">
        <v>520</v>
      </c>
      <c r="BS136" s="141">
        <v>520</v>
      </c>
      <c r="BT136" s="141"/>
      <c r="BU136" s="130">
        <f t="shared" si="59"/>
        <v>-520</v>
      </c>
      <c r="BV136" s="132"/>
    </row>
    <row r="137" ht="14.25" customHeight="1">
      <c r="A137" s="3"/>
      <c r="B137" s="806" t="s">
        <v>78</v>
      </c>
      <c r="C137" s="807">
        <f ref="C137:G137" t="shared" si="61">SUM(C109:C136)</f>
        <v>0</v>
      </c>
      <c r="D137" s="755">
        <f t="shared" si="61"/>
        <v>0</v>
      </c>
      <c r="E137" s="755">
        <f t="shared" si="61"/>
        <v>0</v>
      </c>
      <c r="F137" s="755">
        <f t="shared" si="61"/>
        <v>0</v>
      </c>
      <c r="G137" s="755">
        <f t="shared" si="61"/>
        <v>0</v>
      </c>
      <c r="H137" s="808">
        <f>SUMIF(H107:H136,"&gt;0")</f>
        <v>0</v>
      </c>
      <c r="I137" s="808">
        <f>SUM(I109:I136)</f>
        <v>0</v>
      </c>
      <c r="J137" s="808"/>
      <c r="K137" s="808"/>
      <c r="L137" s="808">
        <f ref="L137:V137" t="shared" si="62">SUM(L109:L136)</f>
        <v>0</v>
      </c>
      <c r="M137" s="808">
        <f t="shared" si="62"/>
        <v>0</v>
      </c>
      <c r="N137" s="808">
        <f t="shared" si="62"/>
        <v>0</v>
      </c>
      <c r="O137" s="808">
        <f t="shared" si="62"/>
        <v>0</v>
      </c>
      <c r="P137" s="808">
        <f t="shared" si="62"/>
        <v>0</v>
      </c>
      <c r="Q137" s="808">
        <f t="shared" si="62"/>
        <v>0</v>
      </c>
      <c r="R137" s="808">
        <f t="shared" si="62"/>
        <v>0</v>
      </c>
      <c r="S137" s="808">
        <f t="shared" si="62"/>
        <v>0</v>
      </c>
      <c r="T137" s="808">
        <f t="shared" si="62"/>
        <v>0</v>
      </c>
      <c r="U137" s="755">
        <f t="shared" si="62"/>
        <v>0</v>
      </c>
      <c r="V137" s="755">
        <f t="shared" si="62"/>
        <v>0</v>
      </c>
      <c r="W137" s="755"/>
      <c r="X137" s="755">
        <f ref="X137:AI137" t="shared" si="63">SUM(X109:X136)</f>
        <v>0</v>
      </c>
      <c r="Y137" s="755">
        <f t="shared" si="63"/>
        <v>0</v>
      </c>
      <c r="Z137" s="755">
        <f t="shared" si="63"/>
        <v>0</v>
      </c>
      <c r="AA137" s="755">
        <f t="shared" si="63"/>
        <v>0</v>
      </c>
      <c r="AB137" s="755">
        <f t="shared" si="63"/>
        <v>0</v>
      </c>
      <c r="AC137" s="755">
        <f t="shared" si="63"/>
        <v>0</v>
      </c>
      <c r="AD137" s="755">
        <f t="shared" si="63"/>
        <v>0</v>
      </c>
      <c r="AE137" s="755">
        <f t="shared" si="63"/>
        <v>0</v>
      </c>
      <c r="AF137" s="755">
        <f t="shared" si="63"/>
        <v>0</v>
      </c>
      <c r="AG137" s="755">
        <f t="shared" si="63"/>
        <v>0</v>
      </c>
      <c r="AH137" s="755">
        <f t="shared" si="63"/>
        <v>0</v>
      </c>
      <c r="AI137" s="755">
        <f t="shared" si="63"/>
        <v>0</v>
      </c>
      <c r="AJ137" s="755">
        <f ref="AJ137:AN137" t="shared" si="64">SUM(AJ107:AJ136)</f>
        <v>0</v>
      </c>
      <c r="AK137" s="755">
        <f t="shared" si="64"/>
        <v>0</v>
      </c>
      <c r="AL137" s="755">
        <f t="shared" si="64"/>
        <v>0</v>
      </c>
      <c r="AM137" s="755">
        <f t="shared" si="64"/>
        <v>0</v>
      </c>
      <c r="AN137" s="755">
        <f t="shared" si="64"/>
        <v>0</v>
      </c>
      <c r="AO137" s="755">
        <f ref="AO137:BE137" t="shared" si="65">SUM(AO109:AO136)</f>
        <v>0</v>
      </c>
      <c r="AP137" s="755">
        <f t="shared" si="65"/>
        <v>0</v>
      </c>
      <c r="AQ137" s="755">
        <f t="shared" si="65"/>
        <v>0</v>
      </c>
      <c r="AR137" s="755">
        <f t="shared" si="65"/>
        <v>0</v>
      </c>
      <c r="AS137" s="756">
        <f t="shared" si="65"/>
        <v>0</v>
      </c>
      <c r="AT137" s="757">
        <f t="shared" si="65"/>
        <v>0</v>
      </c>
      <c r="AU137" s="757">
        <f t="shared" si="65"/>
        <v>0</v>
      </c>
      <c r="AV137" s="757">
        <f t="shared" si="65"/>
        <v>0</v>
      </c>
      <c r="AW137" s="757">
        <f t="shared" si="65"/>
        <v>0</v>
      </c>
      <c r="AX137" s="809">
        <f t="shared" si="65"/>
        <v>0</v>
      </c>
      <c r="AY137" s="810">
        <f t="shared" si="65"/>
        <v>0</v>
      </c>
      <c r="AZ137" s="757">
        <f t="shared" si="65"/>
        <v>0</v>
      </c>
      <c r="BA137" s="757">
        <f t="shared" si="65"/>
        <v>0</v>
      </c>
      <c r="BB137" s="757">
        <f t="shared" si="65"/>
        <v>0</v>
      </c>
      <c r="BC137" s="757">
        <f t="shared" si="65"/>
        <v>0</v>
      </c>
      <c r="BD137" s="755">
        <f t="shared" si="65"/>
        <v>0</v>
      </c>
      <c r="BE137" s="771">
        <f t="shared" si="65"/>
        <v>0</v>
      </c>
      <c r="BF137" s="235"/>
      <c r="BG137" s="755">
        <f ref="BG137:BU137" t="shared" si="66">SUM(BG109:BG136)</f>
        <v>520</v>
      </c>
      <c r="BH137" s="755">
        <f t="shared" si="66"/>
        <v>0</v>
      </c>
      <c r="BI137" s="755">
        <f t="shared" si="66"/>
        <v>0</v>
      </c>
      <c r="BJ137" s="755">
        <f t="shared" si="66"/>
        <v>0</v>
      </c>
      <c r="BK137" s="755">
        <f t="shared" si="66"/>
        <v>0</v>
      </c>
      <c r="BL137" s="755">
        <f t="shared" si="66"/>
        <v>0</v>
      </c>
      <c r="BM137" s="755">
        <f t="shared" si="66"/>
        <v>0</v>
      </c>
      <c r="BN137" s="755">
        <f t="shared" si="66"/>
        <v>0</v>
      </c>
      <c r="BO137" s="755">
        <f t="shared" si="66"/>
        <v>0</v>
      </c>
      <c r="BP137" s="755">
        <f t="shared" si="66"/>
        <v>0</v>
      </c>
      <c r="BQ137" s="755">
        <f t="shared" si="66"/>
        <v>0</v>
      </c>
      <c r="BR137" s="755">
        <f t="shared" si="66"/>
        <v>520</v>
      </c>
      <c r="BS137" s="755">
        <f t="shared" si="66"/>
        <v>0</v>
      </c>
      <c r="BT137" s="755">
        <f t="shared" si="66"/>
        <v>0</v>
      </c>
      <c r="BU137" s="771">
        <f t="shared" si="66"/>
        <v>-520</v>
      </c>
      <c r="BV137" s="235"/>
    </row>
    <row r="138" ht="14.25" customHeight="1">
      <c r="A138" s="1"/>
      <c r="B138" s="811" t="s">
        <v>11</v>
      </c>
      <c r="C138" s="3"/>
      <c r="D138" s="3"/>
      <c r="E138" s="3"/>
      <c r="F138" s="3"/>
      <c r="G138" s="4"/>
      <c r="H138" s="812">
        <f ref="H138:T138" t="shared" si="67">SUMIF(H107:H136,"&lt;0")</f>
        <v>0</v>
      </c>
      <c r="I138" s="812">
        <f t="shared" si="67"/>
        <v>0</v>
      </c>
      <c r="J138" s="812">
        <f t="shared" si="67"/>
        <v>0</v>
      </c>
      <c r="K138" s="812">
        <f t="shared" si="67"/>
        <v>0</v>
      </c>
      <c r="L138" s="812">
        <f t="shared" si="67"/>
        <v>0</v>
      </c>
      <c r="M138" s="812">
        <f t="shared" si="67"/>
        <v>0</v>
      </c>
      <c r="N138" s="812">
        <f t="shared" si="67"/>
        <v>0</v>
      </c>
      <c r="O138" s="812">
        <f t="shared" si="67"/>
        <v>0</v>
      </c>
      <c r="P138" s="812">
        <f t="shared" si="67"/>
        <v>0</v>
      </c>
      <c r="Q138" s="812">
        <f t="shared" si="67"/>
        <v>0</v>
      </c>
      <c r="R138" s="812">
        <f t="shared" si="67"/>
        <v>0</v>
      </c>
      <c r="S138" s="812">
        <f t="shared" si="67"/>
        <v>0</v>
      </c>
      <c r="T138" s="812">
        <f t="shared" si="67"/>
        <v>0</v>
      </c>
      <c r="U138" s="3"/>
      <c r="V138" s="3"/>
      <c r="W138" s="132"/>
      <c r="X138" s="132"/>
      <c r="Y138" s="1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4"/>
      <c r="AN138" s="3"/>
      <c r="AO138" s="3"/>
      <c r="AP138" s="3"/>
      <c r="AQ138" s="3"/>
      <c r="AR138" s="3"/>
      <c r="AS138" s="813"/>
      <c r="AT138" s="814"/>
      <c r="AU138" s="814"/>
      <c r="AV138" s="814"/>
      <c r="AW138" s="814"/>
      <c r="AX138" s="814"/>
      <c r="AY138" s="815"/>
      <c r="AZ138" s="814"/>
      <c r="BA138" s="814"/>
      <c r="BB138" s="814"/>
      <c r="BC138" s="814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</row>
    <row r="139" ht="14.25" customHeight="1">
      <c r="A139" s="1"/>
      <c r="B139" s="2"/>
      <c r="C139" s="3"/>
      <c r="D139" s="3"/>
      <c r="E139" s="3"/>
      <c r="F139" s="3"/>
      <c r="G139" s="4"/>
      <c r="H139" s="4"/>
      <c r="I139" s="1"/>
      <c r="J139" s="3"/>
      <c r="K139" s="3"/>
      <c r="L139" s="3"/>
      <c r="M139" s="3"/>
      <c r="N139" s="3"/>
      <c r="O139" s="3"/>
      <c r="P139" s="3"/>
      <c r="Q139" s="3"/>
      <c r="R139" s="1"/>
      <c r="S139" s="1"/>
      <c r="T139" s="3"/>
      <c r="U139" s="3"/>
      <c r="V139" s="3"/>
      <c r="W139" s="132"/>
      <c r="X139" s="132"/>
      <c r="Y139" s="1"/>
      <c r="Z139" s="3"/>
      <c r="AA139" s="3"/>
      <c r="AB139" s="3"/>
      <c r="AC139" s="3"/>
      <c r="AD139" s="3"/>
      <c r="AE139" s="3"/>
      <c r="AF139" s="3"/>
      <c r="AG139" s="3"/>
      <c r="AH139" s="3"/>
      <c r="AI139" s="176"/>
      <c r="AJ139" s="3"/>
      <c r="AK139" s="3"/>
      <c r="AL139" s="3"/>
      <c r="AM139" s="4"/>
      <c r="AN139" s="3"/>
      <c r="AO139" s="3"/>
      <c r="AP139" s="3"/>
      <c r="AQ139" s="3"/>
      <c r="AR139" s="3"/>
      <c r="AS139" s="1"/>
      <c r="AT139" s="3"/>
      <c r="AU139" s="3"/>
      <c r="AV139" s="3"/>
      <c r="AW139" s="3"/>
      <c r="AX139" s="3"/>
      <c r="AY139" s="120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</row>
    <row r="140" ht="14.25" customHeight="1">
      <c r="A140" s="132"/>
      <c r="B140" s="179">
        <v>46143</v>
      </c>
      <c r="C140" s="180"/>
      <c r="D140" s="482"/>
      <c r="E140" s="182"/>
      <c r="F140" s="182"/>
      <c r="G140" s="816">
        <f ref="G140:G170" t="shared" si="68">+C140+D140+E140+F140</f>
        <v>0</v>
      </c>
      <c r="H140" s="817"/>
      <c r="I140" s="743"/>
      <c r="J140" s="100"/>
      <c r="K140" s="100"/>
      <c r="L140" s="101"/>
      <c r="M140" s="101"/>
      <c r="N140" s="101"/>
      <c r="O140" s="102"/>
      <c r="P140" s="102"/>
      <c r="Q140" s="101"/>
      <c r="R140" s="638"/>
      <c r="S140" s="638"/>
      <c r="T140" s="101"/>
      <c r="U140" s="103">
        <f ref="U140:U146" t="shared" si="69">SUM(I140:T140)</f>
        <v>0</v>
      </c>
      <c r="V140" s="193"/>
      <c r="W140" s="193"/>
      <c r="X140" s="186"/>
      <c r="Y140" s="778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03">
        <f ref="AI140:AI170" t="shared" si="70">SUM(V140:AH140)</f>
        <v>0</v>
      </c>
      <c r="AJ140" s="181"/>
      <c r="AK140" s="181"/>
      <c r="AL140" s="190"/>
      <c r="AM140" s="191">
        <f ref="AM140:AM170" t="shared" si="71">SUM(AJ140:AL140)</f>
        <v>0</v>
      </c>
      <c r="AN140" s="186"/>
      <c r="AO140" s="186"/>
      <c r="AP140" s="186"/>
      <c r="AQ140" s="193"/>
      <c r="AR140" s="219">
        <f ref="AR140:AR170" t="shared" si="72">+G140-U140-AI140-AM140-AN140-AO140-AP140-AQ140</f>
        <v>0</v>
      </c>
      <c r="AS140" s="181"/>
      <c r="AT140" s="190"/>
      <c r="AU140" s="132"/>
      <c r="AV140" s="132"/>
      <c r="AW140" s="132"/>
      <c r="AX140" s="132"/>
      <c r="AY140" s="181"/>
      <c r="AZ140" s="132"/>
      <c r="BA140" s="132"/>
      <c r="BB140" s="132"/>
      <c r="BC140" s="190"/>
      <c r="BD140" s="272">
        <f ref="BD140:BD170" t="shared" si="73">SUM(AS140:BC140)-BB140</f>
        <v>0</v>
      </c>
      <c r="BE140" s="195">
        <f ref="BE140:BE170" t="shared" si="74">+AR140-BD140</f>
        <v>0</v>
      </c>
      <c r="BF140" s="132"/>
      <c r="BG140" s="195">
        <f ref="BG140:BG170" t="shared" si="75">SUM(BH140:BT140)</f>
        <v>0</v>
      </c>
      <c r="BH140" s="196"/>
      <c r="BI140" s="196"/>
      <c r="BJ140" s="196"/>
      <c r="BK140" s="196"/>
      <c r="BL140" s="196"/>
      <c r="BM140" s="196"/>
      <c r="BN140" s="196"/>
      <c r="BO140" s="196"/>
      <c r="BP140" s="196"/>
      <c r="BQ140" s="196"/>
      <c r="BR140" s="196"/>
      <c r="BS140" s="196"/>
      <c r="BT140" s="196"/>
      <c r="BU140" s="116">
        <f ref="BU140:BU170" t="shared" si="76">+BE140-BG140</f>
        <v>0</v>
      </c>
      <c r="BV140" s="132"/>
    </row>
    <row r="141" ht="14.25" customHeight="1">
      <c r="A141" s="132"/>
      <c r="B141" s="818">
        <v>46144</v>
      </c>
      <c r="C141" s="133"/>
      <c r="D141" s="134"/>
      <c r="E141" s="135"/>
      <c r="F141" s="135"/>
      <c r="G141" s="98">
        <f t="shared" si="68"/>
        <v>0</v>
      </c>
      <c r="H141" s="819"/>
      <c r="I141" s="746"/>
      <c r="J141" s="122"/>
      <c r="K141" s="122"/>
      <c r="L141" s="99"/>
      <c r="M141" s="99"/>
      <c r="N141" s="99"/>
      <c r="O141" s="121"/>
      <c r="P141" s="121"/>
      <c r="Q141" s="99"/>
      <c r="R141" s="748"/>
      <c r="S141" s="641"/>
      <c r="T141" s="99"/>
      <c r="U141" s="103">
        <f t="shared" si="69"/>
        <v>0</v>
      </c>
      <c r="V141" s="146"/>
      <c r="W141" s="146"/>
      <c r="X141" s="143"/>
      <c r="Y141" s="768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03">
        <f t="shared" si="70"/>
        <v>0</v>
      </c>
      <c r="AJ141" s="134"/>
      <c r="AK141" s="134"/>
      <c r="AL141" s="136"/>
      <c r="AM141" s="105">
        <f t="shared" si="71"/>
        <v>0</v>
      </c>
      <c r="AN141" s="143"/>
      <c r="AO141" s="143"/>
      <c r="AP141" s="143"/>
      <c r="AQ141" s="146"/>
      <c r="AR141" s="224">
        <f t="shared" si="72"/>
        <v>0</v>
      </c>
      <c r="AS141" s="134"/>
      <c r="AT141" s="136"/>
      <c r="AU141" s="132"/>
      <c r="AV141" s="132"/>
      <c r="AW141" s="132"/>
      <c r="AX141" s="132"/>
      <c r="AY141" s="134"/>
      <c r="AZ141" s="132"/>
      <c r="BA141" s="132"/>
      <c r="BB141" s="132"/>
      <c r="BC141" s="136"/>
      <c r="BD141" s="222">
        <f t="shared" si="73"/>
        <v>0</v>
      </c>
      <c r="BE141" s="140">
        <f t="shared" si="74"/>
        <v>0</v>
      </c>
      <c r="BF141" s="132"/>
      <c r="BG141" s="140">
        <f t="shared" si="75"/>
        <v>0</v>
      </c>
      <c r="BH141" s="141"/>
      <c r="BI141" s="141"/>
      <c r="BJ141" s="141"/>
      <c r="BK141" s="141"/>
      <c r="BL141" s="141"/>
      <c r="BM141" s="141"/>
      <c r="BN141" s="141"/>
      <c r="BO141" s="141"/>
      <c r="BP141" s="141"/>
      <c r="BQ141" s="141"/>
      <c r="BR141" s="141"/>
      <c r="BS141" s="141"/>
      <c r="BT141" s="141"/>
      <c r="BU141" s="130">
        <f t="shared" si="76"/>
        <v>0</v>
      </c>
      <c r="BV141" s="132"/>
    </row>
    <row r="142" ht="14.25" customHeight="1">
      <c r="A142" s="132"/>
      <c r="B142" s="818">
        <v>46145</v>
      </c>
      <c r="C142" s="133"/>
      <c r="D142" s="134"/>
      <c r="E142" s="135"/>
      <c r="F142" s="135"/>
      <c r="G142" s="98">
        <f t="shared" si="68"/>
        <v>0</v>
      </c>
      <c r="H142" s="819"/>
      <c r="I142" s="746"/>
      <c r="J142" s="122"/>
      <c r="K142" s="122"/>
      <c r="L142" s="99"/>
      <c r="M142" s="99"/>
      <c r="N142" s="99"/>
      <c r="O142" s="121"/>
      <c r="P142" s="230"/>
      <c r="Q142" s="99"/>
      <c r="R142" s="641"/>
      <c r="S142" s="641"/>
      <c r="T142" s="99"/>
      <c r="U142" s="103">
        <f t="shared" si="69"/>
        <v>0</v>
      </c>
      <c r="V142" s="146"/>
      <c r="W142" s="146"/>
      <c r="X142" s="143"/>
      <c r="Y142" s="768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03">
        <f t="shared" si="70"/>
        <v>0</v>
      </c>
      <c r="AJ142" s="134"/>
      <c r="AK142" s="134"/>
      <c r="AL142" s="136"/>
      <c r="AM142" s="105">
        <f t="shared" si="71"/>
        <v>0</v>
      </c>
      <c r="AN142" s="143"/>
      <c r="AO142" s="143"/>
      <c r="AP142" s="143"/>
      <c r="AQ142" s="146"/>
      <c r="AR142" s="224">
        <f t="shared" si="72"/>
        <v>0</v>
      </c>
      <c r="AS142" s="134"/>
      <c r="AT142" s="136"/>
      <c r="AU142" s="132"/>
      <c r="AV142" s="132"/>
      <c r="AW142" s="132"/>
      <c r="AX142" s="132"/>
      <c r="AY142" s="134"/>
      <c r="AZ142" s="132"/>
      <c r="BA142" s="132"/>
      <c r="BB142" s="132"/>
      <c r="BC142" s="136"/>
      <c r="BD142" s="222">
        <f t="shared" si="73"/>
        <v>0</v>
      </c>
      <c r="BE142" s="140">
        <f t="shared" si="74"/>
        <v>0</v>
      </c>
      <c r="BF142" s="132"/>
      <c r="BG142" s="140">
        <f t="shared" si="75"/>
        <v>0</v>
      </c>
      <c r="BH142" s="141"/>
      <c r="BI142" s="141"/>
      <c r="BJ142" s="141"/>
      <c r="BK142" s="141"/>
      <c r="BL142" s="141"/>
      <c r="BM142" s="141"/>
      <c r="BN142" s="141"/>
      <c r="BO142" s="141"/>
      <c r="BP142" s="141"/>
      <c r="BQ142" s="141"/>
      <c r="BR142" s="141"/>
      <c r="BS142" s="141"/>
      <c r="BT142" s="141"/>
      <c r="BU142" s="130">
        <f t="shared" si="76"/>
        <v>0</v>
      </c>
      <c r="BV142" s="132"/>
    </row>
    <row r="143" ht="14.25" customHeight="1">
      <c r="A143" s="132"/>
      <c r="B143" s="818">
        <v>46146</v>
      </c>
      <c r="C143" s="133"/>
      <c r="D143" s="134"/>
      <c r="E143" s="135"/>
      <c r="F143" s="135"/>
      <c r="G143" s="98">
        <f t="shared" si="68"/>
        <v>0</v>
      </c>
      <c r="H143" s="819"/>
      <c r="I143" s="746"/>
      <c r="J143" s="122"/>
      <c r="K143" s="122"/>
      <c r="L143" s="99"/>
      <c r="M143" s="99"/>
      <c r="N143" s="99"/>
      <c r="O143" s="99"/>
      <c r="P143" s="99"/>
      <c r="Q143" s="99"/>
      <c r="R143" s="641"/>
      <c r="S143" s="641"/>
      <c r="T143" s="99"/>
      <c r="U143" s="103">
        <f t="shared" si="69"/>
        <v>0</v>
      </c>
      <c r="V143" s="146"/>
      <c r="W143" s="146"/>
      <c r="X143" s="143"/>
      <c r="Y143" s="768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03">
        <f t="shared" si="70"/>
        <v>0</v>
      </c>
      <c r="AJ143" s="134"/>
      <c r="AK143" s="134"/>
      <c r="AL143" s="136"/>
      <c r="AM143" s="105">
        <f t="shared" si="71"/>
        <v>0</v>
      </c>
      <c r="AN143" s="145"/>
      <c r="AO143" s="143"/>
      <c r="AP143" s="143"/>
      <c r="AQ143" s="146"/>
      <c r="AR143" s="224">
        <f t="shared" si="72"/>
        <v>0</v>
      </c>
      <c r="AS143" s="134"/>
      <c r="AT143" s="136"/>
      <c r="AU143" s="132"/>
      <c r="AV143" s="132"/>
      <c r="AW143" s="132"/>
      <c r="AX143" s="132"/>
      <c r="AY143" s="134"/>
      <c r="AZ143" s="132"/>
      <c r="BA143" s="132"/>
      <c r="BB143" s="132"/>
      <c r="BC143" s="136"/>
      <c r="BD143" s="222">
        <f t="shared" si="73"/>
        <v>0</v>
      </c>
      <c r="BE143" s="140">
        <f t="shared" si="74"/>
        <v>0</v>
      </c>
      <c r="BF143" s="132"/>
      <c r="BG143" s="140">
        <f t="shared" si="75"/>
        <v>0</v>
      </c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41"/>
      <c r="BU143" s="130">
        <f t="shared" si="76"/>
        <v>0</v>
      </c>
      <c r="BV143" s="132"/>
    </row>
    <row r="144" ht="14.25" customHeight="1">
      <c r="A144" s="132"/>
      <c r="B144" s="818">
        <v>46147</v>
      </c>
      <c r="C144" s="133"/>
      <c r="D144" s="134"/>
      <c r="E144" s="135"/>
      <c r="F144" s="135"/>
      <c r="G144" s="98">
        <f t="shared" si="68"/>
        <v>0</v>
      </c>
      <c r="H144" s="819"/>
      <c r="I144" s="746"/>
      <c r="J144" s="122"/>
      <c r="K144" s="122"/>
      <c r="L144" s="99"/>
      <c r="M144" s="99"/>
      <c r="N144" s="99"/>
      <c r="O144" s="121"/>
      <c r="P144" s="99"/>
      <c r="Q144" s="99"/>
      <c r="R144" s="641"/>
      <c r="S144" s="748"/>
      <c r="T144" s="99"/>
      <c r="U144" s="103">
        <f t="shared" si="69"/>
        <v>0</v>
      </c>
      <c r="V144" s="146"/>
      <c r="W144" s="146"/>
      <c r="X144" s="143"/>
      <c r="Y144" s="768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03">
        <f t="shared" si="70"/>
        <v>0</v>
      </c>
      <c r="AJ144" s="134"/>
      <c r="AK144" s="134"/>
      <c r="AL144" s="136"/>
      <c r="AM144" s="105">
        <f t="shared" si="71"/>
        <v>0</v>
      </c>
      <c r="AN144" s="145"/>
      <c r="AO144" s="143"/>
      <c r="AP144" s="143"/>
      <c r="AQ144" s="146"/>
      <c r="AR144" s="224">
        <f t="shared" si="72"/>
        <v>0</v>
      </c>
      <c r="AS144" s="134"/>
      <c r="AT144" s="136"/>
      <c r="AU144" s="132"/>
      <c r="AV144" s="132"/>
      <c r="AW144" s="132"/>
      <c r="AX144" s="132"/>
      <c r="AY144" s="134"/>
      <c r="AZ144" s="132"/>
      <c r="BA144" s="132"/>
      <c r="BB144" s="132"/>
      <c r="BC144" s="136"/>
      <c r="BD144" s="222">
        <f t="shared" si="73"/>
        <v>0</v>
      </c>
      <c r="BE144" s="140">
        <f t="shared" si="74"/>
        <v>0</v>
      </c>
      <c r="BF144" s="132"/>
      <c r="BG144" s="140">
        <f t="shared" si="75"/>
        <v>0</v>
      </c>
      <c r="BH144" s="141"/>
      <c r="BI144" s="141"/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41"/>
      <c r="BU144" s="130">
        <f t="shared" si="76"/>
        <v>0</v>
      </c>
      <c r="BV144" s="132"/>
    </row>
    <row r="145" ht="14.25" customHeight="1">
      <c r="A145" s="132"/>
      <c r="B145" s="818">
        <v>46148</v>
      </c>
      <c r="C145" s="133"/>
      <c r="D145" s="136"/>
      <c r="E145" s="135"/>
      <c r="F145" s="135"/>
      <c r="G145" s="98">
        <f t="shared" si="68"/>
        <v>0</v>
      </c>
      <c r="H145" s="819"/>
      <c r="I145" s="746"/>
      <c r="J145" s="122"/>
      <c r="K145" s="122"/>
      <c r="L145" s="99"/>
      <c r="M145" s="99"/>
      <c r="N145" s="99"/>
      <c r="O145" s="99"/>
      <c r="P145" s="99"/>
      <c r="Q145" s="99"/>
      <c r="R145" s="641"/>
      <c r="S145" s="641"/>
      <c r="T145" s="99"/>
      <c r="U145" s="103">
        <f t="shared" si="69"/>
        <v>0</v>
      </c>
      <c r="V145" s="146"/>
      <c r="W145" s="780"/>
      <c r="X145" s="231"/>
      <c r="Y145" s="768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03">
        <f t="shared" si="70"/>
        <v>0</v>
      </c>
      <c r="AJ145" s="136"/>
      <c r="AK145" s="136"/>
      <c r="AL145" s="136"/>
      <c r="AM145" s="105">
        <f t="shared" si="71"/>
        <v>0</v>
      </c>
      <c r="AN145" s="143"/>
      <c r="AO145" s="143"/>
      <c r="AP145" s="143"/>
      <c r="AQ145" s="146"/>
      <c r="AR145" s="224">
        <f t="shared" si="72"/>
        <v>0</v>
      </c>
      <c r="AS145" s="136"/>
      <c r="AT145" s="136"/>
      <c r="AU145" s="132"/>
      <c r="AV145" s="132"/>
      <c r="AW145" s="132"/>
      <c r="AX145" s="132"/>
      <c r="AY145" s="136"/>
      <c r="AZ145" s="132"/>
      <c r="BA145" s="132"/>
      <c r="BB145" s="132"/>
      <c r="BC145" s="136"/>
      <c r="BD145" s="222">
        <f t="shared" si="73"/>
        <v>0</v>
      </c>
      <c r="BE145" s="140">
        <f t="shared" si="74"/>
        <v>0</v>
      </c>
      <c r="BF145" s="132"/>
      <c r="BG145" s="140">
        <f t="shared" si="75"/>
        <v>0</v>
      </c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30">
        <f t="shared" si="76"/>
        <v>0</v>
      </c>
      <c r="BV145" s="132"/>
    </row>
    <row r="146" ht="14.25" customHeight="1">
      <c r="A146" s="132"/>
      <c r="B146" s="818">
        <v>46149</v>
      </c>
      <c r="C146" s="133"/>
      <c r="D146" s="136"/>
      <c r="E146" s="135"/>
      <c r="F146" s="135"/>
      <c r="G146" s="98">
        <f t="shared" si="68"/>
        <v>0</v>
      </c>
      <c r="H146" s="819"/>
      <c r="I146" s="746"/>
      <c r="J146" s="122"/>
      <c r="K146" s="122"/>
      <c r="L146" s="99"/>
      <c r="M146" s="99"/>
      <c r="N146" s="99"/>
      <c r="O146" s="99"/>
      <c r="P146" s="99"/>
      <c r="Q146" s="99"/>
      <c r="R146" s="641"/>
      <c r="S146" s="641"/>
      <c r="T146" s="99"/>
      <c r="U146" s="103">
        <f t="shared" si="69"/>
        <v>0</v>
      </c>
      <c r="V146" s="146"/>
      <c r="W146" s="146"/>
      <c r="X146" s="143"/>
      <c r="Y146" s="768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03">
        <f t="shared" si="70"/>
        <v>0</v>
      </c>
      <c r="AJ146" s="136"/>
      <c r="AK146" s="136"/>
      <c r="AL146" s="136"/>
      <c r="AM146" s="105">
        <f t="shared" si="71"/>
        <v>0</v>
      </c>
      <c r="AN146" s="143"/>
      <c r="AO146" s="143"/>
      <c r="AP146" s="143"/>
      <c r="AQ146" s="146"/>
      <c r="AR146" s="224">
        <f t="shared" si="72"/>
        <v>0</v>
      </c>
      <c r="AS146" s="136"/>
      <c r="AT146" s="136"/>
      <c r="AU146" s="132"/>
      <c r="AV146" s="132"/>
      <c r="AW146" s="132"/>
      <c r="AX146" s="132"/>
      <c r="AY146" s="136"/>
      <c r="AZ146" s="132"/>
      <c r="BA146" s="132"/>
      <c r="BB146" s="132"/>
      <c r="BC146" s="136"/>
      <c r="BD146" s="222">
        <f t="shared" si="73"/>
        <v>0</v>
      </c>
      <c r="BE146" s="140">
        <f t="shared" si="74"/>
        <v>0</v>
      </c>
      <c r="BF146" s="132"/>
      <c r="BG146" s="140">
        <f t="shared" si="75"/>
        <v>0</v>
      </c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30">
        <f t="shared" si="76"/>
        <v>0</v>
      </c>
      <c r="BV146" s="132"/>
    </row>
    <row r="147" ht="14.25" customHeight="1">
      <c r="A147" s="132"/>
      <c r="B147" s="818">
        <v>46150</v>
      </c>
      <c r="C147" s="133"/>
      <c r="D147" s="136"/>
      <c r="E147" s="135"/>
      <c r="F147" s="135"/>
      <c r="G147" s="98">
        <f t="shared" si="68"/>
        <v>0</v>
      </c>
      <c r="H147" s="819"/>
      <c r="I147" s="746"/>
      <c r="J147" s="122"/>
      <c r="K147" s="122"/>
      <c r="L147" s="99"/>
      <c r="M147" s="99"/>
      <c r="N147" s="99"/>
      <c r="O147" s="99"/>
      <c r="P147" s="99"/>
      <c r="Q147" s="99"/>
      <c r="R147" s="641"/>
      <c r="S147" s="641"/>
      <c r="T147" s="99"/>
      <c r="U147" s="103">
        <f ref="U147:U170" t="shared" si="77">SUM(H147:T147)</f>
        <v>0</v>
      </c>
      <c r="V147" s="143"/>
      <c r="W147" s="143"/>
      <c r="X147" s="143"/>
      <c r="Y147" s="611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03">
        <f t="shared" si="70"/>
        <v>0</v>
      </c>
      <c r="AJ147" s="136"/>
      <c r="AK147" s="136"/>
      <c r="AL147" s="136"/>
      <c r="AM147" s="105">
        <f t="shared" si="71"/>
        <v>0</v>
      </c>
      <c r="AN147" s="143"/>
      <c r="AO147" s="143"/>
      <c r="AP147" s="143"/>
      <c r="AQ147" s="146"/>
      <c r="AR147" s="224">
        <f t="shared" si="72"/>
        <v>0</v>
      </c>
      <c r="AS147" s="136"/>
      <c r="AT147" s="136"/>
      <c r="AU147" s="132"/>
      <c r="AV147" s="132"/>
      <c r="AW147" s="132"/>
      <c r="AX147" s="132"/>
      <c r="AY147" s="136"/>
      <c r="AZ147" s="132"/>
      <c r="BA147" s="132"/>
      <c r="BB147" s="132"/>
      <c r="BC147" s="136"/>
      <c r="BD147" s="222">
        <f t="shared" si="73"/>
        <v>0</v>
      </c>
      <c r="BE147" s="140">
        <f t="shared" si="74"/>
        <v>0</v>
      </c>
      <c r="BF147" s="132"/>
      <c r="BG147" s="140">
        <f t="shared" si="75"/>
        <v>0</v>
      </c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30">
        <f t="shared" si="76"/>
        <v>0</v>
      </c>
      <c r="BV147" s="132"/>
    </row>
    <row r="148" ht="14.25" customHeight="1">
      <c r="A148" s="132"/>
      <c r="B148" s="818">
        <v>46151</v>
      </c>
      <c r="C148" s="133"/>
      <c r="D148" s="136"/>
      <c r="E148" s="135"/>
      <c r="F148" s="135"/>
      <c r="G148" s="98">
        <f t="shared" si="68"/>
        <v>0</v>
      </c>
      <c r="H148" s="819"/>
      <c r="I148" s="746"/>
      <c r="J148" s="122"/>
      <c r="K148" s="122"/>
      <c r="L148" s="99"/>
      <c r="M148" s="99"/>
      <c r="N148" s="99"/>
      <c r="O148" s="99"/>
      <c r="P148" s="99"/>
      <c r="Q148" s="99"/>
      <c r="R148" s="641"/>
      <c r="S148" s="641"/>
      <c r="T148" s="99"/>
      <c r="U148" s="103">
        <f t="shared" si="77"/>
        <v>0</v>
      </c>
      <c r="V148" s="143"/>
      <c r="W148" s="143"/>
      <c r="X148" s="143"/>
      <c r="Y148" s="611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03">
        <f t="shared" si="70"/>
        <v>0</v>
      </c>
      <c r="AJ148" s="136"/>
      <c r="AK148" s="136"/>
      <c r="AL148" s="136"/>
      <c r="AM148" s="105">
        <f t="shared" si="71"/>
        <v>0</v>
      </c>
      <c r="AN148" s="143"/>
      <c r="AO148" s="143"/>
      <c r="AP148" s="143"/>
      <c r="AQ148" s="146"/>
      <c r="AR148" s="224">
        <f t="shared" si="72"/>
        <v>0</v>
      </c>
      <c r="AS148" s="136"/>
      <c r="AT148" s="136"/>
      <c r="AU148" s="132"/>
      <c r="AV148" s="132"/>
      <c r="AW148" s="132"/>
      <c r="AX148" s="132"/>
      <c r="AY148" s="136"/>
      <c r="AZ148" s="132"/>
      <c r="BA148" s="132"/>
      <c r="BB148" s="132"/>
      <c r="BC148" s="136"/>
      <c r="BD148" s="222">
        <f t="shared" si="73"/>
        <v>0</v>
      </c>
      <c r="BE148" s="140">
        <f t="shared" si="74"/>
        <v>0</v>
      </c>
      <c r="BF148" s="132"/>
      <c r="BG148" s="140">
        <f t="shared" si="75"/>
        <v>0</v>
      </c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30">
        <f t="shared" si="76"/>
        <v>0</v>
      </c>
      <c r="BV148" s="132"/>
    </row>
    <row r="149" ht="14.25" customHeight="1">
      <c r="A149" s="132"/>
      <c r="B149" s="818">
        <v>46152</v>
      </c>
      <c r="C149" s="133"/>
      <c r="D149" s="136"/>
      <c r="E149" s="135"/>
      <c r="F149" s="135"/>
      <c r="G149" s="98">
        <f t="shared" si="68"/>
        <v>0</v>
      </c>
      <c r="H149" s="819"/>
      <c r="I149" s="746"/>
      <c r="J149" s="122"/>
      <c r="K149" s="122"/>
      <c r="L149" s="99"/>
      <c r="M149" s="99"/>
      <c r="N149" s="99"/>
      <c r="O149" s="99"/>
      <c r="P149" s="99"/>
      <c r="Q149" s="99"/>
      <c r="R149" s="641"/>
      <c r="S149" s="641"/>
      <c r="T149" s="99"/>
      <c r="U149" s="103">
        <f t="shared" si="77"/>
        <v>0</v>
      </c>
      <c r="V149" s="804"/>
      <c r="W149" s="143"/>
      <c r="X149" s="143"/>
      <c r="Y149" s="611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03">
        <f t="shared" si="70"/>
        <v>0</v>
      </c>
      <c r="AJ149" s="136"/>
      <c r="AK149" s="136"/>
      <c r="AL149" s="136"/>
      <c r="AM149" s="105">
        <f t="shared" si="71"/>
        <v>0</v>
      </c>
      <c r="AN149" s="143"/>
      <c r="AO149" s="143"/>
      <c r="AP149" s="143"/>
      <c r="AQ149" s="146"/>
      <c r="AR149" s="224">
        <f t="shared" si="72"/>
        <v>0</v>
      </c>
      <c r="AS149" s="136"/>
      <c r="AT149" s="136"/>
      <c r="AU149" s="132"/>
      <c r="AV149" s="132"/>
      <c r="AW149" s="132"/>
      <c r="AX149" s="132"/>
      <c r="AY149" s="136"/>
      <c r="AZ149" s="132"/>
      <c r="BA149" s="132"/>
      <c r="BB149" s="132"/>
      <c r="BC149" s="136"/>
      <c r="BD149" s="222">
        <f t="shared" si="73"/>
        <v>0</v>
      </c>
      <c r="BE149" s="140">
        <f t="shared" si="74"/>
        <v>0</v>
      </c>
      <c r="BF149" s="132"/>
      <c r="BG149" s="140">
        <f t="shared" si="75"/>
        <v>0</v>
      </c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30">
        <f t="shared" si="76"/>
        <v>0</v>
      </c>
      <c r="BV149" s="132"/>
    </row>
    <row r="150" ht="14.25" customHeight="1">
      <c r="A150" s="132"/>
      <c r="B150" s="818">
        <v>46153</v>
      </c>
      <c r="C150" s="133"/>
      <c r="D150" s="136"/>
      <c r="E150" s="135"/>
      <c r="F150" s="135"/>
      <c r="G150" s="98">
        <f t="shared" si="68"/>
        <v>0</v>
      </c>
      <c r="H150" s="819"/>
      <c r="I150" s="746"/>
      <c r="J150" s="122"/>
      <c r="K150" s="122"/>
      <c r="L150" s="99"/>
      <c r="M150" s="99"/>
      <c r="N150" s="99"/>
      <c r="O150" s="99"/>
      <c r="P150" s="99"/>
      <c r="Q150" s="99"/>
      <c r="R150" s="641"/>
      <c r="S150" s="641"/>
      <c r="T150" s="99"/>
      <c r="U150" s="103">
        <f t="shared" si="77"/>
        <v>0</v>
      </c>
      <c r="V150" s="143"/>
      <c r="W150" s="143"/>
      <c r="X150" s="143"/>
      <c r="Y150" s="611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03">
        <f t="shared" si="70"/>
        <v>0</v>
      </c>
      <c r="AJ150" s="136"/>
      <c r="AK150" s="136"/>
      <c r="AL150" s="136"/>
      <c r="AM150" s="105">
        <f t="shared" si="71"/>
        <v>0</v>
      </c>
      <c r="AN150" s="143"/>
      <c r="AO150" s="143"/>
      <c r="AP150" s="143"/>
      <c r="AQ150" s="146"/>
      <c r="AR150" s="224">
        <f t="shared" si="72"/>
        <v>0</v>
      </c>
      <c r="AS150" s="136"/>
      <c r="AT150" s="136"/>
      <c r="AU150" s="132"/>
      <c r="AV150" s="132"/>
      <c r="AW150" s="132"/>
      <c r="AX150" s="132"/>
      <c r="AY150" s="136"/>
      <c r="AZ150" s="132"/>
      <c r="BA150" s="132"/>
      <c r="BB150" s="132"/>
      <c r="BC150" s="136"/>
      <c r="BD150" s="222">
        <f t="shared" si="73"/>
        <v>0</v>
      </c>
      <c r="BE150" s="140">
        <f t="shared" si="74"/>
        <v>0</v>
      </c>
      <c r="BF150" s="132"/>
      <c r="BG150" s="140">
        <f t="shared" si="75"/>
        <v>0</v>
      </c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30">
        <f t="shared" si="76"/>
        <v>0</v>
      </c>
      <c r="BV150" s="132"/>
    </row>
    <row r="151" ht="14.25" customHeight="1">
      <c r="A151" s="132"/>
      <c r="B151" s="818">
        <v>46154</v>
      </c>
      <c r="C151" s="133"/>
      <c r="D151" s="136"/>
      <c r="E151" s="135"/>
      <c r="F151" s="135"/>
      <c r="G151" s="98">
        <f t="shared" si="68"/>
        <v>0</v>
      </c>
      <c r="H151" s="819"/>
      <c r="I151" s="746"/>
      <c r="J151" s="122"/>
      <c r="K151" s="122"/>
      <c r="L151" s="99"/>
      <c r="M151" s="99"/>
      <c r="N151" s="99"/>
      <c r="O151" s="99"/>
      <c r="P151" s="99"/>
      <c r="Q151" s="99"/>
      <c r="R151" s="641"/>
      <c r="S151" s="641"/>
      <c r="T151" s="99"/>
      <c r="U151" s="103">
        <f t="shared" si="77"/>
        <v>0</v>
      </c>
      <c r="V151" s="143"/>
      <c r="W151" s="143"/>
      <c r="X151" s="143"/>
      <c r="Y151" s="611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03">
        <f t="shared" si="70"/>
        <v>0</v>
      </c>
      <c r="AJ151" s="136"/>
      <c r="AK151" s="136"/>
      <c r="AL151" s="136"/>
      <c r="AM151" s="105">
        <f t="shared" si="71"/>
        <v>0</v>
      </c>
      <c r="AN151" s="143"/>
      <c r="AO151" s="143"/>
      <c r="AP151" s="143"/>
      <c r="AQ151" s="146"/>
      <c r="AR151" s="224">
        <f t="shared" si="72"/>
        <v>0</v>
      </c>
      <c r="AS151" s="136"/>
      <c r="AT151" s="136"/>
      <c r="AU151" s="132"/>
      <c r="AV151" s="132"/>
      <c r="AW151" s="132"/>
      <c r="AX151" s="132"/>
      <c r="AY151" s="136"/>
      <c r="AZ151" s="132"/>
      <c r="BA151" s="132"/>
      <c r="BB151" s="132"/>
      <c r="BC151" s="136"/>
      <c r="BD151" s="222">
        <f t="shared" si="73"/>
        <v>0</v>
      </c>
      <c r="BE151" s="140">
        <f t="shared" si="74"/>
        <v>0</v>
      </c>
      <c r="BF151" s="132"/>
      <c r="BG151" s="140">
        <f t="shared" si="75"/>
        <v>0</v>
      </c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30">
        <f t="shared" si="76"/>
        <v>0</v>
      </c>
      <c r="BV151" s="132"/>
    </row>
    <row r="152" ht="14.25" customHeight="1">
      <c r="A152" s="132"/>
      <c r="B152" s="818">
        <v>46155</v>
      </c>
      <c r="C152" s="133"/>
      <c r="D152" s="136"/>
      <c r="E152" s="135"/>
      <c r="F152" s="135"/>
      <c r="G152" s="98">
        <f t="shared" si="68"/>
        <v>0</v>
      </c>
      <c r="H152" s="819"/>
      <c r="I152" s="746"/>
      <c r="J152" s="122"/>
      <c r="K152" s="122"/>
      <c r="L152" s="99"/>
      <c r="M152" s="99"/>
      <c r="N152" s="99"/>
      <c r="O152" s="99"/>
      <c r="P152" s="99"/>
      <c r="Q152" s="99"/>
      <c r="R152" s="641"/>
      <c r="S152" s="641"/>
      <c r="T152" s="99"/>
      <c r="U152" s="103">
        <f t="shared" si="77"/>
        <v>0</v>
      </c>
      <c r="V152" s="143"/>
      <c r="W152" s="231"/>
      <c r="X152" s="231"/>
      <c r="Y152" s="611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03">
        <f t="shared" si="70"/>
        <v>0</v>
      </c>
      <c r="AJ152" s="136"/>
      <c r="AK152" s="136"/>
      <c r="AL152" s="136"/>
      <c r="AM152" s="105">
        <f t="shared" si="71"/>
        <v>0</v>
      </c>
      <c r="AN152" s="143"/>
      <c r="AO152" s="143"/>
      <c r="AP152" s="143"/>
      <c r="AQ152" s="146"/>
      <c r="AR152" s="224">
        <f t="shared" si="72"/>
        <v>0</v>
      </c>
      <c r="AS152" s="136"/>
      <c r="AT152" s="136"/>
      <c r="AU152" s="132"/>
      <c r="AV152" s="132"/>
      <c r="AW152" s="132"/>
      <c r="AX152" s="132"/>
      <c r="AY152" s="136"/>
      <c r="AZ152" s="132"/>
      <c r="BA152" s="132"/>
      <c r="BB152" s="132"/>
      <c r="BC152" s="136"/>
      <c r="BD152" s="222">
        <f t="shared" si="73"/>
        <v>0</v>
      </c>
      <c r="BE152" s="140">
        <f t="shared" si="74"/>
        <v>0</v>
      </c>
      <c r="BF152" s="132"/>
      <c r="BG152" s="140">
        <f t="shared" si="75"/>
        <v>0</v>
      </c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30">
        <f t="shared" si="76"/>
        <v>0</v>
      </c>
      <c r="BV152" s="132"/>
    </row>
    <row r="153" ht="14.25" customHeight="1">
      <c r="A153" s="132"/>
      <c r="B153" s="818">
        <v>46156</v>
      </c>
      <c r="C153" s="133"/>
      <c r="D153" s="136"/>
      <c r="E153" s="135"/>
      <c r="F153" s="135"/>
      <c r="G153" s="98">
        <f t="shared" si="68"/>
        <v>0</v>
      </c>
      <c r="H153" s="819"/>
      <c r="I153" s="746"/>
      <c r="J153" s="122"/>
      <c r="K153" s="122"/>
      <c r="L153" s="99"/>
      <c r="M153" s="99"/>
      <c r="N153" s="99"/>
      <c r="O153" s="99"/>
      <c r="P153" s="99"/>
      <c r="Q153" s="99"/>
      <c r="R153" s="641"/>
      <c r="S153" s="641"/>
      <c r="T153" s="99"/>
      <c r="U153" s="103">
        <f t="shared" si="77"/>
        <v>0</v>
      </c>
      <c r="V153" s="143"/>
      <c r="W153" s="143"/>
      <c r="X153" s="143"/>
      <c r="Y153" s="611"/>
      <c r="Z153" s="231"/>
      <c r="AA153" s="143"/>
      <c r="AB153" s="143"/>
      <c r="AC153" s="143"/>
      <c r="AD153" s="143"/>
      <c r="AE153" s="143"/>
      <c r="AF153" s="143"/>
      <c r="AG153" s="143"/>
      <c r="AH153" s="143"/>
      <c r="AI153" s="103">
        <f t="shared" si="70"/>
        <v>0</v>
      </c>
      <c r="AJ153" s="136"/>
      <c r="AK153" s="136"/>
      <c r="AL153" s="136"/>
      <c r="AM153" s="105">
        <f t="shared" si="71"/>
        <v>0</v>
      </c>
      <c r="AN153" s="143"/>
      <c r="AO153" s="143"/>
      <c r="AP153" s="143"/>
      <c r="AQ153" s="146"/>
      <c r="AR153" s="224">
        <f t="shared" si="72"/>
        <v>0</v>
      </c>
      <c r="AS153" s="136"/>
      <c r="AT153" s="136"/>
      <c r="AU153" s="132"/>
      <c r="AV153" s="132"/>
      <c r="AW153" s="132"/>
      <c r="AX153" s="132"/>
      <c r="AY153" s="136"/>
      <c r="AZ153" s="132"/>
      <c r="BA153" s="132"/>
      <c r="BB153" s="132"/>
      <c r="BC153" s="136"/>
      <c r="BD153" s="222">
        <f t="shared" si="73"/>
        <v>0</v>
      </c>
      <c r="BE153" s="140">
        <f t="shared" si="74"/>
        <v>0</v>
      </c>
      <c r="BF153" s="132"/>
      <c r="BG153" s="140">
        <f t="shared" si="75"/>
        <v>0</v>
      </c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30">
        <f t="shared" si="76"/>
        <v>0</v>
      </c>
      <c r="BV153" s="132"/>
    </row>
    <row r="154" ht="14.25" customHeight="1">
      <c r="A154" s="132"/>
      <c r="B154" s="818">
        <v>46157</v>
      </c>
      <c r="C154" s="133"/>
      <c r="D154" s="136"/>
      <c r="E154" s="135"/>
      <c r="F154" s="135"/>
      <c r="G154" s="98">
        <f t="shared" si="68"/>
        <v>0</v>
      </c>
      <c r="H154" s="819"/>
      <c r="I154" s="746"/>
      <c r="J154" s="122"/>
      <c r="K154" s="122"/>
      <c r="L154" s="99"/>
      <c r="M154" s="99"/>
      <c r="N154" s="99"/>
      <c r="O154" s="99"/>
      <c r="P154" s="99"/>
      <c r="Q154" s="99"/>
      <c r="R154" s="641"/>
      <c r="S154" s="641"/>
      <c r="T154" s="99"/>
      <c r="U154" s="103">
        <f t="shared" si="77"/>
        <v>0</v>
      </c>
      <c r="V154" s="143"/>
      <c r="W154" s="143"/>
      <c r="X154" s="143"/>
      <c r="Y154" s="611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03">
        <f t="shared" si="70"/>
        <v>0</v>
      </c>
      <c r="AJ154" s="136"/>
      <c r="AK154" s="136"/>
      <c r="AL154" s="136"/>
      <c r="AM154" s="105">
        <f t="shared" si="71"/>
        <v>0</v>
      </c>
      <c r="AN154" s="143"/>
      <c r="AO154" s="143"/>
      <c r="AP154" s="143"/>
      <c r="AQ154" s="146"/>
      <c r="AR154" s="224">
        <f t="shared" si="72"/>
        <v>0</v>
      </c>
      <c r="AS154" s="136"/>
      <c r="AT154" s="136"/>
      <c r="AU154" s="132"/>
      <c r="AV154" s="132"/>
      <c r="AW154" s="132"/>
      <c r="AX154" s="132"/>
      <c r="AY154" s="136"/>
      <c r="AZ154" s="132"/>
      <c r="BA154" s="132"/>
      <c r="BB154" s="132"/>
      <c r="BC154" s="136"/>
      <c r="BD154" s="222">
        <f t="shared" si="73"/>
        <v>0</v>
      </c>
      <c r="BE154" s="140">
        <f t="shared" si="74"/>
        <v>0</v>
      </c>
      <c r="BF154" s="132"/>
      <c r="BG154" s="140">
        <f t="shared" si="75"/>
        <v>0</v>
      </c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30">
        <f t="shared" si="76"/>
        <v>0</v>
      </c>
      <c r="BV154" s="132"/>
    </row>
    <row r="155" ht="14.25" customHeight="1">
      <c r="A155" s="132"/>
      <c r="B155" s="818">
        <v>46158</v>
      </c>
      <c r="C155" s="133"/>
      <c r="D155" s="136"/>
      <c r="E155" s="135"/>
      <c r="F155" s="135"/>
      <c r="G155" s="98">
        <f t="shared" si="68"/>
        <v>0</v>
      </c>
      <c r="H155" s="819"/>
      <c r="I155" s="746"/>
      <c r="J155" s="122"/>
      <c r="K155" s="122"/>
      <c r="L155" s="99"/>
      <c r="M155" s="99"/>
      <c r="N155" s="99"/>
      <c r="O155" s="99"/>
      <c r="P155" s="99"/>
      <c r="Q155" s="99"/>
      <c r="R155" s="641"/>
      <c r="S155" s="641"/>
      <c r="T155" s="99"/>
      <c r="U155" s="103">
        <f t="shared" si="77"/>
        <v>0</v>
      </c>
      <c r="V155" s="143"/>
      <c r="W155" s="143"/>
      <c r="X155" s="143"/>
      <c r="Y155" s="611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03">
        <f t="shared" si="70"/>
        <v>0</v>
      </c>
      <c r="AJ155" s="136"/>
      <c r="AK155" s="136"/>
      <c r="AL155" s="136"/>
      <c r="AM155" s="105">
        <f t="shared" si="71"/>
        <v>0</v>
      </c>
      <c r="AN155" s="143"/>
      <c r="AO155" s="143"/>
      <c r="AP155" s="143"/>
      <c r="AQ155" s="146"/>
      <c r="AR155" s="224">
        <f t="shared" si="72"/>
        <v>0</v>
      </c>
      <c r="AS155" s="136"/>
      <c r="AT155" s="136"/>
      <c r="AU155" s="132"/>
      <c r="AV155" s="132"/>
      <c r="AW155" s="132"/>
      <c r="AX155" s="132"/>
      <c r="AY155" s="136"/>
      <c r="AZ155" s="132"/>
      <c r="BA155" s="132"/>
      <c r="BB155" s="132"/>
      <c r="BC155" s="136"/>
      <c r="BD155" s="222">
        <f t="shared" si="73"/>
        <v>0</v>
      </c>
      <c r="BE155" s="140">
        <f t="shared" si="74"/>
        <v>0</v>
      </c>
      <c r="BF155" s="132"/>
      <c r="BG155" s="140">
        <f t="shared" si="75"/>
        <v>0</v>
      </c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30">
        <f t="shared" si="76"/>
        <v>0</v>
      </c>
      <c r="BV155" s="132"/>
    </row>
    <row r="156" ht="14.25" customHeight="1">
      <c r="A156" s="132"/>
      <c r="B156" s="818">
        <v>46159</v>
      </c>
      <c r="C156" s="133"/>
      <c r="D156" s="136"/>
      <c r="E156" s="135"/>
      <c r="F156" s="135"/>
      <c r="G156" s="98">
        <f t="shared" si="68"/>
        <v>0</v>
      </c>
      <c r="H156" s="819"/>
      <c r="I156" s="746"/>
      <c r="J156" s="122"/>
      <c r="K156" s="122"/>
      <c r="L156" s="99"/>
      <c r="M156" s="99"/>
      <c r="N156" s="99"/>
      <c r="O156" s="99"/>
      <c r="P156" s="99"/>
      <c r="Q156" s="99"/>
      <c r="R156" s="641"/>
      <c r="S156" s="641"/>
      <c r="T156" s="99"/>
      <c r="U156" s="103">
        <f t="shared" si="77"/>
        <v>0</v>
      </c>
      <c r="V156" s="143"/>
      <c r="W156" s="143"/>
      <c r="X156" s="143"/>
      <c r="Y156" s="611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03">
        <f t="shared" si="70"/>
        <v>0</v>
      </c>
      <c r="AJ156" s="136"/>
      <c r="AK156" s="136"/>
      <c r="AL156" s="136"/>
      <c r="AM156" s="105">
        <f t="shared" si="71"/>
        <v>0</v>
      </c>
      <c r="AN156" s="143"/>
      <c r="AO156" s="143"/>
      <c r="AP156" s="143"/>
      <c r="AQ156" s="146"/>
      <c r="AR156" s="224">
        <f t="shared" si="72"/>
        <v>0</v>
      </c>
      <c r="AS156" s="136"/>
      <c r="AT156" s="136"/>
      <c r="AU156" s="132"/>
      <c r="AV156" s="132"/>
      <c r="AW156" s="132"/>
      <c r="AX156" s="132"/>
      <c r="AY156" s="136"/>
      <c r="AZ156" s="132"/>
      <c r="BA156" s="132"/>
      <c r="BB156" s="132"/>
      <c r="BC156" s="136"/>
      <c r="BD156" s="222">
        <f t="shared" si="73"/>
        <v>0</v>
      </c>
      <c r="BE156" s="140">
        <f t="shared" si="74"/>
        <v>0</v>
      </c>
      <c r="BF156" s="132"/>
      <c r="BG156" s="140">
        <f t="shared" si="75"/>
        <v>0</v>
      </c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30">
        <f t="shared" si="76"/>
        <v>0</v>
      </c>
      <c r="BV156" s="132"/>
    </row>
    <row r="157" ht="14.25" customHeight="1">
      <c r="A157" s="132"/>
      <c r="B157" s="818">
        <v>46160</v>
      </c>
      <c r="C157" s="133"/>
      <c r="D157" s="133"/>
      <c r="E157" s="135"/>
      <c r="F157" s="135"/>
      <c r="G157" s="98">
        <f t="shared" si="68"/>
        <v>0</v>
      </c>
      <c r="H157" s="819"/>
      <c r="I157" s="746"/>
      <c r="J157" s="122"/>
      <c r="K157" s="122"/>
      <c r="L157" s="99"/>
      <c r="M157" s="99"/>
      <c r="N157" s="99"/>
      <c r="O157" s="99"/>
      <c r="P157" s="99"/>
      <c r="Q157" s="99"/>
      <c r="R157" s="641"/>
      <c r="S157" s="641"/>
      <c r="T157" s="99"/>
      <c r="U157" s="103">
        <f t="shared" si="77"/>
        <v>0</v>
      </c>
      <c r="V157" s="143"/>
      <c r="W157" s="143"/>
      <c r="X157" s="143"/>
      <c r="Y157" s="611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03">
        <f t="shared" si="70"/>
        <v>0</v>
      </c>
      <c r="AJ157" s="136"/>
      <c r="AK157" s="136"/>
      <c r="AL157" s="136"/>
      <c r="AM157" s="105">
        <f t="shared" si="71"/>
        <v>0</v>
      </c>
      <c r="AN157" s="143"/>
      <c r="AO157" s="143"/>
      <c r="AP157" s="143"/>
      <c r="AQ157" s="146"/>
      <c r="AR157" s="224">
        <f t="shared" si="72"/>
        <v>0</v>
      </c>
      <c r="AS157" s="136"/>
      <c r="AT157" s="136"/>
      <c r="AU157" s="132"/>
      <c r="AV157" s="132"/>
      <c r="AW157" s="132"/>
      <c r="AX157" s="132"/>
      <c r="AY157" s="136"/>
      <c r="AZ157" s="132"/>
      <c r="BA157" s="132"/>
      <c r="BB157" s="132"/>
      <c r="BC157" s="136"/>
      <c r="BD157" s="222">
        <f t="shared" si="73"/>
        <v>0</v>
      </c>
      <c r="BE157" s="140">
        <f t="shared" si="74"/>
        <v>0</v>
      </c>
      <c r="BF157" s="132"/>
      <c r="BG157" s="140">
        <f t="shared" si="75"/>
        <v>0</v>
      </c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30">
        <f t="shared" si="76"/>
        <v>0</v>
      </c>
      <c r="BV157" s="132"/>
    </row>
    <row r="158" ht="14.25" customHeight="1">
      <c r="A158" s="132"/>
      <c r="B158" s="818">
        <v>46161</v>
      </c>
      <c r="C158" s="133"/>
      <c r="D158" s="136"/>
      <c r="E158" s="135"/>
      <c r="F158" s="135"/>
      <c r="G158" s="98">
        <f t="shared" si="68"/>
        <v>0</v>
      </c>
      <c r="H158" s="819"/>
      <c r="I158" s="746"/>
      <c r="J158" s="122"/>
      <c r="K158" s="122"/>
      <c r="L158" s="99"/>
      <c r="M158" s="99"/>
      <c r="N158" s="99"/>
      <c r="O158" s="99"/>
      <c r="P158" s="99"/>
      <c r="Q158" s="99"/>
      <c r="R158" s="641"/>
      <c r="S158" s="641"/>
      <c r="T158" s="99"/>
      <c r="U158" s="103">
        <f t="shared" si="77"/>
        <v>0</v>
      </c>
      <c r="V158" s="804"/>
      <c r="W158" s="231"/>
      <c r="X158" s="231"/>
      <c r="Y158" s="611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03">
        <f t="shared" si="70"/>
        <v>0</v>
      </c>
      <c r="AJ158" s="136"/>
      <c r="AK158" s="136"/>
      <c r="AL158" s="136"/>
      <c r="AM158" s="105">
        <f t="shared" si="71"/>
        <v>0</v>
      </c>
      <c r="AN158" s="143"/>
      <c r="AO158" s="143"/>
      <c r="AP158" s="143"/>
      <c r="AQ158" s="146"/>
      <c r="AR158" s="224">
        <f t="shared" si="72"/>
        <v>0</v>
      </c>
      <c r="AS158" s="136"/>
      <c r="AT158" s="136"/>
      <c r="AU158" s="132"/>
      <c r="AV158" s="132"/>
      <c r="AW158" s="132"/>
      <c r="AX158" s="132"/>
      <c r="AY158" s="136"/>
      <c r="AZ158" s="132"/>
      <c r="BA158" s="132"/>
      <c r="BB158" s="132"/>
      <c r="BC158" s="136"/>
      <c r="BD158" s="222">
        <f t="shared" si="73"/>
        <v>0</v>
      </c>
      <c r="BE158" s="140">
        <f t="shared" si="74"/>
        <v>0</v>
      </c>
      <c r="BF158" s="132"/>
      <c r="BG158" s="140">
        <f t="shared" si="75"/>
        <v>0</v>
      </c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30">
        <f t="shared" si="76"/>
        <v>0</v>
      </c>
      <c r="BV158" s="132"/>
    </row>
    <row r="159" ht="14.25" customHeight="1">
      <c r="A159" s="132"/>
      <c r="B159" s="818">
        <v>46162</v>
      </c>
      <c r="C159" s="133"/>
      <c r="D159" s="136"/>
      <c r="E159" s="135"/>
      <c r="F159" s="135"/>
      <c r="G159" s="98">
        <f t="shared" si="68"/>
        <v>0</v>
      </c>
      <c r="H159" s="819"/>
      <c r="I159" s="746"/>
      <c r="J159" s="122"/>
      <c r="K159" s="122"/>
      <c r="L159" s="99"/>
      <c r="M159" s="99"/>
      <c r="N159" s="99"/>
      <c r="O159" s="99"/>
      <c r="P159" s="99"/>
      <c r="Q159" s="99"/>
      <c r="R159" s="641"/>
      <c r="S159" s="641"/>
      <c r="T159" s="99"/>
      <c r="U159" s="103">
        <f t="shared" si="77"/>
        <v>0</v>
      </c>
      <c r="V159" s="143"/>
      <c r="W159" s="143"/>
      <c r="X159" s="143"/>
      <c r="Y159" s="611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03">
        <f t="shared" si="70"/>
        <v>0</v>
      </c>
      <c r="AJ159" s="136"/>
      <c r="AK159" s="136"/>
      <c r="AL159" s="136"/>
      <c r="AM159" s="105">
        <f t="shared" si="71"/>
        <v>0</v>
      </c>
      <c r="AN159" s="143"/>
      <c r="AO159" s="143"/>
      <c r="AP159" s="143"/>
      <c r="AQ159" s="146"/>
      <c r="AR159" s="224">
        <f t="shared" si="72"/>
        <v>0</v>
      </c>
      <c r="AS159" s="136"/>
      <c r="AT159" s="136"/>
      <c r="AU159" s="132"/>
      <c r="AV159" s="132"/>
      <c r="AW159" s="132"/>
      <c r="AX159" s="132"/>
      <c r="AY159" s="136"/>
      <c r="AZ159" s="132"/>
      <c r="BA159" s="132"/>
      <c r="BB159" s="132"/>
      <c r="BC159" s="136"/>
      <c r="BD159" s="222">
        <f t="shared" si="73"/>
        <v>0</v>
      </c>
      <c r="BE159" s="140">
        <f t="shared" si="74"/>
        <v>0</v>
      </c>
      <c r="BF159" s="132"/>
      <c r="BG159" s="140">
        <f t="shared" si="75"/>
        <v>0</v>
      </c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30">
        <f t="shared" si="76"/>
        <v>0</v>
      </c>
      <c r="BV159" s="132"/>
    </row>
    <row r="160" ht="14.25" customHeight="1">
      <c r="A160" s="132"/>
      <c r="B160" s="818">
        <v>46163</v>
      </c>
      <c r="C160" s="133"/>
      <c r="D160" s="136"/>
      <c r="E160" s="135"/>
      <c r="F160" s="135"/>
      <c r="G160" s="98">
        <f t="shared" si="68"/>
        <v>0</v>
      </c>
      <c r="H160" s="819"/>
      <c r="I160" s="746"/>
      <c r="J160" s="122"/>
      <c r="K160" s="122"/>
      <c r="L160" s="99"/>
      <c r="M160" s="99"/>
      <c r="N160" s="99"/>
      <c r="O160" s="99"/>
      <c r="P160" s="99"/>
      <c r="Q160" s="99"/>
      <c r="R160" s="641"/>
      <c r="S160" s="641"/>
      <c r="T160" s="99"/>
      <c r="U160" s="103">
        <f t="shared" si="77"/>
        <v>0</v>
      </c>
      <c r="V160" s="143"/>
      <c r="W160" s="143"/>
      <c r="X160" s="143"/>
      <c r="Y160" s="611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03">
        <f t="shared" si="70"/>
        <v>0</v>
      </c>
      <c r="AJ160" s="136"/>
      <c r="AK160" s="136"/>
      <c r="AL160" s="136"/>
      <c r="AM160" s="105">
        <f t="shared" si="71"/>
        <v>0</v>
      </c>
      <c r="AN160" s="143"/>
      <c r="AO160" s="143"/>
      <c r="AP160" s="143"/>
      <c r="AQ160" s="146"/>
      <c r="AR160" s="224">
        <f t="shared" si="72"/>
        <v>0</v>
      </c>
      <c r="AS160" s="136"/>
      <c r="AT160" s="136"/>
      <c r="AU160" s="132"/>
      <c r="AV160" s="132"/>
      <c r="AW160" s="132"/>
      <c r="AX160" s="132"/>
      <c r="AY160" s="136"/>
      <c r="AZ160" s="132"/>
      <c r="BA160" s="132"/>
      <c r="BB160" s="132"/>
      <c r="BC160" s="136"/>
      <c r="BD160" s="222">
        <f t="shared" si="73"/>
        <v>0</v>
      </c>
      <c r="BE160" s="140">
        <f t="shared" si="74"/>
        <v>0</v>
      </c>
      <c r="BF160" s="132"/>
      <c r="BG160" s="140">
        <f t="shared" si="75"/>
        <v>0</v>
      </c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30">
        <f t="shared" si="76"/>
        <v>0</v>
      </c>
      <c r="BV160" s="132"/>
    </row>
    <row r="161" ht="14.25" customHeight="1">
      <c r="A161" s="132"/>
      <c r="B161" s="818">
        <v>46164</v>
      </c>
      <c r="C161" s="133"/>
      <c r="D161" s="136"/>
      <c r="E161" s="135"/>
      <c r="F161" s="135"/>
      <c r="G161" s="98">
        <f t="shared" si="68"/>
        <v>0</v>
      </c>
      <c r="H161" s="819"/>
      <c r="I161" s="746"/>
      <c r="J161" s="122"/>
      <c r="K161" s="122"/>
      <c r="L161" s="99"/>
      <c r="M161" s="99"/>
      <c r="N161" s="99"/>
      <c r="O161" s="99"/>
      <c r="P161" s="99"/>
      <c r="Q161" s="99"/>
      <c r="R161" s="641"/>
      <c r="S161" s="641"/>
      <c r="T161" s="99"/>
      <c r="U161" s="103">
        <f t="shared" si="77"/>
        <v>0</v>
      </c>
      <c r="V161" s="143"/>
      <c r="W161" s="143"/>
      <c r="X161" s="143"/>
      <c r="Y161" s="611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03">
        <f t="shared" si="70"/>
        <v>0</v>
      </c>
      <c r="AJ161" s="136"/>
      <c r="AK161" s="136"/>
      <c r="AL161" s="136"/>
      <c r="AM161" s="105">
        <f t="shared" si="71"/>
        <v>0</v>
      </c>
      <c r="AN161" s="143"/>
      <c r="AO161" s="143"/>
      <c r="AP161" s="143"/>
      <c r="AQ161" s="146"/>
      <c r="AR161" s="224">
        <f t="shared" si="72"/>
        <v>0</v>
      </c>
      <c r="AS161" s="136"/>
      <c r="AT161" s="136"/>
      <c r="AU161" s="132"/>
      <c r="AV161" s="132"/>
      <c r="AW161" s="132"/>
      <c r="AX161" s="132"/>
      <c r="AY161" s="136"/>
      <c r="AZ161" s="132"/>
      <c r="BA161" s="132"/>
      <c r="BB161" s="132"/>
      <c r="BC161" s="136"/>
      <c r="BD161" s="222">
        <f t="shared" si="73"/>
        <v>0</v>
      </c>
      <c r="BE161" s="140">
        <f t="shared" si="74"/>
        <v>0</v>
      </c>
      <c r="BF161" s="132"/>
      <c r="BG161" s="140">
        <f t="shared" si="75"/>
        <v>0</v>
      </c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30">
        <f t="shared" si="76"/>
        <v>0</v>
      </c>
      <c r="BV161" s="132"/>
    </row>
    <row r="162" ht="14.25" customHeight="1">
      <c r="A162" s="132"/>
      <c r="B162" s="818">
        <v>46165</v>
      </c>
      <c r="C162" s="133"/>
      <c r="D162" s="136"/>
      <c r="E162" s="135"/>
      <c r="F162" s="135"/>
      <c r="G162" s="98">
        <f t="shared" si="68"/>
        <v>0</v>
      </c>
      <c r="H162" s="819"/>
      <c r="I162" s="746"/>
      <c r="J162" s="122"/>
      <c r="K162" s="122"/>
      <c r="L162" s="99"/>
      <c r="M162" s="99"/>
      <c r="N162" s="99"/>
      <c r="O162" s="99"/>
      <c r="P162" s="99"/>
      <c r="Q162" s="99"/>
      <c r="R162" s="641"/>
      <c r="S162" s="641"/>
      <c r="T162" s="99"/>
      <c r="U162" s="103">
        <f t="shared" si="77"/>
        <v>0</v>
      </c>
      <c r="V162" s="143"/>
      <c r="W162" s="143"/>
      <c r="X162" s="143"/>
      <c r="Y162" s="611"/>
      <c r="Z162" s="143"/>
      <c r="AA162" s="143"/>
      <c r="AB162" s="143"/>
      <c r="AC162" s="143"/>
      <c r="AD162" s="143"/>
      <c r="AE162" s="143"/>
      <c r="AF162" s="143"/>
      <c r="AG162" s="143"/>
      <c r="AH162" s="143"/>
      <c r="AI162" s="103">
        <f t="shared" si="70"/>
        <v>0</v>
      </c>
      <c r="AJ162" s="136"/>
      <c r="AK162" s="136"/>
      <c r="AL162" s="136"/>
      <c r="AM162" s="105">
        <f t="shared" si="71"/>
        <v>0</v>
      </c>
      <c r="AN162" s="143"/>
      <c r="AO162" s="143"/>
      <c r="AP162" s="143"/>
      <c r="AQ162" s="146"/>
      <c r="AR162" s="224">
        <f t="shared" si="72"/>
        <v>0</v>
      </c>
      <c r="AS162" s="136"/>
      <c r="AT162" s="136"/>
      <c r="AU162" s="132"/>
      <c r="AV162" s="132"/>
      <c r="AW162" s="132"/>
      <c r="AX162" s="132"/>
      <c r="AY162" s="136"/>
      <c r="AZ162" s="132"/>
      <c r="BA162" s="132"/>
      <c r="BB162" s="132"/>
      <c r="BC162" s="136"/>
      <c r="BD162" s="222">
        <f t="shared" si="73"/>
        <v>0</v>
      </c>
      <c r="BE162" s="140">
        <f t="shared" si="74"/>
        <v>0</v>
      </c>
      <c r="BF162" s="132"/>
      <c r="BG162" s="140">
        <f t="shared" si="75"/>
        <v>0</v>
      </c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30">
        <f t="shared" si="76"/>
        <v>0</v>
      </c>
      <c r="BV162" s="132"/>
    </row>
    <row r="163" ht="15" customHeight="1">
      <c r="A163" s="132"/>
      <c r="B163" s="818">
        <v>46166</v>
      </c>
      <c r="C163" s="133"/>
      <c r="D163" s="136"/>
      <c r="E163" s="135"/>
      <c r="F163" s="135"/>
      <c r="G163" s="98">
        <f t="shared" si="68"/>
        <v>0</v>
      </c>
      <c r="H163" s="819"/>
      <c r="I163" s="746"/>
      <c r="J163" s="122"/>
      <c r="K163" s="122"/>
      <c r="L163" s="99"/>
      <c r="M163" s="99"/>
      <c r="N163" s="99"/>
      <c r="O163" s="99"/>
      <c r="P163" s="99"/>
      <c r="Q163" s="99"/>
      <c r="R163" s="641"/>
      <c r="S163" s="641"/>
      <c r="T163" s="99"/>
      <c r="U163" s="103">
        <f t="shared" si="77"/>
        <v>0</v>
      </c>
      <c r="V163" s="143"/>
      <c r="W163" s="143"/>
      <c r="X163" s="143"/>
      <c r="Y163" s="611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03">
        <f t="shared" si="70"/>
        <v>0</v>
      </c>
      <c r="AJ163" s="136"/>
      <c r="AK163" s="136"/>
      <c r="AL163" s="136"/>
      <c r="AM163" s="105">
        <f t="shared" si="71"/>
        <v>0</v>
      </c>
      <c r="AN163" s="143"/>
      <c r="AO163" s="143"/>
      <c r="AP163" s="143"/>
      <c r="AQ163" s="146"/>
      <c r="AR163" s="224">
        <f t="shared" si="72"/>
        <v>0</v>
      </c>
      <c r="AS163" s="136"/>
      <c r="AT163" s="136"/>
      <c r="AU163" s="132"/>
      <c r="AV163" s="132"/>
      <c r="AW163" s="132"/>
      <c r="AX163" s="132"/>
      <c r="AY163" s="136"/>
      <c r="AZ163" s="132"/>
      <c r="BA163" s="132"/>
      <c r="BB163" s="132"/>
      <c r="BC163" s="136"/>
      <c r="BD163" s="222">
        <f t="shared" si="73"/>
        <v>0</v>
      </c>
      <c r="BE163" s="140">
        <f t="shared" si="74"/>
        <v>0</v>
      </c>
      <c r="BF163" s="132"/>
      <c r="BG163" s="140">
        <f t="shared" si="75"/>
        <v>0</v>
      </c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30">
        <f t="shared" si="76"/>
        <v>0</v>
      </c>
      <c r="BV163" s="132"/>
    </row>
    <row r="164" ht="14.25" customHeight="1">
      <c r="A164" s="132"/>
      <c r="B164" s="818">
        <v>46167</v>
      </c>
      <c r="C164" s="133"/>
      <c r="D164" s="136"/>
      <c r="E164" s="135"/>
      <c r="F164" s="135"/>
      <c r="G164" s="98">
        <f t="shared" si="68"/>
        <v>0</v>
      </c>
      <c r="H164" s="819"/>
      <c r="I164" s="746"/>
      <c r="J164" s="122"/>
      <c r="K164" s="122"/>
      <c r="L164" s="99"/>
      <c r="M164" s="99"/>
      <c r="N164" s="99"/>
      <c r="O164" s="99"/>
      <c r="P164" s="99"/>
      <c r="Q164" s="99"/>
      <c r="R164" s="641"/>
      <c r="S164" s="641"/>
      <c r="T164" s="99"/>
      <c r="U164" s="103">
        <f t="shared" si="77"/>
        <v>0</v>
      </c>
      <c r="V164" s="143"/>
      <c r="W164" s="143"/>
      <c r="X164" s="143"/>
      <c r="Y164" s="611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03">
        <f t="shared" si="70"/>
        <v>0</v>
      </c>
      <c r="AJ164" s="136"/>
      <c r="AK164" s="136"/>
      <c r="AL164" s="136"/>
      <c r="AM164" s="105">
        <f t="shared" si="71"/>
        <v>0</v>
      </c>
      <c r="AN164" s="143"/>
      <c r="AO164" s="143"/>
      <c r="AP164" s="143"/>
      <c r="AQ164" s="146"/>
      <c r="AR164" s="224">
        <f t="shared" si="72"/>
        <v>0</v>
      </c>
      <c r="AS164" s="136"/>
      <c r="AT164" s="136"/>
      <c r="AU164" s="132"/>
      <c r="AV164" s="132"/>
      <c r="AW164" s="132"/>
      <c r="AX164" s="132"/>
      <c r="AY164" s="136"/>
      <c r="AZ164" s="132"/>
      <c r="BA164" s="132"/>
      <c r="BB164" s="132"/>
      <c r="BC164" s="136"/>
      <c r="BD164" s="222">
        <f t="shared" si="73"/>
        <v>0</v>
      </c>
      <c r="BE164" s="140">
        <f t="shared" si="74"/>
        <v>0</v>
      </c>
      <c r="BF164" s="132"/>
      <c r="BG164" s="140">
        <f t="shared" si="75"/>
        <v>0</v>
      </c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30">
        <f t="shared" si="76"/>
        <v>0</v>
      </c>
      <c r="BV164" s="132"/>
    </row>
    <row r="165" ht="14.25" customHeight="1">
      <c r="A165" s="132"/>
      <c r="B165" s="818">
        <v>46168</v>
      </c>
      <c r="C165" s="133"/>
      <c r="D165" s="136"/>
      <c r="E165" s="135"/>
      <c r="F165" s="135"/>
      <c r="G165" s="98">
        <f t="shared" si="68"/>
        <v>0</v>
      </c>
      <c r="H165" s="819"/>
      <c r="I165" s="746"/>
      <c r="J165" s="122"/>
      <c r="K165" s="122"/>
      <c r="L165" s="99"/>
      <c r="M165" s="99"/>
      <c r="N165" s="99"/>
      <c r="O165" s="99"/>
      <c r="P165" s="99"/>
      <c r="Q165" s="99"/>
      <c r="R165" s="641"/>
      <c r="S165" s="641"/>
      <c r="T165" s="99"/>
      <c r="U165" s="103">
        <f t="shared" si="77"/>
        <v>0</v>
      </c>
      <c r="V165" s="143"/>
      <c r="W165" s="143"/>
      <c r="X165" s="143"/>
      <c r="Y165" s="611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03">
        <f t="shared" si="70"/>
        <v>0</v>
      </c>
      <c r="AJ165" s="136"/>
      <c r="AK165" s="136"/>
      <c r="AL165" s="136"/>
      <c r="AM165" s="105">
        <f t="shared" si="71"/>
        <v>0</v>
      </c>
      <c r="AN165" s="143"/>
      <c r="AO165" s="143"/>
      <c r="AP165" s="143"/>
      <c r="AQ165" s="146"/>
      <c r="AR165" s="224">
        <f t="shared" si="72"/>
        <v>0</v>
      </c>
      <c r="AS165" s="136"/>
      <c r="AT165" s="136"/>
      <c r="AU165" s="132"/>
      <c r="AV165" s="132"/>
      <c r="AW165" s="132"/>
      <c r="AX165" s="132"/>
      <c r="AY165" s="136"/>
      <c r="AZ165" s="132"/>
      <c r="BA165" s="132"/>
      <c r="BB165" s="132"/>
      <c r="BC165" s="136"/>
      <c r="BD165" s="222">
        <f t="shared" si="73"/>
        <v>0</v>
      </c>
      <c r="BE165" s="140">
        <f t="shared" si="74"/>
        <v>0</v>
      </c>
      <c r="BF165" s="132"/>
      <c r="BG165" s="140">
        <f t="shared" si="75"/>
        <v>0</v>
      </c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30">
        <f t="shared" si="76"/>
        <v>0</v>
      </c>
      <c r="BV165" s="132"/>
    </row>
    <row r="166" ht="14.25" customHeight="1">
      <c r="A166" s="132"/>
      <c r="B166" s="818">
        <v>46169</v>
      </c>
      <c r="C166" s="133"/>
      <c r="D166" s="136"/>
      <c r="E166" s="135"/>
      <c r="F166" s="135"/>
      <c r="G166" s="98">
        <f t="shared" si="68"/>
        <v>0</v>
      </c>
      <c r="H166" s="819"/>
      <c r="I166" s="746"/>
      <c r="J166" s="122"/>
      <c r="K166" s="122"/>
      <c r="L166" s="99"/>
      <c r="M166" s="99"/>
      <c r="N166" s="99"/>
      <c r="O166" s="99"/>
      <c r="P166" s="99"/>
      <c r="Q166" s="99"/>
      <c r="R166" s="641"/>
      <c r="S166" s="641"/>
      <c r="T166" s="99"/>
      <c r="U166" s="103">
        <f t="shared" si="77"/>
        <v>0</v>
      </c>
      <c r="V166" s="143"/>
      <c r="W166" s="143"/>
      <c r="X166" s="143"/>
      <c r="Y166" s="611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03">
        <f t="shared" si="70"/>
        <v>0</v>
      </c>
      <c r="AJ166" s="136"/>
      <c r="AK166" s="136"/>
      <c r="AL166" s="136"/>
      <c r="AM166" s="105">
        <f t="shared" si="71"/>
        <v>0</v>
      </c>
      <c r="AN166" s="143"/>
      <c r="AO166" s="143"/>
      <c r="AP166" s="143"/>
      <c r="AQ166" s="146"/>
      <c r="AR166" s="224">
        <f t="shared" si="72"/>
        <v>0</v>
      </c>
      <c r="AS166" s="136"/>
      <c r="AT166" s="136"/>
      <c r="AU166" s="132"/>
      <c r="AV166" s="132"/>
      <c r="AW166" s="132"/>
      <c r="AX166" s="132"/>
      <c r="AY166" s="136"/>
      <c r="AZ166" s="132"/>
      <c r="BA166" s="132"/>
      <c r="BB166" s="132"/>
      <c r="BC166" s="136"/>
      <c r="BD166" s="222">
        <f t="shared" si="73"/>
        <v>0</v>
      </c>
      <c r="BE166" s="140">
        <f t="shared" si="74"/>
        <v>0</v>
      </c>
      <c r="BF166" s="132"/>
      <c r="BG166" s="140">
        <f t="shared" si="75"/>
        <v>0</v>
      </c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30">
        <f t="shared" si="76"/>
        <v>0</v>
      </c>
      <c r="BV166" s="132"/>
    </row>
    <row r="167" ht="14.25" customHeight="1">
      <c r="A167" s="235"/>
      <c r="B167" s="818">
        <v>46170</v>
      </c>
      <c r="C167" s="820"/>
      <c r="D167" s="821"/>
      <c r="E167" s="822"/>
      <c r="F167" s="822"/>
      <c r="G167" s="98">
        <f t="shared" si="68"/>
        <v>0</v>
      </c>
      <c r="H167" s="819"/>
      <c r="I167" s="823"/>
      <c r="J167" s="824"/>
      <c r="K167" s="824"/>
      <c r="L167" s="664"/>
      <c r="M167" s="664"/>
      <c r="N167" s="664"/>
      <c r="O167" s="664"/>
      <c r="P167" s="664"/>
      <c r="Q167" s="664"/>
      <c r="R167" s="825"/>
      <c r="S167" s="825"/>
      <c r="T167" s="664"/>
      <c r="U167" s="103">
        <f t="shared" si="77"/>
        <v>0</v>
      </c>
      <c r="V167" s="672"/>
      <c r="W167" s="672"/>
      <c r="X167" s="672"/>
      <c r="Y167" s="826"/>
      <c r="Z167" s="672"/>
      <c r="AA167" s="672"/>
      <c r="AB167" s="672"/>
      <c r="AC167" s="672"/>
      <c r="AD167" s="672"/>
      <c r="AE167" s="672"/>
      <c r="AF167" s="672"/>
      <c r="AG167" s="672"/>
      <c r="AH167" s="672"/>
      <c r="AI167" s="103">
        <f t="shared" si="70"/>
        <v>0</v>
      </c>
      <c r="AJ167" s="136"/>
      <c r="AK167" s="136"/>
      <c r="AL167" s="136"/>
      <c r="AM167" s="105">
        <f t="shared" si="71"/>
        <v>0</v>
      </c>
      <c r="AN167" s="672"/>
      <c r="AO167" s="672"/>
      <c r="AP167" s="672"/>
      <c r="AQ167" s="827"/>
      <c r="AR167" s="224">
        <f t="shared" si="72"/>
        <v>0</v>
      </c>
      <c r="AS167" s="136"/>
      <c r="AT167" s="821"/>
      <c r="AU167" s="235"/>
      <c r="AV167" s="235"/>
      <c r="AW167" s="235"/>
      <c r="AX167" s="235"/>
      <c r="AY167" s="136"/>
      <c r="AZ167" s="235"/>
      <c r="BA167" s="235"/>
      <c r="BB167" s="235"/>
      <c r="BC167" s="821"/>
      <c r="BD167" s="222">
        <f t="shared" si="73"/>
        <v>0</v>
      </c>
      <c r="BE167" s="140">
        <f t="shared" si="74"/>
        <v>0</v>
      </c>
      <c r="BF167" s="235"/>
      <c r="BG167" s="140">
        <f t="shared" si="75"/>
        <v>0</v>
      </c>
      <c r="BH167" s="540"/>
      <c r="BI167" s="540"/>
      <c r="BJ167" s="540"/>
      <c r="BK167" s="540"/>
      <c r="BL167" s="540"/>
      <c r="BM167" s="540"/>
      <c r="BN167" s="540"/>
      <c r="BO167" s="540"/>
      <c r="BP167" s="540"/>
      <c r="BQ167" s="540"/>
      <c r="BR167" s="540"/>
      <c r="BS167" s="540"/>
      <c r="BT167" s="540"/>
      <c r="BU167" s="828">
        <f t="shared" si="76"/>
        <v>0</v>
      </c>
      <c r="BV167" s="235"/>
    </row>
    <row r="168" ht="14.25" customHeight="1">
      <c r="A168" s="235"/>
      <c r="B168" s="818">
        <v>46171</v>
      </c>
      <c r="C168" s="820"/>
      <c r="D168" s="821"/>
      <c r="E168" s="822"/>
      <c r="F168" s="822"/>
      <c r="G168" s="98">
        <f t="shared" si="68"/>
        <v>0</v>
      </c>
      <c r="H168" s="819"/>
      <c r="I168" s="823"/>
      <c r="J168" s="824"/>
      <c r="K168" s="824"/>
      <c r="L168" s="664"/>
      <c r="M168" s="664"/>
      <c r="N168" s="664"/>
      <c r="O168" s="664"/>
      <c r="P168" s="664"/>
      <c r="Q168" s="664"/>
      <c r="R168" s="825"/>
      <c r="S168" s="825"/>
      <c r="T168" s="664"/>
      <c r="U168" s="103">
        <f t="shared" si="77"/>
        <v>0</v>
      </c>
      <c r="V168" s="672"/>
      <c r="W168" s="672"/>
      <c r="X168" s="672"/>
      <c r="Y168" s="826"/>
      <c r="Z168" s="672"/>
      <c r="AA168" s="672"/>
      <c r="AB168" s="672"/>
      <c r="AC168" s="672"/>
      <c r="AD168" s="672"/>
      <c r="AE168" s="672"/>
      <c r="AF168" s="672"/>
      <c r="AG168" s="672"/>
      <c r="AH168" s="672"/>
      <c r="AI168" s="103">
        <f t="shared" si="70"/>
        <v>0</v>
      </c>
      <c r="AJ168" s="136"/>
      <c r="AK168" s="136"/>
      <c r="AL168" s="136"/>
      <c r="AM168" s="105">
        <f t="shared" si="71"/>
        <v>0</v>
      </c>
      <c r="AN168" s="672"/>
      <c r="AO168" s="672"/>
      <c r="AP168" s="672"/>
      <c r="AQ168" s="827"/>
      <c r="AR168" s="224">
        <f t="shared" si="72"/>
        <v>0</v>
      </c>
      <c r="AS168" s="136"/>
      <c r="AT168" s="821"/>
      <c r="AU168" s="235"/>
      <c r="AV168" s="235"/>
      <c r="AW168" s="235"/>
      <c r="AX168" s="235"/>
      <c r="AY168" s="136"/>
      <c r="AZ168" s="235"/>
      <c r="BA168" s="235"/>
      <c r="BB168" s="235"/>
      <c r="BC168" s="821"/>
      <c r="BD168" s="222">
        <f t="shared" si="73"/>
        <v>0</v>
      </c>
      <c r="BE168" s="140">
        <f t="shared" si="74"/>
        <v>0</v>
      </c>
      <c r="BF168" s="235"/>
      <c r="BG168" s="140">
        <f t="shared" si="75"/>
        <v>0</v>
      </c>
      <c r="BH168" s="540"/>
      <c r="BI168" s="540"/>
      <c r="BJ168" s="540"/>
      <c r="BK168" s="540"/>
      <c r="BL168" s="540"/>
      <c r="BM168" s="540"/>
      <c r="BN168" s="540"/>
      <c r="BO168" s="540"/>
      <c r="BP168" s="540"/>
      <c r="BQ168" s="540"/>
      <c r="BR168" s="540"/>
      <c r="BS168" s="540"/>
      <c r="BT168" s="540"/>
      <c r="BU168" s="828">
        <f t="shared" si="76"/>
        <v>0</v>
      </c>
      <c r="BV168" s="235"/>
    </row>
    <row r="169" ht="14.25" customHeight="1">
      <c r="A169" s="235"/>
      <c r="B169" s="818">
        <v>46172</v>
      </c>
      <c r="C169" s="820"/>
      <c r="D169" s="821"/>
      <c r="E169" s="822"/>
      <c r="F169" s="822"/>
      <c r="G169" s="98">
        <f t="shared" si="68"/>
        <v>0</v>
      </c>
      <c r="H169" s="819"/>
      <c r="I169" s="823"/>
      <c r="J169" s="824"/>
      <c r="K169" s="824"/>
      <c r="L169" s="664"/>
      <c r="M169" s="664"/>
      <c r="N169" s="664"/>
      <c r="O169" s="664"/>
      <c r="P169" s="664"/>
      <c r="Q169" s="664"/>
      <c r="R169" s="825"/>
      <c r="S169" s="825"/>
      <c r="T169" s="664"/>
      <c r="U169" s="103">
        <f t="shared" si="77"/>
        <v>0</v>
      </c>
      <c r="V169" s="672"/>
      <c r="W169" s="672"/>
      <c r="X169" s="672"/>
      <c r="Y169" s="826"/>
      <c r="Z169" s="672"/>
      <c r="AA169" s="672"/>
      <c r="AB169" s="672"/>
      <c r="AC169" s="672"/>
      <c r="AD169" s="672"/>
      <c r="AE169" s="672"/>
      <c r="AF169" s="672"/>
      <c r="AG169" s="672"/>
      <c r="AH169" s="672"/>
      <c r="AI169" s="103">
        <f t="shared" si="70"/>
        <v>0</v>
      </c>
      <c r="AJ169" s="136"/>
      <c r="AK169" s="136"/>
      <c r="AL169" s="136"/>
      <c r="AM169" s="105">
        <f t="shared" si="71"/>
        <v>0</v>
      </c>
      <c r="AN169" s="672"/>
      <c r="AO169" s="672"/>
      <c r="AP169" s="672"/>
      <c r="AQ169" s="827"/>
      <c r="AR169" s="224">
        <f t="shared" si="72"/>
        <v>0</v>
      </c>
      <c r="AS169" s="136"/>
      <c r="AT169" s="821"/>
      <c r="AU169" s="235"/>
      <c r="AV169" s="235"/>
      <c r="AW169" s="235"/>
      <c r="AX169" s="235"/>
      <c r="AY169" s="136"/>
      <c r="AZ169" s="235"/>
      <c r="BA169" s="235"/>
      <c r="BB169" s="235"/>
      <c r="BC169" s="821"/>
      <c r="BD169" s="222">
        <f t="shared" si="73"/>
        <v>0</v>
      </c>
      <c r="BE169" s="140">
        <f t="shared" si="74"/>
        <v>0</v>
      </c>
      <c r="BF169" s="235"/>
      <c r="BG169" s="140">
        <f t="shared" si="75"/>
        <v>0</v>
      </c>
      <c r="BH169" s="540"/>
      <c r="BI169" s="540"/>
      <c r="BJ169" s="540"/>
      <c r="BK169" s="540"/>
      <c r="BL169" s="540"/>
      <c r="BM169" s="540"/>
      <c r="BN169" s="540"/>
      <c r="BO169" s="540"/>
      <c r="BP169" s="540"/>
      <c r="BQ169" s="540"/>
      <c r="BR169" s="540"/>
      <c r="BS169" s="540"/>
      <c r="BT169" s="540"/>
      <c r="BU169" s="828">
        <f t="shared" si="76"/>
        <v>0</v>
      </c>
      <c r="BV169" s="235"/>
    </row>
    <row r="170" ht="14.25" customHeight="1">
      <c r="A170" s="235"/>
      <c r="B170" s="829">
        <v>46173</v>
      </c>
      <c r="C170" s="830"/>
      <c r="D170" s="831"/>
      <c r="E170" s="832"/>
      <c r="F170" s="832"/>
      <c r="G170" s="98">
        <f t="shared" si="68"/>
        <v>0</v>
      </c>
      <c r="H170" s="833"/>
      <c r="I170" s="834"/>
      <c r="J170" s="835"/>
      <c r="K170" s="835"/>
      <c r="L170" s="836"/>
      <c r="M170" s="836"/>
      <c r="N170" s="836"/>
      <c r="O170" s="836"/>
      <c r="P170" s="836"/>
      <c r="Q170" s="836"/>
      <c r="R170" s="837"/>
      <c r="S170" s="837"/>
      <c r="T170" s="836"/>
      <c r="U170" s="103">
        <f t="shared" si="77"/>
        <v>0</v>
      </c>
      <c r="V170" s="838"/>
      <c r="W170" s="838"/>
      <c r="X170" s="838"/>
      <c r="Y170" s="839"/>
      <c r="Z170" s="838"/>
      <c r="AA170" s="838"/>
      <c r="AB170" s="838"/>
      <c r="AC170" s="838"/>
      <c r="AD170" s="838"/>
      <c r="AE170" s="838"/>
      <c r="AF170" s="838"/>
      <c r="AG170" s="838"/>
      <c r="AH170" s="838"/>
      <c r="AI170" s="103">
        <f t="shared" si="70"/>
        <v>0</v>
      </c>
      <c r="AJ170" s="136"/>
      <c r="AK170" s="136"/>
      <c r="AL170" s="136"/>
      <c r="AM170" s="105">
        <f t="shared" si="71"/>
        <v>0</v>
      </c>
      <c r="AN170" s="838"/>
      <c r="AO170" s="838"/>
      <c r="AP170" s="838"/>
      <c r="AQ170" s="840"/>
      <c r="AR170" s="224">
        <f t="shared" si="72"/>
        <v>0</v>
      </c>
      <c r="AS170" s="159"/>
      <c r="AT170" s="831"/>
      <c r="AU170" s="235"/>
      <c r="AV170" s="235"/>
      <c r="AW170" s="235"/>
      <c r="AX170" s="235"/>
      <c r="AY170" s="159"/>
      <c r="AZ170" s="235"/>
      <c r="BA170" s="235"/>
      <c r="BB170" s="235"/>
      <c r="BC170" s="831"/>
      <c r="BD170" s="222">
        <f t="shared" si="73"/>
        <v>0</v>
      </c>
      <c r="BE170" s="140">
        <f t="shared" si="74"/>
        <v>0</v>
      </c>
      <c r="BF170" s="235"/>
      <c r="BG170" s="140">
        <f t="shared" si="75"/>
        <v>0</v>
      </c>
      <c r="BH170" s="841"/>
      <c r="BI170" s="841"/>
      <c r="BJ170" s="841"/>
      <c r="BK170" s="841"/>
      <c r="BL170" s="841"/>
      <c r="BM170" s="841"/>
      <c r="BN170" s="841"/>
      <c r="BO170" s="841"/>
      <c r="BP170" s="841"/>
      <c r="BQ170" s="540"/>
      <c r="BR170" s="841"/>
      <c r="BS170" s="841"/>
      <c r="BT170" s="841"/>
      <c r="BU170" s="842">
        <f t="shared" si="76"/>
        <v>0</v>
      </c>
      <c r="BV170" s="235"/>
    </row>
    <row r="171" ht="14.25" customHeight="1">
      <c r="A171" s="3"/>
      <c r="B171" s="2" t="s">
        <v>79</v>
      </c>
      <c r="C171" s="755">
        <f ref="C171:I171" t="shared" si="78">SUM(C140:C170)</f>
        <v>0</v>
      </c>
      <c r="D171" s="755">
        <f t="shared" si="78"/>
        <v>0</v>
      </c>
      <c r="E171" s="755">
        <f t="shared" si="78"/>
        <v>0</v>
      </c>
      <c r="F171" s="755">
        <f t="shared" si="78"/>
        <v>0</v>
      </c>
      <c r="G171" s="755">
        <f t="shared" si="78"/>
        <v>0</v>
      </c>
      <c r="H171" s="757">
        <f t="shared" si="78"/>
        <v>0</v>
      </c>
      <c r="I171" s="755">
        <f t="shared" si="78"/>
        <v>0</v>
      </c>
      <c r="J171" s="755"/>
      <c r="K171" s="755"/>
      <c r="L171" s="755">
        <f>SUM(L140:L170)</f>
        <v>0</v>
      </c>
      <c r="M171" s="755"/>
      <c r="N171" s="755">
        <f ref="N171:V171" t="shared" si="79">SUM(N140:N170)</f>
        <v>0</v>
      </c>
      <c r="O171" s="755">
        <f t="shared" si="79"/>
        <v>0</v>
      </c>
      <c r="P171" s="755">
        <f t="shared" si="79"/>
        <v>0</v>
      </c>
      <c r="Q171" s="755">
        <f t="shared" si="79"/>
        <v>0</v>
      </c>
      <c r="R171" s="755">
        <f t="shared" si="79"/>
        <v>0</v>
      </c>
      <c r="S171" s="755">
        <f t="shared" si="79"/>
        <v>0</v>
      </c>
      <c r="T171" s="755">
        <f t="shared" si="79"/>
        <v>0</v>
      </c>
      <c r="U171" s="755">
        <f t="shared" si="79"/>
        <v>0</v>
      </c>
      <c r="V171" s="755">
        <f t="shared" si="79"/>
        <v>0</v>
      </c>
      <c r="W171" s="755"/>
      <c r="X171" s="755">
        <f ref="X171:BE171" t="shared" si="80">SUM(X140:X170)</f>
        <v>0</v>
      </c>
      <c r="Y171" s="755">
        <f t="shared" si="80"/>
        <v>0</v>
      </c>
      <c r="Z171" s="755">
        <f t="shared" si="80"/>
        <v>0</v>
      </c>
      <c r="AA171" s="755">
        <f t="shared" si="80"/>
        <v>0</v>
      </c>
      <c r="AB171" s="755">
        <f t="shared" si="80"/>
        <v>0</v>
      </c>
      <c r="AC171" s="755">
        <f t="shared" si="80"/>
        <v>0</v>
      </c>
      <c r="AD171" s="755">
        <f t="shared" si="80"/>
        <v>0</v>
      </c>
      <c r="AE171" s="755">
        <f t="shared" si="80"/>
        <v>0</v>
      </c>
      <c r="AF171" s="755">
        <f t="shared" si="80"/>
        <v>0</v>
      </c>
      <c r="AG171" s="755">
        <f t="shared" si="80"/>
        <v>0</v>
      </c>
      <c r="AH171" s="755">
        <f t="shared" si="80"/>
        <v>0</v>
      </c>
      <c r="AI171" s="755">
        <f t="shared" si="80"/>
        <v>0</v>
      </c>
      <c r="AJ171" s="755">
        <f t="shared" si="80"/>
        <v>0</v>
      </c>
      <c r="AK171" s="755">
        <f t="shared" si="80"/>
        <v>0</v>
      </c>
      <c r="AL171" s="755">
        <f t="shared" si="80"/>
        <v>0</v>
      </c>
      <c r="AM171" s="755">
        <f t="shared" si="80"/>
        <v>0</v>
      </c>
      <c r="AN171" s="755">
        <f t="shared" si="80"/>
        <v>0</v>
      </c>
      <c r="AO171" s="755">
        <f t="shared" si="80"/>
        <v>0</v>
      </c>
      <c r="AP171" s="755">
        <f t="shared" si="80"/>
        <v>0</v>
      </c>
      <c r="AQ171" s="755">
        <f t="shared" si="80"/>
        <v>0</v>
      </c>
      <c r="AR171" s="755">
        <f t="shared" si="80"/>
        <v>0</v>
      </c>
      <c r="AS171" s="757">
        <f t="shared" si="80"/>
        <v>0</v>
      </c>
      <c r="AT171" s="757">
        <f t="shared" si="80"/>
        <v>0</v>
      </c>
      <c r="AU171" s="757">
        <f t="shared" si="80"/>
        <v>0</v>
      </c>
      <c r="AV171" s="757">
        <f t="shared" si="80"/>
        <v>0</v>
      </c>
      <c r="AW171" s="757">
        <f t="shared" si="80"/>
        <v>0</v>
      </c>
      <c r="AX171" s="757">
        <f t="shared" si="80"/>
        <v>0</v>
      </c>
      <c r="AY171" s="757">
        <f t="shared" si="80"/>
        <v>0</v>
      </c>
      <c r="AZ171" s="757">
        <f t="shared" si="80"/>
        <v>0</v>
      </c>
      <c r="BA171" s="757">
        <f t="shared" si="80"/>
        <v>0</v>
      </c>
      <c r="BB171" s="757">
        <f t="shared" si="80"/>
        <v>0</v>
      </c>
      <c r="BC171" s="757">
        <f t="shared" si="80"/>
        <v>0</v>
      </c>
      <c r="BD171" s="755">
        <f t="shared" si="80"/>
        <v>0</v>
      </c>
      <c r="BE171" s="755">
        <f t="shared" si="80"/>
        <v>0</v>
      </c>
      <c r="BF171" s="3"/>
      <c r="BG171" s="755">
        <f ref="BG171:BU171" t="shared" si="81">SUM(BG140:BG170)</f>
        <v>0</v>
      </c>
      <c r="BH171" s="755">
        <f t="shared" si="81"/>
        <v>0</v>
      </c>
      <c r="BI171" s="755">
        <f t="shared" si="81"/>
        <v>0</v>
      </c>
      <c r="BJ171" s="755">
        <f t="shared" si="81"/>
        <v>0</v>
      </c>
      <c r="BK171" s="755">
        <f t="shared" si="81"/>
        <v>0</v>
      </c>
      <c r="BL171" s="755">
        <f t="shared" si="81"/>
        <v>0</v>
      </c>
      <c r="BM171" s="755">
        <f t="shared" si="81"/>
        <v>0</v>
      </c>
      <c r="BN171" s="755">
        <f t="shared" si="81"/>
        <v>0</v>
      </c>
      <c r="BO171" s="755">
        <f t="shared" si="81"/>
        <v>0</v>
      </c>
      <c r="BP171" s="755">
        <f t="shared" si="81"/>
        <v>0</v>
      </c>
      <c r="BQ171" s="755">
        <f t="shared" si="81"/>
        <v>0</v>
      </c>
      <c r="BR171" s="755">
        <f t="shared" si="81"/>
        <v>0</v>
      </c>
      <c r="BS171" s="755">
        <f t="shared" si="81"/>
        <v>0</v>
      </c>
      <c r="BT171" s="755">
        <f t="shared" si="81"/>
        <v>0</v>
      </c>
      <c r="BU171" s="755">
        <f t="shared" si="81"/>
        <v>0</v>
      </c>
      <c r="BV171" s="3"/>
    </row>
    <row r="172" ht="14.25" customHeight="1">
      <c r="A172" s="1"/>
      <c r="B172" s="2"/>
      <c r="C172" s="3"/>
      <c r="D172" s="3"/>
      <c r="E172" s="3"/>
      <c r="F172" s="3"/>
      <c r="G172" s="4"/>
      <c r="H172" s="4"/>
      <c r="I172" s="1"/>
      <c r="J172" s="3"/>
      <c r="K172" s="3"/>
      <c r="L172" s="3"/>
      <c r="M172" s="3"/>
      <c r="N172" s="3"/>
      <c r="O172" s="3"/>
      <c r="P172" s="3"/>
      <c r="Q172" s="3"/>
      <c r="R172" s="1"/>
      <c r="S172" s="1"/>
      <c r="T172" s="3"/>
      <c r="U172" s="3"/>
      <c r="V172" s="3"/>
      <c r="W172" s="132"/>
      <c r="X172" s="132"/>
      <c r="Y172" s="1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4"/>
      <c r="AN172" s="3"/>
      <c r="AO172" s="3"/>
      <c r="AP172" s="3"/>
      <c r="AQ172" s="3"/>
      <c r="AR172" s="4"/>
      <c r="AS172" s="132"/>
      <c r="AT172" s="132"/>
      <c r="AU172" s="132"/>
      <c r="AV172" s="3"/>
      <c r="AW172" s="3"/>
      <c r="AX172" s="3"/>
      <c r="AY172" s="135"/>
      <c r="AZ172" s="132"/>
      <c r="BA172" s="132"/>
      <c r="BB172" s="132"/>
      <c r="BC172" s="132"/>
      <c r="BD172" s="4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</row>
    <row r="173" ht="14.25" customHeight="1">
      <c r="A173" s="1"/>
      <c r="B173" s="2"/>
      <c r="C173" s="3"/>
      <c r="D173" s="3"/>
      <c r="E173" s="3"/>
      <c r="F173" s="3"/>
      <c r="G173" s="4"/>
      <c r="H173" s="4"/>
      <c r="I173" s="1"/>
      <c r="J173" s="3"/>
      <c r="K173" s="3"/>
      <c r="L173" s="3"/>
      <c r="M173" s="3"/>
      <c r="N173" s="3"/>
      <c r="O173" s="3"/>
      <c r="P173" s="3"/>
      <c r="Q173" s="3"/>
      <c r="R173" s="1"/>
      <c r="S173" s="1"/>
      <c r="T173" s="3"/>
      <c r="U173" s="3"/>
      <c r="V173" s="3"/>
      <c r="W173" s="132"/>
      <c r="X173" s="132"/>
      <c r="Y173" s="1"/>
      <c r="Z173" s="3"/>
      <c r="AA173" s="3"/>
      <c r="AB173" s="3"/>
      <c r="AC173" s="3"/>
      <c r="AD173" s="3"/>
      <c r="AE173" s="3"/>
      <c r="AF173" s="3"/>
      <c r="AG173" s="3"/>
      <c r="AH173" s="3"/>
      <c r="AI173" s="176"/>
      <c r="AJ173" s="3"/>
      <c r="AK173" s="3"/>
      <c r="AL173" s="3"/>
      <c r="AM173" s="4"/>
      <c r="AN173" s="3"/>
      <c r="AO173" s="3"/>
      <c r="AP173" s="3"/>
      <c r="AQ173" s="3"/>
      <c r="AR173" s="177"/>
      <c r="AS173" s="4"/>
      <c r="AT173" s="177"/>
      <c r="AU173" s="177"/>
      <c r="AV173" s="177"/>
      <c r="AW173" s="177"/>
      <c r="AX173" s="177"/>
      <c r="AY173" s="843"/>
      <c r="AZ173" s="177"/>
      <c r="BA173" s="177"/>
      <c r="BB173" s="177"/>
      <c r="BC173" s="132"/>
      <c r="BD173" s="177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</row>
    <row r="174" ht="14.25" customHeight="1">
      <c r="A174" s="3"/>
      <c r="B174" s="215">
        <v>46174</v>
      </c>
      <c r="C174" s="94"/>
      <c r="D174" s="104"/>
      <c r="E174" s="97"/>
      <c r="F174" s="844"/>
      <c r="G174" s="845">
        <f ref="G174:G203" t="shared" si="82">+C174+D174+E174+F174</f>
        <v>0</v>
      </c>
      <c r="H174" s="817"/>
      <c r="I174" s="743"/>
      <c r="J174" s="100"/>
      <c r="K174" s="100"/>
      <c r="L174" s="101"/>
      <c r="M174" s="101"/>
      <c r="N174" s="101"/>
      <c r="O174" s="101"/>
      <c r="P174" s="101"/>
      <c r="Q174" s="101"/>
      <c r="R174" s="638"/>
      <c r="S174" s="638"/>
      <c r="T174" s="101"/>
      <c r="U174" s="103">
        <f ref="U174:U176" t="shared" si="83">SUM(I174:T174)</f>
        <v>0</v>
      </c>
      <c r="V174" s="186"/>
      <c r="W174" s="846"/>
      <c r="X174" s="846"/>
      <c r="Y174" s="619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03">
        <f ref="AI174:AI203" t="shared" si="84">SUM(V174:AH174)</f>
        <v>0</v>
      </c>
      <c r="AJ174" s="104"/>
      <c r="AK174" s="104"/>
      <c r="AL174" s="104"/>
      <c r="AM174" s="191">
        <f ref="AM174:AM203" t="shared" si="85">SUM(AJ174:AL174)</f>
        <v>0</v>
      </c>
      <c r="AN174" s="186"/>
      <c r="AO174" s="186"/>
      <c r="AP174" s="186"/>
      <c r="AQ174" s="193"/>
      <c r="AR174" s="219">
        <f ref="AR174:AR203" t="shared" si="86">+G174-U174-AI174-AM174-AN174-AO174-AP174-AQ174</f>
        <v>0</v>
      </c>
      <c r="AS174" s="847"/>
      <c r="AT174" s="269"/>
      <c r="AU174" s="848"/>
      <c r="AV174" s="848"/>
      <c r="AW174" s="109"/>
      <c r="AX174" s="275"/>
      <c r="AY174" s="847"/>
      <c r="AZ174" s="269"/>
      <c r="BA174" s="269"/>
      <c r="BB174" s="269"/>
      <c r="BC174" s="269"/>
      <c r="BD174" s="222">
        <f ref="BD174:BD203" t="shared" si="87">SUM(AS174:BC174)-BB174</f>
        <v>0</v>
      </c>
      <c r="BE174" s="114">
        <f ref="BE174:BE203" t="shared" si="88">+AR174-BD174</f>
        <v>0</v>
      </c>
      <c r="BF174" s="3"/>
      <c r="BG174" s="114">
        <f ref="BG174:BG203" t="shared" si="89">SUM(BH174:BT174)</f>
        <v>0</v>
      </c>
      <c r="BH174" s="220"/>
      <c r="BI174" s="220"/>
      <c r="BJ174" s="220"/>
      <c r="BK174" s="220"/>
      <c r="BL174" s="220"/>
      <c r="BM174" s="220"/>
      <c r="BN174" s="220"/>
      <c r="BO174" s="220"/>
      <c r="BP174" s="220"/>
      <c r="BQ174" s="220"/>
      <c r="BR174" s="220"/>
      <c r="BS174" s="220"/>
      <c r="BT174" s="115"/>
      <c r="BU174" s="116">
        <f ref="BU174:BU203" t="shared" si="90">+BE174-BG174</f>
        <v>0</v>
      </c>
      <c r="BV174" s="3"/>
    </row>
    <row r="175" ht="14.25" customHeight="1">
      <c r="A175" s="3"/>
      <c r="B175" s="215">
        <v>46175</v>
      </c>
      <c r="C175" s="118"/>
      <c r="D175" s="123"/>
      <c r="E175" s="120"/>
      <c r="F175" s="849"/>
      <c r="G175" s="98">
        <f t="shared" si="82"/>
        <v>0</v>
      </c>
      <c r="H175" s="819"/>
      <c r="I175" s="746"/>
      <c r="J175" s="122"/>
      <c r="K175" s="122"/>
      <c r="L175" s="99"/>
      <c r="M175" s="99"/>
      <c r="N175" s="99"/>
      <c r="O175" s="99"/>
      <c r="P175" s="99"/>
      <c r="Q175" s="99"/>
      <c r="R175" s="641"/>
      <c r="S175" s="641"/>
      <c r="T175" s="99"/>
      <c r="U175" s="103">
        <f t="shared" si="83"/>
        <v>0</v>
      </c>
      <c r="V175" s="143"/>
      <c r="W175" s="143"/>
      <c r="X175" s="143"/>
      <c r="Y175" s="611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03">
        <f t="shared" si="84"/>
        <v>0</v>
      </c>
      <c r="AJ175" s="123"/>
      <c r="AK175" s="123"/>
      <c r="AL175" s="123"/>
      <c r="AM175" s="105">
        <f t="shared" si="85"/>
        <v>0</v>
      </c>
      <c r="AN175" s="143"/>
      <c r="AO175" s="143"/>
      <c r="AP175" s="143"/>
      <c r="AQ175" s="146"/>
      <c r="AR175" s="224">
        <f t="shared" si="86"/>
        <v>0</v>
      </c>
      <c r="AS175" s="126"/>
      <c r="AT175" s="274"/>
      <c r="AU175" s="126"/>
      <c r="AV175" s="126"/>
      <c r="AW175" s="126"/>
      <c r="AX175" s="275"/>
      <c r="AY175" s="126"/>
      <c r="AZ175" s="274"/>
      <c r="BA175" s="274"/>
      <c r="BB175" s="274"/>
      <c r="BC175" s="274"/>
      <c r="BD175" s="222">
        <f t="shared" si="87"/>
        <v>0</v>
      </c>
      <c r="BE175" s="113">
        <f t="shared" si="88"/>
        <v>0</v>
      </c>
      <c r="BF175" s="3"/>
      <c r="BG175" s="113">
        <f t="shared" si="89"/>
        <v>0</v>
      </c>
      <c r="BH175" s="225"/>
      <c r="BI175" s="225"/>
      <c r="BJ175" s="225"/>
      <c r="BK175" s="225"/>
      <c r="BL175" s="225"/>
      <c r="BM175" s="225"/>
      <c r="BN175" s="225"/>
      <c r="BO175" s="225"/>
      <c r="BP175" s="225"/>
      <c r="BQ175" s="225"/>
      <c r="BR175" s="225"/>
      <c r="BS175" s="225"/>
      <c r="BT175" s="129"/>
      <c r="BU175" s="130">
        <f t="shared" si="90"/>
        <v>0</v>
      </c>
      <c r="BV175" s="3"/>
    </row>
    <row r="176" ht="14.25" customHeight="1">
      <c r="A176" s="3"/>
      <c r="B176" s="215">
        <v>46176</v>
      </c>
      <c r="C176" s="118"/>
      <c r="D176" s="123"/>
      <c r="E176" s="120"/>
      <c r="F176" s="849"/>
      <c r="G176" s="98">
        <f t="shared" si="82"/>
        <v>0</v>
      </c>
      <c r="H176" s="819"/>
      <c r="I176" s="746"/>
      <c r="J176" s="122"/>
      <c r="K176" s="122"/>
      <c r="L176" s="99"/>
      <c r="M176" s="99"/>
      <c r="N176" s="99"/>
      <c r="O176" s="99"/>
      <c r="P176" s="99"/>
      <c r="Q176" s="99"/>
      <c r="R176" s="641"/>
      <c r="S176" s="641"/>
      <c r="T176" s="99"/>
      <c r="U176" s="103">
        <f t="shared" si="83"/>
        <v>0</v>
      </c>
      <c r="V176" s="143"/>
      <c r="W176" s="231"/>
      <c r="X176" s="231"/>
      <c r="Y176" s="611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03">
        <f t="shared" si="84"/>
        <v>0</v>
      </c>
      <c r="AJ176" s="123"/>
      <c r="AK176" s="118"/>
      <c r="AL176" s="123"/>
      <c r="AM176" s="105">
        <f t="shared" si="85"/>
        <v>0</v>
      </c>
      <c r="AN176" s="143"/>
      <c r="AO176" s="143"/>
      <c r="AP176" s="143"/>
      <c r="AQ176" s="146"/>
      <c r="AR176" s="224">
        <f t="shared" si="86"/>
        <v>0</v>
      </c>
      <c r="AS176" s="126"/>
      <c r="AT176" s="274"/>
      <c r="AU176" s="274"/>
      <c r="AV176" s="126"/>
      <c r="AW176" s="126"/>
      <c r="AX176" s="275"/>
      <c r="AY176" s="126"/>
      <c r="AZ176" s="274"/>
      <c r="BA176" s="274"/>
      <c r="BB176" s="274"/>
      <c r="BC176" s="274"/>
      <c r="BD176" s="222">
        <f t="shared" si="87"/>
        <v>0</v>
      </c>
      <c r="BE176" s="113">
        <f t="shared" si="88"/>
        <v>0</v>
      </c>
      <c r="BF176" s="3"/>
      <c r="BG176" s="113">
        <f t="shared" si="89"/>
        <v>0</v>
      </c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129"/>
      <c r="BU176" s="130">
        <f t="shared" si="90"/>
        <v>0</v>
      </c>
      <c r="BV176" s="3"/>
    </row>
    <row r="177" ht="14.25" customHeight="1">
      <c r="A177" s="3"/>
      <c r="B177" s="215">
        <v>46177</v>
      </c>
      <c r="C177" s="118"/>
      <c r="D177" s="123"/>
      <c r="E177" s="120"/>
      <c r="F177" s="120"/>
      <c r="G177" s="98">
        <f t="shared" si="82"/>
        <v>0</v>
      </c>
      <c r="H177" s="819"/>
      <c r="I177" s="746"/>
      <c r="J177" s="122"/>
      <c r="K177" s="122"/>
      <c r="L177" s="99"/>
      <c r="M177" s="99"/>
      <c r="N177" s="99"/>
      <c r="O177" s="99"/>
      <c r="P177" s="99"/>
      <c r="Q177" s="99"/>
      <c r="R177" s="641"/>
      <c r="S177" s="641"/>
      <c r="T177" s="99"/>
      <c r="U177" s="103">
        <f>SUM(H177:T177)</f>
        <v>0</v>
      </c>
      <c r="V177" s="143"/>
      <c r="W177" s="143"/>
      <c r="X177" s="143"/>
      <c r="Y177" s="611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03">
        <f t="shared" si="84"/>
        <v>0</v>
      </c>
      <c r="AJ177" s="123"/>
      <c r="AK177" s="118"/>
      <c r="AL177" s="123"/>
      <c r="AM177" s="105">
        <f t="shared" si="85"/>
        <v>0</v>
      </c>
      <c r="AN177" s="143"/>
      <c r="AO177" s="143"/>
      <c r="AP177" s="143"/>
      <c r="AQ177" s="146"/>
      <c r="AR177" s="224">
        <f t="shared" si="86"/>
        <v>0</v>
      </c>
      <c r="AS177" s="126"/>
      <c r="AT177" s="274"/>
      <c r="AU177" s="274"/>
      <c r="AV177" s="126"/>
      <c r="AW177" s="126"/>
      <c r="AX177" s="275"/>
      <c r="AY177" s="126"/>
      <c r="AZ177" s="274"/>
      <c r="BA177" s="274"/>
      <c r="BB177" s="274"/>
      <c r="BC177" s="274"/>
      <c r="BD177" s="222">
        <f t="shared" si="87"/>
        <v>0</v>
      </c>
      <c r="BE177" s="113">
        <f t="shared" si="88"/>
        <v>0</v>
      </c>
      <c r="BF177" s="3"/>
      <c r="BG177" s="113">
        <f t="shared" si="89"/>
        <v>0</v>
      </c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850"/>
      <c r="BR177" s="225"/>
      <c r="BS177" s="225"/>
      <c r="BT177" s="129"/>
      <c r="BU177" s="130">
        <f t="shared" si="90"/>
        <v>0</v>
      </c>
      <c r="BV177" s="3"/>
    </row>
    <row r="178" ht="14.25" customHeight="1">
      <c r="A178" s="3"/>
      <c r="B178" s="215">
        <v>46178</v>
      </c>
      <c r="C178" s="118"/>
      <c r="D178" s="123"/>
      <c r="E178" s="120"/>
      <c r="F178" s="120"/>
      <c r="G178" s="98">
        <f t="shared" si="82"/>
        <v>0</v>
      </c>
      <c r="H178" s="819"/>
      <c r="I178" s="746"/>
      <c r="J178" s="122"/>
      <c r="K178" s="122"/>
      <c r="L178" s="99"/>
      <c r="M178" s="99"/>
      <c r="N178" s="99"/>
      <c r="O178" s="99"/>
      <c r="P178" s="99"/>
      <c r="Q178" s="99"/>
      <c r="R178" s="641"/>
      <c r="S178" s="641"/>
      <c r="T178" s="99"/>
      <c r="U178" s="103">
        <f ref="U178:U203" t="shared" si="91">SUM(I178:T178)</f>
        <v>0</v>
      </c>
      <c r="V178" s="143"/>
      <c r="W178" s="143"/>
      <c r="X178" s="143"/>
      <c r="Y178" s="611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03">
        <f t="shared" si="84"/>
        <v>0</v>
      </c>
      <c r="AJ178" s="123"/>
      <c r="AK178" s="123"/>
      <c r="AL178" s="123"/>
      <c r="AM178" s="105">
        <f t="shared" si="85"/>
        <v>0</v>
      </c>
      <c r="AN178" s="143"/>
      <c r="AO178" s="143"/>
      <c r="AP178" s="143"/>
      <c r="AQ178" s="146"/>
      <c r="AR178" s="224">
        <f t="shared" si="86"/>
        <v>0</v>
      </c>
      <c r="AS178" s="126"/>
      <c r="AT178" s="127"/>
      <c r="AU178" s="851"/>
      <c r="AV178" s="274"/>
      <c r="AW178" s="126"/>
      <c r="AX178" s="275"/>
      <c r="AY178" s="126"/>
      <c r="AZ178" s="274"/>
      <c r="BA178" s="274"/>
      <c r="BB178" s="274"/>
      <c r="BC178" s="274"/>
      <c r="BD178" s="222">
        <f t="shared" si="87"/>
        <v>0</v>
      </c>
      <c r="BE178" s="113">
        <f t="shared" si="88"/>
        <v>0</v>
      </c>
      <c r="BF178" s="3"/>
      <c r="BG178" s="113">
        <f t="shared" si="89"/>
        <v>0</v>
      </c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129"/>
      <c r="BU178" s="130">
        <f t="shared" si="90"/>
        <v>0</v>
      </c>
      <c r="BV178" s="3"/>
    </row>
    <row r="179" ht="14.25" customHeight="1">
      <c r="A179" s="3"/>
      <c r="B179" s="215">
        <v>46179</v>
      </c>
      <c r="C179" s="118"/>
      <c r="D179" s="123"/>
      <c r="E179" s="120"/>
      <c r="F179" s="120"/>
      <c r="G179" s="98">
        <f t="shared" si="82"/>
        <v>0</v>
      </c>
      <c r="H179" s="819"/>
      <c r="I179" s="746"/>
      <c r="J179" s="122"/>
      <c r="K179" s="122"/>
      <c r="L179" s="99"/>
      <c r="M179" s="99"/>
      <c r="N179" s="99"/>
      <c r="O179" s="99"/>
      <c r="P179" s="99"/>
      <c r="Q179" s="99"/>
      <c r="R179" s="641"/>
      <c r="S179" s="641"/>
      <c r="T179" s="99"/>
      <c r="U179" s="103">
        <f t="shared" si="91"/>
        <v>0</v>
      </c>
      <c r="V179" s="143"/>
      <c r="W179" s="143"/>
      <c r="X179" s="143"/>
      <c r="Y179" s="611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03">
        <f t="shared" si="84"/>
        <v>0</v>
      </c>
      <c r="AJ179" s="123"/>
      <c r="AK179" s="123"/>
      <c r="AL179" s="123"/>
      <c r="AM179" s="105">
        <f t="shared" si="85"/>
        <v>0</v>
      </c>
      <c r="AN179" s="143"/>
      <c r="AO179" s="143"/>
      <c r="AP179" s="143"/>
      <c r="AQ179" s="146"/>
      <c r="AR179" s="224">
        <f t="shared" si="86"/>
        <v>0</v>
      </c>
      <c r="AS179" s="126"/>
      <c r="AT179" s="274"/>
      <c r="AU179" s="274"/>
      <c r="AV179" s="126"/>
      <c r="AW179" s="126"/>
      <c r="AX179" s="275"/>
      <c r="AY179" s="126"/>
      <c r="AZ179" s="274"/>
      <c r="BA179" s="274"/>
      <c r="BB179" s="274"/>
      <c r="BC179" s="274"/>
      <c r="BD179" s="222">
        <f t="shared" si="87"/>
        <v>0</v>
      </c>
      <c r="BE179" s="113">
        <f t="shared" si="88"/>
        <v>0</v>
      </c>
      <c r="BF179" s="3"/>
      <c r="BG179" s="113">
        <f t="shared" si="89"/>
        <v>0</v>
      </c>
      <c r="BH179" s="225"/>
      <c r="BI179" s="225"/>
      <c r="BJ179" s="225"/>
      <c r="BK179" s="225"/>
      <c r="BL179" s="225"/>
      <c r="BM179" s="225"/>
      <c r="BN179" s="225"/>
      <c r="BO179" s="225"/>
      <c r="BP179" s="225"/>
      <c r="BQ179" s="225"/>
      <c r="BR179" s="225"/>
      <c r="BS179" s="225"/>
      <c r="BT179" s="129"/>
      <c r="BU179" s="130">
        <f t="shared" si="90"/>
        <v>0</v>
      </c>
      <c r="BV179" s="3"/>
    </row>
    <row r="180" ht="14.25" customHeight="1">
      <c r="A180" s="3"/>
      <c r="B180" s="215">
        <v>46180</v>
      </c>
      <c r="C180" s="118"/>
      <c r="D180" s="123"/>
      <c r="E180" s="120"/>
      <c r="F180" s="120"/>
      <c r="G180" s="98">
        <f t="shared" si="82"/>
        <v>0</v>
      </c>
      <c r="H180" s="819"/>
      <c r="I180" s="746"/>
      <c r="J180" s="122"/>
      <c r="K180" s="122"/>
      <c r="L180" s="99"/>
      <c r="M180" s="99"/>
      <c r="N180" s="99"/>
      <c r="O180" s="99"/>
      <c r="P180" s="99"/>
      <c r="Q180" s="99"/>
      <c r="R180" s="379"/>
      <c r="S180" s="379"/>
      <c r="T180" s="99"/>
      <c r="U180" s="103">
        <f t="shared" si="91"/>
        <v>0</v>
      </c>
      <c r="V180" s="143"/>
      <c r="W180" s="143"/>
      <c r="X180" s="143"/>
      <c r="Y180" s="611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03">
        <f t="shared" si="84"/>
        <v>0</v>
      </c>
      <c r="AJ180" s="123"/>
      <c r="AK180" s="123"/>
      <c r="AL180" s="123"/>
      <c r="AM180" s="105">
        <f t="shared" si="85"/>
        <v>0</v>
      </c>
      <c r="AN180" s="143"/>
      <c r="AO180" s="143"/>
      <c r="AP180" s="143"/>
      <c r="AQ180" s="146"/>
      <c r="AR180" s="224">
        <f t="shared" si="86"/>
        <v>0</v>
      </c>
      <c r="AS180" s="126"/>
      <c r="AT180" s="274"/>
      <c r="AU180" s="274"/>
      <c r="AV180" s="126"/>
      <c r="AW180" s="126"/>
      <c r="AX180" s="275"/>
      <c r="AY180" s="126"/>
      <c r="AZ180" s="274"/>
      <c r="BA180" s="274"/>
      <c r="BB180" s="274"/>
      <c r="BC180" s="274"/>
      <c r="BD180" s="222">
        <f t="shared" si="87"/>
        <v>0</v>
      </c>
      <c r="BE180" s="113">
        <f t="shared" si="88"/>
        <v>0</v>
      </c>
      <c r="BF180" s="3"/>
      <c r="BG180" s="113">
        <f t="shared" si="89"/>
        <v>0</v>
      </c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129"/>
      <c r="BU180" s="130">
        <f t="shared" si="90"/>
        <v>0</v>
      </c>
      <c r="BV180" s="3"/>
    </row>
    <row r="181" ht="14.25" customHeight="1">
      <c r="A181" s="132"/>
      <c r="B181" s="215">
        <v>46181</v>
      </c>
      <c r="C181" s="133"/>
      <c r="D181" s="136"/>
      <c r="E181" s="135"/>
      <c r="F181" s="135"/>
      <c r="G181" s="98">
        <f t="shared" si="82"/>
        <v>0</v>
      </c>
      <c r="H181" s="819"/>
      <c r="I181" s="746"/>
      <c r="J181" s="122"/>
      <c r="K181" s="122"/>
      <c r="L181" s="99"/>
      <c r="M181" s="99"/>
      <c r="N181" s="99"/>
      <c r="O181" s="99"/>
      <c r="P181" s="99"/>
      <c r="Q181" s="99"/>
      <c r="R181" s="641"/>
      <c r="S181" s="641"/>
      <c r="T181" s="99"/>
      <c r="U181" s="103">
        <f t="shared" si="91"/>
        <v>0</v>
      </c>
      <c r="V181" s="143"/>
      <c r="W181" s="143"/>
      <c r="X181" s="143"/>
      <c r="Y181" s="611"/>
      <c r="Z181" s="231"/>
      <c r="AA181" s="143"/>
      <c r="AB181" s="143"/>
      <c r="AC181" s="143"/>
      <c r="AD181" s="143"/>
      <c r="AE181" s="143"/>
      <c r="AF181" s="143"/>
      <c r="AG181" s="143"/>
      <c r="AH181" s="143"/>
      <c r="AI181" s="103">
        <f t="shared" si="84"/>
        <v>0</v>
      </c>
      <c r="AJ181" s="136"/>
      <c r="AK181" s="136"/>
      <c r="AL181" s="136"/>
      <c r="AM181" s="105">
        <f t="shared" si="85"/>
        <v>0</v>
      </c>
      <c r="AN181" s="143"/>
      <c r="AO181" s="143"/>
      <c r="AP181" s="143"/>
      <c r="AQ181" s="146"/>
      <c r="AR181" s="224">
        <f t="shared" si="86"/>
        <v>0</v>
      </c>
      <c r="AS181" s="126"/>
      <c r="AT181" s="127"/>
      <c r="AU181" s="851"/>
      <c r="AV181" s="274"/>
      <c r="AW181" s="126"/>
      <c r="AX181" s="275"/>
      <c r="AY181" s="126"/>
      <c r="AZ181" s="274"/>
      <c r="BA181" s="274"/>
      <c r="BB181" s="274"/>
      <c r="BC181" s="274"/>
      <c r="BD181" s="222">
        <f t="shared" si="87"/>
        <v>0</v>
      </c>
      <c r="BE181" s="140">
        <f t="shared" si="88"/>
        <v>0</v>
      </c>
      <c r="BF181" s="132"/>
      <c r="BG181" s="140">
        <f t="shared" si="89"/>
        <v>0</v>
      </c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41"/>
      <c r="BU181" s="130">
        <f t="shared" si="90"/>
        <v>0</v>
      </c>
      <c r="BV181" s="132"/>
    </row>
    <row r="182" ht="14.25" customHeight="1">
      <c r="A182" s="132"/>
      <c r="B182" s="215">
        <v>46182</v>
      </c>
      <c r="C182" s="133"/>
      <c r="D182" s="136"/>
      <c r="E182" s="135"/>
      <c r="F182" s="135"/>
      <c r="G182" s="98">
        <f t="shared" si="82"/>
        <v>0</v>
      </c>
      <c r="H182" s="819"/>
      <c r="I182" s="746"/>
      <c r="J182" s="122"/>
      <c r="K182" s="122"/>
      <c r="L182" s="99"/>
      <c r="M182" s="99"/>
      <c r="N182" s="99"/>
      <c r="O182" s="99"/>
      <c r="P182" s="99"/>
      <c r="Q182" s="99"/>
      <c r="R182" s="641"/>
      <c r="S182" s="641"/>
      <c r="T182" s="99"/>
      <c r="U182" s="103">
        <f t="shared" si="91"/>
        <v>0</v>
      </c>
      <c r="V182" s="143"/>
      <c r="W182" s="231"/>
      <c r="X182" s="231"/>
      <c r="Y182" s="611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03">
        <f t="shared" si="84"/>
        <v>0</v>
      </c>
      <c r="AJ182" s="136"/>
      <c r="AK182" s="136"/>
      <c r="AL182" s="136"/>
      <c r="AM182" s="105">
        <f t="shared" si="85"/>
        <v>0</v>
      </c>
      <c r="AN182" s="143"/>
      <c r="AO182" s="143"/>
      <c r="AP182" s="143"/>
      <c r="AQ182" s="146"/>
      <c r="AR182" s="224">
        <f t="shared" si="86"/>
        <v>0</v>
      </c>
      <c r="AS182" s="126"/>
      <c r="AT182" s="274"/>
      <c r="AU182" s="126"/>
      <c r="AV182" s="126"/>
      <c r="AW182" s="126"/>
      <c r="AX182" s="275"/>
      <c r="AY182" s="126"/>
      <c r="AZ182" s="274"/>
      <c r="BA182" s="274"/>
      <c r="BB182" s="274"/>
      <c r="BC182" s="274"/>
      <c r="BD182" s="222">
        <f t="shared" si="87"/>
        <v>0</v>
      </c>
      <c r="BE182" s="140">
        <f t="shared" si="88"/>
        <v>0</v>
      </c>
      <c r="BF182" s="132"/>
      <c r="BG182" s="140">
        <f t="shared" si="89"/>
        <v>0</v>
      </c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41"/>
      <c r="BU182" s="130">
        <f t="shared" si="90"/>
        <v>0</v>
      </c>
      <c r="BV182" s="132"/>
    </row>
    <row r="183" ht="14.25" customHeight="1">
      <c r="A183" s="132"/>
      <c r="B183" s="215">
        <v>46183</v>
      </c>
      <c r="C183" s="133"/>
      <c r="D183" s="136"/>
      <c r="E183" s="135"/>
      <c r="F183" s="135"/>
      <c r="G183" s="98">
        <f t="shared" si="82"/>
        <v>0</v>
      </c>
      <c r="H183" s="819"/>
      <c r="I183" s="746"/>
      <c r="J183" s="122"/>
      <c r="K183" s="122"/>
      <c r="L183" s="99"/>
      <c r="M183" s="99"/>
      <c r="N183" s="99"/>
      <c r="O183" s="99"/>
      <c r="P183" s="99"/>
      <c r="Q183" s="99"/>
      <c r="R183" s="379"/>
      <c r="S183" s="379"/>
      <c r="T183" s="99"/>
      <c r="U183" s="103">
        <f t="shared" si="91"/>
        <v>0</v>
      </c>
      <c r="V183" s="143"/>
      <c r="W183" s="143"/>
      <c r="X183" s="143"/>
      <c r="Y183" s="611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03">
        <f t="shared" si="84"/>
        <v>0</v>
      </c>
      <c r="AJ183" s="136"/>
      <c r="AK183" s="136"/>
      <c r="AL183" s="136"/>
      <c r="AM183" s="105">
        <f t="shared" si="85"/>
        <v>0</v>
      </c>
      <c r="AN183" s="143"/>
      <c r="AO183" s="143"/>
      <c r="AP183" s="143"/>
      <c r="AQ183" s="146"/>
      <c r="AR183" s="224">
        <f t="shared" si="86"/>
        <v>0</v>
      </c>
      <c r="AS183" s="126"/>
      <c r="AT183" s="274"/>
      <c r="AU183" s="126"/>
      <c r="AV183" s="126"/>
      <c r="AW183" s="126"/>
      <c r="AX183" s="275"/>
      <c r="AY183" s="126"/>
      <c r="AZ183" s="274"/>
      <c r="BA183" s="274"/>
      <c r="BB183" s="274"/>
      <c r="BC183" s="274"/>
      <c r="BD183" s="222">
        <f t="shared" si="87"/>
        <v>0</v>
      </c>
      <c r="BE183" s="140">
        <f t="shared" si="88"/>
        <v>0</v>
      </c>
      <c r="BF183" s="132"/>
      <c r="BG183" s="140">
        <f t="shared" si="89"/>
        <v>0</v>
      </c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41"/>
      <c r="BU183" s="130">
        <f t="shared" si="90"/>
        <v>0</v>
      </c>
      <c r="BV183" s="132"/>
    </row>
    <row r="184" ht="14.25" customHeight="1">
      <c r="A184" s="132"/>
      <c r="B184" s="215">
        <v>46184</v>
      </c>
      <c r="C184" s="133"/>
      <c r="D184" s="136"/>
      <c r="E184" s="135"/>
      <c r="F184" s="135"/>
      <c r="G184" s="98">
        <f t="shared" si="82"/>
        <v>0</v>
      </c>
      <c r="H184" s="819"/>
      <c r="I184" s="746"/>
      <c r="J184" s="122"/>
      <c r="K184" s="122"/>
      <c r="L184" s="99"/>
      <c r="M184" s="99"/>
      <c r="N184" s="99"/>
      <c r="O184" s="99"/>
      <c r="P184" s="99"/>
      <c r="Q184" s="99"/>
      <c r="R184" s="379"/>
      <c r="S184" s="379"/>
      <c r="T184" s="99"/>
      <c r="U184" s="103">
        <f t="shared" si="91"/>
        <v>0</v>
      </c>
      <c r="V184" s="143"/>
      <c r="W184" s="143"/>
      <c r="X184" s="143"/>
      <c r="Y184" s="611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03">
        <f t="shared" si="84"/>
        <v>0</v>
      </c>
      <c r="AJ184" s="136"/>
      <c r="AK184" s="136"/>
      <c r="AL184" s="136"/>
      <c r="AM184" s="105">
        <f t="shared" si="85"/>
        <v>0</v>
      </c>
      <c r="AN184" s="143"/>
      <c r="AO184" s="143"/>
      <c r="AP184" s="143"/>
      <c r="AQ184" s="146"/>
      <c r="AR184" s="224">
        <f t="shared" si="86"/>
        <v>0</v>
      </c>
      <c r="AS184" s="126"/>
      <c r="AT184" s="274"/>
      <c r="AU184" s="126"/>
      <c r="AV184" s="126"/>
      <c r="AW184" s="126"/>
      <c r="AX184" s="275"/>
      <c r="AY184" s="126"/>
      <c r="AZ184" s="274"/>
      <c r="BA184" s="274"/>
      <c r="BB184" s="274"/>
      <c r="BC184" s="274"/>
      <c r="BD184" s="222">
        <f t="shared" si="87"/>
        <v>0</v>
      </c>
      <c r="BE184" s="140">
        <f t="shared" si="88"/>
        <v>0</v>
      </c>
      <c r="BF184" s="132"/>
      <c r="BG184" s="140">
        <f t="shared" si="89"/>
        <v>0</v>
      </c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41"/>
      <c r="BU184" s="130">
        <f t="shared" si="90"/>
        <v>0</v>
      </c>
      <c r="BV184" s="132"/>
    </row>
    <row r="185" ht="14.25" customHeight="1">
      <c r="A185" s="132"/>
      <c r="B185" s="215">
        <v>46185</v>
      </c>
      <c r="C185" s="133"/>
      <c r="D185" s="136"/>
      <c r="E185" s="135"/>
      <c r="F185" s="135"/>
      <c r="G185" s="98">
        <f t="shared" si="82"/>
        <v>0</v>
      </c>
      <c r="H185" s="819"/>
      <c r="I185" s="746"/>
      <c r="J185" s="122"/>
      <c r="K185" s="122"/>
      <c r="L185" s="99"/>
      <c r="M185" s="99"/>
      <c r="N185" s="99"/>
      <c r="O185" s="99"/>
      <c r="P185" s="99"/>
      <c r="Q185" s="99"/>
      <c r="R185" s="379"/>
      <c r="S185" s="379"/>
      <c r="T185" s="99"/>
      <c r="U185" s="103">
        <f t="shared" si="91"/>
        <v>0</v>
      </c>
      <c r="V185" s="143"/>
      <c r="W185" s="231"/>
      <c r="X185" s="231"/>
      <c r="Y185" s="611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03">
        <f t="shared" si="84"/>
        <v>0</v>
      </c>
      <c r="AJ185" s="136"/>
      <c r="AK185" s="136"/>
      <c r="AL185" s="136"/>
      <c r="AM185" s="105">
        <f t="shared" si="85"/>
        <v>0</v>
      </c>
      <c r="AN185" s="143"/>
      <c r="AO185" s="143"/>
      <c r="AP185" s="143"/>
      <c r="AQ185" s="146"/>
      <c r="AR185" s="224">
        <f t="shared" si="86"/>
        <v>0</v>
      </c>
      <c r="AS185" s="126"/>
      <c r="AT185" s="274"/>
      <c r="AU185" s="126"/>
      <c r="AV185" s="126"/>
      <c r="AW185" s="126"/>
      <c r="AX185" s="275"/>
      <c r="AY185" s="126"/>
      <c r="AZ185" s="274"/>
      <c r="BA185" s="274"/>
      <c r="BB185" s="274"/>
      <c r="BC185" s="274"/>
      <c r="BD185" s="222">
        <f t="shared" si="87"/>
        <v>0</v>
      </c>
      <c r="BE185" s="140">
        <f t="shared" si="88"/>
        <v>0</v>
      </c>
      <c r="BF185" s="132"/>
      <c r="BG185" s="140">
        <f t="shared" si="89"/>
        <v>0</v>
      </c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41"/>
      <c r="BU185" s="130">
        <f t="shared" si="90"/>
        <v>0</v>
      </c>
      <c r="BV185" s="132"/>
    </row>
    <row r="186" ht="14.25" customHeight="1">
      <c r="A186" s="132"/>
      <c r="B186" s="215">
        <v>46186</v>
      </c>
      <c r="C186" s="133"/>
      <c r="D186" s="136"/>
      <c r="E186" s="135"/>
      <c r="F186" s="135"/>
      <c r="G186" s="98">
        <f t="shared" si="82"/>
        <v>0</v>
      </c>
      <c r="H186" s="819"/>
      <c r="I186" s="746"/>
      <c r="J186" s="122"/>
      <c r="K186" s="122"/>
      <c r="L186" s="99"/>
      <c r="M186" s="99"/>
      <c r="N186" s="99"/>
      <c r="O186" s="99"/>
      <c r="P186" s="99"/>
      <c r="Q186" s="99"/>
      <c r="R186" s="379"/>
      <c r="S186" s="379"/>
      <c r="T186" s="99"/>
      <c r="U186" s="103">
        <f t="shared" si="91"/>
        <v>0</v>
      </c>
      <c r="V186" s="143"/>
      <c r="W186" s="143"/>
      <c r="X186" s="143"/>
      <c r="Y186" s="611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03">
        <f t="shared" si="84"/>
        <v>0</v>
      </c>
      <c r="AJ186" s="136"/>
      <c r="AK186" s="136"/>
      <c r="AL186" s="136"/>
      <c r="AM186" s="105">
        <f t="shared" si="85"/>
        <v>0</v>
      </c>
      <c r="AN186" s="143"/>
      <c r="AO186" s="143"/>
      <c r="AP186" s="143"/>
      <c r="AQ186" s="146"/>
      <c r="AR186" s="224">
        <f t="shared" si="86"/>
        <v>0</v>
      </c>
      <c r="AS186" s="126"/>
      <c r="AT186" s="127"/>
      <c r="AU186" s="851"/>
      <c r="AV186" s="274"/>
      <c r="AW186" s="126"/>
      <c r="AX186" s="275"/>
      <c r="AY186" s="126"/>
      <c r="AZ186" s="274"/>
      <c r="BA186" s="274"/>
      <c r="BB186" s="274"/>
      <c r="BC186" s="274"/>
      <c r="BD186" s="222">
        <f t="shared" si="87"/>
        <v>0</v>
      </c>
      <c r="BE186" s="140">
        <f t="shared" si="88"/>
        <v>0</v>
      </c>
      <c r="BF186" s="132"/>
      <c r="BG186" s="140">
        <f t="shared" si="89"/>
        <v>0</v>
      </c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41"/>
      <c r="BU186" s="130">
        <f t="shared" si="90"/>
        <v>0</v>
      </c>
      <c r="BV186" s="132"/>
    </row>
    <row r="187" ht="14.25" customHeight="1">
      <c r="A187" s="132"/>
      <c r="B187" s="215">
        <v>46187</v>
      </c>
      <c r="C187" s="133"/>
      <c r="D187" s="136"/>
      <c r="E187" s="135"/>
      <c r="F187" s="135"/>
      <c r="G187" s="98">
        <f t="shared" si="82"/>
        <v>0</v>
      </c>
      <c r="H187" s="819"/>
      <c r="I187" s="746"/>
      <c r="J187" s="122"/>
      <c r="K187" s="122"/>
      <c r="L187" s="99"/>
      <c r="M187" s="99"/>
      <c r="N187" s="99"/>
      <c r="O187" s="99"/>
      <c r="P187" s="99"/>
      <c r="Q187" s="99"/>
      <c r="R187" s="379"/>
      <c r="S187" s="379"/>
      <c r="T187" s="99"/>
      <c r="U187" s="103">
        <f t="shared" si="91"/>
        <v>0</v>
      </c>
      <c r="V187" s="143"/>
      <c r="W187" s="143"/>
      <c r="X187" s="143"/>
      <c r="Y187" s="611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03">
        <f t="shared" si="84"/>
        <v>0</v>
      </c>
      <c r="AJ187" s="136"/>
      <c r="AK187" s="136"/>
      <c r="AL187" s="136"/>
      <c r="AM187" s="105">
        <f t="shared" si="85"/>
        <v>0</v>
      </c>
      <c r="AN187" s="143"/>
      <c r="AO187" s="143"/>
      <c r="AP187" s="143"/>
      <c r="AQ187" s="146"/>
      <c r="AR187" s="224">
        <f t="shared" si="86"/>
        <v>0</v>
      </c>
      <c r="AS187" s="126"/>
      <c r="AT187" s="274"/>
      <c r="AU187" s="126"/>
      <c r="AV187" s="126"/>
      <c r="AW187" s="126"/>
      <c r="AX187" s="275"/>
      <c r="AY187" s="126"/>
      <c r="AZ187" s="274"/>
      <c r="BA187" s="274"/>
      <c r="BB187" s="274"/>
      <c r="BC187" s="274"/>
      <c r="BD187" s="222">
        <f t="shared" si="87"/>
        <v>0</v>
      </c>
      <c r="BE187" s="140">
        <f t="shared" si="88"/>
        <v>0</v>
      </c>
      <c r="BF187" s="132"/>
      <c r="BG187" s="140">
        <f t="shared" si="89"/>
        <v>0</v>
      </c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41"/>
      <c r="BU187" s="130">
        <f t="shared" si="90"/>
        <v>0</v>
      </c>
      <c r="BV187" s="132"/>
    </row>
    <row r="188" ht="14.25" customHeight="1">
      <c r="A188" s="132"/>
      <c r="B188" s="215">
        <v>46188</v>
      </c>
      <c r="C188" s="133"/>
      <c r="D188" s="136"/>
      <c r="E188" s="135"/>
      <c r="F188" s="135"/>
      <c r="G188" s="98">
        <f t="shared" si="82"/>
        <v>0</v>
      </c>
      <c r="H188" s="819"/>
      <c r="I188" s="746"/>
      <c r="J188" s="122"/>
      <c r="K188" s="122"/>
      <c r="L188" s="99"/>
      <c r="M188" s="99"/>
      <c r="N188" s="99"/>
      <c r="O188" s="99"/>
      <c r="P188" s="99"/>
      <c r="Q188" s="99"/>
      <c r="R188" s="379"/>
      <c r="S188" s="379"/>
      <c r="T188" s="99"/>
      <c r="U188" s="103">
        <f t="shared" si="91"/>
        <v>0</v>
      </c>
      <c r="V188" s="143"/>
      <c r="W188" s="143"/>
      <c r="X188" s="143"/>
      <c r="Y188" s="611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03">
        <f t="shared" si="84"/>
        <v>0</v>
      </c>
      <c r="AJ188" s="136"/>
      <c r="AK188" s="136"/>
      <c r="AL188" s="136"/>
      <c r="AM188" s="105">
        <f t="shared" si="85"/>
        <v>0</v>
      </c>
      <c r="AN188" s="143"/>
      <c r="AO188" s="143"/>
      <c r="AP188" s="143"/>
      <c r="AQ188" s="146"/>
      <c r="AR188" s="224">
        <f t="shared" si="86"/>
        <v>0</v>
      </c>
      <c r="AS188" s="126"/>
      <c r="AT188" s="127"/>
      <c r="AU188" s="851"/>
      <c r="AV188" s="274"/>
      <c r="AW188" s="126"/>
      <c r="AX188" s="275"/>
      <c r="AY188" s="126"/>
      <c r="AZ188" s="274"/>
      <c r="BA188" s="274"/>
      <c r="BB188" s="274"/>
      <c r="BC188" s="274"/>
      <c r="BD188" s="222">
        <f t="shared" si="87"/>
        <v>0</v>
      </c>
      <c r="BE188" s="140">
        <f t="shared" si="88"/>
        <v>0</v>
      </c>
      <c r="BF188" s="132"/>
      <c r="BG188" s="140">
        <f t="shared" si="89"/>
        <v>0</v>
      </c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41"/>
      <c r="BU188" s="130">
        <f t="shared" si="90"/>
        <v>0</v>
      </c>
      <c r="BV188" s="132"/>
    </row>
    <row r="189" ht="14.25" customHeight="1">
      <c r="A189" s="132"/>
      <c r="B189" s="215">
        <v>46189</v>
      </c>
      <c r="C189" s="133"/>
      <c r="D189" s="136"/>
      <c r="E189" s="135"/>
      <c r="F189" s="135"/>
      <c r="G189" s="98">
        <f t="shared" si="82"/>
        <v>0</v>
      </c>
      <c r="H189" s="819"/>
      <c r="I189" s="746"/>
      <c r="J189" s="122"/>
      <c r="K189" s="122"/>
      <c r="L189" s="99"/>
      <c r="M189" s="99"/>
      <c r="N189" s="99"/>
      <c r="O189" s="99"/>
      <c r="P189" s="99"/>
      <c r="Q189" s="99"/>
      <c r="R189" s="379"/>
      <c r="S189" s="379"/>
      <c r="T189" s="99"/>
      <c r="U189" s="103">
        <f t="shared" si="91"/>
        <v>0</v>
      </c>
      <c r="V189" s="143"/>
      <c r="W189" s="143"/>
      <c r="X189" s="143"/>
      <c r="Y189" s="611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03">
        <f t="shared" si="84"/>
        <v>0</v>
      </c>
      <c r="AJ189" s="136"/>
      <c r="AK189" s="136"/>
      <c r="AL189" s="136"/>
      <c r="AM189" s="105">
        <f t="shared" si="85"/>
        <v>0</v>
      </c>
      <c r="AN189" s="143"/>
      <c r="AO189" s="143"/>
      <c r="AP189" s="143"/>
      <c r="AQ189" s="146"/>
      <c r="AR189" s="224">
        <f t="shared" si="86"/>
        <v>0</v>
      </c>
      <c r="AS189" s="126"/>
      <c r="AT189" s="274"/>
      <c r="AU189" s="126"/>
      <c r="AV189" s="126"/>
      <c r="AW189" s="126"/>
      <c r="AX189" s="275"/>
      <c r="AY189" s="126"/>
      <c r="AZ189" s="274"/>
      <c r="BA189" s="274"/>
      <c r="BB189" s="274"/>
      <c r="BC189" s="274"/>
      <c r="BD189" s="222">
        <f t="shared" si="87"/>
        <v>0</v>
      </c>
      <c r="BE189" s="140">
        <f t="shared" si="88"/>
        <v>0</v>
      </c>
      <c r="BF189" s="132"/>
      <c r="BG189" s="140">
        <f t="shared" si="89"/>
        <v>0</v>
      </c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41"/>
      <c r="BU189" s="130">
        <f t="shared" si="90"/>
        <v>0</v>
      </c>
      <c r="BV189" s="132"/>
    </row>
    <row r="190" ht="14.25" customHeight="1">
      <c r="A190" s="132"/>
      <c r="B190" s="215">
        <v>46190</v>
      </c>
      <c r="C190" s="133"/>
      <c r="D190" s="136"/>
      <c r="E190" s="135"/>
      <c r="F190" s="135"/>
      <c r="G190" s="98">
        <f t="shared" si="82"/>
        <v>0</v>
      </c>
      <c r="H190" s="819"/>
      <c r="I190" s="746"/>
      <c r="J190" s="122"/>
      <c r="K190" s="122"/>
      <c r="L190" s="99"/>
      <c r="M190" s="99"/>
      <c r="N190" s="99"/>
      <c r="O190" s="99"/>
      <c r="P190" s="99"/>
      <c r="Q190" s="99"/>
      <c r="R190" s="379"/>
      <c r="S190" s="379"/>
      <c r="T190" s="99"/>
      <c r="U190" s="103">
        <f t="shared" si="91"/>
        <v>0</v>
      </c>
      <c r="V190" s="143"/>
      <c r="W190" s="231"/>
      <c r="X190" s="231"/>
      <c r="Y190" s="611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03">
        <f t="shared" si="84"/>
        <v>0</v>
      </c>
      <c r="AJ190" s="136"/>
      <c r="AK190" s="136"/>
      <c r="AL190" s="136"/>
      <c r="AM190" s="105">
        <f t="shared" si="85"/>
        <v>0</v>
      </c>
      <c r="AN190" s="143"/>
      <c r="AO190" s="143"/>
      <c r="AP190" s="143"/>
      <c r="AQ190" s="146"/>
      <c r="AR190" s="224">
        <f t="shared" si="86"/>
        <v>0</v>
      </c>
      <c r="AS190" s="126"/>
      <c r="AT190" s="274"/>
      <c r="AU190" s="126"/>
      <c r="AV190" s="126"/>
      <c r="AW190" s="126"/>
      <c r="AX190" s="275"/>
      <c r="AY190" s="126"/>
      <c r="AZ190" s="274"/>
      <c r="BA190" s="274"/>
      <c r="BB190" s="274"/>
      <c r="BC190" s="274"/>
      <c r="BD190" s="222">
        <f t="shared" si="87"/>
        <v>0</v>
      </c>
      <c r="BE190" s="140">
        <f t="shared" si="88"/>
        <v>0</v>
      </c>
      <c r="BF190" s="132"/>
      <c r="BG190" s="140">
        <f t="shared" si="89"/>
        <v>0</v>
      </c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41"/>
      <c r="BU190" s="130">
        <f t="shared" si="90"/>
        <v>0</v>
      </c>
      <c r="BV190" s="132"/>
    </row>
    <row r="191" ht="14.25" customHeight="1">
      <c r="A191" s="132"/>
      <c r="B191" s="215">
        <v>46191</v>
      </c>
      <c r="C191" s="133"/>
      <c r="D191" s="136"/>
      <c r="E191" s="135"/>
      <c r="F191" s="135"/>
      <c r="G191" s="98">
        <f t="shared" si="82"/>
        <v>0</v>
      </c>
      <c r="H191" s="819"/>
      <c r="I191" s="746"/>
      <c r="J191" s="122"/>
      <c r="K191" s="122"/>
      <c r="L191" s="99"/>
      <c r="M191" s="99"/>
      <c r="N191" s="99"/>
      <c r="O191" s="99"/>
      <c r="P191" s="99"/>
      <c r="Q191" s="99"/>
      <c r="R191" s="379"/>
      <c r="S191" s="379"/>
      <c r="T191" s="99"/>
      <c r="U191" s="103">
        <f t="shared" si="91"/>
        <v>0</v>
      </c>
      <c r="V191" s="143"/>
      <c r="W191" s="231"/>
      <c r="X191" s="231"/>
      <c r="Y191" s="611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03">
        <f t="shared" si="84"/>
        <v>0</v>
      </c>
      <c r="AJ191" s="136"/>
      <c r="AK191" s="136"/>
      <c r="AL191" s="136"/>
      <c r="AM191" s="105">
        <f t="shared" si="85"/>
        <v>0</v>
      </c>
      <c r="AN191" s="143"/>
      <c r="AO191" s="143"/>
      <c r="AP191" s="143"/>
      <c r="AQ191" s="146"/>
      <c r="AR191" s="224">
        <f t="shared" si="86"/>
        <v>0</v>
      </c>
      <c r="AS191" s="126"/>
      <c r="AT191" s="274"/>
      <c r="AU191" s="126"/>
      <c r="AV191" s="126"/>
      <c r="AW191" s="126"/>
      <c r="AX191" s="275"/>
      <c r="AY191" s="126"/>
      <c r="AZ191" s="274"/>
      <c r="BA191" s="274"/>
      <c r="BB191" s="274"/>
      <c r="BC191" s="274"/>
      <c r="BD191" s="222">
        <f t="shared" si="87"/>
        <v>0</v>
      </c>
      <c r="BE191" s="140">
        <f t="shared" si="88"/>
        <v>0</v>
      </c>
      <c r="BF191" s="132"/>
      <c r="BG191" s="140">
        <f t="shared" si="89"/>
        <v>0</v>
      </c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41"/>
      <c r="BU191" s="130">
        <f t="shared" si="90"/>
        <v>0</v>
      </c>
      <c r="BV191" s="132"/>
    </row>
    <row r="192" ht="14.25" customHeight="1">
      <c r="A192" s="132"/>
      <c r="B192" s="215">
        <v>46192</v>
      </c>
      <c r="C192" s="133"/>
      <c r="D192" s="136"/>
      <c r="E192" s="135"/>
      <c r="F192" s="135"/>
      <c r="G192" s="98">
        <f t="shared" si="82"/>
        <v>0</v>
      </c>
      <c r="H192" s="819"/>
      <c r="I192" s="746"/>
      <c r="J192" s="122"/>
      <c r="K192" s="122"/>
      <c r="L192" s="99"/>
      <c r="M192" s="99"/>
      <c r="N192" s="99"/>
      <c r="O192" s="99"/>
      <c r="P192" s="99"/>
      <c r="Q192" s="99"/>
      <c r="R192" s="379"/>
      <c r="S192" s="379"/>
      <c r="T192" s="99"/>
      <c r="U192" s="103">
        <f t="shared" si="91"/>
        <v>0</v>
      </c>
      <c r="V192" s="143"/>
      <c r="W192" s="231"/>
      <c r="X192" s="231"/>
      <c r="Y192" s="611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03">
        <f t="shared" si="84"/>
        <v>0</v>
      </c>
      <c r="AJ192" s="136"/>
      <c r="AK192" s="136"/>
      <c r="AL192" s="136"/>
      <c r="AM192" s="105">
        <f t="shared" si="85"/>
        <v>0</v>
      </c>
      <c r="AN192" s="143"/>
      <c r="AO192" s="143"/>
      <c r="AP192" s="143"/>
      <c r="AQ192" s="146"/>
      <c r="AR192" s="224">
        <f t="shared" si="86"/>
        <v>0</v>
      </c>
      <c r="AS192" s="126"/>
      <c r="AT192" s="274"/>
      <c r="AU192" s="126"/>
      <c r="AV192" s="126"/>
      <c r="AW192" s="126"/>
      <c r="AX192" s="275"/>
      <c r="AY192" s="126"/>
      <c r="AZ192" s="274"/>
      <c r="BA192" s="274"/>
      <c r="BB192" s="274"/>
      <c r="BC192" s="274"/>
      <c r="BD192" s="222">
        <f t="shared" si="87"/>
        <v>0</v>
      </c>
      <c r="BE192" s="140">
        <f t="shared" si="88"/>
        <v>0</v>
      </c>
      <c r="BF192" s="132"/>
      <c r="BG192" s="140">
        <f t="shared" si="89"/>
        <v>0</v>
      </c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41"/>
      <c r="BU192" s="130">
        <f t="shared" si="90"/>
        <v>0</v>
      </c>
      <c r="BV192" s="132"/>
    </row>
    <row r="193" ht="14.25" customHeight="1">
      <c r="A193" s="132"/>
      <c r="B193" s="215">
        <v>46193</v>
      </c>
      <c r="C193" s="133"/>
      <c r="D193" s="136"/>
      <c r="E193" s="135"/>
      <c r="F193" s="135"/>
      <c r="G193" s="98">
        <f t="shared" si="82"/>
        <v>0</v>
      </c>
      <c r="H193" s="819"/>
      <c r="I193" s="746"/>
      <c r="J193" s="122"/>
      <c r="K193" s="122"/>
      <c r="L193" s="99"/>
      <c r="M193" s="99"/>
      <c r="N193" s="99"/>
      <c r="O193" s="99"/>
      <c r="P193" s="99"/>
      <c r="Q193" s="99"/>
      <c r="R193" s="379"/>
      <c r="S193" s="379"/>
      <c r="T193" s="99"/>
      <c r="U193" s="103">
        <f t="shared" si="91"/>
        <v>0</v>
      </c>
      <c r="V193" s="143"/>
      <c r="W193" s="231"/>
      <c r="X193" s="231"/>
      <c r="Y193" s="611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03">
        <f t="shared" si="84"/>
        <v>0</v>
      </c>
      <c r="AJ193" s="136"/>
      <c r="AK193" s="136"/>
      <c r="AL193" s="136"/>
      <c r="AM193" s="105">
        <f t="shared" si="85"/>
        <v>0</v>
      </c>
      <c r="AN193" s="143"/>
      <c r="AO193" s="143"/>
      <c r="AP193" s="143"/>
      <c r="AQ193" s="146"/>
      <c r="AR193" s="224">
        <f t="shared" si="86"/>
        <v>0</v>
      </c>
      <c r="AS193" s="126"/>
      <c r="AT193" s="127"/>
      <c r="AU193" s="851"/>
      <c r="AV193" s="274"/>
      <c r="AW193" s="126"/>
      <c r="AX193" s="275"/>
      <c r="AY193" s="126"/>
      <c r="AZ193" s="274"/>
      <c r="BA193" s="274"/>
      <c r="BB193" s="274"/>
      <c r="BC193" s="274"/>
      <c r="BD193" s="222">
        <f t="shared" si="87"/>
        <v>0</v>
      </c>
      <c r="BE193" s="140">
        <f t="shared" si="88"/>
        <v>0</v>
      </c>
      <c r="BF193" s="132"/>
      <c r="BG193" s="140">
        <f t="shared" si="89"/>
        <v>0</v>
      </c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41"/>
      <c r="BU193" s="130">
        <f t="shared" si="90"/>
        <v>0</v>
      </c>
      <c r="BV193" s="132"/>
    </row>
    <row r="194" ht="14.25" customHeight="1">
      <c r="A194" s="132"/>
      <c r="B194" s="215">
        <v>46194</v>
      </c>
      <c r="C194" s="133"/>
      <c r="D194" s="136"/>
      <c r="E194" s="135"/>
      <c r="F194" s="135"/>
      <c r="G194" s="98">
        <f t="shared" si="82"/>
        <v>0</v>
      </c>
      <c r="H194" s="819"/>
      <c r="I194" s="746"/>
      <c r="J194" s="122"/>
      <c r="K194" s="122"/>
      <c r="L194" s="99"/>
      <c r="M194" s="99"/>
      <c r="N194" s="99"/>
      <c r="O194" s="99"/>
      <c r="P194" s="99"/>
      <c r="Q194" s="99"/>
      <c r="R194" s="379"/>
      <c r="S194" s="379"/>
      <c r="T194" s="99"/>
      <c r="U194" s="103">
        <f t="shared" si="91"/>
        <v>0</v>
      </c>
      <c r="V194" s="143"/>
      <c r="W194" s="231"/>
      <c r="X194" s="231"/>
      <c r="Y194" s="611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03">
        <f t="shared" si="84"/>
        <v>0</v>
      </c>
      <c r="AJ194" s="136"/>
      <c r="AK194" s="136"/>
      <c r="AL194" s="136"/>
      <c r="AM194" s="105">
        <f t="shared" si="85"/>
        <v>0</v>
      </c>
      <c r="AN194" s="143"/>
      <c r="AO194" s="143"/>
      <c r="AP194" s="143"/>
      <c r="AQ194" s="146"/>
      <c r="AR194" s="224">
        <f t="shared" si="86"/>
        <v>0</v>
      </c>
      <c r="AS194" s="126"/>
      <c r="AT194" s="274"/>
      <c r="AU194" s="126"/>
      <c r="AV194" s="126"/>
      <c r="AW194" s="126"/>
      <c r="AX194" s="275"/>
      <c r="AY194" s="126"/>
      <c r="AZ194" s="274"/>
      <c r="BA194" s="274"/>
      <c r="BB194" s="274"/>
      <c r="BC194" s="274"/>
      <c r="BD194" s="222">
        <f t="shared" si="87"/>
        <v>0</v>
      </c>
      <c r="BE194" s="140">
        <f t="shared" si="88"/>
        <v>0</v>
      </c>
      <c r="BF194" s="132"/>
      <c r="BG194" s="140">
        <f t="shared" si="89"/>
        <v>0</v>
      </c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41"/>
      <c r="BU194" s="130">
        <f t="shared" si="90"/>
        <v>0</v>
      </c>
      <c r="BV194" s="132"/>
    </row>
    <row r="195" ht="14.25" customHeight="1">
      <c r="A195" s="132"/>
      <c r="B195" s="215">
        <v>46195</v>
      </c>
      <c r="C195" s="133"/>
      <c r="D195" s="136"/>
      <c r="E195" s="135"/>
      <c r="F195" s="135"/>
      <c r="G195" s="98">
        <f t="shared" si="82"/>
        <v>0</v>
      </c>
      <c r="H195" s="819"/>
      <c r="I195" s="746"/>
      <c r="J195" s="122"/>
      <c r="K195" s="122"/>
      <c r="L195" s="99"/>
      <c r="M195" s="99"/>
      <c r="N195" s="99"/>
      <c r="O195" s="99"/>
      <c r="P195" s="99"/>
      <c r="Q195" s="99"/>
      <c r="R195" s="379"/>
      <c r="S195" s="379"/>
      <c r="T195" s="99"/>
      <c r="U195" s="103">
        <f t="shared" si="91"/>
        <v>0</v>
      </c>
      <c r="V195" s="143"/>
      <c r="W195" s="231"/>
      <c r="X195" s="231"/>
      <c r="Y195" s="611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03">
        <f t="shared" si="84"/>
        <v>0</v>
      </c>
      <c r="AJ195" s="136"/>
      <c r="AK195" s="136"/>
      <c r="AL195" s="136"/>
      <c r="AM195" s="105">
        <f t="shared" si="85"/>
        <v>0</v>
      </c>
      <c r="AN195" s="143"/>
      <c r="AO195" s="143"/>
      <c r="AP195" s="143"/>
      <c r="AQ195" s="146"/>
      <c r="AR195" s="224">
        <f t="shared" si="86"/>
        <v>0</v>
      </c>
      <c r="AS195" s="126"/>
      <c r="AT195" s="274"/>
      <c r="AU195" s="126"/>
      <c r="AV195" s="126"/>
      <c r="AW195" s="126"/>
      <c r="AX195" s="275"/>
      <c r="AY195" s="126"/>
      <c r="AZ195" s="274"/>
      <c r="BA195" s="274"/>
      <c r="BB195" s="274"/>
      <c r="BC195" s="274"/>
      <c r="BD195" s="222">
        <f t="shared" si="87"/>
        <v>0</v>
      </c>
      <c r="BE195" s="140">
        <f t="shared" si="88"/>
        <v>0</v>
      </c>
      <c r="BF195" s="132"/>
      <c r="BG195" s="140">
        <f t="shared" si="89"/>
        <v>0</v>
      </c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41"/>
      <c r="BU195" s="130">
        <f t="shared" si="90"/>
        <v>0</v>
      </c>
      <c r="BV195" s="132"/>
    </row>
    <row r="196" ht="14.25" customHeight="1">
      <c r="A196" s="132"/>
      <c r="B196" s="215">
        <v>46196</v>
      </c>
      <c r="C196" s="133"/>
      <c r="D196" s="136"/>
      <c r="E196" s="135"/>
      <c r="F196" s="135"/>
      <c r="G196" s="98">
        <f t="shared" si="82"/>
        <v>0</v>
      </c>
      <c r="H196" s="819"/>
      <c r="I196" s="746"/>
      <c r="J196" s="122"/>
      <c r="K196" s="122"/>
      <c r="L196" s="99"/>
      <c r="M196" s="99"/>
      <c r="N196" s="99"/>
      <c r="O196" s="99"/>
      <c r="P196" s="99"/>
      <c r="Q196" s="99"/>
      <c r="R196" s="379"/>
      <c r="S196" s="379"/>
      <c r="T196" s="99"/>
      <c r="U196" s="103">
        <f t="shared" si="91"/>
        <v>0</v>
      </c>
      <c r="V196" s="143"/>
      <c r="W196" s="231"/>
      <c r="X196" s="231"/>
      <c r="Y196" s="611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03">
        <f t="shared" si="84"/>
        <v>0</v>
      </c>
      <c r="AJ196" s="136"/>
      <c r="AK196" s="136"/>
      <c r="AL196" s="136"/>
      <c r="AM196" s="105">
        <f t="shared" si="85"/>
        <v>0</v>
      </c>
      <c r="AN196" s="143"/>
      <c r="AO196" s="143"/>
      <c r="AP196" s="143"/>
      <c r="AQ196" s="146"/>
      <c r="AR196" s="224">
        <f t="shared" si="86"/>
        <v>0</v>
      </c>
      <c r="AS196" s="126"/>
      <c r="AT196" s="274"/>
      <c r="AU196" s="126"/>
      <c r="AV196" s="126"/>
      <c r="AW196" s="126"/>
      <c r="AX196" s="275"/>
      <c r="AY196" s="126"/>
      <c r="AZ196" s="274"/>
      <c r="BA196" s="274"/>
      <c r="BB196" s="274"/>
      <c r="BC196" s="274"/>
      <c r="BD196" s="222">
        <f t="shared" si="87"/>
        <v>0</v>
      </c>
      <c r="BE196" s="140">
        <f t="shared" si="88"/>
        <v>0</v>
      </c>
      <c r="BF196" s="132"/>
      <c r="BG196" s="140">
        <f t="shared" si="89"/>
        <v>0</v>
      </c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41"/>
      <c r="BU196" s="130">
        <f t="shared" si="90"/>
        <v>0</v>
      </c>
      <c r="BV196" s="132"/>
    </row>
    <row r="197" ht="14.25" customHeight="1">
      <c r="A197" s="132"/>
      <c r="B197" s="215">
        <v>46197</v>
      </c>
      <c r="C197" s="133"/>
      <c r="D197" s="136"/>
      <c r="E197" s="135"/>
      <c r="F197" s="135"/>
      <c r="G197" s="98">
        <f t="shared" si="82"/>
        <v>0</v>
      </c>
      <c r="H197" s="819"/>
      <c r="I197" s="746"/>
      <c r="J197" s="122"/>
      <c r="K197" s="122"/>
      <c r="L197" s="99"/>
      <c r="M197" s="99"/>
      <c r="N197" s="99"/>
      <c r="O197" s="99"/>
      <c r="P197" s="99"/>
      <c r="Q197" s="99"/>
      <c r="R197" s="379"/>
      <c r="S197" s="379"/>
      <c r="T197" s="99"/>
      <c r="U197" s="103">
        <f t="shared" si="91"/>
        <v>0</v>
      </c>
      <c r="V197" s="143"/>
      <c r="W197" s="231"/>
      <c r="X197" s="231"/>
      <c r="Y197" s="611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03">
        <f t="shared" si="84"/>
        <v>0</v>
      </c>
      <c r="AJ197" s="136"/>
      <c r="AK197" s="136"/>
      <c r="AL197" s="136"/>
      <c r="AM197" s="105">
        <f t="shared" si="85"/>
        <v>0</v>
      </c>
      <c r="AN197" s="143"/>
      <c r="AO197" s="143"/>
      <c r="AP197" s="143"/>
      <c r="AQ197" s="146"/>
      <c r="AR197" s="224">
        <f t="shared" si="86"/>
        <v>0</v>
      </c>
      <c r="AS197" s="126"/>
      <c r="AT197" s="127"/>
      <c r="AU197" s="852"/>
      <c r="AV197" s="126"/>
      <c r="AW197" s="274"/>
      <c r="AX197" s="275"/>
      <c r="AY197" s="126"/>
      <c r="AZ197" s="274"/>
      <c r="BA197" s="274"/>
      <c r="BB197" s="274"/>
      <c r="BC197" s="274"/>
      <c r="BD197" s="222">
        <f t="shared" si="87"/>
        <v>0</v>
      </c>
      <c r="BE197" s="140">
        <f t="shared" si="88"/>
        <v>0</v>
      </c>
      <c r="BF197" s="132"/>
      <c r="BG197" s="140">
        <f t="shared" si="89"/>
        <v>0</v>
      </c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41"/>
      <c r="BU197" s="130">
        <f t="shared" si="90"/>
        <v>0</v>
      </c>
      <c r="BV197" s="132"/>
    </row>
    <row r="198" ht="14.25" customHeight="1">
      <c r="A198" s="132"/>
      <c r="B198" s="215">
        <v>46198</v>
      </c>
      <c r="C198" s="133"/>
      <c r="D198" s="136"/>
      <c r="E198" s="135"/>
      <c r="F198" s="135"/>
      <c r="G198" s="98">
        <f t="shared" si="82"/>
        <v>0</v>
      </c>
      <c r="H198" s="819"/>
      <c r="I198" s="746"/>
      <c r="J198" s="122"/>
      <c r="K198" s="122"/>
      <c r="L198" s="99"/>
      <c r="M198" s="99"/>
      <c r="N198" s="99"/>
      <c r="O198" s="99"/>
      <c r="P198" s="99"/>
      <c r="Q198" s="99"/>
      <c r="R198" s="379"/>
      <c r="S198" s="379"/>
      <c r="T198" s="99"/>
      <c r="U198" s="103">
        <f t="shared" si="91"/>
        <v>0</v>
      </c>
      <c r="V198" s="143"/>
      <c r="W198" s="136"/>
      <c r="X198" s="136"/>
      <c r="Y198" s="611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03">
        <f t="shared" si="84"/>
        <v>0</v>
      </c>
      <c r="AJ198" s="136"/>
      <c r="AK198" s="136"/>
      <c r="AL198" s="136"/>
      <c r="AM198" s="105">
        <f t="shared" si="85"/>
        <v>0</v>
      </c>
      <c r="AN198" s="143"/>
      <c r="AO198" s="143"/>
      <c r="AP198" s="143"/>
      <c r="AQ198" s="146"/>
      <c r="AR198" s="224">
        <f t="shared" si="86"/>
        <v>0</v>
      </c>
      <c r="AS198" s="126"/>
      <c r="AT198" s="127"/>
      <c r="AU198" s="275"/>
      <c r="AV198" s="126"/>
      <c r="AW198" s="274"/>
      <c r="AX198" s="275"/>
      <c r="AY198" s="126"/>
      <c r="AZ198" s="274"/>
      <c r="BA198" s="274"/>
      <c r="BB198" s="274"/>
      <c r="BC198" s="274"/>
      <c r="BD198" s="222">
        <f t="shared" si="87"/>
        <v>0</v>
      </c>
      <c r="BE198" s="140">
        <f t="shared" si="88"/>
        <v>0</v>
      </c>
      <c r="BF198" s="132"/>
      <c r="BG198" s="140">
        <f t="shared" si="89"/>
        <v>0</v>
      </c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41"/>
      <c r="BU198" s="130">
        <f t="shared" si="90"/>
        <v>0</v>
      </c>
      <c r="BV198" s="132"/>
    </row>
    <row r="199" ht="14.25" customHeight="1">
      <c r="A199" s="132"/>
      <c r="B199" s="215">
        <v>46199</v>
      </c>
      <c r="C199" s="133"/>
      <c r="D199" s="136"/>
      <c r="E199" s="135"/>
      <c r="F199" s="135"/>
      <c r="G199" s="98">
        <f t="shared" si="82"/>
        <v>0</v>
      </c>
      <c r="H199" s="819"/>
      <c r="I199" s="746"/>
      <c r="J199" s="122"/>
      <c r="K199" s="122"/>
      <c r="L199" s="99"/>
      <c r="M199" s="99"/>
      <c r="N199" s="99"/>
      <c r="O199" s="99"/>
      <c r="P199" s="99"/>
      <c r="Q199" s="99"/>
      <c r="R199" s="379"/>
      <c r="S199" s="379"/>
      <c r="T199" s="99"/>
      <c r="U199" s="103">
        <f t="shared" si="91"/>
        <v>0</v>
      </c>
      <c r="V199" s="143"/>
      <c r="W199" s="143"/>
      <c r="X199" s="143"/>
      <c r="Y199" s="611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03">
        <f t="shared" si="84"/>
        <v>0</v>
      </c>
      <c r="AJ199" s="136"/>
      <c r="AK199" s="136"/>
      <c r="AL199" s="136"/>
      <c r="AM199" s="105">
        <f t="shared" si="85"/>
        <v>0</v>
      </c>
      <c r="AN199" s="143"/>
      <c r="AO199" s="143"/>
      <c r="AP199" s="143"/>
      <c r="AQ199" s="146"/>
      <c r="AR199" s="224">
        <f t="shared" si="86"/>
        <v>0</v>
      </c>
      <c r="AS199" s="126"/>
      <c r="AT199" s="127"/>
      <c r="AU199" s="852"/>
      <c r="AV199" s="126"/>
      <c r="AW199" s="274"/>
      <c r="AX199" s="275"/>
      <c r="AY199" s="126"/>
      <c r="AZ199" s="274"/>
      <c r="BA199" s="274"/>
      <c r="BB199" s="274"/>
      <c r="BC199" s="274"/>
      <c r="BD199" s="222">
        <f t="shared" si="87"/>
        <v>0</v>
      </c>
      <c r="BE199" s="140">
        <f t="shared" si="88"/>
        <v>0</v>
      </c>
      <c r="BF199" s="132"/>
      <c r="BG199" s="140">
        <f t="shared" si="89"/>
        <v>0</v>
      </c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41"/>
      <c r="BU199" s="130">
        <f t="shared" si="90"/>
        <v>0</v>
      </c>
      <c r="BV199" s="132"/>
    </row>
    <row r="200" ht="14.25" customHeight="1">
      <c r="A200" s="132"/>
      <c r="B200" s="215">
        <v>46200</v>
      </c>
      <c r="C200" s="133"/>
      <c r="D200" s="136"/>
      <c r="E200" s="135"/>
      <c r="F200" s="135"/>
      <c r="G200" s="98">
        <f t="shared" si="82"/>
        <v>0</v>
      </c>
      <c r="H200" s="819"/>
      <c r="I200" s="746"/>
      <c r="J200" s="122"/>
      <c r="K200" s="122"/>
      <c r="L200" s="99"/>
      <c r="M200" s="99"/>
      <c r="N200" s="99"/>
      <c r="O200" s="99"/>
      <c r="P200" s="99"/>
      <c r="Q200" s="99"/>
      <c r="R200" s="379"/>
      <c r="S200" s="379"/>
      <c r="T200" s="99"/>
      <c r="U200" s="103">
        <f t="shared" si="91"/>
        <v>0</v>
      </c>
      <c r="V200" s="143"/>
      <c r="W200" s="143"/>
      <c r="X200" s="143"/>
      <c r="Y200" s="611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03">
        <f t="shared" si="84"/>
        <v>0</v>
      </c>
      <c r="AJ200" s="136"/>
      <c r="AK200" s="136"/>
      <c r="AL200" s="136"/>
      <c r="AM200" s="105">
        <f t="shared" si="85"/>
        <v>0</v>
      </c>
      <c r="AN200" s="143"/>
      <c r="AO200" s="143"/>
      <c r="AP200" s="143"/>
      <c r="AQ200" s="146"/>
      <c r="AR200" s="224">
        <f t="shared" si="86"/>
        <v>0</v>
      </c>
      <c r="AS200" s="126"/>
      <c r="AT200" s="127"/>
      <c r="AU200" s="852"/>
      <c r="AV200" s="851"/>
      <c r="AW200" s="274"/>
      <c r="AX200" s="275"/>
      <c r="AY200" s="126"/>
      <c r="AZ200" s="274"/>
      <c r="BA200" s="274"/>
      <c r="BB200" s="274"/>
      <c r="BC200" s="274"/>
      <c r="BD200" s="222">
        <f t="shared" si="87"/>
        <v>0</v>
      </c>
      <c r="BE200" s="140">
        <f t="shared" si="88"/>
        <v>0</v>
      </c>
      <c r="BF200" s="132"/>
      <c r="BG200" s="140">
        <f t="shared" si="89"/>
        <v>0</v>
      </c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41"/>
      <c r="BU200" s="130">
        <f t="shared" si="90"/>
        <v>0</v>
      </c>
      <c r="BV200" s="132"/>
    </row>
    <row r="201" ht="14.25" customHeight="1">
      <c r="A201" s="132"/>
      <c r="B201" s="215">
        <v>46201</v>
      </c>
      <c r="C201" s="133"/>
      <c r="D201" s="136"/>
      <c r="E201" s="135"/>
      <c r="F201" s="135"/>
      <c r="G201" s="98">
        <f t="shared" si="82"/>
        <v>0</v>
      </c>
      <c r="H201" s="819"/>
      <c r="I201" s="746"/>
      <c r="J201" s="122"/>
      <c r="K201" s="122"/>
      <c r="L201" s="99"/>
      <c r="M201" s="99"/>
      <c r="N201" s="99"/>
      <c r="O201" s="99"/>
      <c r="P201" s="99"/>
      <c r="Q201" s="99"/>
      <c r="R201" s="379"/>
      <c r="S201" s="379"/>
      <c r="T201" s="99"/>
      <c r="U201" s="103">
        <f t="shared" si="91"/>
        <v>0</v>
      </c>
      <c r="V201" s="143"/>
      <c r="W201" s="143"/>
      <c r="X201" s="143"/>
      <c r="Y201" s="611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03">
        <f t="shared" si="84"/>
        <v>0</v>
      </c>
      <c r="AJ201" s="136"/>
      <c r="AK201" s="136"/>
      <c r="AL201" s="136"/>
      <c r="AM201" s="105">
        <f t="shared" si="85"/>
        <v>0</v>
      </c>
      <c r="AN201" s="143"/>
      <c r="AO201" s="143"/>
      <c r="AP201" s="143"/>
      <c r="AQ201" s="146"/>
      <c r="AR201" s="224">
        <f t="shared" si="86"/>
        <v>0</v>
      </c>
      <c r="AS201" s="126"/>
      <c r="AT201" s="127"/>
      <c r="AU201" s="851"/>
      <c r="AV201" s="274"/>
      <c r="AW201" s="126"/>
      <c r="AX201" s="275"/>
      <c r="AY201" s="126"/>
      <c r="AZ201" s="274"/>
      <c r="BA201" s="274"/>
      <c r="BB201" s="274"/>
      <c r="BC201" s="274"/>
      <c r="BD201" s="222">
        <f t="shared" si="87"/>
        <v>0</v>
      </c>
      <c r="BE201" s="140">
        <f t="shared" si="88"/>
        <v>0</v>
      </c>
      <c r="BF201" s="132"/>
      <c r="BG201" s="140">
        <f t="shared" si="89"/>
        <v>0</v>
      </c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41"/>
      <c r="BU201" s="130">
        <f t="shared" si="90"/>
        <v>0</v>
      </c>
      <c r="BV201" s="132"/>
    </row>
    <row r="202" ht="14.25" customHeight="1">
      <c r="A202" s="132"/>
      <c r="B202" s="215">
        <v>46202</v>
      </c>
      <c r="C202" s="133"/>
      <c r="D202" s="136"/>
      <c r="E202" s="135"/>
      <c r="F202" s="135"/>
      <c r="G202" s="98">
        <f t="shared" si="82"/>
        <v>0</v>
      </c>
      <c r="H202" s="819"/>
      <c r="I202" s="746"/>
      <c r="J202" s="122"/>
      <c r="K202" s="122"/>
      <c r="L202" s="99"/>
      <c r="M202" s="99"/>
      <c r="N202" s="99"/>
      <c r="O202" s="99"/>
      <c r="P202" s="99"/>
      <c r="Q202" s="99"/>
      <c r="R202" s="641"/>
      <c r="S202" s="641"/>
      <c r="T202" s="99"/>
      <c r="U202" s="103">
        <f t="shared" si="91"/>
        <v>0</v>
      </c>
      <c r="V202" s="143"/>
      <c r="W202" s="143"/>
      <c r="X202" s="143"/>
      <c r="Y202" s="611"/>
      <c r="Z202" s="143"/>
      <c r="AA202" s="143"/>
      <c r="AB202" s="143"/>
      <c r="AC202" s="143"/>
      <c r="AD202" s="143"/>
      <c r="AE202" s="143"/>
      <c r="AF202" s="143"/>
      <c r="AG202" s="143"/>
      <c r="AH202" s="143"/>
      <c r="AI202" s="103">
        <f t="shared" si="84"/>
        <v>0</v>
      </c>
      <c r="AJ202" s="136"/>
      <c r="AK202" s="136"/>
      <c r="AL202" s="136"/>
      <c r="AM202" s="105">
        <f t="shared" si="85"/>
        <v>0</v>
      </c>
      <c r="AN202" s="143"/>
      <c r="AO202" s="143"/>
      <c r="AP202" s="143"/>
      <c r="AQ202" s="146"/>
      <c r="AR202" s="224">
        <f t="shared" si="86"/>
        <v>0</v>
      </c>
      <c r="AS202" s="126"/>
      <c r="AT202" s="274"/>
      <c r="AU202" s="126"/>
      <c r="AV202" s="126"/>
      <c r="AW202" s="126"/>
      <c r="AX202" s="275"/>
      <c r="AY202" s="126"/>
      <c r="AZ202" s="274"/>
      <c r="BA202" s="274"/>
      <c r="BB202" s="274"/>
      <c r="BC202" s="274"/>
      <c r="BD202" s="222">
        <f t="shared" si="87"/>
        <v>0</v>
      </c>
      <c r="BE202" s="140">
        <f t="shared" si="88"/>
        <v>0</v>
      </c>
      <c r="BF202" s="132"/>
      <c r="BG202" s="140">
        <f t="shared" si="89"/>
        <v>0</v>
      </c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41"/>
      <c r="BU202" s="130">
        <f t="shared" si="90"/>
        <v>0</v>
      </c>
      <c r="BV202" s="132"/>
    </row>
    <row r="203" ht="14.25" customHeight="1">
      <c r="A203" s="132"/>
      <c r="B203" s="215">
        <v>46203</v>
      </c>
      <c r="C203" s="133"/>
      <c r="D203" s="136"/>
      <c r="E203" s="135"/>
      <c r="F203" s="135"/>
      <c r="G203" s="98">
        <f t="shared" si="82"/>
        <v>0</v>
      </c>
      <c r="H203" s="833"/>
      <c r="I203" s="746"/>
      <c r="J203" s="122"/>
      <c r="K203" s="122"/>
      <c r="L203" s="99"/>
      <c r="M203" s="99"/>
      <c r="N203" s="99"/>
      <c r="O203" s="99"/>
      <c r="P203" s="99"/>
      <c r="Q203" s="99"/>
      <c r="R203" s="641"/>
      <c r="S203" s="641"/>
      <c r="T203" s="99"/>
      <c r="U203" s="103">
        <f t="shared" si="91"/>
        <v>0</v>
      </c>
      <c r="V203" s="143"/>
      <c r="W203" s="143"/>
      <c r="X203" s="143"/>
      <c r="Y203" s="611"/>
      <c r="Z203" s="143"/>
      <c r="AA203" s="143"/>
      <c r="AB203" s="143"/>
      <c r="AC203" s="143"/>
      <c r="AD203" s="143"/>
      <c r="AE203" s="143"/>
      <c r="AF203" s="143"/>
      <c r="AG203" s="143"/>
      <c r="AH203" s="143"/>
      <c r="AI203" s="103">
        <f t="shared" si="84"/>
        <v>0</v>
      </c>
      <c r="AJ203" s="136"/>
      <c r="AK203" s="136"/>
      <c r="AL203" s="136"/>
      <c r="AM203" s="105">
        <f t="shared" si="85"/>
        <v>0</v>
      </c>
      <c r="AN203" s="143"/>
      <c r="AO203" s="143"/>
      <c r="AP203" s="143"/>
      <c r="AQ203" s="146"/>
      <c r="AR203" s="232">
        <f t="shared" si="86"/>
        <v>0</v>
      </c>
      <c r="AS203" s="853"/>
      <c r="AT203" s="274"/>
      <c r="AU203" s="126"/>
      <c r="AV203" s="126"/>
      <c r="AW203" s="126"/>
      <c r="AX203" s="275"/>
      <c r="AY203" s="853"/>
      <c r="AZ203" s="274"/>
      <c r="BA203" s="274"/>
      <c r="BB203" s="274"/>
      <c r="BC203" s="274"/>
      <c r="BD203" s="222">
        <f t="shared" si="87"/>
        <v>0</v>
      </c>
      <c r="BE203" s="140">
        <f t="shared" si="88"/>
        <v>0</v>
      </c>
      <c r="BF203" s="132"/>
      <c r="BG203" s="140">
        <f t="shared" si="89"/>
        <v>0</v>
      </c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41"/>
      <c r="BU203" s="130">
        <f t="shared" si="90"/>
        <v>0</v>
      </c>
      <c r="BV203" s="132"/>
    </row>
    <row r="204" ht="14.25" customHeight="1">
      <c r="A204" s="3"/>
      <c r="B204" s="2" t="s">
        <v>80</v>
      </c>
      <c r="C204" s="755">
        <f ref="C204:V204" t="shared" si="92">SUM(C174:C203)</f>
        <v>0</v>
      </c>
      <c r="D204" s="755">
        <f t="shared" si="92"/>
        <v>0</v>
      </c>
      <c r="E204" s="755">
        <f t="shared" si="92"/>
        <v>0</v>
      </c>
      <c r="F204" s="755">
        <f t="shared" si="92"/>
        <v>0</v>
      </c>
      <c r="G204" s="755">
        <f t="shared" si="92"/>
        <v>0</v>
      </c>
      <c r="H204" s="757">
        <f t="shared" si="92"/>
        <v>0</v>
      </c>
      <c r="I204" s="755">
        <f t="shared" si="92"/>
        <v>0</v>
      </c>
      <c r="J204" s="755">
        <f t="shared" si="92"/>
        <v>0</v>
      </c>
      <c r="K204" s="755">
        <f t="shared" si="92"/>
        <v>0</v>
      </c>
      <c r="L204" s="755">
        <f t="shared" si="92"/>
        <v>0</v>
      </c>
      <c r="M204" s="755">
        <f t="shared" si="92"/>
        <v>0</v>
      </c>
      <c r="N204" s="755">
        <f t="shared" si="92"/>
        <v>0</v>
      </c>
      <c r="O204" s="755">
        <f t="shared" si="92"/>
        <v>0</v>
      </c>
      <c r="P204" s="755">
        <f t="shared" si="92"/>
        <v>0</v>
      </c>
      <c r="Q204" s="755">
        <f t="shared" si="92"/>
        <v>0</v>
      </c>
      <c r="R204" s="755">
        <f t="shared" si="92"/>
        <v>0</v>
      </c>
      <c r="S204" s="755">
        <f t="shared" si="92"/>
        <v>0</v>
      </c>
      <c r="T204" s="755">
        <f t="shared" si="92"/>
        <v>0</v>
      </c>
      <c r="U204" s="755">
        <f t="shared" si="92"/>
        <v>0</v>
      </c>
      <c r="V204" s="755">
        <f t="shared" si="92"/>
        <v>0</v>
      </c>
      <c r="W204" s="755"/>
      <c r="X204" s="755">
        <f ref="X204:AO204" t="shared" si="93">SUM(X174:X203)</f>
        <v>0</v>
      </c>
      <c r="Y204" s="755">
        <f t="shared" si="93"/>
        <v>0</v>
      </c>
      <c r="Z204" s="755">
        <f t="shared" si="93"/>
        <v>0</v>
      </c>
      <c r="AA204" s="755">
        <f t="shared" si="93"/>
        <v>0</v>
      </c>
      <c r="AB204" s="755">
        <f t="shared" si="93"/>
        <v>0</v>
      </c>
      <c r="AC204" s="755">
        <f t="shared" si="93"/>
        <v>0</v>
      </c>
      <c r="AD204" s="755">
        <f t="shared" si="93"/>
        <v>0</v>
      </c>
      <c r="AE204" s="755">
        <f t="shared" si="93"/>
        <v>0</v>
      </c>
      <c r="AF204" s="755">
        <f t="shared" si="93"/>
        <v>0</v>
      </c>
      <c r="AG204" s="755">
        <f t="shared" si="93"/>
        <v>0</v>
      </c>
      <c r="AH204" s="755">
        <f t="shared" si="93"/>
        <v>0</v>
      </c>
      <c r="AI204" s="755">
        <f t="shared" si="93"/>
        <v>0</v>
      </c>
      <c r="AJ204" s="755">
        <f t="shared" si="93"/>
        <v>0</v>
      </c>
      <c r="AK204" s="755">
        <f t="shared" si="93"/>
        <v>0</v>
      </c>
      <c r="AL204" s="755">
        <f t="shared" si="93"/>
        <v>0</v>
      </c>
      <c r="AM204" s="755">
        <f t="shared" si="93"/>
        <v>0</v>
      </c>
      <c r="AN204" s="755">
        <f t="shared" si="93"/>
        <v>0</v>
      </c>
      <c r="AO204" s="755">
        <f t="shared" si="93"/>
        <v>0</v>
      </c>
      <c r="AP204" s="755"/>
      <c r="AQ204" s="755"/>
      <c r="AR204" s="755">
        <f ref="AR204:AY204" t="shared" si="94">SUM(AR174:AR203)</f>
        <v>0</v>
      </c>
      <c r="AS204" s="755">
        <f t="shared" si="94"/>
        <v>0</v>
      </c>
      <c r="AT204" s="755">
        <f t="shared" si="94"/>
        <v>0</v>
      </c>
      <c r="AU204" s="755">
        <f t="shared" si="94"/>
        <v>0</v>
      </c>
      <c r="AV204" s="755">
        <f t="shared" si="94"/>
        <v>0</v>
      </c>
      <c r="AW204" s="755">
        <f t="shared" si="94"/>
        <v>0</v>
      </c>
      <c r="AX204" s="755">
        <f t="shared" si="94"/>
        <v>0</v>
      </c>
      <c r="AY204" s="755">
        <f t="shared" si="94"/>
        <v>0</v>
      </c>
      <c r="AZ204" s="755"/>
      <c r="BA204" s="755"/>
      <c r="BB204" s="755"/>
      <c r="BC204" s="755"/>
      <c r="BD204" s="755">
        <f ref="BD204:BE204" t="shared" si="95">SUM(BD174:BD203)</f>
        <v>0</v>
      </c>
      <c r="BE204" s="771">
        <f t="shared" si="95"/>
        <v>0</v>
      </c>
      <c r="BF204" s="235"/>
      <c r="BG204" s="755">
        <f>SUM(BG174:BG203)</f>
        <v>0</v>
      </c>
      <c r="BH204" s="755"/>
      <c r="BI204" s="755"/>
      <c r="BJ204" s="755"/>
      <c r="BK204" s="755"/>
      <c r="BL204" s="755"/>
      <c r="BM204" s="755"/>
      <c r="BN204" s="755"/>
      <c r="BO204" s="755"/>
      <c r="BP204" s="755"/>
      <c r="BQ204" s="755">
        <f ref="BQ204:BU204" t="shared" si="96">SUM(BQ174:BQ203)</f>
        <v>0</v>
      </c>
      <c r="BR204" s="755">
        <f t="shared" si="96"/>
        <v>0</v>
      </c>
      <c r="BS204" s="755">
        <f t="shared" si="96"/>
        <v>0</v>
      </c>
      <c r="BT204" s="755">
        <f t="shared" si="96"/>
        <v>0</v>
      </c>
      <c r="BU204" s="771">
        <f t="shared" si="96"/>
        <v>0</v>
      </c>
      <c r="BV204" s="235"/>
    </row>
    <row r="205" ht="14.25" customHeight="1">
      <c r="A205" s="1"/>
      <c r="B205" s="2"/>
      <c r="C205" s="3"/>
      <c r="D205" s="3"/>
      <c r="E205" s="3"/>
      <c r="F205" s="3"/>
      <c r="G205" s="4"/>
      <c r="H205" s="4"/>
      <c r="I205" s="1"/>
      <c r="J205" s="3"/>
      <c r="K205" s="3"/>
      <c r="L205" s="3"/>
      <c r="M205" s="3"/>
      <c r="N205" s="3"/>
      <c r="O205" s="3"/>
      <c r="P205" s="3"/>
      <c r="Q205" s="3"/>
      <c r="R205" s="1"/>
      <c r="S205" s="1"/>
      <c r="T205" s="3"/>
      <c r="U205" s="3"/>
      <c r="V205" s="3"/>
      <c r="W205" s="132"/>
      <c r="X205" s="132"/>
      <c r="Y205" s="1"/>
      <c r="Z205" s="3"/>
      <c r="AA205" s="3"/>
      <c r="AB205" s="3"/>
      <c r="AC205" s="3"/>
      <c r="AD205" s="3"/>
      <c r="AE205" s="3"/>
      <c r="AF205" s="3"/>
      <c r="AG205" s="3"/>
      <c r="AH205" s="3"/>
      <c r="AI205" s="96"/>
      <c r="AJ205" s="3"/>
      <c r="AK205" s="3"/>
      <c r="AL205" s="3"/>
      <c r="AM205" s="4"/>
      <c r="AN205" s="3"/>
      <c r="AO205" s="3"/>
      <c r="AP205" s="3"/>
      <c r="AQ205" s="3"/>
      <c r="AR205" s="3"/>
      <c r="AS205" s="742"/>
      <c r="AT205" s="742"/>
      <c r="AU205" s="742"/>
      <c r="AV205" s="742"/>
      <c r="AW205" s="742"/>
      <c r="AX205" s="742"/>
      <c r="AY205" s="742"/>
      <c r="AZ205" s="742"/>
      <c r="BA205" s="742"/>
      <c r="BB205" s="742"/>
      <c r="BC205" s="742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</row>
    <row r="206" ht="14.25" customHeight="1">
      <c r="A206" s="1"/>
      <c r="B206" s="2"/>
      <c r="C206" s="3"/>
      <c r="D206" s="3"/>
      <c r="E206" s="3"/>
      <c r="F206" s="3"/>
      <c r="G206" s="4"/>
      <c r="H206" s="4"/>
      <c r="I206" s="1"/>
      <c r="J206" s="3"/>
      <c r="K206" s="3"/>
      <c r="L206" s="3"/>
      <c r="M206" s="3"/>
      <c r="N206" s="3"/>
      <c r="O206" s="3"/>
      <c r="P206" s="3"/>
      <c r="Q206" s="3"/>
      <c r="R206" s="1"/>
      <c r="S206" s="1"/>
      <c r="T206" s="3"/>
      <c r="U206" s="3"/>
      <c r="V206" s="3"/>
      <c r="W206" s="132"/>
      <c r="X206" s="132"/>
      <c r="Y206" s="1"/>
      <c r="Z206" s="3"/>
      <c r="AA206" s="3"/>
      <c r="AB206" s="3"/>
      <c r="AC206" s="3"/>
      <c r="AD206" s="3"/>
      <c r="AE206" s="3"/>
      <c r="AF206" s="3"/>
      <c r="AG206" s="3"/>
      <c r="AH206" s="3"/>
      <c r="AI206" s="176"/>
      <c r="AJ206" s="3"/>
      <c r="AK206" s="3"/>
      <c r="AL206" s="3"/>
      <c r="AM206" s="4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</row>
    <row r="207" ht="14.25" customHeight="1">
      <c r="A207" s="3"/>
      <c r="B207" s="215">
        <v>46204</v>
      </c>
      <c r="C207" s="94"/>
      <c r="D207" s="104"/>
      <c r="E207" s="97"/>
      <c r="F207" s="97"/>
      <c r="G207" s="816">
        <f ref="G207:G237" t="shared" si="97">+C207+D207+E207+F207</f>
        <v>0</v>
      </c>
      <c r="H207" s="817"/>
      <c r="I207" s="743"/>
      <c r="J207" s="100"/>
      <c r="K207" s="100"/>
      <c r="L207" s="101"/>
      <c r="M207" s="101"/>
      <c r="N207" s="101"/>
      <c r="O207" s="101"/>
      <c r="P207" s="101"/>
      <c r="Q207" s="101"/>
      <c r="R207" s="417"/>
      <c r="S207" s="417"/>
      <c r="T207" s="101"/>
      <c r="U207" s="189">
        <f ref="U207:U237" t="shared" si="98">SUM(I207:T207)</f>
        <v>0</v>
      </c>
      <c r="V207" s="186"/>
      <c r="W207" s="186"/>
      <c r="X207" s="186"/>
      <c r="Y207" s="619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03">
        <f ref="AI207:AI237" t="shared" si="99">SUM(V207:AH207)</f>
        <v>0</v>
      </c>
      <c r="AJ207" s="104"/>
      <c r="AK207" s="104"/>
      <c r="AL207" s="104"/>
      <c r="AM207" s="191">
        <f ref="AM207:AM237" t="shared" si="100">SUM(AJ207:AL207)</f>
        <v>0</v>
      </c>
      <c r="AN207" s="186"/>
      <c r="AO207" s="186"/>
      <c r="AP207" s="186"/>
      <c r="AQ207" s="193"/>
      <c r="AR207" s="219">
        <f ref="AR207:AR237" t="shared" si="101">+G207-U207-AI207-AM207-AN207-AO207-AP207-AQ207</f>
        <v>0</v>
      </c>
      <c r="AS207" s="109"/>
      <c r="AT207" s="109"/>
      <c r="AU207" s="274"/>
      <c r="AV207" s="126"/>
      <c r="AW207" s="126"/>
      <c r="AX207" s="275"/>
      <c r="AY207" s="109"/>
      <c r="AZ207" s="127"/>
      <c r="BA207" s="269"/>
      <c r="BB207" s="269"/>
      <c r="BC207" s="269"/>
      <c r="BD207" s="272">
        <f ref="BD207:BD211" t="shared" si="102">SUM(AS207:BC207)-BB207</f>
        <v>0</v>
      </c>
      <c r="BE207" s="114">
        <f ref="BE207:BE237" t="shared" si="103">+AR207-BD207</f>
        <v>0</v>
      </c>
      <c r="BF207" s="3"/>
      <c r="BG207" s="114">
        <f ref="BG207:BG237" t="shared" si="104">SUM(BH207:BT207)</f>
        <v>0</v>
      </c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116">
        <f ref="BU207:BU237" t="shared" si="105">+BE207-BG207</f>
        <v>0</v>
      </c>
      <c r="BV207" s="3"/>
    </row>
    <row r="208" ht="14.25" customHeight="1">
      <c r="A208" s="3"/>
      <c r="B208" s="215">
        <v>46205</v>
      </c>
      <c r="C208" s="118"/>
      <c r="D208" s="123"/>
      <c r="E208" s="120"/>
      <c r="F208" s="120"/>
      <c r="G208" s="98">
        <f t="shared" si="97"/>
        <v>0</v>
      </c>
      <c r="H208" s="819"/>
      <c r="I208" s="746"/>
      <c r="J208" s="122"/>
      <c r="K208" s="122"/>
      <c r="L208" s="99"/>
      <c r="M208" s="99"/>
      <c r="N208" s="99"/>
      <c r="O208" s="99"/>
      <c r="P208" s="99"/>
      <c r="Q208" s="99"/>
      <c r="R208" s="379"/>
      <c r="S208" s="379"/>
      <c r="T208" s="99"/>
      <c r="U208" s="103">
        <f t="shared" si="98"/>
        <v>0</v>
      </c>
      <c r="V208" s="143"/>
      <c r="W208" s="231"/>
      <c r="X208" s="231"/>
      <c r="Y208" s="611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03">
        <f t="shared" si="99"/>
        <v>0</v>
      </c>
      <c r="AJ208" s="123"/>
      <c r="AK208" s="123"/>
      <c r="AL208" s="123"/>
      <c r="AM208" s="105">
        <f t="shared" si="100"/>
        <v>0</v>
      </c>
      <c r="AN208" s="143"/>
      <c r="AO208" s="143"/>
      <c r="AP208" s="143"/>
      <c r="AQ208" s="146"/>
      <c r="AR208" s="224">
        <f t="shared" si="101"/>
        <v>0</v>
      </c>
      <c r="AS208" s="126"/>
      <c r="AT208" s="126"/>
      <c r="AU208" s="274"/>
      <c r="AV208" s="126"/>
      <c r="AW208" s="126"/>
      <c r="AX208" s="275"/>
      <c r="AY208" s="126"/>
      <c r="AZ208" s="127"/>
      <c r="BA208" s="274"/>
      <c r="BB208" s="274"/>
      <c r="BC208" s="274"/>
      <c r="BD208" s="222">
        <f t="shared" si="102"/>
        <v>0</v>
      </c>
      <c r="BE208" s="113">
        <f t="shared" si="103"/>
        <v>0</v>
      </c>
      <c r="BF208" s="3"/>
      <c r="BG208" s="113">
        <f t="shared" si="104"/>
        <v>0</v>
      </c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30">
        <f t="shared" si="105"/>
        <v>0</v>
      </c>
      <c r="BV208" s="3"/>
    </row>
    <row r="209" ht="14.25" customHeight="1">
      <c r="A209" s="3"/>
      <c r="B209" s="215">
        <v>46206</v>
      </c>
      <c r="C209" s="118"/>
      <c r="D209" s="123"/>
      <c r="E209" s="120"/>
      <c r="F209" s="120"/>
      <c r="G209" s="98">
        <f t="shared" si="97"/>
        <v>0</v>
      </c>
      <c r="H209" s="819"/>
      <c r="I209" s="746"/>
      <c r="J209" s="122"/>
      <c r="K209" s="122"/>
      <c r="L209" s="99"/>
      <c r="M209" s="99"/>
      <c r="N209" s="99"/>
      <c r="O209" s="99"/>
      <c r="P209" s="99"/>
      <c r="Q209" s="99"/>
      <c r="R209" s="379"/>
      <c r="S209" s="379"/>
      <c r="T209" s="99"/>
      <c r="U209" s="103">
        <f t="shared" si="98"/>
        <v>0</v>
      </c>
      <c r="V209" s="143"/>
      <c r="W209" s="143"/>
      <c r="X209" s="143"/>
      <c r="Y209" s="611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03">
        <f t="shared" si="99"/>
        <v>0</v>
      </c>
      <c r="AJ209" s="123"/>
      <c r="AK209" s="123"/>
      <c r="AL209" s="123"/>
      <c r="AM209" s="105">
        <f t="shared" si="100"/>
        <v>0</v>
      </c>
      <c r="AN209" s="143"/>
      <c r="AO209" s="143"/>
      <c r="AP209" s="143"/>
      <c r="AQ209" s="146"/>
      <c r="AR209" s="224">
        <f t="shared" si="101"/>
        <v>0</v>
      </c>
      <c r="AS209" s="126"/>
      <c r="AT209" s="126"/>
      <c r="AU209" s="274"/>
      <c r="AV209" s="126"/>
      <c r="AW209" s="126"/>
      <c r="AX209" s="275"/>
      <c r="AY209" s="126"/>
      <c r="AZ209" s="127"/>
      <c r="BA209" s="274"/>
      <c r="BB209" s="274"/>
      <c r="BC209" s="274"/>
      <c r="BD209" s="222">
        <f t="shared" si="102"/>
        <v>0</v>
      </c>
      <c r="BE209" s="113">
        <f t="shared" si="103"/>
        <v>0</v>
      </c>
      <c r="BF209" s="3"/>
      <c r="BG209" s="113">
        <f t="shared" si="104"/>
        <v>0</v>
      </c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30">
        <f t="shared" si="105"/>
        <v>0</v>
      </c>
      <c r="BV209" s="3"/>
    </row>
    <row r="210" ht="14.25" customHeight="1">
      <c r="A210" s="132"/>
      <c r="B210" s="215">
        <v>46207</v>
      </c>
      <c r="C210" s="133"/>
      <c r="D210" s="136"/>
      <c r="E210" s="135"/>
      <c r="F210" s="135"/>
      <c r="G210" s="98">
        <f t="shared" si="97"/>
        <v>0</v>
      </c>
      <c r="H210" s="819"/>
      <c r="I210" s="746"/>
      <c r="J210" s="122"/>
      <c r="K210" s="122"/>
      <c r="L210" s="99"/>
      <c r="M210" s="99"/>
      <c r="N210" s="99"/>
      <c r="O210" s="99"/>
      <c r="P210" s="99"/>
      <c r="Q210" s="99"/>
      <c r="R210" s="379"/>
      <c r="S210" s="379"/>
      <c r="T210" s="99"/>
      <c r="U210" s="103">
        <f t="shared" si="98"/>
        <v>0</v>
      </c>
      <c r="V210" s="143"/>
      <c r="W210" s="143"/>
      <c r="X210" s="143"/>
      <c r="Y210" s="611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03">
        <f t="shared" si="99"/>
        <v>0</v>
      </c>
      <c r="AJ210" s="136"/>
      <c r="AK210" s="136"/>
      <c r="AL210" s="136"/>
      <c r="AM210" s="105">
        <f t="shared" si="100"/>
        <v>0</v>
      </c>
      <c r="AN210" s="143"/>
      <c r="AO210" s="143"/>
      <c r="AP210" s="143"/>
      <c r="AQ210" s="146"/>
      <c r="AR210" s="224">
        <f t="shared" si="101"/>
        <v>0</v>
      </c>
      <c r="AS210" s="126"/>
      <c r="AT210" s="126"/>
      <c r="AU210" s="854"/>
      <c r="AV210" s="851"/>
      <c r="AW210" s="126"/>
      <c r="AX210" s="275"/>
      <c r="AY210" s="126"/>
      <c r="AZ210" s="127"/>
      <c r="BA210" s="274"/>
      <c r="BB210" s="274"/>
      <c r="BC210" s="274"/>
      <c r="BD210" s="222">
        <f t="shared" si="102"/>
        <v>0</v>
      </c>
      <c r="BE210" s="140">
        <f t="shared" si="103"/>
        <v>0</v>
      </c>
      <c r="BF210" s="132"/>
      <c r="BG210" s="140">
        <f t="shared" si="104"/>
        <v>0</v>
      </c>
      <c r="BH210" s="141"/>
      <c r="BI210" s="141"/>
      <c r="BJ210" s="141"/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30">
        <f t="shared" si="105"/>
        <v>0</v>
      </c>
      <c r="BV210" s="132"/>
    </row>
    <row r="211" ht="14.25" customHeight="1">
      <c r="A211" s="132"/>
      <c r="B211" s="215">
        <v>46208</v>
      </c>
      <c r="C211" s="133"/>
      <c r="D211" s="136"/>
      <c r="E211" s="135"/>
      <c r="F211" s="135"/>
      <c r="G211" s="98">
        <f t="shared" si="97"/>
        <v>0</v>
      </c>
      <c r="H211" s="819"/>
      <c r="I211" s="746"/>
      <c r="J211" s="122"/>
      <c r="K211" s="122"/>
      <c r="L211" s="99"/>
      <c r="M211" s="99"/>
      <c r="N211" s="99"/>
      <c r="O211" s="99"/>
      <c r="P211" s="99"/>
      <c r="Q211" s="99"/>
      <c r="R211" s="395"/>
      <c r="S211" s="395"/>
      <c r="T211" s="99"/>
      <c r="U211" s="103">
        <f t="shared" si="98"/>
        <v>0</v>
      </c>
      <c r="V211" s="143"/>
      <c r="W211" s="143"/>
      <c r="X211" s="143"/>
      <c r="Y211" s="611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03">
        <f t="shared" si="99"/>
        <v>0</v>
      </c>
      <c r="AJ211" s="136"/>
      <c r="AK211" s="136"/>
      <c r="AL211" s="136"/>
      <c r="AM211" s="105">
        <f t="shared" si="100"/>
        <v>0</v>
      </c>
      <c r="AN211" s="143"/>
      <c r="AO211" s="143"/>
      <c r="AP211" s="143"/>
      <c r="AQ211" s="146"/>
      <c r="AR211" s="224">
        <f t="shared" si="101"/>
        <v>0</v>
      </c>
      <c r="AS211" s="126"/>
      <c r="AT211" s="126"/>
      <c r="AU211" s="274"/>
      <c r="AV211" s="126"/>
      <c r="AW211" s="126"/>
      <c r="AX211" s="275"/>
      <c r="AY211" s="126"/>
      <c r="AZ211" s="127"/>
      <c r="BA211" s="274"/>
      <c r="BB211" s="274"/>
      <c r="BC211" s="274"/>
      <c r="BD211" s="222">
        <f t="shared" si="102"/>
        <v>0</v>
      </c>
      <c r="BE211" s="140">
        <f t="shared" si="103"/>
        <v>0</v>
      </c>
      <c r="BF211" s="132"/>
      <c r="BG211" s="140">
        <f t="shared" si="104"/>
        <v>0</v>
      </c>
      <c r="BH211" s="141"/>
      <c r="BI211" s="141"/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30">
        <f t="shared" si="105"/>
        <v>0</v>
      </c>
      <c r="BV211" s="132"/>
    </row>
    <row r="212" ht="14.25" customHeight="1">
      <c r="A212" s="132"/>
      <c r="B212" s="215">
        <v>46209</v>
      </c>
      <c r="C212" s="133"/>
      <c r="D212" s="136"/>
      <c r="E212" s="135"/>
      <c r="F212" s="135"/>
      <c r="G212" s="98">
        <f t="shared" si="97"/>
        <v>0</v>
      </c>
      <c r="H212" s="819"/>
      <c r="I212" s="746"/>
      <c r="J212" s="122"/>
      <c r="K212" s="122"/>
      <c r="L212" s="99"/>
      <c r="M212" s="99"/>
      <c r="N212" s="99"/>
      <c r="O212" s="99"/>
      <c r="P212" s="99"/>
      <c r="Q212" s="99"/>
      <c r="R212" s="641"/>
      <c r="S212" s="641"/>
      <c r="T212" s="99"/>
      <c r="U212" s="103">
        <f t="shared" si="98"/>
        <v>0</v>
      </c>
      <c r="V212" s="143"/>
      <c r="W212" s="143"/>
      <c r="X212" s="143"/>
      <c r="Y212" s="611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03">
        <f t="shared" si="99"/>
        <v>0</v>
      </c>
      <c r="AJ212" s="136"/>
      <c r="AK212" s="136"/>
      <c r="AL212" s="136"/>
      <c r="AM212" s="105">
        <f t="shared" si="100"/>
        <v>0</v>
      </c>
      <c r="AN212" s="143"/>
      <c r="AO212" s="143"/>
      <c r="AP212" s="143"/>
      <c r="AQ212" s="146"/>
      <c r="AR212" s="224">
        <f t="shared" si="101"/>
        <v>0</v>
      </c>
      <c r="AS212" s="126"/>
      <c r="AT212" s="126"/>
      <c r="AU212" s="274"/>
      <c r="AV212" s="126"/>
      <c r="AW212" s="126"/>
      <c r="AX212" s="275"/>
      <c r="AY212" s="126"/>
      <c r="AZ212" s="127"/>
      <c r="BA212" s="274"/>
      <c r="BB212" s="274"/>
      <c r="BC212" s="274"/>
      <c r="BD212" s="222">
        <f>SUM(AS212:BC212)</f>
        <v>0</v>
      </c>
      <c r="BE212" s="140">
        <f t="shared" si="103"/>
        <v>0</v>
      </c>
      <c r="BF212" s="132"/>
      <c r="BG212" s="140">
        <f t="shared" si="104"/>
        <v>0</v>
      </c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30">
        <f t="shared" si="105"/>
        <v>0</v>
      </c>
      <c r="BV212" s="132"/>
    </row>
    <row r="213" ht="14.25" customHeight="1">
      <c r="A213" s="3"/>
      <c r="B213" s="215">
        <v>46210</v>
      </c>
      <c r="C213" s="118"/>
      <c r="D213" s="123"/>
      <c r="E213" s="120"/>
      <c r="F213" s="120"/>
      <c r="G213" s="98">
        <f t="shared" si="97"/>
        <v>0</v>
      </c>
      <c r="H213" s="819"/>
      <c r="I213" s="746"/>
      <c r="J213" s="122"/>
      <c r="K213" s="122"/>
      <c r="L213" s="99"/>
      <c r="M213" s="99"/>
      <c r="N213" s="99"/>
      <c r="O213" s="99"/>
      <c r="P213" s="99"/>
      <c r="Q213" s="99"/>
      <c r="R213" s="641"/>
      <c r="S213" s="641"/>
      <c r="T213" s="99"/>
      <c r="U213" s="103">
        <f t="shared" si="98"/>
        <v>0</v>
      </c>
      <c r="V213" s="143"/>
      <c r="W213" s="143"/>
      <c r="X213" s="143"/>
      <c r="Y213" s="611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03">
        <f t="shared" si="99"/>
        <v>0</v>
      </c>
      <c r="AJ213" s="123"/>
      <c r="AK213" s="123"/>
      <c r="AL213" s="123"/>
      <c r="AM213" s="105">
        <f t="shared" si="100"/>
        <v>0</v>
      </c>
      <c r="AN213" s="143"/>
      <c r="AO213" s="143"/>
      <c r="AP213" s="143"/>
      <c r="AQ213" s="146"/>
      <c r="AR213" s="224">
        <f t="shared" si="101"/>
        <v>0</v>
      </c>
      <c r="AS213" s="126"/>
      <c r="AT213" s="126"/>
      <c r="AU213" s="855"/>
      <c r="AV213" s="749"/>
      <c r="AW213" s="126"/>
      <c r="AX213" s="275"/>
      <c r="AY213" s="126"/>
      <c r="AZ213" s="127"/>
      <c r="BA213" s="274"/>
      <c r="BB213" s="274"/>
      <c r="BC213" s="274"/>
      <c r="BD213" s="222">
        <f ref="BD213:BD237" t="shared" si="106">SUM(AS213:BC213)-BB213</f>
        <v>0</v>
      </c>
      <c r="BE213" s="113">
        <f t="shared" si="103"/>
        <v>0</v>
      </c>
      <c r="BF213" s="3"/>
      <c r="BG213" s="113">
        <f t="shared" si="104"/>
        <v>0</v>
      </c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30">
        <f t="shared" si="105"/>
        <v>0</v>
      </c>
      <c r="BV213" s="3"/>
    </row>
    <row r="214" ht="14.25" customHeight="1">
      <c r="A214" s="132"/>
      <c r="B214" s="215">
        <v>46211</v>
      </c>
      <c r="C214" s="133"/>
      <c r="D214" s="136"/>
      <c r="E214" s="135"/>
      <c r="F214" s="135"/>
      <c r="G214" s="98">
        <f t="shared" si="97"/>
        <v>0</v>
      </c>
      <c r="H214" s="819"/>
      <c r="I214" s="746"/>
      <c r="J214" s="122"/>
      <c r="K214" s="122"/>
      <c r="L214" s="99"/>
      <c r="M214" s="99"/>
      <c r="N214" s="99"/>
      <c r="O214" s="99"/>
      <c r="P214" s="99"/>
      <c r="Q214" s="99"/>
      <c r="R214" s="641"/>
      <c r="S214" s="641"/>
      <c r="T214" s="99"/>
      <c r="U214" s="103">
        <f t="shared" si="98"/>
        <v>0</v>
      </c>
      <c r="V214" s="143"/>
      <c r="W214" s="143"/>
      <c r="X214" s="143"/>
      <c r="Y214" s="611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03">
        <f t="shared" si="99"/>
        <v>0</v>
      </c>
      <c r="AJ214" s="136"/>
      <c r="AK214" s="136"/>
      <c r="AL214" s="136"/>
      <c r="AM214" s="105">
        <f t="shared" si="100"/>
        <v>0</v>
      </c>
      <c r="AN214" s="143"/>
      <c r="AO214" s="143"/>
      <c r="AP214" s="143"/>
      <c r="AQ214" s="146"/>
      <c r="AR214" s="224">
        <f t="shared" si="101"/>
        <v>0</v>
      </c>
      <c r="AS214" s="126"/>
      <c r="AT214" s="126"/>
      <c r="AU214" s="274"/>
      <c r="AV214" s="126"/>
      <c r="AW214" s="126"/>
      <c r="AX214" s="275"/>
      <c r="AY214" s="126"/>
      <c r="AZ214" s="127"/>
      <c r="BA214" s="274"/>
      <c r="BB214" s="274"/>
      <c r="BC214" s="274"/>
      <c r="BD214" s="222">
        <f t="shared" si="106"/>
        <v>0</v>
      </c>
      <c r="BE214" s="140">
        <f t="shared" si="103"/>
        <v>0</v>
      </c>
      <c r="BF214" s="132"/>
      <c r="BG214" s="140">
        <f t="shared" si="104"/>
        <v>0</v>
      </c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30">
        <f t="shared" si="105"/>
        <v>0</v>
      </c>
      <c r="BV214" s="132"/>
    </row>
    <row r="215" ht="14.25" customHeight="1">
      <c r="A215" s="132"/>
      <c r="B215" s="215">
        <v>46212</v>
      </c>
      <c r="C215" s="133"/>
      <c r="D215" s="136"/>
      <c r="E215" s="135"/>
      <c r="F215" s="135"/>
      <c r="G215" s="98">
        <f t="shared" si="97"/>
        <v>0</v>
      </c>
      <c r="H215" s="819"/>
      <c r="I215" s="746"/>
      <c r="J215" s="122"/>
      <c r="K215" s="122"/>
      <c r="L215" s="99"/>
      <c r="M215" s="99"/>
      <c r="N215" s="99"/>
      <c r="O215" s="99"/>
      <c r="P215" s="99"/>
      <c r="Q215" s="99"/>
      <c r="R215" s="641"/>
      <c r="S215" s="641"/>
      <c r="T215" s="99"/>
      <c r="U215" s="103">
        <f t="shared" si="98"/>
        <v>0</v>
      </c>
      <c r="V215" s="143"/>
      <c r="W215" s="231"/>
      <c r="X215" s="231"/>
      <c r="Y215" s="611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03">
        <f t="shared" si="99"/>
        <v>0</v>
      </c>
      <c r="AJ215" s="136"/>
      <c r="AK215" s="136"/>
      <c r="AL215" s="136"/>
      <c r="AM215" s="105">
        <f t="shared" si="100"/>
        <v>0</v>
      </c>
      <c r="AN215" s="143"/>
      <c r="AO215" s="143"/>
      <c r="AP215" s="143"/>
      <c r="AQ215" s="146"/>
      <c r="AR215" s="224">
        <f t="shared" si="101"/>
        <v>0</v>
      </c>
      <c r="AS215" s="126"/>
      <c r="AT215" s="126"/>
      <c r="AU215" s="274"/>
      <c r="AV215" s="126"/>
      <c r="AW215" s="126"/>
      <c r="AX215" s="275"/>
      <c r="AY215" s="126"/>
      <c r="AZ215" s="127"/>
      <c r="BA215" s="274"/>
      <c r="BB215" s="274"/>
      <c r="BC215" s="274"/>
      <c r="BD215" s="222">
        <f t="shared" si="106"/>
        <v>0</v>
      </c>
      <c r="BE215" s="140">
        <f t="shared" si="103"/>
        <v>0</v>
      </c>
      <c r="BF215" s="132"/>
      <c r="BG215" s="140">
        <f t="shared" si="104"/>
        <v>0</v>
      </c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635">
        <f t="shared" si="105"/>
        <v>0</v>
      </c>
      <c r="BV215" s="132"/>
    </row>
    <row r="216" ht="14.25" customHeight="1">
      <c r="A216" s="132"/>
      <c r="B216" s="215">
        <v>46213</v>
      </c>
      <c r="C216" s="133"/>
      <c r="D216" s="136"/>
      <c r="E216" s="135"/>
      <c r="F216" s="135"/>
      <c r="G216" s="98">
        <f t="shared" si="97"/>
        <v>0</v>
      </c>
      <c r="H216" s="819"/>
      <c r="I216" s="746"/>
      <c r="J216" s="122"/>
      <c r="K216" s="122"/>
      <c r="L216" s="99"/>
      <c r="M216" s="99"/>
      <c r="N216" s="99"/>
      <c r="O216" s="99"/>
      <c r="P216" s="99"/>
      <c r="Q216" s="99"/>
      <c r="R216" s="641"/>
      <c r="S216" s="641"/>
      <c r="T216" s="99"/>
      <c r="U216" s="103">
        <f t="shared" si="98"/>
        <v>0</v>
      </c>
      <c r="V216" s="143"/>
      <c r="W216" s="143"/>
      <c r="X216" s="143"/>
      <c r="Y216" s="611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03">
        <f t="shared" si="99"/>
        <v>0</v>
      </c>
      <c r="AJ216" s="136"/>
      <c r="AK216" s="136"/>
      <c r="AL216" s="136"/>
      <c r="AM216" s="105">
        <f t="shared" si="100"/>
        <v>0</v>
      </c>
      <c r="AN216" s="143"/>
      <c r="AO216" s="143"/>
      <c r="AP216" s="143"/>
      <c r="AQ216" s="146"/>
      <c r="AR216" s="224">
        <f t="shared" si="101"/>
        <v>0</v>
      </c>
      <c r="AS216" s="126"/>
      <c r="AT216" s="126"/>
      <c r="AU216" s="274"/>
      <c r="AV216" s="126"/>
      <c r="AW216" s="126"/>
      <c r="AX216" s="275"/>
      <c r="AY216" s="126"/>
      <c r="AZ216" s="127"/>
      <c r="BA216" s="274"/>
      <c r="BB216" s="274"/>
      <c r="BC216" s="274"/>
      <c r="BD216" s="222">
        <f t="shared" si="106"/>
        <v>0</v>
      </c>
      <c r="BE216" s="140">
        <f t="shared" si="103"/>
        <v>0</v>
      </c>
      <c r="BF216" s="132"/>
      <c r="BG216" s="140">
        <f t="shared" si="104"/>
        <v>0</v>
      </c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635">
        <f t="shared" si="105"/>
        <v>0</v>
      </c>
      <c r="BV216" s="132"/>
    </row>
    <row r="217" ht="14.25" customHeight="1">
      <c r="A217" s="132"/>
      <c r="B217" s="215">
        <v>46214</v>
      </c>
      <c r="C217" s="133"/>
      <c r="D217" s="136"/>
      <c r="E217" s="135"/>
      <c r="F217" s="135"/>
      <c r="G217" s="98">
        <f t="shared" si="97"/>
        <v>0</v>
      </c>
      <c r="H217" s="819"/>
      <c r="I217" s="746"/>
      <c r="J217" s="122"/>
      <c r="K217" s="122"/>
      <c r="L217" s="99"/>
      <c r="M217" s="99"/>
      <c r="N217" s="99"/>
      <c r="O217" s="99"/>
      <c r="P217" s="99"/>
      <c r="Q217" s="99"/>
      <c r="R217" s="641"/>
      <c r="S217" s="641"/>
      <c r="T217" s="99"/>
      <c r="U217" s="103">
        <f t="shared" si="98"/>
        <v>0</v>
      </c>
      <c r="V217" s="143"/>
      <c r="W217" s="143"/>
      <c r="X217" s="143"/>
      <c r="Y217" s="611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03">
        <f t="shared" si="99"/>
        <v>0</v>
      </c>
      <c r="AJ217" s="136"/>
      <c r="AK217" s="136"/>
      <c r="AL217" s="136"/>
      <c r="AM217" s="105">
        <f t="shared" si="100"/>
        <v>0</v>
      </c>
      <c r="AN217" s="143"/>
      <c r="AO217" s="143"/>
      <c r="AP217" s="143"/>
      <c r="AQ217" s="146"/>
      <c r="AR217" s="224">
        <f t="shared" si="101"/>
        <v>0</v>
      </c>
      <c r="AS217" s="126"/>
      <c r="AT217" s="126"/>
      <c r="AU217" s="274"/>
      <c r="AV217" s="126"/>
      <c r="AW217" s="126"/>
      <c r="AX217" s="275"/>
      <c r="AY217" s="126"/>
      <c r="AZ217" s="127"/>
      <c r="BA217" s="274"/>
      <c r="BB217" s="274"/>
      <c r="BC217" s="274"/>
      <c r="BD217" s="222">
        <f t="shared" si="106"/>
        <v>0</v>
      </c>
      <c r="BE217" s="140">
        <f t="shared" si="103"/>
        <v>0</v>
      </c>
      <c r="BF217" s="132"/>
      <c r="BG217" s="140">
        <f t="shared" si="104"/>
        <v>0</v>
      </c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30">
        <f t="shared" si="105"/>
        <v>0</v>
      </c>
      <c r="BV217" s="132"/>
    </row>
    <row r="218" ht="14.25" customHeight="1">
      <c r="A218" s="132"/>
      <c r="B218" s="215">
        <v>46215</v>
      </c>
      <c r="C218" s="133"/>
      <c r="D218" s="136"/>
      <c r="E218" s="135"/>
      <c r="F218" s="135"/>
      <c r="G218" s="98">
        <f t="shared" si="97"/>
        <v>0</v>
      </c>
      <c r="H218" s="819"/>
      <c r="I218" s="746"/>
      <c r="J218" s="122"/>
      <c r="K218" s="122"/>
      <c r="L218" s="99"/>
      <c r="M218" s="99"/>
      <c r="N218" s="99"/>
      <c r="O218" s="99"/>
      <c r="P218" s="99"/>
      <c r="Q218" s="99"/>
      <c r="R218" s="641"/>
      <c r="S218" s="641"/>
      <c r="T218" s="99"/>
      <c r="U218" s="103">
        <f t="shared" si="98"/>
        <v>0</v>
      </c>
      <c r="V218" s="143"/>
      <c r="W218" s="143"/>
      <c r="X218" s="143"/>
      <c r="Y218" s="611"/>
      <c r="Z218" s="804"/>
      <c r="AA218" s="143"/>
      <c r="AB218" s="143"/>
      <c r="AC218" s="143"/>
      <c r="AD218" s="143"/>
      <c r="AE218" s="143"/>
      <c r="AF218" s="143"/>
      <c r="AG218" s="143"/>
      <c r="AH218" s="143"/>
      <c r="AI218" s="103">
        <f t="shared" si="99"/>
        <v>0</v>
      </c>
      <c r="AJ218" s="136"/>
      <c r="AK218" s="136"/>
      <c r="AL218" s="136"/>
      <c r="AM218" s="105">
        <f t="shared" si="100"/>
        <v>0</v>
      </c>
      <c r="AN218" s="143"/>
      <c r="AO218" s="143"/>
      <c r="AP218" s="143"/>
      <c r="AQ218" s="146"/>
      <c r="AR218" s="224">
        <f t="shared" si="101"/>
        <v>0</v>
      </c>
      <c r="AS218" s="126"/>
      <c r="AT218" s="126"/>
      <c r="AU218" s="274"/>
      <c r="AV218" s="126"/>
      <c r="AW218" s="126"/>
      <c r="AX218" s="275"/>
      <c r="AY218" s="126"/>
      <c r="AZ218" s="127"/>
      <c r="BA218" s="274"/>
      <c r="BB218" s="274"/>
      <c r="BC218" s="274"/>
      <c r="BD218" s="222">
        <f t="shared" si="106"/>
        <v>0</v>
      </c>
      <c r="BE218" s="140">
        <f t="shared" si="103"/>
        <v>0</v>
      </c>
      <c r="BF218" s="132"/>
      <c r="BG218" s="140">
        <f t="shared" si="104"/>
        <v>0</v>
      </c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30">
        <f t="shared" si="105"/>
        <v>0</v>
      </c>
      <c r="BV218" s="132"/>
    </row>
    <row r="219" ht="14.25" customHeight="1">
      <c r="A219" s="132"/>
      <c r="B219" s="215">
        <v>46216</v>
      </c>
      <c r="C219" s="133"/>
      <c r="D219" s="136"/>
      <c r="E219" s="135"/>
      <c r="F219" s="135"/>
      <c r="G219" s="98">
        <f t="shared" si="97"/>
        <v>0</v>
      </c>
      <c r="H219" s="819"/>
      <c r="I219" s="746"/>
      <c r="J219" s="122"/>
      <c r="K219" s="122"/>
      <c r="L219" s="99"/>
      <c r="M219" s="99"/>
      <c r="N219" s="99"/>
      <c r="O219" s="99"/>
      <c r="P219" s="99"/>
      <c r="Q219" s="99"/>
      <c r="R219" s="641"/>
      <c r="S219" s="641"/>
      <c r="T219" s="99"/>
      <c r="U219" s="103">
        <f t="shared" si="98"/>
        <v>0</v>
      </c>
      <c r="V219" s="143"/>
      <c r="W219" s="143"/>
      <c r="X219" s="143"/>
      <c r="Y219" s="611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03">
        <f t="shared" si="99"/>
        <v>0</v>
      </c>
      <c r="AJ219" s="136"/>
      <c r="AK219" s="136"/>
      <c r="AL219" s="136"/>
      <c r="AM219" s="105">
        <f t="shared" si="100"/>
        <v>0</v>
      </c>
      <c r="AN219" s="143"/>
      <c r="AO219" s="143"/>
      <c r="AP219" s="143"/>
      <c r="AQ219" s="146"/>
      <c r="AR219" s="224">
        <f t="shared" si="101"/>
        <v>0</v>
      </c>
      <c r="AS219" s="126"/>
      <c r="AT219" s="126"/>
      <c r="AU219" s="855"/>
      <c r="AV219" s="126"/>
      <c r="AW219" s="126"/>
      <c r="AX219" s="275"/>
      <c r="AY219" s="126"/>
      <c r="AZ219" s="127"/>
      <c r="BA219" s="274"/>
      <c r="BB219" s="274"/>
      <c r="BC219" s="274"/>
      <c r="BD219" s="222">
        <f t="shared" si="106"/>
        <v>0</v>
      </c>
      <c r="BE219" s="140">
        <f t="shared" si="103"/>
        <v>0</v>
      </c>
      <c r="BF219" s="132"/>
      <c r="BG219" s="140">
        <f t="shared" si="104"/>
        <v>0</v>
      </c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30">
        <f t="shared" si="105"/>
        <v>0</v>
      </c>
      <c r="BV219" s="132"/>
    </row>
    <row r="220" ht="14.25" customHeight="1">
      <c r="A220" s="132"/>
      <c r="B220" s="215">
        <v>46217</v>
      </c>
      <c r="C220" s="133"/>
      <c r="D220" s="136"/>
      <c r="E220" s="135"/>
      <c r="F220" s="135"/>
      <c r="G220" s="98">
        <f t="shared" si="97"/>
        <v>0</v>
      </c>
      <c r="H220" s="819"/>
      <c r="I220" s="746"/>
      <c r="J220" s="122"/>
      <c r="K220" s="122"/>
      <c r="L220" s="99"/>
      <c r="M220" s="99"/>
      <c r="N220" s="99"/>
      <c r="O220" s="99"/>
      <c r="P220" s="99"/>
      <c r="Q220" s="99"/>
      <c r="R220" s="641"/>
      <c r="S220" s="641"/>
      <c r="T220" s="99"/>
      <c r="U220" s="103">
        <f t="shared" si="98"/>
        <v>0</v>
      </c>
      <c r="V220" s="143"/>
      <c r="W220" s="143"/>
      <c r="X220" s="143"/>
      <c r="Y220" s="611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03">
        <f t="shared" si="99"/>
        <v>0</v>
      </c>
      <c r="AJ220" s="136"/>
      <c r="AK220" s="136"/>
      <c r="AL220" s="136"/>
      <c r="AM220" s="105">
        <f t="shared" si="100"/>
        <v>0</v>
      </c>
      <c r="AN220" s="143"/>
      <c r="AO220" s="143"/>
      <c r="AP220" s="143"/>
      <c r="AQ220" s="146"/>
      <c r="AR220" s="224">
        <f t="shared" si="101"/>
        <v>0</v>
      </c>
      <c r="AS220" s="126"/>
      <c r="AT220" s="126"/>
      <c r="AU220" s="274"/>
      <c r="AV220" s="126"/>
      <c r="AW220" s="126"/>
      <c r="AX220" s="275"/>
      <c r="AY220" s="126"/>
      <c r="AZ220" s="127"/>
      <c r="BA220" s="274"/>
      <c r="BB220" s="274"/>
      <c r="BC220" s="274"/>
      <c r="BD220" s="222">
        <f t="shared" si="106"/>
        <v>0</v>
      </c>
      <c r="BE220" s="140">
        <f t="shared" si="103"/>
        <v>0</v>
      </c>
      <c r="BF220" s="132"/>
      <c r="BG220" s="140">
        <f t="shared" si="104"/>
        <v>0</v>
      </c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30">
        <f t="shared" si="105"/>
        <v>0</v>
      </c>
      <c r="BV220" s="132"/>
    </row>
    <row r="221" ht="14.25" customHeight="1">
      <c r="A221" s="132"/>
      <c r="B221" s="215">
        <v>46218</v>
      </c>
      <c r="C221" s="133"/>
      <c r="D221" s="136"/>
      <c r="E221" s="135"/>
      <c r="F221" s="135"/>
      <c r="G221" s="98">
        <f t="shared" si="97"/>
        <v>0</v>
      </c>
      <c r="H221" s="819"/>
      <c r="I221" s="746"/>
      <c r="J221" s="122"/>
      <c r="K221" s="122"/>
      <c r="L221" s="99"/>
      <c r="M221" s="99"/>
      <c r="N221" s="99"/>
      <c r="O221" s="99"/>
      <c r="P221" s="99"/>
      <c r="Q221" s="99"/>
      <c r="R221" s="641"/>
      <c r="S221" s="641"/>
      <c r="T221" s="99"/>
      <c r="U221" s="103">
        <f t="shared" si="98"/>
        <v>0</v>
      </c>
      <c r="V221" s="143"/>
      <c r="W221" s="143"/>
      <c r="X221" s="143"/>
      <c r="Y221" s="611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03">
        <f t="shared" si="99"/>
        <v>0</v>
      </c>
      <c r="AJ221" s="136"/>
      <c r="AK221" s="136"/>
      <c r="AL221" s="136"/>
      <c r="AM221" s="105">
        <f t="shared" si="100"/>
        <v>0</v>
      </c>
      <c r="AN221" s="143"/>
      <c r="AO221" s="143"/>
      <c r="AP221" s="143"/>
      <c r="AQ221" s="146"/>
      <c r="AR221" s="224">
        <f t="shared" si="101"/>
        <v>0</v>
      </c>
      <c r="AS221" s="126"/>
      <c r="AT221" s="126"/>
      <c r="AU221" s="855"/>
      <c r="AV221" s="126"/>
      <c r="AW221" s="126"/>
      <c r="AX221" s="275"/>
      <c r="AY221" s="126"/>
      <c r="AZ221" s="127"/>
      <c r="BA221" s="274"/>
      <c r="BB221" s="274"/>
      <c r="BC221" s="274"/>
      <c r="BD221" s="222">
        <f t="shared" si="106"/>
        <v>0</v>
      </c>
      <c r="BE221" s="140">
        <f t="shared" si="103"/>
        <v>0</v>
      </c>
      <c r="BF221" s="132"/>
      <c r="BG221" s="140">
        <f t="shared" si="104"/>
        <v>0</v>
      </c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30">
        <f t="shared" si="105"/>
        <v>0</v>
      </c>
      <c r="BV221" s="132"/>
    </row>
    <row r="222" ht="14.25" customHeight="1">
      <c r="A222" s="132"/>
      <c r="B222" s="215">
        <v>46219</v>
      </c>
      <c r="C222" s="133"/>
      <c r="D222" s="136"/>
      <c r="E222" s="135"/>
      <c r="F222" s="135"/>
      <c r="G222" s="98">
        <f t="shared" si="97"/>
        <v>0</v>
      </c>
      <c r="H222" s="819"/>
      <c r="I222" s="746"/>
      <c r="J222" s="122"/>
      <c r="K222" s="122"/>
      <c r="L222" s="99"/>
      <c r="M222" s="99"/>
      <c r="N222" s="99"/>
      <c r="O222" s="99"/>
      <c r="P222" s="99"/>
      <c r="Q222" s="99"/>
      <c r="R222" s="641"/>
      <c r="S222" s="641"/>
      <c r="T222" s="99"/>
      <c r="U222" s="103">
        <f t="shared" si="98"/>
        <v>0</v>
      </c>
      <c r="V222" s="143"/>
      <c r="W222" s="143"/>
      <c r="X222" s="143"/>
      <c r="Y222" s="611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03">
        <f t="shared" si="99"/>
        <v>0</v>
      </c>
      <c r="AJ222" s="136"/>
      <c r="AK222" s="136"/>
      <c r="AL222" s="136"/>
      <c r="AM222" s="105">
        <f t="shared" si="100"/>
        <v>0</v>
      </c>
      <c r="AN222" s="143"/>
      <c r="AO222" s="143"/>
      <c r="AP222" s="143"/>
      <c r="AQ222" s="146"/>
      <c r="AR222" s="224">
        <f t="shared" si="101"/>
        <v>0</v>
      </c>
      <c r="AS222" s="126"/>
      <c r="AT222" s="126"/>
      <c r="AU222" s="274"/>
      <c r="AV222" s="126"/>
      <c r="AW222" s="126"/>
      <c r="AX222" s="275"/>
      <c r="AY222" s="126"/>
      <c r="AZ222" s="127"/>
      <c r="BA222" s="274"/>
      <c r="BB222" s="274"/>
      <c r="BC222" s="274"/>
      <c r="BD222" s="222">
        <f t="shared" si="106"/>
        <v>0</v>
      </c>
      <c r="BE222" s="140">
        <f t="shared" si="103"/>
        <v>0</v>
      </c>
      <c r="BF222" s="132"/>
      <c r="BG222" s="140">
        <f t="shared" si="104"/>
        <v>0</v>
      </c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30">
        <f t="shared" si="105"/>
        <v>0</v>
      </c>
      <c r="BV222" s="132"/>
    </row>
    <row r="223" ht="14.25" customHeight="1">
      <c r="A223" s="132"/>
      <c r="B223" s="215">
        <v>46220</v>
      </c>
      <c r="C223" s="133"/>
      <c r="D223" s="136"/>
      <c r="E223" s="135"/>
      <c r="F223" s="135"/>
      <c r="G223" s="98">
        <f t="shared" si="97"/>
        <v>0</v>
      </c>
      <c r="H223" s="819"/>
      <c r="I223" s="746"/>
      <c r="J223" s="122"/>
      <c r="K223" s="122"/>
      <c r="L223" s="99"/>
      <c r="M223" s="99"/>
      <c r="N223" s="99"/>
      <c r="O223" s="99"/>
      <c r="P223" s="99"/>
      <c r="Q223" s="99"/>
      <c r="R223" s="641"/>
      <c r="S223" s="641"/>
      <c r="T223" s="99"/>
      <c r="U223" s="103">
        <f t="shared" si="98"/>
        <v>0</v>
      </c>
      <c r="V223" s="143"/>
      <c r="W223" s="143"/>
      <c r="X223" s="143"/>
      <c r="Y223" s="611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03">
        <f t="shared" si="99"/>
        <v>0</v>
      </c>
      <c r="AJ223" s="136"/>
      <c r="AK223" s="136"/>
      <c r="AL223" s="136"/>
      <c r="AM223" s="105">
        <f t="shared" si="100"/>
        <v>0</v>
      </c>
      <c r="AN223" s="143"/>
      <c r="AO223" s="143"/>
      <c r="AP223" s="143"/>
      <c r="AQ223" s="146"/>
      <c r="AR223" s="224">
        <f t="shared" si="101"/>
        <v>0</v>
      </c>
      <c r="AS223" s="126"/>
      <c r="AT223" s="126"/>
      <c r="AU223" s="274"/>
      <c r="AV223" s="126"/>
      <c r="AW223" s="126"/>
      <c r="AX223" s="275"/>
      <c r="AY223" s="126"/>
      <c r="AZ223" s="127"/>
      <c r="BA223" s="274"/>
      <c r="BB223" s="274"/>
      <c r="BC223" s="274"/>
      <c r="BD223" s="222">
        <f t="shared" si="106"/>
        <v>0</v>
      </c>
      <c r="BE223" s="140">
        <f t="shared" si="103"/>
        <v>0</v>
      </c>
      <c r="BF223" s="132"/>
      <c r="BG223" s="140">
        <f t="shared" si="104"/>
        <v>0</v>
      </c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30">
        <f t="shared" si="105"/>
        <v>0</v>
      </c>
      <c r="BV223" s="132"/>
    </row>
    <row r="224" ht="14.25" customHeight="1">
      <c r="A224" s="132"/>
      <c r="B224" s="215">
        <v>46221</v>
      </c>
      <c r="C224" s="133"/>
      <c r="D224" s="136"/>
      <c r="E224" s="135"/>
      <c r="F224" s="135"/>
      <c r="G224" s="98">
        <f t="shared" si="97"/>
        <v>0</v>
      </c>
      <c r="H224" s="819"/>
      <c r="I224" s="746"/>
      <c r="J224" s="122"/>
      <c r="K224" s="122"/>
      <c r="L224" s="99"/>
      <c r="M224" s="99"/>
      <c r="N224" s="99"/>
      <c r="O224" s="99"/>
      <c r="P224" s="99"/>
      <c r="Q224" s="99"/>
      <c r="R224" s="641"/>
      <c r="S224" s="641"/>
      <c r="T224" s="99"/>
      <c r="U224" s="103">
        <f t="shared" si="98"/>
        <v>0</v>
      </c>
      <c r="V224" s="143"/>
      <c r="W224" s="143"/>
      <c r="X224" s="143"/>
      <c r="Y224" s="611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03">
        <f t="shared" si="99"/>
        <v>0</v>
      </c>
      <c r="AJ224" s="136"/>
      <c r="AK224" s="136"/>
      <c r="AL224" s="136"/>
      <c r="AM224" s="105">
        <f t="shared" si="100"/>
        <v>0</v>
      </c>
      <c r="AN224" s="143"/>
      <c r="AO224" s="143"/>
      <c r="AP224" s="143"/>
      <c r="AQ224" s="146"/>
      <c r="AR224" s="224">
        <f t="shared" si="101"/>
        <v>0</v>
      </c>
      <c r="AS224" s="126"/>
      <c r="AT224" s="126"/>
      <c r="AU224" s="274"/>
      <c r="AV224" s="126"/>
      <c r="AW224" s="126"/>
      <c r="AX224" s="275"/>
      <c r="AY224" s="126"/>
      <c r="AZ224" s="127"/>
      <c r="BA224" s="274"/>
      <c r="BB224" s="274"/>
      <c r="BC224" s="274"/>
      <c r="BD224" s="222">
        <f t="shared" si="106"/>
        <v>0</v>
      </c>
      <c r="BE224" s="140">
        <f t="shared" si="103"/>
        <v>0</v>
      </c>
      <c r="BF224" s="132"/>
      <c r="BG224" s="140">
        <f t="shared" si="104"/>
        <v>0</v>
      </c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30">
        <f t="shared" si="105"/>
        <v>0</v>
      </c>
      <c r="BV224" s="132"/>
    </row>
    <row r="225" ht="14.25" customHeight="1">
      <c r="A225" s="132"/>
      <c r="B225" s="215">
        <v>46222</v>
      </c>
      <c r="C225" s="133"/>
      <c r="D225" s="136"/>
      <c r="E225" s="135"/>
      <c r="F225" s="135"/>
      <c r="G225" s="98">
        <f t="shared" si="97"/>
        <v>0</v>
      </c>
      <c r="H225" s="819"/>
      <c r="I225" s="746"/>
      <c r="J225" s="122"/>
      <c r="K225" s="122"/>
      <c r="L225" s="99"/>
      <c r="M225" s="99"/>
      <c r="N225" s="99"/>
      <c r="O225" s="99"/>
      <c r="P225" s="99"/>
      <c r="Q225" s="99"/>
      <c r="R225" s="641"/>
      <c r="S225" s="641"/>
      <c r="T225" s="99"/>
      <c r="U225" s="103">
        <f t="shared" si="98"/>
        <v>0</v>
      </c>
      <c r="V225" s="143"/>
      <c r="W225" s="143"/>
      <c r="X225" s="143"/>
      <c r="Y225" s="611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03">
        <f t="shared" si="99"/>
        <v>0</v>
      </c>
      <c r="AJ225" s="136"/>
      <c r="AK225" s="136"/>
      <c r="AL225" s="136"/>
      <c r="AM225" s="105">
        <f t="shared" si="100"/>
        <v>0</v>
      </c>
      <c r="AN225" s="143"/>
      <c r="AO225" s="143"/>
      <c r="AP225" s="143"/>
      <c r="AQ225" s="146"/>
      <c r="AR225" s="224">
        <f t="shared" si="101"/>
        <v>0</v>
      </c>
      <c r="AS225" s="126"/>
      <c r="AT225" s="126"/>
      <c r="AU225" s="855"/>
      <c r="AV225" s="126"/>
      <c r="AW225" s="126"/>
      <c r="AX225" s="275"/>
      <c r="AY225" s="126"/>
      <c r="AZ225" s="127"/>
      <c r="BA225" s="274"/>
      <c r="BB225" s="274"/>
      <c r="BC225" s="274"/>
      <c r="BD225" s="222">
        <f t="shared" si="106"/>
        <v>0</v>
      </c>
      <c r="BE225" s="140">
        <f t="shared" si="103"/>
        <v>0</v>
      </c>
      <c r="BF225" s="132"/>
      <c r="BG225" s="140">
        <f t="shared" si="104"/>
        <v>0</v>
      </c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30">
        <f t="shared" si="105"/>
        <v>0</v>
      </c>
      <c r="BV225" s="132"/>
    </row>
    <row r="226" ht="14.25" customHeight="1">
      <c r="A226" s="132"/>
      <c r="B226" s="215">
        <v>46223</v>
      </c>
      <c r="C226" s="133"/>
      <c r="D226" s="136"/>
      <c r="E226" s="135"/>
      <c r="F226" s="135"/>
      <c r="G226" s="98">
        <f t="shared" si="97"/>
        <v>0</v>
      </c>
      <c r="H226" s="819"/>
      <c r="I226" s="746"/>
      <c r="J226" s="122"/>
      <c r="K226" s="122"/>
      <c r="L226" s="99"/>
      <c r="M226" s="99"/>
      <c r="N226" s="99"/>
      <c r="O226" s="99"/>
      <c r="P226" s="99"/>
      <c r="Q226" s="99"/>
      <c r="R226" s="641"/>
      <c r="S226" s="641"/>
      <c r="T226" s="99"/>
      <c r="U226" s="103">
        <f t="shared" si="98"/>
        <v>0</v>
      </c>
      <c r="V226" s="143"/>
      <c r="W226" s="143"/>
      <c r="X226" s="143"/>
      <c r="Y226" s="611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03">
        <f t="shared" si="99"/>
        <v>0</v>
      </c>
      <c r="AJ226" s="136"/>
      <c r="AK226" s="136"/>
      <c r="AL226" s="136"/>
      <c r="AM226" s="105">
        <f t="shared" si="100"/>
        <v>0</v>
      </c>
      <c r="AN226" s="143"/>
      <c r="AO226" s="143"/>
      <c r="AP226" s="143"/>
      <c r="AQ226" s="146"/>
      <c r="AR226" s="224">
        <f t="shared" si="101"/>
        <v>0</v>
      </c>
      <c r="AS226" s="126"/>
      <c r="AT226" s="126"/>
      <c r="AU226" s="274"/>
      <c r="AV226" s="126"/>
      <c r="AW226" s="126"/>
      <c r="AX226" s="275"/>
      <c r="AY226" s="126"/>
      <c r="AZ226" s="127"/>
      <c r="BA226" s="274"/>
      <c r="BB226" s="274"/>
      <c r="BC226" s="274"/>
      <c r="BD226" s="222">
        <f t="shared" si="106"/>
        <v>0</v>
      </c>
      <c r="BE226" s="140">
        <f t="shared" si="103"/>
        <v>0</v>
      </c>
      <c r="BF226" s="132"/>
      <c r="BG226" s="140">
        <f t="shared" si="104"/>
        <v>0</v>
      </c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30">
        <f t="shared" si="105"/>
        <v>0</v>
      </c>
      <c r="BV226" s="132"/>
    </row>
    <row r="227" ht="14.25" customHeight="1">
      <c r="A227" s="132"/>
      <c r="B227" s="215">
        <v>46224</v>
      </c>
      <c r="C227" s="133"/>
      <c r="D227" s="136"/>
      <c r="E227" s="135"/>
      <c r="F227" s="135"/>
      <c r="G227" s="98">
        <f t="shared" si="97"/>
        <v>0</v>
      </c>
      <c r="H227" s="819"/>
      <c r="I227" s="746"/>
      <c r="J227" s="122"/>
      <c r="K227" s="122"/>
      <c r="L227" s="99"/>
      <c r="M227" s="99"/>
      <c r="N227" s="99"/>
      <c r="O227" s="99"/>
      <c r="P227" s="99"/>
      <c r="Q227" s="99"/>
      <c r="R227" s="641"/>
      <c r="S227" s="641"/>
      <c r="T227" s="99"/>
      <c r="U227" s="103">
        <f t="shared" si="98"/>
        <v>0</v>
      </c>
      <c r="V227" s="143"/>
      <c r="W227" s="231"/>
      <c r="X227" s="231"/>
      <c r="Y227" s="611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03">
        <f t="shared" si="99"/>
        <v>0</v>
      </c>
      <c r="AJ227" s="136"/>
      <c r="AK227" s="136"/>
      <c r="AL227" s="136"/>
      <c r="AM227" s="105">
        <f t="shared" si="100"/>
        <v>0</v>
      </c>
      <c r="AN227" s="143"/>
      <c r="AO227" s="143"/>
      <c r="AP227" s="143"/>
      <c r="AQ227" s="146"/>
      <c r="AR227" s="224">
        <f t="shared" si="101"/>
        <v>0</v>
      </c>
      <c r="AS227" s="126"/>
      <c r="AT227" s="126"/>
      <c r="AU227" s="274"/>
      <c r="AV227" s="126"/>
      <c r="AW227" s="126"/>
      <c r="AX227" s="275"/>
      <c r="AY227" s="126"/>
      <c r="AZ227" s="127"/>
      <c r="BA227" s="274"/>
      <c r="BB227" s="274"/>
      <c r="BC227" s="274"/>
      <c r="BD227" s="222">
        <f t="shared" si="106"/>
        <v>0</v>
      </c>
      <c r="BE227" s="140">
        <f t="shared" si="103"/>
        <v>0</v>
      </c>
      <c r="BF227" s="132"/>
      <c r="BG227" s="140">
        <f t="shared" si="104"/>
        <v>0</v>
      </c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30">
        <f t="shared" si="105"/>
        <v>0</v>
      </c>
      <c r="BV227" s="132"/>
    </row>
    <row r="228" ht="14.25" customHeight="1">
      <c r="A228" s="132"/>
      <c r="B228" s="215">
        <v>46225</v>
      </c>
      <c r="C228" s="133"/>
      <c r="D228" s="136"/>
      <c r="E228" s="135"/>
      <c r="F228" s="135"/>
      <c r="G228" s="98">
        <f t="shared" si="97"/>
        <v>0</v>
      </c>
      <c r="H228" s="819"/>
      <c r="I228" s="746"/>
      <c r="J228" s="122"/>
      <c r="K228" s="122"/>
      <c r="L228" s="99"/>
      <c r="M228" s="99"/>
      <c r="N228" s="99"/>
      <c r="O228" s="99"/>
      <c r="P228" s="99"/>
      <c r="Q228" s="99"/>
      <c r="R228" s="641"/>
      <c r="S228" s="641"/>
      <c r="T228" s="99"/>
      <c r="U228" s="103">
        <f t="shared" si="98"/>
        <v>0</v>
      </c>
      <c r="V228" s="143"/>
      <c r="W228" s="143"/>
      <c r="X228" s="143"/>
      <c r="Y228" s="611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03">
        <f t="shared" si="99"/>
        <v>0</v>
      </c>
      <c r="AJ228" s="136"/>
      <c r="AK228" s="136"/>
      <c r="AL228" s="136"/>
      <c r="AM228" s="105">
        <f t="shared" si="100"/>
        <v>0</v>
      </c>
      <c r="AN228" s="143"/>
      <c r="AO228" s="143"/>
      <c r="AP228" s="143"/>
      <c r="AQ228" s="146"/>
      <c r="AR228" s="224">
        <f t="shared" si="101"/>
        <v>0</v>
      </c>
      <c r="AS228" s="126"/>
      <c r="AT228" s="126"/>
      <c r="AU228" s="855"/>
      <c r="AV228" s="126"/>
      <c r="AW228" s="126"/>
      <c r="AX228" s="275"/>
      <c r="AY228" s="126"/>
      <c r="AZ228" s="127"/>
      <c r="BA228" s="274"/>
      <c r="BB228" s="274"/>
      <c r="BC228" s="274"/>
      <c r="BD228" s="222">
        <f t="shared" si="106"/>
        <v>0</v>
      </c>
      <c r="BE228" s="140">
        <f t="shared" si="103"/>
        <v>0</v>
      </c>
      <c r="BF228" s="132"/>
      <c r="BG228" s="140">
        <f t="shared" si="104"/>
        <v>0</v>
      </c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30">
        <f t="shared" si="105"/>
        <v>0</v>
      </c>
      <c r="BV228" s="132"/>
    </row>
    <row r="229" ht="14.25" customHeight="1">
      <c r="A229" s="132"/>
      <c r="B229" s="215">
        <v>46226</v>
      </c>
      <c r="C229" s="133"/>
      <c r="D229" s="136"/>
      <c r="E229" s="135"/>
      <c r="F229" s="135"/>
      <c r="G229" s="98">
        <f t="shared" si="97"/>
        <v>0</v>
      </c>
      <c r="H229" s="819"/>
      <c r="I229" s="746"/>
      <c r="J229" s="122"/>
      <c r="K229" s="122"/>
      <c r="L229" s="99"/>
      <c r="M229" s="99"/>
      <c r="N229" s="99"/>
      <c r="O229" s="99"/>
      <c r="P229" s="99"/>
      <c r="Q229" s="99"/>
      <c r="R229" s="641"/>
      <c r="S229" s="641"/>
      <c r="T229" s="99"/>
      <c r="U229" s="103">
        <f t="shared" si="98"/>
        <v>0</v>
      </c>
      <c r="V229" s="231"/>
      <c r="W229" s="143"/>
      <c r="X229" s="143"/>
      <c r="Y229" s="611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03">
        <f t="shared" si="99"/>
        <v>0</v>
      </c>
      <c r="AJ229" s="136"/>
      <c r="AK229" s="136"/>
      <c r="AL229" s="136"/>
      <c r="AM229" s="105">
        <f t="shared" si="100"/>
        <v>0</v>
      </c>
      <c r="AN229" s="143"/>
      <c r="AO229" s="143"/>
      <c r="AP229" s="143"/>
      <c r="AQ229" s="146"/>
      <c r="AR229" s="224">
        <f t="shared" si="101"/>
        <v>0</v>
      </c>
      <c r="AS229" s="126"/>
      <c r="AT229" s="126"/>
      <c r="AU229" s="274"/>
      <c r="AV229" s="126"/>
      <c r="AW229" s="126"/>
      <c r="AX229" s="275"/>
      <c r="AY229" s="126"/>
      <c r="AZ229" s="127"/>
      <c r="BA229" s="274"/>
      <c r="BB229" s="274"/>
      <c r="BC229" s="274"/>
      <c r="BD229" s="222">
        <f t="shared" si="106"/>
        <v>0</v>
      </c>
      <c r="BE229" s="140">
        <f t="shared" si="103"/>
        <v>0</v>
      </c>
      <c r="BF229" s="132"/>
      <c r="BG229" s="140">
        <f t="shared" si="104"/>
        <v>0</v>
      </c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30">
        <f t="shared" si="105"/>
        <v>0</v>
      </c>
      <c r="BV229" s="132"/>
    </row>
    <row r="230" ht="14.25" customHeight="1">
      <c r="A230" s="132"/>
      <c r="B230" s="215">
        <v>46227</v>
      </c>
      <c r="C230" s="133"/>
      <c r="D230" s="136"/>
      <c r="E230" s="135"/>
      <c r="F230" s="135"/>
      <c r="G230" s="98">
        <f t="shared" si="97"/>
        <v>0</v>
      </c>
      <c r="H230" s="819"/>
      <c r="I230" s="746"/>
      <c r="J230" s="122"/>
      <c r="K230" s="122"/>
      <c r="L230" s="99"/>
      <c r="M230" s="99"/>
      <c r="N230" s="99"/>
      <c r="O230" s="99"/>
      <c r="P230" s="99"/>
      <c r="Q230" s="99"/>
      <c r="R230" s="641"/>
      <c r="S230" s="641"/>
      <c r="T230" s="99"/>
      <c r="U230" s="103">
        <f t="shared" si="98"/>
        <v>0</v>
      </c>
      <c r="V230" s="143"/>
      <c r="W230" s="143"/>
      <c r="X230" s="143"/>
      <c r="Y230" s="611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03">
        <f t="shared" si="99"/>
        <v>0</v>
      </c>
      <c r="AJ230" s="136"/>
      <c r="AK230" s="136"/>
      <c r="AL230" s="136"/>
      <c r="AM230" s="105">
        <f t="shared" si="100"/>
        <v>0</v>
      </c>
      <c r="AN230" s="143"/>
      <c r="AO230" s="143"/>
      <c r="AP230" s="143"/>
      <c r="AQ230" s="146"/>
      <c r="AR230" s="224">
        <f t="shared" si="101"/>
        <v>0</v>
      </c>
      <c r="AS230" s="126"/>
      <c r="AT230" s="126"/>
      <c r="AU230" s="274"/>
      <c r="AV230" s="126"/>
      <c r="AW230" s="126"/>
      <c r="AX230" s="275"/>
      <c r="AY230" s="126"/>
      <c r="AZ230" s="127"/>
      <c r="BA230" s="274"/>
      <c r="BB230" s="274"/>
      <c r="BC230" s="274"/>
      <c r="BD230" s="222">
        <f t="shared" si="106"/>
        <v>0</v>
      </c>
      <c r="BE230" s="140">
        <f t="shared" si="103"/>
        <v>0</v>
      </c>
      <c r="BF230" s="132"/>
      <c r="BG230" s="140">
        <f t="shared" si="104"/>
        <v>0</v>
      </c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30">
        <f t="shared" si="105"/>
        <v>0</v>
      </c>
      <c r="BV230" s="132"/>
    </row>
    <row r="231" ht="14.25" customHeight="1">
      <c r="A231" s="132"/>
      <c r="B231" s="215">
        <v>46228</v>
      </c>
      <c r="C231" s="133"/>
      <c r="D231" s="136"/>
      <c r="E231" s="135"/>
      <c r="F231" s="135"/>
      <c r="G231" s="98">
        <f t="shared" si="97"/>
        <v>0</v>
      </c>
      <c r="H231" s="819"/>
      <c r="I231" s="746"/>
      <c r="J231" s="122"/>
      <c r="K231" s="122"/>
      <c r="L231" s="99"/>
      <c r="M231" s="99"/>
      <c r="N231" s="99"/>
      <c r="O231" s="99"/>
      <c r="P231" s="99"/>
      <c r="Q231" s="99"/>
      <c r="R231" s="641"/>
      <c r="S231" s="641"/>
      <c r="T231" s="99"/>
      <c r="U231" s="103">
        <f t="shared" si="98"/>
        <v>0</v>
      </c>
      <c r="V231" s="143"/>
      <c r="W231" s="143"/>
      <c r="X231" s="143"/>
      <c r="Y231" s="611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03">
        <f t="shared" si="99"/>
        <v>0</v>
      </c>
      <c r="AJ231" s="136"/>
      <c r="AK231" s="136"/>
      <c r="AL231" s="136"/>
      <c r="AM231" s="105">
        <f t="shared" si="100"/>
        <v>0</v>
      </c>
      <c r="AN231" s="143"/>
      <c r="AO231" s="143"/>
      <c r="AP231" s="143"/>
      <c r="AQ231" s="146"/>
      <c r="AR231" s="224">
        <f t="shared" si="101"/>
        <v>0</v>
      </c>
      <c r="AS231" s="126"/>
      <c r="AT231" s="126"/>
      <c r="AU231" s="274"/>
      <c r="AV231" s="126"/>
      <c r="AW231" s="126"/>
      <c r="AX231" s="275"/>
      <c r="AY231" s="126"/>
      <c r="AZ231" s="127"/>
      <c r="BA231" s="274"/>
      <c r="BB231" s="274"/>
      <c r="BC231" s="274"/>
      <c r="BD231" s="222">
        <f t="shared" si="106"/>
        <v>0</v>
      </c>
      <c r="BE231" s="140">
        <f t="shared" si="103"/>
        <v>0</v>
      </c>
      <c r="BF231" s="132"/>
      <c r="BG231" s="140">
        <f t="shared" si="104"/>
        <v>0</v>
      </c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30">
        <f t="shared" si="105"/>
        <v>0</v>
      </c>
      <c r="BV231" s="132"/>
    </row>
    <row r="232" ht="14.25" customHeight="1">
      <c r="A232" s="132"/>
      <c r="B232" s="215">
        <v>46229</v>
      </c>
      <c r="C232" s="133"/>
      <c r="D232" s="136"/>
      <c r="E232" s="135"/>
      <c r="F232" s="135"/>
      <c r="G232" s="98">
        <f t="shared" si="97"/>
        <v>0</v>
      </c>
      <c r="H232" s="819"/>
      <c r="I232" s="746"/>
      <c r="J232" s="122"/>
      <c r="K232" s="122"/>
      <c r="L232" s="99"/>
      <c r="M232" s="99"/>
      <c r="N232" s="99"/>
      <c r="O232" s="99"/>
      <c r="P232" s="99"/>
      <c r="Q232" s="99"/>
      <c r="R232" s="641"/>
      <c r="S232" s="641"/>
      <c r="T232" s="99"/>
      <c r="U232" s="103">
        <f t="shared" si="98"/>
        <v>0</v>
      </c>
      <c r="V232" s="143"/>
      <c r="W232" s="143"/>
      <c r="X232" s="143"/>
      <c r="Y232" s="611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03">
        <f t="shared" si="99"/>
        <v>0</v>
      </c>
      <c r="AJ232" s="136"/>
      <c r="AK232" s="136"/>
      <c r="AL232" s="136"/>
      <c r="AM232" s="105">
        <f t="shared" si="100"/>
        <v>0</v>
      </c>
      <c r="AN232" s="143"/>
      <c r="AO232" s="143"/>
      <c r="AP232" s="143"/>
      <c r="AQ232" s="146"/>
      <c r="AR232" s="224">
        <f t="shared" si="101"/>
        <v>0</v>
      </c>
      <c r="AS232" s="126"/>
      <c r="AT232" s="126"/>
      <c r="AU232" s="274"/>
      <c r="AV232" s="126"/>
      <c r="AW232" s="126"/>
      <c r="AX232" s="275"/>
      <c r="AY232" s="126"/>
      <c r="AZ232" s="127"/>
      <c r="BA232" s="274"/>
      <c r="BB232" s="274"/>
      <c r="BC232" s="274"/>
      <c r="BD232" s="222">
        <f t="shared" si="106"/>
        <v>0</v>
      </c>
      <c r="BE232" s="140">
        <f t="shared" si="103"/>
        <v>0</v>
      </c>
      <c r="BF232" s="132"/>
      <c r="BG232" s="140">
        <f t="shared" si="104"/>
        <v>0</v>
      </c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30">
        <f t="shared" si="105"/>
        <v>0</v>
      </c>
      <c r="BV232" s="132"/>
    </row>
    <row r="233" ht="14.25" customHeight="1">
      <c r="A233" s="132"/>
      <c r="B233" s="215">
        <v>46230</v>
      </c>
      <c r="C233" s="133"/>
      <c r="D233" s="136"/>
      <c r="E233" s="135"/>
      <c r="F233" s="135"/>
      <c r="G233" s="98">
        <f t="shared" si="97"/>
        <v>0</v>
      </c>
      <c r="H233" s="819"/>
      <c r="I233" s="746"/>
      <c r="J233" s="122"/>
      <c r="K233" s="122"/>
      <c r="L233" s="99"/>
      <c r="M233" s="99"/>
      <c r="N233" s="99"/>
      <c r="O233" s="99"/>
      <c r="P233" s="99"/>
      <c r="Q233" s="99"/>
      <c r="R233" s="641"/>
      <c r="S233" s="641"/>
      <c r="T233" s="99"/>
      <c r="U233" s="103">
        <f t="shared" si="98"/>
        <v>0</v>
      </c>
      <c r="V233" s="143"/>
      <c r="W233" s="143"/>
      <c r="X233" s="143"/>
      <c r="Y233" s="611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03">
        <f t="shared" si="99"/>
        <v>0</v>
      </c>
      <c r="AJ233" s="136"/>
      <c r="AK233" s="136"/>
      <c r="AL233" s="136"/>
      <c r="AM233" s="105">
        <f t="shared" si="100"/>
        <v>0</v>
      </c>
      <c r="AN233" s="143"/>
      <c r="AO233" s="143"/>
      <c r="AP233" s="143"/>
      <c r="AQ233" s="146"/>
      <c r="AR233" s="224">
        <f t="shared" si="101"/>
        <v>0</v>
      </c>
      <c r="AS233" s="126"/>
      <c r="AT233" s="126"/>
      <c r="AU233" s="855"/>
      <c r="AV233" s="126"/>
      <c r="AW233" s="126"/>
      <c r="AX233" s="275"/>
      <c r="AY233" s="126"/>
      <c r="AZ233" s="127"/>
      <c r="BA233" s="274"/>
      <c r="BB233" s="274"/>
      <c r="BC233" s="274"/>
      <c r="BD233" s="222">
        <f t="shared" si="106"/>
        <v>0</v>
      </c>
      <c r="BE233" s="140">
        <f t="shared" si="103"/>
        <v>0</v>
      </c>
      <c r="BF233" s="132"/>
      <c r="BG233" s="140">
        <f t="shared" si="104"/>
        <v>0</v>
      </c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30">
        <f t="shared" si="105"/>
        <v>0</v>
      </c>
      <c r="BV233" s="132"/>
    </row>
    <row r="234" ht="14.25" customHeight="1">
      <c r="A234" s="132"/>
      <c r="B234" s="215">
        <v>46231</v>
      </c>
      <c r="C234" s="133"/>
      <c r="D234" s="136"/>
      <c r="E234" s="135"/>
      <c r="F234" s="135"/>
      <c r="G234" s="98">
        <f t="shared" si="97"/>
        <v>0</v>
      </c>
      <c r="H234" s="819"/>
      <c r="I234" s="746"/>
      <c r="J234" s="122"/>
      <c r="K234" s="122"/>
      <c r="L234" s="99"/>
      <c r="M234" s="99"/>
      <c r="N234" s="99"/>
      <c r="O234" s="99"/>
      <c r="P234" s="99"/>
      <c r="Q234" s="99"/>
      <c r="R234" s="641"/>
      <c r="S234" s="641"/>
      <c r="T234" s="99"/>
      <c r="U234" s="103">
        <f t="shared" si="98"/>
        <v>0</v>
      </c>
      <c r="V234" s="143"/>
      <c r="W234" s="143"/>
      <c r="X234" s="143"/>
      <c r="Y234" s="611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03">
        <f t="shared" si="99"/>
        <v>0</v>
      </c>
      <c r="AJ234" s="136"/>
      <c r="AK234" s="136"/>
      <c r="AL234" s="136"/>
      <c r="AM234" s="105">
        <f t="shared" si="100"/>
        <v>0</v>
      </c>
      <c r="AN234" s="143"/>
      <c r="AO234" s="143"/>
      <c r="AP234" s="143"/>
      <c r="AQ234" s="146"/>
      <c r="AR234" s="224">
        <f t="shared" si="101"/>
        <v>0</v>
      </c>
      <c r="AS234" s="126"/>
      <c r="AT234" s="126"/>
      <c r="AU234" s="274"/>
      <c r="AV234" s="126"/>
      <c r="AW234" s="126"/>
      <c r="AX234" s="275"/>
      <c r="AY234" s="126"/>
      <c r="AZ234" s="127"/>
      <c r="BA234" s="274"/>
      <c r="BB234" s="274"/>
      <c r="BC234" s="274"/>
      <c r="BD234" s="222">
        <f t="shared" si="106"/>
        <v>0</v>
      </c>
      <c r="BE234" s="140">
        <f t="shared" si="103"/>
        <v>0</v>
      </c>
      <c r="BF234" s="132"/>
      <c r="BG234" s="140">
        <f t="shared" si="104"/>
        <v>0</v>
      </c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30">
        <f t="shared" si="105"/>
        <v>0</v>
      </c>
      <c r="BV234" s="132"/>
    </row>
    <row r="235" ht="14.25" customHeight="1">
      <c r="A235" s="132"/>
      <c r="B235" s="215">
        <v>46232</v>
      </c>
      <c r="C235" s="133"/>
      <c r="D235" s="136"/>
      <c r="E235" s="135"/>
      <c r="F235" s="135"/>
      <c r="G235" s="98">
        <f t="shared" si="97"/>
        <v>0</v>
      </c>
      <c r="H235" s="819"/>
      <c r="I235" s="746"/>
      <c r="J235" s="122"/>
      <c r="K235" s="122"/>
      <c r="L235" s="99"/>
      <c r="M235" s="99"/>
      <c r="N235" s="99"/>
      <c r="O235" s="99"/>
      <c r="P235" s="99"/>
      <c r="Q235" s="99"/>
      <c r="R235" s="641"/>
      <c r="S235" s="641"/>
      <c r="T235" s="99"/>
      <c r="U235" s="103">
        <f t="shared" si="98"/>
        <v>0</v>
      </c>
      <c r="V235" s="143"/>
      <c r="W235" s="143"/>
      <c r="X235" s="143"/>
      <c r="Y235" s="611"/>
      <c r="Z235" s="143"/>
      <c r="AA235" s="143"/>
      <c r="AB235" s="143"/>
      <c r="AC235" s="143"/>
      <c r="AD235" s="143"/>
      <c r="AE235" s="143"/>
      <c r="AF235" s="143"/>
      <c r="AG235" s="143"/>
      <c r="AH235" s="143"/>
      <c r="AI235" s="103">
        <f t="shared" si="99"/>
        <v>0</v>
      </c>
      <c r="AJ235" s="136"/>
      <c r="AK235" s="136"/>
      <c r="AL235" s="136"/>
      <c r="AM235" s="105">
        <f t="shared" si="100"/>
        <v>0</v>
      </c>
      <c r="AN235" s="143"/>
      <c r="AO235" s="143"/>
      <c r="AP235" s="143"/>
      <c r="AQ235" s="146"/>
      <c r="AR235" s="224">
        <f t="shared" si="101"/>
        <v>0</v>
      </c>
      <c r="AS235" s="126"/>
      <c r="AT235" s="126"/>
      <c r="AU235" s="274"/>
      <c r="AV235" s="126"/>
      <c r="AW235" s="126"/>
      <c r="AX235" s="275"/>
      <c r="AY235" s="126"/>
      <c r="AZ235" s="127"/>
      <c r="BA235" s="274"/>
      <c r="BB235" s="274"/>
      <c r="BC235" s="274"/>
      <c r="BD235" s="222">
        <f t="shared" si="106"/>
        <v>0</v>
      </c>
      <c r="BE235" s="140">
        <f t="shared" si="103"/>
        <v>0</v>
      </c>
      <c r="BF235" s="132"/>
      <c r="BG235" s="140">
        <f t="shared" si="104"/>
        <v>0</v>
      </c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30">
        <f t="shared" si="105"/>
        <v>0</v>
      </c>
      <c r="BV235" s="132"/>
    </row>
    <row r="236" ht="14.25" customHeight="1">
      <c r="A236" s="132"/>
      <c r="B236" s="215">
        <v>46233</v>
      </c>
      <c r="C236" s="133"/>
      <c r="D236" s="136"/>
      <c r="E236" s="135"/>
      <c r="F236" s="135"/>
      <c r="G236" s="98">
        <f t="shared" si="97"/>
        <v>0</v>
      </c>
      <c r="H236" s="819"/>
      <c r="I236" s="746"/>
      <c r="J236" s="122"/>
      <c r="K236" s="122"/>
      <c r="L236" s="99"/>
      <c r="M236" s="99"/>
      <c r="N236" s="99"/>
      <c r="O236" s="99"/>
      <c r="P236" s="99"/>
      <c r="Q236" s="99"/>
      <c r="R236" s="641"/>
      <c r="S236" s="641"/>
      <c r="T236" s="99"/>
      <c r="U236" s="103">
        <f t="shared" si="98"/>
        <v>0</v>
      </c>
      <c r="V236" s="143"/>
      <c r="W236" s="231"/>
      <c r="X236" s="231"/>
      <c r="Y236" s="611"/>
      <c r="Z236" s="143"/>
      <c r="AA236" s="143"/>
      <c r="AB236" s="143"/>
      <c r="AC236" s="143"/>
      <c r="AD236" s="143"/>
      <c r="AE236" s="143"/>
      <c r="AF236" s="143"/>
      <c r="AG236" s="143"/>
      <c r="AH236" s="143"/>
      <c r="AI236" s="103">
        <f t="shared" si="99"/>
        <v>0</v>
      </c>
      <c r="AJ236" s="136"/>
      <c r="AK236" s="136"/>
      <c r="AL236" s="136"/>
      <c r="AM236" s="105">
        <f t="shared" si="100"/>
        <v>0</v>
      </c>
      <c r="AN236" s="143"/>
      <c r="AO236" s="143"/>
      <c r="AP236" s="143"/>
      <c r="AQ236" s="146"/>
      <c r="AR236" s="224">
        <f t="shared" si="101"/>
        <v>0</v>
      </c>
      <c r="AS236" s="126"/>
      <c r="AT236" s="126"/>
      <c r="AU236" s="274"/>
      <c r="AV236" s="126"/>
      <c r="AW236" s="126"/>
      <c r="AX236" s="275"/>
      <c r="AY236" s="126"/>
      <c r="AZ236" s="127"/>
      <c r="BA236" s="274"/>
      <c r="BB236" s="274"/>
      <c r="BC236" s="274"/>
      <c r="BD236" s="222">
        <f t="shared" si="106"/>
        <v>0</v>
      </c>
      <c r="BE236" s="140">
        <f t="shared" si="103"/>
        <v>0</v>
      </c>
      <c r="BF236" s="132"/>
      <c r="BG236" s="140">
        <f t="shared" si="104"/>
        <v>0</v>
      </c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30">
        <f t="shared" si="105"/>
        <v>0</v>
      </c>
      <c r="BV236" s="132"/>
    </row>
    <row r="237" ht="14.25" customHeight="1">
      <c r="A237" s="132"/>
      <c r="B237" s="215">
        <v>46234</v>
      </c>
      <c r="C237" s="133"/>
      <c r="D237" s="136"/>
      <c r="E237" s="159"/>
      <c r="F237" s="156"/>
      <c r="G237" s="98">
        <f t="shared" si="97"/>
        <v>0</v>
      </c>
      <c r="H237" s="833"/>
      <c r="I237" s="783"/>
      <c r="J237" s="656"/>
      <c r="K237" s="656"/>
      <c r="L237" s="657"/>
      <c r="M237" s="657"/>
      <c r="N237" s="657"/>
      <c r="O237" s="657"/>
      <c r="P237" s="657"/>
      <c r="Q237" s="657"/>
      <c r="R237" s="658"/>
      <c r="S237" s="658"/>
      <c r="T237" s="657"/>
      <c r="U237" s="103">
        <f t="shared" si="98"/>
        <v>0</v>
      </c>
      <c r="V237" s="157"/>
      <c r="W237" s="157"/>
      <c r="X237" s="157"/>
      <c r="Y237" s="613"/>
      <c r="Z237" s="157"/>
      <c r="AA237" s="157"/>
      <c r="AB237" s="157"/>
      <c r="AC237" s="157"/>
      <c r="AD237" s="157"/>
      <c r="AE237" s="157"/>
      <c r="AF237" s="157"/>
      <c r="AG237" s="157"/>
      <c r="AH237" s="157"/>
      <c r="AI237" s="103">
        <f t="shared" si="99"/>
        <v>0</v>
      </c>
      <c r="AJ237" s="136"/>
      <c r="AK237" s="136"/>
      <c r="AL237" s="159"/>
      <c r="AM237" s="105">
        <f t="shared" si="100"/>
        <v>0</v>
      </c>
      <c r="AN237" s="143"/>
      <c r="AO237" s="157"/>
      <c r="AP237" s="157"/>
      <c r="AQ237" s="160"/>
      <c r="AR237" s="232">
        <f t="shared" si="101"/>
        <v>0</v>
      </c>
      <c r="AS237" s="138"/>
      <c r="AT237" s="138"/>
      <c r="AU237" s="274"/>
      <c r="AV237" s="126"/>
      <c r="AW237" s="126"/>
      <c r="AX237" s="275"/>
      <c r="AY237" s="138"/>
      <c r="AZ237" s="127"/>
      <c r="BA237" s="296"/>
      <c r="BB237" s="296"/>
      <c r="BC237" s="296"/>
      <c r="BD237" s="222">
        <f t="shared" si="106"/>
        <v>0</v>
      </c>
      <c r="BE237" s="162">
        <f t="shared" si="103"/>
        <v>0</v>
      </c>
      <c r="BF237" s="132"/>
      <c r="BG237" s="162">
        <f t="shared" si="104"/>
        <v>0</v>
      </c>
      <c r="BH237" s="163"/>
      <c r="BI237" s="163"/>
      <c r="BJ237" s="163"/>
      <c r="BK237" s="163"/>
      <c r="BL237" s="163"/>
      <c r="BM237" s="163"/>
      <c r="BN237" s="163"/>
      <c r="BO237" s="163"/>
      <c r="BP237" s="163"/>
      <c r="BQ237" s="141"/>
      <c r="BR237" s="163"/>
      <c r="BS237" s="163"/>
      <c r="BT237" s="163"/>
      <c r="BU237" s="164">
        <f t="shared" si="105"/>
        <v>0</v>
      </c>
      <c r="BV237" s="132"/>
    </row>
    <row r="238" ht="14.25" customHeight="1">
      <c r="A238" s="3"/>
      <c r="B238" s="2" t="s">
        <v>81</v>
      </c>
      <c r="C238" s="755">
        <f ref="C238:G238" t="shared" si="107">SUM(C208:C237)</f>
        <v>0</v>
      </c>
      <c r="D238" s="755">
        <f t="shared" si="107"/>
        <v>0</v>
      </c>
      <c r="E238" s="755">
        <f t="shared" si="107"/>
        <v>0</v>
      </c>
      <c r="F238" s="755">
        <f t="shared" si="107"/>
        <v>0</v>
      </c>
      <c r="G238" s="755">
        <f t="shared" si="107"/>
        <v>0</v>
      </c>
      <c r="H238" s="755">
        <f ref="H238:T238" t="shared" si="108">SUM(H207:H237)</f>
        <v>0</v>
      </c>
      <c r="I238" s="755">
        <f t="shared" si="108"/>
        <v>0</v>
      </c>
      <c r="J238" s="755">
        <f t="shared" si="108"/>
        <v>0</v>
      </c>
      <c r="K238" s="755">
        <f t="shared" si="108"/>
        <v>0</v>
      </c>
      <c r="L238" s="755">
        <f t="shared" si="108"/>
        <v>0</v>
      </c>
      <c r="M238" s="755">
        <f t="shared" si="108"/>
        <v>0</v>
      </c>
      <c r="N238" s="755">
        <f t="shared" si="108"/>
        <v>0</v>
      </c>
      <c r="O238" s="755">
        <f t="shared" si="108"/>
        <v>0</v>
      </c>
      <c r="P238" s="755">
        <f t="shared" si="108"/>
        <v>0</v>
      </c>
      <c r="Q238" s="755">
        <f t="shared" si="108"/>
        <v>0</v>
      </c>
      <c r="R238" s="755">
        <f t="shared" si="108"/>
        <v>0</v>
      </c>
      <c r="S238" s="755">
        <f t="shared" si="108"/>
        <v>0</v>
      </c>
      <c r="T238" s="755">
        <f t="shared" si="108"/>
        <v>0</v>
      </c>
      <c r="U238" s="755">
        <f ref="U238:AI238" t="shared" si="109">SUM(U208:U237)</f>
        <v>0</v>
      </c>
      <c r="V238" s="755">
        <f t="shared" si="109"/>
        <v>0</v>
      </c>
      <c r="W238" s="755">
        <f t="shared" si="109"/>
        <v>0</v>
      </c>
      <c r="X238" s="755">
        <f t="shared" si="109"/>
        <v>0</v>
      </c>
      <c r="Y238" s="755">
        <f t="shared" si="109"/>
        <v>0</v>
      </c>
      <c r="Z238" s="755">
        <f t="shared" si="109"/>
        <v>0</v>
      </c>
      <c r="AA238" s="755">
        <f t="shared" si="109"/>
        <v>0</v>
      </c>
      <c r="AB238" s="755">
        <f t="shared" si="109"/>
        <v>0</v>
      </c>
      <c r="AC238" s="755">
        <f t="shared" si="109"/>
        <v>0</v>
      </c>
      <c r="AD238" s="755">
        <f t="shared" si="109"/>
        <v>0</v>
      </c>
      <c r="AE238" s="755">
        <f t="shared" si="109"/>
        <v>0</v>
      </c>
      <c r="AF238" s="755">
        <f t="shared" si="109"/>
        <v>0</v>
      </c>
      <c r="AG238" s="755">
        <f t="shared" si="109"/>
        <v>0</v>
      </c>
      <c r="AH238" s="755">
        <f t="shared" si="109"/>
        <v>0</v>
      </c>
      <c r="AI238" s="755">
        <f t="shared" si="109"/>
        <v>0</v>
      </c>
      <c r="AJ238" s="755">
        <f ref="AJ238:AL238" t="shared" si="110">SUM(AJ207:AJ237)</f>
        <v>0</v>
      </c>
      <c r="AK238" s="755">
        <f t="shared" si="110"/>
        <v>0</v>
      </c>
      <c r="AL238" s="755">
        <f t="shared" si="110"/>
        <v>0</v>
      </c>
      <c r="AM238" s="755">
        <f ref="AM238:AN238" t="shared" si="111">SUM(AM208:AM237)</f>
        <v>0</v>
      </c>
      <c r="AN238" s="755">
        <f t="shared" si="111"/>
        <v>0</v>
      </c>
      <c r="AO238" s="755"/>
      <c r="AP238" s="755"/>
      <c r="AQ238" s="755"/>
      <c r="AR238" s="755">
        <f>SUM(AR208:AR237)</f>
        <v>0</v>
      </c>
      <c r="AS238" s="757">
        <v>0</v>
      </c>
      <c r="AT238" s="757">
        <f ref="AT238:AY238" t="shared" si="112">SUM(AT208:AT237)</f>
        <v>0</v>
      </c>
      <c r="AU238" s="755">
        <f t="shared" si="112"/>
        <v>0</v>
      </c>
      <c r="AV238" s="755">
        <f t="shared" si="112"/>
        <v>0</v>
      </c>
      <c r="AW238" s="755">
        <f t="shared" si="112"/>
        <v>0</v>
      </c>
      <c r="AX238" s="755">
        <f t="shared" si="112"/>
        <v>0</v>
      </c>
      <c r="AY238" s="757">
        <f t="shared" si="112"/>
        <v>0</v>
      </c>
      <c r="AZ238" s="755"/>
      <c r="BA238" s="755"/>
      <c r="BB238" s="755"/>
      <c r="BC238" s="755"/>
      <c r="BD238" s="755">
        <f ref="BD238:BE238" t="shared" si="113">SUM(BD208:BD237)</f>
        <v>0</v>
      </c>
      <c r="BE238" s="771">
        <f t="shared" si="113"/>
        <v>0</v>
      </c>
      <c r="BF238" s="235"/>
      <c r="BG238" s="755">
        <f>SUM(BG208:BG237)</f>
        <v>0</v>
      </c>
      <c r="BH238" s="755"/>
      <c r="BI238" s="755"/>
      <c r="BJ238" s="755"/>
      <c r="BK238" s="755"/>
      <c r="BL238" s="755"/>
      <c r="BM238" s="755"/>
      <c r="BN238" s="755"/>
      <c r="BO238" s="755"/>
      <c r="BP238" s="755"/>
      <c r="BQ238" s="755">
        <f ref="BQ238:BR238" t="shared" si="114">SUM(BQ208:BQ237)</f>
        <v>0</v>
      </c>
      <c r="BR238" s="755">
        <f t="shared" si="114"/>
        <v>0</v>
      </c>
      <c r="BS238" s="755"/>
      <c r="BT238" s="755"/>
      <c r="BU238" s="771">
        <f>SUM(BU208:BU237)</f>
        <v>0</v>
      </c>
      <c r="BV238" s="235"/>
    </row>
    <row r="239" ht="14.25" customHeight="1">
      <c r="A239" s="1"/>
      <c r="B239" s="2"/>
      <c r="C239" s="3"/>
      <c r="D239" s="3"/>
      <c r="E239" s="3"/>
      <c r="F239" s="3"/>
      <c r="G239" s="4"/>
      <c r="H239" s="4"/>
      <c r="I239" s="1"/>
      <c r="J239" s="3"/>
      <c r="K239" s="3"/>
      <c r="L239" s="3"/>
      <c r="M239" s="3"/>
      <c r="N239" s="3"/>
      <c r="O239" s="3"/>
      <c r="P239" s="3"/>
      <c r="Q239" s="3"/>
      <c r="R239" s="1"/>
      <c r="S239" s="1"/>
      <c r="T239" s="3"/>
      <c r="U239" s="3"/>
      <c r="V239" s="3"/>
      <c r="W239" s="132"/>
      <c r="X239" s="132"/>
      <c r="Y239" s="1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4"/>
      <c r="AN239" s="3"/>
      <c r="AO239" s="3"/>
      <c r="AP239" s="3"/>
      <c r="AQ239" s="3"/>
      <c r="AR239" s="4"/>
      <c r="AS239" s="132"/>
      <c r="AT239" s="132"/>
      <c r="AU239" s="132"/>
      <c r="AV239" s="132"/>
      <c r="AW239" s="132"/>
      <c r="AX239" s="3"/>
      <c r="AY239" s="132"/>
      <c r="AZ239" s="132"/>
      <c r="BA239" s="132"/>
      <c r="BB239" s="132"/>
      <c r="BC239" s="132"/>
      <c r="BD239" s="4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</row>
    <row r="240" ht="14.25" customHeight="1">
      <c r="A240" s="1"/>
      <c r="B240" s="2"/>
      <c r="C240" s="3"/>
      <c r="D240" s="3"/>
      <c r="E240" s="3"/>
      <c r="F240" s="3"/>
      <c r="G240" s="4"/>
      <c r="H240" s="4"/>
      <c r="I240" s="1"/>
      <c r="J240" s="3"/>
      <c r="K240" s="3"/>
      <c r="L240" s="3"/>
      <c r="M240" s="3"/>
      <c r="N240" s="3"/>
      <c r="O240" s="3"/>
      <c r="P240" s="3"/>
      <c r="Q240" s="3"/>
      <c r="R240" s="1"/>
      <c r="S240" s="1"/>
      <c r="T240" s="3"/>
      <c r="U240" s="3"/>
      <c r="V240" s="3"/>
      <c r="W240" s="132"/>
      <c r="X240" s="132"/>
      <c r="Y240" s="1"/>
      <c r="Z240" s="3"/>
      <c r="AA240" s="3"/>
      <c r="AB240" s="3"/>
      <c r="AC240" s="3"/>
      <c r="AD240" s="3"/>
      <c r="AE240" s="3"/>
      <c r="AF240" s="3"/>
      <c r="AG240" s="3"/>
      <c r="AH240" s="3"/>
      <c r="AI240" s="176"/>
      <c r="AJ240" s="3"/>
      <c r="AK240" s="3"/>
      <c r="AL240" s="3"/>
      <c r="AM240" s="4"/>
      <c r="AN240" s="3"/>
      <c r="AO240" s="3"/>
      <c r="AP240" s="3"/>
      <c r="AQ240" s="3"/>
      <c r="AR240" s="177"/>
      <c r="AS240" s="132"/>
      <c r="AT240" s="132"/>
      <c r="AU240" s="132"/>
      <c r="AV240" s="132"/>
      <c r="AW240" s="132"/>
      <c r="AX240" s="3"/>
      <c r="AY240" s="132"/>
      <c r="AZ240" s="132"/>
      <c r="BA240" s="132"/>
      <c r="BB240" s="132"/>
      <c r="BC240" s="132"/>
      <c r="BD240" s="177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</row>
    <row r="241" ht="14.25" customHeight="1">
      <c r="A241" s="3"/>
      <c r="B241" s="215">
        <v>46235</v>
      </c>
      <c r="C241" s="94"/>
      <c r="D241" s="104"/>
      <c r="E241" s="97"/>
      <c r="F241" s="97"/>
      <c r="G241" s="816">
        <f ref="G241:G271" t="shared" si="115">+C241+D241+E241+F241</f>
        <v>0</v>
      </c>
      <c r="H241" s="817"/>
      <c r="I241" s="743"/>
      <c r="J241" s="100"/>
      <c r="K241" s="100"/>
      <c r="L241" s="101"/>
      <c r="M241" s="101"/>
      <c r="N241" s="101"/>
      <c r="O241" s="101"/>
      <c r="P241" s="101"/>
      <c r="Q241" s="101"/>
      <c r="R241" s="638"/>
      <c r="S241" s="638"/>
      <c r="T241" s="101"/>
      <c r="U241" s="189">
        <f ref="U241:U252" t="shared" si="116">SUM(I241:T241)</f>
        <v>0</v>
      </c>
      <c r="V241" s="186"/>
      <c r="W241" s="186"/>
      <c r="X241" s="186"/>
      <c r="Y241" s="619"/>
      <c r="Z241" s="186"/>
      <c r="AA241" s="186"/>
      <c r="AB241" s="186"/>
      <c r="AC241" s="186"/>
      <c r="AD241" s="186"/>
      <c r="AE241" s="186"/>
      <c r="AF241" s="186"/>
      <c r="AG241" s="186"/>
      <c r="AH241" s="186"/>
      <c r="AI241" s="103">
        <f ref="AI241:AI271" t="shared" si="117">SUM(V241:AH241)</f>
        <v>0</v>
      </c>
      <c r="AJ241" s="104"/>
      <c r="AK241" s="104"/>
      <c r="AL241" s="104"/>
      <c r="AM241" s="191">
        <f ref="AM241:AM271" t="shared" si="118">SUM(AJ241:AL241)</f>
        <v>0</v>
      </c>
      <c r="AN241" s="186"/>
      <c r="AO241" s="186"/>
      <c r="AP241" s="186"/>
      <c r="AQ241" s="193"/>
      <c r="AR241" s="224">
        <f ref="AR241:AR271" t="shared" si="119">+G241-U241-AI241-AM241-AN241-AO241-AP241-AQ241</f>
        <v>0</v>
      </c>
      <c r="AS241" s="274"/>
      <c r="AT241" s="126"/>
      <c r="AU241" s="126"/>
      <c r="AV241" s="126"/>
      <c r="AW241" s="126"/>
      <c r="AX241" s="275"/>
      <c r="AY241" s="109"/>
      <c r="AZ241" s="269"/>
      <c r="BA241" s="269"/>
      <c r="BB241" s="269"/>
      <c r="BC241" s="269"/>
      <c r="BD241" s="222">
        <f ref="BD241:BD271" t="shared" si="120">SUM(AS241:BC241)-BB241</f>
        <v>0</v>
      </c>
      <c r="BE241" s="114">
        <f ref="BE241:BE271" t="shared" si="121">+AR241-BD241</f>
        <v>0</v>
      </c>
      <c r="BF241" s="3"/>
      <c r="BG241" s="114">
        <f ref="BG241:BG271" t="shared" si="122">SUM(BH241:BT241)</f>
        <v>0</v>
      </c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116">
        <f ref="BU241:BU271" t="shared" si="123">+BE241-BG241</f>
        <v>0</v>
      </c>
      <c r="BV241" s="3"/>
    </row>
    <row r="242" ht="14.25" customHeight="1">
      <c r="A242" s="3"/>
      <c r="B242" s="215">
        <v>46236</v>
      </c>
      <c r="C242" s="118"/>
      <c r="D242" s="123"/>
      <c r="E242" s="120"/>
      <c r="F242" s="120"/>
      <c r="G242" s="98">
        <f t="shared" si="115"/>
        <v>0</v>
      </c>
      <c r="H242" s="819"/>
      <c r="I242" s="746"/>
      <c r="J242" s="122"/>
      <c r="K242" s="122"/>
      <c r="L242" s="99"/>
      <c r="M242" s="99"/>
      <c r="N242" s="99"/>
      <c r="O242" s="99"/>
      <c r="P242" s="99"/>
      <c r="Q242" s="99"/>
      <c r="R242" s="641"/>
      <c r="S242" s="641"/>
      <c r="T242" s="99"/>
      <c r="U242" s="103">
        <f t="shared" si="116"/>
        <v>0</v>
      </c>
      <c r="V242" s="663"/>
      <c r="W242" s="144"/>
      <c r="X242" s="143"/>
      <c r="Y242" s="611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03">
        <f t="shared" si="117"/>
        <v>0</v>
      </c>
      <c r="AJ242" s="123"/>
      <c r="AK242" s="123"/>
      <c r="AL242" s="123"/>
      <c r="AM242" s="105">
        <f t="shared" si="118"/>
        <v>0</v>
      </c>
      <c r="AN242" s="143"/>
      <c r="AO242" s="143"/>
      <c r="AP242" s="143"/>
      <c r="AQ242" s="146"/>
      <c r="AR242" s="224">
        <f t="shared" si="119"/>
        <v>0</v>
      </c>
      <c r="AS242" s="274"/>
      <c r="AT242" s="126"/>
      <c r="AU242" s="126"/>
      <c r="AV242" s="126"/>
      <c r="AW242" s="126"/>
      <c r="AX242" s="275"/>
      <c r="AY242" s="126"/>
      <c r="AZ242" s="274"/>
      <c r="BA242" s="274"/>
      <c r="BB242" s="274"/>
      <c r="BC242" s="274"/>
      <c r="BD242" s="222">
        <f t="shared" si="120"/>
        <v>0</v>
      </c>
      <c r="BE242" s="113">
        <f t="shared" si="121"/>
        <v>0</v>
      </c>
      <c r="BF242" s="3"/>
      <c r="BG242" s="113">
        <f t="shared" si="122"/>
        <v>0</v>
      </c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30">
        <f t="shared" si="123"/>
        <v>0</v>
      </c>
      <c r="BV242" s="3"/>
    </row>
    <row r="243" ht="14.25" customHeight="1">
      <c r="A243" s="3"/>
      <c r="B243" s="215">
        <v>46237</v>
      </c>
      <c r="C243" s="118"/>
      <c r="D243" s="123"/>
      <c r="E243" s="120"/>
      <c r="F243" s="120"/>
      <c r="G243" s="98">
        <f t="shared" si="115"/>
        <v>0</v>
      </c>
      <c r="H243" s="819"/>
      <c r="I243" s="746"/>
      <c r="J243" s="122"/>
      <c r="K243" s="122"/>
      <c r="L243" s="99"/>
      <c r="M243" s="99"/>
      <c r="N243" s="99"/>
      <c r="O243" s="99"/>
      <c r="P243" s="99"/>
      <c r="Q243" s="386"/>
      <c r="R243" s="641"/>
      <c r="S243" s="641"/>
      <c r="T243" s="99"/>
      <c r="U243" s="103">
        <f t="shared" si="116"/>
        <v>0</v>
      </c>
      <c r="V243" s="143"/>
      <c r="W243" s="143"/>
      <c r="X243" s="143"/>
      <c r="Y243" s="611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03">
        <f t="shared" si="117"/>
        <v>0</v>
      </c>
      <c r="AJ243" s="123"/>
      <c r="AK243" s="123"/>
      <c r="AL243" s="123"/>
      <c r="AM243" s="105">
        <f t="shared" si="118"/>
        <v>0</v>
      </c>
      <c r="AN243" s="143"/>
      <c r="AO243" s="143"/>
      <c r="AP243" s="143"/>
      <c r="AQ243" s="146"/>
      <c r="AR243" s="224">
        <f t="shared" si="119"/>
        <v>0</v>
      </c>
      <c r="AS243" s="274"/>
      <c r="AT243" s="126"/>
      <c r="AU243" s="126"/>
      <c r="AV243" s="126"/>
      <c r="AW243" s="126"/>
      <c r="AX243" s="275"/>
      <c r="AY243" s="126"/>
      <c r="AZ243" s="274"/>
      <c r="BA243" s="274"/>
      <c r="BB243" s="274"/>
      <c r="BC243" s="274"/>
      <c r="BD243" s="222">
        <f t="shared" si="120"/>
        <v>0</v>
      </c>
      <c r="BE243" s="113">
        <f t="shared" si="121"/>
        <v>0</v>
      </c>
      <c r="BF243" s="3"/>
      <c r="BG243" s="113">
        <f t="shared" si="122"/>
        <v>0</v>
      </c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30">
        <f t="shared" si="123"/>
        <v>0</v>
      </c>
      <c r="BV243" s="3"/>
    </row>
    <row r="244" ht="14.25" customHeight="1">
      <c r="A244" s="132"/>
      <c r="B244" s="215">
        <v>46238</v>
      </c>
      <c r="C244" s="133"/>
      <c r="D244" s="136"/>
      <c r="E244" s="135"/>
      <c r="F244" s="135"/>
      <c r="G244" s="98">
        <f t="shared" si="115"/>
        <v>0</v>
      </c>
      <c r="H244" s="819"/>
      <c r="I244" s="746"/>
      <c r="J244" s="122"/>
      <c r="K244" s="122"/>
      <c r="L244" s="99"/>
      <c r="M244" s="99"/>
      <c r="N244" s="99"/>
      <c r="O244" s="99"/>
      <c r="P244" s="99"/>
      <c r="Q244" s="99"/>
      <c r="R244" s="641"/>
      <c r="S244" s="641"/>
      <c r="T244" s="99"/>
      <c r="U244" s="103">
        <f t="shared" si="116"/>
        <v>0</v>
      </c>
      <c r="V244" s="143"/>
      <c r="W244" s="143"/>
      <c r="X244" s="143"/>
      <c r="Y244" s="231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03">
        <f t="shared" si="117"/>
        <v>0</v>
      </c>
      <c r="AJ244" s="136"/>
      <c r="AK244" s="136"/>
      <c r="AL244" s="136"/>
      <c r="AM244" s="105">
        <f t="shared" si="118"/>
        <v>0</v>
      </c>
      <c r="AN244" s="143"/>
      <c r="AO244" s="143"/>
      <c r="AP244" s="143"/>
      <c r="AQ244" s="146"/>
      <c r="AR244" s="224">
        <f t="shared" si="119"/>
        <v>0</v>
      </c>
      <c r="AS244" s="274"/>
      <c r="AT244" s="126"/>
      <c r="AU244" s="749"/>
      <c r="AV244" s="749"/>
      <c r="AW244" s="749"/>
      <c r="AX244" s="275"/>
      <c r="AY244" s="126"/>
      <c r="AZ244" s="274"/>
      <c r="BA244" s="274"/>
      <c r="BB244" s="274"/>
      <c r="BC244" s="274"/>
      <c r="BD244" s="222">
        <f t="shared" si="120"/>
        <v>0</v>
      </c>
      <c r="BE244" s="140">
        <f t="shared" si="121"/>
        <v>0</v>
      </c>
      <c r="BF244" s="132"/>
      <c r="BG244" s="140">
        <f t="shared" si="122"/>
        <v>0</v>
      </c>
      <c r="BH244" s="141"/>
      <c r="BI244" s="141"/>
      <c r="BJ244" s="141"/>
      <c r="BK244" s="141"/>
      <c r="BL244" s="141"/>
      <c r="BM244" s="141"/>
      <c r="BN244" s="141"/>
      <c r="BO244" s="141"/>
      <c r="BP244" s="141"/>
      <c r="BQ244" s="141"/>
      <c r="BR244" s="141"/>
      <c r="BS244" s="141"/>
      <c r="BT244" s="141"/>
      <c r="BU244" s="130">
        <f t="shared" si="123"/>
        <v>0</v>
      </c>
      <c r="BV244" s="132"/>
    </row>
    <row r="245" ht="14.25" customHeight="1">
      <c r="A245" s="132"/>
      <c r="B245" s="215">
        <v>46239</v>
      </c>
      <c r="C245" s="133"/>
      <c r="D245" s="136"/>
      <c r="E245" s="135"/>
      <c r="F245" s="135"/>
      <c r="G245" s="98">
        <f t="shared" si="115"/>
        <v>0</v>
      </c>
      <c r="H245" s="819"/>
      <c r="I245" s="746"/>
      <c r="J245" s="122"/>
      <c r="K245" s="122"/>
      <c r="L245" s="99"/>
      <c r="M245" s="99"/>
      <c r="N245" s="99"/>
      <c r="O245" s="99"/>
      <c r="P245" s="99"/>
      <c r="Q245" s="99"/>
      <c r="R245" s="641"/>
      <c r="S245" s="641"/>
      <c r="T245" s="99"/>
      <c r="U245" s="103">
        <f t="shared" si="116"/>
        <v>0</v>
      </c>
      <c r="V245" s="143"/>
      <c r="W245" s="856"/>
      <c r="X245" s="856"/>
      <c r="Y245" s="231"/>
      <c r="Z245" s="144"/>
      <c r="AA245" s="143"/>
      <c r="AB245" s="143"/>
      <c r="AC245" s="143"/>
      <c r="AD245" s="143"/>
      <c r="AE245" s="143"/>
      <c r="AF245" s="143"/>
      <c r="AG245" s="143"/>
      <c r="AH245" s="143"/>
      <c r="AI245" s="103">
        <f t="shared" si="117"/>
        <v>0</v>
      </c>
      <c r="AJ245" s="136"/>
      <c r="AK245" s="136"/>
      <c r="AL245" s="136"/>
      <c r="AM245" s="105">
        <f t="shared" si="118"/>
        <v>0</v>
      </c>
      <c r="AN245" s="143"/>
      <c r="AO245" s="143"/>
      <c r="AP245" s="143"/>
      <c r="AQ245" s="146"/>
      <c r="AR245" s="224">
        <f t="shared" si="119"/>
        <v>0</v>
      </c>
      <c r="AS245" s="274"/>
      <c r="AT245" s="126"/>
      <c r="AU245" s="126"/>
      <c r="AV245" s="126"/>
      <c r="AW245" s="126"/>
      <c r="AX245" s="275"/>
      <c r="AY245" s="126"/>
      <c r="AZ245" s="274"/>
      <c r="BA245" s="274"/>
      <c r="BB245" s="274"/>
      <c r="BC245" s="274"/>
      <c r="BD245" s="222">
        <f t="shared" si="120"/>
        <v>0</v>
      </c>
      <c r="BE245" s="140">
        <f t="shared" si="121"/>
        <v>0</v>
      </c>
      <c r="BF245" s="132"/>
      <c r="BG245" s="140">
        <f t="shared" si="122"/>
        <v>0</v>
      </c>
      <c r="BH245" s="141"/>
      <c r="BI245" s="141"/>
      <c r="BJ245" s="141"/>
      <c r="BK245" s="141"/>
      <c r="BL245" s="141"/>
      <c r="BM245" s="141"/>
      <c r="BN245" s="141"/>
      <c r="BO245" s="141"/>
      <c r="BP245" s="141"/>
      <c r="BQ245" s="141"/>
      <c r="BR245" s="141"/>
      <c r="BS245" s="141"/>
      <c r="BT245" s="141"/>
      <c r="BU245" s="130">
        <f t="shared" si="123"/>
        <v>0</v>
      </c>
      <c r="BV245" s="132"/>
    </row>
    <row r="246" ht="14.25" customHeight="1">
      <c r="A246" s="132"/>
      <c r="B246" s="215">
        <v>46240</v>
      </c>
      <c r="C246" s="133"/>
      <c r="D246" s="136"/>
      <c r="E246" s="135"/>
      <c r="F246" s="135"/>
      <c r="G246" s="98">
        <f t="shared" si="115"/>
        <v>0</v>
      </c>
      <c r="H246" s="819"/>
      <c r="I246" s="746"/>
      <c r="J246" s="122"/>
      <c r="K246" s="122"/>
      <c r="L246" s="99"/>
      <c r="M246" s="99"/>
      <c r="N246" s="99"/>
      <c r="O246" s="99"/>
      <c r="P246" s="99"/>
      <c r="Q246" s="99"/>
      <c r="R246" s="641"/>
      <c r="S246" s="641"/>
      <c r="T246" s="99"/>
      <c r="U246" s="103">
        <f t="shared" si="116"/>
        <v>0</v>
      </c>
      <c r="V246" s="143"/>
      <c r="W246" s="143"/>
      <c r="X246" s="143"/>
      <c r="Y246" s="231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03">
        <f t="shared" si="117"/>
        <v>0</v>
      </c>
      <c r="AJ246" s="136"/>
      <c r="AK246" s="136"/>
      <c r="AL246" s="136"/>
      <c r="AM246" s="105">
        <f t="shared" si="118"/>
        <v>0</v>
      </c>
      <c r="AN246" s="143"/>
      <c r="AO246" s="143"/>
      <c r="AP246" s="143"/>
      <c r="AQ246" s="146"/>
      <c r="AR246" s="224">
        <f t="shared" si="119"/>
        <v>0</v>
      </c>
      <c r="AS246" s="274"/>
      <c r="AT246" s="126"/>
      <c r="AU246" s="126"/>
      <c r="AV246" s="126"/>
      <c r="AW246" s="126"/>
      <c r="AX246" s="275"/>
      <c r="AY246" s="126"/>
      <c r="AZ246" s="274"/>
      <c r="BA246" s="274"/>
      <c r="BB246" s="274"/>
      <c r="BC246" s="274"/>
      <c r="BD246" s="222">
        <f t="shared" si="120"/>
        <v>0</v>
      </c>
      <c r="BE246" s="140">
        <f t="shared" si="121"/>
        <v>0</v>
      </c>
      <c r="BF246" s="132"/>
      <c r="BG246" s="140">
        <f t="shared" si="122"/>
        <v>0</v>
      </c>
      <c r="BH246" s="141"/>
      <c r="BI246" s="141"/>
      <c r="BJ246" s="141"/>
      <c r="BK246" s="141"/>
      <c r="BL246" s="141"/>
      <c r="BM246" s="141"/>
      <c r="BN246" s="141"/>
      <c r="BO246" s="141"/>
      <c r="BP246" s="141"/>
      <c r="BQ246" s="141"/>
      <c r="BR246" s="141"/>
      <c r="BS246" s="141"/>
      <c r="BT246" s="141"/>
      <c r="BU246" s="130">
        <f t="shared" si="123"/>
        <v>0</v>
      </c>
      <c r="BV246" s="132"/>
    </row>
    <row r="247" ht="14.25" customHeight="1">
      <c r="A247" s="132"/>
      <c r="B247" s="215">
        <v>46241</v>
      </c>
      <c r="C247" s="133"/>
      <c r="D247" s="136"/>
      <c r="E247" s="135"/>
      <c r="F247" s="135"/>
      <c r="G247" s="98">
        <f t="shared" si="115"/>
        <v>0</v>
      </c>
      <c r="H247" s="819"/>
      <c r="I247" s="746"/>
      <c r="J247" s="122"/>
      <c r="K247" s="122"/>
      <c r="L247" s="99"/>
      <c r="M247" s="99"/>
      <c r="N247" s="99"/>
      <c r="O247" s="99"/>
      <c r="P247" s="99"/>
      <c r="Q247" s="99"/>
      <c r="R247" s="641"/>
      <c r="S247" s="641"/>
      <c r="T247" s="99"/>
      <c r="U247" s="103">
        <f t="shared" si="116"/>
        <v>0</v>
      </c>
      <c r="V247" s="143"/>
      <c r="W247" s="143"/>
      <c r="X247" s="143"/>
      <c r="Y247" s="611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03">
        <f t="shared" si="117"/>
        <v>0</v>
      </c>
      <c r="AJ247" s="136"/>
      <c r="AK247" s="136"/>
      <c r="AL247" s="136"/>
      <c r="AM247" s="105">
        <f t="shared" si="118"/>
        <v>0</v>
      </c>
      <c r="AN247" s="143"/>
      <c r="AO247" s="143"/>
      <c r="AP247" s="143"/>
      <c r="AQ247" s="146"/>
      <c r="AR247" s="224">
        <f t="shared" si="119"/>
        <v>0</v>
      </c>
      <c r="AS247" s="274"/>
      <c r="AT247" s="126"/>
      <c r="AU247" s="749"/>
      <c r="AV247" s="126"/>
      <c r="AW247" s="126"/>
      <c r="AX247" s="275"/>
      <c r="AY247" s="126"/>
      <c r="AZ247" s="274"/>
      <c r="BA247" s="274"/>
      <c r="BB247" s="274"/>
      <c r="BC247" s="274"/>
      <c r="BD247" s="222">
        <f t="shared" si="120"/>
        <v>0</v>
      </c>
      <c r="BE247" s="140">
        <f t="shared" si="121"/>
        <v>0</v>
      </c>
      <c r="BF247" s="132"/>
      <c r="BG247" s="140">
        <f t="shared" si="122"/>
        <v>0</v>
      </c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30">
        <f t="shared" si="123"/>
        <v>0</v>
      </c>
      <c r="BV247" s="132"/>
    </row>
    <row r="248" ht="14.25" customHeight="1">
      <c r="A248" s="132"/>
      <c r="B248" s="215">
        <v>46242</v>
      </c>
      <c r="C248" s="133"/>
      <c r="D248" s="136"/>
      <c r="E248" s="135"/>
      <c r="F248" s="135"/>
      <c r="G248" s="98">
        <f t="shared" si="115"/>
        <v>0</v>
      </c>
      <c r="H248" s="819"/>
      <c r="I248" s="746"/>
      <c r="J248" s="122"/>
      <c r="K248" s="122"/>
      <c r="L248" s="99"/>
      <c r="M248" s="99"/>
      <c r="N248" s="99"/>
      <c r="O248" s="99"/>
      <c r="P248" s="99"/>
      <c r="Q248" s="99"/>
      <c r="R248" s="641"/>
      <c r="S248" s="641"/>
      <c r="T248" s="99"/>
      <c r="U248" s="103">
        <f t="shared" si="116"/>
        <v>0</v>
      </c>
      <c r="V248" s="143"/>
      <c r="W248" s="143"/>
      <c r="X248" s="143"/>
      <c r="Y248" s="611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03">
        <f t="shared" si="117"/>
        <v>0</v>
      </c>
      <c r="AJ248" s="136"/>
      <c r="AK248" s="136"/>
      <c r="AL248" s="136"/>
      <c r="AM248" s="105">
        <f t="shared" si="118"/>
        <v>0</v>
      </c>
      <c r="AN248" s="143"/>
      <c r="AO248" s="143"/>
      <c r="AP248" s="143"/>
      <c r="AQ248" s="146"/>
      <c r="AR248" s="224">
        <f t="shared" si="119"/>
        <v>0</v>
      </c>
      <c r="AS248" s="274"/>
      <c r="AT248" s="126"/>
      <c r="AU248" s="126"/>
      <c r="AV248" s="126"/>
      <c r="AW248" s="126"/>
      <c r="AX248" s="275"/>
      <c r="AY248" s="126"/>
      <c r="AZ248" s="274"/>
      <c r="BA248" s="274"/>
      <c r="BB248" s="274"/>
      <c r="BC248" s="274"/>
      <c r="BD248" s="222">
        <f t="shared" si="120"/>
        <v>0</v>
      </c>
      <c r="BE248" s="140">
        <f t="shared" si="121"/>
        <v>0</v>
      </c>
      <c r="BF248" s="132"/>
      <c r="BG248" s="140">
        <f t="shared" si="122"/>
        <v>0</v>
      </c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30">
        <f t="shared" si="123"/>
        <v>0</v>
      </c>
      <c r="BV248" s="132"/>
    </row>
    <row r="249" ht="14.25" customHeight="1">
      <c r="A249" s="132"/>
      <c r="B249" s="215">
        <v>46243</v>
      </c>
      <c r="C249" s="133"/>
      <c r="D249" s="136"/>
      <c r="E249" s="135"/>
      <c r="F249" s="135"/>
      <c r="G249" s="98">
        <f t="shared" si="115"/>
        <v>0</v>
      </c>
      <c r="H249" s="819"/>
      <c r="I249" s="746"/>
      <c r="J249" s="122"/>
      <c r="K249" s="122"/>
      <c r="L249" s="99"/>
      <c r="M249" s="99"/>
      <c r="N249" s="99"/>
      <c r="O249" s="99"/>
      <c r="P249" s="99"/>
      <c r="Q249" s="99"/>
      <c r="R249" s="641"/>
      <c r="S249" s="641"/>
      <c r="T249" s="99"/>
      <c r="U249" s="103">
        <f t="shared" si="116"/>
        <v>0</v>
      </c>
      <c r="V249" s="143"/>
      <c r="W249" s="143"/>
      <c r="X249" s="143"/>
      <c r="Y249" s="231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03">
        <f t="shared" si="117"/>
        <v>0</v>
      </c>
      <c r="AJ249" s="136"/>
      <c r="AK249" s="136"/>
      <c r="AL249" s="136"/>
      <c r="AM249" s="105">
        <f t="shared" si="118"/>
        <v>0</v>
      </c>
      <c r="AN249" s="143"/>
      <c r="AO249" s="143"/>
      <c r="AP249" s="143"/>
      <c r="AQ249" s="146"/>
      <c r="AR249" s="224">
        <f t="shared" si="119"/>
        <v>0</v>
      </c>
      <c r="AS249" s="274"/>
      <c r="AT249" s="126"/>
      <c r="AU249" s="126"/>
      <c r="AV249" s="126"/>
      <c r="AW249" s="126"/>
      <c r="AX249" s="275"/>
      <c r="AY249" s="126"/>
      <c r="AZ249" s="274"/>
      <c r="BA249" s="274"/>
      <c r="BB249" s="274"/>
      <c r="BC249" s="274"/>
      <c r="BD249" s="222">
        <f t="shared" si="120"/>
        <v>0</v>
      </c>
      <c r="BE249" s="140">
        <f t="shared" si="121"/>
        <v>0</v>
      </c>
      <c r="BF249" s="132"/>
      <c r="BG249" s="140">
        <f t="shared" si="122"/>
        <v>0</v>
      </c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30">
        <f t="shared" si="123"/>
        <v>0</v>
      </c>
      <c r="BV249" s="132"/>
    </row>
    <row r="250" ht="14.25" customHeight="1">
      <c r="A250" s="132"/>
      <c r="B250" s="215">
        <v>46244</v>
      </c>
      <c r="C250" s="133"/>
      <c r="D250" s="136"/>
      <c r="E250" s="135"/>
      <c r="F250" s="135"/>
      <c r="G250" s="98">
        <f t="shared" si="115"/>
        <v>0</v>
      </c>
      <c r="H250" s="819"/>
      <c r="I250" s="746"/>
      <c r="J250" s="122"/>
      <c r="K250" s="122"/>
      <c r="L250" s="99"/>
      <c r="M250" s="99"/>
      <c r="N250" s="99"/>
      <c r="O250" s="99"/>
      <c r="P250" s="99"/>
      <c r="Q250" s="99"/>
      <c r="R250" s="641"/>
      <c r="S250" s="641"/>
      <c r="T250" s="99"/>
      <c r="U250" s="103">
        <f t="shared" si="116"/>
        <v>0</v>
      </c>
      <c r="V250" s="143"/>
      <c r="W250" s="143"/>
      <c r="X250" s="143"/>
      <c r="Y250" s="611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03">
        <f t="shared" si="117"/>
        <v>0</v>
      </c>
      <c r="AJ250" s="136"/>
      <c r="AK250" s="136"/>
      <c r="AL250" s="136"/>
      <c r="AM250" s="105">
        <f t="shared" si="118"/>
        <v>0</v>
      </c>
      <c r="AN250" s="136"/>
      <c r="AO250" s="143"/>
      <c r="AP250" s="143"/>
      <c r="AQ250" s="146"/>
      <c r="AR250" s="224">
        <f t="shared" si="119"/>
        <v>0</v>
      </c>
      <c r="AS250" s="274"/>
      <c r="AT250" s="126"/>
      <c r="AU250" s="126"/>
      <c r="AV250" s="126"/>
      <c r="AW250" s="126"/>
      <c r="AX250" s="275"/>
      <c r="AY250" s="126"/>
      <c r="AZ250" s="274"/>
      <c r="BA250" s="274"/>
      <c r="BB250" s="274"/>
      <c r="BC250" s="274"/>
      <c r="BD250" s="222">
        <f t="shared" si="120"/>
        <v>0</v>
      </c>
      <c r="BE250" s="140">
        <f t="shared" si="121"/>
        <v>0</v>
      </c>
      <c r="BF250" s="132"/>
      <c r="BG250" s="140">
        <f t="shared" si="122"/>
        <v>0</v>
      </c>
      <c r="BH250" s="141"/>
      <c r="BI250" s="141"/>
      <c r="BJ250" s="141"/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30">
        <f t="shared" si="123"/>
        <v>0</v>
      </c>
      <c r="BV250" s="132"/>
    </row>
    <row r="251" ht="14.25" customHeight="1">
      <c r="A251" s="132"/>
      <c r="B251" s="215">
        <v>46245</v>
      </c>
      <c r="C251" s="133"/>
      <c r="D251" s="136"/>
      <c r="E251" s="135"/>
      <c r="F251" s="135"/>
      <c r="G251" s="98">
        <f t="shared" si="115"/>
        <v>0</v>
      </c>
      <c r="H251" s="819"/>
      <c r="I251" s="746"/>
      <c r="J251" s="122"/>
      <c r="K251" s="122"/>
      <c r="L251" s="99"/>
      <c r="M251" s="99"/>
      <c r="N251" s="99"/>
      <c r="O251" s="99"/>
      <c r="P251" s="99"/>
      <c r="Q251" s="99"/>
      <c r="R251" s="641"/>
      <c r="S251" s="641"/>
      <c r="T251" s="99"/>
      <c r="U251" s="103">
        <f t="shared" si="116"/>
        <v>0</v>
      </c>
      <c r="V251" s="143"/>
      <c r="W251" s="143"/>
      <c r="X251" s="143"/>
      <c r="Y251" s="611"/>
      <c r="Z251" s="231"/>
      <c r="AA251" s="143"/>
      <c r="AB251" s="143"/>
      <c r="AC251" s="143"/>
      <c r="AD251" s="143"/>
      <c r="AE251" s="143"/>
      <c r="AF251" s="143"/>
      <c r="AG251" s="143"/>
      <c r="AH251" s="143"/>
      <c r="AI251" s="103">
        <f t="shared" si="117"/>
        <v>0</v>
      </c>
      <c r="AJ251" s="136"/>
      <c r="AK251" s="136"/>
      <c r="AL251" s="136"/>
      <c r="AM251" s="105">
        <f t="shared" si="118"/>
        <v>0</v>
      </c>
      <c r="AN251" s="136"/>
      <c r="AO251" s="143"/>
      <c r="AP251" s="143"/>
      <c r="AQ251" s="146"/>
      <c r="AR251" s="224">
        <f t="shared" si="119"/>
        <v>0</v>
      </c>
      <c r="AS251" s="274"/>
      <c r="AT251" s="126"/>
      <c r="AU251" s="126"/>
      <c r="AV251" s="126"/>
      <c r="AW251" s="126"/>
      <c r="AX251" s="275"/>
      <c r="AY251" s="126"/>
      <c r="AZ251" s="274"/>
      <c r="BA251" s="274"/>
      <c r="BB251" s="274"/>
      <c r="BC251" s="274"/>
      <c r="BD251" s="222">
        <f t="shared" si="120"/>
        <v>0</v>
      </c>
      <c r="BE251" s="140">
        <f t="shared" si="121"/>
        <v>0</v>
      </c>
      <c r="BF251" s="132"/>
      <c r="BG251" s="140">
        <f t="shared" si="122"/>
        <v>0</v>
      </c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30">
        <f t="shared" si="123"/>
        <v>0</v>
      </c>
      <c r="BV251" s="132"/>
    </row>
    <row r="252" ht="15.75" customHeight="1">
      <c r="A252" s="132"/>
      <c r="B252" s="215">
        <v>46246</v>
      </c>
      <c r="C252" s="133"/>
      <c r="D252" s="136"/>
      <c r="E252" s="135"/>
      <c r="F252" s="135"/>
      <c r="G252" s="98">
        <f t="shared" si="115"/>
        <v>0</v>
      </c>
      <c r="H252" s="819"/>
      <c r="I252" s="746"/>
      <c r="J252" s="122"/>
      <c r="K252" s="122"/>
      <c r="L252" s="99"/>
      <c r="M252" s="99"/>
      <c r="N252" s="99"/>
      <c r="O252" s="99"/>
      <c r="P252" s="99"/>
      <c r="Q252" s="99"/>
      <c r="R252" s="641"/>
      <c r="S252" s="641"/>
      <c r="T252" s="99"/>
      <c r="U252" s="103">
        <f t="shared" si="116"/>
        <v>0</v>
      </c>
      <c r="V252" s="143"/>
      <c r="W252" s="231"/>
      <c r="X252" s="231"/>
      <c r="Y252" s="611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03">
        <f t="shared" si="117"/>
        <v>0</v>
      </c>
      <c r="AJ252" s="136"/>
      <c r="AK252" s="136"/>
      <c r="AL252" s="136"/>
      <c r="AM252" s="105">
        <f t="shared" si="118"/>
        <v>0</v>
      </c>
      <c r="AN252" s="143"/>
      <c r="AO252" s="143"/>
      <c r="AP252" s="143"/>
      <c r="AQ252" s="146"/>
      <c r="AR252" s="224">
        <f t="shared" si="119"/>
        <v>0</v>
      </c>
      <c r="AS252" s="274"/>
      <c r="AT252" s="126"/>
      <c r="AU252" s="749"/>
      <c r="AV252" s="126"/>
      <c r="AW252" s="126"/>
      <c r="AX252" s="275"/>
      <c r="AY252" s="126"/>
      <c r="AZ252" s="274"/>
      <c r="BA252" s="274"/>
      <c r="BB252" s="274"/>
      <c r="BC252" s="274"/>
      <c r="BD252" s="222">
        <f t="shared" si="120"/>
        <v>0</v>
      </c>
      <c r="BE252" s="140">
        <f t="shared" si="121"/>
        <v>0</v>
      </c>
      <c r="BF252" s="132"/>
      <c r="BG252" s="140">
        <f t="shared" si="122"/>
        <v>0</v>
      </c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30">
        <f t="shared" si="123"/>
        <v>0</v>
      </c>
      <c r="BV252" s="132"/>
    </row>
    <row r="253" ht="14.25" customHeight="1">
      <c r="A253" s="132"/>
      <c r="B253" s="215">
        <v>46247</v>
      </c>
      <c r="C253" s="133"/>
      <c r="D253" s="136"/>
      <c r="E253" s="135"/>
      <c r="F253" s="135"/>
      <c r="G253" s="98">
        <f t="shared" si="115"/>
        <v>0</v>
      </c>
      <c r="H253" s="819"/>
      <c r="I253" s="746"/>
      <c r="J253" s="122"/>
      <c r="K253" s="122"/>
      <c r="L253" s="99"/>
      <c r="M253" s="99"/>
      <c r="N253" s="99"/>
      <c r="O253" s="99"/>
      <c r="P253" s="99"/>
      <c r="Q253" s="99"/>
      <c r="R253" s="641"/>
      <c r="S253" s="641"/>
      <c r="T253" s="99"/>
      <c r="U253" s="103">
        <f>SUM(H253:T253)</f>
        <v>0</v>
      </c>
      <c r="V253" s="143"/>
      <c r="W253" s="143"/>
      <c r="X253" s="143"/>
      <c r="Y253" s="611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03">
        <f t="shared" si="117"/>
        <v>0</v>
      </c>
      <c r="AJ253" s="136"/>
      <c r="AK253" s="136"/>
      <c r="AL253" s="136"/>
      <c r="AM253" s="105">
        <f t="shared" si="118"/>
        <v>0</v>
      </c>
      <c r="AN253" s="143"/>
      <c r="AO253" s="143"/>
      <c r="AP253" s="143"/>
      <c r="AQ253" s="146"/>
      <c r="AR253" s="224">
        <f t="shared" si="119"/>
        <v>0</v>
      </c>
      <c r="AS253" s="274"/>
      <c r="AT253" s="126"/>
      <c r="AU253" s="749"/>
      <c r="AV253" s="126"/>
      <c r="AW253" s="126"/>
      <c r="AX253" s="275"/>
      <c r="AY253" s="126"/>
      <c r="AZ253" s="274"/>
      <c r="BA253" s="274"/>
      <c r="BB253" s="274"/>
      <c r="BC253" s="274"/>
      <c r="BD253" s="222">
        <f t="shared" si="120"/>
        <v>0</v>
      </c>
      <c r="BE253" s="140">
        <f t="shared" si="121"/>
        <v>0</v>
      </c>
      <c r="BF253" s="132"/>
      <c r="BG253" s="140">
        <f t="shared" si="122"/>
        <v>0</v>
      </c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30">
        <f t="shared" si="123"/>
        <v>0</v>
      </c>
      <c r="BV253" s="132"/>
    </row>
    <row r="254" ht="14.25" customHeight="1">
      <c r="A254" s="132"/>
      <c r="B254" s="215">
        <v>46248</v>
      </c>
      <c r="C254" s="133"/>
      <c r="D254" s="136"/>
      <c r="E254" s="135"/>
      <c r="F254" s="135"/>
      <c r="G254" s="98">
        <f t="shared" si="115"/>
        <v>0</v>
      </c>
      <c r="H254" s="819"/>
      <c r="I254" s="746"/>
      <c r="J254" s="122"/>
      <c r="K254" s="122"/>
      <c r="L254" s="99"/>
      <c r="M254" s="99"/>
      <c r="N254" s="99"/>
      <c r="O254" s="99"/>
      <c r="P254" s="99"/>
      <c r="Q254" s="99"/>
      <c r="R254" s="641"/>
      <c r="S254" s="641"/>
      <c r="T254" s="99"/>
      <c r="U254" s="103">
        <f ref="U254:U271" t="shared" si="124">SUM(I254:T254)</f>
        <v>0</v>
      </c>
      <c r="V254" s="143"/>
      <c r="W254" s="143"/>
      <c r="X254" s="143"/>
      <c r="Y254" s="136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03">
        <f t="shared" si="117"/>
        <v>0</v>
      </c>
      <c r="AJ254" s="136"/>
      <c r="AK254" s="136"/>
      <c r="AL254" s="136"/>
      <c r="AM254" s="105">
        <f t="shared" si="118"/>
        <v>0</v>
      </c>
      <c r="AN254" s="143"/>
      <c r="AO254" s="143"/>
      <c r="AP254" s="143"/>
      <c r="AQ254" s="146"/>
      <c r="AR254" s="224">
        <f t="shared" si="119"/>
        <v>0</v>
      </c>
      <c r="AS254" s="274"/>
      <c r="AT254" s="126"/>
      <c r="AU254" s="126"/>
      <c r="AV254" s="126"/>
      <c r="AW254" s="126"/>
      <c r="AX254" s="275"/>
      <c r="AY254" s="126"/>
      <c r="AZ254" s="274"/>
      <c r="BA254" s="274"/>
      <c r="BB254" s="274"/>
      <c r="BC254" s="274"/>
      <c r="BD254" s="222">
        <f t="shared" si="120"/>
        <v>0</v>
      </c>
      <c r="BE254" s="140">
        <f t="shared" si="121"/>
        <v>0</v>
      </c>
      <c r="BF254" s="132"/>
      <c r="BG254" s="140">
        <f t="shared" si="122"/>
        <v>0</v>
      </c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30">
        <f t="shared" si="123"/>
        <v>0</v>
      </c>
      <c r="BV254" s="132"/>
    </row>
    <row r="255" ht="14.25" customHeight="1">
      <c r="A255" s="132"/>
      <c r="B255" s="215">
        <v>46249</v>
      </c>
      <c r="C255" s="133"/>
      <c r="D255" s="136"/>
      <c r="E255" s="135"/>
      <c r="F255" s="135"/>
      <c r="G255" s="98">
        <f t="shared" si="115"/>
        <v>0</v>
      </c>
      <c r="H255" s="819"/>
      <c r="I255" s="746"/>
      <c r="J255" s="122"/>
      <c r="K255" s="122"/>
      <c r="L255" s="99"/>
      <c r="M255" s="99"/>
      <c r="N255" s="99"/>
      <c r="O255" s="99"/>
      <c r="P255" s="99"/>
      <c r="Q255" s="99"/>
      <c r="R255" s="641"/>
      <c r="S255" s="641"/>
      <c r="T255" s="99"/>
      <c r="U255" s="103">
        <f t="shared" si="124"/>
        <v>0</v>
      </c>
      <c r="V255" s="143"/>
      <c r="W255" s="143"/>
      <c r="X255" s="143"/>
      <c r="Y255" s="136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03">
        <f t="shared" si="117"/>
        <v>0</v>
      </c>
      <c r="AJ255" s="136"/>
      <c r="AK255" s="136"/>
      <c r="AL255" s="136"/>
      <c r="AM255" s="105">
        <f t="shared" si="118"/>
        <v>0</v>
      </c>
      <c r="AN255" s="143"/>
      <c r="AO255" s="143"/>
      <c r="AP255" s="143"/>
      <c r="AQ255" s="146"/>
      <c r="AR255" s="224">
        <f t="shared" si="119"/>
        <v>0</v>
      </c>
      <c r="AS255" s="274"/>
      <c r="AT255" s="126"/>
      <c r="AU255" s="749"/>
      <c r="AV255" s="126"/>
      <c r="AW255" s="126"/>
      <c r="AX255" s="275"/>
      <c r="AY255" s="126"/>
      <c r="AZ255" s="274"/>
      <c r="BA255" s="274"/>
      <c r="BB255" s="274"/>
      <c r="BC255" s="274"/>
      <c r="BD255" s="222">
        <f t="shared" si="120"/>
        <v>0</v>
      </c>
      <c r="BE255" s="140">
        <f t="shared" si="121"/>
        <v>0</v>
      </c>
      <c r="BF255" s="132"/>
      <c r="BG255" s="140">
        <f t="shared" si="122"/>
        <v>0</v>
      </c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30">
        <f t="shared" si="123"/>
        <v>0</v>
      </c>
      <c r="BV255" s="132"/>
    </row>
    <row r="256" ht="14.25" customHeight="1">
      <c r="A256" s="132"/>
      <c r="B256" s="215">
        <v>46250</v>
      </c>
      <c r="C256" s="133"/>
      <c r="D256" s="136"/>
      <c r="E256" s="135"/>
      <c r="F256" s="135"/>
      <c r="G256" s="98">
        <f t="shared" si="115"/>
        <v>0</v>
      </c>
      <c r="H256" s="819"/>
      <c r="I256" s="746"/>
      <c r="J256" s="122"/>
      <c r="K256" s="122"/>
      <c r="L256" s="99"/>
      <c r="M256" s="99"/>
      <c r="N256" s="99"/>
      <c r="O256" s="99"/>
      <c r="P256" s="99"/>
      <c r="Q256" s="99"/>
      <c r="R256" s="641"/>
      <c r="S256" s="641"/>
      <c r="T256" s="99"/>
      <c r="U256" s="103">
        <f t="shared" si="124"/>
        <v>0</v>
      </c>
      <c r="V256" s="231"/>
      <c r="W256" s="231"/>
      <c r="X256" s="231"/>
      <c r="Y256" s="136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03">
        <f t="shared" si="117"/>
        <v>0</v>
      </c>
      <c r="AJ256" s="136"/>
      <c r="AK256" s="136"/>
      <c r="AL256" s="136"/>
      <c r="AM256" s="105">
        <f t="shared" si="118"/>
        <v>0</v>
      </c>
      <c r="AN256" s="143"/>
      <c r="AO256" s="143"/>
      <c r="AP256" s="143"/>
      <c r="AQ256" s="146"/>
      <c r="AR256" s="224">
        <f t="shared" si="119"/>
        <v>0</v>
      </c>
      <c r="AS256" s="274"/>
      <c r="AT256" s="126"/>
      <c r="AU256" s="749"/>
      <c r="AV256" s="749"/>
      <c r="AW256" s="126"/>
      <c r="AX256" s="275"/>
      <c r="AY256" s="126"/>
      <c r="AZ256" s="274"/>
      <c r="BA256" s="274"/>
      <c r="BB256" s="274"/>
      <c r="BC256" s="274"/>
      <c r="BD256" s="222">
        <f t="shared" si="120"/>
        <v>0</v>
      </c>
      <c r="BE256" s="140">
        <f t="shared" si="121"/>
        <v>0</v>
      </c>
      <c r="BF256" s="132"/>
      <c r="BG256" s="140">
        <f t="shared" si="122"/>
        <v>0</v>
      </c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30">
        <f t="shared" si="123"/>
        <v>0</v>
      </c>
      <c r="BV256" s="132"/>
    </row>
    <row r="257" ht="14.25" customHeight="1">
      <c r="A257" s="132"/>
      <c r="B257" s="215">
        <v>46251</v>
      </c>
      <c r="C257" s="133"/>
      <c r="D257" s="136"/>
      <c r="E257" s="135"/>
      <c r="F257" s="135"/>
      <c r="G257" s="98">
        <f t="shared" si="115"/>
        <v>0</v>
      </c>
      <c r="H257" s="819"/>
      <c r="I257" s="746"/>
      <c r="J257" s="122"/>
      <c r="K257" s="122"/>
      <c r="L257" s="99"/>
      <c r="M257" s="99"/>
      <c r="N257" s="99"/>
      <c r="O257" s="99"/>
      <c r="P257" s="99"/>
      <c r="Q257" s="99"/>
      <c r="R257" s="641"/>
      <c r="S257" s="641"/>
      <c r="T257" s="99"/>
      <c r="U257" s="103">
        <f t="shared" si="124"/>
        <v>0</v>
      </c>
      <c r="V257" s="143"/>
      <c r="W257" s="143"/>
      <c r="X257" s="143"/>
      <c r="Y257" s="136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03">
        <f t="shared" si="117"/>
        <v>0</v>
      </c>
      <c r="AJ257" s="136"/>
      <c r="AK257" s="136"/>
      <c r="AL257" s="136"/>
      <c r="AM257" s="105">
        <f t="shared" si="118"/>
        <v>0</v>
      </c>
      <c r="AN257" s="143"/>
      <c r="AO257" s="143"/>
      <c r="AP257" s="143"/>
      <c r="AQ257" s="146"/>
      <c r="AR257" s="224">
        <f t="shared" si="119"/>
        <v>0</v>
      </c>
      <c r="AS257" s="274"/>
      <c r="AT257" s="126"/>
      <c r="AU257" s="126"/>
      <c r="AV257" s="749"/>
      <c r="AW257" s="126"/>
      <c r="AX257" s="275"/>
      <c r="AY257" s="126"/>
      <c r="AZ257" s="274"/>
      <c r="BA257" s="274"/>
      <c r="BB257" s="274"/>
      <c r="BC257" s="274"/>
      <c r="BD257" s="222">
        <f t="shared" si="120"/>
        <v>0</v>
      </c>
      <c r="BE257" s="140">
        <f t="shared" si="121"/>
        <v>0</v>
      </c>
      <c r="BF257" s="132"/>
      <c r="BG257" s="140">
        <f t="shared" si="122"/>
        <v>0</v>
      </c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30">
        <f t="shared" si="123"/>
        <v>0</v>
      </c>
      <c r="BV257" s="132"/>
    </row>
    <row r="258" ht="14.25" customHeight="1">
      <c r="A258" s="132"/>
      <c r="B258" s="215">
        <v>46252</v>
      </c>
      <c r="C258" s="133"/>
      <c r="D258" s="136"/>
      <c r="E258" s="135"/>
      <c r="F258" s="135"/>
      <c r="G258" s="98">
        <f t="shared" si="115"/>
        <v>0</v>
      </c>
      <c r="H258" s="819"/>
      <c r="I258" s="746"/>
      <c r="J258" s="122"/>
      <c r="K258" s="122"/>
      <c r="L258" s="99"/>
      <c r="M258" s="99"/>
      <c r="N258" s="99"/>
      <c r="O258" s="99"/>
      <c r="P258" s="99"/>
      <c r="Q258" s="99"/>
      <c r="R258" s="641"/>
      <c r="S258" s="641"/>
      <c r="T258" s="99"/>
      <c r="U258" s="103">
        <f t="shared" si="124"/>
        <v>0</v>
      </c>
      <c r="V258" s="143"/>
      <c r="W258" s="143"/>
      <c r="X258" s="143"/>
      <c r="Y258" s="136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03">
        <f t="shared" si="117"/>
        <v>0</v>
      </c>
      <c r="AJ258" s="136"/>
      <c r="AK258" s="136"/>
      <c r="AL258" s="136"/>
      <c r="AM258" s="105">
        <f t="shared" si="118"/>
        <v>0</v>
      </c>
      <c r="AN258" s="143"/>
      <c r="AO258" s="143"/>
      <c r="AP258" s="143"/>
      <c r="AQ258" s="146"/>
      <c r="AR258" s="224">
        <f t="shared" si="119"/>
        <v>0</v>
      </c>
      <c r="AS258" s="274"/>
      <c r="AT258" s="126"/>
      <c r="AU258" s="126"/>
      <c r="AV258" s="749"/>
      <c r="AW258" s="126"/>
      <c r="AX258" s="275"/>
      <c r="AY258" s="126"/>
      <c r="AZ258" s="274"/>
      <c r="BA258" s="274"/>
      <c r="BB258" s="274"/>
      <c r="BC258" s="274"/>
      <c r="BD258" s="222">
        <f t="shared" si="120"/>
        <v>0</v>
      </c>
      <c r="BE258" s="140">
        <f t="shared" si="121"/>
        <v>0</v>
      </c>
      <c r="BF258" s="132"/>
      <c r="BG258" s="140">
        <f t="shared" si="122"/>
        <v>0</v>
      </c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30">
        <f t="shared" si="123"/>
        <v>0</v>
      </c>
      <c r="BV258" s="132"/>
    </row>
    <row r="259" ht="14.25" customHeight="1">
      <c r="A259" s="132"/>
      <c r="B259" s="215">
        <v>46253</v>
      </c>
      <c r="C259" s="133"/>
      <c r="D259" s="136"/>
      <c r="E259" s="135"/>
      <c r="F259" s="135"/>
      <c r="G259" s="98">
        <f t="shared" si="115"/>
        <v>0</v>
      </c>
      <c r="H259" s="819"/>
      <c r="I259" s="746"/>
      <c r="J259" s="122"/>
      <c r="K259" s="122"/>
      <c r="L259" s="99"/>
      <c r="M259" s="99"/>
      <c r="N259" s="99"/>
      <c r="O259" s="99"/>
      <c r="P259" s="99"/>
      <c r="Q259" s="99"/>
      <c r="R259" s="641"/>
      <c r="S259" s="641"/>
      <c r="T259" s="99"/>
      <c r="U259" s="103">
        <f t="shared" si="124"/>
        <v>0</v>
      </c>
      <c r="V259" s="143"/>
      <c r="W259" s="143"/>
      <c r="X259" s="143"/>
      <c r="Y259" s="136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03">
        <f t="shared" si="117"/>
        <v>0</v>
      </c>
      <c r="AJ259" s="136"/>
      <c r="AK259" s="136"/>
      <c r="AL259" s="136"/>
      <c r="AM259" s="105">
        <f t="shared" si="118"/>
        <v>0</v>
      </c>
      <c r="AN259" s="143"/>
      <c r="AO259" s="143"/>
      <c r="AP259" s="143"/>
      <c r="AQ259" s="146"/>
      <c r="AR259" s="224">
        <f t="shared" si="119"/>
        <v>0</v>
      </c>
      <c r="AS259" s="274"/>
      <c r="AT259" s="126"/>
      <c r="AU259" s="126"/>
      <c r="AV259" s="749"/>
      <c r="AW259" s="126"/>
      <c r="AX259" s="275"/>
      <c r="AY259" s="126"/>
      <c r="AZ259" s="274"/>
      <c r="BA259" s="274"/>
      <c r="BB259" s="274"/>
      <c r="BC259" s="274"/>
      <c r="BD259" s="222">
        <f t="shared" si="120"/>
        <v>0</v>
      </c>
      <c r="BE259" s="140">
        <f t="shared" si="121"/>
        <v>0</v>
      </c>
      <c r="BF259" s="132"/>
      <c r="BG259" s="140">
        <f t="shared" si="122"/>
        <v>0</v>
      </c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30">
        <f t="shared" si="123"/>
        <v>0</v>
      </c>
      <c r="BV259" s="132"/>
    </row>
    <row r="260" ht="14.25" customHeight="1">
      <c r="A260" s="132"/>
      <c r="B260" s="215">
        <v>46254</v>
      </c>
      <c r="C260" s="133"/>
      <c r="D260" s="136"/>
      <c r="E260" s="135"/>
      <c r="F260" s="135"/>
      <c r="G260" s="98">
        <f t="shared" si="115"/>
        <v>0</v>
      </c>
      <c r="H260" s="819"/>
      <c r="I260" s="746"/>
      <c r="J260" s="122"/>
      <c r="K260" s="122"/>
      <c r="L260" s="99"/>
      <c r="M260" s="99"/>
      <c r="N260" s="99"/>
      <c r="O260" s="99"/>
      <c r="P260" s="99"/>
      <c r="Q260" s="99"/>
      <c r="R260" s="641"/>
      <c r="S260" s="641"/>
      <c r="T260" s="99"/>
      <c r="U260" s="103">
        <f t="shared" si="124"/>
        <v>0</v>
      </c>
      <c r="V260" s="143"/>
      <c r="W260" s="143"/>
      <c r="X260" s="143"/>
      <c r="Y260" s="136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03">
        <f t="shared" si="117"/>
        <v>0</v>
      </c>
      <c r="AJ260" s="136"/>
      <c r="AK260" s="136"/>
      <c r="AL260" s="136"/>
      <c r="AM260" s="105">
        <f t="shared" si="118"/>
        <v>0</v>
      </c>
      <c r="AN260" s="143"/>
      <c r="AO260" s="143"/>
      <c r="AP260" s="143"/>
      <c r="AQ260" s="146"/>
      <c r="AR260" s="224">
        <f t="shared" si="119"/>
        <v>0</v>
      </c>
      <c r="AS260" s="274"/>
      <c r="AT260" s="126"/>
      <c r="AU260" s="126"/>
      <c r="AV260" s="749"/>
      <c r="AW260" s="126"/>
      <c r="AX260" s="275"/>
      <c r="AY260" s="126"/>
      <c r="AZ260" s="274"/>
      <c r="BA260" s="274"/>
      <c r="BB260" s="274"/>
      <c r="BC260" s="274"/>
      <c r="BD260" s="222">
        <f t="shared" si="120"/>
        <v>0</v>
      </c>
      <c r="BE260" s="140">
        <f t="shared" si="121"/>
        <v>0</v>
      </c>
      <c r="BF260" s="132"/>
      <c r="BG260" s="140">
        <f t="shared" si="122"/>
        <v>0</v>
      </c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30">
        <f t="shared" si="123"/>
        <v>0</v>
      </c>
      <c r="BV260" s="132"/>
    </row>
    <row r="261" ht="14.25" customHeight="1">
      <c r="A261" s="132"/>
      <c r="B261" s="215">
        <v>46255</v>
      </c>
      <c r="C261" s="133"/>
      <c r="D261" s="136"/>
      <c r="E261" s="135"/>
      <c r="F261" s="135"/>
      <c r="G261" s="98">
        <f t="shared" si="115"/>
        <v>0</v>
      </c>
      <c r="H261" s="819"/>
      <c r="I261" s="746"/>
      <c r="J261" s="122"/>
      <c r="K261" s="122"/>
      <c r="L261" s="99"/>
      <c r="M261" s="99"/>
      <c r="N261" s="99"/>
      <c r="O261" s="99"/>
      <c r="P261" s="99"/>
      <c r="Q261" s="99"/>
      <c r="R261" s="641"/>
      <c r="S261" s="641"/>
      <c r="T261" s="99"/>
      <c r="U261" s="103">
        <f t="shared" si="124"/>
        <v>0</v>
      </c>
      <c r="V261" s="143"/>
      <c r="W261" s="143"/>
      <c r="X261" s="143"/>
      <c r="Y261" s="136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03">
        <f t="shared" si="117"/>
        <v>0</v>
      </c>
      <c r="AJ261" s="136"/>
      <c r="AK261" s="136"/>
      <c r="AL261" s="136"/>
      <c r="AM261" s="105">
        <f t="shared" si="118"/>
        <v>0</v>
      </c>
      <c r="AN261" s="143"/>
      <c r="AO261" s="143"/>
      <c r="AP261" s="143"/>
      <c r="AQ261" s="146"/>
      <c r="AR261" s="224">
        <f t="shared" si="119"/>
        <v>0</v>
      </c>
      <c r="AS261" s="274"/>
      <c r="AT261" s="126"/>
      <c r="AU261" s="126"/>
      <c r="AV261" s="749"/>
      <c r="AW261" s="126"/>
      <c r="AX261" s="275"/>
      <c r="AY261" s="126"/>
      <c r="AZ261" s="274"/>
      <c r="BA261" s="274"/>
      <c r="BB261" s="274"/>
      <c r="BC261" s="274"/>
      <c r="BD261" s="222">
        <f t="shared" si="120"/>
        <v>0</v>
      </c>
      <c r="BE261" s="140">
        <f t="shared" si="121"/>
        <v>0</v>
      </c>
      <c r="BF261" s="132"/>
      <c r="BG261" s="140">
        <f t="shared" si="122"/>
        <v>0</v>
      </c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30">
        <f t="shared" si="123"/>
        <v>0</v>
      </c>
      <c r="BV261" s="132"/>
    </row>
    <row r="262" ht="14.25" customHeight="1">
      <c r="A262" s="132"/>
      <c r="B262" s="215">
        <v>46256</v>
      </c>
      <c r="C262" s="133"/>
      <c r="D262" s="136"/>
      <c r="E262" s="135"/>
      <c r="F262" s="135"/>
      <c r="G262" s="98">
        <f t="shared" si="115"/>
        <v>0</v>
      </c>
      <c r="H262" s="819"/>
      <c r="I262" s="746"/>
      <c r="J262" s="122"/>
      <c r="K262" s="122"/>
      <c r="L262" s="99"/>
      <c r="M262" s="99"/>
      <c r="N262" s="99"/>
      <c r="O262" s="99"/>
      <c r="P262" s="99"/>
      <c r="Q262" s="99"/>
      <c r="R262" s="641"/>
      <c r="S262" s="641"/>
      <c r="T262" s="99"/>
      <c r="U262" s="103">
        <f t="shared" si="124"/>
        <v>0</v>
      </c>
      <c r="V262" s="143"/>
      <c r="W262" s="143"/>
      <c r="X262" s="143"/>
      <c r="Y262" s="136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03">
        <f t="shared" si="117"/>
        <v>0</v>
      </c>
      <c r="AJ262" s="136"/>
      <c r="AK262" s="136"/>
      <c r="AL262" s="136"/>
      <c r="AM262" s="105">
        <f t="shared" si="118"/>
        <v>0</v>
      </c>
      <c r="AN262" s="143"/>
      <c r="AO262" s="143"/>
      <c r="AP262" s="143"/>
      <c r="AQ262" s="146"/>
      <c r="AR262" s="224">
        <f t="shared" si="119"/>
        <v>0</v>
      </c>
      <c r="AS262" s="274"/>
      <c r="AT262" s="126"/>
      <c r="AU262" s="749"/>
      <c r="AV262" s="749"/>
      <c r="AW262" s="126"/>
      <c r="AX262" s="275"/>
      <c r="AY262" s="126"/>
      <c r="AZ262" s="274"/>
      <c r="BA262" s="274"/>
      <c r="BB262" s="274"/>
      <c r="BC262" s="274"/>
      <c r="BD262" s="222">
        <f t="shared" si="120"/>
        <v>0</v>
      </c>
      <c r="BE262" s="140">
        <f t="shared" si="121"/>
        <v>0</v>
      </c>
      <c r="BF262" s="132"/>
      <c r="BG262" s="140">
        <f t="shared" si="122"/>
        <v>0</v>
      </c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30">
        <f t="shared" si="123"/>
        <v>0</v>
      </c>
      <c r="BV262" s="132"/>
    </row>
    <row r="263" ht="14.25" customHeight="1">
      <c r="A263" s="3"/>
      <c r="B263" s="215">
        <v>46257</v>
      </c>
      <c r="C263" s="118"/>
      <c r="D263" s="123"/>
      <c r="E263" s="120"/>
      <c r="F263" s="120"/>
      <c r="G263" s="98">
        <f t="shared" si="115"/>
        <v>0</v>
      </c>
      <c r="H263" s="819"/>
      <c r="I263" s="746"/>
      <c r="J263" s="122"/>
      <c r="K263" s="122"/>
      <c r="L263" s="99"/>
      <c r="M263" s="99"/>
      <c r="N263" s="99"/>
      <c r="O263" s="99"/>
      <c r="P263" s="99"/>
      <c r="Q263" s="99"/>
      <c r="R263" s="641"/>
      <c r="S263" s="641"/>
      <c r="T263" s="99"/>
      <c r="U263" s="103">
        <f t="shared" si="124"/>
        <v>0</v>
      </c>
      <c r="V263" s="143"/>
      <c r="W263" s="143"/>
      <c r="X263" s="143"/>
      <c r="Y263" s="136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03">
        <f t="shared" si="117"/>
        <v>0</v>
      </c>
      <c r="AJ263" s="123"/>
      <c r="AK263" s="123"/>
      <c r="AL263" s="123"/>
      <c r="AM263" s="105">
        <f t="shared" si="118"/>
        <v>0</v>
      </c>
      <c r="AN263" s="143"/>
      <c r="AO263" s="143"/>
      <c r="AP263" s="143"/>
      <c r="AQ263" s="146"/>
      <c r="AR263" s="224">
        <f t="shared" si="119"/>
        <v>0</v>
      </c>
      <c r="AS263" s="274"/>
      <c r="AT263" s="126"/>
      <c r="AU263" s="126"/>
      <c r="AV263" s="126"/>
      <c r="AW263" s="126"/>
      <c r="AX263" s="275"/>
      <c r="AY263" s="126"/>
      <c r="AZ263" s="274"/>
      <c r="BA263" s="274"/>
      <c r="BB263" s="274"/>
      <c r="BC263" s="274"/>
      <c r="BD263" s="222">
        <f t="shared" si="120"/>
        <v>0</v>
      </c>
      <c r="BE263" s="113">
        <f t="shared" si="121"/>
        <v>0</v>
      </c>
      <c r="BF263" s="3"/>
      <c r="BG263" s="113">
        <f t="shared" si="122"/>
        <v>0</v>
      </c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30">
        <f t="shared" si="123"/>
        <v>0</v>
      </c>
      <c r="BV263" s="3"/>
    </row>
    <row r="264" ht="14.25" customHeight="1">
      <c r="A264" s="132"/>
      <c r="B264" s="215">
        <v>46258</v>
      </c>
      <c r="C264" s="133"/>
      <c r="D264" s="136"/>
      <c r="E264" s="135"/>
      <c r="F264" s="135"/>
      <c r="G264" s="98">
        <f t="shared" si="115"/>
        <v>0</v>
      </c>
      <c r="H264" s="819"/>
      <c r="I264" s="746"/>
      <c r="J264" s="122"/>
      <c r="K264" s="122"/>
      <c r="L264" s="99"/>
      <c r="M264" s="99"/>
      <c r="N264" s="99"/>
      <c r="O264" s="99"/>
      <c r="P264" s="99"/>
      <c r="Q264" s="99"/>
      <c r="R264" s="641"/>
      <c r="S264" s="641"/>
      <c r="T264" s="99"/>
      <c r="U264" s="103">
        <f t="shared" si="124"/>
        <v>0</v>
      </c>
      <c r="V264" s="143"/>
      <c r="W264" s="143"/>
      <c r="X264" s="143"/>
      <c r="Y264" s="136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03">
        <f t="shared" si="117"/>
        <v>0</v>
      </c>
      <c r="AJ264" s="136"/>
      <c r="AK264" s="136"/>
      <c r="AL264" s="136"/>
      <c r="AM264" s="105">
        <f t="shared" si="118"/>
        <v>0</v>
      </c>
      <c r="AN264" s="143"/>
      <c r="AO264" s="143"/>
      <c r="AP264" s="143"/>
      <c r="AQ264" s="146"/>
      <c r="AR264" s="224">
        <f t="shared" si="119"/>
        <v>0</v>
      </c>
      <c r="AS264" s="274"/>
      <c r="AT264" s="126"/>
      <c r="AU264" s="126"/>
      <c r="AV264" s="126"/>
      <c r="AW264" s="126"/>
      <c r="AX264" s="275"/>
      <c r="AY264" s="126"/>
      <c r="AZ264" s="274"/>
      <c r="BA264" s="274"/>
      <c r="BB264" s="274"/>
      <c r="BC264" s="274"/>
      <c r="BD264" s="222">
        <f t="shared" si="120"/>
        <v>0</v>
      </c>
      <c r="BE264" s="140">
        <f t="shared" si="121"/>
        <v>0</v>
      </c>
      <c r="BF264" s="132"/>
      <c r="BG264" s="140">
        <f t="shared" si="122"/>
        <v>0</v>
      </c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30">
        <f t="shared" si="123"/>
        <v>0</v>
      </c>
      <c r="BV264" s="132"/>
    </row>
    <row r="265" ht="14.25" customHeight="1">
      <c r="A265" s="132"/>
      <c r="B265" s="215">
        <v>46259</v>
      </c>
      <c r="C265" s="133"/>
      <c r="D265" s="136"/>
      <c r="E265" s="135"/>
      <c r="F265" s="135"/>
      <c r="G265" s="98">
        <f t="shared" si="115"/>
        <v>0</v>
      </c>
      <c r="H265" s="819"/>
      <c r="I265" s="746"/>
      <c r="J265" s="122"/>
      <c r="K265" s="122"/>
      <c r="L265" s="99"/>
      <c r="M265" s="99"/>
      <c r="N265" s="99"/>
      <c r="O265" s="99"/>
      <c r="P265" s="99"/>
      <c r="Q265" s="99"/>
      <c r="R265" s="641"/>
      <c r="S265" s="641"/>
      <c r="T265" s="99"/>
      <c r="U265" s="103">
        <f t="shared" si="124"/>
        <v>0</v>
      </c>
      <c r="V265" s="143"/>
      <c r="W265" s="231"/>
      <c r="X265" s="231"/>
      <c r="Y265" s="136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03">
        <f t="shared" si="117"/>
        <v>0</v>
      </c>
      <c r="AJ265" s="136"/>
      <c r="AK265" s="136"/>
      <c r="AL265" s="136"/>
      <c r="AM265" s="105">
        <f t="shared" si="118"/>
        <v>0</v>
      </c>
      <c r="AN265" s="143"/>
      <c r="AO265" s="143"/>
      <c r="AP265" s="143"/>
      <c r="AQ265" s="146"/>
      <c r="AR265" s="224">
        <f t="shared" si="119"/>
        <v>0</v>
      </c>
      <c r="AS265" s="274"/>
      <c r="AT265" s="126"/>
      <c r="AU265" s="126"/>
      <c r="AV265" s="126"/>
      <c r="AW265" s="126"/>
      <c r="AX265" s="275"/>
      <c r="AY265" s="126"/>
      <c r="AZ265" s="274"/>
      <c r="BA265" s="274"/>
      <c r="BB265" s="274"/>
      <c r="BC265" s="274"/>
      <c r="BD265" s="222">
        <f t="shared" si="120"/>
        <v>0</v>
      </c>
      <c r="BE265" s="140">
        <f t="shared" si="121"/>
        <v>0</v>
      </c>
      <c r="BF265" s="132"/>
      <c r="BG265" s="140">
        <f t="shared" si="122"/>
        <v>0</v>
      </c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30">
        <f t="shared" si="123"/>
        <v>0</v>
      </c>
      <c r="BV265" s="132"/>
    </row>
    <row r="266" ht="14.25" customHeight="1">
      <c r="A266" s="132"/>
      <c r="B266" s="215">
        <v>46260</v>
      </c>
      <c r="C266" s="133"/>
      <c r="D266" s="136"/>
      <c r="E266" s="135"/>
      <c r="F266" s="135"/>
      <c r="G266" s="98">
        <f t="shared" si="115"/>
        <v>0</v>
      </c>
      <c r="H266" s="819"/>
      <c r="I266" s="746"/>
      <c r="J266" s="122"/>
      <c r="K266" s="122"/>
      <c r="L266" s="99"/>
      <c r="M266" s="99"/>
      <c r="N266" s="99"/>
      <c r="O266" s="99"/>
      <c r="P266" s="99"/>
      <c r="Q266" s="99"/>
      <c r="R266" s="641"/>
      <c r="S266" s="641"/>
      <c r="T266" s="99"/>
      <c r="U266" s="103">
        <f t="shared" si="124"/>
        <v>0</v>
      </c>
      <c r="V266" s="143"/>
      <c r="W266" s="143"/>
      <c r="X266" s="143"/>
      <c r="Y266" s="136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03">
        <f t="shared" si="117"/>
        <v>0</v>
      </c>
      <c r="AJ266" s="136"/>
      <c r="AK266" s="136"/>
      <c r="AL266" s="136"/>
      <c r="AM266" s="105">
        <f t="shared" si="118"/>
        <v>0</v>
      </c>
      <c r="AN266" s="143"/>
      <c r="AO266" s="143"/>
      <c r="AP266" s="143"/>
      <c r="AQ266" s="146"/>
      <c r="AR266" s="224">
        <f t="shared" si="119"/>
        <v>0</v>
      </c>
      <c r="AS266" s="274"/>
      <c r="AT266" s="126"/>
      <c r="AU266" s="749"/>
      <c r="AV266" s="126"/>
      <c r="AW266" s="126"/>
      <c r="AX266" s="275"/>
      <c r="AY266" s="126"/>
      <c r="AZ266" s="274"/>
      <c r="BA266" s="274"/>
      <c r="BB266" s="274"/>
      <c r="BC266" s="274"/>
      <c r="BD266" s="222">
        <f t="shared" si="120"/>
        <v>0</v>
      </c>
      <c r="BE266" s="140">
        <f t="shared" si="121"/>
        <v>0</v>
      </c>
      <c r="BF266" s="132"/>
      <c r="BG266" s="140">
        <f t="shared" si="122"/>
        <v>0</v>
      </c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30">
        <f t="shared" si="123"/>
        <v>0</v>
      </c>
      <c r="BV266" s="132"/>
    </row>
    <row r="267" ht="14.25" customHeight="1">
      <c r="A267" s="132"/>
      <c r="B267" s="215">
        <v>46261</v>
      </c>
      <c r="C267" s="133"/>
      <c r="D267" s="136"/>
      <c r="E267" s="135"/>
      <c r="F267" s="135"/>
      <c r="G267" s="98">
        <f t="shared" si="115"/>
        <v>0</v>
      </c>
      <c r="H267" s="819"/>
      <c r="I267" s="746"/>
      <c r="J267" s="122"/>
      <c r="K267" s="122"/>
      <c r="L267" s="99"/>
      <c r="M267" s="99"/>
      <c r="N267" s="99"/>
      <c r="O267" s="99"/>
      <c r="P267" s="99"/>
      <c r="Q267" s="99"/>
      <c r="R267" s="641"/>
      <c r="S267" s="641"/>
      <c r="T267" s="99"/>
      <c r="U267" s="103">
        <f t="shared" si="124"/>
        <v>0</v>
      </c>
      <c r="V267" s="143"/>
      <c r="W267" s="143"/>
      <c r="X267" s="143"/>
      <c r="Y267" s="136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03">
        <f t="shared" si="117"/>
        <v>0</v>
      </c>
      <c r="AJ267" s="136"/>
      <c r="AK267" s="136"/>
      <c r="AL267" s="136"/>
      <c r="AM267" s="105">
        <f t="shared" si="118"/>
        <v>0</v>
      </c>
      <c r="AN267" s="143"/>
      <c r="AO267" s="143"/>
      <c r="AP267" s="143"/>
      <c r="AQ267" s="146"/>
      <c r="AR267" s="224">
        <f t="shared" si="119"/>
        <v>0</v>
      </c>
      <c r="AS267" s="274"/>
      <c r="AT267" s="126"/>
      <c r="AU267" s="126"/>
      <c r="AV267" s="126"/>
      <c r="AW267" s="126"/>
      <c r="AX267" s="275"/>
      <c r="AY267" s="126"/>
      <c r="AZ267" s="274"/>
      <c r="BA267" s="274"/>
      <c r="BB267" s="274"/>
      <c r="BC267" s="274"/>
      <c r="BD267" s="222">
        <f t="shared" si="120"/>
        <v>0</v>
      </c>
      <c r="BE267" s="140">
        <f t="shared" si="121"/>
        <v>0</v>
      </c>
      <c r="BF267" s="132"/>
      <c r="BG267" s="140">
        <f t="shared" si="122"/>
        <v>0</v>
      </c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30">
        <f t="shared" si="123"/>
        <v>0</v>
      </c>
      <c r="BV267" s="132"/>
    </row>
    <row r="268" ht="14.25" customHeight="1">
      <c r="A268" s="132"/>
      <c r="B268" s="215">
        <v>46262</v>
      </c>
      <c r="C268" s="133"/>
      <c r="D268" s="136"/>
      <c r="E268" s="135"/>
      <c r="F268" s="135"/>
      <c r="G268" s="98">
        <f t="shared" si="115"/>
        <v>0</v>
      </c>
      <c r="H268" s="819"/>
      <c r="I268" s="746"/>
      <c r="J268" s="122"/>
      <c r="K268" s="122"/>
      <c r="L268" s="99"/>
      <c r="M268" s="99"/>
      <c r="N268" s="99"/>
      <c r="O268" s="99"/>
      <c r="P268" s="99"/>
      <c r="Q268" s="99"/>
      <c r="R268" s="641"/>
      <c r="S268" s="641"/>
      <c r="T268" s="99"/>
      <c r="U268" s="103">
        <f t="shared" si="124"/>
        <v>0</v>
      </c>
      <c r="V268" s="143"/>
      <c r="W268" s="143"/>
      <c r="X268" s="143"/>
      <c r="Y268" s="136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03">
        <f t="shared" si="117"/>
        <v>0</v>
      </c>
      <c r="AJ268" s="136"/>
      <c r="AK268" s="136"/>
      <c r="AL268" s="136"/>
      <c r="AM268" s="105">
        <f t="shared" si="118"/>
        <v>0</v>
      </c>
      <c r="AN268" s="143"/>
      <c r="AO268" s="143"/>
      <c r="AP268" s="143"/>
      <c r="AQ268" s="146"/>
      <c r="AR268" s="224">
        <f t="shared" si="119"/>
        <v>0</v>
      </c>
      <c r="AS268" s="274"/>
      <c r="AT268" s="126"/>
      <c r="AU268" s="126"/>
      <c r="AV268" s="126"/>
      <c r="AW268" s="126"/>
      <c r="AX268" s="275"/>
      <c r="AY268" s="126"/>
      <c r="AZ268" s="274"/>
      <c r="BA268" s="274"/>
      <c r="BB268" s="274"/>
      <c r="BC268" s="274"/>
      <c r="BD268" s="222">
        <f t="shared" si="120"/>
        <v>0</v>
      </c>
      <c r="BE268" s="140">
        <f t="shared" si="121"/>
        <v>0</v>
      </c>
      <c r="BF268" s="132"/>
      <c r="BG268" s="140">
        <f t="shared" si="122"/>
        <v>0</v>
      </c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30">
        <f t="shared" si="123"/>
        <v>0</v>
      </c>
      <c r="BV268" s="132"/>
    </row>
    <row r="269" ht="14.25" customHeight="1">
      <c r="A269" s="132"/>
      <c r="B269" s="215">
        <v>46263</v>
      </c>
      <c r="C269" s="133"/>
      <c r="D269" s="136"/>
      <c r="E269" s="135"/>
      <c r="F269" s="135"/>
      <c r="G269" s="98">
        <f t="shared" si="115"/>
        <v>0</v>
      </c>
      <c r="H269" s="819"/>
      <c r="I269" s="746"/>
      <c r="J269" s="122"/>
      <c r="K269" s="122"/>
      <c r="L269" s="99"/>
      <c r="M269" s="99"/>
      <c r="N269" s="99"/>
      <c r="O269" s="99"/>
      <c r="P269" s="99"/>
      <c r="Q269" s="99"/>
      <c r="R269" s="641"/>
      <c r="S269" s="641"/>
      <c r="T269" s="99"/>
      <c r="U269" s="103">
        <f t="shared" si="124"/>
        <v>0</v>
      </c>
      <c r="V269" s="143"/>
      <c r="W269" s="143"/>
      <c r="X269" s="143"/>
      <c r="Y269" s="136"/>
      <c r="Z269" s="143"/>
      <c r="AA269" s="143"/>
      <c r="AB269" s="143"/>
      <c r="AC269" s="143"/>
      <c r="AD269" s="143"/>
      <c r="AE269" s="143"/>
      <c r="AF269" s="143"/>
      <c r="AG269" s="143"/>
      <c r="AH269" s="143"/>
      <c r="AI269" s="103">
        <f t="shared" si="117"/>
        <v>0</v>
      </c>
      <c r="AJ269" s="136"/>
      <c r="AK269" s="136"/>
      <c r="AL269" s="136"/>
      <c r="AM269" s="105">
        <f t="shared" si="118"/>
        <v>0</v>
      </c>
      <c r="AN269" s="143"/>
      <c r="AO269" s="143"/>
      <c r="AP269" s="143"/>
      <c r="AQ269" s="146"/>
      <c r="AR269" s="224">
        <f t="shared" si="119"/>
        <v>0</v>
      </c>
      <c r="AS269" s="274"/>
      <c r="AT269" s="126"/>
      <c r="AU269" s="857"/>
      <c r="AV269" s="126"/>
      <c r="AW269" s="126"/>
      <c r="AX269" s="275"/>
      <c r="AY269" s="126"/>
      <c r="AZ269" s="274"/>
      <c r="BA269" s="274"/>
      <c r="BB269" s="274"/>
      <c r="BC269" s="274"/>
      <c r="BD269" s="222">
        <f t="shared" si="120"/>
        <v>0</v>
      </c>
      <c r="BE269" s="140">
        <f t="shared" si="121"/>
        <v>0</v>
      </c>
      <c r="BF269" s="132"/>
      <c r="BG269" s="140">
        <f t="shared" si="122"/>
        <v>0</v>
      </c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30">
        <f t="shared" si="123"/>
        <v>0</v>
      </c>
      <c r="BV269" s="132"/>
    </row>
    <row r="270" ht="14.25" customHeight="1">
      <c r="A270" s="132"/>
      <c r="B270" s="215">
        <v>46264</v>
      </c>
      <c r="C270" s="133"/>
      <c r="D270" s="136"/>
      <c r="E270" s="135"/>
      <c r="F270" s="135"/>
      <c r="G270" s="98">
        <f t="shared" si="115"/>
        <v>0</v>
      </c>
      <c r="H270" s="819"/>
      <c r="I270" s="746"/>
      <c r="J270" s="122"/>
      <c r="K270" s="122"/>
      <c r="L270" s="99"/>
      <c r="M270" s="99"/>
      <c r="N270" s="99"/>
      <c r="O270" s="99"/>
      <c r="P270" s="99"/>
      <c r="Q270" s="99"/>
      <c r="R270" s="641"/>
      <c r="S270" s="641"/>
      <c r="T270" s="99"/>
      <c r="U270" s="103">
        <f t="shared" si="124"/>
        <v>0</v>
      </c>
      <c r="V270" s="143"/>
      <c r="W270" s="143"/>
      <c r="X270" s="143"/>
      <c r="Y270" s="386"/>
      <c r="Z270" s="143"/>
      <c r="AA270" s="143"/>
      <c r="AB270" s="143"/>
      <c r="AC270" s="143"/>
      <c r="AD270" s="143"/>
      <c r="AE270" s="143"/>
      <c r="AF270" s="143"/>
      <c r="AG270" s="143"/>
      <c r="AH270" s="143"/>
      <c r="AI270" s="103">
        <f t="shared" si="117"/>
        <v>0</v>
      </c>
      <c r="AJ270" s="136"/>
      <c r="AK270" s="136"/>
      <c r="AL270" s="136"/>
      <c r="AM270" s="105">
        <f t="shared" si="118"/>
        <v>0</v>
      </c>
      <c r="AN270" s="143"/>
      <c r="AO270" s="143"/>
      <c r="AP270" s="143"/>
      <c r="AQ270" s="146"/>
      <c r="AR270" s="224">
        <f t="shared" si="119"/>
        <v>0</v>
      </c>
      <c r="AS270" s="274"/>
      <c r="AT270" s="126"/>
      <c r="AU270" s="126"/>
      <c r="AV270" s="126"/>
      <c r="AW270" s="126"/>
      <c r="AX270" s="275"/>
      <c r="AY270" s="126"/>
      <c r="AZ270" s="274"/>
      <c r="BA270" s="274"/>
      <c r="BB270" s="274"/>
      <c r="BC270" s="274"/>
      <c r="BD270" s="222">
        <f t="shared" si="120"/>
        <v>0</v>
      </c>
      <c r="BE270" s="140">
        <f t="shared" si="121"/>
        <v>0</v>
      </c>
      <c r="BF270" s="132"/>
      <c r="BG270" s="140">
        <f t="shared" si="122"/>
        <v>0</v>
      </c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30">
        <f t="shared" si="123"/>
        <v>0</v>
      </c>
      <c r="BV270" s="132"/>
    </row>
    <row r="271" ht="14.25" customHeight="1">
      <c r="A271" s="132"/>
      <c r="B271" s="215">
        <v>46265</v>
      </c>
      <c r="C271" s="153"/>
      <c r="D271" s="159"/>
      <c r="E271" s="156"/>
      <c r="F271" s="156"/>
      <c r="G271" s="98">
        <f t="shared" si="115"/>
        <v>0</v>
      </c>
      <c r="H271" s="833"/>
      <c r="I271" s="783"/>
      <c r="J271" s="656"/>
      <c r="K271" s="656"/>
      <c r="L271" s="657"/>
      <c r="M271" s="657"/>
      <c r="N271" s="657"/>
      <c r="O271" s="657"/>
      <c r="P271" s="657"/>
      <c r="Q271" s="657"/>
      <c r="R271" s="658"/>
      <c r="S271" s="658"/>
      <c r="T271" s="657"/>
      <c r="U271" s="103">
        <f t="shared" si="124"/>
        <v>0</v>
      </c>
      <c r="V271" s="157"/>
      <c r="W271" s="157"/>
      <c r="X271" s="157"/>
      <c r="Y271" s="159"/>
      <c r="Z271" s="157"/>
      <c r="AA271" s="157"/>
      <c r="AB271" s="157"/>
      <c r="AC271" s="157"/>
      <c r="AD271" s="157"/>
      <c r="AE271" s="157"/>
      <c r="AF271" s="157"/>
      <c r="AG271" s="157"/>
      <c r="AH271" s="157"/>
      <c r="AI271" s="103">
        <f t="shared" si="117"/>
        <v>0</v>
      </c>
      <c r="AJ271" s="159"/>
      <c r="AK271" s="159"/>
      <c r="AL271" s="159"/>
      <c r="AM271" s="105">
        <f t="shared" si="118"/>
        <v>0</v>
      </c>
      <c r="AN271" s="157"/>
      <c r="AO271" s="157"/>
      <c r="AP271" s="157"/>
      <c r="AQ271" s="160"/>
      <c r="AR271" s="224">
        <f t="shared" si="119"/>
        <v>0</v>
      </c>
      <c r="AS271" s="274"/>
      <c r="AT271" s="126"/>
      <c r="AU271" s="126"/>
      <c r="AV271" s="126"/>
      <c r="AW271" s="126"/>
      <c r="AX271" s="275"/>
      <c r="AY271" s="138"/>
      <c r="AZ271" s="296"/>
      <c r="BA271" s="296"/>
      <c r="BB271" s="296"/>
      <c r="BC271" s="296"/>
      <c r="BD271" s="222">
        <f t="shared" si="120"/>
        <v>0</v>
      </c>
      <c r="BE271" s="162">
        <f t="shared" si="121"/>
        <v>0</v>
      </c>
      <c r="BF271" s="132"/>
      <c r="BG271" s="162">
        <f t="shared" si="122"/>
        <v>0</v>
      </c>
      <c r="BH271" s="163"/>
      <c r="BI271" s="163"/>
      <c r="BJ271" s="163"/>
      <c r="BK271" s="163"/>
      <c r="BL271" s="163"/>
      <c r="BM271" s="163"/>
      <c r="BN271" s="163"/>
      <c r="BO271" s="163"/>
      <c r="BP271" s="163"/>
      <c r="BQ271" s="141"/>
      <c r="BR271" s="163"/>
      <c r="BS271" s="163"/>
      <c r="BT271" s="163"/>
      <c r="BU271" s="164">
        <f t="shared" si="123"/>
        <v>0</v>
      </c>
      <c r="BV271" s="132"/>
    </row>
    <row r="272" ht="14.25" customHeight="1">
      <c r="A272" s="3"/>
      <c r="B272" s="2" t="s">
        <v>82</v>
      </c>
      <c r="C272" s="755">
        <f ref="C272:Q272" t="shared" si="125">SUM(C242:C271)</f>
        <v>0</v>
      </c>
      <c r="D272" s="755">
        <f t="shared" si="125"/>
        <v>0</v>
      </c>
      <c r="E272" s="755">
        <f t="shared" si="125"/>
        <v>0</v>
      </c>
      <c r="F272" s="755">
        <f t="shared" si="125"/>
        <v>0</v>
      </c>
      <c r="G272" s="755">
        <f t="shared" si="125"/>
        <v>0</v>
      </c>
      <c r="H272" s="757">
        <f t="shared" si="125"/>
        <v>0</v>
      </c>
      <c r="I272" s="755">
        <f t="shared" si="125"/>
        <v>0</v>
      </c>
      <c r="J272" s="755">
        <f t="shared" si="125"/>
        <v>0</v>
      </c>
      <c r="K272" s="755">
        <f t="shared" si="125"/>
        <v>0</v>
      </c>
      <c r="L272" s="755">
        <f t="shared" si="125"/>
        <v>0</v>
      </c>
      <c r="M272" s="755">
        <f t="shared" si="125"/>
        <v>0</v>
      </c>
      <c r="N272" s="755">
        <f t="shared" si="125"/>
        <v>0</v>
      </c>
      <c r="O272" s="755">
        <f t="shared" si="125"/>
        <v>0</v>
      </c>
      <c r="P272" s="755">
        <f t="shared" si="125"/>
        <v>0</v>
      </c>
      <c r="Q272" s="755">
        <f t="shared" si="125"/>
        <v>0</v>
      </c>
      <c r="R272" s="755">
        <f ref="R272:T272" t="shared" si="126">SUM(R241:R271)</f>
        <v>0</v>
      </c>
      <c r="S272" s="755">
        <f t="shared" si="126"/>
        <v>0</v>
      </c>
      <c r="T272" s="755">
        <f t="shared" si="126"/>
        <v>0</v>
      </c>
      <c r="U272" s="755">
        <f ref="U272:AI272" t="shared" si="127">SUM(U242:U271)</f>
        <v>0</v>
      </c>
      <c r="V272" s="755">
        <f t="shared" si="127"/>
        <v>0</v>
      </c>
      <c r="W272" s="755">
        <f t="shared" si="127"/>
        <v>0</v>
      </c>
      <c r="X272" s="755">
        <f t="shared" si="127"/>
        <v>0</v>
      </c>
      <c r="Y272" s="755">
        <f t="shared" si="127"/>
        <v>0</v>
      </c>
      <c r="Z272" s="755">
        <f t="shared" si="127"/>
        <v>0</v>
      </c>
      <c r="AA272" s="755">
        <f t="shared" si="127"/>
        <v>0</v>
      </c>
      <c r="AB272" s="755">
        <f t="shared" si="127"/>
        <v>0</v>
      </c>
      <c r="AC272" s="755">
        <f t="shared" si="127"/>
        <v>0</v>
      </c>
      <c r="AD272" s="755">
        <f t="shared" si="127"/>
        <v>0</v>
      </c>
      <c r="AE272" s="755">
        <f t="shared" si="127"/>
        <v>0</v>
      </c>
      <c r="AF272" s="755">
        <f t="shared" si="127"/>
        <v>0</v>
      </c>
      <c r="AG272" s="755">
        <f t="shared" si="127"/>
        <v>0</v>
      </c>
      <c r="AH272" s="755">
        <f t="shared" si="127"/>
        <v>0</v>
      </c>
      <c r="AI272" s="755">
        <f t="shared" si="127"/>
        <v>0</v>
      </c>
      <c r="AJ272" s="755">
        <f ref="AJ272:AL272" t="shared" si="128">SUM(AJ241:AJ271)</f>
        <v>0</v>
      </c>
      <c r="AK272" s="755">
        <f t="shared" si="128"/>
        <v>0</v>
      </c>
      <c r="AL272" s="755">
        <f t="shared" si="128"/>
        <v>0</v>
      </c>
      <c r="AM272" s="755">
        <f ref="AM272:AY272" t="shared" si="129">SUM(AM242:AM271)</f>
        <v>0</v>
      </c>
      <c r="AN272" s="755">
        <f t="shared" si="129"/>
        <v>0</v>
      </c>
      <c r="AO272" s="755">
        <f t="shared" si="129"/>
        <v>0</v>
      </c>
      <c r="AP272" s="755">
        <f t="shared" si="129"/>
        <v>0</v>
      </c>
      <c r="AQ272" s="755">
        <f t="shared" si="129"/>
        <v>0</v>
      </c>
      <c r="AR272" s="858">
        <f t="shared" si="129"/>
        <v>0</v>
      </c>
      <c r="AS272" s="858">
        <f t="shared" si="129"/>
        <v>0</v>
      </c>
      <c r="AT272" s="858">
        <f t="shared" si="129"/>
        <v>0</v>
      </c>
      <c r="AU272" s="858">
        <f t="shared" si="129"/>
        <v>0</v>
      </c>
      <c r="AV272" s="858">
        <f t="shared" si="129"/>
        <v>0</v>
      </c>
      <c r="AW272" s="858">
        <f t="shared" si="129"/>
        <v>0</v>
      </c>
      <c r="AX272" s="858">
        <f t="shared" si="129"/>
        <v>0</v>
      </c>
      <c r="AY272" s="809">
        <f t="shared" si="129"/>
        <v>0</v>
      </c>
      <c r="AZ272" s="770"/>
      <c r="BA272" s="755"/>
      <c r="BB272" s="755"/>
      <c r="BC272" s="755"/>
      <c r="BD272" s="755">
        <f ref="BD272:BE272" t="shared" si="130">SUM(BD242:BD271)</f>
        <v>0</v>
      </c>
      <c r="BE272" s="771">
        <f t="shared" si="130"/>
        <v>0</v>
      </c>
      <c r="BF272" s="235"/>
      <c r="BG272" s="755">
        <f ref="BG272:BS272" t="shared" si="131">SUM(BG242:BG271)</f>
        <v>0</v>
      </c>
      <c r="BH272" s="755">
        <f t="shared" si="131"/>
        <v>0</v>
      </c>
      <c r="BI272" s="755">
        <f t="shared" si="131"/>
        <v>0</v>
      </c>
      <c r="BJ272" s="755">
        <f t="shared" si="131"/>
        <v>0</v>
      </c>
      <c r="BK272" s="755">
        <f t="shared" si="131"/>
        <v>0</v>
      </c>
      <c r="BL272" s="755">
        <f t="shared" si="131"/>
        <v>0</v>
      </c>
      <c r="BM272" s="755">
        <f t="shared" si="131"/>
        <v>0</v>
      </c>
      <c r="BN272" s="755">
        <f t="shared" si="131"/>
        <v>0</v>
      </c>
      <c r="BO272" s="755">
        <f t="shared" si="131"/>
        <v>0</v>
      </c>
      <c r="BP272" s="755">
        <f t="shared" si="131"/>
        <v>0</v>
      </c>
      <c r="BQ272" s="755">
        <f t="shared" si="131"/>
        <v>0</v>
      </c>
      <c r="BR272" s="755">
        <f t="shared" si="131"/>
        <v>0</v>
      </c>
      <c r="BS272" s="755">
        <f t="shared" si="131"/>
        <v>0</v>
      </c>
      <c r="BT272" s="755"/>
      <c r="BU272" s="771">
        <f>SUM(BU242:BU271)</f>
        <v>0</v>
      </c>
      <c r="BV272" s="235"/>
    </row>
    <row r="273" ht="14.25" customHeight="1">
      <c r="A273" s="1"/>
      <c r="B273" s="2"/>
      <c r="C273" s="3"/>
      <c r="D273" s="3"/>
      <c r="E273" s="3"/>
      <c r="F273" s="3"/>
      <c r="G273" s="4"/>
      <c r="H273" s="4"/>
      <c r="I273" s="1"/>
      <c r="J273" s="3"/>
      <c r="K273" s="3"/>
      <c r="L273" s="3"/>
      <c r="M273" s="3"/>
      <c r="N273" s="3"/>
      <c r="O273" s="3"/>
      <c r="P273" s="3"/>
      <c r="Q273" s="3"/>
      <c r="R273" s="1"/>
      <c r="S273" s="1"/>
      <c r="T273" s="3"/>
      <c r="U273" s="3"/>
      <c r="V273" s="3"/>
      <c r="W273" s="132"/>
      <c r="X273" s="132"/>
      <c r="Y273" s="1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4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132"/>
      <c r="BD273" s="4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</row>
    <row r="274" ht="14.25" customHeight="1">
      <c r="A274" s="1"/>
      <c r="B274" s="2"/>
      <c r="C274" s="3"/>
      <c r="D274" s="3"/>
      <c r="E274" s="3"/>
      <c r="F274" s="3"/>
      <c r="G274" s="4"/>
      <c r="H274" s="4"/>
      <c r="I274" s="1"/>
      <c r="J274" s="3"/>
      <c r="K274" s="3"/>
      <c r="L274" s="3"/>
      <c r="M274" s="3"/>
      <c r="N274" s="3"/>
      <c r="O274" s="3"/>
      <c r="P274" s="3"/>
      <c r="Q274" s="3"/>
      <c r="R274" s="1"/>
      <c r="S274" s="1"/>
      <c r="T274" s="3"/>
      <c r="U274" s="3"/>
      <c r="V274" s="3"/>
      <c r="W274" s="132"/>
      <c r="X274" s="132"/>
      <c r="Y274" s="1"/>
      <c r="Z274" s="3"/>
      <c r="AA274" s="3"/>
      <c r="AB274" s="3"/>
      <c r="AC274" s="3"/>
      <c r="AD274" s="3"/>
      <c r="AE274" s="3"/>
      <c r="AF274" s="3"/>
      <c r="AG274" s="3"/>
      <c r="AH274" s="3"/>
      <c r="AI274" s="176"/>
      <c r="AJ274" s="3"/>
      <c r="AK274" s="3"/>
      <c r="AL274" s="3"/>
      <c r="AM274" s="4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132"/>
      <c r="BD274" s="177"/>
      <c r="BE274" s="3"/>
      <c r="BF274" s="3"/>
      <c r="BG274" s="3"/>
      <c r="BH274" s="3"/>
      <c r="BI274" s="3"/>
      <c r="BJ274" s="3"/>
      <c r="BK274" s="176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</row>
    <row r="275" ht="14.25" customHeight="1">
      <c r="A275" s="3"/>
      <c r="B275" s="215">
        <v>46266</v>
      </c>
      <c r="C275" s="94"/>
      <c r="D275" s="104"/>
      <c r="E275" s="97"/>
      <c r="F275" s="97"/>
      <c r="G275" s="816">
        <f ref="G275:G304" t="shared" si="132">+C275+D275+E275+F275</f>
        <v>0</v>
      </c>
      <c r="H275" s="817"/>
      <c r="I275" s="743"/>
      <c r="J275" s="100"/>
      <c r="K275" s="100"/>
      <c r="L275" s="101"/>
      <c r="M275" s="101"/>
      <c r="N275" s="101"/>
      <c r="O275" s="101"/>
      <c r="P275" s="101"/>
      <c r="Q275" s="101"/>
      <c r="R275" s="638"/>
      <c r="S275" s="638"/>
      <c r="T275" s="101"/>
      <c r="U275" s="103">
        <f ref="U275:U304" t="shared" si="133">SUM(I275:T275)</f>
        <v>0</v>
      </c>
      <c r="V275" s="186"/>
      <c r="W275" s="186"/>
      <c r="X275" s="186"/>
      <c r="Y275" s="638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03">
        <f ref="AI275:AI304" t="shared" si="134">SUM(V275:AH275)</f>
        <v>0</v>
      </c>
      <c r="AJ275" s="104"/>
      <c r="AK275" s="104"/>
      <c r="AL275" s="104"/>
      <c r="AM275" s="191">
        <f ref="AM275:AM304" t="shared" si="135">SUM(AJ275:AL275)</f>
        <v>0</v>
      </c>
      <c r="AN275" s="186"/>
      <c r="AO275" s="186"/>
      <c r="AP275" s="186"/>
      <c r="AQ275" s="193"/>
      <c r="AR275" s="266">
        <f ref="AR275:AR304" t="shared" si="136">+G275-U275-AI275-AM275-AN275-AO275-AP275-AQ275</f>
        <v>0</v>
      </c>
      <c r="AS275" s="859"/>
      <c r="AT275" s="860"/>
      <c r="AU275" s="860"/>
      <c r="AV275" s="860"/>
      <c r="AW275" s="860"/>
      <c r="AX275" s="860"/>
      <c r="AY275" s="861"/>
      <c r="AZ275" s="269"/>
      <c r="BA275" s="269"/>
      <c r="BB275" s="269"/>
      <c r="BC275" s="269"/>
      <c r="BD275" s="222">
        <f ref="BD275:BD304" t="shared" si="137">SUM(AS275:BC275)-BB275</f>
        <v>0</v>
      </c>
      <c r="BE275" s="114">
        <f ref="BE275:BE304" t="shared" si="138">+AR275-BD275</f>
        <v>0</v>
      </c>
      <c r="BF275" s="3"/>
      <c r="BG275" s="114">
        <f ref="BG275:BG304" t="shared" si="139">SUM(BH275:BT275)</f>
        <v>0</v>
      </c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116">
        <f ref="BU275:BU304" t="shared" si="140">+BE275-BG275</f>
        <v>0</v>
      </c>
      <c r="BV275" s="3"/>
    </row>
    <row r="276" ht="14.25" customHeight="1">
      <c r="A276" s="3"/>
      <c r="B276" s="215">
        <v>46267</v>
      </c>
      <c r="C276" s="118"/>
      <c r="D276" s="123"/>
      <c r="E276" s="120"/>
      <c r="F276" s="120"/>
      <c r="G276" s="98">
        <f t="shared" si="132"/>
        <v>0</v>
      </c>
      <c r="H276" s="819"/>
      <c r="I276" s="746"/>
      <c r="J276" s="122"/>
      <c r="K276" s="122"/>
      <c r="L276" s="99"/>
      <c r="M276" s="99"/>
      <c r="N276" s="99"/>
      <c r="O276" s="99"/>
      <c r="P276" s="99"/>
      <c r="Q276" s="99"/>
      <c r="R276" s="641"/>
      <c r="S276" s="641"/>
      <c r="T276" s="99"/>
      <c r="U276" s="103">
        <f t="shared" si="133"/>
        <v>0</v>
      </c>
      <c r="V276" s="143"/>
      <c r="W276" s="663"/>
      <c r="X276" s="663"/>
      <c r="Y276" s="136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03">
        <f t="shared" si="134"/>
        <v>0</v>
      </c>
      <c r="AJ276" s="123"/>
      <c r="AK276" s="123"/>
      <c r="AL276" s="123"/>
      <c r="AM276" s="105">
        <f t="shared" si="135"/>
        <v>0</v>
      </c>
      <c r="AN276" s="143"/>
      <c r="AO276" s="143"/>
      <c r="AP276" s="143"/>
      <c r="AQ276" s="146"/>
      <c r="AR276" s="224">
        <f t="shared" si="136"/>
        <v>0</v>
      </c>
      <c r="AS276" s="862"/>
      <c r="AT276" s="863"/>
      <c r="AU276" s="863"/>
      <c r="AV276" s="863"/>
      <c r="AW276" s="863"/>
      <c r="AX276" s="863"/>
      <c r="AY276" s="864"/>
      <c r="AZ276" s="274"/>
      <c r="BA276" s="274"/>
      <c r="BB276" s="274"/>
      <c r="BC276" s="274"/>
      <c r="BD276" s="222">
        <f t="shared" si="137"/>
        <v>0</v>
      </c>
      <c r="BE276" s="113">
        <f t="shared" si="138"/>
        <v>0</v>
      </c>
      <c r="BF276" s="3"/>
      <c r="BG276" s="113">
        <f t="shared" si="139"/>
        <v>0</v>
      </c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30">
        <f t="shared" si="140"/>
        <v>0</v>
      </c>
      <c r="BV276" s="3"/>
    </row>
    <row r="277" ht="15.75" customHeight="1">
      <c r="A277" s="132"/>
      <c r="B277" s="215">
        <v>46268</v>
      </c>
      <c r="C277" s="118"/>
      <c r="D277" s="136"/>
      <c r="E277" s="135"/>
      <c r="F277" s="135"/>
      <c r="G277" s="98">
        <f t="shared" si="132"/>
        <v>0</v>
      </c>
      <c r="H277" s="819"/>
      <c r="I277" s="746"/>
      <c r="J277" s="122"/>
      <c r="K277" s="122"/>
      <c r="L277" s="99"/>
      <c r="M277" s="99"/>
      <c r="N277" s="99"/>
      <c r="O277" s="99"/>
      <c r="P277" s="99"/>
      <c r="Q277" s="99"/>
      <c r="R277" s="641"/>
      <c r="S277" s="641"/>
      <c r="T277" s="99"/>
      <c r="U277" s="103">
        <f t="shared" si="133"/>
        <v>0</v>
      </c>
      <c r="V277" s="143"/>
      <c r="W277" s="143"/>
      <c r="X277" s="143"/>
      <c r="Y277" s="136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03">
        <f t="shared" si="134"/>
        <v>0</v>
      </c>
      <c r="AJ277" s="136"/>
      <c r="AK277" s="136"/>
      <c r="AL277" s="136"/>
      <c r="AM277" s="105">
        <f t="shared" si="135"/>
        <v>0</v>
      </c>
      <c r="AN277" s="143"/>
      <c r="AO277" s="143"/>
      <c r="AP277" s="143"/>
      <c r="AQ277" s="146"/>
      <c r="AR277" s="224">
        <f t="shared" si="136"/>
        <v>0</v>
      </c>
      <c r="AS277" s="862"/>
      <c r="AT277" s="863"/>
      <c r="AU277" s="863"/>
      <c r="AV277" s="863"/>
      <c r="AW277" s="863"/>
      <c r="AX277" s="863"/>
      <c r="AY277" s="864"/>
      <c r="AZ277" s="274"/>
      <c r="BA277" s="274"/>
      <c r="BB277" s="274"/>
      <c r="BC277" s="274"/>
      <c r="BD277" s="222">
        <f t="shared" si="137"/>
        <v>0</v>
      </c>
      <c r="BE277" s="140">
        <f t="shared" si="138"/>
        <v>0</v>
      </c>
      <c r="BF277" s="132"/>
      <c r="BG277" s="140">
        <f t="shared" si="139"/>
        <v>0</v>
      </c>
      <c r="BH277" s="141"/>
      <c r="BI277" s="141"/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30">
        <f t="shared" si="140"/>
        <v>0</v>
      </c>
      <c r="BV277" s="132"/>
    </row>
    <row r="278" ht="14.25" customHeight="1">
      <c r="A278" s="132"/>
      <c r="B278" s="215">
        <v>46269</v>
      </c>
      <c r="C278" s="133"/>
      <c r="D278" s="136"/>
      <c r="E278" s="135"/>
      <c r="F278" s="135"/>
      <c r="G278" s="98">
        <f t="shared" si="132"/>
        <v>0</v>
      </c>
      <c r="H278" s="819"/>
      <c r="I278" s="746"/>
      <c r="J278" s="122"/>
      <c r="K278" s="122"/>
      <c r="L278" s="99"/>
      <c r="M278" s="99"/>
      <c r="N278" s="99"/>
      <c r="O278" s="99"/>
      <c r="P278" s="99"/>
      <c r="Q278" s="99"/>
      <c r="R278" s="641"/>
      <c r="S278" s="641"/>
      <c r="T278" s="99"/>
      <c r="U278" s="103">
        <f t="shared" si="133"/>
        <v>0</v>
      </c>
      <c r="V278" s="143"/>
      <c r="W278" s="143"/>
      <c r="X278" s="143"/>
      <c r="Y278" s="13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03">
        <f t="shared" si="134"/>
        <v>0</v>
      </c>
      <c r="AJ278" s="136"/>
      <c r="AK278" s="136"/>
      <c r="AL278" s="136"/>
      <c r="AM278" s="105">
        <f t="shared" si="135"/>
        <v>0</v>
      </c>
      <c r="AN278" s="143"/>
      <c r="AO278" s="143"/>
      <c r="AP278" s="143"/>
      <c r="AQ278" s="146"/>
      <c r="AR278" s="224">
        <f t="shared" si="136"/>
        <v>0</v>
      </c>
      <c r="AS278" s="862"/>
      <c r="AT278" s="865"/>
      <c r="AU278" s="865"/>
      <c r="AV278" s="863"/>
      <c r="AW278" s="863"/>
      <c r="AX278" s="863"/>
      <c r="AY278" s="864"/>
      <c r="AZ278" s="274"/>
      <c r="BA278" s="274"/>
      <c r="BB278" s="274"/>
      <c r="BC278" s="274"/>
      <c r="BD278" s="222">
        <f t="shared" si="137"/>
        <v>0</v>
      </c>
      <c r="BE278" s="140">
        <f t="shared" si="138"/>
        <v>0</v>
      </c>
      <c r="BF278" s="132"/>
      <c r="BG278" s="140">
        <f t="shared" si="139"/>
        <v>0</v>
      </c>
      <c r="BH278" s="141"/>
      <c r="BI278" s="141"/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30">
        <f t="shared" si="140"/>
        <v>0</v>
      </c>
      <c r="BV278" s="132"/>
    </row>
    <row r="279" ht="14.25" customHeight="1">
      <c r="A279" s="132"/>
      <c r="B279" s="215">
        <v>46270</v>
      </c>
      <c r="C279" s="133"/>
      <c r="D279" s="136"/>
      <c r="E279" s="135"/>
      <c r="F279" s="135"/>
      <c r="G279" s="98">
        <f t="shared" si="132"/>
        <v>0</v>
      </c>
      <c r="H279" s="819"/>
      <c r="I279" s="746"/>
      <c r="J279" s="122"/>
      <c r="K279" s="122"/>
      <c r="L279" s="99"/>
      <c r="M279" s="99"/>
      <c r="N279" s="99"/>
      <c r="O279" s="99"/>
      <c r="P279" s="99"/>
      <c r="Q279" s="99"/>
      <c r="R279" s="641"/>
      <c r="S279" s="641"/>
      <c r="T279" s="99"/>
      <c r="U279" s="103">
        <f t="shared" si="133"/>
        <v>0</v>
      </c>
      <c r="V279" s="143"/>
      <c r="W279" s="143"/>
      <c r="X279" s="143"/>
      <c r="Y279" s="136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03">
        <f t="shared" si="134"/>
        <v>0</v>
      </c>
      <c r="AJ279" s="136"/>
      <c r="AK279" s="136"/>
      <c r="AL279" s="136"/>
      <c r="AM279" s="105">
        <f t="shared" si="135"/>
        <v>0</v>
      </c>
      <c r="AN279" s="143"/>
      <c r="AO279" s="143"/>
      <c r="AP279" s="143"/>
      <c r="AQ279" s="146"/>
      <c r="AR279" s="224">
        <f t="shared" si="136"/>
        <v>0</v>
      </c>
      <c r="AS279" s="862"/>
      <c r="AT279" s="863"/>
      <c r="AU279" s="866"/>
      <c r="AV279" s="863"/>
      <c r="AW279" s="863"/>
      <c r="AX279" s="863"/>
      <c r="AY279" s="864"/>
      <c r="AZ279" s="274"/>
      <c r="BA279" s="274"/>
      <c r="BB279" s="274"/>
      <c r="BC279" s="274"/>
      <c r="BD279" s="222">
        <f t="shared" si="137"/>
        <v>0</v>
      </c>
      <c r="BE279" s="140">
        <f t="shared" si="138"/>
        <v>0</v>
      </c>
      <c r="BF279" s="132"/>
      <c r="BG279" s="140">
        <f t="shared" si="139"/>
        <v>0</v>
      </c>
      <c r="BH279" s="141"/>
      <c r="BI279" s="141"/>
      <c r="BJ279" s="141"/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30">
        <f t="shared" si="140"/>
        <v>0</v>
      </c>
      <c r="BV279" s="132"/>
    </row>
    <row r="280" ht="14.25" customHeight="1">
      <c r="A280" s="132"/>
      <c r="B280" s="215">
        <v>46271</v>
      </c>
      <c r="C280" s="133"/>
      <c r="D280" s="136"/>
      <c r="E280" s="135"/>
      <c r="F280" s="135"/>
      <c r="G280" s="98">
        <f t="shared" si="132"/>
        <v>0</v>
      </c>
      <c r="H280" s="819"/>
      <c r="I280" s="746"/>
      <c r="J280" s="122"/>
      <c r="K280" s="122"/>
      <c r="L280" s="99"/>
      <c r="M280" s="99"/>
      <c r="N280" s="99"/>
      <c r="O280" s="99"/>
      <c r="P280" s="99"/>
      <c r="Q280" s="99"/>
      <c r="R280" s="641"/>
      <c r="S280" s="641"/>
      <c r="T280" s="99"/>
      <c r="U280" s="103">
        <f t="shared" si="133"/>
        <v>0</v>
      </c>
      <c r="V280" s="143"/>
      <c r="W280" s="143"/>
      <c r="X280" s="143"/>
      <c r="Y280" s="136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03">
        <f t="shared" si="134"/>
        <v>0</v>
      </c>
      <c r="AJ280" s="136"/>
      <c r="AK280" s="136"/>
      <c r="AL280" s="136"/>
      <c r="AM280" s="105">
        <f t="shared" si="135"/>
        <v>0</v>
      </c>
      <c r="AN280" s="143"/>
      <c r="AO280" s="143"/>
      <c r="AP280" s="143"/>
      <c r="AQ280" s="146"/>
      <c r="AR280" s="224">
        <f t="shared" si="136"/>
        <v>0</v>
      </c>
      <c r="AS280" s="862"/>
      <c r="AT280" s="863"/>
      <c r="AU280" s="863"/>
      <c r="AV280" s="863"/>
      <c r="AW280" s="863"/>
      <c r="AX280" s="863"/>
      <c r="AY280" s="864"/>
      <c r="AZ280" s="274"/>
      <c r="BA280" s="274"/>
      <c r="BB280" s="274"/>
      <c r="BC280" s="274"/>
      <c r="BD280" s="222">
        <f t="shared" si="137"/>
        <v>0</v>
      </c>
      <c r="BE280" s="140">
        <f t="shared" si="138"/>
        <v>0</v>
      </c>
      <c r="BF280" s="132"/>
      <c r="BG280" s="140">
        <f t="shared" si="139"/>
        <v>0</v>
      </c>
      <c r="BH280" s="141"/>
      <c r="BI280" s="141"/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30">
        <f t="shared" si="140"/>
        <v>0</v>
      </c>
      <c r="BV280" s="132"/>
    </row>
    <row r="281" ht="14.25" customHeight="1">
      <c r="A281" s="132"/>
      <c r="B281" s="215">
        <v>46272</v>
      </c>
      <c r="C281" s="133"/>
      <c r="D281" s="136"/>
      <c r="E281" s="135"/>
      <c r="F281" s="135"/>
      <c r="G281" s="98">
        <f t="shared" si="132"/>
        <v>0</v>
      </c>
      <c r="H281" s="819"/>
      <c r="I281" s="746"/>
      <c r="J281" s="122"/>
      <c r="K281" s="122"/>
      <c r="L281" s="99"/>
      <c r="M281" s="99"/>
      <c r="N281" s="99"/>
      <c r="O281" s="99"/>
      <c r="P281" s="99"/>
      <c r="Q281" s="99"/>
      <c r="R281" s="641"/>
      <c r="S281" s="641"/>
      <c r="T281" s="99"/>
      <c r="U281" s="103">
        <f t="shared" si="133"/>
        <v>0</v>
      </c>
      <c r="V281" s="143"/>
      <c r="W281" s="143"/>
      <c r="X281" s="143"/>
      <c r="Y281" s="136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03">
        <f t="shared" si="134"/>
        <v>0</v>
      </c>
      <c r="AJ281" s="136"/>
      <c r="AK281" s="136"/>
      <c r="AL281" s="136"/>
      <c r="AM281" s="105">
        <f t="shared" si="135"/>
        <v>0</v>
      </c>
      <c r="AN281" s="143"/>
      <c r="AO281" s="143"/>
      <c r="AP281" s="143"/>
      <c r="AQ281" s="146"/>
      <c r="AR281" s="224">
        <f t="shared" si="136"/>
        <v>0</v>
      </c>
      <c r="AS281" s="862"/>
      <c r="AT281" s="863"/>
      <c r="AU281" s="863"/>
      <c r="AV281" s="863"/>
      <c r="AW281" s="863"/>
      <c r="AX281" s="863"/>
      <c r="AY281" s="864"/>
      <c r="AZ281" s="274"/>
      <c r="BA281" s="274"/>
      <c r="BB281" s="274"/>
      <c r="BC281" s="274"/>
      <c r="BD281" s="222">
        <f t="shared" si="137"/>
        <v>0</v>
      </c>
      <c r="BE281" s="140">
        <f t="shared" si="138"/>
        <v>0</v>
      </c>
      <c r="BF281" s="132"/>
      <c r="BG281" s="140">
        <f t="shared" si="139"/>
        <v>0</v>
      </c>
      <c r="BH281" s="141"/>
      <c r="BI281" s="141"/>
      <c r="BJ281" s="141"/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30">
        <f t="shared" si="140"/>
        <v>0</v>
      </c>
      <c r="BV281" s="132"/>
    </row>
    <row r="282" ht="14.25" customHeight="1">
      <c r="A282" s="132"/>
      <c r="B282" s="215">
        <v>46273</v>
      </c>
      <c r="C282" s="133"/>
      <c r="D282" s="136"/>
      <c r="E282" s="135"/>
      <c r="F282" s="135"/>
      <c r="G282" s="98">
        <f t="shared" si="132"/>
        <v>0</v>
      </c>
      <c r="H282" s="819"/>
      <c r="I282" s="746"/>
      <c r="J282" s="122"/>
      <c r="K282" s="122"/>
      <c r="L282" s="99"/>
      <c r="M282" s="99"/>
      <c r="N282" s="99"/>
      <c r="O282" s="99"/>
      <c r="P282" s="99"/>
      <c r="Q282" s="99"/>
      <c r="R282" s="641"/>
      <c r="S282" s="641"/>
      <c r="T282" s="99"/>
      <c r="U282" s="103">
        <f t="shared" si="133"/>
        <v>0</v>
      </c>
      <c r="V282" s="146"/>
      <c r="W282" s="780"/>
      <c r="X282" s="231"/>
      <c r="Y282" s="136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03">
        <f t="shared" si="134"/>
        <v>0</v>
      </c>
      <c r="AJ282" s="136"/>
      <c r="AK282" s="136"/>
      <c r="AL282" s="136"/>
      <c r="AM282" s="105">
        <f t="shared" si="135"/>
        <v>0</v>
      </c>
      <c r="AN282" s="143"/>
      <c r="AO282" s="143"/>
      <c r="AP282" s="143"/>
      <c r="AQ282" s="146"/>
      <c r="AR282" s="224">
        <f t="shared" si="136"/>
        <v>0</v>
      </c>
      <c r="AS282" s="862"/>
      <c r="AT282" s="863"/>
      <c r="AU282" s="863"/>
      <c r="AV282" s="863"/>
      <c r="AW282" s="863"/>
      <c r="AX282" s="863"/>
      <c r="AY282" s="864"/>
      <c r="AZ282" s="274"/>
      <c r="BA282" s="274"/>
      <c r="BB282" s="274"/>
      <c r="BC282" s="274"/>
      <c r="BD282" s="222">
        <f t="shared" si="137"/>
        <v>0</v>
      </c>
      <c r="BE282" s="140">
        <f t="shared" si="138"/>
        <v>0</v>
      </c>
      <c r="BF282" s="132"/>
      <c r="BG282" s="140">
        <f t="shared" si="139"/>
        <v>0</v>
      </c>
      <c r="BH282" s="141"/>
      <c r="BI282" s="141"/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30">
        <f t="shared" si="140"/>
        <v>0</v>
      </c>
      <c r="BV282" s="132"/>
    </row>
    <row r="283" ht="14.25" customHeight="1">
      <c r="A283" s="132"/>
      <c r="B283" s="215">
        <v>46274</v>
      </c>
      <c r="C283" s="133"/>
      <c r="D283" s="136"/>
      <c r="E283" s="135"/>
      <c r="F283" s="135"/>
      <c r="G283" s="98">
        <f t="shared" si="132"/>
        <v>0</v>
      </c>
      <c r="H283" s="819"/>
      <c r="I283" s="746"/>
      <c r="J283" s="122"/>
      <c r="K283" s="122"/>
      <c r="L283" s="99"/>
      <c r="M283" s="99"/>
      <c r="N283" s="99"/>
      <c r="O283" s="99"/>
      <c r="P283" s="99"/>
      <c r="Q283" s="99"/>
      <c r="R283" s="641"/>
      <c r="S283" s="641"/>
      <c r="T283" s="99"/>
      <c r="U283" s="103">
        <f t="shared" si="133"/>
        <v>0</v>
      </c>
      <c r="V283" s="143"/>
      <c r="W283" s="143"/>
      <c r="X283" s="143"/>
      <c r="Y283" s="136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03">
        <f t="shared" si="134"/>
        <v>0</v>
      </c>
      <c r="AJ283" s="136"/>
      <c r="AK283" s="136"/>
      <c r="AL283" s="136"/>
      <c r="AM283" s="105">
        <f t="shared" si="135"/>
        <v>0</v>
      </c>
      <c r="AN283" s="143"/>
      <c r="AO283" s="143"/>
      <c r="AP283" s="143"/>
      <c r="AQ283" s="146"/>
      <c r="AR283" s="224">
        <f t="shared" si="136"/>
        <v>0</v>
      </c>
      <c r="AS283" s="862"/>
      <c r="AT283" s="863"/>
      <c r="AU283" s="867"/>
      <c r="AV283" s="863"/>
      <c r="AW283" s="863"/>
      <c r="AX283" s="863"/>
      <c r="AY283" s="864"/>
      <c r="AZ283" s="274"/>
      <c r="BA283" s="274"/>
      <c r="BB283" s="274"/>
      <c r="BC283" s="274"/>
      <c r="BD283" s="222">
        <f t="shared" si="137"/>
        <v>0</v>
      </c>
      <c r="BE283" s="140">
        <f t="shared" si="138"/>
        <v>0</v>
      </c>
      <c r="BF283" s="132"/>
      <c r="BG283" s="140">
        <f t="shared" si="139"/>
        <v>0</v>
      </c>
      <c r="BH283" s="141"/>
      <c r="BI283" s="141"/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30">
        <f t="shared" si="140"/>
        <v>0</v>
      </c>
      <c r="BV283" s="132"/>
    </row>
    <row r="284" ht="14.25" customHeight="1">
      <c r="A284" s="132"/>
      <c r="B284" s="215">
        <v>46275</v>
      </c>
      <c r="C284" s="133"/>
      <c r="D284" s="136"/>
      <c r="E284" s="135"/>
      <c r="F284" s="135"/>
      <c r="G284" s="98">
        <f t="shared" si="132"/>
        <v>0</v>
      </c>
      <c r="H284" s="819"/>
      <c r="I284" s="746"/>
      <c r="J284" s="122"/>
      <c r="K284" s="122"/>
      <c r="L284" s="99"/>
      <c r="M284" s="99"/>
      <c r="N284" s="99"/>
      <c r="O284" s="99"/>
      <c r="P284" s="99"/>
      <c r="Q284" s="99"/>
      <c r="R284" s="641"/>
      <c r="S284" s="641"/>
      <c r="T284" s="99"/>
      <c r="U284" s="103">
        <f t="shared" si="133"/>
        <v>0</v>
      </c>
      <c r="V284" s="143"/>
      <c r="W284" s="143"/>
      <c r="X284" s="143"/>
      <c r="Y284" s="136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03">
        <f t="shared" si="134"/>
        <v>0</v>
      </c>
      <c r="AJ284" s="136"/>
      <c r="AK284" s="136"/>
      <c r="AL284" s="136"/>
      <c r="AM284" s="105">
        <f t="shared" si="135"/>
        <v>0</v>
      </c>
      <c r="AN284" s="143"/>
      <c r="AO284" s="143"/>
      <c r="AP284" s="143"/>
      <c r="AQ284" s="146"/>
      <c r="AR284" s="224">
        <f t="shared" si="136"/>
        <v>0</v>
      </c>
      <c r="AS284" s="862"/>
      <c r="AT284" s="863"/>
      <c r="AU284" s="863"/>
      <c r="AV284" s="863"/>
      <c r="AW284" s="863"/>
      <c r="AX284" s="863"/>
      <c r="AY284" s="864"/>
      <c r="AZ284" s="274"/>
      <c r="BA284" s="274"/>
      <c r="BB284" s="274"/>
      <c r="BC284" s="274"/>
      <c r="BD284" s="222">
        <f t="shared" si="137"/>
        <v>0</v>
      </c>
      <c r="BE284" s="140">
        <f t="shared" si="138"/>
        <v>0</v>
      </c>
      <c r="BF284" s="132"/>
      <c r="BG284" s="140">
        <f t="shared" si="139"/>
        <v>0</v>
      </c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30">
        <f t="shared" si="140"/>
        <v>0</v>
      </c>
      <c r="BV284" s="132"/>
    </row>
    <row r="285" ht="14.25" customHeight="1">
      <c r="A285" s="132"/>
      <c r="B285" s="215">
        <v>46276</v>
      </c>
      <c r="C285" s="133"/>
      <c r="D285" s="136"/>
      <c r="E285" s="135"/>
      <c r="F285" s="135"/>
      <c r="G285" s="98">
        <f t="shared" si="132"/>
        <v>0</v>
      </c>
      <c r="H285" s="819"/>
      <c r="I285" s="746"/>
      <c r="J285" s="122"/>
      <c r="K285" s="122"/>
      <c r="L285" s="99"/>
      <c r="M285" s="99"/>
      <c r="N285" s="99"/>
      <c r="O285" s="99"/>
      <c r="P285" s="99"/>
      <c r="Q285" s="99"/>
      <c r="R285" s="641"/>
      <c r="S285" s="641"/>
      <c r="T285" s="99"/>
      <c r="U285" s="103">
        <f t="shared" si="133"/>
        <v>0</v>
      </c>
      <c r="V285" s="143"/>
      <c r="W285" s="143"/>
      <c r="X285" s="143"/>
      <c r="Y285" s="136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03">
        <f t="shared" si="134"/>
        <v>0</v>
      </c>
      <c r="AJ285" s="136"/>
      <c r="AK285" s="136"/>
      <c r="AL285" s="136"/>
      <c r="AM285" s="105">
        <f t="shared" si="135"/>
        <v>0</v>
      </c>
      <c r="AN285" s="143"/>
      <c r="AO285" s="143"/>
      <c r="AP285" s="143"/>
      <c r="AQ285" s="146"/>
      <c r="AR285" s="224">
        <f t="shared" si="136"/>
        <v>0</v>
      </c>
      <c r="AS285" s="862"/>
      <c r="AT285" s="863"/>
      <c r="AU285" s="863"/>
      <c r="AV285" s="863"/>
      <c r="AW285" s="863"/>
      <c r="AX285" s="863"/>
      <c r="AY285" s="864"/>
      <c r="AZ285" s="274"/>
      <c r="BA285" s="274"/>
      <c r="BB285" s="274"/>
      <c r="BC285" s="274"/>
      <c r="BD285" s="222">
        <f t="shared" si="137"/>
        <v>0</v>
      </c>
      <c r="BE285" s="140">
        <f t="shared" si="138"/>
        <v>0</v>
      </c>
      <c r="BF285" s="132"/>
      <c r="BG285" s="140">
        <f t="shared" si="139"/>
        <v>0</v>
      </c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30">
        <f t="shared" si="140"/>
        <v>0</v>
      </c>
      <c r="BV285" s="132"/>
    </row>
    <row r="286" ht="14.25" customHeight="1">
      <c r="A286" s="132"/>
      <c r="B286" s="215">
        <v>46277</v>
      </c>
      <c r="C286" s="133"/>
      <c r="D286" s="136"/>
      <c r="E286" s="135"/>
      <c r="F286" s="135"/>
      <c r="G286" s="98">
        <f t="shared" si="132"/>
        <v>0</v>
      </c>
      <c r="H286" s="819"/>
      <c r="I286" s="746"/>
      <c r="J286" s="122"/>
      <c r="K286" s="122"/>
      <c r="L286" s="99"/>
      <c r="M286" s="99"/>
      <c r="N286" s="99"/>
      <c r="O286" s="99"/>
      <c r="P286" s="99"/>
      <c r="Q286" s="99"/>
      <c r="R286" s="641"/>
      <c r="S286" s="641"/>
      <c r="T286" s="99"/>
      <c r="U286" s="103">
        <f t="shared" si="133"/>
        <v>0</v>
      </c>
      <c r="V286" s="143"/>
      <c r="W286" s="143"/>
      <c r="X286" s="143"/>
      <c r="Y286" s="136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03">
        <f t="shared" si="134"/>
        <v>0</v>
      </c>
      <c r="AJ286" s="136"/>
      <c r="AK286" s="136"/>
      <c r="AL286" s="136"/>
      <c r="AM286" s="105">
        <f t="shared" si="135"/>
        <v>0</v>
      </c>
      <c r="AN286" s="143"/>
      <c r="AO286" s="143"/>
      <c r="AP286" s="143"/>
      <c r="AQ286" s="146"/>
      <c r="AR286" s="224">
        <f t="shared" si="136"/>
        <v>0</v>
      </c>
      <c r="AS286" s="862"/>
      <c r="AT286" s="863"/>
      <c r="AU286" s="863"/>
      <c r="AV286" s="863"/>
      <c r="AW286" s="863"/>
      <c r="AX286" s="863"/>
      <c r="AY286" s="864"/>
      <c r="AZ286" s="274"/>
      <c r="BA286" s="274"/>
      <c r="BB286" s="274"/>
      <c r="BC286" s="274"/>
      <c r="BD286" s="222">
        <f t="shared" si="137"/>
        <v>0</v>
      </c>
      <c r="BE286" s="140">
        <f t="shared" si="138"/>
        <v>0</v>
      </c>
      <c r="BF286" s="132"/>
      <c r="BG286" s="140">
        <f t="shared" si="139"/>
        <v>0</v>
      </c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30">
        <f t="shared" si="140"/>
        <v>0</v>
      </c>
      <c r="BV286" s="132"/>
    </row>
    <row r="287" ht="14.25" customHeight="1">
      <c r="A287" s="3"/>
      <c r="B287" s="215">
        <v>46278</v>
      </c>
      <c r="C287" s="118"/>
      <c r="D287" s="123"/>
      <c r="E287" s="120"/>
      <c r="F287" s="120"/>
      <c r="G287" s="98">
        <f t="shared" si="132"/>
        <v>0</v>
      </c>
      <c r="H287" s="819"/>
      <c r="I287" s="746"/>
      <c r="J287" s="122"/>
      <c r="K287" s="122"/>
      <c r="L287" s="99"/>
      <c r="M287" s="99"/>
      <c r="N287" s="99"/>
      <c r="O287" s="99"/>
      <c r="P287" s="99"/>
      <c r="Q287" s="99"/>
      <c r="R287" s="641"/>
      <c r="S287" s="641"/>
      <c r="T287" s="99"/>
      <c r="U287" s="103">
        <f t="shared" si="133"/>
        <v>0</v>
      </c>
      <c r="V287" s="143"/>
      <c r="W287" s="143"/>
      <c r="X287" s="143"/>
      <c r="Y287" s="136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03">
        <f t="shared" si="134"/>
        <v>0</v>
      </c>
      <c r="AJ287" s="123"/>
      <c r="AK287" s="123"/>
      <c r="AL287" s="123"/>
      <c r="AM287" s="105">
        <f t="shared" si="135"/>
        <v>0</v>
      </c>
      <c r="AN287" s="143"/>
      <c r="AO287" s="143"/>
      <c r="AP287" s="143"/>
      <c r="AQ287" s="146"/>
      <c r="AR287" s="224">
        <f t="shared" si="136"/>
        <v>0</v>
      </c>
      <c r="AS287" s="862"/>
      <c r="AT287" s="863"/>
      <c r="AU287" s="863"/>
      <c r="AV287" s="863"/>
      <c r="AW287" s="863"/>
      <c r="AX287" s="863"/>
      <c r="AY287" s="864"/>
      <c r="AZ287" s="274"/>
      <c r="BA287" s="274"/>
      <c r="BB287" s="274"/>
      <c r="BC287" s="274"/>
      <c r="BD287" s="222">
        <f t="shared" si="137"/>
        <v>0</v>
      </c>
      <c r="BE287" s="113">
        <f t="shared" si="138"/>
        <v>0</v>
      </c>
      <c r="BF287" s="3"/>
      <c r="BG287" s="113">
        <f t="shared" si="139"/>
        <v>0</v>
      </c>
      <c r="BH287" s="129"/>
      <c r="BI287" s="129"/>
      <c r="BJ287" s="129"/>
      <c r="BK287" s="129"/>
      <c r="BL287" s="129"/>
      <c r="BM287" s="129"/>
      <c r="BN287" s="129"/>
      <c r="BO287" s="129"/>
      <c r="BP287" s="129"/>
      <c r="BQ287" s="129"/>
      <c r="BR287" s="129"/>
      <c r="BS287" s="129"/>
      <c r="BT287" s="129"/>
      <c r="BU287" s="130">
        <f t="shared" si="140"/>
        <v>0</v>
      </c>
      <c r="BV287" s="3"/>
    </row>
    <row r="288" ht="14.25" customHeight="1">
      <c r="A288" s="132"/>
      <c r="B288" s="215">
        <v>46279</v>
      </c>
      <c r="C288" s="133"/>
      <c r="D288" s="136"/>
      <c r="E288" s="135"/>
      <c r="F288" s="135"/>
      <c r="G288" s="98">
        <f t="shared" si="132"/>
        <v>0</v>
      </c>
      <c r="H288" s="819"/>
      <c r="I288" s="746"/>
      <c r="J288" s="122"/>
      <c r="K288" s="122"/>
      <c r="L288" s="99"/>
      <c r="M288" s="99"/>
      <c r="N288" s="99"/>
      <c r="O288" s="99"/>
      <c r="P288" s="99"/>
      <c r="Q288" s="99"/>
      <c r="R288" s="641"/>
      <c r="S288" s="641"/>
      <c r="T288" s="99"/>
      <c r="U288" s="103">
        <f t="shared" si="133"/>
        <v>0</v>
      </c>
      <c r="V288" s="143"/>
      <c r="W288" s="143"/>
      <c r="X288" s="143"/>
      <c r="Y288" s="136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03">
        <f t="shared" si="134"/>
        <v>0</v>
      </c>
      <c r="AJ288" s="136"/>
      <c r="AK288" s="136"/>
      <c r="AL288" s="136"/>
      <c r="AM288" s="105">
        <f t="shared" si="135"/>
        <v>0</v>
      </c>
      <c r="AN288" s="143"/>
      <c r="AO288" s="143"/>
      <c r="AP288" s="143"/>
      <c r="AQ288" s="146"/>
      <c r="AR288" s="224">
        <f t="shared" si="136"/>
        <v>0</v>
      </c>
      <c r="AS288" s="862"/>
      <c r="AT288" s="863"/>
      <c r="AU288" s="863"/>
      <c r="AV288" s="863"/>
      <c r="AW288" s="863"/>
      <c r="AX288" s="863"/>
      <c r="AY288" s="864"/>
      <c r="AZ288" s="274"/>
      <c r="BA288" s="274"/>
      <c r="BB288" s="274"/>
      <c r="BC288" s="274"/>
      <c r="BD288" s="222">
        <f t="shared" si="137"/>
        <v>0</v>
      </c>
      <c r="BE288" s="140">
        <f t="shared" si="138"/>
        <v>0</v>
      </c>
      <c r="BF288" s="132"/>
      <c r="BG288" s="140">
        <f t="shared" si="139"/>
        <v>0</v>
      </c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30">
        <f t="shared" si="140"/>
        <v>0</v>
      </c>
      <c r="BV288" s="132"/>
    </row>
    <row r="289" ht="14.25" customHeight="1">
      <c r="A289" s="132"/>
      <c r="B289" s="215">
        <v>46280</v>
      </c>
      <c r="C289" s="133"/>
      <c r="D289" s="136"/>
      <c r="E289" s="135"/>
      <c r="F289" s="135"/>
      <c r="G289" s="98">
        <f t="shared" si="132"/>
        <v>0</v>
      </c>
      <c r="H289" s="819"/>
      <c r="I289" s="746"/>
      <c r="J289" s="122"/>
      <c r="K289" s="122"/>
      <c r="L289" s="99"/>
      <c r="M289" s="99"/>
      <c r="N289" s="99"/>
      <c r="O289" s="99"/>
      <c r="P289" s="99"/>
      <c r="Q289" s="99"/>
      <c r="R289" s="641"/>
      <c r="S289" s="641"/>
      <c r="T289" s="99"/>
      <c r="U289" s="103">
        <f t="shared" si="133"/>
        <v>0</v>
      </c>
      <c r="V289" s="143"/>
      <c r="W289" s="231"/>
      <c r="X289" s="231"/>
      <c r="Y289" s="136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03">
        <f t="shared" si="134"/>
        <v>0</v>
      </c>
      <c r="AJ289" s="136"/>
      <c r="AK289" s="136"/>
      <c r="AL289" s="136"/>
      <c r="AM289" s="105">
        <f t="shared" si="135"/>
        <v>0</v>
      </c>
      <c r="AN289" s="143"/>
      <c r="AO289" s="143"/>
      <c r="AP289" s="143"/>
      <c r="AQ289" s="146"/>
      <c r="AR289" s="224">
        <f t="shared" si="136"/>
        <v>0</v>
      </c>
      <c r="AS289" s="862"/>
      <c r="AT289" s="863"/>
      <c r="AU289" s="863"/>
      <c r="AV289" s="863"/>
      <c r="AW289" s="863"/>
      <c r="AX289" s="863"/>
      <c r="AY289" s="864"/>
      <c r="AZ289" s="274"/>
      <c r="BA289" s="274"/>
      <c r="BB289" s="274"/>
      <c r="BC289" s="274"/>
      <c r="BD289" s="222">
        <f t="shared" si="137"/>
        <v>0</v>
      </c>
      <c r="BE289" s="140">
        <f t="shared" si="138"/>
        <v>0</v>
      </c>
      <c r="BF289" s="132"/>
      <c r="BG289" s="140">
        <f t="shared" si="139"/>
        <v>0</v>
      </c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30">
        <f t="shared" si="140"/>
        <v>0</v>
      </c>
      <c r="BV289" s="132"/>
    </row>
    <row r="290" ht="14.25" customHeight="1">
      <c r="A290" s="132"/>
      <c r="B290" s="215">
        <v>46281</v>
      </c>
      <c r="C290" s="133"/>
      <c r="D290" s="136"/>
      <c r="E290" s="135"/>
      <c r="F290" s="135"/>
      <c r="G290" s="98">
        <f t="shared" si="132"/>
        <v>0</v>
      </c>
      <c r="H290" s="819"/>
      <c r="I290" s="746"/>
      <c r="J290" s="122"/>
      <c r="K290" s="122"/>
      <c r="L290" s="99"/>
      <c r="M290" s="99"/>
      <c r="N290" s="99"/>
      <c r="O290" s="99"/>
      <c r="P290" s="99"/>
      <c r="Q290" s="99"/>
      <c r="R290" s="641"/>
      <c r="S290" s="641"/>
      <c r="T290" s="99"/>
      <c r="U290" s="103">
        <f t="shared" si="133"/>
        <v>0</v>
      </c>
      <c r="V290" s="143"/>
      <c r="W290" s="143"/>
      <c r="X290" s="143"/>
      <c r="Y290" s="611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03">
        <f t="shared" si="134"/>
        <v>0</v>
      </c>
      <c r="AJ290" s="136"/>
      <c r="AK290" s="136"/>
      <c r="AL290" s="136"/>
      <c r="AM290" s="105">
        <f t="shared" si="135"/>
        <v>0</v>
      </c>
      <c r="AN290" s="143"/>
      <c r="AO290" s="143"/>
      <c r="AP290" s="143"/>
      <c r="AQ290" s="146"/>
      <c r="AR290" s="224">
        <f t="shared" si="136"/>
        <v>0</v>
      </c>
      <c r="AS290" s="862"/>
      <c r="AT290" s="863"/>
      <c r="AU290" s="863"/>
      <c r="AV290" s="863"/>
      <c r="AW290" s="863"/>
      <c r="AX290" s="863"/>
      <c r="AY290" s="864"/>
      <c r="AZ290" s="274"/>
      <c r="BA290" s="274"/>
      <c r="BB290" s="274"/>
      <c r="BC290" s="274"/>
      <c r="BD290" s="222">
        <f t="shared" si="137"/>
        <v>0</v>
      </c>
      <c r="BE290" s="140">
        <f t="shared" si="138"/>
        <v>0</v>
      </c>
      <c r="BF290" s="132"/>
      <c r="BG290" s="140">
        <f t="shared" si="139"/>
        <v>0</v>
      </c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30">
        <f t="shared" si="140"/>
        <v>0</v>
      </c>
      <c r="BV290" s="132"/>
    </row>
    <row r="291" ht="14.25" customHeight="1">
      <c r="A291" s="132"/>
      <c r="B291" s="215">
        <v>46282</v>
      </c>
      <c r="C291" s="133"/>
      <c r="D291" s="136"/>
      <c r="E291" s="135"/>
      <c r="F291" s="135"/>
      <c r="G291" s="98">
        <f t="shared" si="132"/>
        <v>0</v>
      </c>
      <c r="H291" s="819"/>
      <c r="I291" s="746"/>
      <c r="J291" s="122"/>
      <c r="K291" s="122"/>
      <c r="L291" s="99"/>
      <c r="M291" s="99"/>
      <c r="N291" s="99"/>
      <c r="O291" s="99"/>
      <c r="P291" s="99"/>
      <c r="Q291" s="99"/>
      <c r="R291" s="641"/>
      <c r="S291" s="641"/>
      <c r="T291" s="99"/>
      <c r="U291" s="103">
        <f t="shared" si="133"/>
        <v>0</v>
      </c>
      <c r="V291" s="143"/>
      <c r="W291" s="143"/>
      <c r="X291" s="143"/>
      <c r="Y291" s="611"/>
      <c r="Z291" s="231"/>
      <c r="AA291" s="143"/>
      <c r="AB291" s="143"/>
      <c r="AC291" s="143"/>
      <c r="AD291" s="143"/>
      <c r="AE291" s="143"/>
      <c r="AF291" s="143"/>
      <c r="AG291" s="143"/>
      <c r="AH291" s="143"/>
      <c r="AI291" s="103">
        <f t="shared" si="134"/>
        <v>0</v>
      </c>
      <c r="AJ291" s="136"/>
      <c r="AK291" s="136"/>
      <c r="AL291" s="136"/>
      <c r="AM291" s="105">
        <f t="shared" si="135"/>
        <v>0</v>
      </c>
      <c r="AN291" s="143"/>
      <c r="AO291" s="143"/>
      <c r="AP291" s="143"/>
      <c r="AQ291" s="146"/>
      <c r="AR291" s="224">
        <f t="shared" si="136"/>
        <v>0</v>
      </c>
      <c r="AS291" s="862"/>
      <c r="AT291" s="863"/>
      <c r="AU291" s="863"/>
      <c r="AV291" s="863"/>
      <c r="AW291" s="863"/>
      <c r="AX291" s="863"/>
      <c r="AY291" s="864"/>
      <c r="AZ291" s="274"/>
      <c r="BA291" s="274"/>
      <c r="BB291" s="274"/>
      <c r="BC291" s="274"/>
      <c r="BD291" s="222">
        <f t="shared" si="137"/>
        <v>0</v>
      </c>
      <c r="BE291" s="140">
        <f t="shared" si="138"/>
        <v>0</v>
      </c>
      <c r="BF291" s="132"/>
      <c r="BG291" s="140">
        <f t="shared" si="139"/>
        <v>0</v>
      </c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30">
        <f t="shared" si="140"/>
        <v>0</v>
      </c>
      <c r="BV291" s="132"/>
    </row>
    <row r="292" ht="14.25" customHeight="1">
      <c r="A292" s="132"/>
      <c r="B292" s="215">
        <v>46283</v>
      </c>
      <c r="C292" s="133"/>
      <c r="D292" s="136"/>
      <c r="E292" s="135"/>
      <c r="F292" s="135"/>
      <c r="G292" s="98">
        <f t="shared" si="132"/>
        <v>0</v>
      </c>
      <c r="H292" s="819"/>
      <c r="I292" s="746"/>
      <c r="J292" s="122"/>
      <c r="K292" s="122"/>
      <c r="L292" s="99"/>
      <c r="M292" s="99"/>
      <c r="N292" s="99"/>
      <c r="O292" s="99"/>
      <c r="P292" s="99"/>
      <c r="Q292" s="99"/>
      <c r="R292" s="641"/>
      <c r="S292" s="641"/>
      <c r="T292" s="99"/>
      <c r="U292" s="103">
        <f t="shared" si="133"/>
        <v>0</v>
      </c>
      <c r="V292" s="143"/>
      <c r="W292" s="143"/>
      <c r="X292" s="143"/>
      <c r="Y292" s="611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03">
        <f t="shared" si="134"/>
        <v>0</v>
      </c>
      <c r="AJ292" s="136"/>
      <c r="AK292" s="136"/>
      <c r="AL292" s="136"/>
      <c r="AM292" s="105">
        <f t="shared" si="135"/>
        <v>0</v>
      </c>
      <c r="AN292" s="143"/>
      <c r="AO292" s="143"/>
      <c r="AP292" s="143"/>
      <c r="AQ292" s="146"/>
      <c r="AR292" s="224">
        <f t="shared" si="136"/>
        <v>0</v>
      </c>
      <c r="AS292" s="862"/>
      <c r="AT292" s="863"/>
      <c r="AU292" s="863"/>
      <c r="AV292" s="863"/>
      <c r="AW292" s="863"/>
      <c r="AX292" s="863"/>
      <c r="AY292" s="864"/>
      <c r="AZ292" s="274"/>
      <c r="BA292" s="274"/>
      <c r="BB292" s="274"/>
      <c r="BC292" s="274"/>
      <c r="BD292" s="222">
        <f t="shared" si="137"/>
        <v>0</v>
      </c>
      <c r="BE292" s="140">
        <f t="shared" si="138"/>
        <v>0</v>
      </c>
      <c r="BF292" s="132"/>
      <c r="BG292" s="140">
        <f t="shared" si="139"/>
        <v>0</v>
      </c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30">
        <f t="shared" si="140"/>
        <v>0</v>
      </c>
      <c r="BV292" s="132"/>
    </row>
    <row r="293" ht="14.25" customHeight="1">
      <c r="A293" s="132"/>
      <c r="B293" s="215">
        <v>46284</v>
      </c>
      <c r="C293" s="133"/>
      <c r="D293" s="136"/>
      <c r="E293" s="135"/>
      <c r="F293" s="135"/>
      <c r="G293" s="98">
        <f t="shared" si="132"/>
        <v>0</v>
      </c>
      <c r="H293" s="819"/>
      <c r="I293" s="746"/>
      <c r="J293" s="122"/>
      <c r="K293" s="122"/>
      <c r="L293" s="99"/>
      <c r="M293" s="99"/>
      <c r="N293" s="99"/>
      <c r="O293" s="99"/>
      <c r="P293" s="99"/>
      <c r="Q293" s="99"/>
      <c r="R293" s="641"/>
      <c r="S293" s="641"/>
      <c r="T293" s="99"/>
      <c r="U293" s="103">
        <f t="shared" si="133"/>
        <v>0</v>
      </c>
      <c r="V293" s="143"/>
      <c r="W293" s="143"/>
      <c r="X293" s="143"/>
      <c r="Y293" s="611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03">
        <f t="shared" si="134"/>
        <v>0</v>
      </c>
      <c r="AJ293" s="136"/>
      <c r="AK293" s="136"/>
      <c r="AL293" s="136"/>
      <c r="AM293" s="105">
        <f t="shared" si="135"/>
        <v>0</v>
      </c>
      <c r="AN293" s="143"/>
      <c r="AO293" s="143"/>
      <c r="AP293" s="143"/>
      <c r="AQ293" s="146"/>
      <c r="AR293" s="224">
        <f t="shared" si="136"/>
        <v>0</v>
      </c>
      <c r="AS293" s="862"/>
      <c r="AT293" s="863"/>
      <c r="AU293" s="863"/>
      <c r="AV293" s="863"/>
      <c r="AW293" s="863"/>
      <c r="AX293" s="863"/>
      <c r="AY293" s="864"/>
      <c r="AZ293" s="274"/>
      <c r="BA293" s="274"/>
      <c r="BB293" s="274"/>
      <c r="BC293" s="274"/>
      <c r="BD293" s="222">
        <f t="shared" si="137"/>
        <v>0</v>
      </c>
      <c r="BE293" s="140">
        <f t="shared" si="138"/>
        <v>0</v>
      </c>
      <c r="BF293" s="132"/>
      <c r="BG293" s="140">
        <f t="shared" si="139"/>
        <v>0</v>
      </c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30">
        <f t="shared" si="140"/>
        <v>0</v>
      </c>
      <c r="BV293" s="132"/>
    </row>
    <row r="294" ht="14.25" customHeight="1">
      <c r="A294" s="132"/>
      <c r="B294" s="215">
        <v>46285</v>
      </c>
      <c r="C294" s="133"/>
      <c r="D294" s="136"/>
      <c r="E294" s="135"/>
      <c r="F294" s="135"/>
      <c r="G294" s="98">
        <f t="shared" si="132"/>
        <v>0</v>
      </c>
      <c r="H294" s="819"/>
      <c r="I294" s="746"/>
      <c r="J294" s="122"/>
      <c r="K294" s="122"/>
      <c r="L294" s="99"/>
      <c r="M294" s="99"/>
      <c r="N294" s="99"/>
      <c r="O294" s="99"/>
      <c r="P294" s="99"/>
      <c r="Q294" s="99"/>
      <c r="R294" s="641"/>
      <c r="S294" s="641"/>
      <c r="T294" s="99"/>
      <c r="U294" s="103">
        <f t="shared" si="133"/>
        <v>0</v>
      </c>
      <c r="V294" s="143"/>
      <c r="W294" s="143"/>
      <c r="X294" s="143"/>
      <c r="Y294" s="611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03">
        <f t="shared" si="134"/>
        <v>0</v>
      </c>
      <c r="AJ294" s="136"/>
      <c r="AK294" s="136"/>
      <c r="AL294" s="136"/>
      <c r="AM294" s="105">
        <f t="shared" si="135"/>
        <v>0</v>
      </c>
      <c r="AN294" s="143"/>
      <c r="AO294" s="143"/>
      <c r="AP294" s="143"/>
      <c r="AQ294" s="146"/>
      <c r="AR294" s="224">
        <f t="shared" si="136"/>
        <v>0</v>
      </c>
      <c r="AS294" s="862"/>
      <c r="AT294" s="863"/>
      <c r="AU294" s="865"/>
      <c r="AV294" s="863"/>
      <c r="AW294" s="863"/>
      <c r="AX294" s="863"/>
      <c r="AY294" s="864"/>
      <c r="AZ294" s="274"/>
      <c r="BA294" s="274"/>
      <c r="BB294" s="274"/>
      <c r="BC294" s="274"/>
      <c r="BD294" s="222">
        <f t="shared" si="137"/>
        <v>0</v>
      </c>
      <c r="BE294" s="140">
        <f t="shared" si="138"/>
        <v>0</v>
      </c>
      <c r="BF294" s="132"/>
      <c r="BG294" s="140">
        <f t="shared" si="139"/>
        <v>0</v>
      </c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30">
        <f t="shared" si="140"/>
        <v>0</v>
      </c>
      <c r="BV294" s="132"/>
    </row>
    <row r="295" ht="14.25" customHeight="1">
      <c r="A295" s="132"/>
      <c r="B295" s="215">
        <v>46286</v>
      </c>
      <c r="C295" s="133"/>
      <c r="D295" s="136"/>
      <c r="E295" s="135"/>
      <c r="F295" s="135"/>
      <c r="G295" s="98">
        <f t="shared" si="132"/>
        <v>0</v>
      </c>
      <c r="H295" s="819"/>
      <c r="I295" s="746"/>
      <c r="J295" s="122"/>
      <c r="K295" s="122"/>
      <c r="L295" s="99"/>
      <c r="M295" s="99"/>
      <c r="N295" s="99"/>
      <c r="O295" s="99"/>
      <c r="P295" s="99"/>
      <c r="Q295" s="99"/>
      <c r="R295" s="641"/>
      <c r="S295" s="641"/>
      <c r="T295" s="99"/>
      <c r="U295" s="103">
        <f t="shared" si="133"/>
        <v>0</v>
      </c>
      <c r="V295" s="143"/>
      <c r="W295" s="143"/>
      <c r="X295" s="143"/>
      <c r="Y295" s="611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03">
        <f t="shared" si="134"/>
        <v>0</v>
      </c>
      <c r="AJ295" s="136"/>
      <c r="AK295" s="136"/>
      <c r="AL295" s="136"/>
      <c r="AM295" s="105">
        <f t="shared" si="135"/>
        <v>0</v>
      </c>
      <c r="AN295" s="143"/>
      <c r="AO295" s="143"/>
      <c r="AP295" s="143"/>
      <c r="AQ295" s="146"/>
      <c r="AR295" s="224">
        <f t="shared" si="136"/>
        <v>0</v>
      </c>
      <c r="AS295" s="862"/>
      <c r="AT295" s="863"/>
      <c r="AU295" s="863"/>
      <c r="AV295" s="863"/>
      <c r="AW295" s="863"/>
      <c r="AX295" s="863"/>
      <c r="AY295" s="864"/>
      <c r="AZ295" s="274"/>
      <c r="BA295" s="274"/>
      <c r="BB295" s="274"/>
      <c r="BC295" s="274"/>
      <c r="BD295" s="222">
        <f t="shared" si="137"/>
        <v>0</v>
      </c>
      <c r="BE295" s="140">
        <f t="shared" si="138"/>
        <v>0</v>
      </c>
      <c r="BF295" s="132"/>
      <c r="BG295" s="140">
        <f t="shared" si="139"/>
        <v>0</v>
      </c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30">
        <f t="shared" si="140"/>
        <v>0</v>
      </c>
      <c r="BV295" s="132"/>
    </row>
    <row r="296" ht="14.25" customHeight="1">
      <c r="A296" s="132"/>
      <c r="B296" s="215">
        <v>46287</v>
      </c>
      <c r="C296" s="133"/>
      <c r="D296" s="136"/>
      <c r="E296" s="135"/>
      <c r="F296" s="135"/>
      <c r="G296" s="98">
        <f t="shared" si="132"/>
        <v>0</v>
      </c>
      <c r="H296" s="819"/>
      <c r="I296" s="746"/>
      <c r="J296" s="122"/>
      <c r="K296" s="122"/>
      <c r="L296" s="99"/>
      <c r="M296" s="99"/>
      <c r="N296" s="99"/>
      <c r="O296" s="99"/>
      <c r="P296" s="99"/>
      <c r="Q296" s="99"/>
      <c r="R296" s="641"/>
      <c r="S296" s="641"/>
      <c r="T296" s="99"/>
      <c r="U296" s="103">
        <f t="shared" si="133"/>
        <v>0</v>
      </c>
      <c r="V296" s="136"/>
      <c r="W296" s="143"/>
      <c r="X296" s="143"/>
      <c r="Y296" s="611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03">
        <f t="shared" si="134"/>
        <v>0</v>
      </c>
      <c r="AJ296" s="136"/>
      <c r="AK296" s="136"/>
      <c r="AL296" s="136"/>
      <c r="AM296" s="105">
        <f t="shared" si="135"/>
        <v>0</v>
      </c>
      <c r="AN296" s="143"/>
      <c r="AO296" s="143"/>
      <c r="AP296" s="143"/>
      <c r="AQ296" s="146"/>
      <c r="AR296" s="224">
        <f t="shared" si="136"/>
        <v>0</v>
      </c>
      <c r="AS296" s="862"/>
      <c r="AT296" s="863"/>
      <c r="AU296" s="863"/>
      <c r="AV296" s="863"/>
      <c r="AW296" s="863"/>
      <c r="AX296" s="863"/>
      <c r="AY296" s="864"/>
      <c r="AZ296" s="274"/>
      <c r="BA296" s="274"/>
      <c r="BB296" s="274"/>
      <c r="BC296" s="274"/>
      <c r="BD296" s="222">
        <f t="shared" si="137"/>
        <v>0</v>
      </c>
      <c r="BE296" s="140">
        <f t="shared" si="138"/>
        <v>0</v>
      </c>
      <c r="BF296" s="132"/>
      <c r="BG296" s="140">
        <f t="shared" si="139"/>
        <v>0</v>
      </c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30">
        <f t="shared" si="140"/>
        <v>0</v>
      </c>
      <c r="BV296" s="132"/>
    </row>
    <row r="297" ht="14.25" customHeight="1">
      <c r="A297" s="132"/>
      <c r="B297" s="215">
        <v>46288</v>
      </c>
      <c r="C297" s="133"/>
      <c r="D297" s="136"/>
      <c r="E297" s="135"/>
      <c r="F297" s="135"/>
      <c r="G297" s="98">
        <f t="shared" si="132"/>
        <v>0</v>
      </c>
      <c r="H297" s="819"/>
      <c r="I297" s="746"/>
      <c r="J297" s="122"/>
      <c r="K297" s="122"/>
      <c r="L297" s="99"/>
      <c r="M297" s="99"/>
      <c r="N297" s="99"/>
      <c r="O297" s="99"/>
      <c r="P297" s="99"/>
      <c r="Q297" s="99"/>
      <c r="R297" s="641"/>
      <c r="S297" s="641"/>
      <c r="T297" s="99"/>
      <c r="U297" s="103">
        <f t="shared" si="133"/>
        <v>0</v>
      </c>
      <c r="V297" s="143"/>
      <c r="W297" s="143"/>
      <c r="X297" s="143"/>
      <c r="Y297" s="611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03">
        <f t="shared" si="134"/>
        <v>0</v>
      </c>
      <c r="AJ297" s="136"/>
      <c r="AK297" s="136"/>
      <c r="AL297" s="136"/>
      <c r="AM297" s="105">
        <f t="shared" si="135"/>
        <v>0</v>
      </c>
      <c r="AN297" s="143"/>
      <c r="AO297" s="143"/>
      <c r="AP297" s="143"/>
      <c r="AQ297" s="146"/>
      <c r="AR297" s="224">
        <f t="shared" si="136"/>
        <v>0</v>
      </c>
      <c r="AS297" s="862"/>
      <c r="AT297" s="863"/>
      <c r="AU297" s="863"/>
      <c r="AV297" s="863"/>
      <c r="AW297" s="863"/>
      <c r="AX297" s="863"/>
      <c r="AY297" s="864"/>
      <c r="AZ297" s="274"/>
      <c r="BA297" s="274"/>
      <c r="BB297" s="274"/>
      <c r="BC297" s="274"/>
      <c r="BD297" s="222">
        <f t="shared" si="137"/>
        <v>0</v>
      </c>
      <c r="BE297" s="140">
        <f t="shared" si="138"/>
        <v>0</v>
      </c>
      <c r="BF297" s="132"/>
      <c r="BG297" s="140">
        <f t="shared" si="139"/>
        <v>0</v>
      </c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30">
        <f t="shared" si="140"/>
        <v>0</v>
      </c>
      <c r="BV297" s="132"/>
    </row>
    <row r="298" ht="14.25" customHeight="1">
      <c r="A298" s="132"/>
      <c r="B298" s="215">
        <v>46289</v>
      </c>
      <c r="C298" s="133"/>
      <c r="D298" s="136"/>
      <c r="E298" s="135"/>
      <c r="F298" s="135"/>
      <c r="G298" s="98">
        <f t="shared" si="132"/>
        <v>0</v>
      </c>
      <c r="H298" s="819"/>
      <c r="I298" s="746"/>
      <c r="J298" s="122"/>
      <c r="K298" s="122"/>
      <c r="L298" s="99"/>
      <c r="M298" s="99"/>
      <c r="N298" s="99"/>
      <c r="O298" s="99"/>
      <c r="P298" s="99"/>
      <c r="Q298" s="99"/>
      <c r="R298" s="641"/>
      <c r="S298" s="641"/>
      <c r="T298" s="99"/>
      <c r="U298" s="103">
        <f t="shared" si="133"/>
        <v>0</v>
      </c>
      <c r="V298" s="143"/>
      <c r="W298" s="143"/>
      <c r="X298" s="143"/>
      <c r="Y298" s="611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03">
        <f t="shared" si="134"/>
        <v>0</v>
      </c>
      <c r="AJ298" s="136"/>
      <c r="AK298" s="136"/>
      <c r="AL298" s="136"/>
      <c r="AM298" s="105">
        <f t="shared" si="135"/>
        <v>0</v>
      </c>
      <c r="AN298" s="143"/>
      <c r="AO298" s="143"/>
      <c r="AP298" s="143"/>
      <c r="AQ298" s="146"/>
      <c r="AR298" s="224">
        <f t="shared" si="136"/>
        <v>0</v>
      </c>
      <c r="AS298" s="862"/>
      <c r="AT298" s="863"/>
      <c r="AU298" s="863"/>
      <c r="AV298" s="863"/>
      <c r="AW298" s="863"/>
      <c r="AX298" s="863"/>
      <c r="AY298" s="864"/>
      <c r="AZ298" s="274"/>
      <c r="BA298" s="274"/>
      <c r="BB298" s="274"/>
      <c r="BC298" s="274"/>
      <c r="BD298" s="222">
        <f t="shared" si="137"/>
        <v>0</v>
      </c>
      <c r="BE298" s="140">
        <f t="shared" si="138"/>
        <v>0</v>
      </c>
      <c r="BF298" s="132"/>
      <c r="BG298" s="140">
        <f t="shared" si="139"/>
        <v>0</v>
      </c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30">
        <f t="shared" si="140"/>
        <v>0</v>
      </c>
      <c r="BV298" s="132"/>
    </row>
    <row r="299" ht="14.25" customHeight="1">
      <c r="A299" s="132"/>
      <c r="B299" s="215">
        <v>46290</v>
      </c>
      <c r="C299" s="133"/>
      <c r="D299" s="136"/>
      <c r="E299" s="135"/>
      <c r="F299" s="135"/>
      <c r="G299" s="98">
        <f t="shared" si="132"/>
        <v>0</v>
      </c>
      <c r="H299" s="819"/>
      <c r="I299" s="746"/>
      <c r="J299" s="122"/>
      <c r="K299" s="122"/>
      <c r="L299" s="99"/>
      <c r="M299" s="99"/>
      <c r="N299" s="99"/>
      <c r="O299" s="99"/>
      <c r="P299" s="99"/>
      <c r="Q299" s="99"/>
      <c r="R299" s="641"/>
      <c r="S299" s="641"/>
      <c r="T299" s="99"/>
      <c r="U299" s="103">
        <f t="shared" si="133"/>
        <v>0</v>
      </c>
      <c r="V299" s="143"/>
      <c r="W299" s="143"/>
      <c r="X299" s="143"/>
      <c r="Y299" s="611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03">
        <f t="shared" si="134"/>
        <v>0</v>
      </c>
      <c r="AJ299" s="136"/>
      <c r="AK299" s="136"/>
      <c r="AL299" s="136"/>
      <c r="AM299" s="105">
        <f t="shared" si="135"/>
        <v>0</v>
      </c>
      <c r="AN299" s="143"/>
      <c r="AO299" s="143"/>
      <c r="AP299" s="143"/>
      <c r="AQ299" s="146"/>
      <c r="AR299" s="224">
        <f t="shared" si="136"/>
        <v>0</v>
      </c>
      <c r="AS299" s="862"/>
      <c r="AT299" s="863"/>
      <c r="AU299" s="865"/>
      <c r="AV299" s="863"/>
      <c r="AW299" s="863"/>
      <c r="AX299" s="863"/>
      <c r="AY299" s="864"/>
      <c r="AZ299" s="274"/>
      <c r="BA299" s="274"/>
      <c r="BB299" s="274"/>
      <c r="BC299" s="274"/>
      <c r="BD299" s="222">
        <f t="shared" si="137"/>
        <v>0</v>
      </c>
      <c r="BE299" s="140">
        <f t="shared" si="138"/>
        <v>0</v>
      </c>
      <c r="BF299" s="132"/>
      <c r="BG299" s="140">
        <f t="shared" si="139"/>
        <v>0</v>
      </c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30">
        <f t="shared" si="140"/>
        <v>0</v>
      </c>
      <c r="BV299" s="132"/>
    </row>
    <row r="300" ht="14.25" customHeight="1">
      <c r="A300" s="132"/>
      <c r="B300" s="215">
        <v>46291</v>
      </c>
      <c r="C300" s="133"/>
      <c r="D300" s="136"/>
      <c r="E300" s="135"/>
      <c r="F300" s="135"/>
      <c r="G300" s="98">
        <f t="shared" si="132"/>
        <v>0</v>
      </c>
      <c r="H300" s="819"/>
      <c r="I300" s="746"/>
      <c r="J300" s="122"/>
      <c r="K300" s="122"/>
      <c r="L300" s="99"/>
      <c r="M300" s="99"/>
      <c r="N300" s="99"/>
      <c r="O300" s="99"/>
      <c r="P300" s="99"/>
      <c r="Q300" s="99"/>
      <c r="R300" s="641"/>
      <c r="S300" s="641"/>
      <c r="T300" s="99"/>
      <c r="U300" s="103">
        <f t="shared" si="133"/>
        <v>0</v>
      </c>
      <c r="V300" s="143"/>
      <c r="W300" s="143"/>
      <c r="X300" s="143"/>
      <c r="Y300" s="611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03">
        <f t="shared" si="134"/>
        <v>0</v>
      </c>
      <c r="AJ300" s="136"/>
      <c r="AK300" s="136"/>
      <c r="AL300" s="136"/>
      <c r="AM300" s="105">
        <f t="shared" si="135"/>
        <v>0</v>
      </c>
      <c r="AN300" s="143"/>
      <c r="AO300" s="143"/>
      <c r="AP300" s="143"/>
      <c r="AQ300" s="146"/>
      <c r="AR300" s="224">
        <f t="shared" si="136"/>
        <v>0</v>
      </c>
      <c r="AS300" s="862"/>
      <c r="AT300" s="863"/>
      <c r="AU300" s="863"/>
      <c r="AV300" s="863"/>
      <c r="AW300" s="863"/>
      <c r="AX300" s="863"/>
      <c r="AY300" s="864"/>
      <c r="AZ300" s="274"/>
      <c r="BA300" s="274"/>
      <c r="BB300" s="274"/>
      <c r="BC300" s="274"/>
      <c r="BD300" s="222">
        <f t="shared" si="137"/>
        <v>0</v>
      </c>
      <c r="BE300" s="140">
        <f t="shared" si="138"/>
        <v>0</v>
      </c>
      <c r="BF300" s="132"/>
      <c r="BG300" s="140">
        <f t="shared" si="139"/>
        <v>0</v>
      </c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30">
        <f t="shared" si="140"/>
        <v>0</v>
      </c>
      <c r="BV300" s="132"/>
    </row>
    <row r="301" ht="14.25" customHeight="1">
      <c r="A301" s="132"/>
      <c r="B301" s="215">
        <v>46292</v>
      </c>
      <c r="C301" s="133"/>
      <c r="D301" s="136"/>
      <c r="E301" s="135"/>
      <c r="F301" s="135"/>
      <c r="G301" s="98">
        <f t="shared" si="132"/>
        <v>0</v>
      </c>
      <c r="H301" s="819"/>
      <c r="I301" s="746"/>
      <c r="J301" s="122"/>
      <c r="K301" s="122"/>
      <c r="L301" s="99"/>
      <c r="M301" s="99"/>
      <c r="N301" s="99"/>
      <c r="O301" s="99"/>
      <c r="P301" s="99"/>
      <c r="Q301" s="99"/>
      <c r="R301" s="641"/>
      <c r="S301" s="641"/>
      <c r="T301" s="99"/>
      <c r="U301" s="103">
        <f t="shared" si="133"/>
        <v>0</v>
      </c>
      <c r="V301" s="143"/>
      <c r="W301" s="143"/>
      <c r="X301" s="143"/>
      <c r="Y301" s="611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03">
        <f t="shared" si="134"/>
        <v>0</v>
      </c>
      <c r="AJ301" s="136"/>
      <c r="AK301" s="136"/>
      <c r="AL301" s="136"/>
      <c r="AM301" s="105">
        <f t="shared" si="135"/>
        <v>0</v>
      </c>
      <c r="AN301" s="143"/>
      <c r="AO301" s="143"/>
      <c r="AP301" s="143"/>
      <c r="AQ301" s="146"/>
      <c r="AR301" s="224">
        <f t="shared" si="136"/>
        <v>0</v>
      </c>
      <c r="AS301" s="862"/>
      <c r="AT301" s="863"/>
      <c r="AU301" s="863"/>
      <c r="AV301" s="863"/>
      <c r="AW301" s="863"/>
      <c r="AX301" s="863"/>
      <c r="AY301" s="864"/>
      <c r="AZ301" s="274"/>
      <c r="BA301" s="274"/>
      <c r="BB301" s="274"/>
      <c r="BC301" s="274"/>
      <c r="BD301" s="222">
        <f t="shared" si="137"/>
        <v>0</v>
      </c>
      <c r="BE301" s="140">
        <f t="shared" si="138"/>
        <v>0</v>
      </c>
      <c r="BF301" s="132"/>
      <c r="BG301" s="140">
        <f t="shared" si="139"/>
        <v>0</v>
      </c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30">
        <f t="shared" si="140"/>
        <v>0</v>
      </c>
      <c r="BV301" s="132"/>
    </row>
    <row r="302" ht="13.5" customHeight="1">
      <c r="A302" s="132"/>
      <c r="B302" s="215">
        <v>46293</v>
      </c>
      <c r="C302" s="133"/>
      <c r="D302" s="136"/>
      <c r="E302" s="135"/>
      <c r="F302" s="135"/>
      <c r="G302" s="98">
        <f t="shared" si="132"/>
        <v>0</v>
      </c>
      <c r="H302" s="819"/>
      <c r="I302" s="746"/>
      <c r="J302" s="122"/>
      <c r="K302" s="122"/>
      <c r="L302" s="99"/>
      <c r="M302" s="99"/>
      <c r="N302" s="99"/>
      <c r="O302" s="99"/>
      <c r="P302" s="99"/>
      <c r="Q302" s="99"/>
      <c r="R302" s="641"/>
      <c r="S302" s="641"/>
      <c r="T302" s="99"/>
      <c r="U302" s="103">
        <f t="shared" si="133"/>
        <v>0</v>
      </c>
      <c r="V302" s="143"/>
      <c r="W302" s="143"/>
      <c r="X302" s="143"/>
      <c r="Y302" s="611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03">
        <f t="shared" si="134"/>
        <v>0</v>
      </c>
      <c r="AJ302" s="136"/>
      <c r="AK302" s="136"/>
      <c r="AL302" s="136"/>
      <c r="AM302" s="105">
        <f t="shared" si="135"/>
        <v>0</v>
      </c>
      <c r="AN302" s="143"/>
      <c r="AO302" s="143"/>
      <c r="AP302" s="143"/>
      <c r="AQ302" s="146"/>
      <c r="AR302" s="224">
        <f t="shared" si="136"/>
        <v>0</v>
      </c>
      <c r="AS302" s="862"/>
      <c r="AT302" s="863"/>
      <c r="AU302" s="863"/>
      <c r="AV302" s="863"/>
      <c r="AW302" s="863"/>
      <c r="AX302" s="863"/>
      <c r="AY302" s="864"/>
      <c r="AZ302" s="274"/>
      <c r="BA302" s="274"/>
      <c r="BB302" s="274"/>
      <c r="BC302" s="274"/>
      <c r="BD302" s="222">
        <f t="shared" si="137"/>
        <v>0</v>
      </c>
      <c r="BE302" s="140">
        <f t="shared" si="138"/>
        <v>0</v>
      </c>
      <c r="BF302" s="132"/>
      <c r="BG302" s="140">
        <f t="shared" si="139"/>
        <v>0</v>
      </c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30">
        <f t="shared" si="140"/>
        <v>0</v>
      </c>
      <c r="BV302" s="132"/>
    </row>
    <row r="303" ht="14.25" customHeight="1">
      <c r="A303" s="132"/>
      <c r="B303" s="215">
        <v>46294</v>
      </c>
      <c r="C303" s="133"/>
      <c r="D303" s="136"/>
      <c r="E303" s="135"/>
      <c r="F303" s="135"/>
      <c r="G303" s="98">
        <f t="shared" si="132"/>
        <v>0</v>
      </c>
      <c r="H303" s="819"/>
      <c r="I303" s="746"/>
      <c r="J303" s="122"/>
      <c r="K303" s="122"/>
      <c r="L303" s="99"/>
      <c r="M303" s="99"/>
      <c r="N303" s="99"/>
      <c r="O303" s="99"/>
      <c r="P303" s="99"/>
      <c r="Q303" s="99"/>
      <c r="R303" s="641"/>
      <c r="S303" s="641"/>
      <c r="T303" s="99"/>
      <c r="U303" s="103">
        <f t="shared" si="133"/>
        <v>0</v>
      </c>
      <c r="V303" s="143"/>
      <c r="W303" s="143"/>
      <c r="X303" s="143"/>
      <c r="Y303" s="611"/>
      <c r="Z303" s="143"/>
      <c r="AA303" s="143"/>
      <c r="AB303" s="143"/>
      <c r="AC303" s="143"/>
      <c r="AD303" s="143"/>
      <c r="AE303" s="143"/>
      <c r="AF303" s="143"/>
      <c r="AG303" s="143"/>
      <c r="AH303" s="143"/>
      <c r="AI303" s="103">
        <f t="shared" si="134"/>
        <v>0</v>
      </c>
      <c r="AJ303" s="136"/>
      <c r="AK303" s="136"/>
      <c r="AL303" s="136"/>
      <c r="AM303" s="105">
        <f t="shared" si="135"/>
        <v>0</v>
      </c>
      <c r="AN303" s="143"/>
      <c r="AO303" s="143"/>
      <c r="AP303" s="143"/>
      <c r="AQ303" s="146"/>
      <c r="AR303" s="224">
        <f t="shared" si="136"/>
        <v>0</v>
      </c>
      <c r="AS303" s="862"/>
      <c r="AT303" s="863"/>
      <c r="AU303" s="863"/>
      <c r="AV303" s="863"/>
      <c r="AW303" s="863"/>
      <c r="AX303" s="868"/>
      <c r="AY303" s="864"/>
      <c r="AZ303" s="274"/>
      <c r="BA303" s="274"/>
      <c r="BB303" s="274"/>
      <c r="BC303" s="274"/>
      <c r="BD303" s="222">
        <f t="shared" si="137"/>
        <v>0</v>
      </c>
      <c r="BE303" s="140">
        <f t="shared" si="138"/>
        <v>0</v>
      </c>
      <c r="BF303" s="132"/>
      <c r="BG303" s="140">
        <f t="shared" si="139"/>
        <v>0</v>
      </c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30">
        <f t="shared" si="140"/>
        <v>0</v>
      </c>
      <c r="BV303" s="132"/>
    </row>
    <row r="304" ht="14.25" customHeight="1">
      <c r="A304" s="132"/>
      <c r="B304" s="215">
        <v>46295</v>
      </c>
      <c r="C304" s="133"/>
      <c r="D304" s="136"/>
      <c r="E304" s="135"/>
      <c r="F304" s="135"/>
      <c r="G304" s="98">
        <f t="shared" si="132"/>
        <v>0</v>
      </c>
      <c r="H304" s="833"/>
      <c r="I304" s="746"/>
      <c r="J304" s="122"/>
      <c r="K304" s="122"/>
      <c r="L304" s="99"/>
      <c r="M304" s="99"/>
      <c r="N304" s="99"/>
      <c r="O304" s="99"/>
      <c r="P304" s="99"/>
      <c r="Q304" s="99"/>
      <c r="R304" s="641"/>
      <c r="S304" s="641"/>
      <c r="T304" s="99"/>
      <c r="U304" s="103">
        <f t="shared" si="133"/>
        <v>0</v>
      </c>
      <c r="V304" s="143"/>
      <c r="W304" s="143"/>
      <c r="X304" s="143"/>
      <c r="Y304" s="611"/>
      <c r="Z304" s="143"/>
      <c r="AA304" s="143"/>
      <c r="AB304" s="143"/>
      <c r="AC304" s="143"/>
      <c r="AD304" s="143"/>
      <c r="AE304" s="143"/>
      <c r="AF304" s="143"/>
      <c r="AG304" s="143"/>
      <c r="AH304" s="143"/>
      <c r="AI304" s="103">
        <f t="shared" si="134"/>
        <v>0</v>
      </c>
      <c r="AJ304" s="136"/>
      <c r="AK304" s="136"/>
      <c r="AL304" s="136"/>
      <c r="AM304" s="105">
        <f t="shared" si="135"/>
        <v>0</v>
      </c>
      <c r="AN304" s="143"/>
      <c r="AO304" s="143"/>
      <c r="AP304" s="143"/>
      <c r="AQ304" s="146"/>
      <c r="AR304" s="224">
        <f t="shared" si="136"/>
        <v>0</v>
      </c>
      <c r="AS304" s="862"/>
      <c r="AT304" s="863"/>
      <c r="AU304" s="863"/>
      <c r="AV304" s="863"/>
      <c r="AW304" s="863"/>
      <c r="AX304" s="868"/>
      <c r="AY304" s="864"/>
      <c r="AZ304" s="274"/>
      <c r="BA304" s="274"/>
      <c r="BB304" s="274"/>
      <c r="BC304" s="274"/>
      <c r="BD304" s="222">
        <f t="shared" si="137"/>
        <v>0</v>
      </c>
      <c r="BE304" s="140">
        <f t="shared" si="138"/>
        <v>0</v>
      </c>
      <c r="BF304" s="132"/>
      <c r="BG304" s="140">
        <f t="shared" si="139"/>
        <v>0</v>
      </c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30">
        <f t="shared" si="140"/>
        <v>0</v>
      </c>
      <c r="BV304" s="132"/>
    </row>
    <row r="305" ht="14.25" customHeight="1">
      <c r="A305" s="3"/>
      <c r="B305" s="2" t="s">
        <v>83</v>
      </c>
      <c r="C305" s="755">
        <f ref="C305:AN305" t="shared" si="141">SUM(C275:C304)</f>
        <v>0</v>
      </c>
      <c r="D305" s="755">
        <f t="shared" si="141"/>
        <v>0</v>
      </c>
      <c r="E305" s="755">
        <f t="shared" si="141"/>
        <v>0</v>
      </c>
      <c r="F305" s="755">
        <f t="shared" si="141"/>
        <v>0</v>
      </c>
      <c r="G305" s="755">
        <f t="shared" si="141"/>
        <v>0</v>
      </c>
      <c r="H305" s="757">
        <f t="shared" si="141"/>
        <v>0</v>
      </c>
      <c r="I305" s="755">
        <f t="shared" si="141"/>
        <v>0</v>
      </c>
      <c r="J305" s="755">
        <f t="shared" si="141"/>
        <v>0</v>
      </c>
      <c r="K305" s="755">
        <f t="shared" si="141"/>
        <v>0</v>
      </c>
      <c r="L305" s="755">
        <f t="shared" si="141"/>
        <v>0</v>
      </c>
      <c r="M305" s="755">
        <f t="shared" si="141"/>
        <v>0</v>
      </c>
      <c r="N305" s="755">
        <f t="shared" si="141"/>
        <v>0</v>
      </c>
      <c r="O305" s="755">
        <f t="shared" si="141"/>
        <v>0</v>
      </c>
      <c r="P305" s="755">
        <f t="shared" si="141"/>
        <v>0</v>
      </c>
      <c r="Q305" s="755">
        <f t="shared" si="141"/>
        <v>0</v>
      </c>
      <c r="R305" s="755">
        <f t="shared" si="141"/>
        <v>0</v>
      </c>
      <c r="S305" s="755">
        <f t="shared" si="141"/>
        <v>0</v>
      </c>
      <c r="T305" s="755">
        <f t="shared" si="141"/>
        <v>0</v>
      </c>
      <c r="U305" s="755">
        <f t="shared" si="141"/>
        <v>0</v>
      </c>
      <c r="V305" s="755">
        <f t="shared" si="141"/>
        <v>0</v>
      </c>
      <c r="W305" s="755">
        <f t="shared" si="141"/>
        <v>0</v>
      </c>
      <c r="X305" s="755">
        <f t="shared" si="141"/>
        <v>0</v>
      </c>
      <c r="Y305" s="755">
        <f t="shared" si="141"/>
        <v>0</v>
      </c>
      <c r="Z305" s="755">
        <f t="shared" si="141"/>
        <v>0</v>
      </c>
      <c r="AA305" s="755">
        <f t="shared" si="141"/>
        <v>0</v>
      </c>
      <c r="AB305" s="755">
        <f t="shared" si="141"/>
        <v>0</v>
      </c>
      <c r="AC305" s="755">
        <f t="shared" si="141"/>
        <v>0</v>
      </c>
      <c r="AD305" s="755">
        <f t="shared" si="141"/>
        <v>0</v>
      </c>
      <c r="AE305" s="755">
        <f t="shared" si="141"/>
        <v>0</v>
      </c>
      <c r="AF305" s="755">
        <f t="shared" si="141"/>
        <v>0</v>
      </c>
      <c r="AG305" s="755">
        <f t="shared" si="141"/>
        <v>0</v>
      </c>
      <c r="AH305" s="755">
        <f t="shared" si="141"/>
        <v>0</v>
      </c>
      <c r="AI305" s="755">
        <f t="shared" si="141"/>
        <v>0</v>
      </c>
      <c r="AJ305" s="755">
        <f t="shared" si="141"/>
        <v>0</v>
      </c>
      <c r="AK305" s="755">
        <f t="shared" si="141"/>
        <v>0</v>
      </c>
      <c r="AL305" s="755">
        <f t="shared" si="141"/>
        <v>0</v>
      </c>
      <c r="AM305" s="755">
        <f t="shared" si="141"/>
        <v>0</v>
      </c>
      <c r="AN305" s="755">
        <f t="shared" si="141"/>
        <v>0</v>
      </c>
      <c r="AO305" s="755"/>
      <c r="AP305" s="755"/>
      <c r="AQ305" s="755"/>
      <c r="AR305" s="858">
        <f ref="AR305:BE305" t="shared" si="142">SUM(AR275:AR304)</f>
        <v>0</v>
      </c>
      <c r="AS305" s="858">
        <f t="shared" si="142"/>
        <v>0</v>
      </c>
      <c r="AT305" s="858">
        <f t="shared" si="142"/>
        <v>0</v>
      </c>
      <c r="AU305" s="858">
        <f t="shared" si="142"/>
        <v>0</v>
      </c>
      <c r="AV305" s="858">
        <f t="shared" si="142"/>
        <v>0</v>
      </c>
      <c r="AW305" s="858">
        <f t="shared" si="142"/>
        <v>0</v>
      </c>
      <c r="AX305" s="858">
        <f t="shared" si="142"/>
        <v>0</v>
      </c>
      <c r="AY305" s="858">
        <f t="shared" si="142"/>
        <v>0</v>
      </c>
      <c r="AZ305" s="858">
        <f t="shared" si="142"/>
        <v>0</v>
      </c>
      <c r="BA305" s="858">
        <f t="shared" si="142"/>
        <v>0</v>
      </c>
      <c r="BB305" s="858">
        <f t="shared" si="142"/>
        <v>0</v>
      </c>
      <c r="BC305" s="858">
        <f t="shared" si="142"/>
        <v>0</v>
      </c>
      <c r="BD305" s="755">
        <f t="shared" si="142"/>
        <v>0</v>
      </c>
      <c r="BE305" s="771">
        <f t="shared" si="142"/>
        <v>0</v>
      </c>
      <c r="BF305" s="235"/>
      <c r="BG305" s="755">
        <f>SUM(BG275:BG304)</f>
        <v>0</v>
      </c>
      <c r="BH305" s="755"/>
      <c r="BI305" s="755"/>
      <c r="BJ305" s="755"/>
      <c r="BK305" s="755"/>
      <c r="BL305" s="755"/>
      <c r="BM305" s="755"/>
      <c r="BN305" s="755"/>
      <c r="BO305" s="755"/>
      <c r="BP305" s="755"/>
      <c r="BQ305" s="755">
        <f ref="BQ305:BS305" t="shared" si="143">SUM(BQ275:BQ304)</f>
        <v>0</v>
      </c>
      <c r="BR305" s="755">
        <f t="shared" si="143"/>
        <v>0</v>
      </c>
      <c r="BS305" s="755">
        <f t="shared" si="143"/>
        <v>0</v>
      </c>
      <c r="BT305" s="755"/>
      <c r="BU305" s="771">
        <f>SUM(BU275:BU304)</f>
        <v>0</v>
      </c>
      <c r="BV305" s="235"/>
    </row>
    <row r="306" ht="14.25" customHeight="1">
      <c r="A306" s="1"/>
      <c r="B306" s="2"/>
      <c r="C306" s="3"/>
      <c r="D306" s="3"/>
      <c r="E306" s="3"/>
      <c r="F306" s="3"/>
      <c r="G306" s="4"/>
      <c r="H306" s="4"/>
      <c r="I306" s="1"/>
      <c r="J306" s="3"/>
      <c r="K306" s="3"/>
      <c r="L306" s="3"/>
      <c r="M306" s="3"/>
      <c r="N306" s="3"/>
      <c r="O306" s="3"/>
      <c r="P306" s="3"/>
      <c r="Q306" s="3"/>
      <c r="R306" s="1"/>
      <c r="S306" s="1"/>
      <c r="T306" s="3"/>
      <c r="U306" s="3"/>
      <c r="V306" s="3"/>
      <c r="W306" s="3"/>
      <c r="X306" s="3"/>
      <c r="Y306" s="1"/>
      <c r="Z306" s="3"/>
      <c r="AA306" s="3"/>
      <c r="AB306" s="3"/>
      <c r="AC306" s="3"/>
      <c r="AD306" s="3"/>
      <c r="AE306" s="3"/>
      <c r="AF306" s="3"/>
      <c r="AG306" s="3"/>
      <c r="AH306" s="3"/>
      <c r="AI306" s="869"/>
      <c r="AJ306" s="96"/>
      <c r="AK306" s="3"/>
      <c r="AL306" s="3"/>
      <c r="AM306" s="4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870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</row>
    <row r="307" ht="14.25" customHeight="1">
      <c r="A307" s="1"/>
      <c r="B307" s="2"/>
      <c r="C307" s="3"/>
      <c r="D307" s="3"/>
      <c r="E307" s="3"/>
      <c r="F307" s="3"/>
      <c r="G307" s="4"/>
      <c r="H307" s="4"/>
      <c r="I307" s="1"/>
      <c r="J307" s="3"/>
      <c r="K307" s="3"/>
      <c r="L307" s="3"/>
      <c r="M307" s="3"/>
      <c r="N307" s="3"/>
      <c r="O307" s="3"/>
      <c r="P307" s="3"/>
      <c r="Q307" s="3"/>
      <c r="R307" s="1"/>
      <c r="S307" s="1"/>
      <c r="T307" s="3"/>
      <c r="U307" s="3"/>
      <c r="V307" s="3"/>
      <c r="W307" s="3"/>
      <c r="X307" s="3"/>
      <c r="Y307" s="1"/>
      <c r="Z307" s="3"/>
      <c r="AA307" s="3"/>
      <c r="AB307" s="3"/>
      <c r="AC307" s="3"/>
      <c r="AD307" s="3"/>
      <c r="AE307" s="3"/>
      <c r="AF307" s="3"/>
      <c r="AG307" s="3"/>
      <c r="AH307" s="3"/>
      <c r="AI307" s="176"/>
      <c r="AJ307" s="176"/>
      <c r="AK307" s="3"/>
      <c r="AL307" s="3"/>
      <c r="AM307" s="4"/>
      <c r="AN307" s="3"/>
      <c r="AO307" s="3"/>
      <c r="AP307" s="3"/>
      <c r="AQ307" s="3"/>
      <c r="AR307" s="3"/>
      <c r="AS307" s="871"/>
      <c r="AT307" s="113"/>
      <c r="AU307" s="113"/>
      <c r="AV307" s="113"/>
      <c r="AW307" s="113"/>
      <c r="AX307" s="113"/>
      <c r="AY307" s="872"/>
      <c r="AZ307" s="87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</row>
    <row r="308" ht="14.25" customHeight="1">
      <c r="A308" s="3"/>
      <c r="B308" s="215">
        <v>46296</v>
      </c>
      <c r="C308" s="94"/>
      <c r="D308" s="104"/>
      <c r="E308" s="97"/>
      <c r="F308" s="97"/>
      <c r="G308" s="816">
        <f ref="G308:G338" t="shared" si="144">+C308+D308+E308+F308</f>
        <v>0</v>
      </c>
      <c r="H308" s="817"/>
      <c r="I308" s="743"/>
      <c r="J308" s="100"/>
      <c r="K308" s="100"/>
      <c r="L308" s="101"/>
      <c r="M308" s="101"/>
      <c r="N308" s="101"/>
      <c r="O308" s="101"/>
      <c r="P308" s="101"/>
      <c r="Q308" s="101"/>
      <c r="R308" s="638"/>
      <c r="S308" s="638"/>
      <c r="T308" s="101"/>
      <c r="U308" s="103">
        <f ref="U308:U338" t="shared" si="145">SUM(I308:T308)</f>
        <v>0</v>
      </c>
      <c r="V308" s="670"/>
      <c r="W308" s="186"/>
      <c r="X308" s="186"/>
      <c r="Y308" s="619"/>
      <c r="Z308" s="186"/>
      <c r="AA308" s="186"/>
      <c r="AB308" s="186"/>
      <c r="AC308" s="186"/>
      <c r="AD308" s="186"/>
      <c r="AE308" s="186"/>
      <c r="AF308" s="186"/>
      <c r="AG308" s="186"/>
      <c r="AH308" s="186"/>
      <c r="AI308" s="103">
        <f ref="AI308:AI338" t="shared" si="146">SUM(V308:AH308)</f>
        <v>0</v>
      </c>
      <c r="AJ308" s="104"/>
      <c r="AK308" s="104"/>
      <c r="AL308" s="104"/>
      <c r="AM308" s="191">
        <f ref="AM308:AM338" t="shared" si="147">SUM(AJ308:AL308)</f>
        <v>0</v>
      </c>
      <c r="AN308" s="186"/>
      <c r="AO308" s="186"/>
      <c r="AP308" s="186"/>
      <c r="AQ308" s="193"/>
      <c r="AR308" s="266">
        <f ref="AR308:AR338" t="shared" si="148">+G308-U308-AI308-AM308-AN308-AO308-AP308-AQ308</f>
        <v>0</v>
      </c>
      <c r="AS308" s="109"/>
      <c r="AT308" s="269"/>
      <c r="AU308" s="109"/>
      <c r="AV308" s="109"/>
      <c r="AW308" s="109"/>
      <c r="AX308" s="270"/>
      <c r="AY308" s="109"/>
      <c r="AZ308" s="269"/>
      <c r="BA308" s="269"/>
      <c r="BB308" s="269"/>
      <c r="BC308" s="269"/>
      <c r="BD308" s="292">
        <f ref="BD308:BD338" t="shared" si="149">SUM(AS308:BC308)-BB308</f>
        <v>0</v>
      </c>
      <c r="BE308" s="114">
        <f ref="BE308:BE338" t="shared" si="150">+AR308-BD308</f>
        <v>0</v>
      </c>
      <c r="BF308" s="3"/>
      <c r="BG308" s="114">
        <f ref="BG308:BG338" t="shared" si="151">SUM(BH308:BT308)</f>
        <v>0</v>
      </c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6">
        <f ref="BU308:BU338" t="shared" si="152">+BE308-BG308</f>
        <v>0</v>
      </c>
      <c r="BV308" s="3"/>
    </row>
    <row r="309" ht="14.25" customHeight="1">
      <c r="A309" s="3"/>
      <c r="B309" s="215">
        <v>46297</v>
      </c>
      <c r="C309" s="118"/>
      <c r="D309" s="123"/>
      <c r="E309" s="120"/>
      <c r="F309" s="120"/>
      <c r="G309" s="98">
        <f t="shared" si="144"/>
        <v>0</v>
      </c>
      <c r="H309" s="819"/>
      <c r="I309" s="746"/>
      <c r="J309" s="122"/>
      <c r="K309" s="122"/>
      <c r="L309" s="99"/>
      <c r="M309" s="99"/>
      <c r="N309" s="99"/>
      <c r="O309" s="99"/>
      <c r="P309" s="99"/>
      <c r="Q309" s="99"/>
      <c r="R309" s="641"/>
      <c r="S309" s="641"/>
      <c r="T309" s="99"/>
      <c r="U309" s="103">
        <f t="shared" si="145"/>
        <v>0</v>
      </c>
      <c r="V309" s="231"/>
      <c r="W309" s="143"/>
      <c r="X309" s="143"/>
      <c r="Y309" s="611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03">
        <f t="shared" si="146"/>
        <v>0</v>
      </c>
      <c r="AJ309" s="123"/>
      <c r="AK309" s="123"/>
      <c r="AL309" s="123"/>
      <c r="AM309" s="105">
        <f t="shared" si="147"/>
        <v>0</v>
      </c>
      <c r="AN309" s="143"/>
      <c r="AO309" s="143"/>
      <c r="AP309" s="143"/>
      <c r="AQ309" s="146"/>
      <c r="AR309" s="224">
        <f t="shared" si="148"/>
        <v>0</v>
      </c>
      <c r="AS309" s="126"/>
      <c r="AT309" s="274"/>
      <c r="AU309" s="126"/>
      <c r="AV309" s="126"/>
      <c r="AW309" s="126"/>
      <c r="AX309" s="275"/>
      <c r="AY309" s="126"/>
      <c r="AZ309" s="274"/>
      <c r="BA309" s="274"/>
      <c r="BB309" s="274"/>
      <c r="BC309" s="274"/>
      <c r="BD309" s="222">
        <f t="shared" si="149"/>
        <v>0</v>
      </c>
      <c r="BE309" s="113">
        <f t="shared" si="150"/>
        <v>0</v>
      </c>
      <c r="BF309" s="3"/>
      <c r="BG309" s="113">
        <f t="shared" si="151"/>
        <v>0</v>
      </c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30">
        <f t="shared" si="152"/>
        <v>0</v>
      </c>
      <c r="BV309" s="3"/>
    </row>
    <row r="310" ht="14.25" customHeight="1">
      <c r="A310" s="3"/>
      <c r="B310" s="215">
        <v>46298</v>
      </c>
      <c r="C310" s="118"/>
      <c r="D310" s="123"/>
      <c r="E310" s="120"/>
      <c r="F310" s="120"/>
      <c r="G310" s="98">
        <f t="shared" si="144"/>
        <v>0</v>
      </c>
      <c r="H310" s="819"/>
      <c r="I310" s="746"/>
      <c r="J310" s="122"/>
      <c r="K310" s="122"/>
      <c r="L310" s="99"/>
      <c r="M310" s="99"/>
      <c r="N310" s="99"/>
      <c r="O310" s="99"/>
      <c r="P310" s="99"/>
      <c r="Q310" s="99"/>
      <c r="R310" s="641"/>
      <c r="S310" s="641"/>
      <c r="T310" s="99"/>
      <c r="U310" s="103">
        <f t="shared" si="145"/>
        <v>0</v>
      </c>
      <c r="V310" s="231"/>
      <c r="W310" s="143"/>
      <c r="X310" s="143"/>
      <c r="Y310" s="611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03">
        <f t="shared" si="146"/>
        <v>0</v>
      </c>
      <c r="AJ310" s="123"/>
      <c r="AK310" s="123"/>
      <c r="AL310" s="123"/>
      <c r="AM310" s="105">
        <f t="shared" si="147"/>
        <v>0</v>
      </c>
      <c r="AN310" s="143"/>
      <c r="AO310" s="143"/>
      <c r="AP310" s="143"/>
      <c r="AQ310" s="146"/>
      <c r="AR310" s="224">
        <f t="shared" si="148"/>
        <v>0</v>
      </c>
      <c r="AS310" s="126"/>
      <c r="AT310" s="274"/>
      <c r="AU310" s="126"/>
      <c r="AV310" s="126"/>
      <c r="AW310" s="126"/>
      <c r="AX310" s="275"/>
      <c r="AY310" s="126"/>
      <c r="AZ310" s="274"/>
      <c r="BA310" s="274"/>
      <c r="BB310" s="274"/>
      <c r="BC310" s="274"/>
      <c r="BD310" s="222">
        <f t="shared" si="149"/>
        <v>0</v>
      </c>
      <c r="BE310" s="113">
        <f t="shared" si="150"/>
        <v>0</v>
      </c>
      <c r="BF310" s="3"/>
      <c r="BG310" s="113">
        <f t="shared" si="151"/>
        <v>0</v>
      </c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30">
        <f t="shared" si="152"/>
        <v>0</v>
      </c>
      <c r="BV310" s="3"/>
    </row>
    <row r="311" ht="14.25" customHeight="1">
      <c r="A311" s="3"/>
      <c r="B311" s="215">
        <v>46299</v>
      </c>
      <c r="C311" s="118"/>
      <c r="D311" s="123"/>
      <c r="E311" s="120"/>
      <c r="F311" s="120"/>
      <c r="G311" s="98">
        <f t="shared" si="144"/>
        <v>0</v>
      </c>
      <c r="H311" s="819"/>
      <c r="I311" s="746"/>
      <c r="J311" s="122"/>
      <c r="K311" s="122"/>
      <c r="L311" s="99"/>
      <c r="M311" s="99"/>
      <c r="N311" s="99"/>
      <c r="O311" s="99"/>
      <c r="P311" s="99"/>
      <c r="Q311" s="99"/>
      <c r="R311" s="641"/>
      <c r="S311" s="641"/>
      <c r="T311" s="99"/>
      <c r="U311" s="103">
        <f t="shared" si="145"/>
        <v>0</v>
      </c>
      <c r="V311" s="231"/>
      <c r="W311" s="143"/>
      <c r="X311" s="143"/>
      <c r="Y311" s="611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03">
        <f t="shared" si="146"/>
        <v>0</v>
      </c>
      <c r="AJ311" s="123"/>
      <c r="AK311" s="123"/>
      <c r="AL311" s="123"/>
      <c r="AM311" s="105">
        <f t="shared" si="147"/>
        <v>0</v>
      </c>
      <c r="AN311" s="143"/>
      <c r="AO311" s="143"/>
      <c r="AP311" s="143"/>
      <c r="AQ311" s="146"/>
      <c r="AR311" s="224">
        <f t="shared" si="148"/>
        <v>0</v>
      </c>
      <c r="AS311" s="126"/>
      <c r="AT311" s="855"/>
      <c r="AU311" s="126"/>
      <c r="AV311" s="126"/>
      <c r="AW311" s="126"/>
      <c r="AX311" s="275"/>
      <c r="AY311" s="126"/>
      <c r="AZ311" s="274"/>
      <c r="BA311" s="274"/>
      <c r="BB311" s="274"/>
      <c r="BC311" s="274"/>
      <c r="BD311" s="222">
        <f t="shared" si="149"/>
        <v>0</v>
      </c>
      <c r="BE311" s="113">
        <f t="shared" si="150"/>
        <v>0</v>
      </c>
      <c r="BF311" s="3"/>
      <c r="BG311" s="113">
        <f t="shared" si="151"/>
        <v>0</v>
      </c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30">
        <f t="shared" si="152"/>
        <v>0</v>
      </c>
      <c r="BV311" s="3"/>
    </row>
    <row r="312" ht="14.25" customHeight="1">
      <c r="A312" s="3"/>
      <c r="B312" s="215">
        <v>46300</v>
      </c>
      <c r="C312" s="118"/>
      <c r="D312" s="123"/>
      <c r="E312" s="120"/>
      <c r="F312" s="120"/>
      <c r="G312" s="98">
        <f t="shared" si="144"/>
        <v>0</v>
      </c>
      <c r="H312" s="819"/>
      <c r="I312" s="746"/>
      <c r="J312" s="122"/>
      <c r="K312" s="122"/>
      <c r="L312" s="99"/>
      <c r="M312" s="99"/>
      <c r="N312" s="99"/>
      <c r="O312" s="99"/>
      <c r="P312" s="99"/>
      <c r="Q312" s="99"/>
      <c r="R312" s="641"/>
      <c r="S312" s="641"/>
      <c r="T312" s="99"/>
      <c r="U312" s="103">
        <f t="shared" si="145"/>
        <v>0</v>
      </c>
      <c r="V312" s="231"/>
      <c r="W312" s="143"/>
      <c r="X312" s="143"/>
      <c r="Y312" s="611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03">
        <f t="shared" si="146"/>
        <v>0</v>
      </c>
      <c r="AJ312" s="123"/>
      <c r="AK312" s="123"/>
      <c r="AL312" s="123"/>
      <c r="AM312" s="105">
        <f t="shared" si="147"/>
        <v>0</v>
      </c>
      <c r="AN312" s="143"/>
      <c r="AO312" s="143"/>
      <c r="AP312" s="143"/>
      <c r="AQ312" s="146"/>
      <c r="AR312" s="224">
        <f t="shared" si="148"/>
        <v>0</v>
      </c>
      <c r="AS312" s="126"/>
      <c r="AT312" s="855"/>
      <c r="AU312" s="126"/>
      <c r="AV312" s="126"/>
      <c r="AW312" s="126"/>
      <c r="AX312" s="275"/>
      <c r="AY312" s="126"/>
      <c r="AZ312" s="274"/>
      <c r="BA312" s="274"/>
      <c r="BB312" s="274"/>
      <c r="BC312" s="274"/>
      <c r="BD312" s="222">
        <f t="shared" si="149"/>
        <v>0</v>
      </c>
      <c r="BE312" s="113">
        <f t="shared" si="150"/>
        <v>0</v>
      </c>
      <c r="BF312" s="3"/>
      <c r="BG312" s="113">
        <f t="shared" si="151"/>
        <v>0</v>
      </c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30">
        <f t="shared" si="152"/>
        <v>0</v>
      </c>
      <c r="BV312" s="3"/>
    </row>
    <row r="313" ht="14.25" customHeight="1">
      <c r="A313" s="132"/>
      <c r="B313" s="215">
        <v>46301</v>
      </c>
      <c r="C313" s="133"/>
      <c r="D313" s="136"/>
      <c r="E313" s="135"/>
      <c r="F313" s="135"/>
      <c r="G313" s="98">
        <f t="shared" si="144"/>
        <v>0</v>
      </c>
      <c r="H313" s="819"/>
      <c r="I313" s="746"/>
      <c r="J313" s="122"/>
      <c r="K313" s="122"/>
      <c r="L313" s="99"/>
      <c r="M313" s="99"/>
      <c r="N313" s="99"/>
      <c r="O313" s="99"/>
      <c r="P313" s="99"/>
      <c r="Q313" s="99"/>
      <c r="R313" s="641"/>
      <c r="S313" s="641"/>
      <c r="T313" s="99"/>
      <c r="U313" s="103">
        <f t="shared" si="145"/>
        <v>0</v>
      </c>
      <c r="V313" s="231"/>
      <c r="W313" s="143"/>
      <c r="X313" s="143"/>
      <c r="Y313" s="611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03">
        <f t="shared" si="146"/>
        <v>0</v>
      </c>
      <c r="AJ313" s="136"/>
      <c r="AK313" s="136"/>
      <c r="AL313" s="136"/>
      <c r="AM313" s="105">
        <f t="shared" si="147"/>
        <v>0</v>
      </c>
      <c r="AN313" s="143"/>
      <c r="AO313" s="143"/>
      <c r="AP313" s="143"/>
      <c r="AQ313" s="146"/>
      <c r="AR313" s="224">
        <f t="shared" si="148"/>
        <v>0</v>
      </c>
      <c r="AS313" s="126"/>
      <c r="AT313" s="274"/>
      <c r="AU313" s="126"/>
      <c r="AV313" s="126"/>
      <c r="AW313" s="126"/>
      <c r="AX313" s="275"/>
      <c r="AY313" s="126"/>
      <c r="AZ313" s="274"/>
      <c r="BA313" s="274"/>
      <c r="BB313" s="274"/>
      <c r="BC313" s="274"/>
      <c r="BD313" s="222">
        <f t="shared" si="149"/>
        <v>0</v>
      </c>
      <c r="BE313" s="140">
        <f t="shared" si="150"/>
        <v>0</v>
      </c>
      <c r="BF313" s="132"/>
      <c r="BG313" s="140">
        <f t="shared" si="151"/>
        <v>0</v>
      </c>
      <c r="BH313" s="141"/>
      <c r="BI313" s="141"/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30">
        <f t="shared" si="152"/>
        <v>0</v>
      </c>
      <c r="BV313" s="132"/>
    </row>
    <row r="314" ht="14.25" customHeight="1">
      <c r="A314" s="132"/>
      <c r="B314" s="215">
        <v>46302</v>
      </c>
      <c r="C314" s="133"/>
      <c r="D314" s="136"/>
      <c r="E314" s="135"/>
      <c r="F314" s="135"/>
      <c r="G314" s="98">
        <f t="shared" si="144"/>
        <v>0</v>
      </c>
      <c r="H314" s="819"/>
      <c r="I314" s="746"/>
      <c r="J314" s="122"/>
      <c r="K314" s="122"/>
      <c r="L314" s="99"/>
      <c r="M314" s="99"/>
      <c r="N314" s="99"/>
      <c r="O314" s="99"/>
      <c r="P314" s="99"/>
      <c r="Q314" s="99"/>
      <c r="R314" s="641"/>
      <c r="S314" s="641"/>
      <c r="T314" s="99"/>
      <c r="U314" s="103">
        <f t="shared" si="145"/>
        <v>0</v>
      </c>
      <c r="V314" s="143"/>
      <c r="W314" s="143"/>
      <c r="X314" s="143"/>
      <c r="Y314" s="611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03">
        <f t="shared" si="146"/>
        <v>0</v>
      </c>
      <c r="AJ314" s="136"/>
      <c r="AK314" s="136"/>
      <c r="AL314" s="136"/>
      <c r="AM314" s="105">
        <f t="shared" si="147"/>
        <v>0</v>
      </c>
      <c r="AN314" s="143"/>
      <c r="AO314" s="143"/>
      <c r="AP314" s="143"/>
      <c r="AQ314" s="146"/>
      <c r="AR314" s="224">
        <f t="shared" si="148"/>
        <v>0</v>
      </c>
      <c r="AS314" s="126"/>
      <c r="AT314" s="274"/>
      <c r="AU314" s="126"/>
      <c r="AV314" s="126"/>
      <c r="AW314" s="126"/>
      <c r="AX314" s="275"/>
      <c r="AY314" s="126"/>
      <c r="AZ314" s="274"/>
      <c r="BA314" s="274"/>
      <c r="BB314" s="274"/>
      <c r="BC314" s="274"/>
      <c r="BD314" s="222">
        <f t="shared" si="149"/>
        <v>0</v>
      </c>
      <c r="BE314" s="140">
        <f t="shared" si="150"/>
        <v>0</v>
      </c>
      <c r="BF314" s="132"/>
      <c r="BG314" s="140">
        <f t="shared" si="151"/>
        <v>0</v>
      </c>
      <c r="BH314" s="141"/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30">
        <f t="shared" si="152"/>
        <v>0</v>
      </c>
      <c r="BV314" s="132"/>
    </row>
    <row r="315" ht="14.25" customHeight="1">
      <c r="A315" s="132"/>
      <c r="B315" s="215">
        <v>46303</v>
      </c>
      <c r="C315" s="133"/>
      <c r="D315" s="136"/>
      <c r="E315" s="135"/>
      <c r="F315" s="135"/>
      <c r="G315" s="98">
        <f t="shared" si="144"/>
        <v>0</v>
      </c>
      <c r="H315" s="819"/>
      <c r="I315" s="746"/>
      <c r="J315" s="122"/>
      <c r="K315" s="122"/>
      <c r="L315" s="99"/>
      <c r="M315" s="99"/>
      <c r="N315" s="99"/>
      <c r="O315" s="99"/>
      <c r="P315" s="99"/>
      <c r="Q315" s="99"/>
      <c r="R315" s="641"/>
      <c r="S315" s="641"/>
      <c r="T315" s="99"/>
      <c r="U315" s="103">
        <f t="shared" si="145"/>
        <v>0</v>
      </c>
      <c r="V315" s="143"/>
      <c r="W315" s="143"/>
      <c r="X315" s="143"/>
      <c r="Y315" s="611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03">
        <f t="shared" si="146"/>
        <v>0</v>
      </c>
      <c r="AJ315" s="136"/>
      <c r="AK315" s="136"/>
      <c r="AL315" s="136"/>
      <c r="AM315" s="105">
        <f t="shared" si="147"/>
        <v>0</v>
      </c>
      <c r="AN315" s="143"/>
      <c r="AO315" s="143"/>
      <c r="AP315" s="143"/>
      <c r="AQ315" s="146"/>
      <c r="AR315" s="224">
        <f t="shared" si="148"/>
        <v>0</v>
      </c>
      <c r="AS315" s="126"/>
      <c r="AT315" s="274"/>
      <c r="AU315" s="126"/>
      <c r="AV315" s="126"/>
      <c r="AW315" s="126"/>
      <c r="AX315" s="275"/>
      <c r="AY315" s="126"/>
      <c r="AZ315" s="274"/>
      <c r="BA315" s="274"/>
      <c r="BB315" s="274"/>
      <c r="BC315" s="274"/>
      <c r="BD315" s="222">
        <f t="shared" si="149"/>
        <v>0</v>
      </c>
      <c r="BE315" s="140">
        <f t="shared" si="150"/>
        <v>0</v>
      </c>
      <c r="BF315" s="132"/>
      <c r="BG315" s="140">
        <f t="shared" si="151"/>
        <v>0</v>
      </c>
      <c r="BH315" s="141"/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635">
        <f t="shared" si="152"/>
        <v>0</v>
      </c>
      <c r="BV315" s="132"/>
    </row>
    <row r="316" ht="14.25" customHeight="1">
      <c r="A316" s="132"/>
      <c r="B316" s="215">
        <v>46304</v>
      </c>
      <c r="C316" s="133"/>
      <c r="D316" s="136"/>
      <c r="E316" s="135"/>
      <c r="F316" s="135"/>
      <c r="G316" s="98">
        <f t="shared" si="144"/>
        <v>0</v>
      </c>
      <c r="H316" s="819"/>
      <c r="I316" s="746"/>
      <c r="J316" s="122"/>
      <c r="K316" s="122"/>
      <c r="L316" s="99"/>
      <c r="M316" s="99"/>
      <c r="N316" s="99"/>
      <c r="O316" s="99"/>
      <c r="P316" s="99"/>
      <c r="Q316" s="99"/>
      <c r="R316" s="641"/>
      <c r="S316" s="641"/>
      <c r="T316" s="99"/>
      <c r="U316" s="103">
        <f t="shared" si="145"/>
        <v>0</v>
      </c>
      <c r="V316" s="143"/>
      <c r="W316" s="143"/>
      <c r="X316" s="143"/>
      <c r="Y316" s="611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03">
        <f t="shared" si="146"/>
        <v>0</v>
      </c>
      <c r="AJ316" s="136"/>
      <c r="AK316" s="136"/>
      <c r="AL316" s="136"/>
      <c r="AM316" s="105">
        <f t="shared" si="147"/>
        <v>0</v>
      </c>
      <c r="AN316" s="143"/>
      <c r="AO316" s="143"/>
      <c r="AP316" s="143"/>
      <c r="AQ316" s="146"/>
      <c r="AR316" s="224">
        <f t="shared" si="148"/>
        <v>0</v>
      </c>
      <c r="AS316" s="126"/>
      <c r="AT316" s="274"/>
      <c r="AU316" s="126"/>
      <c r="AV316" s="126"/>
      <c r="AW316" s="126"/>
      <c r="AX316" s="275"/>
      <c r="AY316" s="126"/>
      <c r="AZ316" s="274"/>
      <c r="BA316" s="274"/>
      <c r="BB316" s="274"/>
      <c r="BC316" s="274"/>
      <c r="BD316" s="222">
        <f t="shared" si="149"/>
        <v>0</v>
      </c>
      <c r="BE316" s="140">
        <f t="shared" si="150"/>
        <v>0</v>
      </c>
      <c r="BF316" s="132"/>
      <c r="BG316" s="140">
        <f t="shared" si="151"/>
        <v>0</v>
      </c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30">
        <f t="shared" si="152"/>
        <v>0</v>
      </c>
      <c r="BV316" s="132"/>
    </row>
    <row r="317" ht="14.25" customHeight="1">
      <c r="A317" s="132"/>
      <c r="B317" s="215">
        <v>46305</v>
      </c>
      <c r="C317" s="133"/>
      <c r="D317" s="136"/>
      <c r="E317" s="135"/>
      <c r="F317" s="135"/>
      <c r="G317" s="98">
        <f t="shared" si="144"/>
        <v>0</v>
      </c>
      <c r="H317" s="819"/>
      <c r="I317" s="746"/>
      <c r="J317" s="122"/>
      <c r="K317" s="122"/>
      <c r="L317" s="99"/>
      <c r="M317" s="99"/>
      <c r="N317" s="99"/>
      <c r="O317" s="99"/>
      <c r="P317" s="99"/>
      <c r="Q317" s="99"/>
      <c r="R317" s="641"/>
      <c r="S317" s="641"/>
      <c r="T317" s="99"/>
      <c r="U317" s="103">
        <f t="shared" si="145"/>
        <v>0</v>
      </c>
      <c r="V317" s="143"/>
      <c r="W317" s="143"/>
      <c r="X317" s="143"/>
      <c r="Y317" s="611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03">
        <f t="shared" si="146"/>
        <v>0</v>
      </c>
      <c r="AJ317" s="136"/>
      <c r="AK317" s="136"/>
      <c r="AL317" s="136"/>
      <c r="AM317" s="105">
        <f t="shared" si="147"/>
        <v>0</v>
      </c>
      <c r="AN317" s="143"/>
      <c r="AO317" s="143"/>
      <c r="AP317" s="143"/>
      <c r="AQ317" s="146"/>
      <c r="AR317" s="224">
        <f t="shared" si="148"/>
        <v>0</v>
      </c>
      <c r="AS317" s="126"/>
      <c r="AT317" s="274"/>
      <c r="AU317" s="126"/>
      <c r="AV317" s="126"/>
      <c r="AW317" s="293"/>
      <c r="AX317" s="275"/>
      <c r="AY317" s="126"/>
      <c r="AZ317" s="274"/>
      <c r="BA317" s="274"/>
      <c r="BB317" s="274"/>
      <c r="BC317" s="274"/>
      <c r="BD317" s="222">
        <f t="shared" si="149"/>
        <v>0</v>
      </c>
      <c r="BE317" s="140">
        <f t="shared" si="150"/>
        <v>0</v>
      </c>
      <c r="BF317" s="132"/>
      <c r="BG317" s="140">
        <f t="shared" si="151"/>
        <v>0</v>
      </c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30">
        <f t="shared" si="152"/>
        <v>0</v>
      </c>
      <c r="BV317" s="132"/>
    </row>
    <row r="318" ht="14.25" customHeight="1">
      <c r="A318" s="132"/>
      <c r="B318" s="215">
        <v>46306</v>
      </c>
      <c r="C318" s="133"/>
      <c r="D318" s="136"/>
      <c r="E318" s="135"/>
      <c r="F318" s="135"/>
      <c r="G318" s="98">
        <f t="shared" si="144"/>
        <v>0</v>
      </c>
      <c r="H318" s="819"/>
      <c r="I318" s="746"/>
      <c r="J318" s="122"/>
      <c r="K318" s="122"/>
      <c r="L318" s="99"/>
      <c r="M318" s="99"/>
      <c r="N318" s="99"/>
      <c r="O318" s="99"/>
      <c r="P318" s="99"/>
      <c r="Q318" s="99"/>
      <c r="R318" s="641"/>
      <c r="S318" s="641"/>
      <c r="T318" s="99"/>
      <c r="U318" s="103">
        <f t="shared" si="145"/>
        <v>0</v>
      </c>
      <c r="V318" s="143"/>
      <c r="W318" s="143"/>
      <c r="X318" s="143"/>
      <c r="Y318" s="611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03">
        <f t="shared" si="146"/>
        <v>0</v>
      </c>
      <c r="AJ318" s="136"/>
      <c r="AK318" s="136"/>
      <c r="AL318" s="136"/>
      <c r="AM318" s="105">
        <f t="shared" si="147"/>
        <v>0</v>
      </c>
      <c r="AN318" s="143"/>
      <c r="AO318" s="143"/>
      <c r="AP318" s="143"/>
      <c r="AQ318" s="146"/>
      <c r="AR318" s="224">
        <f t="shared" si="148"/>
        <v>0</v>
      </c>
      <c r="AS318" s="126"/>
      <c r="AT318" s="274"/>
      <c r="AU318" s="126"/>
      <c r="AV318" s="126"/>
      <c r="AW318" s="126"/>
      <c r="AX318" s="275"/>
      <c r="AY318" s="126"/>
      <c r="AZ318" s="274"/>
      <c r="BA318" s="274"/>
      <c r="BB318" s="274"/>
      <c r="BC318" s="274"/>
      <c r="BD318" s="222">
        <f t="shared" si="149"/>
        <v>0</v>
      </c>
      <c r="BE318" s="140">
        <f t="shared" si="150"/>
        <v>0</v>
      </c>
      <c r="BF318" s="132"/>
      <c r="BG318" s="140">
        <f t="shared" si="151"/>
        <v>0</v>
      </c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30">
        <f t="shared" si="152"/>
        <v>0</v>
      </c>
      <c r="BV318" s="132"/>
    </row>
    <row r="319" ht="14.25" customHeight="1">
      <c r="A319" s="132"/>
      <c r="B319" s="215">
        <v>46307</v>
      </c>
      <c r="C319" s="133"/>
      <c r="D319" s="136"/>
      <c r="E319" s="135"/>
      <c r="F319" s="135"/>
      <c r="G319" s="98">
        <f t="shared" si="144"/>
        <v>0</v>
      </c>
      <c r="H319" s="819"/>
      <c r="I319" s="746"/>
      <c r="J319" s="122"/>
      <c r="K319" s="122"/>
      <c r="L319" s="99"/>
      <c r="M319" s="99"/>
      <c r="N319" s="99"/>
      <c r="O319" s="99"/>
      <c r="P319" s="99"/>
      <c r="Q319" s="99"/>
      <c r="R319" s="641"/>
      <c r="S319" s="641"/>
      <c r="T319" s="99"/>
      <c r="U319" s="103">
        <f t="shared" si="145"/>
        <v>0</v>
      </c>
      <c r="V319" s="143"/>
      <c r="W319" s="143"/>
      <c r="X319" s="143"/>
      <c r="Y319" s="611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03">
        <f t="shared" si="146"/>
        <v>0</v>
      </c>
      <c r="AJ319" s="136"/>
      <c r="AK319" s="136"/>
      <c r="AL319" s="136"/>
      <c r="AM319" s="105">
        <f t="shared" si="147"/>
        <v>0</v>
      </c>
      <c r="AN319" s="143"/>
      <c r="AO319" s="143"/>
      <c r="AP319" s="143"/>
      <c r="AQ319" s="146"/>
      <c r="AR319" s="224">
        <f t="shared" si="148"/>
        <v>0</v>
      </c>
      <c r="AS319" s="126"/>
      <c r="AT319" s="274"/>
      <c r="AU319" s="126"/>
      <c r="AV319" s="126"/>
      <c r="AW319" s="126"/>
      <c r="AX319" s="275"/>
      <c r="AY319" s="126"/>
      <c r="AZ319" s="274"/>
      <c r="BA319" s="274"/>
      <c r="BB319" s="274"/>
      <c r="BC319" s="274"/>
      <c r="BD319" s="222">
        <f t="shared" si="149"/>
        <v>0</v>
      </c>
      <c r="BE319" s="140">
        <f t="shared" si="150"/>
        <v>0</v>
      </c>
      <c r="BF319" s="132"/>
      <c r="BG319" s="140">
        <f t="shared" si="151"/>
        <v>0</v>
      </c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30">
        <f t="shared" si="152"/>
        <v>0</v>
      </c>
      <c r="BV319" s="132"/>
    </row>
    <row r="320" ht="14.25" customHeight="1">
      <c r="A320" s="132"/>
      <c r="B320" s="215">
        <v>46308</v>
      </c>
      <c r="C320" s="133"/>
      <c r="D320" s="136"/>
      <c r="E320" s="135"/>
      <c r="F320" s="135"/>
      <c r="G320" s="98">
        <f t="shared" si="144"/>
        <v>0</v>
      </c>
      <c r="H320" s="819"/>
      <c r="I320" s="746"/>
      <c r="J320" s="122"/>
      <c r="K320" s="122"/>
      <c r="L320" s="99"/>
      <c r="M320" s="99"/>
      <c r="N320" s="99"/>
      <c r="O320" s="99"/>
      <c r="P320" s="99"/>
      <c r="Q320" s="99"/>
      <c r="R320" s="641"/>
      <c r="S320" s="641"/>
      <c r="T320" s="99"/>
      <c r="U320" s="103">
        <f t="shared" si="145"/>
        <v>0</v>
      </c>
      <c r="V320" s="143"/>
      <c r="W320" s="143"/>
      <c r="X320" s="143"/>
      <c r="Y320" s="611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03">
        <f t="shared" si="146"/>
        <v>0</v>
      </c>
      <c r="AJ320" s="136"/>
      <c r="AK320" s="136"/>
      <c r="AL320" s="136"/>
      <c r="AM320" s="105">
        <f t="shared" si="147"/>
        <v>0</v>
      </c>
      <c r="AN320" s="143"/>
      <c r="AO320" s="143"/>
      <c r="AP320" s="143"/>
      <c r="AQ320" s="146"/>
      <c r="AR320" s="224">
        <f t="shared" si="148"/>
        <v>0</v>
      </c>
      <c r="AS320" s="126"/>
      <c r="AT320" s="274"/>
      <c r="AU320" s="126"/>
      <c r="AV320" s="126"/>
      <c r="AW320" s="126"/>
      <c r="AX320" s="275"/>
      <c r="AY320" s="126"/>
      <c r="AZ320" s="274"/>
      <c r="BA320" s="274"/>
      <c r="BB320" s="274"/>
      <c r="BC320" s="274"/>
      <c r="BD320" s="222">
        <f t="shared" si="149"/>
        <v>0</v>
      </c>
      <c r="BE320" s="140">
        <f t="shared" si="150"/>
        <v>0</v>
      </c>
      <c r="BF320" s="132"/>
      <c r="BG320" s="140">
        <f t="shared" si="151"/>
        <v>0</v>
      </c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30">
        <f t="shared" si="152"/>
        <v>0</v>
      </c>
      <c r="BV320" s="132"/>
    </row>
    <row r="321" ht="14.25" customHeight="1">
      <c r="A321" s="132"/>
      <c r="B321" s="215">
        <v>46309</v>
      </c>
      <c r="C321" s="133"/>
      <c r="D321" s="136"/>
      <c r="E321" s="135"/>
      <c r="F321" s="135"/>
      <c r="G321" s="98">
        <f t="shared" si="144"/>
        <v>0</v>
      </c>
      <c r="H321" s="819"/>
      <c r="I321" s="746"/>
      <c r="J321" s="122"/>
      <c r="K321" s="122"/>
      <c r="L321" s="99"/>
      <c r="M321" s="99"/>
      <c r="N321" s="99"/>
      <c r="O321" s="99"/>
      <c r="P321" s="99"/>
      <c r="Q321" s="99"/>
      <c r="R321" s="641"/>
      <c r="S321" s="641"/>
      <c r="T321" s="99"/>
      <c r="U321" s="103">
        <f t="shared" si="145"/>
        <v>0</v>
      </c>
      <c r="V321" s="143"/>
      <c r="W321" s="143"/>
      <c r="X321" s="143"/>
      <c r="Y321" s="611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03">
        <f t="shared" si="146"/>
        <v>0</v>
      </c>
      <c r="AJ321" s="136"/>
      <c r="AK321" s="136"/>
      <c r="AL321" s="136"/>
      <c r="AM321" s="105">
        <f t="shared" si="147"/>
        <v>0</v>
      </c>
      <c r="AN321" s="143"/>
      <c r="AO321" s="143"/>
      <c r="AP321" s="143"/>
      <c r="AQ321" s="146"/>
      <c r="AR321" s="224">
        <f t="shared" si="148"/>
        <v>0</v>
      </c>
      <c r="AS321" s="126"/>
      <c r="AT321" s="274"/>
      <c r="AU321" s="126"/>
      <c r="AV321" s="126"/>
      <c r="AW321" s="126"/>
      <c r="AX321" s="275"/>
      <c r="AY321" s="126"/>
      <c r="AZ321" s="274"/>
      <c r="BA321" s="274"/>
      <c r="BB321" s="274"/>
      <c r="BC321" s="274"/>
      <c r="BD321" s="222">
        <f t="shared" si="149"/>
        <v>0</v>
      </c>
      <c r="BE321" s="140">
        <f t="shared" si="150"/>
        <v>0</v>
      </c>
      <c r="BF321" s="132"/>
      <c r="BG321" s="140">
        <f t="shared" si="151"/>
        <v>0</v>
      </c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30">
        <f t="shared" si="152"/>
        <v>0</v>
      </c>
      <c r="BV321" s="132"/>
    </row>
    <row r="322" ht="14.25" customHeight="1">
      <c r="A322" s="132"/>
      <c r="B322" s="215">
        <v>46310</v>
      </c>
      <c r="C322" s="133"/>
      <c r="D322" s="136"/>
      <c r="E322" s="135"/>
      <c r="F322" s="135"/>
      <c r="G322" s="98">
        <f t="shared" si="144"/>
        <v>0</v>
      </c>
      <c r="H322" s="819"/>
      <c r="I322" s="746"/>
      <c r="J322" s="122"/>
      <c r="K322" s="122"/>
      <c r="L322" s="99"/>
      <c r="M322" s="99"/>
      <c r="N322" s="99"/>
      <c r="O322" s="99"/>
      <c r="P322" s="99"/>
      <c r="Q322" s="99"/>
      <c r="R322" s="641"/>
      <c r="S322" s="641"/>
      <c r="T322" s="99"/>
      <c r="U322" s="103">
        <f t="shared" si="145"/>
        <v>0</v>
      </c>
      <c r="V322" s="143"/>
      <c r="W322" s="143"/>
      <c r="X322" s="143"/>
      <c r="Y322" s="611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03">
        <f t="shared" si="146"/>
        <v>0</v>
      </c>
      <c r="AJ322" s="136"/>
      <c r="AK322" s="136"/>
      <c r="AL322" s="136"/>
      <c r="AM322" s="105">
        <f t="shared" si="147"/>
        <v>0</v>
      </c>
      <c r="AN322" s="143"/>
      <c r="AO322" s="143"/>
      <c r="AP322" s="143"/>
      <c r="AQ322" s="146"/>
      <c r="AR322" s="224">
        <f t="shared" si="148"/>
        <v>0</v>
      </c>
      <c r="AS322" s="126"/>
      <c r="AT322" s="274"/>
      <c r="AU322" s="126"/>
      <c r="AV322" s="126"/>
      <c r="AW322" s="126"/>
      <c r="AX322" s="275"/>
      <c r="AY322" s="126"/>
      <c r="AZ322" s="274"/>
      <c r="BA322" s="274"/>
      <c r="BB322" s="274"/>
      <c r="BC322" s="274"/>
      <c r="BD322" s="222">
        <f t="shared" si="149"/>
        <v>0</v>
      </c>
      <c r="BE322" s="140">
        <f t="shared" si="150"/>
        <v>0</v>
      </c>
      <c r="BF322" s="132"/>
      <c r="BG322" s="140">
        <f t="shared" si="151"/>
        <v>0</v>
      </c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30">
        <f t="shared" si="152"/>
        <v>0</v>
      </c>
      <c r="BV322" s="132"/>
    </row>
    <row r="323" ht="14.25" customHeight="1">
      <c r="A323" s="132"/>
      <c r="B323" s="215">
        <v>46311</v>
      </c>
      <c r="C323" s="133"/>
      <c r="D323" s="136"/>
      <c r="E323" s="135"/>
      <c r="F323" s="135"/>
      <c r="G323" s="98">
        <f t="shared" si="144"/>
        <v>0</v>
      </c>
      <c r="H323" s="819"/>
      <c r="I323" s="746"/>
      <c r="J323" s="122"/>
      <c r="K323" s="122"/>
      <c r="L323" s="99"/>
      <c r="M323" s="99"/>
      <c r="N323" s="99"/>
      <c r="O323" s="99"/>
      <c r="P323" s="99"/>
      <c r="Q323" s="99"/>
      <c r="R323" s="641"/>
      <c r="S323" s="641"/>
      <c r="T323" s="99"/>
      <c r="U323" s="103">
        <f t="shared" si="145"/>
        <v>0</v>
      </c>
      <c r="V323" s="143"/>
      <c r="W323" s="143"/>
      <c r="X323" s="143"/>
      <c r="Y323" s="611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03">
        <f t="shared" si="146"/>
        <v>0</v>
      </c>
      <c r="AJ323" s="136"/>
      <c r="AK323" s="136"/>
      <c r="AL323" s="136"/>
      <c r="AM323" s="105">
        <f t="shared" si="147"/>
        <v>0</v>
      </c>
      <c r="AN323" s="143"/>
      <c r="AO323" s="143"/>
      <c r="AP323" s="143"/>
      <c r="AQ323" s="146"/>
      <c r="AR323" s="224">
        <f t="shared" si="148"/>
        <v>0</v>
      </c>
      <c r="AS323" s="126"/>
      <c r="AT323" s="274"/>
      <c r="AU323" s="126"/>
      <c r="AV323" s="126"/>
      <c r="AW323" s="126"/>
      <c r="AX323" s="275"/>
      <c r="AY323" s="126"/>
      <c r="AZ323" s="274"/>
      <c r="BA323" s="274"/>
      <c r="BB323" s="274"/>
      <c r="BC323" s="274"/>
      <c r="BD323" s="222">
        <f t="shared" si="149"/>
        <v>0</v>
      </c>
      <c r="BE323" s="140">
        <f t="shared" si="150"/>
        <v>0</v>
      </c>
      <c r="BF323" s="132"/>
      <c r="BG323" s="140">
        <f t="shared" si="151"/>
        <v>0</v>
      </c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30">
        <f t="shared" si="152"/>
        <v>0</v>
      </c>
      <c r="BV323" s="132"/>
    </row>
    <row r="324" ht="14.25" customHeight="1">
      <c r="A324" s="3"/>
      <c r="B324" s="215">
        <v>46312</v>
      </c>
      <c r="C324" s="118"/>
      <c r="D324" s="123"/>
      <c r="E324" s="120"/>
      <c r="F324" s="120"/>
      <c r="G324" s="98">
        <f t="shared" si="144"/>
        <v>0</v>
      </c>
      <c r="H324" s="819"/>
      <c r="I324" s="746"/>
      <c r="J324" s="122"/>
      <c r="K324" s="122"/>
      <c r="L324" s="99"/>
      <c r="M324" s="99"/>
      <c r="N324" s="99"/>
      <c r="O324" s="99"/>
      <c r="P324" s="99"/>
      <c r="Q324" s="99"/>
      <c r="R324" s="641"/>
      <c r="S324" s="641"/>
      <c r="T324" s="99"/>
      <c r="U324" s="103">
        <f t="shared" si="145"/>
        <v>0</v>
      </c>
      <c r="V324" s="143"/>
      <c r="W324" s="143"/>
      <c r="X324" s="143"/>
      <c r="Y324" s="611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03">
        <f t="shared" si="146"/>
        <v>0</v>
      </c>
      <c r="AJ324" s="123"/>
      <c r="AK324" s="123"/>
      <c r="AL324" s="123"/>
      <c r="AM324" s="105">
        <f t="shared" si="147"/>
        <v>0</v>
      </c>
      <c r="AN324" s="143"/>
      <c r="AO324" s="143"/>
      <c r="AP324" s="143"/>
      <c r="AQ324" s="146"/>
      <c r="AR324" s="224">
        <f t="shared" si="148"/>
        <v>0</v>
      </c>
      <c r="AS324" s="126"/>
      <c r="AT324" s="274"/>
      <c r="AU324" s="126"/>
      <c r="AV324" s="126"/>
      <c r="AW324" s="126"/>
      <c r="AX324" s="275"/>
      <c r="AY324" s="126"/>
      <c r="AZ324" s="274"/>
      <c r="BA324" s="274"/>
      <c r="BB324" s="274"/>
      <c r="BC324" s="274"/>
      <c r="BD324" s="222">
        <f t="shared" si="149"/>
        <v>0</v>
      </c>
      <c r="BE324" s="113">
        <f t="shared" si="150"/>
        <v>0</v>
      </c>
      <c r="BF324" s="3"/>
      <c r="BG324" s="113">
        <f t="shared" si="151"/>
        <v>0</v>
      </c>
      <c r="BH324" s="129"/>
      <c r="BI324" s="129"/>
      <c r="BJ324" s="129"/>
      <c r="BK324" s="129"/>
      <c r="BL324" s="129"/>
      <c r="BM324" s="129"/>
      <c r="BN324" s="129"/>
      <c r="BO324" s="129"/>
      <c r="BP324" s="129"/>
      <c r="BQ324" s="129"/>
      <c r="BR324" s="129"/>
      <c r="BS324" s="129"/>
      <c r="BT324" s="129"/>
      <c r="BU324" s="130">
        <f t="shared" si="152"/>
        <v>0</v>
      </c>
      <c r="BV324" s="3"/>
    </row>
    <row r="325" ht="14.25" customHeight="1">
      <c r="A325" s="132"/>
      <c r="B325" s="215">
        <v>46313</v>
      </c>
      <c r="C325" s="133"/>
      <c r="D325" s="136"/>
      <c r="E325" s="135"/>
      <c r="F325" s="135"/>
      <c r="G325" s="98">
        <f t="shared" si="144"/>
        <v>0</v>
      </c>
      <c r="H325" s="819"/>
      <c r="I325" s="746"/>
      <c r="J325" s="122"/>
      <c r="K325" s="122"/>
      <c r="L325" s="99"/>
      <c r="M325" s="99"/>
      <c r="N325" s="99"/>
      <c r="O325" s="99"/>
      <c r="P325" s="99"/>
      <c r="Q325" s="99"/>
      <c r="R325" s="641"/>
      <c r="S325" s="641"/>
      <c r="T325" s="99"/>
      <c r="U325" s="103">
        <f t="shared" si="145"/>
        <v>0</v>
      </c>
      <c r="V325" s="143"/>
      <c r="W325" s="143"/>
      <c r="X325" s="143"/>
      <c r="Y325" s="611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03">
        <f t="shared" si="146"/>
        <v>0</v>
      </c>
      <c r="AJ325" s="136"/>
      <c r="AK325" s="136"/>
      <c r="AL325" s="136"/>
      <c r="AM325" s="105">
        <f t="shared" si="147"/>
        <v>0</v>
      </c>
      <c r="AN325" s="143"/>
      <c r="AO325" s="143"/>
      <c r="AP325" s="143"/>
      <c r="AQ325" s="146"/>
      <c r="AR325" s="224">
        <f t="shared" si="148"/>
        <v>0</v>
      </c>
      <c r="AS325" s="126"/>
      <c r="AT325" s="274"/>
      <c r="AU325" s="126"/>
      <c r="AV325" s="126"/>
      <c r="AW325" s="126"/>
      <c r="AX325" s="275"/>
      <c r="AY325" s="126"/>
      <c r="AZ325" s="274"/>
      <c r="BA325" s="274"/>
      <c r="BB325" s="274"/>
      <c r="BC325" s="274"/>
      <c r="BD325" s="222">
        <f t="shared" si="149"/>
        <v>0</v>
      </c>
      <c r="BE325" s="140">
        <f t="shared" si="150"/>
        <v>0</v>
      </c>
      <c r="BF325" s="132"/>
      <c r="BG325" s="140">
        <f t="shared" si="151"/>
        <v>0</v>
      </c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30">
        <f t="shared" si="152"/>
        <v>0</v>
      </c>
      <c r="BV325" s="132"/>
    </row>
    <row r="326" ht="14.25" customHeight="1">
      <c r="A326" s="132"/>
      <c r="B326" s="215">
        <v>46314</v>
      </c>
      <c r="C326" s="133"/>
      <c r="D326" s="136"/>
      <c r="E326" s="135"/>
      <c r="F326" s="135"/>
      <c r="G326" s="98">
        <f t="shared" si="144"/>
        <v>0</v>
      </c>
      <c r="H326" s="819"/>
      <c r="I326" s="746"/>
      <c r="J326" s="122"/>
      <c r="K326" s="122"/>
      <c r="L326" s="99"/>
      <c r="M326" s="99"/>
      <c r="N326" s="99"/>
      <c r="O326" s="99"/>
      <c r="P326" s="99"/>
      <c r="Q326" s="99"/>
      <c r="R326" s="641"/>
      <c r="S326" s="641"/>
      <c r="T326" s="99"/>
      <c r="U326" s="103">
        <f t="shared" si="145"/>
        <v>0</v>
      </c>
      <c r="V326" s="143"/>
      <c r="W326" s="874"/>
      <c r="X326" s="874"/>
      <c r="Y326" s="611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03">
        <f t="shared" si="146"/>
        <v>0</v>
      </c>
      <c r="AJ326" s="136"/>
      <c r="AK326" s="136"/>
      <c r="AL326" s="136"/>
      <c r="AM326" s="105">
        <f t="shared" si="147"/>
        <v>0</v>
      </c>
      <c r="AN326" s="143"/>
      <c r="AO326" s="143"/>
      <c r="AP326" s="143"/>
      <c r="AQ326" s="146"/>
      <c r="AR326" s="224">
        <f t="shared" si="148"/>
        <v>0</v>
      </c>
      <c r="AS326" s="126"/>
      <c r="AT326" s="274"/>
      <c r="AU326" s="126"/>
      <c r="AV326" s="126"/>
      <c r="AW326" s="126"/>
      <c r="AX326" s="275"/>
      <c r="AY326" s="126"/>
      <c r="AZ326" s="274"/>
      <c r="BA326" s="274"/>
      <c r="BB326" s="274"/>
      <c r="BC326" s="274"/>
      <c r="BD326" s="222">
        <f t="shared" si="149"/>
        <v>0</v>
      </c>
      <c r="BE326" s="140">
        <f t="shared" si="150"/>
        <v>0</v>
      </c>
      <c r="BF326" s="132"/>
      <c r="BG326" s="140">
        <f t="shared" si="151"/>
        <v>0</v>
      </c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30">
        <f t="shared" si="152"/>
        <v>0</v>
      </c>
      <c r="BV326" s="132"/>
    </row>
    <row r="327" ht="14.25" customHeight="1">
      <c r="A327" s="132"/>
      <c r="B327" s="215">
        <v>46315</v>
      </c>
      <c r="C327" s="133"/>
      <c r="D327" s="136"/>
      <c r="E327" s="135"/>
      <c r="F327" s="135"/>
      <c r="G327" s="98">
        <f t="shared" si="144"/>
        <v>0</v>
      </c>
      <c r="H327" s="819"/>
      <c r="I327" s="746"/>
      <c r="J327" s="122"/>
      <c r="K327" s="122"/>
      <c r="L327" s="99"/>
      <c r="M327" s="99"/>
      <c r="N327" s="99"/>
      <c r="O327" s="99"/>
      <c r="P327" s="99"/>
      <c r="Q327" s="99"/>
      <c r="R327" s="641"/>
      <c r="S327" s="641"/>
      <c r="T327" s="99"/>
      <c r="U327" s="103">
        <f t="shared" si="145"/>
        <v>0</v>
      </c>
      <c r="V327" s="143"/>
      <c r="W327" s="143"/>
      <c r="X327" s="143"/>
      <c r="Y327" s="611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03">
        <f t="shared" si="146"/>
        <v>0</v>
      </c>
      <c r="AJ327" s="136"/>
      <c r="AK327" s="136"/>
      <c r="AL327" s="136"/>
      <c r="AM327" s="105">
        <f t="shared" si="147"/>
        <v>0</v>
      </c>
      <c r="AN327" s="143"/>
      <c r="AO327" s="143"/>
      <c r="AP327" s="143"/>
      <c r="AQ327" s="146"/>
      <c r="AR327" s="224">
        <f t="shared" si="148"/>
        <v>0</v>
      </c>
      <c r="AS327" s="126"/>
      <c r="AT327" s="274"/>
      <c r="AU327" s="126"/>
      <c r="AV327" s="126"/>
      <c r="AW327" s="126"/>
      <c r="AX327" s="275"/>
      <c r="AY327" s="126"/>
      <c r="AZ327" s="274"/>
      <c r="BA327" s="274"/>
      <c r="BB327" s="274"/>
      <c r="BC327" s="274"/>
      <c r="BD327" s="222">
        <f t="shared" si="149"/>
        <v>0</v>
      </c>
      <c r="BE327" s="140">
        <f t="shared" si="150"/>
        <v>0</v>
      </c>
      <c r="BF327" s="132"/>
      <c r="BG327" s="140">
        <f t="shared" si="151"/>
        <v>0</v>
      </c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30">
        <f t="shared" si="152"/>
        <v>0</v>
      </c>
      <c r="BV327" s="132"/>
    </row>
    <row r="328" ht="14.25" customHeight="1">
      <c r="A328" s="132"/>
      <c r="B328" s="215">
        <v>46316</v>
      </c>
      <c r="C328" s="133"/>
      <c r="D328" s="136"/>
      <c r="E328" s="135"/>
      <c r="F328" s="135"/>
      <c r="G328" s="98">
        <f t="shared" si="144"/>
        <v>0</v>
      </c>
      <c r="H328" s="819"/>
      <c r="I328" s="746"/>
      <c r="J328" s="122"/>
      <c r="K328" s="122"/>
      <c r="L328" s="99"/>
      <c r="M328" s="99"/>
      <c r="N328" s="99"/>
      <c r="O328" s="99"/>
      <c r="P328" s="99"/>
      <c r="Q328" s="99"/>
      <c r="R328" s="641"/>
      <c r="S328" s="641"/>
      <c r="T328" s="99"/>
      <c r="U328" s="103">
        <f t="shared" si="145"/>
        <v>0</v>
      </c>
      <c r="V328" s="143"/>
      <c r="W328" s="143"/>
      <c r="X328" s="143"/>
      <c r="Y328" s="611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03">
        <f t="shared" si="146"/>
        <v>0</v>
      </c>
      <c r="AJ328" s="136"/>
      <c r="AK328" s="136"/>
      <c r="AL328" s="136"/>
      <c r="AM328" s="105">
        <f t="shared" si="147"/>
        <v>0</v>
      </c>
      <c r="AN328" s="143"/>
      <c r="AO328" s="143"/>
      <c r="AP328" s="143"/>
      <c r="AQ328" s="146"/>
      <c r="AR328" s="224">
        <f t="shared" si="148"/>
        <v>0</v>
      </c>
      <c r="AS328" s="126"/>
      <c r="AT328" s="274"/>
      <c r="AU328" s="126"/>
      <c r="AV328" s="126"/>
      <c r="AW328" s="126"/>
      <c r="AX328" s="275"/>
      <c r="AY328" s="126"/>
      <c r="AZ328" s="274"/>
      <c r="BA328" s="274"/>
      <c r="BB328" s="274"/>
      <c r="BC328" s="274"/>
      <c r="BD328" s="222">
        <f t="shared" si="149"/>
        <v>0</v>
      </c>
      <c r="BE328" s="140">
        <f t="shared" si="150"/>
        <v>0</v>
      </c>
      <c r="BF328" s="132"/>
      <c r="BG328" s="140">
        <f t="shared" si="151"/>
        <v>0</v>
      </c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30">
        <f t="shared" si="152"/>
        <v>0</v>
      </c>
      <c r="BV328" s="132"/>
    </row>
    <row r="329" ht="14.25" customHeight="1">
      <c r="A329" s="132"/>
      <c r="B329" s="215">
        <v>46317</v>
      </c>
      <c r="C329" s="133"/>
      <c r="D329" s="136"/>
      <c r="E329" s="135"/>
      <c r="F329" s="135"/>
      <c r="G329" s="98">
        <f t="shared" si="144"/>
        <v>0</v>
      </c>
      <c r="H329" s="819"/>
      <c r="I329" s="746"/>
      <c r="J329" s="122"/>
      <c r="K329" s="122"/>
      <c r="L329" s="99"/>
      <c r="M329" s="99"/>
      <c r="N329" s="99"/>
      <c r="O329" s="99"/>
      <c r="P329" s="99"/>
      <c r="Q329" s="99"/>
      <c r="R329" s="641"/>
      <c r="S329" s="641"/>
      <c r="T329" s="99"/>
      <c r="U329" s="103">
        <f t="shared" si="145"/>
        <v>0</v>
      </c>
      <c r="V329" s="143"/>
      <c r="W329" s="143"/>
      <c r="X329" s="143"/>
      <c r="Y329" s="611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03">
        <f t="shared" si="146"/>
        <v>0</v>
      </c>
      <c r="AJ329" s="136"/>
      <c r="AK329" s="136"/>
      <c r="AL329" s="136"/>
      <c r="AM329" s="105">
        <f t="shared" si="147"/>
        <v>0</v>
      </c>
      <c r="AN329" s="143"/>
      <c r="AO329" s="143"/>
      <c r="AP329" s="143"/>
      <c r="AQ329" s="146"/>
      <c r="AR329" s="224">
        <f t="shared" si="148"/>
        <v>0</v>
      </c>
      <c r="AS329" s="126"/>
      <c r="AT329" s="274"/>
      <c r="AU329" s="126"/>
      <c r="AV329" s="126"/>
      <c r="AW329" s="126"/>
      <c r="AX329" s="275"/>
      <c r="AY329" s="126"/>
      <c r="AZ329" s="274"/>
      <c r="BA329" s="274"/>
      <c r="BB329" s="274"/>
      <c r="BC329" s="274"/>
      <c r="BD329" s="222">
        <f t="shared" si="149"/>
        <v>0</v>
      </c>
      <c r="BE329" s="140">
        <f t="shared" si="150"/>
        <v>0</v>
      </c>
      <c r="BF329" s="132"/>
      <c r="BG329" s="140">
        <f t="shared" si="151"/>
        <v>0</v>
      </c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30">
        <f t="shared" si="152"/>
        <v>0</v>
      </c>
      <c r="BV329" s="132"/>
    </row>
    <row r="330" ht="14.25" customHeight="1">
      <c r="A330" s="132"/>
      <c r="B330" s="215">
        <v>46318</v>
      </c>
      <c r="C330" s="133"/>
      <c r="D330" s="136"/>
      <c r="E330" s="135"/>
      <c r="F330" s="135"/>
      <c r="G330" s="98">
        <f t="shared" si="144"/>
        <v>0</v>
      </c>
      <c r="H330" s="819"/>
      <c r="I330" s="746"/>
      <c r="J330" s="122"/>
      <c r="K330" s="122"/>
      <c r="L330" s="99"/>
      <c r="M330" s="99"/>
      <c r="N330" s="99"/>
      <c r="O330" s="99"/>
      <c r="P330" s="99"/>
      <c r="Q330" s="99"/>
      <c r="R330" s="641"/>
      <c r="S330" s="641"/>
      <c r="T330" s="99"/>
      <c r="U330" s="103">
        <f t="shared" si="145"/>
        <v>0</v>
      </c>
      <c r="V330" s="143"/>
      <c r="W330" s="143"/>
      <c r="X330" s="143"/>
      <c r="Y330" s="611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03">
        <f t="shared" si="146"/>
        <v>0</v>
      </c>
      <c r="AJ330" s="136"/>
      <c r="AK330" s="136"/>
      <c r="AL330" s="136"/>
      <c r="AM330" s="105">
        <f t="shared" si="147"/>
        <v>0</v>
      </c>
      <c r="AN330" s="143"/>
      <c r="AO330" s="143"/>
      <c r="AP330" s="143"/>
      <c r="AQ330" s="146"/>
      <c r="AR330" s="224">
        <f t="shared" si="148"/>
        <v>0</v>
      </c>
      <c r="AS330" s="126"/>
      <c r="AT330" s="855"/>
      <c r="AU330" s="749"/>
      <c r="AV330" s="126"/>
      <c r="AW330" s="126"/>
      <c r="AX330" s="275"/>
      <c r="AY330" s="126"/>
      <c r="AZ330" s="274"/>
      <c r="BA330" s="274"/>
      <c r="BB330" s="274"/>
      <c r="BC330" s="274"/>
      <c r="BD330" s="222">
        <f t="shared" si="149"/>
        <v>0</v>
      </c>
      <c r="BE330" s="140">
        <f t="shared" si="150"/>
        <v>0</v>
      </c>
      <c r="BF330" s="132"/>
      <c r="BG330" s="140">
        <f t="shared" si="151"/>
        <v>0</v>
      </c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30">
        <f t="shared" si="152"/>
        <v>0</v>
      </c>
      <c r="BV330" s="132"/>
    </row>
    <row r="331" ht="14.25" customHeight="1">
      <c r="A331" s="132"/>
      <c r="B331" s="215">
        <v>46319</v>
      </c>
      <c r="C331" s="133"/>
      <c r="D331" s="136"/>
      <c r="E331" s="135"/>
      <c r="F331" s="135"/>
      <c r="G331" s="98">
        <f t="shared" si="144"/>
        <v>0</v>
      </c>
      <c r="H331" s="819"/>
      <c r="I331" s="746"/>
      <c r="J331" s="122"/>
      <c r="K331" s="122"/>
      <c r="L331" s="99"/>
      <c r="M331" s="99"/>
      <c r="N331" s="99"/>
      <c r="O331" s="99"/>
      <c r="P331" s="99"/>
      <c r="Q331" s="99"/>
      <c r="R331" s="641"/>
      <c r="S331" s="641"/>
      <c r="T331" s="99"/>
      <c r="U331" s="103">
        <f t="shared" si="145"/>
        <v>0</v>
      </c>
      <c r="V331" s="143"/>
      <c r="W331" s="143"/>
      <c r="X331" s="143"/>
      <c r="Y331" s="611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03">
        <f t="shared" si="146"/>
        <v>0</v>
      </c>
      <c r="AJ331" s="136"/>
      <c r="AK331" s="136"/>
      <c r="AL331" s="136"/>
      <c r="AM331" s="105">
        <f t="shared" si="147"/>
        <v>0</v>
      </c>
      <c r="AN331" s="143"/>
      <c r="AO331" s="143"/>
      <c r="AP331" s="143"/>
      <c r="AQ331" s="146"/>
      <c r="AR331" s="224">
        <f t="shared" si="148"/>
        <v>0</v>
      </c>
      <c r="AS331" s="126"/>
      <c r="AT331" s="274"/>
      <c r="AU331" s="126"/>
      <c r="AV331" s="126"/>
      <c r="AW331" s="126"/>
      <c r="AX331" s="275"/>
      <c r="AY331" s="126"/>
      <c r="AZ331" s="274"/>
      <c r="BA331" s="274"/>
      <c r="BB331" s="274"/>
      <c r="BC331" s="274"/>
      <c r="BD331" s="222">
        <f t="shared" si="149"/>
        <v>0</v>
      </c>
      <c r="BE331" s="140">
        <f t="shared" si="150"/>
        <v>0</v>
      </c>
      <c r="BF331" s="132"/>
      <c r="BG331" s="140">
        <f t="shared" si="151"/>
        <v>0</v>
      </c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30">
        <f t="shared" si="152"/>
        <v>0</v>
      </c>
      <c r="BV331" s="132"/>
    </row>
    <row r="332" ht="14.25" customHeight="1">
      <c r="A332" s="132"/>
      <c r="B332" s="215">
        <v>46320</v>
      </c>
      <c r="C332" s="133"/>
      <c r="D332" s="136"/>
      <c r="E332" s="135"/>
      <c r="F332" s="135"/>
      <c r="G332" s="98">
        <f t="shared" si="144"/>
        <v>0</v>
      </c>
      <c r="H332" s="819"/>
      <c r="I332" s="746"/>
      <c r="J332" s="122"/>
      <c r="K332" s="122"/>
      <c r="L332" s="99"/>
      <c r="M332" s="99"/>
      <c r="N332" s="99"/>
      <c r="O332" s="99"/>
      <c r="P332" s="99"/>
      <c r="Q332" s="99"/>
      <c r="R332" s="641"/>
      <c r="S332" s="641"/>
      <c r="T332" s="99"/>
      <c r="U332" s="103">
        <f t="shared" si="145"/>
        <v>0</v>
      </c>
      <c r="V332" s="143"/>
      <c r="W332" s="143"/>
      <c r="X332" s="143"/>
      <c r="Y332" s="611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03">
        <f t="shared" si="146"/>
        <v>0</v>
      </c>
      <c r="AJ332" s="136"/>
      <c r="AK332" s="136"/>
      <c r="AL332" s="136"/>
      <c r="AM332" s="105">
        <f t="shared" si="147"/>
        <v>0</v>
      </c>
      <c r="AN332" s="143"/>
      <c r="AO332" s="143"/>
      <c r="AP332" s="143"/>
      <c r="AQ332" s="146"/>
      <c r="AR332" s="224">
        <f t="shared" si="148"/>
        <v>0</v>
      </c>
      <c r="AS332" s="126"/>
      <c r="AT332" s="274"/>
      <c r="AU332" s="126"/>
      <c r="AV332" s="126"/>
      <c r="AW332" s="126"/>
      <c r="AX332" s="275"/>
      <c r="AY332" s="126"/>
      <c r="AZ332" s="274"/>
      <c r="BA332" s="274"/>
      <c r="BB332" s="274"/>
      <c r="BC332" s="274"/>
      <c r="BD332" s="222">
        <f t="shared" si="149"/>
        <v>0</v>
      </c>
      <c r="BE332" s="140">
        <f t="shared" si="150"/>
        <v>0</v>
      </c>
      <c r="BF332" s="132"/>
      <c r="BG332" s="140">
        <f t="shared" si="151"/>
        <v>0</v>
      </c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30">
        <f t="shared" si="152"/>
        <v>0</v>
      </c>
      <c r="BV332" s="132"/>
    </row>
    <row r="333" ht="14.25" customHeight="1">
      <c r="A333" s="132"/>
      <c r="B333" s="215">
        <v>46321</v>
      </c>
      <c r="C333" s="133"/>
      <c r="D333" s="136"/>
      <c r="E333" s="135"/>
      <c r="F333" s="135"/>
      <c r="G333" s="98">
        <f t="shared" si="144"/>
        <v>0</v>
      </c>
      <c r="H333" s="819"/>
      <c r="I333" s="746"/>
      <c r="J333" s="122"/>
      <c r="K333" s="122"/>
      <c r="L333" s="99"/>
      <c r="M333" s="99"/>
      <c r="N333" s="99"/>
      <c r="O333" s="99"/>
      <c r="P333" s="99"/>
      <c r="Q333" s="99"/>
      <c r="R333" s="641"/>
      <c r="S333" s="641"/>
      <c r="T333" s="99"/>
      <c r="U333" s="103">
        <f t="shared" si="145"/>
        <v>0</v>
      </c>
      <c r="V333" s="143"/>
      <c r="W333" s="143"/>
      <c r="X333" s="143"/>
      <c r="Y333" s="611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03">
        <f t="shared" si="146"/>
        <v>0</v>
      </c>
      <c r="AJ333" s="136"/>
      <c r="AK333" s="136"/>
      <c r="AL333" s="136"/>
      <c r="AM333" s="105">
        <f t="shared" si="147"/>
        <v>0</v>
      </c>
      <c r="AN333" s="143"/>
      <c r="AO333" s="143"/>
      <c r="AP333" s="143"/>
      <c r="AQ333" s="146"/>
      <c r="AR333" s="224">
        <f t="shared" si="148"/>
        <v>0</v>
      </c>
      <c r="AS333" s="126"/>
      <c r="AT333" s="855"/>
      <c r="AU333" s="126"/>
      <c r="AV333" s="126"/>
      <c r="AW333" s="126"/>
      <c r="AX333" s="275"/>
      <c r="AY333" s="126"/>
      <c r="AZ333" s="274"/>
      <c r="BA333" s="274"/>
      <c r="BB333" s="274"/>
      <c r="BC333" s="274"/>
      <c r="BD333" s="222">
        <f t="shared" si="149"/>
        <v>0</v>
      </c>
      <c r="BE333" s="140">
        <f t="shared" si="150"/>
        <v>0</v>
      </c>
      <c r="BF333" s="132"/>
      <c r="BG333" s="140">
        <f t="shared" si="151"/>
        <v>0</v>
      </c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30">
        <f t="shared" si="152"/>
        <v>0</v>
      </c>
      <c r="BV333" s="132"/>
    </row>
    <row r="334" ht="14.25" customHeight="1">
      <c r="A334" s="132"/>
      <c r="B334" s="215">
        <v>46322</v>
      </c>
      <c r="C334" s="133"/>
      <c r="D334" s="136"/>
      <c r="E334" s="135"/>
      <c r="F334" s="135"/>
      <c r="G334" s="98">
        <f t="shared" si="144"/>
        <v>0</v>
      </c>
      <c r="H334" s="819"/>
      <c r="I334" s="746"/>
      <c r="J334" s="122"/>
      <c r="K334" s="122"/>
      <c r="L334" s="99"/>
      <c r="M334" s="99"/>
      <c r="N334" s="99"/>
      <c r="O334" s="99"/>
      <c r="P334" s="99"/>
      <c r="Q334" s="99"/>
      <c r="R334" s="641"/>
      <c r="S334" s="641"/>
      <c r="T334" s="99"/>
      <c r="U334" s="103">
        <f t="shared" si="145"/>
        <v>0</v>
      </c>
      <c r="V334" s="143"/>
      <c r="W334" s="143"/>
      <c r="X334" s="143"/>
      <c r="Y334" s="611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03">
        <f t="shared" si="146"/>
        <v>0</v>
      </c>
      <c r="AJ334" s="136"/>
      <c r="AK334" s="136"/>
      <c r="AL334" s="136"/>
      <c r="AM334" s="105">
        <f t="shared" si="147"/>
        <v>0</v>
      </c>
      <c r="AN334" s="143"/>
      <c r="AO334" s="143"/>
      <c r="AP334" s="143"/>
      <c r="AQ334" s="146"/>
      <c r="AR334" s="224">
        <f t="shared" si="148"/>
        <v>0</v>
      </c>
      <c r="AS334" s="126"/>
      <c r="AT334" s="274"/>
      <c r="AU334" s="126"/>
      <c r="AV334" s="126"/>
      <c r="AW334" s="126"/>
      <c r="AX334" s="275"/>
      <c r="AY334" s="126"/>
      <c r="AZ334" s="274"/>
      <c r="BA334" s="274"/>
      <c r="BB334" s="274"/>
      <c r="BC334" s="274"/>
      <c r="BD334" s="222">
        <f t="shared" si="149"/>
        <v>0</v>
      </c>
      <c r="BE334" s="140">
        <f t="shared" si="150"/>
        <v>0</v>
      </c>
      <c r="BF334" s="132"/>
      <c r="BG334" s="140">
        <f t="shared" si="151"/>
        <v>0</v>
      </c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30">
        <f t="shared" si="152"/>
        <v>0</v>
      </c>
      <c r="BV334" s="132"/>
    </row>
    <row r="335" ht="14.25" customHeight="1">
      <c r="A335" s="132"/>
      <c r="B335" s="215">
        <v>46323</v>
      </c>
      <c r="C335" s="133"/>
      <c r="D335" s="136"/>
      <c r="E335" s="135"/>
      <c r="F335" s="135"/>
      <c r="G335" s="98">
        <f t="shared" si="144"/>
        <v>0</v>
      </c>
      <c r="H335" s="819"/>
      <c r="I335" s="746"/>
      <c r="J335" s="122"/>
      <c r="K335" s="122"/>
      <c r="L335" s="99"/>
      <c r="M335" s="99"/>
      <c r="N335" s="99"/>
      <c r="O335" s="99"/>
      <c r="P335" s="99"/>
      <c r="Q335" s="99"/>
      <c r="R335" s="641"/>
      <c r="S335" s="641"/>
      <c r="T335" s="99"/>
      <c r="U335" s="103">
        <f t="shared" si="145"/>
        <v>0</v>
      </c>
      <c r="V335" s="143"/>
      <c r="W335" s="143"/>
      <c r="X335" s="143"/>
      <c r="Y335" s="611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03">
        <f t="shared" si="146"/>
        <v>0</v>
      </c>
      <c r="AJ335" s="136"/>
      <c r="AK335" s="136"/>
      <c r="AL335" s="136"/>
      <c r="AM335" s="105">
        <f t="shared" si="147"/>
        <v>0</v>
      </c>
      <c r="AN335" s="143"/>
      <c r="AO335" s="143"/>
      <c r="AP335" s="143"/>
      <c r="AQ335" s="146"/>
      <c r="AR335" s="224">
        <f t="shared" si="148"/>
        <v>0</v>
      </c>
      <c r="AS335" s="126"/>
      <c r="AT335" s="274"/>
      <c r="AU335" s="126"/>
      <c r="AV335" s="126"/>
      <c r="AW335" s="126"/>
      <c r="AX335" s="275"/>
      <c r="AY335" s="126"/>
      <c r="AZ335" s="274"/>
      <c r="BA335" s="274"/>
      <c r="BB335" s="274"/>
      <c r="BC335" s="274"/>
      <c r="BD335" s="222">
        <f t="shared" si="149"/>
        <v>0</v>
      </c>
      <c r="BE335" s="140">
        <f t="shared" si="150"/>
        <v>0</v>
      </c>
      <c r="BF335" s="132"/>
      <c r="BG335" s="140">
        <f t="shared" si="151"/>
        <v>0</v>
      </c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30">
        <f t="shared" si="152"/>
        <v>0</v>
      </c>
      <c r="BV335" s="132"/>
    </row>
    <row r="336" ht="14.25" customHeight="1">
      <c r="A336" s="132"/>
      <c r="B336" s="215">
        <v>46324</v>
      </c>
      <c r="C336" s="133"/>
      <c r="D336" s="136"/>
      <c r="E336" s="135"/>
      <c r="F336" s="135"/>
      <c r="G336" s="98">
        <f t="shared" si="144"/>
        <v>0</v>
      </c>
      <c r="H336" s="819"/>
      <c r="I336" s="746"/>
      <c r="J336" s="122"/>
      <c r="K336" s="122"/>
      <c r="L336" s="99"/>
      <c r="M336" s="99"/>
      <c r="N336" s="99"/>
      <c r="O336" s="99"/>
      <c r="P336" s="99"/>
      <c r="Q336" s="99"/>
      <c r="R336" s="641"/>
      <c r="S336" s="641"/>
      <c r="T336" s="99"/>
      <c r="U336" s="103">
        <f t="shared" si="145"/>
        <v>0</v>
      </c>
      <c r="V336" s="143"/>
      <c r="W336" s="143"/>
      <c r="X336" s="143"/>
      <c r="Y336" s="611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03">
        <f t="shared" si="146"/>
        <v>0</v>
      </c>
      <c r="AJ336" s="136"/>
      <c r="AK336" s="136"/>
      <c r="AL336" s="136"/>
      <c r="AM336" s="105">
        <f t="shared" si="147"/>
        <v>0</v>
      </c>
      <c r="AN336" s="143"/>
      <c r="AO336" s="143"/>
      <c r="AP336" s="143"/>
      <c r="AQ336" s="146"/>
      <c r="AR336" s="224">
        <f t="shared" si="148"/>
        <v>0</v>
      </c>
      <c r="AS336" s="126"/>
      <c r="AT336" s="274"/>
      <c r="AU336" s="126"/>
      <c r="AV336" s="126"/>
      <c r="AW336" s="126"/>
      <c r="AX336" s="275"/>
      <c r="AY336" s="126"/>
      <c r="AZ336" s="274"/>
      <c r="BA336" s="274"/>
      <c r="BB336" s="274"/>
      <c r="BC336" s="274"/>
      <c r="BD336" s="222">
        <f t="shared" si="149"/>
        <v>0</v>
      </c>
      <c r="BE336" s="140">
        <f t="shared" si="150"/>
        <v>0</v>
      </c>
      <c r="BF336" s="132"/>
      <c r="BG336" s="140">
        <f t="shared" si="151"/>
        <v>0</v>
      </c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30">
        <f t="shared" si="152"/>
        <v>0</v>
      </c>
      <c r="BV336" s="132"/>
    </row>
    <row r="337" ht="14.25" customHeight="1">
      <c r="A337" s="132"/>
      <c r="B337" s="215">
        <v>46325</v>
      </c>
      <c r="C337" s="133"/>
      <c r="D337" s="136"/>
      <c r="E337" s="135"/>
      <c r="F337" s="135"/>
      <c r="G337" s="98">
        <f t="shared" si="144"/>
        <v>0</v>
      </c>
      <c r="H337" s="819"/>
      <c r="I337" s="746"/>
      <c r="J337" s="122"/>
      <c r="K337" s="122"/>
      <c r="L337" s="99"/>
      <c r="M337" s="99"/>
      <c r="N337" s="99"/>
      <c r="O337" s="99"/>
      <c r="P337" s="99"/>
      <c r="Q337" s="99"/>
      <c r="R337" s="641"/>
      <c r="S337" s="641"/>
      <c r="T337" s="99"/>
      <c r="U337" s="103">
        <f t="shared" si="145"/>
        <v>0</v>
      </c>
      <c r="V337" s="143"/>
      <c r="W337" s="143"/>
      <c r="X337" s="143"/>
      <c r="Y337" s="611"/>
      <c r="Z337" s="143"/>
      <c r="AA337" s="143"/>
      <c r="AB337" s="143"/>
      <c r="AC337" s="143"/>
      <c r="AD337" s="143"/>
      <c r="AE337" s="143"/>
      <c r="AF337" s="143"/>
      <c r="AG337" s="143"/>
      <c r="AH337" s="143"/>
      <c r="AI337" s="103">
        <f t="shared" si="146"/>
        <v>0</v>
      </c>
      <c r="AJ337" s="136"/>
      <c r="AK337" s="136"/>
      <c r="AL337" s="136"/>
      <c r="AM337" s="105">
        <f t="shared" si="147"/>
        <v>0</v>
      </c>
      <c r="AN337" s="143"/>
      <c r="AO337" s="143"/>
      <c r="AP337" s="143"/>
      <c r="AQ337" s="146"/>
      <c r="AR337" s="224">
        <f t="shared" si="148"/>
        <v>0</v>
      </c>
      <c r="AS337" s="126"/>
      <c r="AT337" s="274"/>
      <c r="AU337" s="126"/>
      <c r="AV337" s="126"/>
      <c r="AW337" s="126"/>
      <c r="AX337" s="275"/>
      <c r="AY337" s="126"/>
      <c r="AZ337" s="274"/>
      <c r="BA337" s="274"/>
      <c r="BB337" s="274"/>
      <c r="BC337" s="274"/>
      <c r="BD337" s="222">
        <f t="shared" si="149"/>
        <v>0</v>
      </c>
      <c r="BE337" s="140">
        <f t="shared" si="150"/>
        <v>0</v>
      </c>
      <c r="BF337" s="132"/>
      <c r="BG337" s="140">
        <f t="shared" si="151"/>
        <v>0</v>
      </c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30">
        <f t="shared" si="152"/>
        <v>0</v>
      </c>
      <c r="BV337" s="132"/>
    </row>
    <row r="338" ht="14.25" customHeight="1">
      <c r="A338" s="3"/>
      <c r="B338" s="215">
        <v>46326</v>
      </c>
      <c r="C338" s="277"/>
      <c r="D338" s="278"/>
      <c r="E338" s="279"/>
      <c r="F338" s="279"/>
      <c r="G338" s="98">
        <f t="shared" si="144"/>
        <v>0</v>
      </c>
      <c r="H338" s="833"/>
      <c r="I338" s="783"/>
      <c r="J338" s="656"/>
      <c r="K338" s="656"/>
      <c r="L338" s="657"/>
      <c r="M338" s="657"/>
      <c r="N338" s="657"/>
      <c r="O338" s="657"/>
      <c r="P338" s="657"/>
      <c r="Q338" s="657"/>
      <c r="R338" s="658"/>
      <c r="S338" s="658"/>
      <c r="T338" s="657"/>
      <c r="U338" s="103">
        <f t="shared" si="145"/>
        <v>0</v>
      </c>
      <c r="V338" s="157"/>
      <c r="W338" s="157"/>
      <c r="X338" s="157"/>
      <c r="Y338" s="613"/>
      <c r="Z338" s="157"/>
      <c r="AA338" s="157"/>
      <c r="AB338" s="157"/>
      <c r="AC338" s="157"/>
      <c r="AD338" s="157"/>
      <c r="AE338" s="157"/>
      <c r="AF338" s="157"/>
      <c r="AG338" s="157"/>
      <c r="AH338" s="157"/>
      <c r="AI338" s="103">
        <f t="shared" si="146"/>
        <v>0</v>
      </c>
      <c r="AJ338" s="278"/>
      <c r="AK338" s="278"/>
      <c r="AL338" s="278"/>
      <c r="AM338" s="105">
        <f t="shared" si="147"/>
        <v>0</v>
      </c>
      <c r="AN338" s="157"/>
      <c r="AO338" s="157"/>
      <c r="AP338" s="157"/>
      <c r="AQ338" s="160"/>
      <c r="AR338" s="224">
        <f t="shared" si="148"/>
        <v>0</v>
      </c>
      <c r="AS338" s="138"/>
      <c r="AT338" s="274"/>
      <c r="AU338" s="126"/>
      <c r="AV338" s="126"/>
      <c r="AW338" s="126"/>
      <c r="AX338" s="275"/>
      <c r="AY338" s="138"/>
      <c r="AZ338" s="296"/>
      <c r="BA338" s="296"/>
      <c r="BB338" s="296"/>
      <c r="BC338" s="296"/>
      <c r="BD338" s="222">
        <f t="shared" si="149"/>
        <v>0</v>
      </c>
      <c r="BE338" s="281">
        <f t="shared" si="150"/>
        <v>0</v>
      </c>
      <c r="BF338" s="3"/>
      <c r="BG338" s="281">
        <f t="shared" si="151"/>
        <v>0</v>
      </c>
      <c r="BH338" s="282"/>
      <c r="BI338" s="282"/>
      <c r="BJ338" s="282"/>
      <c r="BK338" s="282"/>
      <c r="BL338" s="282"/>
      <c r="BM338" s="282"/>
      <c r="BN338" s="282"/>
      <c r="BO338" s="282"/>
      <c r="BP338" s="282"/>
      <c r="BQ338" s="129"/>
      <c r="BR338" s="282"/>
      <c r="BS338" s="282"/>
      <c r="BT338" s="282"/>
      <c r="BU338" s="164">
        <f t="shared" si="152"/>
        <v>0</v>
      </c>
      <c r="BV338" s="3"/>
    </row>
    <row r="339" ht="14.25" customHeight="1">
      <c r="A339" s="3"/>
      <c r="B339" s="2" t="s">
        <v>84</v>
      </c>
      <c r="C339" s="755">
        <f ref="C339:G339" t="shared" si="153">SUM(C309:C338)</f>
        <v>0</v>
      </c>
      <c r="D339" s="755">
        <f t="shared" si="153"/>
        <v>0</v>
      </c>
      <c r="E339" s="755">
        <f t="shared" si="153"/>
        <v>0</v>
      </c>
      <c r="F339" s="755">
        <f t="shared" si="153"/>
        <v>0</v>
      </c>
      <c r="G339" s="755">
        <f t="shared" si="153"/>
        <v>0</v>
      </c>
      <c r="H339" s="757">
        <f ref="H339:I339" t="shared" si="154">SUM(H308:H338)</f>
        <v>0</v>
      </c>
      <c r="I339" s="755">
        <f t="shared" si="154"/>
        <v>0</v>
      </c>
      <c r="J339" s="755"/>
      <c r="K339" s="755"/>
      <c r="L339" s="755">
        <f>SUM(L308:L338)</f>
        <v>0</v>
      </c>
      <c r="M339" s="755"/>
      <c r="N339" s="755">
        <f ref="N339:V339" t="shared" si="155">SUM(N308:N338)</f>
        <v>0</v>
      </c>
      <c r="O339" s="755">
        <f t="shared" si="155"/>
        <v>0</v>
      </c>
      <c r="P339" s="755">
        <f t="shared" si="155"/>
        <v>0</v>
      </c>
      <c r="Q339" s="755">
        <f t="shared" si="155"/>
        <v>0</v>
      </c>
      <c r="R339" s="755">
        <f t="shared" si="155"/>
        <v>0</v>
      </c>
      <c r="S339" s="755">
        <f t="shared" si="155"/>
        <v>0</v>
      </c>
      <c r="T339" s="755">
        <f t="shared" si="155"/>
        <v>0</v>
      </c>
      <c r="U339" s="755">
        <f t="shared" si="155"/>
        <v>0</v>
      </c>
      <c r="V339" s="755">
        <f t="shared" si="155"/>
        <v>0</v>
      </c>
      <c r="W339" s="755"/>
      <c r="X339" s="755">
        <f ref="X339:AA339" t="shared" si="156">SUM(X308:X338)</f>
        <v>0</v>
      </c>
      <c r="Y339" s="755">
        <f t="shared" si="156"/>
        <v>0</v>
      </c>
      <c r="Z339" s="755">
        <f t="shared" si="156"/>
        <v>0</v>
      </c>
      <c r="AA339" s="755">
        <f t="shared" si="156"/>
        <v>0</v>
      </c>
      <c r="AB339" s="755">
        <f ref="AB339:AI339" t="shared" si="157">SUM(AB309:AB338)</f>
        <v>0</v>
      </c>
      <c r="AC339" s="755">
        <f t="shared" si="157"/>
        <v>0</v>
      </c>
      <c r="AD339" s="755">
        <f t="shared" si="157"/>
        <v>0</v>
      </c>
      <c r="AE339" s="755">
        <f t="shared" si="157"/>
        <v>0</v>
      </c>
      <c r="AF339" s="755">
        <f t="shared" si="157"/>
        <v>0</v>
      </c>
      <c r="AG339" s="755">
        <f t="shared" si="157"/>
        <v>0</v>
      </c>
      <c r="AH339" s="755">
        <f t="shared" si="157"/>
        <v>0</v>
      </c>
      <c r="AI339" s="755">
        <f t="shared" si="157"/>
        <v>0</v>
      </c>
      <c r="AJ339" s="755">
        <f ref="AJ339:AL339" t="shared" si="158">SUM(AJ308:AJ338)</f>
        <v>0</v>
      </c>
      <c r="AK339" s="755">
        <f t="shared" si="158"/>
        <v>0</v>
      </c>
      <c r="AL339" s="755">
        <f t="shared" si="158"/>
        <v>0</v>
      </c>
      <c r="AM339" s="755">
        <f ref="AM339:BE339" t="shared" si="159">SUM(AM309:AM338)</f>
        <v>0</v>
      </c>
      <c r="AN339" s="755">
        <f t="shared" si="159"/>
        <v>0</v>
      </c>
      <c r="AO339" s="755">
        <f t="shared" si="159"/>
        <v>0</v>
      </c>
      <c r="AP339" s="755">
        <f t="shared" si="159"/>
        <v>0</v>
      </c>
      <c r="AQ339" s="755">
        <f t="shared" si="159"/>
        <v>0</v>
      </c>
      <c r="AR339" s="858">
        <f t="shared" si="159"/>
        <v>0</v>
      </c>
      <c r="AS339" s="809">
        <f t="shared" si="159"/>
        <v>0</v>
      </c>
      <c r="AT339" s="858">
        <f t="shared" si="159"/>
        <v>0</v>
      </c>
      <c r="AU339" s="858">
        <f t="shared" si="159"/>
        <v>0</v>
      </c>
      <c r="AV339" s="858">
        <f t="shared" si="159"/>
        <v>0</v>
      </c>
      <c r="AW339" s="858">
        <f t="shared" si="159"/>
        <v>0</v>
      </c>
      <c r="AX339" s="858">
        <f t="shared" si="159"/>
        <v>0</v>
      </c>
      <c r="AY339" s="809">
        <f t="shared" si="159"/>
        <v>0</v>
      </c>
      <c r="AZ339" s="858">
        <f t="shared" si="159"/>
        <v>0</v>
      </c>
      <c r="BA339" s="858">
        <f t="shared" si="159"/>
        <v>0</v>
      </c>
      <c r="BB339" s="858">
        <f t="shared" si="159"/>
        <v>0</v>
      </c>
      <c r="BC339" s="858">
        <f t="shared" si="159"/>
        <v>0</v>
      </c>
      <c r="BD339" s="858">
        <f t="shared" si="159"/>
        <v>0</v>
      </c>
      <c r="BE339" s="771">
        <f t="shared" si="159"/>
        <v>0</v>
      </c>
      <c r="BF339" s="235"/>
      <c r="BG339" s="755">
        <f>SUM(BG309:BG338)</f>
        <v>0</v>
      </c>
      <c r="BH339" s="755"/>
      <c r="BI339" s="755"/>
      <c r="BJ339" s="755"/>
      <c r="BK339" s="755"/>
      <c r="BL339" s="755"/>
      <c r="BM339" s="755"/>
      <c r="BN339" s="755"/>
      <c r="BO339" s="755"/>
      <c r="BP339" s="755"/>
      <c r="BQ339" s="771">
        <f ref="BQ339:BU339" t="shared" si="160">SUM(BQ309:BQ338)</f>
        <v>0</v>
      </c>
      <c r="BR339" s="771">
        <f t="shared" si="160"/>
        <v>0</v>
      </c>
      <c r="BS339" s="771">
        <f t="shared" si="160"/>
        <v>0</v>
      </c>
      <c r="BT339" s="771">
        <f t="shared" si="160"/>
        <v>0</v>
      </c>
      <c r="BU339" s="771">
        <f t="shared" si="160"/>
        <v>0</v>
      </c>
      <c r="BV339" s="235"/>
    </row>
    <row r="340" ht="14.25" customHeight="1">
      <c r="A340" s="1"/>
      <c r="B340" s="2"/>
      <c r="C340" s="3"/>
      <c r="D340" s="3"/>
      <c r="E340" s="3"/>
      <c r="F340" s="3"/>
      <c r="G340" s="4"/>
      <c r="H340" s="4"/>
      <c r="I340" s="1"/>
      <c r="J340" s="3"/>
      <c r="K340" s="3"/>
      <c r="L340" s="3"/>
      <c r="M340" s="3"/>
      <c r="N340" s="3"/>
      <c r="O340" s="3"/>
      <c r="P340" s="3"/>
      <c r="Q340" s="3"/>
      <c r="R340" s="1"/>
      <c r="S340" s="1"/>
      <c r="T340" s="3"/>
      <c r="U340" s="3"/>
      <c r="V340" s="3"/>
      <c r="W340" s="3"/>
      <c r="X340" s="3"/>
      <c r="Y340" s="1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4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4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</row>
    <row r="341" ht="14.25" customHeight="1">
      <c r="A341" s="1"/>
      <c r="B341" s="2"/>
      <c r="C341" s="3"/>
      <c r="D341" s="3"/>
      <c r="E341" s="3"/>
      <c r="F341" s="3"/>
      <c r="G341" s="4"/>
      <c r="H341" s="4"/>
      <c r="I341" s="1"/>
      <c r="J341" s="3"/>
      <c r="K341" s="3"/>
      <c r="L341" s="3"/>
      <c r="M341" s="3"/>
      <c r="N341" s="3"/>
      <c r="O341" s="3"/>
      <c r="P341" s="3"/>
      <c r="Q341" s="3"/>
      <c r="R341" s="1"/>
      <c r="S341" s="1"/>
      <c r="T341" s="3"/>
      <c r="U341" s="3"/>
      <c r="V341" s="3"/>
      <c r="W341" s="3"/>
      <c r="X341" s="3"/>
      <c r="Y341" s="1"/>
      <c r="Z341" s="3"/>
      <c r="AA341" s="3"/>
      <c r="AB341" s="3"/>
      <c r="AC341" s="3"/>
      <c r="AD341" s="3"/>
      <c r="AE341" s="3"/>
      <c r="AF341" s="3"/>
      <c r="AG341" s="3"/>
      <c r="AH341" s="3"/>
      <c r="AI341" s="176"/>
      <c r="AJ341" s="3"/>
      <c r="AK341" s="3"/>
      <c r="AL341" s="3"/>
      <c r="AM341" s="4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05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</row>
    <row r="342" ht="14.25" customHeight="1">
      <c r="A342" s="3"/>
      <c r="B342" s="306">
        <v>46327</v>
      </c>
      <c r="C342" s="94"/>
      <c r="D342" s="104"/>
      <c r="E342" s="97"/>
      <c r="F342" s="97"/>
      <c r="G342" s="816">
        <f ref="G342:G371" t="shared" si="161">+C342+D342+E342+F342</f>
        <v>0</v>
      </c>
      <c r="H342" s="817"/>
      <c r="I342" s="743"/>
      <c r="J342" s="100"/>
      <c r="K342" s="100"/>
      <c r="L342" s="101"/>
      <c r="M342" s="101"/>
      <c r="N342" s="101"/>
      <c r="O342" s="101"/>
      <c r="P342" s="101"/>
      <c r="Q342" s="101"/>
      <c r="R342" s="638"/>
      <c r="S342" s="638"/>
      <c r="T342" s="101"/>
      <c r="U342" s="103">
        <f ref="U342:U359" t="shared" si="162">SUM(I342:T342)</f>
        <v>0</v>
      </c>
      <c r="V342" s="186"/>
      <c r="W342" s="186"/>
      <c r="X342" s="186"/>
      <c r="Y342" s="619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03">
        <f ref="AI342:AI371" t="shared" si="163">SUM(V342:AH342)</f>
        <v>0</v>
      </c>
      <c r="AJ342" s="104"/>
      <c r="AK342" s="104"/>
      <c r="AL342" s="104"/>
      <c r="AM342" s="191">
        <f ref="AM342:AM371" t="shared" si="164">SUM(AJ342:AL342)</f>
        <v>0</v>
      </c>
      <c r="AN342" s="186"/>
      <c r="AO342" s="186"/>
      <c r="AP342" s="186"/>
      <c r="AQ342" s="193"/>
      <c r="AR342" s="266">
        <f ref="AR342:AR371" t="shared" si="165">+G342-U342-AI342-AM342-AN342-AO342-AP342-AQ342</f>
        <v>0</v>
      </c>
      <c r="AS342" s="269"/>
      <c r="AT342" s="109"/>
      <c r="AU342" s="109"/>
      <c r="AV342" s="109"/>
      <c r="AW342" s="109"/>
      <c r="AX342" s="109"/>
      <c r="AY342" s="109"/>
      <c r="AZ342" s="270"/>
      <c r="BA342" s="269"/>
      <c r="BB342" s="269"/>
      <c r="BC342" s="269"/>
      <c r="BD342" s="222">
        <f ref="BD342:BD371" t="shared" si="166">SUM(AS342:BC342)-BB342</f>
        <v>0</v>
      </c>
      <c r="BE342" s="114">
        <f ref="BE342:BE371" t="shared" si="167">+AR342-BD342</f>
        <v>0</v>
      </c>
      <c r="BF342" s="3"/>
      <c r="BG342" s="114">
        <f ref="BG342:BG371" t="shared" si="168">SUM(BH342:BT342)</f>
        <v>0</v>
      </c>
      <c r="BH342" s="115"/>
      <c r="BI342" s="115"/>
      <c r="BJ342" s="115"/>
      <c r="BK342" s="115"/>
      <c r="BL342" s="115"/>
      <c r="BM342" s="115"/>
      <c r="BN342" s="115"/>
      <c r="BO342" s="115"/>
      <c r="BP342" s="453"/>
      <c r="BQ342" s="115"/>
      <c r="BR342" s="115"/>
      <c r="BS342" s="115"/>
      <c r="BT342" s="249"/>
      <c r="BU342" s="116">
        <f ref="BU342:BU371" t="shared" si="169">+BE342-BG342</f>
        <v>0</v>
      </c>
      <c r="BV342" s="3"/>
    </row>
    <row r="343" ht="14.25" customHeight="1">
      <c r="A343" s="3"/>
      <c r="B343" s="306">
        <v>46328</v>
      </c>
      <c r="C343" s="118"/>
      <c r="D343" s="123"/>
      <c r="E343" s="120"/>
      <c r="F343" s="120"/>
      <c r="G343" s="98">
        <f t="shared" si="161"/>
        <v>0</v>
      </c>
      <c r="H343" s="819"/>
      <c r="I343" s="746"/>
      <c r="J343" s="122"/>
      <c r="K343" s="122"/>
      <c r="L343" s="99"/>
      <c r="M343" s="99"/>
      <c r="N343" s="99"/>
      <c r="O343" s="99"/>
      <c r="P343" s="99"/>
      <c r="Q343" s="99"/>
      <c r="R343" s="641"/>
      <c r="S343" s="641"/>
      <c r="T343" s="99"/>
      <c r="U343" s="103">
        <f t="shared" si="162"/>
        <v>0</v>
      </c>
      <c r="V343" s="143"/>
      <c r="W343" s="143"/>
      <c r="X343" s="143"/>
      <c r="Y343" s="611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03">
        <f t="shared" si="163"/>
        <v>0</v>
      </c>
      <c r="AJ343" s="123"/>
      <c r="AK343" s="123"/>
      <c r="AL343" s="123"/>
      <c r="AM343" s="105">
        <f t="shared" si="164"/>
        <v>0</v>
      </c>
      <c r="AN343" s="143"/>
      <c r="AO343" s="143"/>
      <c r="AP343" s="143"/>
      <c r="AQ343" s="146"/>
      <c r="AR343" s="224">
        <f t="shared" si="165"/>
        <v>0</v>
      </c>
      <c r="AS343" s="274"/>
      <c r="AT343" s="749"/>
      <c r="AU343" s="126"/>
      <c r="AV343" s="126"/>
      <c r="AW343" s="126"/>
      <c r="AX343" s="126"/>
      <c r="AY343" s="126"/>
      <c r="AZ343" s="275"/>
      <c r="BA343" s="274"/>
      <c r="BB343" s="274"/>
      <c r="BC343" s="274"/>
      <c r="BD343" s="222">
        <f t="shared" si="166"/>
        <v>0</v>
      </c>
      <c r="BE343" s="113">
        <f t="shared" si="167"/>
        <v>0</v>
      </c>
      <c r="BF343" s="3"/>
      <c r="BG343" s="113">
        <f t="shared" si="168"/>
        <v>0</v>
      </c>
      <c r="BH343" s="129"/>
      <c r="BI343" s="129"/>
      <c r="BJ343" s="129"/>
      <c r="BK343" s="129"/>
      <c r="BL343" s="129"/>
      <c r="BM343" s="129"/>
      <c r="BN343" s="129"/>
      <c r="BO343" s="129"/>
      <c r="BP343" s="452"/>
      <c r="BQ343" s="129"/>
      <c r="BR343" s="129"/>
      <c r="BS343" s="129"/>
      <c r="BT343" s="255"/>
      <c r="BU343" s="130">
        <f t="shared" si="169"/>
        <v>0</v>
      </c>
      <c r="BV343" s="3"/>
    </row>
    <row r="344" ht="14.25" customHeight="1">
      <c r="A344" s="3"/>
      <c r="B344" s="306">
        <v>46329</v>
      </c>
      <c r="C344" s="118"/>
      <c r="D344" s="123"/>
      <c r="E344" s="120"/>
      <c r="F344" s="120"/>
      <c r="G344" s="98">
        <f t="shared" si="161"/>
        <v>0</v>
      </c>
      <c r="H344" s="819"/>
      <c r="I344" s="746"/>
      <c r="J344" s="122"/>
      <c r="K344" s="122"/>
      <c r="L344" s="99"/>
      <c r="M344" s="99"/>
      <c r="N344" s="99"/>
      <c r="O344" s="99"/>
      <c r="P344" s="99"/>
      <c r="Q344" s="99"/>
      <c r="R344" s="641"/>
      <c r="S344" s="641"/>
      <c r="T344" s="99"/>
      <c r="U344" s="103">
        <f t="shared" si="162"/>
        <v>0</v>
      </c>
      <c r="V344" s="143"/>
      <c r="W344" s="143"/>
      <c r="X344" s="143"/>
      <c r="Y344" s="611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03">
        <f t="shared" si="163"/>
        <v>0</v>
      </c>
      <c r="AJ344" s="123"/>
      <c r="AK344" s="123"/>
      <c r="AL344" s="123"/>
      <c r="AM344" s="105">
        <f t="shared" si="164"/>
        <v>0</v>
      </c>
      <c r="AN344" s="143"/>
      <c r="AO344" s="143"/>
      <c r="AP344" s="143"/>
      <c r="AQ344" s="146"/>
      <c r="AR344" s="224">
        <f t="shared" si="165"/>
        <v>0</v>
      </c>
      <c r="AS344" s="274"/>
      <c r="AT344" s="126"/>
      <c r="AU344" s="126"/>
      <c r="AV344" s="126"/>
      <c r="AW344" s="126"/>
      <c r="AX344" s="126"/>
      <c r="AY344" s="126"/>
      <c r="AZ344" s="275"/>
      <c r="BA344" s="274"/>
      <c r="BB344" s="274"/>
      <c r="BC344" s="274"/>
      <c r="BD344" s="222">
        <f t="shared" si="166"/>
        <v>0</v>
      </c>
      <c r="BE344" s="113">
        <f t="shared" si="167"/>
        <v>0</v>
      </c>
      <c r="BF344" s="3"/>
      <c r="BG344" s="113">
        <f t="shared" si="168"/>
        <v>0</v>
      </c>
      <c r="BH344" s="129"/>
      <c r="BI344" s="129"/>
      <c r="BJ344" s="129"/>
      <c r="BK344" s="129"/>
      <c r="BL344" s="129"/>
      <c r="BM344" s="129"/>
      <c r="BN344" s="129"/>
      <c r="BO344" s="129"/>
      <c r="BP344" s="452"/>
      <c r="BQ344" s="129"/>
      <c r="BR344" s="129"/>
      <c r="BS344" s="129"/>
      <c r="BT344" s="255"/>
      <c r="BU344" s="130">
        <f t="shared" si="169"/>
        <v>0</v>
      </c>
      <c r="BV344" s="3"/>
    </row>
    <row r="345" ht="14.25" customHeight="1">
      <c r="A345" s="3"/>
      <c r="B345" s="306">
        <v>46330</v>
      </c>
      <c r="C345" s="118"/>
      <c r="D345" s="123"/>
      <c r="E345" s="120"/>
      <c r="F345" s="120"/>
      <c r="G345" s="98">
        <f t="shared" si="161"/>
        <v>0</v>
      </c>
      <c r="H345" s="819"/>
      <c r="I345" s="746"/>
      <c r="J345" s="122"/>
      <c r="K345" s="122"/>
      <c r="L345" s="99"/>
      <c r="M345" s="99"/>
      <c r="N345" s="99"/>
      <c r="O345" s="99"/>
      <c r="P345" s="99"/>
      <c r="Q345" s="99"/>
      <c r="R345" s="641"/>
      <c r="S345" s="641"/>
      <c r="T345" s="99"/>
      <c r="U345" s="103">
        <f t="shared" si="162"/>
        <v>0</v>
      </c>
      <c r="V345" s="143"/>
      <c r="W345" s="143"/>
      <c r="X345" s="143"/>
      <c r="Y345" s="611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03">
        <f t="shared" si="163"/>
        <v>0</v>
      </c>
      <c r="AJ345" s="123"/>
      <c r="AK345" s="123"/>
      <c r="AL345" s="123"/>
      <c r="AM345" s="105">
        <f t="shared" si="164"/>
        <v>0</v>
      </c>
      <c r="AN345" s="143"/>
      <c r="AO345" s="143"/>
      <c r="AP345" s="143"/>
      <c r="AQ345" s="146"/>
      <c r="AR345" s="224">
        <f t="shared" si="165"/>
        <v>0</v>
      </c>
      <c r="AS345" s="274"/>
      <c r="AT345" s="126"/>
      <c r="AU345" s="126"/>
      <c r="AV345" s="126"/>
      <c r="AW345" s="126"/>
      <c r="AX345" s="126"/>
      <c r="AY345" s="126"/>
      <c r="AZ345" s="275"/>
      <c r="BA345" s="274"/>
      <c r="BB345" s="274"/>
      <c r="BC345" s="274"/>
      <c r="BD345" s="222">
        <f t="shared" si="166"/>
        <v>0</v>
      </c>
      <c r="BE345" s="113">
        <f t="shared" si="167"/>
        <v>0</v>
      </c>
      <c r="BF345" s="3"/>
      <c r="BG345" s="113">
        <f t="shared" si="168"/>
        <v>0</v>
      </c>
      <c r="BH345" s="129"/>
      <c r="BI345" s="129"/>
      <c r="BJ345" s="129"/>
      <c r="BK345" s="129"/>
      <c r="BL345" s="129"/>
      <c r="BM345" s="129"/>
      <c r="BN345" s="129"/>
      <c r="BO345" s="129"/>
      <c r="BP345" s="452"/>
      <c r="BQ345" s="129"/>
      <c r="BR345" s="129"/>
      <c r="BS345" s="129"/>
      <c r="BT345" s="255"/>
      <c r="BU345" s="130">
        <f t="shared" si="169"/>
        <v>0</v>
      </c>
      <c r="BV345" s="3"/>
    </row>
    <row r="346" ht="14.25" customHeight="1">
      <c r="A346" s="132"/>
      <c r="B346" s="306">
        <v>46331</v>
      </c>
      <c r="C346" s="133"/>
      <c r="D346" s="136"/>
      <c r="E346" s="135"/>
      <c r="F346" s="135"/>
      <c r="G346" s="98">
        <f t="shared" si="161"/>
        <v>0</v>
      </c>
      <c r="H346" s="819"/>
      <c r="I346" s="746"/>
      <c r="J346" s="122"/>
      <c r="K346" s="122"/>
      <c r="L346" s="99"/>
      <c r="M346" s="99"/>
      <c r="N346" s="99"/>
      <c r="O346" s="99"/>
      <c r="P346" s="99"/>
      <c r="Q346" s="99"/>
      <c r="R346" s="641"/>
      <c r="S346" s="641"/>
      <c r="T346" s="99"/>
      <c r="U346" s="103">
        <f t="shared" si="162"/>
        <v>0</v>
      </c>
      <c r="V346" s="143"/>
      <c r="W346" s="143"/>
      <c r="X346" s="143"/>
      <c r="Y346" s="611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03">
        <f t="shared" si="163"/>
        <v>0</v>
      </c>
      <c r="AJ346" s="136"/>
      <c r="AK346" s="136"/>
      <c r="AL346" s="136"/>
      <c r="AM346" s="105">
        <f t="shared" si="164"/>
        <v>0</v>
      </c>
      <c r="AN346" s="143"/>
      <c r="AO346" s="143"/>
      <c r="AP346" s="143"/>
      <c r="AQ346" s="146"/>
      <c r="AR346" s="224">
        <f t="shared" si="165"/>
        <v>0</v>
      </c>
      <c r="AS346" s="274"/>
      <c r="AT346" s="126"/>
      <c r="AU346" s="126"/>
      <c r="AV346" s="126"/>
      <c r="AW346" s="126"/>
      <c r="AX346" s="126"/>
      <c r="AY346" s="126"/>
      <c r="AZ346" s="275"/>
      <c r="BA346" s="274"/>
      <c r="BB346" s="274"/>
      <c r="BC346" s="274"/>
      <c r="BD346" s="222">
        <f t="shared" si="166"/>
        <v>0</v>
      </c>
      <c r="BE346" s="140">
        <f t="shared" si="167"/>
        <v>0</v>
      </c>
      <c r="BF346" s="132"/>
      <c r="BG346" s="140">
        <f t="shared" si="168"/>
        <v>0</v>
      </c>
      <c r="BH346" s="141"/>
      <c r="BI346" s="141"/>
      <c r="BJ346" s="141"/>
      <c r="BK346" s="141"/>
      <c r="BL346" s="141"/>
      <c r="BM346" s="141"/>
      <c r="BN346" s="141"/>
      <c r="BO346" s="141"/>
      <c r="BP346" s="309"/>
      <c r="BQ346" s="141"/>
      <c r="BR346" s="141"/>
      <c r="BS346" s="141"/>
      <c r="BT346" s="152"/>
      <c r="BU346" s="130">
        <f t="shared" si="169"/>
        <v>0</v>
      </c>
      <c r="BV346" s="132"/>
    </row>
    <row r="347" ht="14.25" customHeight="1">
      <c r="A347" s="132"/>
      <c r="B347" s="306">
        <v>46332</v>
      </c>
      <c r="C347" s="133"/>
      <c r="D347" s="136"/>
      <c r="E347" s="135"/>
      <c r="F347" s="135"/>
      <c r="G347" s="98">
        <f t="shared" si="161"/>
        <v>0</v>
      </c>
      <c r="H347" s="819"/>
      <c r="I347" s="746"/>
      <c r="J347" s="122"/>
      <c r="K347" s="122"/>
      <c r="L347" s="99"/>
      <c r="M347" s="99"/>
      <c r="N347" s="99"/>
      <c r="O347" s="99"/>
      <c r="P347" s="99"/>
      <c r="Q347" s="99"/>
      <c r="R347" s="641"/>
      <c r="S347" s="641"/>
      <c r="T347" s="99"/>
      <c r="U347" s="103">
        <f t="shared" si="162"/>
        <v>0</v>
      </c>
      <c r="V347" s="143"/>
      <c r="W347" s="143"/>
      <c r="X347" s="143"/>
      <c r="Y347" s="611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03">
        <f t="shared" si="163"/>
        <v>0</v>
      </c>
      <c r="AJ347" s="136"/>
      <c r="AK347" s="136"/>
      <c r="AL347" s="136"/>
      <c r="AM347" s="105">
        <f t="shared" si="164"/>
        <v>0</v>
      </c>
      <c r="AN347" s="143"/>
      <c r="AO347" s="143"/>
      <c r="AP347" s="143"/>
      <c r="AQ347" s="146"/>
      <c r="AR347" s="224">
        <f t="shared" si="165"/>
        <v>0</v>
      </c>
      <c r="AS347" s="274"/>
      <c r="AT347" s="126"/>
      <c r="AU347" s="126"/>
      <c r="AV347" s="126"/>
      <c r="AW347" s="126"/>
      <c r="AX347" s="126"/>
      <c r="AY347" s="126"/>
      <c r="AZ347" s="275"/>
      <c r="BA347" s="274"/>
      <c r="BB347" s="274"/>
      <c r="BC347" s="274"/>
      <c r="BD347" s="222">
        <f t="shared" si="166"/>
        <v>0</v>
      </c>
      <c r="BE347" s="140">
        <f t="shared" si="167"/>
        <v>0</v>
      </c>
      <c r="BF347" s="132"/>
      <c r="BG347" s="140">
        <f t="shared" si="168"/>
        <v>0</v>
      </c>
      <c r="BH347" s="141"/>
      <c r="BI347" s="141"/>
      <c r="BJ347" s="141"/>
      <c r="BK347" s="141"/>
      <c r="BL347" s="141"/>
      <c r="BM347" s="141"/>
      <c r="BN347" s="141"/>
      <c r="BO347" s="141"/>
      <c r="BP347" s="309"/>
      <c r="BQ347" s="141"/>
      <c r="BR347" s="141"/>
      <c r="BS347" s="141"/>
      <c r="BT347" s="152"/>
      <c r="BU347" s="130">
        <f t="shared" si="169"/>
        <v>0</v>
      </c>
      <c r="BV347" s="132"/>
    </row>
    <row r="348" ht="14.25" customHeight="1">
      <c r="A348" s="132"/>
      <c r="B348" s="306">
        <v>46333</v>
      </c>
      <c r="C348" s="133"/>
      <c r="D348" s="136"/>
      <c r="E348" s="135"/>
      <c r="F348" s="135"/>
      <c r="G348" s="98">
        <f t="shared" si="161"/>
        <v>0</v>
      </c>
      <c r="H348" s="819"/>
      <c r="I348" s="746"/>
      <c r="J348" s="122"/>
      <c r="K348" s="122"/>
      <c r="L348" s="99"/>
      <c r="M348" s="99"/>
      <c r="N348" s="99"/>
      <c r="O348" s="99"/>
      <c r="P348" s="99"/>
      <c r="Q348" s="99"/>
      <c r="R348" s="641"/>
      <c r="S348" s="641"/>
      <c r="T348" s="99"/>
      <c r="U348" s="103">
        <f t="shared" si="162"/>
        <v>0</v>
      </c>
      <c r="V348" s="143"/>
      <c r="W348" s="143"/>
      <c r="X348" s="143"/>
      <c r="Y348" s="611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03">
        <f t="shared" si="163"/>
        <v>0</v>
      </c>
      <c r="AJ348" s="136"/>
      <c r="AK348" s="136"/>
      <c r="AL348" s="136"/>
      <c r="AM348" s="105">
        <f t="shared" si="164"/>
        <v>0</v>
      </c>
      <c r="AN348" s="143"/>
      <c r="AO348" s="143"/>
      <c r="AP348" s="143"/>
      <c r="AQ348" s="146"/>
      <c r="AR348" s="224">
        <f t="shared" si="165"/>
        <v>0</v>
      </c>
      <c r="AS348" s="274"/>
      <c r="AT348" s="126"/>
      <c r="AU348" s="126"/>
      <c r="AV348" s="126"/>
      <c r="AW348" s="125"/>
      <c r="AX348" s="126"/>
      <c r="AY348" s="126"/>
      <c r="AZ348" s="275"/>
      <c r="BA348" s="274"/>
      <c r="BB348" s="274"/>
      <c r="BC348" s="274"/>
      <c r="BD348" s="222">
        <f t="shared" si="166"/>
        <v>0</v>
      </c>
      <c r="BE348" s="140">
        <f t="shared" si="167"/>
        <v>0</v>
      </c>
      <c r="BF348" s="132"/>
      <c r="BG348" s="140">
        <f t="shared" si="168"/>
        <v>0</v>
      </c>
      <c r="BH348" s="141"/>
      <c r="BI348" s="141"/>
      <c r="BJ348" s="141"/>
      <c r="BK348" s="141"/>
      <c r="BL348" s="141"/>
      <c r="BM348" s="141"/>
      <c r="BN348" s="141"/>
      <c r="BO348" s="141"/>
      <c r="BP348" s="309"/>
      <c r="BQ348" s="141"/>
      <c r="BR348" s="141"/>
      <c r="BS348" s="141"/>
      <c r="BT348" s="152"/>
      <c r="BU348" s="130">
        <f t="shared" si="169"/>
        <v>0</v>
      </c>
      <c r="BV348" s="132"/>
    </row>
    <row r="349" ht="14.25" customHeight="1">
      <c r="A349" s="132"/>
      <c r="B349" s="306">
        <v>46334</v>
      </c>
      <c r="C349" s="133"/>
      <c r="D349" s="136"/>
      <c r="E349" s="135"/>
      <c r="F349" s="135"/>
      <c r="G349" s="98">
        <f t="shared" si="161"/>
        <v>0</v>
      </c>
      <c r="H349" s="819"/>
      <c r="I349" s="746"/>
      <c r="J349" s="122"/>
      <c r="K349" s="122"/>
      <c r="L349" s="99"/>
      <c r="M349" s="99"/>
      <c r="N349" s="99"/>
      <c r="O349" s="99"/>
      <c r="P349" s="99"/>
      <c r="Q349" s="99"/>
      <c r="R349" s="641"/>
      <c r="S349" s="641"/>
      <c r="T349" s="99"/>
      <c r="U349" s="103">
        <f t="shared" si="162"/>
        <v>0</v>
      </c>
      <c r="V349" s="143"/>
      <c r="W349" s="143"/>
      <c r="X349" s="143"/>
      <c r="Y349" s="611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03">
        <f t="shared" si="163"/>
        <v>0</v>
      </c>
      <c r="AJ349" s="136"/>
      <c r="AK349" s="136"/>
      <c r="AL349" s="136"/>
      <c r="AM349" s="105">
        <f t="shared" si="164"/>
        <v>0</v>
      </c>
      <c r="AN349" s="143"/>
      <c r="AO349" s="143"/>
      <c r="AP349" s="143"/>
      <c r="AQ349" s="146"/>
      <c r="AR349" s="224">
        <f t="shared" si="165"/>
        <v>0</v>
      </c>
      <c r="AS349" s="274"/>
      <c r="AT349" s="126"/>
      <c r="AU349" s="126"/>
      <c r="AV349" s="126"/>
      <c r="AW349" s="126"/>
      <c r="AX349" s="126"/>
      <c r="AY349" s="126"/>
      <c r="AZ349" s="275"/>
      <c r="BA349" s="274"/>
      <c r="BB349" s="274"/>
      <c r="BC349" s="274"/>
      <c r="BD349" s="222">
        <f t="shared" si="166"/>
        <v>0</v>
      </c>
      <c r="BE349" s="140">
        <f t="shared" si="167"/>
        <v>0</v>
      </c>
      <c r="BF349" s="132"/>
      <c r="BG349" s="140">
        <f t="shared" si="168"/>
        <v>0</v>
      </c>
      <c r="BH349" s="141"/>
      <c r="BI349" s="141"/>
      <c r="BJ349" s="141"/>
      <c r="BK349" s="141"/>
      <c r="BL349" s="141"/>
      <c r="BM349" s="141"/>
      <c r="BN349" s="141"/>
      <c r="BO349" s="141"/>
      <c r="BP349" s="309"/>
      <c r="BQ349" s="141"/>
      <c r="BR349" s="141"/>
      <c r="BS349" s="141"/>
      <c r="BT349" s="152"/>
      <c r="BU349" s="130">
        <f t="shared" si="169"/>
        <v>0</v>
      </c>
      <c r="BV349" s="132"/>
    </row>
    <row r="350" ht="14.25" customHeight="1">
      <c r="A350" s="132"/>
      <c r="B350" s="306">
        <v>46335</v>
      </c>
      <c r="C350" s="133"/>
      <c r="D350" s="136"/>
      <c r="E350" s="135"/>
      <c r="F350" s="135"/>
      <c r="G350" s="98">
        <f t="shared" si="161"/>
        <v>0</v>
      </c>
      <c r="H350" s="819"/>
      <c r="I350" s="746"/>
      <c r="J350" s="122"/>
      <c r="K350" s="122"/>
      <c r="L350" s="99"/>
      <c r="M350" s="99"/>
      <c r="N350" s="99"/>
      <c r="O350" s="99"/>
      <c r="P350" s="99"/>
      <c r="Q350" s="99"/>
      <c r="R350" s="641"/>
      <c r="S350" s="641"/>
      <c r="T350" s="99"/>
      <c r="U350" s="103">
        <f t="shared" si="162"/>
        <v>0</v>
      </c>
      <c r="V350" s="143"/>
      <c r="W350" s="143"/>
      <c r="X350" s="143"/>
      <c r="Y350" s="611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03">
        <f t="shared" si="163"/>
        <v>0</v>
      </c>
      <c r="AJ350" s="136"/>
      <c r="AK350" s="136"/>
      <c r="AL350" s="136"/>
      <c r="AM350" s="105">
        <f t="shared" si="164"/>
        <v>0</v>
      </c>
      <c r="AN350" s="143"/>
      <c r="AO350" s="143"/>
      <c r="AP350" s="143"/>
      <c r="AQ350" s="146"/>
      <c r="AR350" s="224">
        <f t="shared" si="165"/>
        <v>0</v>
      </c>
      <c r="AS350" s="274"/>
      <c r="AT350" s="126"/>
      <c r="AU350" s="126"/>
      <c r="AV350" s="126"/>
      <c r="AW350" s="293"/>
      <c r="AX350" s="126"/>
      <c r="AY350" s="126"/>
      <c r="AZ350" s="275"/>
      <c r="BA350" s="274"/>
      <c r="BB350" s="274"/>
      <c r="BC350" s="274"/>
      <c r="BD350" s="222">
        <f t="shared" si="166"/>
        <v>0</v>
      </c>
      <c r="BE350" s="140">
        <f t="shared" si="167"/>
        <v>0</v>
      </c>
      <c r="BF350" s="132"/>
      <c r="BG350" s="140">
        <f t="shared" si="168"/>
        <v>0</v>
      </c>
      <c r="BH350" s="141"/>
      <c r="BI350" s="141"/>
      <c r="BJ350" s="141"/>
      <c r="BK350" s="141"/>
      <c r="BL350" s="141"/>
      <c r="BM350" s="141"/>
      <c r="BN350" s="141"/>
      <c r="BO350" s="141"/>
      <c r="BP350" s="309"/>
      <c r="BQ350" s="141"/>
      <c r="BR350" s="141"/>
      <c r="BS350" s="141"/>
      <c r="BT350" s="152"/>
      <c r="BU350" s="130">
        <f t="shared" si="169"/>
        <v>0</v>
      </c>
      <c r="BV350" s="132"/>
    </row>
    <row r="351" ht="14.25" customHeight="1">
      <c r="A351" s="132"/>
      <c r="B351" s="306">
        <v>46336</v>
      </c>
      <c r="C351" s="133"/>
      <c r="D351" s="136"/>
      <c r="E351" s="135"/>
      <c r="F351" s="135"/>
      <c r="G351" s="98">
        <f t="shared" si="161"/>
        <v>0</v>
      </c>
      <c r="H351" s="819"/>
      <c r="I351" s="746"/>
      <c r="J351" s="122"/>
      <c r="K351" s="122"/>
      <c r="L351" s="99"/>
      <c r="M351" s="99"/>
      <c r="N351" s="99"/>
      <c r="O351" s="99"/>
      <c r="P351" s="99"/>
      <c r="Q351" s="99"/>
      <c r="R351" s="641"/>
      <c r="S351" s="641"/>
      <c r="T351" s="99"/>
      <c r="U351" s="103">
        <f t="shared" si="162"/>
        <v>0</v>
      </c>
      <c r="V351" s="143"/>
      <c r="W351" s="143"/>
      <c r="X351" s="143"/>
      <c r="Y351" s="611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03">
        <f t="shared" si="163"/>
        <v>0</v>
      </c>
      <c r="AJ351" s="136"/>
      <c r="AK351" s="136"/>
      <c r="AL351" s="136"/>
      <c r="AM351" s="105">
        <f t="shared" si="164"/>
        <v>0</v>
      </c>
      <c r="AN351" s="143"/>
      <c r="AO351" s="143"/>
      <c r="AP351" s="143"/>
      <c r="AQ351" s="146"/>
      <c r="AR351" s="224">
        <f t="shared" si="165"/>
        <v>0</v>
      </c>
      <c r="AS351" s="274"/>
      <c r="AT351" s="126"/>
      <c r="AU351" s="126"/>
      <c r="AV351" s="126"/>
      <c r="AW351" s="126"/>
      <c r="AX351" s="126"/>
      <c r="AY351" s="126"/>
      <c r="AZ351" s="275"/>
      <c r="BA351" s="274"/>
      <c r="BB351" s="274"/>
      <c r="BC351" s="274"/>
      <c r="BD351" s="222">
        <f t="shared" si="166"/>
        <v>0</v>
      </c>
      <c r="BE351" s="140">
        <f t="shared" si="167"/>
        <v>0</v>
      </c>
      <c r="BF351" s="132"/>
      <c r="BG351" s="140">
        <f t="shared" si="168"/>
        <v>0</v>
      </c>
      <c r="BH351" s="141"/>
      <c r="BI351" s="141"/>
      <c r="BJ351" s="141"/>
      <c r="BK351" s="141"/>
      <c r="BL351" s="141"/>
      <c r="BM351" s="141"/>
      <c r="BN351" s="141"/>
      <c r="BO351" s="141"/>
      <c r="BP351" s="309"/>
      <c r="BQ351" s="141"/>
      <c r="BR351" s="141"/>
      <c r="BS351" s="141"/>
      <c r="BT351" s="152"/>
      <c r="BU351" s="130">
        <f t="shared" si="169"/>
        <v>0</v>
      </c>
      <c r="BV351" s="132"/>
    </row>
    <row r="352" ht="14.25" customHeight="1">
      <c r="A352" s="132"/>
      <c r="B352" s="306">
        <v>46337</v>
      </c>
      <c r="C352" s="133"/>
      <c r="D352" s="136"/>
      <c r="E352" s="135"/>
      <c r="F352" s="135"/>
      <c r="G352" s="98">
        <f t="shared" si="161"/>
        <v>0</v>
      </c>
      <c r="H352" s="819"/>
      <c r="I352" s="746"/>
      <c r="J352" s="122"/>
      <c r="K352" s="122"/>
      <c r="L352" s="99"/>
      <c r="M352" s="99"/>
      <c r="N352" s="99"/>
      <c r="O352" s="99"/>
      <c r="P352" s="99"/>
      <c r="Q352" s="99"/>
      <c r="R352" s="641"/>
      <c r="S352" s="641"/>
      <c r="T352" s="99"/>
      <c r="U352" s="103">
        <f t="shared" si="162"/>
        <v>0</v>
      </c>
      <c r="V352" s="143"/>
      <c r="W352" s="143"/>
      <c r="X352" s="143"/>
      <c r="Y352" s="611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03">
        <f t="shared" si="163"/>
        <v>0</v>
      </c>
      <c r="AJ352" s="136"/>
      <c r="AK352" s="136"/>
      <c r="AL352" s="136"/>
      <c r="AM352" s="105">
        <f t="shared" si="164"/>
        <v>0</v>
      </c>
      <c r="AN352" s="143"/>
      <c r="AO352" s="143"/>
      <c r="AP352" s="143"/>
      <c r="AQ352" s="146"/>
      <c r="AR352" s="224">
        <f t="shared" si="165"/>
        <v>0</v>
      </c>
      <c r="AS352" s="274"/>
      <c r="AT352" s="126"/>
      <c r="AU352" s="126"/>
      <c r="AV352" s="126"/>
      <c r="AW352" s="126"/>
      <c r="AX352" s="126"/>
      <c r="AY352" s="126"/>
      <c r="AZ352" s="275"/>
      <c r="BA352" s="274"/>
      <c r="BB352" s="274"/>
      <c r="BC352" s="274"/>
      <c r="BD352" s="222">
        <f t="shared" si="166"/>
        <v>0</v>
      </c>
      <c r="BE352" s="140">
        <f t="shared" si="167"/>
        <v>0</v>
      </c>
      <c r="BF352" s="132"/>
      <c r="BG352" s="140">
        <f t="shared" si="168"/>
        <v>0</v>
      </c>
      <c r="BH352" s="141"/>
      <c r="BI352" s="141"/>
      <c r="BJ352" s="141"/>
      <c r="BK352" s="141"/>
      <c r="BL352" s="141"/>
      <c r="BM352" s="141"/>
      <c r="BN352" s="141"/>
      <c r="BO352" s="141"/>
      <c r="BP352" s="309"/>
      <c r="BQ352" s="141"/>
      <c r="BR352" s="141"/>
      <c r="BS352" s="141"/>
      <c r="BT352" s="152"/>
      <c r="BU352" s="130">
        <f t="shared" si="169"/>
        <v>0</v>
      </c>
      <c r="BV352" s="132"/>
    </row>
    <row r="353" ht="14.25" customHeight="1">
      <c r="A353" s="132"/>
      <c r="B353" s="306">
        <v>46338</v>
      </c>
      <c r="C353" s="133"/>
      <c r="D353" s="136"/>
      <c r="E353" s="135"/>
      <c r="F353" s="135"/>
      <c r="G353" s="98">
        <f t="shared" si="161"/>
        <v>0</v>
      </c>
      <c r="H353" s="819"/>
      <c r="I353" s="746"/>
      <c r="J353" s="122"/>
      <c r="K353" s="122"/>
      <c r="L353" s="99"/>
      <c r="M353" s="99"/>
      <c r="N353" s="99"/>
      <c r="O353" s="99"/>
      <c r="P353" s="99"/>
      <c r="Q353" s="99"/>
      <c r="R353" s="641"/>
      <c r="S353" s="641"/>
      <c r="T353" s="99"/>
      <c r="U353" s="103">
        <f t="shared" si="162"/>
        <v>0</v>
      </c>
      <c r="V353" s="143"/>
      <c r="W353" s="143"/>
      <c r="X353" s="143"/>
      <c r="Y353" s="611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03">
        <f t="shared" si="163"/>
        <v>0</v>
      </c>
      <c r="AJ353" s="136"/>
      <c r="AK353" s="136"/>
      <c r="AL353" s="136"/>
      <c r="AM353" s="105">
        <f t="shared" si="164"/>
        <v>0</v>
      </c>
      <c r="AN353" s="143"/>
      <c r="AO353" s="143"/>
      <c r="AP353" s="143"/>
      <c r="AQ353" s="146"/>
      <c r="AR353" s="224">
        <f t="shared" si="165"/>
        <v>0</v>
      </c>
      <c r="AS353" s="274"/>
      <c r="AT353" s="126"/>
      <c r="AU353" s="126"/>
      <c r="AV353" s="126"/>
      <c r="AW353" s="126"/>
      <c r="AX353" s="126"/>
      <c r="AY353" s="126"/>
      <c r="AZ353" s="275"/>
      <c r="BA353" s="274"/>
      <c r="BB353" s="274"/>
      <c r="BC353" s="274"/>
      <c r="BD353" s="222">
        <f t="shared" si="166"/>
        <v>0</v>
      </c>
      <c r="BE353" s="140">
        <f t="shared" si="167"/>
        <v>0</v>
      </c>
      <c r="BF353" s="132"/>
      <c r="BG353" s="140">
        <f t="shared" si="168"/>
        <v>0</v>
      </c>
      <c r="BH353" s="141"/>
      <c r="BI353" s="141"/>
      <c r="BJ353" s="141"/>
      <c r="BK353" s="141"/>
      <c r="BL353" s="141"/>
      <c r="BM353" s="141"/>
      <c r="BN353" s="141"/>
      <c r="BO353" s="141"/>
      <c r="BP353" s="309"/>
      <c r="BQ353" s="141"/>
      <c r="BR353" s="141"/>
      <c r="BS353" s="141"/>
      <c r="BT353" s="152"/>
      <c r="BU353" s="130">
        <f t="shared" si="169"/>
        <v>0</v>
      </c>
      <c r="BV353" s="132"/>
    </row>
    <row r="354" ht="14.25" customHeight="1">
      <c r="A354" s="132"/>
      <c r="B354" s="306">
        <v>46339</v>
      </c>
      <c r="C354" s="133"/>
      <c r="D354" s="136"/>
      <c r="E354" s="135"/>
      <c r="F354" s="135"/>
      <c r="G354" s="98">
        <f t="shared" si="161"/>
        <v>0</v>
      </c>
      <c r="H354" s="819"/>
      <c r="I354" s="746"/>
      <c r="J354" s="122"/>
      <c r="K354" s="122"/>
      <c r="L354" s="99"/>
      <c r="M354" s="99"/>
      <c r="N354" s="99"/>
      <c r="O354" s="99"/>
      <c r="P354" s="99"/>
      <c r="Q354" s="99"/>
      <c r="R354" s="641"/>
      <c r="S354" s="641"/>
      <c r="T354" s="99"/>
      <c r="U354" s="103">
        <f t="shared" si="162"/>
        <v>0</v>
      </c>
      <c r="V354" s="143"/>
      <c r="W354" s="143"/>
      <c r="X354" s="143"/>
      <c r="Y354" s="611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03">
        <f t="shared" si="163"/>
        <v>0</v>
      </c>
      <c r="AJ354" s="136"/>
      <c r="AK354" s="136"/>
      <c r="AL354" s="136"/>
      <c r="AM354" s="105">
        <f t="shared" si="164"/>
        <v>0</v>
      </c>
      <c r="AN354" s="143"/>
      <c r="AO354" s="143"/>
      <c r="AP354" s="143"/>
      <c r="AQ354" s="146"/>
      <c r="AR354" s="224">
        <f t="shared" si="165"/>
        <v>0</v>
      </c>
      <c r="AS354" s="274"/>
      <c r="AT354" s="126"/>
      <c r="AU354" s="126"/>
      <c r="AV354" s="126"/>
      <c r="AW354" s="126"/>
      <c r="AX354" s="126"/>
      <c r="AY354" s="126"/>
      <c r="AZ354" s="275"/>
      <c r="BA354" s="274"/>
      <c r="BB354" s="274"/>
      <c r="BC354" s="274"/>
      <c r="BD354" s="222">
        <f t="shared" si="166"/>
        <v>0</v>
      </c>
      <c r="BE354" s="140">
        <f t="shared" si="167"/>
        <v>0</v>
      </c>
      <c r="BF354" s="132"/>
      <c r="BG354" s="140">
        <f t="shared" si="168"/>
        <v>0</v>
      </c>
      <c r="BH354" s="141"/>
      <c r="BI354" s="141"/>
      <c r="BJ354" s="141"/>
      <c r="BK354" s="141"/>
      <c r="BL354" s="141"/>
      <c r="BM354" s="141"/>
      <c r="BN354" s="141"/>
      <c r="BO354" s="141"/>
      <c r="BP354" s="309"/>
      <c r="BQ354" s="141"/>
      <c r="BR354" s="141"/>
      <c r="BS354" s="141"/>
      <c r="BT354" s="152"/>
      <c r="BU354" s="130">
        <f t="shared" si="169"/>
        <v>0</v>
      </c>
      <c r="BV354" s="132"/>
    </row>
    <row r="355" ht="14.25" customHeight="1">
      <c r="A355" s="132"/>
      <c r="B355" s="306">
        <v>46340</v>
      </c>
      <c r="C355" s="133"/>
      <c r="D355" s="136"/>
      <c r="E355" s="135"/>
      <c r="F355" s="135"/>
      <c r="G355" s="98">
        <f t="shared" si="161"/>
        <v>0</v>
      </c>
      <c r="H355" s="819"/>
      <c r="I355" s="746"/>
      <c r="J355" s="122"/>
      <c r="K355" s="122"/>
      <c r="L355" s="99"/>
      <c r="M355" s="99"/>
      <c r="N355" s="99"/>
      <c r="O355" s="99"/>
      <c r="P355" s="99"/>
      <c r="Q355" s="99"/>
      <c r="R355" s="641"/>
      <c r="S355" s="641"/>
      <c r="T355" s="99"/>
      <c r="U355" s="103">
        <f t="shared" si="162"/>
        <v>0</v>
      </c>
      <c r="V355" s="143"/>
      <c r="W355" s="143"/>
      <c r="X355" s="143"/>
      <c r="Y355" s="611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03">
        <f t="shared" si="163"/>
        <v>0</v>
      </c>
      <c r="AJ355" s="136"/>
      <c r="AK355" s="136"/>
      <c r="AL355" s="136"/>
      <c r="AM355" s="105">
        <f t="shared" si="164"/>
        <v>0</v>
      </c>
      <c r="AN355" s="143"/>
      <c r="AO355" s="143"/>
      <c r="AP355" s="143"/>
      <c r="AQ355" s="146"/>
      <c r="AR355" s="224">
        <f t="shared" si="165"/>
        <v>0</v>
      </c>
      <c r="AS355" s="274"/>
      <c r="AT355" s="126"/>
      <c r="AU355" s="126"/>
      <c r="AV355" s="126"/>
      <c r="AW355" s="126"/>
      <c r="AX355" s="126"/>
      <c r="AY355" s="126"/>
      <c r="AZ355" s="275"/>
      <c r="BA355" s="274"/>
      <c r="BB355" s="274"/>
      <c r="BC355" s="274"/>
      <c r="BD355" s="222">
        <f t="shared" si="166"/>
        <v>0</v>
      </c>
      <c r="BE355" s="140">
        <f t="shared" si="167"/>
        <v>0</v>
      </c>
      <c r="BF355" s="132"/>
      <c r="BG355" s="140">
        <f t="shared" si="168"/>
        <v>0</v>
      </c>
      <c r="BH355" s="141"/>
      <c r="BI355" s="141"/>
      <c r="BJ355" s="141"/>
      <c r="BK355" s="141"/>
      <c r="BL355" s="141"/>
      <c r="BM355" s="141"/>
      <c r="BN355" s="141"/>
      <c r="BO355" s="141"/>
      <c r="BP355" s="309"/>
      <c r="BQ355" s="141"/>
      <c r="BR355" s="141"/>
      <c r="BS355" s="141"/>
      <c r="BT355" s="152"/>
      <c r="BU355" s="130">
        <f t="shared" si="169"/>
        <v>0</v>
      </c>
      <c r="BV355" s="132"/>
    </row>
    <row r="356" ht="14.25" customHeight="1">
      <c r="A356" s="3"/>
      <c r="B356" s="306">
        <v>46341</v>
      </c>
      <c r="C356" s="118"/>
      <c r="D356" s="123"/>
      <c r="E356" s="120"/>
      <c r="F356" s="120"/>
      <c r="G356" s="98">
        <f t="shared" si="161"/>
        <v>0</v>
      </c>
      <c r="H356" s="819"/>
      <c r="I356" s="746"/>
      <c r="J356" s="122"/>
      <c r="K356" s="122"/>
      <c r="L356" s="99"/>
      <c r="M356" s="99"/>
      <c r="N356" s="99"/>
      <c r="O356" s="99"/>
      <c r="P356" s="99"/>
      <c r="Q356" s="99"/>
      <c r="R356" s="641"/>
      <c r="S356" s="641"/>
      <c r="T356" s="99"/>
      <c r="U356" s="103">
        <f t="shared" si="162"/>
        <v>0</v>
      </c>
      <c r="V356" s="143"/>
      <c r="W356" s="143"/>
      <c r="X356" s="143"/>
      <c r="Y356" s="611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03">
        <f t="shared" si="163"/>
        <v>0</v>
      </c>
      <c r="AJ356" s="123"/>
      <c r="AK356" s="123"/>
      <c r="AL356" s="123"/>
      <c r="AM356" s="105">
        <f t="shared" si="164"/>
        <v>0</v>
      </c>
      <c r="AN356" s="143"/>
      <c r="AO356" s="143"/>
      <c r="AP356" s="143"/>
      <c r="AQ356" s="146"/>
      <c r="AR356" s="224">
        <f t="shared" si="165"/>
        <v>0</v>
      </c>
      <c r="AS356" s="274"/>
      <c r="AT356" s="126"/>
      <c r="AU356" s="126"/>
      <c r="AV356" s="126"/>
      <c r="AW356" s="126"/>
      <c r="AX356" s="126"/>
      <c r="AY356" s="126"/>
      <c r="AZ356" s="275"/>
      <c r="BA356" s="274"/>
      <c r="BB356" s="274"/>
      <c r="BC356" s="274"/>
      <c r="BD356" s="222">
        <f t="shared" si="166"/>
        <v>0</v>
      </c>
      <c r="BE356" s="113">
        <f t="shared" si="167"/>
        <v>0</v>
      </c>
      <c r="BF356" s="3"/>
      <c r="BG356" s="113">
        <f t="shared" si="168"/>
        <v>0</v>
      </c>
      <c r="BH356" s="129"/>
      <c r="BI356" s="129"/>
      <c r="BJ356" s="129"/>
      <c r="BK356" s="129"/>
      <c r="BL356" s="129"/>
      <c r="BM356" s="129"/>
      <c r="BN356" s="129"/>
      <c r="BO356" s="129"/>
      <c r="BP356" s="452"/>
      <c r="BQ356" s="129"/>
      <c r="BR356" s="129"/>
      <c r="BS356" s="129"/>
      <c r="BT356" s="255"/>
      <c r="BU356" s="130">
        <f t="shared" si="169"/>
        <v>0</v>
      </c>
      <c r="BV356" s="3"/>
    </row>
    <row r="357" ht="14.25" customHeight="1">
      <c r="A357" s="132"/>
      <c r="B357" s="306">
        <v>46342</v>
      </c>
      <c r="C357" s="133"/>
      <c r="D357" s="136"/>
      <c r="E357" s="135"/>
      <c r="F357" s="135"/>
      <c r="G357" s="98">
        <f t="shared" si="161"/>
        <v>0</v>
      </c>
      <c r="H357" s="819"/>
      <c r="I357" s="746"/>
      <c r="J357" s="122"/>
      <c r="K357" s="122"/>
      <c r="L357" s="99"/>
      <c r="M357" s="99"/>
      <c r="N357" s="99"/>
      <c r="O357" s="99"/>
      <c r="P357" s="99"/>
      <c r="Q357" s="99"/>
      <c r="R357" s="641"/>
      <c r="S357" s="641"/>
      <c r="T357" s="99"/>
      <c r="U357" s="103">
        <f t="shared" si="162"/>
        <v>0</v>
      </c>
      <c r="V357" s="143"/>
      <c r="W357" s="143"/>
      <c r="X357" s="143"/>
      <c r="Y357" s="611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03">
        <f t="shared" si="163"/>
        <v>0</v>
      </c>
      <c r="AJ357" s="136"/>
      <c r="AK357" s="136"/>
      <c r="AL357" s="136"/>
      <c r="AM357" s="105">
        <f t="shared" si="164"/>
        <v>0</v>
      </c>
      <c r="AN357" s="143"/>
      <c r="AO357" s="143"/>
      <c r="AP357" s="143"/>
      <c r="AQ357" s="146"/>
      <c r="AR357" s="224">
        <f t="shared" si="165"/>
        <v>0</v>
      </c>
      <c r="AS357" s="274"/>
      <c r="AT357" s="126"/>
      <c r="AU357" s="126"/>
      <c r="AV357" s="126"/>
      <c r="AW357" s="125"/>
      <c r="AX357" s="126"/>
      <c r="AY357" s="126"/>
      <c r="AZ357" s="275"/>
      <c r="BA357" s="274"/>
      <c r="BB357" s="274"/>
      <c r="BC357" s="274"/>
      <c r="BD357" s="222">
        <f t="shared" si="166"/>
        <v>0</v>
      </c>
      <c r="BE357" s="140">
        <f t="shared" si="167"/>
        <v>0</v>
      </c>
      <c r="BF357" s="132"/>
      <c r="BG357" s="140">
        <f t="shared" si="168"/>
        <v>0</v>
      </c>
      <c r="BH357" s="141"/>
      <c r="BI357" s="141"/>
      <c r="BJ357" s="141"/>
      <c r="BK357" s="141"/>
      <c r="BL357" s="141"/>
      <c r="BM357" s="141"/>
      <c r="BN357" s="141"/>
      <c r="BO357" s="141"/>
      <c r="BP357" s="309"/>
      <c r="BQ357" s="141"/>
      <c r="BR357" s="141"/>
      <c r="BS357" s="141"/>
      <c r="BT357" s="152"/>
      <c r="BU357" s="130">
        <f t="shared" si="169"/>
        <v>0</v>
      </c>
      <c r="BV357" s="132"/>
    </row>
    <row r="358" ht="14.25" customHeight="1">
      <c r="A358" s="132"/>
      <c r="B358" s="306">
        <v>46343</v>
      </c>
      <c r="C358" s="133"/>
      <c r="D358" s="136"/>
      <c r="E358" s="135"/>
      <c r="F358" s="135"/>
      <c r="G358" s="98">
        <f t="shared" si="161"/>
        <v>0</v>
      </c>
      <c r="H358" s="819"/>
      <c r="I358" s="746"/>
      <c r="J358" s="122"/>
      <c r="K358" s="122"/>
      <c r="L358" s="99"/>
      <c r="M358" s="99"/>
      <c r="N358" s="99"/>
      <c r="O358" s="99"/>
      <c r="P358" s="99"/>
      <c r="Q358" s="99"/>
      <c r="R358" s="641"/>
      <c r="S358" s="641"/>
      <c r="T358" s="99"/>
      <c r="U358" s="103">
        <f t="shared" si="162"/>
        <v>0</v>
      </c>
      <c r="V358" s="143"/>
      <c r="W358" s="143"/>
      <c r="X358" s="143"/>
      <c r="Y358" s="611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03">
        <f t="shared" si="163"/>
        <v>0</v>
      </c>
      <c r="AJ358" s="136"/>
      <c r="AK358" s="136"/>
      <c r="AL358" s="136"/>
      <c r="AM358" s="105">
        <f t="shared" si="164"/>
        <v>0</v>
      </c>
      <c r="AN358" s="143"/>
      <c r="AO358" s="143"/>
      <c r="AP358" s="143"/>
      <c r="AQ358" s="146"/>
      <c r="AR358" s="224">
        <f t="shared" si="165"/>
        <v>0</v>
      </c>
      <c r="AS358" s="274"/>
      <c r="AT358" s="126"/>
      <c r="AU358" s="126"/>
      <c r="AV358" s="294"/>
      <c r="AW358" s="126"/>
      <c r="AX358" s="126"/>
      <c r="AY358" s="126"/>
      <c r="AZ358" s="275"/>
      <c r="BA358" s="274"/>
      <c r="BB358" s="274"/>
      <c r="BC358" s="274"/>
      <c r="BD358" s="222">
        <f t="shared" si="166"/>
        <v>0</v>
      </c>
      <c r="BE358" s="140">
        <f t="shared" si="167"/>
        <v>0</v>
      </c>
      <c r="BF358" s="132"/>
      <c r="BG358" s="140">
        <f t="shared" si="168"/>
        <v>0</v>
      </c>
      <c r="BH358" s="141"/>
      <c r="BI358" s="141"/>
      <c r="BJ358" s="141"/>
      <c r="BK358" s="141"/>
      <c r="BL358" s="141"/>
      <c r="BM358" s="141"/>
      <c r="BN358" s="141"/>
      <c r="BO358" s="141"/>
      <c r="BP358" s="309"/>
      <c r="BQ358" s="141"/>
      <c r="BR358" s="141"/>
      <c r="BS358" s="141"/>
      <c r="BT358" s="152"/>
      <c r="BU358" s="130">
        <f t="shared" si="169"/>
        <v>0</v>
      </c>
      <c r="BV358" s="132"/>
    </row>
    <row r="359" ht="14.25" customHeight="1">
      <c r="A359" s="132"/>
      <c r="B359" s="306">
        <v>46344</v>
      </c>
      <c r="C359" s="133"/>
      <c r="D359" s="136"/>
      <c r="E359" s="135"/>
      <c r="F359" s="135"/>
      <c r="G359" s="98">
        <f t="shared" si="161"/>
        <v>0</v>
      </c>
      <c r="H359" s="819"/>
      <c r="I359" s="746"/>
      <c r="J359" s="122"/>
      <c r="K359" s="122"/>
      <c r="L359" s="99"/>
      <c r="M359" s="99"/>
      <c r="N359" s="99"/>
      <c r="O359" s="99"/>
      <c r="P359" s="99"/>
      <c r="Q359" s="99"/>
      <c r="R359" s="641"/>
      <c r="S359" s="641"/>
      <c r="T359" s="99"/>
      <c r="U359" s="103">
        <f t="shared" si="162"/>
        <v>0</v>
      </c>
      <c r="V359" s="143"/>
      <c r="W359" s="143"/>
      <c r="X359" s="143"/>
      <c r="Y359" s="611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03">
        <f t="shared" si="163"/>
        <v>0</v>
      </c>
      <c r="AJ359" s="136"/>
      <c r="AK359" s="136"/>
      <c r="AL359" s="136"/>
      <c r="AM359" s="105">
        <f t="shared" si="164"/>
        <v>0</v>
      </c>
      <c r="AN359" s="143"/>
      <c r="AO359" s="143"/>
      <c r="AP359" s="143"/>
      <c r="AQ359" s="146"/>
      <c r="AR359" s="224">
        <f t="shared" si="165"/>
        <v>0</v>
      </c>
      <c r="AS359" s="274"/>
      <c r="AT359" s="126"/>
      <c r="AU359" s="126"/>
      <c r="AV359" s="126"/>
      <c r="AW359" s="126"/>
      <c r="AX359" s="126"/>
      <c r="AY359" s="126"/>
      <c r="AZ359" s="275"/>
      <c r="BA359" s="274"/>
      <c r="BB359" s="274"/>
      <c r="BC359" s="274"/>
      <c r="BD359" s="222">
        <f t="shared" si="166"/>
        <v>0</v>
      </c>
      <c r="BE359" s="140">
        <f t="shared" si="167"/>
        <v>0</v>
      </c>
      <c r="BF359" s="132"/>
      <c r="BG359" s="140">
        <f t="shared" si="168"/>
        <v>0</v>
      </c>
      <c r="BH359" s="141"/>
      <c r="BI359" s="141"/>
      <c r="BJ359" s="141"/>
      <c r="BK359" s="141"/>
      <c r="BL359" s="141"/>
      <c r="BM359" s="141"/>
      <c r="BN359" s="141"/>
      <c r="BO359" s="141"/>
      <c r="BP359" s="309"/>
      <c r="BQ359" s="141"/>
      <c r="BR359" s="141"/>
      <c r="BS359" s="141"/>
      <c r="BT359" s="152"/>
      <c r="BU359" s="130">
        <f t="shared" si="169"/>
        <v>0</v>
      </c>
      <c r="BV359" s="132"/>
    </row>
    <row r="360" ht="14.25" customHeight="1">
      <c r="A360" s="132"/>
      <c r="B360" s="306">
        <v>46345</v>
      </c>
      <c r="C360" s="133"/>
      <c r="D360" s="136"/>
      <c r="E360" s="135"/>
      <c r="F360" s="135"/>
      <c r="G360" s="98">
        <f t="shared" si="161"/>
        <v>0</v>
      </c>
      <c r="H360" s="819"/>
      <c r="I360" s="746"/>
      <c r="J360" s="122"/>
      <c r="K360" s="122"/>
      <c r="L360" s="99"/>
      <c r="M360" s="99"/>
      <c r="N360" s="99"/>
      <c r="O360" s="99"/>
      <c r="P360" s="99"/>
      <c r="Q360" s="99"/>
      <c r="R360" s="641"/>
      <c r="S360" s="641"/>
      <c r="T360" s="99"/>
      <c r="U360" s="103">
        <f>SUM(H360:T360)</f>
        <v>0</v>
      </c>
      <c r="V360" s="143"/>
      <c r="W360" s="143"/>
      <c r="X360" s="143"/>
      <c r="Y360" s="611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03">
        <f t="shared" si="163"/>
        <v>0</v>
      </c>
      <c r="AJ360" s="136"/>
      <c r="AK360" s="136"/>
      <c r="AL360" s="136"/>
      <c r="AM360" s="105">
        <f t="shared" si="164"/>
        <v>0</v>
      </c>
      <c r="AN360" s="143"/>
      <c r="AO360" s="143"/>
      <c r="AP360" s="143"/>
      <c r="AQ360" s="146"/>
      <c r="AR360" s="224">
        <f t="shared" si="165"/>
        <v>0</v>
      </c>
      <c r="AS360" s="274"/>
      <c r="AT360" s="126"/>
      <c r="AU360" s="126"/>
      <c r="AV360" s="126"/>
      <c r="AW360" s="126"/>
      <c r="AX360" s="126"/>
      <c r="AY360" s="126"/>
      <c r="AZ360" s="275"/>
      <c r="BA360" s="274"/>
      <c r="BB360" s="274"/>
      <c r="BC360" s="274"/>
      <c r="BD360" s="222">
        <f t="shared" si="166"/>
        <v>0</v>
      </c>
      <c r="BE360" s="140">
        <f t="shared" si="167"/>
        <v>0</v>
      </c>
      <c r="BF360" s="132"/>
      <c r="BG360" s="140">
        <f t="shared" si="168"/>
        <v>0</v>
      </c>
      <c r="BH360" s="141"/>
      <c r="BI360" s="141"/>
      <c r="BJ360" s="141"/>
      <c r="BK360" s="141"/>
      <c r="BL360" s="141"/>
      <c r="BM360" s="141"/>
      <c r="BN360" s="141"/>
      <c r="BO360" s="141"/>
      <c r="BP360" s="309"/>
      <c r="BQ360" s="141"/>
      <c r="BR360" s="141"/>
      <c r="BS360" s="141"/>
      <c r="BT360" s="152"/>
      <c r="BU360" s="130">
        <f t="shared" si="169"/>
        <v>0</v>
      </c>
      <c r="BV360" s="132"/>
    </row>
    <row r="361" ht="14.25" customHeight="1">
      <c r="A361" s="132"/>
      <c r="B361" s="306">
        <v>46346</v>
      </c>
      <c r="C361" s="133"/>
      <c r="D361" s="136"/>
      <c r="E361" s="135"/>
      <c r="F361" s="135"/>
      <c r="G361" s="98">
        <f t="shared" si="161"/>
        <v>0</v>
      </c>
      <c r="H361" s="819"/>
      <c r="I361" s="746"/>
      <c r="J361" s="122"/>
      <c r="K361" s="122"/>
      <c r="L361" s="99"/>
      <c r="M361" s="99"/>
      <c r="N361" s="99"/>
      <c r="O361" s="99"/>
      <c r="P361" s="99"/>
      <c r="Q361" s="99"/>
      <c r="R361" s="641"/>
      <c r="S361" s="641"/>
      <c r="T361" s="99"/>
      <c r="U361" s="103">
        <f ref="U361:U371" t="shared" si="170">SUM(I361:T361)</f>
        <v>0</v>
      </c>
      <c r="V361" s="143"/>
      <c r="W361" s="143"/>
      <c r="X361" s="143"/>
      <c r="Y361" s="611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03">
        <f t="shared" si="163"/>
        <v>0</v>
      </c>
      <c r="AJ361" s="136"/>
      <c r="AK361" s="136"/>
      <c r="AL361" s="136"/>
      <c r="AM361" s="105">
        <f t="shared" si="164"/>
        <v>0</v>
      </c>
      <c r="AN361" s="143"/>
      <c r="AO361" s="143"/>
      <c r="AP361" s="143"/>
      <c r="AQ361" s="146"/>
      <c r="AR361" s="224">
        <f t="shared" si="165"/>
        <v>0</v>
      </c>
      <c r="AS361" s="274"/>
      <c r="AT361" s="126"/>
      <c r="AU361" s="126"/>
      <c r="AV361" s="126"/>
      <c r="AW361" s="126"/>
      <c r="AX361" s="126"/>
      <c r="AY361" s="126"/>
      <c r="AZ361" s="275"/>
      <c r="BA361" s="274"/>
      <c r="BB361" s="274"/>
      <c r="BC361" s="274"/>
      <c r="BD361" s="222">
        <f t="shared" si="166"/>
        <v>0</v>
      </c>
      <c r="BE361" s="140">
        <f t="shared" si="167"/>
        <v>0</v>
      </c>
      <c r="BF361" s="132"/>
      <c r="BG361" s="140">
        <f t="shared" si="168"/>
        <v>0</v>
      </c>
      <c r="BH361" s="141"/>
      <c r="BI361" s="141"/>
      <c r="BJ361" s="141"/>
      <c r="BK361" s="141"/>
      <c r="BL361" s="141"/>
      <c r="BM361" s="141"/>
      <c r="BN361" s="141"/>
      <c r="BO361" s="141"/>
      <c r="BP361" s="309"/>
      <c r="BQ361" s="141"/>
      <c r="BR361" s="141"/>
      <c r="BS361" s="141"/>
      <c r="BT361" s="152"/>
      <c r="BU361" s="130">
        <f t="shared" si="169"/>
        <v>0</v>
      </c>
      <c r="BV361" s="132"/>
    </row>
    <row r="362" ht="14.25" customHeight="1">
      <c r="A362" s="132"/>
      <c r="B362" s="306">
        <v>46347</v>
      </c>
      <c r="C362" s="133"/>
      <c r="D362" s="136"/>
      <c r="E362" s="135"/>
      <c r="F362" s="135"/>
      <c r="G362" s="98">
        <f t="shared" si="161"/>
        <v>0</v>
      </c>
      <c r="H362" s="819"/>
      <c r="I362" s="746"/>
      <c r="J362" s="122"/>
      <c r="K362" s="122"/>
      <c r="L362" s="99"/>
      <c r="M362" s="99"/>
      <c r="N362" s="99"/>
      <c r="O362" s="99"/>
      <c r="P362" s="99"/>
      <c r="Q362" s="99"/>
      <c r="R362" s="641"/>
      <c r="S362" s="641"/>
      <c r="T362" s="99"/>
      <c r="U362" s="103">
        <f t="shared" si="170"/>
        <v>0</v>
      </c>
      <c r="V362" s="143"/>
      <c r="W362" s="143"/>
      <c r="X362" s="143"/>
      <c r="Y362" s="611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03">
        <f t="shared" si="163"/>
        <v>0</v>
      </c>
      <c r="AJ362" s="136"/>
      <c r="AK362" s="136"/>
      <c r="AL362" s="136"/>
      <c r="AM362" s="105">
        <f t="shared" si="164"/>
        <v>0</v>
      </c>
      <c r="AN362" s="143"/>
      <c r="AO362" s="143"/>
      <c r="AP362" s="143"/>
      <c r="AQ362" s="146"/>
      <c r="AR362" s="224">
        <f t="shared" si="165"/>
        <v>0</v>
      </c>
      <c r="AS362" s="274"/>
      <c r="AT362" s="126"/>
      <c r="AU362" s="126"/>
      <c r="AV362" s="126"/>
      <c r="AW362" s="126"/>
      <c r="AX362" s="126"/>
      <c r="AY362" s="126"/>
      <c r="AZ362" s="275"/>
      <c r="BA362" s="274"/>
      <c r="BB362" s="274"/>
      <c r="BC362" s="274"/>
      <c r="BD362" s="222">
        <f t="shared" si="166"/>
        <v>0</v>
      </c>
      <c r="BE362" s="140">
        <f t="shared" si="167"/>
        <v>0</v>
      </c>
      <c r="BF362" s="132"/>
      <c r="BG362" s="140">
        <f t="shared" si="168"/>
        <v>0</v>
      </c>
      <c r="BH362" s="141"/>
      <c r="BI362" s="141"/>
      <c r="BJ362" s="141"/>
      <c r="BK362" s="141"/>
      <c r="BL362" s="141"/>
      <c r="BM362" s="141"/>
      <c r="BN362" s="141"/>
      <c r="BO362" s="141"/>
      <c r="BP362" s="309"/>
      <c r="BQ362" s="141"/>
      <c r="BR362" s="141"/>
      <c r="BS362" s="141"/>
      <c r="BT362" s="152"/>
      <c r="BU362" s="130">
        <f t="shared" si="169"/>
        <v>0</v>
      </c>
      <c r="BV362" s="132"/>
    </row>
    <row r="363" ht="14.25" customHeight="1">
      <c r="A363" s="132"/>
      <c r="B363" s="306">
        <v>46348</v>
      </c>
      <c r="C363" s="133"/>
      <c r="D363" s="136"/>
      <c r="E363" s="135"/>
      <c r="F363" s="135"/>
      <c r="G363" s="98">
        <f t="shared" si="161"/>
        <v>0</v>
      </c>
      <c r="H363" s="819"/>
      <c r="I363" s="746"/>
      <c r="J363" s="122"/>
      <c r="K363" s="122"/>
      <c r="L363" s="99"/>
      <c r="M363" s="99"/>
      <c r="N363" s="99"/>
      <c r="O363" s="99"/>
      <c r="P363" s="99"/>
      <c r="Q363" s="99"/>
      <c r="R363" s="641"/>
      <c r="S363" s="641"/>
      <c r="T363" s="99"/>
      <c r="U363" s="103">
        <f t="shared" si="170"/>
        <v>0</v>
      </c>
      <c r="V363" s="143"/>
      <c r="W363" s="143"/>
      <c r="X363" s="143"/>
      <c r="Y363" s="611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03">
        <f t="shared" si="163"/>
        <v>0</v>
      </c>
      <c r="AJ363" s="136"/>
      <c r="AK363" s="136"/>
      <c r="AL363" s="136"/>
      <c r="AM363" s="105">
        <f t="shared" si="164"/>
        <v>0</v>
      </c>
      <c r="AN363" s="143"/>
      <c r="AO363" s="143"/>
      <c r="AP363" s="143"/>
      <c r="AQ363" s="146"/>
      <c r="AR363" s="224">
        <f t="shared" si="165"/>
        <v>0</v>
      </c>
      <c r="AS363" s="274"/>
      <c r="AT363" s="126"/>
      <c r="AU363" s="126"/>
      <c r="AV363" s="126"/>
      <c r="AW363" s="125"/>
      <c r="AX363" s="126"/>
      <c r="AY363" s="126"/>
      <c r="AZ363" s="275"/>
      <c r="BA363" s="274"/>
      <c r="BB363" s="274"/>
      <c r="BC363" s="274"/>
      <c r="BD363" s="222">
        <f t="shared" si="166"/>
        <v>0</v>
      </c>
      <c r="BE363" s="140">
        <f t="shared" si="167"/>
        <v>0</v>
      </c>
      <c r="BF363" s="132"/>
      <c r="BG363" s="140">
        <f t="shared" si="168"/>
        <v>0</v>
      </c>
      <c r="BH363" s="141"/>
      <c r="BI363" s="141"/>
      <c r="BJ363" s="141"/>
      <c r="BK363" s="141"/>
      <c r="BL363" s="141"/>
      <c r="BM363" s="141"/>
      <c r="BN363" s="141"/>
      <c r="BO363" s="141"/>
      <c r="BP363" s="309"/>
      <c r="BQ363" s="141"/>
      <c r="BR363" s="141"/>
      <c r="BS363" s="141"/>
      <c r="BT363" s="152"/>
      <c r="BU363" s="130">
        <f t="shared" si="169"/>
        <v>0</v>
      </c>
      <c r="BV363" s="132"/>
    </row>
    <row r="364" ht="14.25" customHeight="1">
      <c r="A364" s="132"/>
      <c r="B364" s="306">
        <v>46349</v>
      </c>
      <c r="C364" s="133"/>
      <c r="D364" s="136"/>
      <c r="E364" s="135"/>
      <c r="F364" s="135"/>
      <c r="G364" s="98">
        <f t="shared" si="161"/>
        <v>0</v>
      </c>
      <c r="H364" s="819"/>
      <c r="I364" s="746"/>
      <c r="J364" s="122"/>
      <c r="K364" s="122"/>
      <c r="L364" s="99"/>
      <c r="M364" s="99"/>
      <c r="N364" s="99"/>
      <c r="O364" s="99"/>
      <c r="P364" s="99"/>
      <c r="Q364" s="99"/>
      <c r="R364" s="641"/>
      <c r="S364" s="641"/>
      <c r="T364" s="99"/>
      <c r="U364" s="103">
        <f t="shared" si="170"/>
        <v>0</v>
      </c>
      <c r="V364" s="143"/>
      <c r="W364" s="143"/>
      <c r="X364" s="143"/>
      <c r="Y364" s="611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03">
        <f t="shared" si="163"/>
        <v>0</v>
      </c>
      <c r="AJ364" s="136"/>
      <c r="AK364" s="136"/>
      <c r="AL364" s="136"/>
      <c r="AM364" s="105">
        <f t="shared" si="164"/>
        <v>0</v>
      </c>
      <c r="AN364" s="143"/>
      <c r="AO364" s="143"/>
      <c r="AP364" s="143"/>
      <c r="AQ364" s="146"/>
      <c r="AR364" s="224">
        <f t="shared" si="165"/>
        <v>0</v>
      </c>
      <c r="AS364" s="274"/>
      <c r="AT364" s="749"/>
      <c r="AU364" s="749"/>
      <c r="AV364" s="126"/>
      <c r="AW364" s="126"/>
      <c r="AX364" s="126"/>
      <c r="AY364" s="126"/>
      <c r="AZ364" s="275"/>
      <c r="BA364" s="274"/>
      <c r="BB364" s="274"/>
      <c r="BC364" s="274"/>
      <c r="BD364" s="222">
        <f t="shared" si="166"/>
        <v>0</v>
      </c>
      <c r="BE364" s="140">
        <f t="shared" si="167"/>
        <v>0</v>
      </c>
      <c r="BF364" s="132"/>
      <c r="BG364" s="140">
        <f t="shared" si="168"/>
        <v>0</v>
      </c>
      <c r="BH364" s="141"/>
      <c r="BI364" s="141"/>
      <c r="BJ364" s="141"/>
      <c r="BK364" s="141"/>
      <c r="BL364" s="141"/>
      <c r="BM364" s="141"/>
      <c r="BN364" s="141"/>
      <c r="BO364" s="141"/>
      <c r="BP364" s="309"/>
      <c r="BQ364" s="141"/>
      <c r="BR364" s="141"/>
      <c r="BS364" s="141"/>
      <c r="BT364" s="152"/>
      <c r="BU364" s="130">
        <f t="shared" si="169"/>
        <v>0</v>
      </c>
      <c r="BV364" s="132"/>
    </row>
    <row r="365" ht="14.25" customHeight="1">
      <c r="A365" s="132"/>
      <c r="B365" s="306">
        <v>46350</v>
      </c>
      <c r="C365" s="133"/>
      <c r="D365" s="136"/>
      <c r="E365" s="135"/>
      <c r="F365" s="135"/>
      <c r="G365" s="98">
        <f t="shared" si="161"/>
        <v>0</v>
      </c>
      <c r="H365" s="819"/>
      <c r="I365" s="746"/>
      <c r="J365" s="122"/>
      <c r="K365" s="122"/>
      <c r="L365" s="99"/>
      <c r="M365" s="99"/>
      <c r="N365" s="99"/>
      <c r="O365" s="99"/>
      <c r="P365" s="99"/>
      <c r="Q365" s="99"/>
      <c r="R365" s="641"/>
      <c r="S365" s="641"/>
      <c r="T365" s="99"/>
      <c r="U365" s="103">
        <f t="shared" si="170"/>
        <v>0</v>
      </c>
      <c r="V365" s="143"/>
      <c r="W365" s="143"/>
      <c r="X365" s="143"/>
      <c r="Y365" s="611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03">
        <f t="shared" si="163"/>
        <v>0</v>
      </c>
      <c r="AJ365" s="136"/>
      <c r="AK365" s="136"/>
      <c r="AL365" s="136"/>
      <c r="AM365" s="105">
        <f t="shared" si="164"/>
        <v>0</v>
      </c>
      <c r="AN365" s="143"/>
      <c r="AO365" s="143"/>
      <c r="AP365" s="143"/>
      <c r="AQ365" s="146"/>
      <c r="AR365" s="224">
        <f t="shared" si="165"/>
        <v>0</v>
      </c>
      <c r="AS365" s="274"/>
      <c r="AT365" s="126"/>
      <c r="AU365" s="126"/>
      <c r="AV365" s="126"/>
      <c r="AW365" s="126"/>
      <c r="AX365" s="126"/>
      <c r="AY365" s="126"/>
      <c r="AZ365" s="275"/>
      <c r="BA365" s="274"/>
      <c r="BB365" s="274"/>
      <c r="BC365" s="274"/>
      <c r="BD365" s="222">
        <f t="shared" si="166"/>
        <v>0</v>
      </c>
      <c r="BE365" s="140">
        <f t="shared" si="167"/>
        <v>0</v>
      </c>
      <c r="BF365" s="132"/>
      <c r="BG365" s="140">
        <f t="shared" si="168"/>
        <v>0</v>
      </c>
      <c r="BH365" s="141"/>
      <c r="BI365" s="141"/>
      <c r="BJ365" s="141"/>
      <c r="BK365" s="141"/>
      <c r="BL365" s="141"/>
      <c r="BM365" s="141"/>
      <c r="BN365" s="141"/>
      <c r="BO365" s="141"/>
      <c r="BP365" s="309"/>
      <c r="BQ365" s="141"/>
      <c r="BR365" s="141"/>
      <c r="BS365" s="141"/>
      <c r="BT365" s="152"/>
      <c r="BU365" s="130">
        <f t="shared" si="169"/>
        <v>0</v>
      </c>
      <c r="BV365" s="132"/>
    </row>
    <row r="366" ht="14.25" customHeight="1">
      <c r="A366" s="132"/>
      <c r="B366" s="306">
        <v>46351</v>
      </c>
      <c r="C366" s="133"/>
      <c r="D366" s="136"/>
      <c r="E366" s="135"/>
      <c r="F366" s="135"/>
      <c r="G366" s="98">
        <f t="shared" si="161"/>
        <v>0</v>
      </c>
      <c r="H366" s="819"/>
      <c r="I366" s="746"/>
      <c r="J366" s="122"/>
      <c r="K366" s="122"/>
      <c r="L366" s="99"/>
      <c r="M366" s="99"/>
      <c r="N366" s="99"/>
      <c r="O366" s="99"/>
      <c r="P366" s="99"/>
      <c r="Q366" s="99"/>
      <c r="R366" s="641"/>
      <c r="S366" s="641"/>
      <c r="T366" s="99"/>
      <c r="U366" s="103">
        <f t="shared" si="170"/>
        <v>0</v>
      </c>
      <c r="V366" s="143"/>
      <c r="W366" s="143"/>
      <c r="X366" s="143"/>
      <c r="Y366" s="611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03">
        <f t="shared" si="163"/>
        <v>0</v>
      </c>
      <c r="AJ366" s="136"/>
      <c r="AK366" s="136"/>
      <c r="AL366" s="136"/>
      <c r="AM366" s="105">
        <f t="shared" si="164"/>
        <v>0</v>
      </c>
      <c r="AN366" s="143"/>
      <c r="AO366" s="143"/>
      <c r="AP366" s="143"/>
      <c r="AQ366" s="146"/>
      <c r="AR366" s="224">
        <f t="shared" si="165"/>
        <v>0</v>
      </c>
      <c r="AS366" s="274"/>
      <c r="AT366" s="126"/>
      <c r="AU366" s="126"/>
      <c r="AV366" s="126"/>
      <c r="AW366" s="126"/>
      <c r="AX366" s="126"/>
      <c r="AY366" s="126"/>
      <c r="AZ366" s="275"/>
      <c r="BA366" s="274"/>
      <c r="BB366" s="274"/>
      <c r="BC366" s="274"/>
      <c r="BD366" s="222">
        <f t="shared" si="166"/>
        <v>0</v>
      </c>
      <c r="BE366" s="140">
        <f t="shared" si="167"/>
        <v>0</v>
      </c>
      <c r="BF366" s="132"/>
      <c r="BG366" s="140">
        <f t="shared" si="168"/>
        <v>0</v>
      </c>
      <c r="BH366" s="141"/>
      <c r="BI366" s="141"/>
      <c r="BJ366" s="141"/>
      <c r="BK366" s="141"/>
      <c r="BL366" s="141"/>
      <c r="BM366" s="141"/>
      <c r="BN366" s="141"/>
      <c r="BO366" s="141"/>
      <c r="BP366" s="309"/>
      <c r="BQ366" s="141"/>
      <c r="BR366" s="141"/>
      <c r="BS366" s="141"/>
      <c r="BT366" s="152"/>
      <c r="BU366" s="130">
        <f t="shared" si="169"/>
        <v>0</v>
      </c>
      <c r="BV366" s="132"/>
    </row>
    <row r="367" ht="14.25" customHeight="1">
      <c r="A367" s="132"/>
      <c r="B367" s="306">
        <v>46352</v>
      </c>
      <c r="C367" s="133"/>
      <c r="D367" s="136"/>
      <c r="E367" s="135"/>
      <c r="F367" s="135"/>
      <c r="G367" s="98">
        <f t="shared" si="161"/>
        <v>0</v>
      </c>
      <c r="H367" s="819"/>
      <c r="I367" s="746"/>
      <c r="J367" s="122"/>
      <c r="K367" s="122"/>
      <c r="L367" s="99"/>
      <c r="M367" s="99"/>
      <c r="N367" s="99"/>
      <c r="O367" s="99"/>
      <c r="P367" s="99"/>
      <c r="Q367" s="99"/>
      <c r="R367" s="641"/>
      <c r="S367" s="641"/>
      <c r="T367" s="99"/>
      <c r="U367" s="103">
        <f t="shared" si="170"/>
        <v>0</v>
      </c>
      <c r="V367" s="143"/>
      <c r="W367" s="143"/>
      <c r="X367" s="143"/>
      <c r="Y367" s="611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03">
        <f t="shared" si="163"/>
        <v>0</v>
      </c>
      <c r="AJ367" s="136"/>
      <c r="AK367" s="136"/>
      <c r="AL367" s="136"/>
      <c r="AM367" s="105">
        <f t="shared" si="164"/>
        <v>0</v>
      </c>
      <c r="AN367" s="143"/>
      <c r="AO367" s="143"/>
      <c r="AP367" s="143"/>
      <c r="AQ367" s="146"/>
      <c r="AR367" s="224">
        <f t="shared" si="165"/>
        <v>0</v>
      </c>
      <c r="AS367" s="274"/>
      <c r="AT367" s="126"/>
      <c r="AU367" s="126"/>
      <c r="AV367" s="126"/>
      <c r="AW367" s="126"/>
      <c r="AX367" s="126"/>
      <c r="AY367" s="126"/>
      <c r="AZ367" s="275"/>
      <c r="BA367" s="274"/>
      <c r="BB367" s="274"/>
      <c r="BC367" s="274"/>
      <c r="BD367" s="222">
        <f t="shared" si="166"/>
        <v>0</v>
      </c>
      <c r="BE367" s="140">
        <f t="shared" si="167"/>
        <v>0</v>
      </c>
      <c r="BF367" s="132"/>
      <c r="BG367" s="140">
        <f t="shared" si="168"/>
        <v>0</v>
      </c>
      <c r="BH367" s="141"/>
      <c r="BI367" s="141"/>
      <c r="BJ367" s="141"/>
      <c r="BK367" s="141"/>
      <c r="BL367" s="141"/>
      <c r="BM367" s="141"/>
      <c r="BN367" s="141"/>
      <c r="BO367" s="141"/>
      <c r="BP367" s="309"/>
      <c r="BQ367" s="141"/>
      <c r="BR367" s="141"/>
      <c r="BS367" s="141"/>
      <c r="BT367" s="152"/>
      <c r="BU367" s="130">
        <f t="shared" si="169"/>
        <v>0</v>
      </c>
      <c r="BV367" s="132"/>
    </row>
    <row r="368" ht="14.25" customHeight="1">
      <c r="A368" s="132"/>
      <c r="B368" s="306">
        <v>46353</v>
      </c>
      <c r="C368" s="133"/>
      <c r="D368" s="136"/>
      <c r="E368" s="135"/>
      <c r="F368" s="135"/>
      <c r="G368" s="98">
        <f t="shared" si="161"/>
        <v>0</v>
      </c>
      <c r="H368" s="819"/>
      <c r="I368" s="746"/>
      <c r="J368" s="122"/>
      <c r="K368" s="122"/>
      <c r="L368" s="99"/>
      <c r="M368" s="99"/>
      <c r="N368" s="99"/>
      <c r="O368" s="99"/>
      <c r="P368" s="99"/>
      <c r="Q368" s="99"/>
      <c r="R368" s="641"/>
      <c r="S368" s="641"/>
      <c r="T368" s="99"/>
      <c r="U368" s="103">
        <f t="shared" si="170"/>
        <v>0</v>
      </c>
      <c r="V368" s="143"/>
      <c r="W368" s="143"/>
      <c r="X368" s="143"/>
      <c r="Y368" s="611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03">
        <f t="shared" si="163"/>
        <v>0</v>
      </c>
      <c r="AJ368" s="136"/>
      <c r="AK368" s="136"/>
      <c r="AL368" s="136"/>
      <c r="AM368" s="105">
        <f t="shared" si="164"/>
        <v>0</v>
      </c>
      <c r="AN368" s="143"/>
      <c r="AO368" s="143"/>
      <c r="AP368" s="143"/>
      <c r="AQ368" s="146"/>
      <c r="AR368" s="224">
        <f t="shared" si="165"/>
        <v>0</v>
      </c>
      <c r="AS368" s="274"/>
      <c r="AT368" s="126"/>
      <c r="AU368" s="126"/>
      <c r="AV368" s="126"/>
      <c r="AW368" s="126"/>
      <c r="AX368" s="126"/>
      <c r="AY368" s="126"/>
      <c r="AZ368" s="275"/>
      <c r="BA368" s="274"/>
      <c r="BB368" s="274"/>
      <c r="BC368" s="274"/>
      <c r="BD368" s="222">
        <f t="shared" si="166"/>
        <v>0</v>
      </c>
      <c r="BE368" s="140">
        <f t="shared" si="167"/>
        <v>0</v>
      </c>
      <c r="BF368" s="132"/>
      <c r="BG368" s="140">
        <f t="shared" si="168"/>
        <v>0</v>
      </c>
      <c r="BH368" s="141"/>
      <c r="BI368" s="141"/>
      <c r="BJ368" s="141"/>
      <c r="BK368" s="141"/>
      <c r="BL368" s="141"/>
      <c r="BM368" s="141"/>
      <c r="BN368" s="141"/>
      <c r="BO368" s="141"/>
      <c r="BP368" s="309"/>
      <c r="BQ368" s="141"/>
      <c r="BR368" s="141"/>
      <c r="BS368" s="141"/>
      <c r="BT368" s="152"/>
      <c r="BU368" s="130">
        <f t="shared" si="169"/>
        <v>0</v>
      </c>
      <c r="BV368" s="132"/>
    </row>
    <row r="369" ht="14.25" customHeight="1">
      <c r="A369" s="132"/>
      <c r="B369" s="306">
        <v>46354</v>
      </c>
      <c r="C369" s="133"/>
      <c r="D369" s="136"/>
      <c r="E369" s="135"/>
      <c r="F369" s="135"/>
      <c r="G369" s="98">
        <f t="shared" si="161"/>
        <v>0</v>
      </c>
      <c r="H369" s="819"/>
      <c r="I369" s="746"/>
      <c r="J369" s="122"/>
      <c r="K369" s="122"/>
      <c r="L369" s="99"/>
      <c r="M369" s="99"/>
      <c r="N369" s="99"/>
      <c r="O369" s="99"/>
      <c r="P369" s="99"/>
      <c r="Q369" s="99"/>
      <c r="R369" s="641"/>
      <c r="S369" s="641"/>
      <c r="T369" s="99"/>
      <c r="U369" s="103">
        <f t="shared" si="170"/>
        <v>0</v>
      </c>
      <c r="V369" s="143"/>
      <c r="W369" s="143"/>
      <c r="X369" s="143"/>
      <c r="Y369" s="611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03">
        <f t="shared" si="163"/>
        <v>0</v>
      </c>
      <c r="AJ369" s="136"/>
      <c r="AK369" s="136"/>
      <c r="AL369" s="136"/>
      <c r="AM369" s="105">
        <f t="shared" si="164"/>
        <v>0</v>
      </c>
      <c r="AN369" s="143"/>
      <c r="AO369" s="143"/>
      <c r="AP369" s="143"/>
      <c r="AQ369" s="146"/>
      <c r="AR369" s="224">
        <f t="shared" si="165"/>
        <v>0</v>
      </c>
      <c r="AS369" s="274"/>
      <c r="AT369" s="126"/>
      <c r="AU369" s="126"/>
      <c r="AV369" s="126"/>
      <c r="AW369" s="126"/>
      <c r="AX369" s="126"/>
      <c r="AY369" s="126"/>
      <c r="AZ369" s="275"/>
      <c r="BA369" s="274"/>
      <c r="BB369" s="274"/>
      <c r="BC369" s="274"/>
      <c r="BD369" s="222">
        <f t="shared" si="166"/>
        <v>0</v>
      </c>
      <c r="BE369" s="140">
        <f t="shared" si="167"/>
        <v>0</v>
      </c>
      <c r="BF369" s="132"/>
      <c r="BG369" s="140">
        <f t="shared" si="168"/>
        <v>0</v>
      </c>
      <c r="BH369" s="141"/>
      <c r="BI369" s="141"/>
      <c r="BJ369" s="141"/>
      <c r="BK369" s="141"/>
      <c r="BL369" s="141"/>
      <c r="BM369" s="141"/>
      <c r="BN369" s="141"/>
      <c r="BO369" s="141"/>
      <c r="BP369" s="309"/>
      <c r="BQ369" s="141"/>
      <c r="BR369" s="141"/>
      <c r="BS369" s="141"/>
      <c r="BT369" s="152"/>
      <c r="BU369" s="130">
        <f t="shared" si="169"/>
        <v>0</v>
      </c>
      <c r="BV369" s="132"/>
    </row>
    <row r="370" ht="14.25" customHeight="1">
      <c r="A370" s="132"/>
      <c r="B370" s="306">
        <v>46355</v>
      </c>
      <c r="C370" s="133"/>
      <c r="D370" s="136"/>
      <c r="E370" s="135"/>
      <c r="F370" s="135"/>
      <c r="G370" s="98">
        <f t="shared" si="161"/>
        <v>0</v>
      </c>
      <c r="H370" s="819"/>
      <c r="I370" s="746"/>
      <c r="J370" s="122"/>
      <c r="K370" s="122"/>
      <c r="L370" s="99"/>
      <c r="M370" s="99"/>
      <c r="N370" s="99"/>
      <c r="O370" s="99"/>
      <c r="P370" s="99"/>
      <c r="Q370" s="99"/>
      <c r="R370" s="641"/>
      <c r="S370" s="641"/>
      <c r="T370" s="99"/>
      <c r="U370" s="103">
        <f t="shared" si="170"/>
        <v>0</v>
      </c>
      <c r="V370" s="143"/>
      <c r="W370" s="143"/>
      <c r="X370" s="143"/>
      <c r="Y370" s="611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03">
        <f t="shared" si="163"/>
        <v>0</v>
      </c>
      <c r="AJ370" s="136"/>
      <c r="AK370" s="136"/>
      <c r="AL370" s="136"/>
      <c r="AM370" s="105">
        <f t="shared" si="164"/>
        <v>0</v>
      </c>
      <c r="AN370" s="143"/>
      <c r="AO370" s="143"/>
      <c r="AP370" s="143"/>
      <c r="AQ370" s="146"/>
      <c r="AR370" s="224">
        <f t="shared" si="165"/>
        <v>0</v>
      </c>
      <c r="AS370" s="274"/>
      <c r="AT370" s="126"/>
      <c r="AU370" s="126"/>
      <c r="AV370" s="126"/>
      <c r="AW370" s="126"/>
      <c r="AX370" s="126"/>
      <c r="AY370" s="126"/>
      <c r="AZ370" s="275"/>
      <c r="BA370" s="274"/>
      <c r="BB370" s="274"/>
      <c r="BC370" s="274"/>
      <c r="BD370" s="222">
        <f t="shared" si="166"/>
        <v>0</v>
      </c>
      <c r="BE370" s="140">
        <f t="shared" si="167"/>
        <v>0</v>
      </c>
      <c r="BF370" s="132"/>
      <c r="BG370" s="140">
        <f t="shared" si="168"/>
        <v>0</v>
      </c>
      <c r="BH370" s="141"/>
      <c r="BI370" s="141"/>
      <c r="BJ370" s="141"/>
      <c r="BK370" s="141"/>
      <c r="BL370" s="141"/>
      <c r="BM370" s="141"/>
      <c r="BN370" s="141"/>
      <c r="BO370" s="141"/>
      <c r="BP370" s="309"/>
      <c r="BQ370" s="141"/>
      <c r="BR370" s="141"/>
      <c r="BS370" s="141"/>
      <c r="BT370" s="152"/>
      <c r="BU370" s="130">
        <f t="shared" si="169"/>
        <v>0</v>
      </c>
      <c r="BV370" s="132"/>
    </row>
    <row r="371" ht="14.25" customHeight="1">
      <c r="A371" s="132"/>
      <c r="B371" s="306">
        <v>46356</v>
      </c>
      <c r="C371" s="133"/>
      <c r="D371" s="136"/>
      <c r="E371" s="135"/>
      <c r="F371" s="135"/>
      <c r="G371" s="98">
        <f t="shared" si="161"/>
        <v>0</v>
      </c>
      <c r="H371" s="833"/>
      <c r="I371" s="746"/>
      <c r="J371" s="122"/>
      <c r="K371" s="122"/>
      <c r="L371" s="99"/>
      <c r="M371" s="99"/>
      <c r="N371" s="99"/>
      <c r="O371" s="99"/>
      <c r="P371" s="99"/>
      <c r="Q371" s="99"/>
      <c r="R371" s="641"/>
      <c r="S371" s="641"/>
      <c r="T371" s="99"/>
      <c r="U371" s="103">
        <f t="shared" si="170"/>
        <v>0</v>
      </c>
      <c r="V371" s="143"/>
      <c r="W371" s="143"/>
      <c r="X371" s="143"/>
      <c r="Y371" s="611"/>
      <c r="Z371" s="143"/>
      <c r="AA371" s="143"/>
      <c r="AB371" s="143"/>
      <c r="AC371" s="143"/>
      <c r="AD371" s="143"/>
      <c r="AE371" s="143"/>
      <c r="AF371" s="143"/>
      <c r="AG371" s="143"/>
      <c r="AH371" s="143"/>
      <c r="AI371" s="103">
        <f t="shared" si="163"/>
        <v>0</v>
      </c>
      <c r="AJ371" s="136"/>
      <c r="AK371" s="136"/>
      <c r="AL371" s="136"/>
      <c r="AM371" s="105">
        <f t="shared" si="164"/>
        <v>0</v>
      </c>
      <c r="AN371" s="143"/>
      <c r="AO371" s="143"/>
      <c r="AP371" s="143"/>
      <c r="AQ371" s="146"/>
      <c r="AR371" s="224">
        <f t="shared" si="165"/>
        <v>0</v>
      </c>
      <c r="AS371" s="274"/>
      <c r="AT371" s="126"/>
      <c r="AU371" s="126"/>
      <c r="AV371" s="126"/>
      <c r="AW371" s="126"/>
      <c r="AX371" s="126"/>
      <c r="AY371" s="126"/>
      <c r="AZ371" s="275"/>
      <c r="BA371" s="274"/>
      <c r="BB371" s="274"/>
      <c r="BC371" s="274"/>
      <c r="BD371" s="222">
        <f t="shared" si="166"/>
        <v>0</v>
      </c>
      <c r="BE371" s="140">
        <f t="shared" si="167"/>
        <v>0</v>
      </c>
      <c r="BF371" s="132"/>
      <c r="BG371" s="140">
        <f t="shared" si="168"/>
        <v>0</v>
      </c>
      <c r="BH371" s="141"/>
      <c r="BI371" s="141"/>
      <c r="BJ371" s="141"/>
      <c r="BK371" s="141"/>
      <c r="BL371" s="141"/>
      <c r="BM371" s="141"/>
      <c r="BN371" s="141"/>
      <c r="BO371" s="141"/>
      <c r="BP371" s="309"/>
      <c r="BQ371" s="163"/>
      <c r="BR371" s="163"/>
      <c r="BS371" s="163"/>
      <c r="BT371" s="152"/>
      <c r="BU371" s="130">
        <f t="shared" si="169"/>
        <v>0</v>
      </c>
      <c r="BV371" s="132"/>
    </row>
    <row r="372" ht="14.25" customHeight="1">
      <c r="A372" s="3"/>
      <c r="B372" s="2" t="s">
        <v>85</v>
      </c>
      <c r="C372" s="755">
        <f ref="C372:AK372" t="shared" si="171">SUM(C342:C371)</f>
        <v>0</v>
      </c>
      <c r="D372" s="755">
        <f t="shared" si="171"/>
        <v>0</v>
      </c>
      <c r="E372" s="755">
        <f t="shared" si="171"/>
        <v>0</v>
      </c>
      <c r="F372" s="755">
        <f t="shared" si="171"/>
        <v>0</v>
      </c>
      <c r="G372" s="755">
        <f t="shared" si="171"/>
        <v>0</v>
      </c>
      <c r="H372" s="757">
        <f t="shared" si="171"/>
        <v>0</v>
      </c>
      <c r="I372" s="755">
        <f t="shared" si="171"/>
        <v>0</v>
      </c>
      <c r="J372" s="755">
        <f t="shared" si="171"/>
        <v>0</v>
      </c>
      <c r="K372" s="755">
        <f t="shared" si="171"/>
        <v>0</v>
      </c>
      <c r="L372" s="755">
        <f t="shared" si="171"/>
        <v>0</v>
      </c>
      <c r="M372" s="755">
        <f t="shared" si="171"/>
        <v>0</v>
      </c>
      <c r="N372" s="755">
        <f t="shared" si="171"/>
        <v>0</v>
      </c>
      <c r="O372" s="755">
        <f t="shared" si="171"/>
        <v>0</v>
      </c>
      <c r="P372" s="755">
        <f t="shared" si="171"/>
        <v>0</v>
      </c>
      <c r="Q372" s="755">
        <f t="shared" si="171"/>
        <v>0</v>
      </c>
      <c r="R372" s="755">
        <f t="shared" si="171"/>
        <v>0</v>
      </c>
      <c r="S372" s="755">
        <f t="shared" si="171"/>
        <v>0</v>
      </c>
      <c r="T372" s="755">
        <f t="shared" si="171"/>
        <v>0</v>
      </c>
      <c r="U372" s="755">
        <f t="shared" si="171"/>
        <v>0</v>
      </c>
      <c r="V372" s="755">
        <f t="shared" si="171"/>
        <v>0</v>
      </c>
      <c r="W372" s="755">
        <f t="shared" si="171"/>
        <v>0</v>
      </c>
      <c r="X372" s="755">
        <f t="shared" si="171"/>
        <v>0</v>
      </c>
      <c r="Y372" s="755">
        <f t="shared" si="171"/>
        <v>0</v>
      </c>
      <c r="Z372" s="755">
        <f t="shared" si="171"/>
        <v>0</v>
      </c>
      <c r="AA372" s="755">
        <f t="shared" si="171"/>
        <v>0</v>
      </c>
      <c r="AB372" s="755">
        <f t="shared" si="171"/>
        <v>0</v>
      </c>
      <c r="AC372" s="755">
        <f t="shared" si="171"/>
        <v>0</v>
      </c>
      <c r="AD372" s="755">
        <f t="shared" si="171"/>
        <v>0</v>
      </c>
      <c r="AE372" s="755">
        <f t="shared" si="171"/>
        <v>0</v>
      </c>
      <c r="AF372" s="755">
        <f t="shared" si="171"/>
        <v>0</v>
      </c>
      <c r="AG372" s="755">
        <f t="shared" si="171"/>
        <v>0</v>
      </c>
      <c r="AH372" s="755">
        <f t="shared" si="171"/>
        <v>0</v>
      </c>
      <c r="AI372" s="755">
        <f t="shared" si="171"/>
        <v>0</v>
      </c>
      <c r="AJ372" s="755">
        <f t="shared" si="171"/>
        <v>0</v>
      </c>
      <c r="AK372" s="755">
        <f t="shared" si="171"/>
        <v>0</v>
      </c>
      <c r="AL372" s="755"/>
      <c r="AM372" s="755">
        <f ref="AM372:BE372" t="shared" si="172">SUM(AM342:AM371)</f>
        <v>0</v>
      </c>
      <c r="AN372" s="755">
        <f t="shared" si="172"/>
        <v>0</v>
      </c>
      <c r="AO372" s="755">
        <f t="shared" si="172"/>
        <v>0</v>
      </c>
      <c r="AP372" s="755">
        <f t="shared" si="172"/>
        <v>0</v>
      </c>
      <c r="AQ372" s="755">
        <f t="shared" si="172"/>
        <v>0</v>
      </c>
      <c r="AR372" s="858">
        <f t="shared" si="172"/>
        <v>0</v>
      </c>
      <c r="AS372" s="858">
        <f t="shared" si="172"/>
        <v>0</v>
      </c>
      <c r="AT372" s="858">
        <f t="shared" si="172"/>
        <v>0</v>
      </c>
      <c r="AU372" s="858">
        <f t="shared" si="172"/>
        <v>0</v>
      </c>
      <c r="AV372" s="858">
        <f t="shared" si="172"/>
        <v>0</v>
      </c>
      <c r="AW372" s="858">
        <f t="shared" si="172"/>
        <v>0</v>
      </c>
      <c r="AX372" s="858">
        <f t="shared" si="172"/>
        <v>0</v>
      </c>
      <c r="AY372" s="858">
        <f t="shared" si="172"/>
        <v>0</v>
      </c>
      <c r="AZ372" s="858">
        <f t="shared" si="172"/>
        <v>0</v>
      </c>
      <c r="BA372" s="858">
        <f t="shared" si="172"/>
        <v>0</v>
      </c>
      <c r="BB372" s="858">
        <f t="shared" si="172"/>
        <v>0</v>
      </c>
      <c r="BC372" s="858">
        <f t="shared" si="172"/>
        <v>0</v>
      </c>
      <c r="BD372" s="755">
        <f t="shared" si="172"/>
        <v>0</v>
      </c>
      <c r="BE372" s="771">
        <f t="shared" si="172"/>
        <v>0</v>
      </c>
      <c r="BF372" s="235"/>
      <c r="BG372" s="755">
        <f>SUM(BG342:BG371)</f>
        <v>0</v>
      </c>
      <c r="BH372" s="755"/>
      <c r="BI372" s="755"/>
      <c r="BJ372" s="755"/>
      <c r="BK372" s="755"/>
      <c r="BL372" s="755"/>
      <c r="BM372" s="755"/>
      <c r="BN372" s="755"/>
      <c r="BO372" s="755"/>
      <c r="BP372" s="755"/>
      <c r="BQ372" s="757">
        <f ref="BQ372:BS372" t="shared" si="173">SUM(BQ342:BQ371)</f>
        <v>0</v>
      </c>
      <c r="BR372" s="757">
        <f t="shared" si="173"/>
        <v>0</v>
      </c>
      <c r="BS372" s="757">
        <f t="shared" si="173"/>
        <v>0</v>
      </c>
      <c r="BT372" s="755"/>
      <c r="BU372" s="771">
        <f>SUM(BU342:BU371)</f>
        <v>0</v>
      </c>
      <c r="BV372" s="235"/>
    </row>
    <row r="373" ht="14.25" customHeight="1">
      <c r="A373" s="1"/>
      <c r="B373" s="2"/>
      <c r="C373" s="3"/>
      <c r="D373" s="3"/>
      <c r="E373" s="3"/>
      <c r="F373" s="3"/>
      <c r="G373" s="4"/>
      <c r="H373" s="4"/>
      <c r="I373" s="1"/>
      <c r="J373" s="3"/>
      <c r="K373" s="3"/>
      <c r="L373" s="3"/>
      <c r="M373" s="3"/>
      <c r="N373" s="3"/>
      <c r="O373" s="3"/>
      <c r="P373" s="3"/>
      <c r="Q373" s="3"/>
      <c r="R373" s="1"/>
      <c r="S373" s="1"/>
      <c r="T373" s="3"/>
      <c r="U373" s="3"/>
      <c r="V373" s="3"/>
      <c r="W373" s="3"/>
      <c r="X373" s="3"/>
      <c r="Y373" s="1"/>
      <c r="Z373" s="3"/>
      <c r="AA373" s="3"/>
      <c r="AB373" s="3"/>
      <c r="AC373" s="3"/>
      <c r="AD373" s="3"/>
      <c r="AE373" s="3"/>
      <c r="AF373" s="3"/>
      <c r="AG373" s="3"/>
      <c r="AH373" s="3"/>
      <c r="AI373" s="96"/>
      <c r="AJ373" s="96"/>
      <c r="AK373" s="3"/>
      <c r="AL373" s="3"/>
      <c r="AM373" s="4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132"/>
      <c r="BD373" s="4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</row>
    <row r="374" ht="14.25" customHeight="1">
      <c r="A374" s="1"/>
      <c r="B374" s="2"/>
      <c r="C374" s="3"/>
      <c r="D374" s="3"/>
      <c r="E374" s="3"/>
      <c r="F374" s="3"/>
      <c r="G374" s="4"/>
      <c r="H374" s="4"/>
      <c r="I374" s="778"/>
      <c r="J374" s="3"/>
      <c r="K374" s="3"/>
      <c r="L374" s="3"/>
      <c r="M374" s="3"/>
      <c r="N374" s="3"/>
      <c r="O374" s="3"/>
      <c r="P374" s="3"/>
      <c r="Q374" s="3"/>
      <c r="R374" s="1"/>
      <c r="S374" s="1"/>
      <c r="T374" s="3"/>
      <c r="U374" s="3"/>
      <c r="V374" s="3"/>
      <c r="W374" s="3"/>
      <c r="X374" s="3"/>
      <c r="Y374" s="1"/>
      <c r="Z374" s="3"/>
      <c r="AA374" s="3"/>
      <c r="AB374" s="3"/>
      <c r="AC374" s="3"/>
      <c r="AD374" s="3"/>
      <c r="AE374" s="3"/>
      <c r="AF374" s="3"/>
      <c r="AG374" s="3"/>
      <c r="AH374" s="3"/>
      <c r="AI374" s="176"/>
      <c r="AJ374" s="176"/>
      <c r="AK374" s="3"/>
      <c r="AL374" s="3"/>
      <c r="AM374" s="4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132"/>
      <c r="BD374" s="4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</row>
    <row r="375" ht="14.25" customHeight="1">
      <c r="A375" s="3"/>
      <c r="B375" s="215">
        <v>46357</v>
      </c>
      <c r="C375" s="94"/>
      <c r="D375" s="104"/>
      <c r="E375" s="97"/>
      <c r="F375" s="97"/>
      <c r="G375" s="816">
        <f ref="G375:G405" t="shared" si="174">+C375+D375+E375+F375</f>
        <v>0</v>
      </c>
      <c r="H375" s="817"/>
      <c r="I375" s="875"/>
      <c r="J375" s="101"/>
      <c r="K375" s="100"/>
      <c r="L375" s="101"/>
      <c r="M375" s="101"/>
      <c r="N375" s="101"/>
      <c r="O375" s="101"/>
      <c r="P375" s="101"/>
      <c r="Q375" s="101"/>
      <c r="R375" s="638"/>
      <c r="S375" s="101"/>
      <c r="T375" s="101"/>
      <c r="U375" s="876">
        <f ref="U375:U405" t="shared" si="175">SUM(I375:T375)</f>
        <v>0</v>
      </c>
      <c r="V375" s="186"/>
      <c r="W375" s="186"/>
      <c r="X375" s="186"/>
      <c r="Y375" s="619"/>
      <c r="Z375" s="186"/>
      <c r="AA375" s="186"/>
      <c r="AB375" s="186"/>
      <c r="AC375" s="186"/>
      <c r="AD375" s="186"/>
      <c r="AE375" s="186"/>
      <c r="AF375" s="186"/>
      <c r="AG375" s="186"/>
      <c r="AH375" s="186"/>
      <c r="AI375" s="103">
        <f ref="AI375:AI405" t="shared" si="176">SUM(V375:AH375)</f>
        <v>0</v>
      </c>
      <c r="AJ375" s="104"/>
      <c r="AK375" s="104"/>
      <c r="AL375" s="104"/>
      <c r="AM375" s="191">
        <f ref="AM375:AM405" t="shared" si="177">SUM(AJ375:AL375)</f>
        <v>0</v>
      </c>
      <c r="AN375" s="186"/>
      <c r="AO375" s="186"/>
      <c r="AP375" s="186"/>
      <c r="AQ375" s="193"/>
      <c r="AR375" s="266">
        <f ref="AR375:AR405" t="shared" si="178">+G375-U375-AI375-AM375-AN375-AO375-AP375-AQ375</f>
        <v>0</v>
      </c>
      <c r="AS375" s="196"/>
      <c r="AT375" s="196"/>
      <c r="AU375" s="196"/>
      <c r="AV375" s="196"/>
      <c r="AW375" s="631"/>
      <c r="AX375" s="196"/>
      <c r="AY375" s="196"/>
      <c r="AZ375" s="490"/>
      <c r="BA375" s="490"/>
      <c r="BB375" s="490"/>
      <c r="BC375" s="490"/>
      <c r="BD375" s="272">
        <f ref="BD375:BD405" t="shared" si="179">SUM(AS375:BC375)-BB375</f>
        <v>0</v>
      </c>
      <c r="BE375" s="114">
        <f ref="BE375:BE405" t="shared" si="180">+AR375-BD375</f>
        <v>0</v>
      </c>
      <c r="BF375" s="3"/>
      <c r="BG375" s="114">
        <f ref="BG375:BG405" t="shared" si="181">SUM(BH375:BT375)</f>
        <v>0</v>
      </c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15"/>
      <c r="BU375" s="116">
        <f ref="BU375:BU405" t="shared" si="182">+BE375-BG375</f>
        <v>0</v>
      </c>
      <c r="BV375" s="3"/>
    </row>
    <row r="376" ht="14.25" customHeight="1">
      <c r="A376" s="3"/>
      <c r="B376" s="215">
        <v>46358</v>
      </c>
      <c r="C376" s="118"/>
      <c r="D376" s="123"/>
      <c r="E376" s="120"/>
      <c r="F376" s="120"/>
      <c r="G376" s="98">
        <f t="shared" si="174"/>
        <v>0</v>
      </c>
      <c r="H376" s="819"/>
      <c r="I376" s="641"/>
      <c r="J376" s="99"/>
      <c r="K376" s="122"/>
      <c r="L376" s="99"/>
      <c r="M376" s="99"/>
      <c r="N376" s="99"/>
      <c r="O376" s="99"/>
      <c r="P376" s="99"/>
      <c r="Q376" s="99"/>
      <c r="R376" s="641"/>
      <c r="S376" s="99"/>
      <c r="T376" s="99"/>
      <c r="U376" s="877">
        <f t="shared" si="175"/>
        <v>0</v>
      </c>
      <c r="V376" s="143"/>
      <c r="W376" s="143"/>
      <c r="X376" s="143"/>
      <c r="Y376" s="611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03">
        <f t="shared" si="176"/>
        <v>0</v>
      </c>
      <c r="AJ376" s="123"/>
      <c r="AK376" s="123"/>
      <c r="AL376" s="123"/>
      <c r="AM376" s="105">
        <f t="shared" si="177"/>
        <v>0</v>
      </c>
      <c r="AN376" s="143"/>
      <c r="AO376" s="143"/>
      <c r="AP376" s="143"/>
      <c r="AQ376" s="146"/>
      <c r="AR376" s="224">
        <f t="shared" si="178"/>
        <v>0</v>
      </c>
      <c r="AS376" s="141"/>
      <c r="AT376" s="141"/>
      <c r="AU376" s="141"/>
      <c r="AV376" s="141"/>
      <c r="AW376" s="141"/>
      <c r="AX376" s="141"/>
      <c r="AY376" s="141"/>
      <c r="AZ376" s="152"/>
      <c r="BA376" s="152"/>
      <c r="BB376" s="152"/>
      <c r="BC376" s="152"/>
      <c r="BD376" s="222">
        <f t="shared" si="179"/>
        <v>0</v>
      </c>
      <c r="BE376" s="113">
        <f t="shared" si="180"/>
        <v>0</v>
      </c>
      <c r="BF376" s="3"/>
      <c r="BG376" s="113">
        <f t="shared" si="181"/>
        <v>0</v>
      </c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30">
        <f t="shared" si="182"/>
        <v>0</v>
      </c>
      <c r="BV376" s="3"/>
    </row>
    <row r="377" ht="14.25" customHeight="1">
      <c r="A377" s="132"/>
      <c r="B377" s="215">
        <v>46359</v>
      </c>
      <c r="C377" s="133"/>
      <c r="D377" s="136"/>
      <c r="E377" s="135"/>
      <c r="F377" s="135"/>
      <c r="G377" s="98">
        <f t="shared" si="174"/>
        <v>0</v>
      </c>
      <c r="H377" s="819"/>
      <c r="I377" s="641"/>
      <c r="J377" s="99"/>
      <c r="K377" s="122"/>
      <c r="L377" s="99"/>
      <c r="M377" s="99"/>
      <c r="N377" s="99"/>
      <c r="O377" s="99"/>
      <c r="P377" s="99"/>
      <c r="Q377" s="99"/>
      <c r="R377" s="641"/>
      <c r="S377" s="99"/>
      <c r="T377" s="99"/>
      <c r="U377" s="877">
        <f t="shared" si="175"/>
        <v>0</v>
      </c>
      <c r="V377" s="143"/>
      <c r="W377" s="143"/>
      <c r="X377" s="143"/>
      <c r="Y377" s="611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03">
        <f t="shared" si="176"/>
        <v>0</v>
      </c>
      <c r="AJ377" s="136"/>
      <c r="AK377" s="136"/>
      <c r="AL377" s="136"/>
      <c r="AM377" s="105">
        <f t="shared" si="177"/>
        <v>0</v>
      </c>
      <c r="AN377" s="143"/>
      <c r="AO377" s="143"/>
      <c r="AP377" s="143"/>
      <c r="AQ377" s="146"/>
      <c r="AR377" s="224">
        <f t="shared" si="178"/>
        <v>0</v>
      </c>
      <c r="AS377" s="141"/>
      <c r="AT377" s="141"/>
      <c r="AU377" s="141"/>
      <c r="AV377" s="141"/>
      <c r="AW377" s="141"/>
      <c r="AX377" s="141"/>
      <c r="AY377" s="141"/>
      <c r="AZ377" s="152"/>
      <c r="BA377" s="152"/>
      <c r="BB377" s="152"/>
      <c r="BC377" s="152"/>
      <c r="BD377" s="222">
        <f t="shared" si="179"/>
        <v>0</v>
      </c>
      <c r="BE377" s="140">
        <f t="shared" si="180"/>
        <v>0</v>
      </c>
      <c r="BF377" s="132"/>
      <c r="BG377" s="140">
        <f t="shared" si="181"/>
        <v>0</v>
      </c>
      <c r="BH377" s="141"/>
      <c r="BI377" s="141"/>
      <c r="BJ377" s="141"/>
      <c r="BK377" s="141"/>
      <c r="BL377" s="141"/>
      <c r="BM377" s="141"/>
      <c r="BN377" s="141"/>
      <c r="BO377" s="141"/>
      <c r="BP377" s="141"/>
      <c r="BQ377" s="141"/>
      <c r="BR377" s="141"/>
      <c r="BS377" s="141"/>
      <c r="BT377" s="141"/>
      <c r="BU377" s="130">
        <f t="shared" si="182"/>
        <v>0</v>
      </c>
      <c r="BV377" s="132"/>
    </row>
    <row r="378" ht="14.25" customHeight="1">
      <c r="A378" s="132"/>
      <c r="B378" s="215">
        <v>46360</v>
      </c>
      <c r="C378" s="133"/>
      <c r="D378" s="136"/>
      <c r="E378" s="135"/>
      <c r="F378" s="135"/>
      <c r="G378" s="98">
        <f t="shared" si="174"/>
        <v>0</v>
      </c>
      <c r="H378" s="819"/>
      <c r="I378" s="641"/>
      <c r="J378" s="99"/>
      <c r="K378" s="122"/>
      <c r="L378" s="99"/>
      <c r="M378" s="99"/>
      <c r="N378" s="99"/>
      <c r="O378" s="99"/>
      <c r="P378" s="99"/>
      <c r="Q378" s="99"/>
      <c r="R378" s="641"/>
      <c r="S378" s="641"/>
      <c r="T378" s="99"/>
      <c r="U378" s="877">
        <f t="shared" si="175"/>
        <v>0</v>
      </c>
      <c r="V378" s="143"/>
      <c r="W378" s="143"/>
      <c r="X378" s="143"/>
      <c r="Y378" s="611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03">
        <f t="shared" si="176"/>
        <v>0</v>
      </c>
      <c r="AJ378" s="136"/>
      <c r="AK378" s="136"/>
      <c r="AL378" s="136"/>
      <c r="AM378" s="105">
        <f t="shared" si="177"/>
        <v>0</v>
      </c>
      <c r="AN378" s="143"/>
      <c r="AO378" s="143"/>
      <c r="AP378" s="143"/>
      <c r="AQ378" s="146"/>
      <c r="AR378" s="224">
        <f t="shared" si="178"/>
        <v>0</v>
      </c>
      <c r="AS378" s="141"/>
      <c r="AT378" s="141"/>
      <c r="AU378" s="141"/>
      <c r="AV378" s="141"/>
      <c r="AW378" s="141"/>
      <c r="AX378" s="141"/>
      <c r="AY378" s="141"/>
      <c r="AZ378" s="152"/>
      <c r="BA378" s="152"/>
      <c r="BB378" s="152"/>
      <c r="BC378" s="152"/>
      <c r="BD378" s="222">
        <f t="shared" si="179"/>
        <v>0</v>
      </c>
      <c r="BE378" s="140">
        <f t="shared" si="180"/>
        <v>0</v>
      </c>
      <c r="BF378" s="132"/>
      <c r="BG378" s="140">
        <f t="shared" si="181"/>
        <v>0</v>
      </c>
      <c r="BH378" s="141"/>
      <c r="BI378" s="141"/>
      <c r="BJ378" s="141"/>
      <c r="BK378" s="141"/>
      <c r="BL378" s="141"/>
      <c r="BM378" s="141"/>
      <c r="BN378" s="141"/>
      <c r="BO378" s="141"/>
      <c r="BP378" s="141"/>
      <c r="BQ378" s="141"/>
      <c r="BR378" s="141"/>
      <c r="BS378" s="141"/>
      <c r="BT378" s="141"/>
      <c r="BU378" s="130">
        <f t="shared" si="182"/>
        <v>0</v>
      </c>
      <c r="BV378" s="132"/>
    </row>
    <row r="379" ht="15.75" customHeight="1">
      <c r="A379" s="132"/>
      <c r="B379" s="215">
        <v>46361</v>
      </c>
      <c r="C379" s="133"/>
      <c r="D379" s="136"/>
      <c r="E379" s="135"/>
      <c r="F379" s="135"/>
      <c r="G379" s="98">
        <f t="shared" si="174"/>
        <v>0</v>
      </c>
      <c r="H379" s="819"/>
      <c r="I379" s="641"/>
      <c r="J379" s="99"/>
      <c r="K379" s="122"/>
      <c r="L379" s="99"/>
      <c r="M379" s="99"/>
      <c r="N379" s="99"/>
      <c r="O379" s="99"/>
      <c r="P379" s="99"/>
      <c r="Q379" s="99"/>
      <c r="R379" s="641"/>
      <c r="S379" s="641"/>
      <c r="T379" s="99"/>
      <c r="U379" s="877">
        <f t="shared" si="175"/>
        <v>0</v>
      </c>
      <c r="V379" s="143"/>
      <c r="W379" s="143"/>
      <c r="X379" s="143"/>
      <c r="Y379" s="611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03">
        <f t="shared" si="176"/>
        <v>0</v>
      </c>
      <c r="AJ379" s="136"/>
      <c r="AK379" s="136"/>
      <c r="AL379" s="136"/>
      <c r="AM379" s="105">
        <f t="shared" si="177"/>
        <v>0</v>
      </c>
      <c r="AN379" s="143"/>
      <c r="AO379" s="143"/>
      <c r="AP379" s="143"/>
      <c r="AQ379" s="146"/>
      <c r="AR379" s="224">
        <f t="shared" si="178"/>
        <v>0</v>
      </c>
      <c r="AS379" s="141"/>
      <c r="AT379" s="141"/>
      <c r="AU379" s="141"/>
      <c r="AV379" s="141"/>
      <c r="AW379" s="141"/>
      <c r="AX379" s="141"/>
      <c r="AY379" s="141"/>
      <c r="AZ379" s="152"/>
      <c r="BA379" s="152"/>
      <c r="BB379" s="152"/>
      <c r="BC379" s="152"/>
      <c r="BD379" s="222">
        <f t="shared" si="179"/>
        <v>0</v>
      </c>
      <c r="BE379" s="140">
        <f t="shared" si="180"/>
        <v>0</v>
      </c>
      <c r="BF379" s="132"/>
      <c r="BG379" s="140">
        <f t="shared" si="181"/>
        <v>0</v>
      </c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30">
        <f t="shared" si="182"/>
        <v>0</v>
      </c>
      <c r="BV379" s="132"/>
    </row>
    <row r="380" ht="14.25" customHeight="1">
      <c r="A380" s="132"/>
      <c r="B380" s="215">
        <v>46362</v>
      </c>
      <c r="C380" s="133"/>
      <c r="D380" s="136"/>
      <c r="E380" s="135"/>
      <c r="F380" s="135"/>
      <c r="G380" s="98">
        <f t="shared" si="174"/>
        <v>0</v>
      </c>
      <c r="H380" s="819"/>
      <c r="I380" s="641"/>
      <c r="J380" s="99"/>
      <c r="K380" s="122"/>
      <c r="L380" s="99"/>
      <c r="M380" s="99"/>
      <c r="N380" s="99"/>
      <c r="O380" s="99"/>
      <c r="P380" s="99"/>
      <c r="Q380" s="99"/>
      <c r="R380" s="641"/>
      <c r="S380" s="641"/>
      <c r="T380" s="99"/>
      <c r="U380" s="877">
        <f t="shared" si="175"/>
        <v>0</v>
      </c>
      <c r="V380" s="143"/>
      <c r="W380" s="143"/>
      <c r="X380" s="143"/>
      <c r="Y380" s="611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03">
        <f t="shared" si="176"/>
        <v>0</v>
      </c>
      <c r="AJ380" s="136"/>
      <c r="AK380" s="136"/>
      <c r="AL380" s="136"/>
      <c r="AM380" s="105">
        <f t="shared" si="177"/>
        <v>0</v>
      </c>
      <c r="AN380" s="143"/>
      <c r="AO380" s="143"/>
      <c r="AP380" s="143"/>
      <c r="AQ380" s="146"/>
      <c r="AR380" s="224">
        <f t="shared" si="178"/>
        <v>0</v>
      </c>
      <c r="AS380" s="141"/>
      <c r="AT380" s="878"/>
      <c r="AU380" s="141"/>
      <c r="AV380" s="141"/>
      <c r="AW380" s="141"/>
      <c r="AX380" s="141"/>
      <c r="AY380" s="141"/>
      <c r="AZ380" s="152"/>
      <c r="BA380" s="152"/>
      <c r="BB380" s="152"/>
      <c r="BC380" s="152"/>
      <c r="BD380" s="222">
        <f t="shared" si="179"/>
        <v>0</v>
      </c>
      <c r="BE380" s="140">
        <f t="shared" si="180"/>
        <v>0</v>
      </c>
      <c r="BF380" s="132"/>
      <c r="BG380" s="140">
        <f t="shared" si="181"/>
        <v>0</v>
      </c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30">
        <f t="shared" si="182"/>
        <v>0</v>
      </c>
      <c r="BV380" s="132"/>
    </row>
    <row r="381" ht="14.25" customHeight="1">
      <c r="A381" s="132"/>
      <c r="B381" s="215">
        <v>46363</v>
      </c>
      <c r="C381" s="133"/>
      <c r="D381" s="136"/>
      <c r="E381" s="135"/>
      <c r="F381" s="135"/>
      <c r="G381" s="98">
        <f t="shared" si="174"/>
        <v>0</v>
      </c>
      <c r="H381" s="819"/>
      <c r="I381" s="641"/>
      <c r="J381" s="99"/>
      <c r="K381" s="122"/>
      <c r="L381" s="99"/>
      <c r="M381" s="99"/>
      <c r="N381" s="99"/>
      <c r="O381" s="99"/>
      <c r="P381" s="99"/>
      <c r="Q381" s="99"/>
      <c r="R381" s="641"/>
      <c r="S381" s="641"/>
      <c r="T381" s="99"/>
      <c r="U381" s="877">
        <f t="shared" si="175"/>
        <v>0</v>
      </c>
      <c r="V381" s="143"/>
      <c r="W381" s="143"/>
      <c r="X381" s="143"/>
      <c r="Y381" s="611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03">
        <f t="shared" si="176"/>
        <v>0</v>
      </c>
      <c r="AJ381" s="136"/>
      <c r="AK381" s="136"/>
      <c r="AL381" s="136"/>
      <c r="AM381" s="105">
        <f t="shared" si="177"/>
        <v>0</v>
      </c>
      <c r="AN381" s="143"/>
      <c r="AO381" s="143"/>
      <c r="AP381" s="143"/>
      <c r="AQ381" s="146"/>
      <c r="AR381" s="224">
        <f t="shared" si="178"/>
        <v>0</v>
      </c>
      <c r="AS381" s="141"/>
      <c r="AT381" s="141"/>
      <c r="AU381" s="141"/>
      <c r="AV381" s="141"/>
      <c r="AW381" s="141"/>
      <c r="AX381" s="141"/>
      <c r="AY381" s="141"/>
      <c r="AZ381" s="152"/>
      <c r="BA381" s="152"/>
      <c r="BB381" s="152"/>
      <c r="BC381" s="152"/>
      <c r="BD381" s="222">
        <f t="shared" si="179"/>
        <v>0</v>
      </c>
      <c r="BE381" s="140">
        <f t="shared" si="180"/>
        <v>0</v>
      </c>
      <c r="BF381" s="132"/>
      <c r="BG381" s="140">
        <f t="shared" si="181"/>
        <v>0</v>
      </c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30">
        <f t="shared" si="182"/>
        <v>0</v>
      </c>
      <c r="BV381" s="132"/>
    </row>
    <row r="382" ht="14.25" customHeight="1">
      <c r="A382" s="132"/>
      <c r="B382" s="215">
        <v>46364</v>
      </c>
      <c r="C382" s="133"/>
      <c r="D382" s="136"/>
      <c r="E382" s="135"/>
      <c r="F382" s="135"/>
      <c r="G382" s="98">
        <f t="shared" si="174"/>
        <v>0</v>
      </c>
      <c r="H382" s="819"/>
      <c r="I382" s="641"/>
      <c r="J382" s="99"/>
      <c r="K382" s="122"/>
      <c r="L382" s="99"/>
      <c r="M382" s="99"/>
      <c r="N382" s="99"/>
      <c r="O382" s="99"/>
      <c r="P382" s="641"/>
      <c r="Q382" s="99"/>
      <c r="R382" s="641"/>
      <c r="S382" s="641"/>
      <c r="T382" s="99"/>
      <c r="U382" s="877">
        <f t="shared" si="175"/>
        <v>0</v>
      </c>
      <c r="V382" s="143"/>
      <c r="W382" s="143"/>
      <c r="X382" s="143"/>
      <c r="Y382" s="611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03">
        <f t="shared" si="176"/>
        <v>0</v>
      </c>
      <c r="AJ382" s="136"/>
      <c r="AK382" s="136"/>
      <c r="AL382" s="136"/>
      <c r="AM382" s="105">
        <f t="shared" si="177"/>
        <v>0</v>
      </c>
      <c r="AN382" s="143"/>
      <c r="AO382" s="143"/>
      <c r="AP382" s="143"/>
      <c r="AQ382" s="146"/>
      <c r="AR382" s="224">
        <f t="shared" si="178"/>
        <v>0</v>
      </c>
      <c r="AS382" s="141"/>
      <c r="AT382" s="141"/>
      <c r="AU382" s="141"/>
      <c r="AV382" s="141"/>
      <c r="AW382" s="141"/>
      <c r="AX382" s="141"/>
      <c r="AY382" s="141"/>
      <c r="AZ382" s="152"/>
      <c r="BA382" s="152"/>
      <c r="BB382" s="152"/>
      <c r="BC382" s="152"/>
      <c r="BD382" s="222">
        <f t="shared" si="179"/>
        <v>0</v>
      </c>
      <c r="BE382" s="140">
        <f t="shared" si="180"/>
        <v>0</v>
      </c>
      <c r="BF382" s="132"/>
      <c r="BG382" s="140">
        <f t="shared" si="181"/>
        <v>0</v>
      </c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30">
        <f t="shared" si="182"/>
        <v>0</v>
      </c>
      <c r="BV382" s="132"/>
    </row>
    <row r="383" ht="14.25" customHeight="1">
      <c r="A383" s="132"/>
      <c r="B383" s="215">
        <v>46365</v>
      </c>
      <c r="C383" s="133"/>
      <c r="D383" s="136"/>
      <c r="E383" s="135"/>
      <c r="F383" s="135"/>
      <c r="G383" s="98">
        <f t="shared" si="174"/>
        <v>0</v>
      </c>
      <c r="H383" s="819"/>
      <c r="I383" s="641"/>
      <c r="J383" s="99"/>
      <c r="K383" s="122"/>
      <c r="L383" s="99"/>
      <c r="M383" s="99"/>
      <c r="N383" s="99"/>
      <c r="O383" s="99"/>
      <c r="P383" s="99"/>
      <c r="Q383" s="99"/>
      <c r="R383" s="641"/>
      <c r="S383" s="641"/>
      <c r="T383" s="99"/>
      <c r="U383" s="877">
        <f t="shared" si="175"/>
        <v>0</v>
      </c>
      <c r="V383" s="143"/>
      <c r="W383" s="143"/>
      <c r="X383" s="143"/>
      <c r="Y383" s="611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03">
        <f t="shared" si="176"/>
        <v>0</v>
      </c>
      <c r="AJ383" s="136"/>
      <c r="AK383" s="136"/>
      <c r="AL383" s="136"/>
      <c r="AM383" s="105">
        <f t="shared" si="177"/>
        <v>0</v>
      </c>
      <c r="AN383" s="143"/>
      <c r="AO383" s="143"/>
      <c r="AP383" s="143"/>
      <c r="AQ383" s="146"/>
      <c r="AR383" s="224">
        <f t="shared" si="178"/>
        <v>0</v>
      </c>
      <c r="AS383" s="141"/>
      <c r="AT383" s="141"/>
      <c r="AU383" s="141"/>
      <c r="AV383" s="141"/>
      <c r="AW383" s="141"/>
      <c r="AX383" s="141"/>
      <c r="AY383" s="141"/>
      <c r="AZ383" s="152"/>
      <c r="BA383" s="152"/>
      <c r="BB383" s="152"/>
      <c r="BC383" s="152"/>
      <c r="BD383" s="222">
        <f t="shared" si="179"/>
        <v>0</v>
      </c>
      <c r="BE383" s="140">
        <f t="shared" si="180"/>
        <v>0</v>
      </c>
      <c r="BF383" s="132"/>
      <c r="BG383" s="140">
        <f t="shared" si="181"/>
        <v>0</v>
      </c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30">
        <f t="shared" si="182"/>
        <v>0</v>
      </c>
      <c r="BV383" s="132"/>
    </row>
    <row r="384" ht="14.25" customHeight="1">
      <c r="A384" s="132"/>
      <c r="B384" s="215">
        <v>46366</v>
      </c>
      <c r="C384" s="133"/>
      <c r="D384" s="136"/>
      <c r="E384" s="135"/>
      <c r="F384" s="135"/>
      <c r="G384" s="98">
        <f t="shared" si="174"/>
        <v>0</v>
      </c>
      <c r="H384" s="819"/>
      <c r="I384" s="641"/>
      <c r="J384" s="99"/>
      <c r="K384" s="122"/>
      <c r="L384" s="99"/>
      <c r="M384" s="99"/>
      <c r="N384" s="99"/>
      <c r="O384" s="99"/>
      <c r="P384" s="99"/>
      <c r="Q384" s="99"/>
      <c r="R384" s="641"/>
      <c r="S384" s="641"/>
      <c r="T384" s="99"/>
      <c r="U384" s="877">
        <f t="shared" si="175"/>
        <v>0</v>
      </c>
      <c r="V384" s="143"/>
      <c r="W384" s="143"/>
      <c r="X384" s="143"/>
      <c r="Y384" s="611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03">
        <f t="shared" si="176"/>
        <v>0</v>
      </c>
      <c r="AJ384" s="136"/>
      <c r="AK384" s="136"/>
      <c r="AL384" s="136"/>
      <c r="AM384" s="105">
        <f t="shared" si="177"/>
        <v>0</v>
      </c>
      <c r="AN384" s="143"/>
      <c r="AO384" s="143"/>
      <c r="AP384" s="143"/>
      <c r="AQ384" s="146"/>
      <c r="AR384" s="224">
        <f t="shared" si="178"/>
        <v>0</v>
      </c>
      <c r="AS384" s="141"/>
      <c r="AT384" s="141"/>
      <c r="AU384" s="141"/>
      <c r="AV384" s="141"/>
      <c r="AW384" s="141"/>
      <c r="AX384" s="141"/>
      <c r="AY384" s="141"/>
      <c r="AZ384" s="152"/>
      <c r="BA384" s="152"/>
      <c r="BB384" s="152"/>
      <c r="BC384" s="152"/>
      <c r="BD384" s="222">
        <f t="shared" si="179"/>
        <v>0</v>
      </c>
      <c r="BE384" s="140">
        <f t="shared" si="180"/>
        <v>0</v>
      </c>
      <c r="BF384" s="132"/>
      <c r="BG384" s="140">
        <f t="shared" si="181"/>
        <v>0</v>
      </c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30">
        <f t="shared" si="182"/>
        <v>0</v>
      </c>
      <c r="BV384" s="132"/>
    </row>
    <row r="385" ht="14.25" customHeight="1">
      <c r="A385" s="132"/>
      <c r="B385" s="215">
        <v>46367</v>
      </c>
      <c r="C385" s="133"/>
      <c r="D385" s="136"/>
      <c r="E385" s="135"/>
      <c r="F385" s="135"/>
      <c r="G385" s="98">
        <f t="shared" si="174"/>
        <v>0</v>
      </c>
      <c r="H385" s="819"/>
      <c r="I385" s="641"/>
      <c r="J385" s="99"/>
      <c r="K385" s="122"/>
      <c r="L385" s="99"/>
      <c r="M385" s="99"/>
      <c r="N385" s="99"/>
      <c r="O385" s="99"/>
      <c r="P385" s="99"/>
      <c r="Q385" s="99"/>
      <c r="R385" s="641"/>
      <c r="S385" s="641"/>
      <c r="T385" s="99"/>
      <c r="U385" s="877">
        <f t="shared" si="175"/>
        <v>0</v>
      </c>
      <c r="V385" s="143"/>
      <c r="W385" s="143"/>
      <c r="X385" s="143"/>
      <c r="Y385" s="611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03">
        <f t="shared" si="176"/>
        <v>0</v>
      </c>
      <c r="AJ385" s="136"/>
      <c r="AK385" s="136"/>
      <c r="AL385" s="136"/>
      <c r="AM385" s="105">
        <f t="shared" si="177"/>
        <v>0</v>
      </c>
      <c r="AN385" s="143"/>
      <c r="AO385" s="143"/>
      <c r="AP385" s="143"/>
      <c r="AQ385" s="146"/>
      <c r="AR385" s="224">
        <f t="shared" si="178"/>
        <v>0</v>
      </c>
      <c r="AS385" s="141"/>
      <c r="AT385" s="141"/>
      <c r="AU385" s="141"/>
      <c r="AV385" s="141"/>
      <c r="AW385" s="141"/>
      <c r="AX385" s="141"/>
      <c r="AY385" s="141"/>
      <c r="AZ385" s="152"/>
      <c r="BA385" s="152"/>
      <c r="BB385" s="152"/>
      <c r="BC385" s="152"/>
      <c r="BD385" s="222">
        <f t="shared" si="179"/>
        <v>0</v>
      </c>
      <c r="BE385" s="140">
        <f t="shared" si="180"/>
        <v>0</v>
      </c>
      <c r="BF385" s="132"/>
      <c r="BG385" s="140">
        <f t="shared" si="181"/>
        <v>0</v>
      </c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30">
        <f t="shared" si="182"/>
        <v>0</v>
      </c>
      <c r="BV385" s="132"/>
    </row>
    <row r="386" ht="14.25" customHeight="1">
      <c r="A386" s="132"/>
      <c r="B386" s="215">
        <v>46368</v>
      </c>
      <c r="C386" s="133"/>
      <c r="D386" s="136"/>
      <c r="E386" s="135"/>
      <c r="F386" s="135"/>
      <c r="G386" s="98">
        <f t="shared" si="174"/>
        <v>0</v>
      </c>
      <c r="H386" s="819"/>
      <c r="I386" s="641"/>
      <c r="J386" s="99"/>
      <c r="K386" s="122"/>
      <c r="L386" s="99"/>
      <c r="M386" s="99"/>
      <c r="N386" s="99"/>
      <c r="O386" s="99"/>
      <c r="P386" s="99"/>
      <c r="Q386" s="99"/>
      <c r="R386" s="641"/>
      <c r="S386" s="641"/>
      <c r="T386" s="99"/>
      <c r="U386" s="877">
        <f t="shared" si="175"/>
        <v>0</v>
      </c>
      <c r="V386" s="143"/>
      <c r="W386" s="143"/>
      <c r="X386" s="143"/>
      <c r="Y386" s="611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03">
        <f t="shared" si="176"/>
        <v>0</v>
      </c>
      <c r="AJ386" s="136"/>
      <c r="AK386" s="136"/>
      <c r="AL386" s="136"/>
      <c r="AM386" s="105">
        <f t="shared" si="177"/>
        <v>0</v>
      </c>
      <c r="AN386" s="143"/>
      <c r="AO386" s="143"/>
      <c r="AP386" s="143"/>
      <c r="AQ386" s="146"/>
      <c r="AR386" s="224">
        <f t="shared" si="178"/>
        <v>0</v>
      </c>
      <c r="AS386" s="141"/>
      <c r="AT386" s="141"/>
      <c r="AU386" s="141"/>
      <c r="AV386" s="141"/>
      <c r="AW386" s="141"/>
      <c r="AX386" s="141"/>
      <c r="AY386" s="141"/>
      <c r="AZ386" s="152"/>
      <c r="BA386" s="152"/>
      <c r="BB386" s="152"/>
      <c r="BC386" s="152"/>
      <c r="BD386" s="222">
        <f t="shared" si="179"/>
        <v>0</v>
      </c>
      <c r="BE386" s="140">
        <f t="shared" si="180"/>
        <v>0</v>
      </c>
      <c r="BF386" s="132"/>
      <c r="BG386" s="140">
        <f t="shared" si="181"/>
        <v>0</v>
      </c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30">
        <f t="shared" si="182"/>
        <v>0</v>
      </c>
      <c r="BV386" s="132"/>
    </row>
    <row r="387" ht="14.25" customHeight="1">
      <c r="A387" s="132"/>
      <c r="B387" s="215">
        <v>46369</v>
      </c>
      <c r="C387" s="133"/>
      <c r="D387" s="136"/>
      <c r="E387" s="135"/>
      <c r="F387" s="135"/>
      <c r="G387" s="98">
        <f t="shared" si="174"/>
        <v>0</v>
      </c>
      <c r="H387" s="819"/>
      <c r="I387" s="641"/>
      <c r="J387" s="99"/>
      <c r="K387" s="122"/>
      <c r="L387" s="99"/>
      <c r="M387" s="99"/>
      <c r="N387" s="99"/>
      <c r="O387" s="99"/>
      <c r="P387" s="99"/>
      <c r="Q387" s="99"/>
      <c r="R387" s="641"/>
      <c r="S387" s="641"/>
      <c r="T387" s="99"/>
      <c r="U387" s="877">
        <f t="shared" si="175"/>
        <v>0</v>
      </c>
      <c r="V387" s="143"/>
      <c r="W387" s="143"/>
      <c r="X387" s="143"/>
      <c r="Y387" s="611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03">
        <f t="shared" si="176"/>
        <v>0</v>
      </c>
      <c r="AJ387" s="136"/>
      <c r="AK387" s="136"/>
      <c r="AL387" s="136"/>
      <c r="AM387" s="105">
        <f t="shared" si="177"/>
        <v>0</v>
      </c>
      <c r="AN387" s="143"/>
      <c r="AO387" s="143"/>
      <c r="AP387" s="143"/>
      <c r="AQ387" s="146"/>
      <c r="AR387" s="224">
        <f t="shared" si="178"/>
        <v>0</v>
      </c>
      <c r="AS387" s="141"/>
      <c r="AT387" s="141"/>
      <c r="AU387" s="141"/>
      <c r="AV387" s="141"/>
      <c r="AW387" s="141"/>
      <c r="AX387" s="141"/>
      <c r="AY387" s="141"/>
      <c r="AZ387" s="152"/>
      <c r="BA387" s="152"/>
      <c r="BB387" s="152"/>
      <c r="BC387" s="152"/>
      <c r="BD387" s="222">
        <f t="shared" si="179"/>
        <v>0</v>
      </c>
      <c r="BE387" s="140">
        <f t="shared" si="180"/>
        <v>0</v>
      </c>
      <c r="BF387" s="132"/>
      <c r="BG387" s="140">
        <f t="shared" si="181"/>
        <v>0</v>
      </c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30">
        <f t="shared" si="182"/>
        <v>0</v>
      </c>
      <c r="BV387" s="132"/>
    </row>
    <row r="388" ht="14.25" customHeight="1">
      <c r="A388" s="132"/>
      <c r="B388" s="215">
        <v>46370</v>
      </c>
      <c r="C388" s="133"/>
      <c r="D388" s="136"/>
      <c r="E388" s="135"/>
      <c r="F388" s="135"/>
      <c r="G388" s="98">
        <f t="shared" si="174"/>
        <v>0</v>
      </c>
      <c r="H388" s="819"/>
      <c r="I388" s="641"/>
      <c r="J388" s="99"/>
      <c r="K388" s="122"/>
      <c r="L388" s="99"/>
      <c r="M388" s="99"/>
      <c r="N388" s="99"/>
      <c r="O388" s="99"/>
      <c r="P388" s="99"/>
      <c r="Q388" s="99"/>
      <c r="R388" s="641"/>
      <c r="S388" s="641"/>
      <c r="T388" s="99"/>
      <c r="U388" s="877">
        <f t="shared" si="175"/>
        <v>0</v>
      </c>
      <c r="V388" s="143"/>
      <c r="W388" s="143"/>
      <c r="X388" s="143"/>
      <c r="Y388" s="611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03">
        <f t="shared" si="176"/>
        <v>0</v>
      </c>
      <c r="AJ388" s="136"/>
      <c r="AK388" s="136"/>
      <c r="AL388" s="136"/>
      <c r="AM388" s="105">
        <f t="shared" si="177"/>
        <v>0</v>
      </c>
      <c r="AN388" s="143"/>
      <c r="AO388" s="143"/>
      <c r="AP388" s="143"/>
      <c r="AQ388" s="146"/>
      <c r="AR388" s="224">
        <f t="shared" si="178"/>
        <v>0</v>
      </c>
      <c r="AS388" s="141"/>
      <c r="AT388" s="141"/>
      <c r="AU388" s="141"/>
      <c r="AV388" s="141"/>
      <c r="AW388" s="141"/>
      <c r="AX388" s="141"/>
      <c r="AY388" s="141"/>
      <c r="AZ388" s="152"/>
      <c r="BA388" s="152"/>
      <c r="BB388" s="152"/>
      <c r="BC388" s="152"/>
      <c r="BD388" s="222">
        <f t="shared" si="179"/>
        <v>0</v>
      </c>
      <c r="BE388" s="140">
        <f t="shared" si="180"/>
        <v>0</v>
      </c>
      <c r="BF388" s="132"/>
      <c r="BG388" s="140">
        <f t="shared" si="181"/>
        <v>0</v>
      </c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30">
        <f t="shared" si="182"/>
        <v>0</v>
      </c>
      <c r="BV388" s="132"/>
    </row>
    <row r="389" ht="14.25" customHeight="1">
      <c r="A389" s="132"/>
      <c r="B389" s="215">
        <v>46371</v>
      </c>
      <c r="C389" s="133"/>
      <c r="D389" s="136"/>
      <c r="E389" s="135"/>
      <c r="F389" s="135"/>
      <c r="G389" s="98">
        <f t="shared" si="174"/>
        <v>0</v>
      </c>
      <c r="H389" s="819"/>
      <c r="I389" s="641"/>
      <c r="J389" s="99"/>
      <c r="K389" s="122"/>
      <c r="L389" s="99"/>
      <c r="M389" s="99"/>
      <c r="N389" s="99"/>
      <c r="O389" s="99"/>
      <c r="P389" s="99"/>
      <c r="Q389" s="99"/>
      <c r="R389" s="641"/>
      <c r="S389" s="641"/>
      <c r="T389" s="99"/>
      <c r="U389" s="877">
        <f t="shared" si="175"/>
        <v>0</v>
      </c>
      <c r="V389" s="143"/>
      <c r="W389" s="143"/>
      <c r="X389" s="143"/>
      <c r="Y389" s="611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03">
        <f t="shared" si="176"/>
        <v>0</v>
      </c>
      <c r="AJ389" s="136"/>
      <c r="AK389" s="136"/>
      <c r="AL389" s="136"/>
      <c r="AM389" s="105">
        <f t="shared" si="177"/>
        <v>0</v>
      </c>
      <c r="AN389" s="143"/>
      <c r="AO389" s="143"/>
      <c r="AP389" s="143"/>
      <c r="AQ389" s="146"/>
      <c r="AR389" s="224">
        <f t="shared" si="178"/>
        <v>0</v>
      </c>
      <c r="AS389" s="141"/>
      <c r="AT389" s="141"/>
      <c r="AU389" s="141"/>
      <c r="AV389" s="141"/>
      <c r="AW389" s="141"/>
      <c r="AX389" s="141"/>
      <c r="AY389" s="141"/>
      <c r="AZ389" s="152"/>
      <c r="BA389" s="152"/>
      <c r="BB389" s="152"/>
      <c r="BC389" s="152"/>
      <c r="BD389" s="222">
        <f t="shared" si="179"/>
        <v>0</v>
      </c>
      <c r="BE389" s="140">
        <f t="shared" si="180"/>
        <v>0</v>
      </c>
      <c r="BF389" s="132"/>
      <c r="BG389" s="140">
        <f t="shared" si="181"/>
        <v>0</v>
      </c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30">
        <f t="shared" si="182"/>
        <v>0</v>
      </c>
      <c r="BV389" s="132"/>
    </row>
    <row r="390" ht="14.25" customHeight="1">
      <c r="A390" s="132"/>
      <c r="B390" s="215">
        <v>46372</v>
      </c>
      <c r="C390" s="133"/>
      <c r="D390" s="136"/>
      <c r="E390" s="135"/>
      <c r="F390" s="135"/>
      <c r="G390" s="98">
        <f t="shared" si="174"/>
        <v>0</v>
      </c>
      <c r="H390" s="819"/>
      <c r="I390" s="641"/>
      <c r="J390" s="99"/>
      <c r="K390" s="122"/>
      <c r="L390" s="99"/>
      <c r="M390" s="99"/>
      <c r="N390" s="99"/>
      <c r="O390" s="99"/>
      <c r="P390" s="99"/>
      <c r="Q390" s="99"/>
      <c r="R390" s="641"/>
      <c r="S390" s="641"/>
      <c r="T390" s="99"/>
      <c r="U390" s="877">
        <f t="shared" si="175"/>
        <v>0</v>
      </c>
      <c r="V390" s="143"/>
      <c r="W390" s="143"/>
      <c r="X390" s="143"/>
      <c r="Y390" s="611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03">
        <f t="shared" si="176"/>
        <v>0</v>
      </c>
      <c r="AJ390" s="136"/>
      <c r="AK390" s="136"/>
      <c r="AL390" s="136"/>
      <c r="AM390" s="105">
        <f t="shared" si="177"/>
        <v>0</v>
      </c>
      <c r="AN390" s="143"/>
      <c r="AO390" s="143"/>
      <c r="AP390" s="143"/>
      <c r="AQ390" s="146"/>
      <c r="AR390" s="224">
        <f t="shared" si="178"/>
        <v>0</v>
      </c>
      <c r="AS390" s="141"/>
      <c r="AT390" s="878"/>
      <c r="AU390" s="141"/>
      <c r="AV390" s="141"/>
      <c r="AW390" s="141"/>
      <c r="AX390" s="141"/>
      <c r="AY390" s="141"/>
      <c r="AZ390" s="152"/>
      <c r="BA390" s="152"/>
      <c r="BB390" s="152"/>
      <c r="BC390" s="152"/>
      <c r="BD390" s="222">
        <f t="shared" si="179"/>
        <v>0</v>
      </c>
      <c r="BE390" s="140">
        <f t="shared" si="180"/>
        <v>0</v>
      </c>
      <c r="BF390" s="132"/>
      <c r="BG390" s="140">
        <f t="shared" si="181"/>
        <v>0</v>
      </c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30">
        <f t="shared" si="182"/>
        <v>0</v>
      </c>
      <c r="BV390" s="132"/>
    </row>
    <row r="391" ht="14.25" customHeight="1">
      <c r="A391" s="132"/>
      <c r="B391" s="215">
        <v>46373</v>
      </c>
      <c r="C391" s="133"/>
      <c r="D391" s="136"/>
      <c r="E391" s="135"/>
      <c r="F391" s="135"/>
      <c r="G391" s="98">
        <f t="shared" si="174"/>
        <v>0</v>
      </c>
      <c r="H391" s="819"/>
      <c r="I391" s="379"/>
      <c r="J391" s="99"/>
      <c r="K391" s="173"/>
      <c r="L391" s="99"/>
      <c r="M391" s="99"/>
      <c r="N391" s="99"/>
      <c r="O391" s="99"/>
      <c r="P391" s="99"/>
      <c r="Q391" s="99"/>
      <c r="R391" s="641"/>
      <c r="S391" s="641"/>
      <c r="T391" s="99"/>
      <c r="U391" s="877">
        <f t="shared" si="175"/>
        <v>0</v>
      </c>
      <c r="V391" s="143"/>
      <c r="W391" s="136"/>
      <c r="X391" s="136"/>
      <c r="Y391" s="611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03">
        <f t="shared" si="176"/>
        <v>0</v>
      </c>
      <c r="AJ391" s="136"/>
      <c r="AK391" s="136"/>
      <c r="AL391" s="136"/>
      <c r="AM391" s="105">
        <f t="shared" si="177"/>
        <v>0</v>
      </c>
      <c r="AN391" s="143"/>
      <c r="AO391" s="143"/>
      <c r="AP391" s="143"/>
      <c r="AQ391" s="146"/>
      <c r="AR391" s="224">
        <f t="shared" si="178"/>
        <v>0</v>
      </c>
      <c r="AS391" s="141"/>
      <c r="AT391" s="141"/>
      <c r="AU391" s="141"/>
      <c r="AV391" s="141"/>
      <c r="AW391" s="141"/>
      <c r="AX391" s="141"/>
      <c r="AY391" s="141"/>
      <c r="AZ391" s="152"/>
      <c r="BA391" s="152"/>
      <c r="BB391" s="152"/>
      <c r="BC391" s="152"/>
      <c r="BD391" s="222">
        <f t="shared" si="179"/>
        <v>0</v>
      </c>
      <c r="BE391" s="140">
        <f t="shared" si="180"/>
        <v>0</v>
      </c>
      <c r="BF391" s="132"/>
      <c r="BG391" s="140">
        <f t="shared" si="181"/>
        <v>0</v>
      </c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30">
        <f t="shared" si="182"/>
        <v>0</v>
      </c>
      <c r="BV391" s="132"/>
    </row>
    <row r="392" ht="14.25" customHeight="1">
      <c r="A392" s="132"/>
      <c r="B392" s="215">
        <v>46374</v>
      </c>
      <c r="C392" s="133"/>
      <c r="D392" s="136"/>
      <c r="E392" s="135"/>
      <c r="F392" s="135"/>
      <c r="G392" s="98">
        <f t="shared" si="174"/>
        <v>0</v>
      </c>
      <c r="H392" s="819"/>
      <c r="I392" s="641"/>
      <c r="J392" s="99"/>
      <c r="K392" s="122"/>
      <c r="L392" s="99"/>
      <c r="M392" s="99"/>
      <c r="N392" s="99"/>
      <c r="O392" s="99"/>
      <c r="P392" s="99"/>
      <c r="Q392" s="99"/>
      <c r="R392" s="641"/>
      <c r="S392" s="641"/>
      <c r="T392" s="99"/>
      <c r="U392" s="877">
        <f t="shared" si="175"/>
        <v>0</v>
      </c>
      <c r="V392" s="143"/>
      <c r="W392" s="136"/>
      <c r="X392" s="136"/>
      <c r="Y392" s="611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03">
        <f t="shared" si="176"/>
        <v>0</v>
      </c>
      <c r="AJ392" s="136"/>
      <c r="AK392" s="136"/>
      <c r="AL392" s="136"/>
      <c r="AM392" s="105">
        <f t="shared" si="177"/>
        <v>0</v>
      </c>
      <c r="AN392" s="143"/>
      <c r="AO392" s="143"/>
      <c r="AP392" s="143"/>
      <c r="AQ392" s="146"/>
      <c r="AR392" s="224">
        <f t="shared" si="178"/>
        <v>0</v>
      </c>
      <c r="AS392" s="141"/>
      <c r="AT392" s="141"/>
      <c r="AU392" s="141"/>
      <c r="AV392" s="141"/>
      <c r="AW392" s="141"/>
      <c r="AX392" s="141"/>
      <c r="AY392" s="141"/>
      <c r="AZ392" s="152"/>
      <c r="BA392" s="152"/>
      <c r="BB392" s="152"/>
      <c r="BC392" s="152"/>
      <c r="BD392" s="222">
        <f t="shared" si="179"/>
        <v>0</v>
      </c>
      <c r="BE392" s="140">
        <f t="shared" si="180"/>
        <v>0</v>
      </c>
      <c r="BF392" s="132"/>
      <c r="BG392" s="140">
        <f t="shared" si="181"/>
        <v>0</v>
      </c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30">
        <f t="shared" si="182"/>
        <v>0</v>
      </c>
      <c r="BV392" s="132"/>
    </row>
    <row r="393" ht="14.25" customHeight="1">
      <c r="A393" s="132"/>
      <c r="B393" s="215">
        <v>46375</v>
      </c>
      <c r="C393" s="133"/>
      <c r="D393" s="136"/>
      <c r="E393" s="135"/>
      <c r="F393" s="135"/>
      <c r="G393" s="98">
        <f t="shared" si="174"/>
        <v>0</v>
      </c>
      <c r="H393" s="819"/>
      <c r="I393" s="641"/>
      <c r="J393" s="99"/>
      <c r="K393" s="122"/>
      <c r="L393" s="99"/>
      <c r="M393" s="99"/>
      <c r="N393" s="99"/>
      <c r="O393" s="99"/>
      <c r="P393" s="99"/>
      <c r="Q393" s="99"/>
      <c r="R393" s="641"/>
      <c r="S393" s="641"/>
      <c r="T393" s="99"/>
      <c r="U393" s="877">
        <f t="shared" si="175"/>
        <v>0</v>
      </c>
      <c r="V393" s="143"/>
      <c r="W393" s="136"/>
      <c r="X393" s="136"/>
      <c r="Y393" s="611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03">
        <f t="shared" si="176"/>
        <v>0</v>
      </c>
      <c r="AJ393" s="136"/>
      <c r="AK393" s="136"/>
      <c r="AL393" s="136"/>
      <c r="AM393" s="105">
        <f t="shared" si="177"/>
        <v>0</v>
      </c>
      <c r="AN393" s="143"/>
      <c r="AO393" s="143"/>
      <c r="AP393" s="143"/>
      <c r="AQ393" s="146"/>
      <c r="AR393" s="224">
        <f t="shared" si="178"/>
        <v>0</v>
      </c>
      <c r="AS393" s="141"/>
      <c r="AT393" s="141"/>
      <c r="AU393" s="141"/>
      <c r="AV393" s="141"/>
      <c r="AW393" s="141"/>
      <c r="AX393" s="141"/>
      <c r="AY393" s="141"/>
      <c r="AZ393" s="152"/>
      <c r="BA393" s="152"/>
      <c r="BB393" s="152"/>
      <c r="BC393" s="152"/>
      <c r="BD393" s="222">
        <f t="shared" si="179"/>
        <v>0</v>
      </c>
      <c r="BE393" s="140">
        <f t="shared" si="180"/>
        <v>0</v>
      </c>
      <c r="BF393" s="132"/>
      <c r="BG393" s="140">
        <f t="shared" si="181"/>
        <v>0</v>
      </c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30">
        <f t="shared" si="182"/>
        <v>0</v>
      </c>
      <c r="BV393" s="132"/>
    </row>
    <row r="394" ht="14.25" customHeight="1">
      <c r="A394" s="132"/>
      <c r="B394" s="215">
        <v>46376</v>
      </c>
      <c r="C394" s="133"/>
      <c r="D394" s="136"/>
      <c r="E394" s="135"/>
      <c r="F394" s="135"/>
      <c r="G394" s="98">
        <f t="shared" si="174"/>
        <v>0</v>
      </c>
      <c r="H394" s="819"/>
      <c r="I394" s="641"/>
      <c r="J394" s="99"/>
      <c r="K394" s="122"/>
      <c r="L394" s="99"/>
      <c r="M394" s="99"/>
      <c r="N394" s="99"/>
      <c r="O394" s="99"/>
      <c r="P394" s="99"/>
      <c r="Q394" s="99"/>
      <c r="R394" s="641"/>
      <c r="S394" s="641"/>
      <c r="T394" s="99"/>
      <c r="U394" s="877">
        <f t="shared" si="175"/>
        <v>0</v>
      </c>
      <c r="V394" s="143"/>
      <c r="W394" s="136"/>
      <c r="X394" s="136"/>
      <c r="Y394" s="611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03">
        <f t="shared" si="176"/>
        <v>0</v>
      </c>
      <c r="AJ394" s="136"/>
      <c r="AK394" s="136"/>
      <c r="AL394" s="136"/>
      <c r="AM394" s="105">
        <f t="shared" si="177"/>
        <v>0</v>
      </c>
      <c r="AN394" s="143"/>
      <c r="AO394" s="143"/>
      <c r="AP394" s="143"/>
      <c r="AQ394" s="146"/>
      <c r="AR394" s="224">
        <f t="shared" si="178"/>
        <v>0</v>
      </c>
      <c r="AS394" s="141"/>
      <c r="AT394" s="141"/>
      <c r="AU394" s="141"/>
      <c r="AV394" s="141"/>
      <c r="AW394" s="141"/>
      <c r="AX394" s="141"/>
      <c r="AY394" s="141"/>
      <c r="AZ394" s="152"/>
      <c r="BA394" s="152"/>
      <c r="BB394" s="152"/>
      <c r="BC394" s="152"/>
      <c r="BD394" s="222">
        <f t="shared" si="179"/>
        <v>0</v>
      </c>
      <c r="BE394" s="140">
        <f t="shared" si="180"/>
        <v>0</v>
      </c>
      <c r="BF394" s="132"/>
      <c r="BG394" s="140">
        <f t="shared" si="181"/>
        <v>0</v>
      </c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30">
        <f t="shared" si="182"/>
        <v>0</v>
      </c>
      <c r="BV394" s="132"/>
    </row>
    <row r="395" ht="14.25" customHeight="1">
      <c r="A395" s="132"/>
      <c r="B395" s="215">
        <v>46377</v>
      </c>
      <c r="C395" s="133"/>
      <c r="D395" s="136"/>
      <c r="E395" s="135"/>
      <c r="F395" s="135"/>
      <c r="G395" s="98">
        <f t="shared" si="174"/>
        <v>0</v>
      </c>
      <c r="H395" s="819"/>
      <c r="I395" s="641"/>
      <c r="J395" s="99"/>
      <c r="K395" s="122"/>
      <c r="L395" s="99"/>
      <c r="M395" s="99"/>
      <c r="N395" s="99"/>
      <c r="O395" s="99"/>
      <c r="P395" s="99"/>
      <c r="Q395" s="99"/>
      <c r="R395" s="641"/>
      <c r="S395" s="641"/>
      <c r="T395" s="99"/>
      <c r="U395" s="877">
        <f t="shared" si="175"/>
        <v>0</v>
      </c>
      <c r="V395" s="143"/>
      <c r="W395" s="136"/>
      <c r="X395" s="136"/>
      <c r="Y395" s="611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03">
        <f t="shared" si="176"/>
        <v>0</v>
      </c>
      <c r="AJ395" s="136"/>
      <c r="AK395" s="136"/>
      <c r="AL395" s="136"/>
      <c r="AM395" s="105">
        <f t="shared" si="177"/>
        <v>0</v>
      </c>
      <c r="AN395" s="143"/>
      <c r="AO395" s="143"/>
      <c r="AP395" s="143"/>
      <c r="AQ395" s="146"/>
      <c r="AR395" s="224">
        <f t="shared" si="178"/>
        <v>0</v>
      </c>
      <c r="AS395" s="141"/>
      <c r="AT395" s="141"/>
      <c r="AU395" s="141"/>
      <c r="AV395" s="141"/>
      <c r="AW395" s="141"/>
      <c r="AX395" s="141"/>
      <c r="AY395" s="141"/>
      <c r="AZ395" s="152"/>
      <c r="BA395" s="152"/>
      <c r="BB395" s="152"/>
      <c r="BC395" s="152"/>
      <c r="BD395" s="222">
        <f t="shared" si="179"/>
        <v>0</v>
      </c>
      <c r="BE395" s="140">
        <f t="shared" si="180"/>
        <v>0</v>
      </c>
      <c r="BF395" s="132"/>
      <c r="BG395" s="140">
        <f t="shared" si="181"/>
        <v>0</v>
      </c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30">
        <f t="shared" si="182"/>
        <v>0</v>
      </c>
      <c r="BV395" s="132"/>
    </row>
    <row r="396" ht="14.25" customHeight="1">
      <c r="A396" s="132"/>
      <c r="B396" s="215">
        <v>46378</v>
      </c>
      <c r="C396" s="133"/>
      <c r="D396" s="136"/>
      <c r="E396" s="135"/>
      <c r="F396" s="135"/>
      <c r="G396" s="98">
        <f t="shared" si="174"/>
        <v>0</v>
      </c>
      <c r="H396" s="819"/>
      <c r="I396" s="641"/>
      <c r="J396" s="99"/>
      <c r="K396" s="122"/>
      <c r="L396" s="99"/>
      <c r="M396" s="99"/>
      <c r="N396" s="99"/>
      <c r="O396" s="99"/>
      <c r="P396" s="99"/>
      <c r="Q396" s="99"/>
      <c r="R396" s="641"/>
      <c r="S396" s="641"/>
      <c r="T396" s="99"/>
      <c r="U396" s="877">
        <f t="shared" si="175"/>
        <v>0</v>
      </c>
      <c r="V396" s="143"/>
      <c r="W396" s="136"/>
      <c r="X396" s="136"/>
      <c r="Y396" s="611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03">
        <f t="shared" si="176"/>
        <v>0</v>
      </c>
      <c r="AJ396" s="136"/>
      <c r="AK396" s="136"/>
      <c r="AL396" s="136"/>
      <c r="AM396" s="105">
        <f t="shared" si="177"/>
        <v>0</v>
      </c>
      <c r="AN396" s="143"/>
      <c r="AO396" s="143"/>
      <c r="AP396" s="143"/>
      <c r="AQ396" s="146"/>
      <c r="AR396" s="224">
        <f t="shared" si="178"/>
        <v>0</v>
      </c>
      <c r="AS396" s="141"/>
      <c r="AT396" s="878"/>
      <c r="AU396" s="878"/>
      <c r="AV396" s="141"/>
      <c r="AW396" s="141"/>
      <c r="AX396" s="141"/>
      <c r="AY396" s="141"/>
      <c r="AZ396" s="152"/>
      <c r="BA396" s="152"/>
      <c r="BB396" s="152"/>
      <c r="BC396" s="152"/>
      <c r="BD396" s="222">
        <f t="shared" si="179"/>
        <v>0</v>
      </c>
      <c r="BE396" s="140">
        <f t="shared" si="180"/>
        <v>0</v>
      </c>
      <c r="BF396" s="132"/>
      <c r="BG396" s="140">
        <f t="shared" si="181"/>
        <v>0</v>
      </c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30">
        <f t="shared" si="182"/>
        <v>0</v>
      </c>
      <c r="BV396" s="132"/>
    </row>
    <row r="397" ht="14.25" customHeight="1">
      <c r="A397" s="132"/>
      <c r="B397" s="215">
        <v>46379</v>
      </c>
      <c r="C397" s="133"/>
      <c r="D397" s="136"/>
      <c r="E397" s="135"/>
      <c r="F397" s="135"/>
      <c r="G397" s="98">
        <f t="shared" si="174"/>
        <v>0</v>
      </c>
      <c r="H397" s="819"/>
      <c r="I397" s="641"/>
      <c r="J397" s="99"/>
      <c r="K397" s="122"/>
      <c r="L397" s="99"/>
      <c r="M397" s="99"/>
      <c r="N397" s="99"/>
      <c r="O397" s="99"/>
      <c r="P397" s="99"/>
      <c r="Q397" s="99"/>
      <c r="R397" s="641"/>
      <c r="S397" s="641"/>
      <c r="T397" s="99"/>
      <c r="U397" s="877">
        <f t="shared" si="175"/>
        <v>0</v>
      </c>
      <c r="V397" s="143"/>
      <c r="W397" s="136"/>
      <c r="X397" s="136"/>
      <c r="Y397" s="611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03">
        <f t="shared" si="176"/>
        <v>0</v>
      </c>
      <c r="AJ397" s="136"/>
      <c r="AK397" s="136"/>
      <c r="AL397" s="136"/>
      <c r="AM397" s="105">
        <f t="shared" si="177"/>
        <v>0</v>
      </c>
      <c r="AN397" s="143"/>
      <c r="AO397" s="143"/>
      <c r="AP397" s="143"/>
      <c r="AQ397" s="146"/>
      <c r="AR397" s="224">
        <f t="shared" si="178"/>
        <v>0</v>
      </c>
      <c r="AS397" s="141"/>
      <c r="AT397" s="141"/>
      <c r="AU397" s="141"/>
      <c r="AV397" s="141"/>
      <c r="AW397" s="141"/>
      <c r="AX397" s="141"/>
      <c r="AY397" s="141"/>
      <c r="AZ397" s="152"/>
      <c r="BA397" s="152"/>
      <c r="BB397" s="152"/>
      <c r="BC397" s="152"/>
      <c r="BD397" s="222">
        <f t="shared" si="179"/>
        <v>0</v>
      </c>
      <c r="BE397" s="140">
        <f t="shared" si="180"/>
        <v>0</v>
      </c>
      <c r="BF397" s="132"/>
      <c r="BG397" s="140">
        <f t="shared" si="181"/>
        <v>0</v>
      </c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30">
        <f t="shared" si="182"/>
        <v>0</v>
      </c>
      <c r="BV397" s="132"/>
    </row>
    <row r="398" ht="14.25" customHeight="1">
      <c r="A398" s="132"/>
      <c r="B398" s="215">
        <v>46380</v>
      </c>
      <c r="C398" s="133"/>
      <c r="D398" s="136"/>
      <c r="E398" s="135"/>
      <c r="F398" s="135"/>
      <c r="G398" s="98">
        <f t="shared" si="174"/>
        <v>0</v>
      </c>
      <c r="H398" s="819"/>
      <c r="I398" s="641"/>
      <c r="J398" s="99"/>
      <c r="K398" s="122"/>
      <c r="L398" s="99"/>
      <c r="M398" s="99"/>
      <c r="N398" s="99"/>
      <c r="O398" s="764"/>
      <c r="P398" s="99"/>
      <c r="Q398" s="99"/>
      <c r="R398" s="641"/>
      <c r="S398" s="641"/>
      <c r="T398" s="99"/>
      <c r="U398" s="877">
        <f t="shared" si="175"/>
        <v>0</v>
      </c>
      <c r="V398" s="143"/>
      <c r="W398" s="143"/>
      <c r="X398" s="143"/>
      <c r="Y398" s="611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03">
        <f t="shared" si="176"/>
        <v>0</v>
      </c>
      <c r="AJ398" s="136"/>
      <c r="AK398" s="136"/>
      <c r="AL398" s="136"/>
      <c r="AM398" s="105">
        <f t="shared" si="177"/>
        <v>0</v>
      </c>
      <c r="AN398" s="143"/>
      <c r="AO398" s="143"/>
      <c r="AP398" s="143"/>
      <c r="AQ398" s="146"/>
      <c r="AR398" s="224">
        <f t="shared" si="178"/>
        <v>0</v>
      </c>
      <c r="AS398" s="141"/>
      <c r="AT398" s="141"/>
      <c r="AU398" s="141"/>
      <c r="AV398" s="141"/>
      <c r="AW398" s="141"/>
      <c r="AX398" s="141"/>
      <c r="AY398" s="141"/>
      <c r="AZ398" s="152"/>
      <c r="BA398" s="152"/>
      <c r="BB398" s="152"/>
      <c r="BC398" s="152"/>
      <c r="BD398" s="222">
        <f t="shared" si="179"/>
        <v>0</v>
      </c>
      <c r="BE398" s="140">
        <f t="shared" si="180"/>
        <v>0</v>
      </c>
      <c r="BF398" s="132"/>
      <c r="BG398" s="140">
        <f t="shared" si="181"/>
        <v>0</v>
      </c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30">
        <f t="shared" si="182"/>
        <v>0</v>
      </c>
      <c r="BV398" s="132"/>
    </row>
    <row r="399" ht="14.25" customHeight="1">
      <c r="A399" s="132"/>
      <c r="B399" s="215">
        <v>46381</v>
      </c>
      <c r="C399" s="133"/>
      <c r="D399" s="136"/>
      <c r="E399" s="135"/>
      <c r="F399" s="135"/>
      <c r="G399" s="98">
        <f t="shared" si="174"/>
        <v>0</v>
      </c>
      <c r="H399" s="819"/>
      <c r="I399" s="641"/>
      <c r="J399" s="99"/>
      <c r="K399" s="122"/>
      <c r="L399" s="99"/>
      <c r="M399" s="99"/>
      <c r="N399" s="99"/>
      <c r="O399" s="99"/>
      <c r="P399" s="99"/>
      <c r="Q399" s="99"/>
      <c r="R399" s="641"/>
      <c r="S399" s="641"/>
      <c r="T399" s="99"/>
      <c r="U399" s="877">
        <f t="shared" si="175"/>
        <v>0</v>
      </c>
      <c r="V399" s="143"/>
      <c r="W399" s="143"/>
      <c r="X399" s="143"/>
      <c r="Y399" s="611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03">
        <f t="shared" si="176"/>
        <v>0</v>
      </c>
      <c r="AJ399" s="136"/>
      <c r="AK399" s="136"/>
      <c r="AL399" s="136"/>
      <c r="AM399" s="105">
        <f t="shared" si="177"/>
        <v>0</v>
      </c>
      <c r="AN399" s="143"/>
      <c r="AO399" s="143"/>
      <c r="AP399" s="143"/>
      <c r="AQ399" s="146"/>
      <c r="AR399" s="224">
        <f t="shared" si="178"/>
        <v>0</v>
      </c>
      <c r="AS399" s="141"/>
      <c r="AT399" s="141"/>
      <c r="AU399" s="141"/>
      <c r="AV399" s="141"/>
      <c r="AW399" s="141"/>
      <c r="AX399" s="141"/>
      <c r="AY399" s="141"/>
      <c r="AZ399" s="152"/>
      <c r="BA399" s="152"/>
      <c r="BB399" s="152"/>
      <c r="BC399" s="152"/>
      <c r="BD399" s="222">
        <f t="shared" si="179"/>
        <v>0</v>
      </c>
      <c r="BE399" s="140">
        <f t="shared" si="180"/>
        <v>0</v>
      </c>
      <c r="BF399" s="132"/>
      <c r="BG399" s="140">
        <f t="shared" si="181"/>
        <v>0</v>
      </c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30">
        <f t="shared" si="182"/>
        <v>0</v>
      </c>
      <c r="BV399" s="132"/>
    </row>
    <row r="400" ht="14.25" customHeight="1">
      <c r="A400" s="132"/>
      <c r="B400" s="215">
        <v>46382</v>
      </c>
      <c r="C400" s="133"/>
      <c r="D400" s="136"/>
      <c r="E400" s="135"/>
      <c r="F400" s="135"/>
      <c r="G400" s="98">
        <f t="shared" si="174"/>
        <v>0</v>
      </c>
      <c r="H400" s="819"/>
      <c r="I400" s="641"/>
      <c r="J400" s="99"/>
      <c r="K400" s="122"/>
      <c r="L400" s="99"/>
      <c r="M400" s="99"/>
      <c r="N400" s="99"/>
      <c r="O400" s="99"/>
      <c r="P400" s="99"/>
      <c r="Q400" s="99"/>
      <c r="R400" s="641"/>
      <c r="S400" s="641"/>
      <c r="T400" s="99"/>
      <c r="U400" s="877">
        <f t="shared" si="175"/>
        <v>0</v>
      </c>
      <c r="V400" s="143"/>
      <c r="W400" s="143"/>
      <c r="X400" s="143"/>
      <c r="Y400" s="611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03">
        <f t="shared" si="176"/>
        <v>0</v>
      </c>
      <c r="AJ400" s="136"/>
      <c r="AK400" s="136"/>
      <c r="AL400" s="136"/>
      <c r="AM400" s="105">
        <f t="shared" si="177"/>
        <v>0</v>
      </c>
      <c r="AN400" s="143"/>
      <c r="AO400" s="143"/>
      <c r="AP400" s="143"/>
      <c r="AQ400" s="146"/>
      <c r="AR400" s="224">
        <f t="shared" si="178"/>
        <v>0</v>
      </c>
      <c r="AS400" s="141"/>
      <c r="AT400" s="141"/>
      <c r="AU400" s="141"/>
      <c r="AV400" s="141"/>
      <c r="AW400" s="141"/>
      <c r="AX400" s="141"/>
      <c r="AY400" s="141"/>
      <c r="AZ400" s="152"/>
      <c r="BA400" s="152"/>
      <c r="BB400" s="152"/>
      <c r="BC400" s="152"/>
      <c r="BD400" s="222">
        <f t="shared" si="179"/>
        <v>0</v>
      </c>
      <c r="BE400" s="140">
        <f t="shared" si="180"/>
        <v>0</v>
      </c>
      <c r="BF400" s="132"/>
      <c r="BG400" s="140">
        <f t="shared" si="181"/>
        <v>0</v>
      </c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30">
        <f t="shared" si="182"/>
        <v>0</v>
      </c>
      <c r="BV400" s="132"/>
    </row>
    <row r="401" ht="14.25" customHeight="1">
      <c r="A401" s="132"/>
      <c r="B401" s="215">
        <v>46383</v>
      </c>
      <c r="C401" s="133"/>
      <c r="D401" s="136"/>
      <c r="E401" s="135"/>
      <c r="F401" s="135"/>
      <c r="G401" s="98">
        <f t="shared" si="174"/>
        <v>0</v>
      </c>
      <c r="H401" s="819"/>
      <c r="I401" s="641"/>
      <c r="J401" s="99"/>
      <c r="K401" s="122"/>
      <c r="L401" s="99"/>
      <c r="M401" s="99"/>
      <c r="N401" s="99"/>
      <c r="O401" s="99"/>
      <c r="P401" s="99"/>
      <c r="Q401" s="99"/>
      <c r="R401" s="641"/>
      <c r="S401" s="641"/>
      <c r="T401" s="99"/>
      <c r="U401" s="877">
        <f t="shared" si="175"/>
        <v>0</v>
      </c>
      <c r="V401" s="143"/>
      <c r="W401" s="143"/>
      <c r="X401" s="143"/>
      <c r="Y401" s="611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03">
        <f t="shared" si="176"/>
        <v>0</v>
      </c>
      <c r="AJ401" s="136"/>
      <c r="AK401" s="136"/>
      <c r="AL401" s="136"/>
      <c r="AM401" s="105">
        <f t="shared" si="177"/>
        <v>0</v>
      </c>
      <c r="AN401" s="143"/>
      <c r="AO401" s="143"/>
      <c r="AP401" s="143"/>
      <c r="AQ401" s="146"/>
      <c r="AR401" s="224">
        <f t="shared" si="178"/>
        <v>0</v>
      </c>
      <c r="AS401" s="141"/>
      <c r="AT401" s="141"/>
      <c r="AU401" s="141"/>
      <c r="AV401" s="141"/>
      <c r="AW401" s="141"/>
      <c r="AX401" s="141"/>
      <c r="AY401" s="141"/>
      <c r="AZ401" s="152"/>
      <c r="BA401" s="152"/>
      <c r="BB401" s="152"/>
      <c r="BC401" s="152"/>
      <c r="BD401" s="222">
        <f t="shared" si="179"/>
        <v>0</v>
      </c>
      <c r="BE401" s="140">
        <f t="shared" si="180"/>
        <v>0</v>
      </c>
      <c r="BF401" s="132"/>
      <c r="BG401" s="140">
        <f t="shared" si="181"/>
        <v>0</v>
      </c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30">
        <f t="shared" si="182"/>
        <v>0</v>
      </c>
      <c r="BV401" s="132"/>
    </row>
    <row r="402" ht="14.25" customHeight="1">
      <c r="A402" s="132"/>
      <c r="B402" s="215">
        <v>46384</v>
      </c>
      <c r="C402" s="133"/>
      <c r="D402" s="136"/>
      <c r="E402" s="135"/>
      <c r="F402" s="135"/>
      <c r="G402" s="98">
        <f t="shared" si="174"/>
        <v>0</v>
      </c>
      <c r="H402" s="819"/>
      <c r="I402" s="641"/>
      <c r="J402" s="99"/>
      <c r="K402" s="122"/>
      <c r="L402" s="99"/>
      <c r="M402" s="99"/>
      <c r="N402" s="99"/>
      <c r="O402" s="99"/>
      <c r="P402" s="99"/>
      <c r="Q402" s="99"/>
      <c r="R402" s="641"/>
      <c r="S402" s="641"/>
      <c r="T402" s="99"/>
      <c r="U402" s="877">
        <f t="shared" si="175"/>
        <v>0</v>
      </c>
      <c r="V402" s="143"/>
      <c r="W402" s="143"/>
      <c r="X402" s="143"/>
      <c r="Y402" s="611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03">
        <f t="shared" si="176"/>
        <v>0</v>
      </c>
      <c r="AJ402" s="136"/>
      <c r="AK402" s="136"/>
      <c r="AL402" s="136"/>
      <c r="AM402" s="105">
        <f t="shared" si="177"/>
        <v>0</v>
      </c>
      <c r="AN402" s="143"/>
      <c r="AO402" s="143"/>
      <c r="AP402" s="143"/>
      <c r="AQ402" s="146"/>
      <c r="AR402" s="224">
        <f t="shared" si="178"/>
        <v>0</v>
      </c>
      <c r="AS402" s="141"/>
      <c r="AT402" s="141"/>
      <c r="AU402" s="141"/>
      <c r="AV402" s="141"/>
      <c r="AW402" s="141"/>
      <c r="AX402" s="141"/>
      <c r="AY402" s="141"/>
      <c r="AZ402" s="152"/>
      <c r="BA402" s="152"/>
      <c r="BB402" s="152"/>
      <c r="BC402" s="152"/>
      <c r="BD402" s="222">
        <f t="shared" si="179"/>
        <v>0</v>
      </c>
      <c r="BE402" s="140">
        <f t="shared" si="180"/>
        <v>0</v>
      </c>
      <c r="BF402" s="132"/>
      <c r="BG402" s="140">
        <f t="shared" si="181"/>
        <v>0</v>
      </c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30">
        <f t="shared" si="182"/>
        <v>0</v>
      </c>
      <c r="BV402" s="132"/>
    </row>
    <row r="403" ht="15" customHeight="1">
      <c r="A403" s="132"/>
      <c r="B403" s="215">
        <v>46385</v>
      </c>
      <c r="C403" s="133"/>
      <c r="D403" s="136"/>
      <c r="E403" s="135"/>
      <c r="F403" s="135"/>
      <c r="G403" s="98">
        <f t="shared" si="174"/>
        <v>0</v>
      </c>
      <c r="H403" s="819"/>
      <c r="I403" s="641"/>
      <c r="J403" s="99"/>
      <c r="K403" s="122"/>
      <c r="L403" s="99"/>
      <c r="M403" s="99"/>
      <c r="N403" s="99"/>
      <c r="O403" s="99"/>
      <c r="P403" s="99"/>
      <c r="Q403" s="99"/>
      <c r="R403" s="641"/>
      <c r="S403" s="641"/>
      <c r="T403" s="99"/>
      <c r="U403" s="877">
        <f t="shared" si="175"/>
        <v>0</v>
      </c>
      <c r="V403" s="143"/>
      <c r="W403" s="143"/>
      <c r="X403" s="143"/>
      <c r="Y403" s="611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03">
        <f t="shared" si="176"/>
        <v>0</v>
      </c>
      <c r="AJ403" s="136"/>
      <c r="AK403" s="136"/>
      <c r="AL403" s="136"/>
      <c r="AM403" s="105">
        <f t="shared" si="177"/>
        <v>0</v>
      </c>
      <c r="AN403" s="143"/>
      <c r="AO403" s="143"/>
      <c r="AP403" s="143"/>
      <c r="AQ403" s="146"/>
      <c r="AR403" s="224">
        <f t="shared" si="178"/>
        <v>0</v>
      </c>
      <c r="AS403" s="141"/>
      <c r="AT403" s="141"/>
      <c r="AU403" s="141"/>
      <c r="AV403" s="141"/>
      <c r="AW403" s="141"/>
      <c r="AX403" s="141"/>
      <c r="AY403" s="141"/>
      <c r="AZ403" s="152"/>
      <c r="BA403" s="152"/>
      <c r="BB403" s="152"/>
      <c r="BC403" s="152"/>
      <c r="BD403" s="222">
        <f t="shared" si="179"/>
        <v>0</v>
      </c>
      <c r="BE403" s="140">
        <f t="shared" si="180"/>
        <v>0</v>
      </c>
      <c r="BF403" s="132"/>
      <c r="BG403" s="140">
        <f t="shared" si="181"/>
        <v>0</v>
      </c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30">
        <f t="shared" si="182"/>
        <v>0</v>
      </c>
      <c r="BV403" s="132"/>
    </row>
    <row r="404" ht="14.25" customHeight="1">
      <c r="A404" s="132"/>
      <c r="B404" s="215">
        <v>46386</v>
      </c>
      <c r="C404" s="133"/>
      <c r="D404" s="136"/>
      <c r="E404" s="135"/>
      <c r="F404" s="135"/>
      <c r="G404" s="98">
        <f t="shared" si="174"/>
        <v>0</v>
      </c>
      <c r="H404" s="819"/>
      <c r="I404" s="641"/>
      <c r="J404" s="99"/>
      <c r="K404" s="122"/>
      <c r="L404" s="99"/>
      <c r="M404" s="99"/>
      <c r="N404" s="99"/>
      <c r="O404" s="99"/>
      <c r="P404" s="99"/>
      <c r="Q404" s="99"/>
      <c r="R404" s="641"/>
      <c r="S404" s="641"/>
      <c r="T404" s="99"/>
      <c r="U404" s="877">
        <f t="shared" si="175"/>
        <v>0</v>
      </c>
      <c r="V404" s="143"/>
      <c r="W404" s="143"/>
      <c r="X404" s="143"/>
      <c r="Y404" s="611"/>
      <c r="Z404" s="143"/>
      <c r="AA404" s="143"/>
      <c r="AB404" s="143"/>
      <c r="AC404" s="143"/>
      <c r="AD404" s="143"/>
      <c r="AE404" s="143"/>
      <c r="AF404" s="143"/>
      <c r="AG404" s="143"/>
      <c r="AH404" s="143"/>
      <c r="AI404" s="103">
        <f t="shared" si="176"/>
        <v>0</v>
      </c>
      <c r="AJ404" s="136"/>
      <c r="AK404" s="136"/>
      <c r="AL404" s="136"/>
      <c r="AM404" s="105">
        <f t="shared" si="177"/>
        <v>0</v>
      </c>
      <c r="AN404" s="143"/>
      <c r="AO404" s="143"/>
      <c r="AP404" s="143"/>
      <c r="AQ404" s="146"/>
      <c r="AR404" s="224">
        <f t="shared" si="178"/>
        <v>0</v>
      </c>
      <c r="AS404" s="141"/>
      <c r="AT404" s="141"/>
      <c r="AU404" s="141"/>
      <c r="AV404" s="141"/>
      <c r="AW404" s="141"/>
      <c r="AX404" s="141"/>
      <c r="AY404" s="141"/>
      <c r="AZ404" s="152"/>
      <c r="BA404" s="152"/>
      <c r="BB404" s="152"/>
      <c r="BC404" s="152"/>
      <c r="BD404" s="222">
        <f t="shared" si="179"/>
        <v>0</v>
      </c>
      <c r="BE404" s="140">
        <f t="shared" si="180"/>
        <v>0</v>
      </c>
      <c r="BF404" s="132"/>
      <c r="BG404" s="140">
        <f t="shared" si="181"/>
        <v>0</v>
      </c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30">
        <f t="shared" si="182"/>
        <v>0</v>
      </c>
      <c r="BV404" s="132"/>
    </row>
    <row r="405" ht="14.25" customHeight="1">
      <c r="A405" s="132"/>
      <c r="B405" s="215">
        <v>46387</v>
      </c>
      <c r="C405" s="153"/>
      <c r="D405" s="159"/>
      <c r="E405" s="156"/>
      <c r="F405" s="156"/>
      <c r="G405" s="98">
        <f t="shared" si="174"/>
        <v>0</v>
      </c>
      <c r="H405" s="833"/>
      <c r="I405" s="658"/>
      <c r="J405" s="657"/>
      <c r="K405" s="656"/>
      <c r="L405" s="657"/>
      <c r="M405" s="657"/>
      <c r="N405" s="657"/>
      <c r="O405" s="657"/>
      <c r="P405" s="657"/>
      <c r="Q405" s="657"/>
      <c r="R405" s="658"/>
      <c r="S405" s="658"/>
      <c r="T405" s="657"/>
      <c r="U405" s="877">
        <f t="shared" si="175"/>
        <v>0</v>
      </c>
      <c r="V405" s="157"/>
      <c r="W405" s="157"/>
      <c r="X405" s="157"/>
      <c r="Y405" s="613"/>
      <c r="Z405" s="157"/>
      <c r="AA405" s="157"/>
      <c r="AB405" s="157"/>
      <c r="AC405" s="157"/>
      <c r="AD405" s="157"/>
      <c r="AE405" s="157"/>
      <c r="AF405" s="157"/>
      <c r="AG405" s="157"/>
      <c r="AH405" s="157"/>
      <c r="AI405" s="103">
        <f t="shared" si="176"/>
        <v>0</v>
      </c>
      <c r="AJ405" s="159"/>
      <c r="AK405" s="159"/>
      <c r="AL405" s="159"/>
      <c r="AM405" s="105">
        <f t="shared" si="177"/>
        <v>0</v>
      </c>
      <c r="AN405" s="157"/>
      <c r="AO405" s="157"/>
      <c r="AP405" s="157"/>
      <c r="AQ405" s="160"/>
      <c r="AR405" s="224">
        <f t="shared" si="178"/>
        <v>0</v>
      </c>
      <c r="AS405" s="163"/>
      <c r="AT405" s="163"/>
      <c r="AU405" s="163"/>
      <c r="AV405" s="163"/>
      <c r="AW405" s="163"/>
      <c r="AX405" s="163"/>
      <c r="AY405" s="163"/>
      <c r="AZ405" s="879"/>
      <c r="BA405" s="879"/>
      <c r="BB405" s="879"/>
      <c r="BC405" s="879"/>
      <c r="BD405" s="222">
        <f t="shared" si="179"/>
        <v>0</v>
      </c>
      <c r="BE405" s="162">
        <f t="shared" si="180"/>
        <v>0</v>
      </c>
      <c r="BF405" s="132"/>
      <c r="BG405" s="162">
        <f t="shared" si="181"/>
        <v>0</v>
      </c>
      <c r="BH405" s="163"/>
      <c r="BI405" s="163"/>
      <c r="BJ405" s="163"/>
      <c r="BK405" s="163"/>
      <c r="BL405" s="163"/>
      <c r="BM405" s="163"/>
      <c r="BN405" s="163"/>
      <c r="BO405" s="163"/>
      <c r="BP405" s="141"/>
      <c r="BQ405" s="141"/>
      <c r="BR405" s="163"/>
      <c r="BS405" s="163"/>
      <c r="BT405" s="163"/>
      <c r="BU405" s="164">
        <f t="shared" si="182"/>
        <v>0</v>
      </c>
      <c r="BV405" s="132"/>
    </row>
    <row r="406" ht="14.25" customHeight="1">
      <c r="A406" s="3"/>
      <c r="B406" s="2" t="s">
        <v>86</v>
      </c>
      <c r="C406" s="755">
        <f ref="C406:G406" t="shared" si="183">SUM(C375:C405)</f>
        <v>0</v>
      </c>
      <c r="D406" s="755">
        <f t="shared" si="183"/>
        <v>0</v>
      </c>
      <c r="E406" s="755">
        <f t="shared" si="183"/>
        <v>0</v>
      </c>
      <c r="F406" s="755">
        <f t="shared" si="183"/>
        <v>0</v>
      </c>
      <c r="G406" s="755">
        <f t="shared" si="183"/>
        <v>0</v>
      </c>
      <c r="H406" s="757"/>
      <c r="I406" s="757">
        <f>SUM(I374:I405)</f>
        <v>0</v>
      </c>
      <c r="J406" s="757"/>
      <c r="K406" s="757"/>
      <c r="L406" s="757">
        <f>SUM(L375:L405)</f>
        <v>0</v>
      </c>
      <c r="M406" s="757"/>
      <c r="N406" s="757">
        <f ref="N406:V406" t="shared" si="184">SUM(N375:N405)</f>
        <v>0</v>
      </c>
      <c r="O406" s="757">
        <f t="shared" si="184"/>
        <v>0</v>
      </c>
      <c r="P406" s="757">
        <f t="shared" si="184"/>
        <v>0</v>
      </c>
      <c r="Q406" s="757">
        <f t="shared" si="184"/>
        <v>0</v>
      </c>
      <c r="R406" s="757">
        <f t="shared" si="184"/>
        <v>0</v>
      </c>
      <c r="S406" s="757">
        <f t="shared" si="184"/>
        <v>0</v>
      </c>
      <c r="T406" s="757">
        <f t="shared" si="184"/>
        <v>0</v>
      </c>
      <c r="U406" s="755">
        <f t="shared" si="184"/>
        <v>0</v>
      </c>
      <c r="V406" s="755">
        <f t="shared" si="184"/>
        <v>0</v>
      </c>
      <c r="W406" s="755"/>
      <c r="X406" s="755">
        <f ref="X406:BV406" t="shared" si="185">SUM(X375:X405)</f>
        <v>0</v>
      </c>
      <c r="Y406" s="755">
        <f t="shared" si="185"/>
        <v>0</v>
      </c>
      <c r="Z406" s="755">
        <f t="shared" si="185"/>
        <v>0</v>
      </c>
      <c r="AA406" s="755">
        <f t="shared" si="185"/>
        <v>0</v>
      </c>
      <c r="AB406" s="755">
        <f t="shared" si="185"/>
        <v>0</v>
      </c>
      <c r="AC406" s="755">
        <f t="shared" si="185"/>
        <v>0</v>
      </c>
      <c r="AD406" s="755">
        <f t="shared" si="185"/>
        <v>0</v>
      </c>
      <c r="AE406" s="755">
        <f t="shared" si="185"/>
        <v>0</v>
      </c>
      <c r="AF406" s="755">
        <f t="shared" si="185"/>
        <v>0</v>
      </c>
      <c r="AG406" s="755">
        <f t="shared" si="185"/>
        <v>0</v>
      </c>
      <c r="AH406" s="755">
        <f t="shared" si="185"/>
        <v>0</v>
      </c>
      <c r="AI406" s="755">
        <f t="shared" si="185"/>
        <v>0</v>
      </c>
      <c r="AJ406" s="755">
        <f t="shared" si="185"/>
        <v>0</v>
      </c>
      <c r="AK406" s="755">
        <f t="shared" si="185"/>
        <v>0</v>
      </c>
      <c r="AL406" s="755">
        <f t="shared" si="185"/>
        <v>0</v>
      </c>
      <c r="AM406" s="755">
        <f t="shared" si="185"/>
        <v>0</v>
      </c>
      <c r="AN406" s="755">
        <f t="shared" si="185"/>
        <v>0</v>
      </c>
      <c r="AO406" s="755">
        <f t="shared" si="185"/>
        <v>0</v>
      </c>
      <c r="AP406" s="755">
        <f t="shared" si="185"/>
        <v>0</v>
      </c>
      <c r="AQ406" s="755">
        <f t="shared" si="185"/>
        <v>0</v>
      </c>
      <c r="AR406" s="755">
        <f t="shared" si="185"/>
        <v>0</v>
      </c>
      <c r="AS406" s="757">
        <f t="shared" si="185"/>
        <v>0</v>
      </c>
      <c r="AT406" s="757">
        <f t="shared" si="185"/>
        <v>0</v>
      </c>
      <c r="AU406" s="757">
        <f t="shared" si="185"/>
        <v>0</v>
      </c>
      <c r="AV406" s="757">
        <f t="shared" si="185"/>
        <v>0</v>
      </c>
      <c r="AW406" s="757">
        <f t="shared" si="185"/>
        <v>0</v>
      </c>
      <c r="AX406" s="757">
        <f t="shared" si="185"/>
        <v>0</v>
      </c>
      <c r="AY406" s="757">
        <f t="shared" si="185"/>
        <v>0</v>
      </c>
      <c r="AZ406" s="880">
        <f t="shared" si="185"/>
        <v>0</v>
      </c>
      <c r="BA406" s="757">
        <f t="shared" si="185"/>
        <v>0</v>
      </c>
      <c r="BB406" s="757">
        <f t="shared" si="185"/>
        <v>0</v>
      </c>
      <c r="BC406" s="757">
        <f t="shared" si="185"/>
        <v>0</v>
      </c>
      <c r="BD406" s="755">
        <f t="shared" si="185"/>
        <v>0</v>
      </c>
      <c r="BE406" s="771">
        <f t="shared" si="185"/>
        <v>0</v>
      </c>
      <c r="BF406" s="235">
        <f t="shared" si="185"/>
        <v>0</v>
      </c>
      <c r="BG406" s="755">
        <f t="shared" si="185"/>
        <v>0</v>
      </c>
      <c r="BH406" s="755">
        <f t="shared" si="185"/>
        <v>0</v>
      </c>
      <c r="BI406" s="755">
        <f t="shared" si="185"/>
        <v>0</v>
      </c>
      <c r="BJ406" s="755">
        <f t="shared" si="185"/>
        <v>0</v>
      </c>
      <c r="BK406" s="755">
        <f t="shared" si="185"/>
        <v>0</v>
      </c>
      <c r="BL406" s="755">
        <f t="shared" si="185"/>
        <v>0</v>
      </c>
      <c r="BM406" s="755">
        <f t="shared" si="185"/>
        <v>0</v>
      </c>
      <c r="BN406" s="755">
        <f t="shared" si="185"/>
        <v>0</v>
      </c>
      <c r="BO406" s="755">
        <f t="shared" si="185"/>
        <v>0</v>
      </c>
      <c r="BP406" s="755">
        <f t="shared" si="185"/>
        <v>0</v>
      </c>
      <c r="BQ406" s="755">
        <f t="shared" si="185"/>
        <v>0</v>
      </c>
      <c r="BR406" s="755">
        <f t="shared" si="185"/>
        <v>0</v>
      </c>
      <c r="BS406" s="755">
        <f t="shared" si="185"/>
        <v>0</v>
      </c>
      <c r="BT406" s="755">
        <f t="shared" si="185"/>
        <v>0</v>
      </c>
      <c r="BU406" s="771">
        <f t="shared" si="185"/>
        <v>0</v>
      </c>
      <c r="BV406" s="235">
        <f t="shared" si="185"/>
        <v>0</v>
      </c>
    </row>
    <row r="407" ht="14.25" customHeight="1">
      <c r="A407" s="1"/>
      <c r="B407" s="2"/>
      <c r="C407" s="3"/>
      <c r="D407" s="3"/>
      <c r="E407" s="3"/>
      <c r="F407" s="3"/>
      <c r="G407" s="4"/>
      <c r="H407" s="4"/>
      <c r="I407" s="1"/>
      <c r="J407" s="3"/>
      <c r="K407" s="3"/>
      <c r="L407" s="3"/>
      <c r="M407" s="3"/>
      <c r="N407" s="3"/>
      <c r="O407" s="3"/>
      <c r="P407" s="3"/>
      <c r="Q407" s="3"/>
      <c r="R407" s="1"/>
      <c r="S407" s="1"/>
      <c r="T407" s="3"/>
      <c r="U407" s="3"/>
      <c r="V407" s="3"/>
      <c r="W407" s="3"/>
      <c r="X407" s="3"/>
      <c r="Y407" s="1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4"/>
      <c r="AN407" s="3"/>
      <c r="AO407" s="3"/>
      <c r="AP407" s="3"/>
      <c r="AQ407" s="3"/>
      <c r="AR407" s="4"/>
      <c r="AS407" s="380"/>
      <c r="AT407" s="132"/>
      <c r="AU407" s="132"/>
      <c r="AV407" s="3"/>
      <c r="AW407" s="3"/>
      <c r="AX407" s="3"/>
      <c r="AY407" s="132"/>
      <c r="AZ407" s="132"/>
      <c r="BA407" s="132"/>
      <c r="BB407" s="132"/>
      <c r="BC407" s="132"/>
      <c r="BD407" s="4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</row>
    <row r="408" ht="14.25" customHeight="1">
      <c r="A408" s="1"/>
      <c r="B408" s="2"/>
      <c r="C408" s="3"/>
      <c r="D408" s="3"/>
      <c r="E408" s="3"/>
      <c r="F408" s="3"/>
      <c r="G408" s="4"/>
      <c r="H408" s="4"/>
      <c r="I408" s="1"/>
      <c r="J408" s="3"/>
      <c r="K408" s="3"/>
      <c r="L408" s="3"/>
      <c r="M408" s="3"/>
      <c r="N408" s="3"/>
      <c r="O408" s="3"/>
      <c r="P408" s="3"/>
      <c r="Q408" s="3"/>
      <c r="R408" s="1"/>
      <c r="S408" s="1"/>
      <c r="T408" s="3"/>
      <c r="U408" s="3"/>
      <c r="V408" s="3"/>
      <c r="W408" s="3"/>
      <c r="X408" s="3"/>
      <c r="Y408" s="1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4"/>
      <c r="AN408" s="3"/>
      <c r="AO408" s="3"/>
      <c r="AP408" s="3"/>
      <c r="AQ408" s="3"/>
      <c r="AR408" s="4"/>
      <c r="AS408" s="380"/>
      <c r="AT408" s="132"/>
      <c r="AU408" s="132"/>
      <c r="AV408" s="3"/>
      <c r="AW408" s="3"/>
      <c r="AX408" s="3"/>
      <c r="AY408" s="132"/>
      <c r="AZ408" s="132"/>
      <c r="BA408" s="132"/>
      <c r="BB408" s="132"/>
      <c r="BC408" s="132"/>
      <c r="BD408" s="4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</row>
    <row r="409" ht="14.25" customHeight="1">
      <c r="A409" s="1"/>
      <c r="B409" s="2"/>
      <c r="C409" s="3"/>
      <c r="D409" s="3"/>
      <c r="E409" s="3"/>
      <c r="F409" s="3"/>
      <c r="G409" s="4"/>
      <c r="H409" s="4"/>
      <c r="I409" s="1"/>
      <c r="J409" s="3"/>
      <c r="K409" s="3"/>
      <c r="L409" s="3"/>
      <c r="M409" s="3"/>
      <c r="N409" s="3"/>
      <c r="O409" s="3"/>
      <c r="P409" s="3"/>
      <c r="Q409" s="3"/>
      <c r="R409" s="1"/>
      <c r="S409" s="1"/>
      <c r="T409" s="3"/>
      <c r="U409" s="3"/>
      <c r="V409" s="3"/>
      <c r="W409" s="3"/>
      <c r="X409" s="3"/>
      <c r="Y409" s="1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4"/>
      <c r="AN409" s="3"/>
      <c r="AO409" s="3"/>
      <c r="AP409" s="3"/>
      <c r="AQ409" s="3"/>
      <c r="AR409" s="4"/>
      <c r="AS409" s="380"/>
      <c r="AT409" s="132"/>
      <c r="AU409" s="132"/>
      <c r="AV409" s="3"/>
      <c r="AW409" s="3"/>
      <c r="AX409" s="3"/>
      <c r="AY409" s="132"/>
      <c r="AZ409" s="132"/>
      <c r="BA409" s="132"/>
      <c r="BB409" s="132"/>
      <c r="BC409" s="132"/>
      <c r="BD409" s="4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</row>
    <row r="410" ht="14.25" customHeight="1">
      <c r="A410" s="1"/>
      <c r="B410" s="2"/>
      <c r="C410" s="3"/>
      <c r="D410" s="3"/>
      <c r="E410" s="3"/>
      <c r="F410" s="3"/>
      <c r="G410" s="4"/>
      <c r="H410" s="4"/>
      <c r="I410" s="1"/>
      <c r="J410" s="3"/>
      <c r="K410" s="3"/>
      <c r="L410" s="3"/>
      <c r="M410" s="3"/>
      <c r="N410" s="3"/>
      <c r="O410" s="3"/>
      <c r="P410" s="3"/>
      <c r="Q410" s="3"/>
      <c r="R410" s="1"/>
      <c r="S410" s="1"/>
      <c r="T410" s="3"/>
      <c r="U410" s="3"/>
      <c r="V410" s="3"/>
      <c r="W410" s="3"/>
      <c r="X410" s="3"/>
      <c r="Y410" s="1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4"/>
      <c r="AN410" s="3"/>
      <c r="AO410" s="3"/>
      <c r="AP410" s="3"/>
      <c r="AQ410" s="3"/>
      <c r="AR410" s="4"/>
      <c r="AS410" s="380"/>
      <c r="AT410" s="132"/>
      <c r="AU410" s="132"/>
      <c r="AV410" s="3"/>
      <c r="AW410" s="3"/>
      <c r="AX410" s="3"/>
      <c r="AY410" s="132"/>
      <c r="AZ410" s="132"/>
      <c r="BA410" s="132"/>
      <c r="BB410" s="132"/>
      <c r="BC410" s="132"/>
      <c r="BD410" s="4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</row>
  </sheetData>
  <pageMargins left="0.7" right="0.7" top="0.75" bottom="0.75" header="0" footer="0"/>
  <pageSetup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5623"/>
  </sheetPr>
  <dimension ref="A1:BU406"/>
  <sheetViews>
    <sheetView showGridLines="0" zoomScale="70" zoomScaleNormal="70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B73" sqref="B73:B103"/>
    </sheetView>
  </sheetViews>
  <sheetFormatPr baseColWidth="10" defaultColWidth="14.42578125" defaultRowHeight="15" customHeight="1" x14ac:dyDescent="0.25"/>
  <cols>
    <col min="1" max="1" width="2" customWidth="1"/>
    <col min="2" max="2" width="16" customWidth="1"/>
    <col min="3" max="4" width="13.42578125" customWidth="1"/>
    <col min="5" max="5" hidden="1" width="12.42578125" customWidth="1"/>
    <col min="6" max="6" hidden="1" width="13.85546875" customWidth="1"/>
    <col min="7" max="7" width="13.42578125" customWidth="1"/>
    <col min="8" max="8" width="15.42578125" customWidth="1"/>
    <col min="9" max="9" width="18.85546875" customWidth="1"/>
    <col min="10" max="11" width="13.7109375" customWidth="1"/>
    <col min="12" max="12" width="15.42578125" customWidth="1"/>
    <col min="13" max="13" width="13.7109375" customWidth="1"/>
    <col min="14" max="17" hidden="1" width="13.7109375" customWidth="1"/>
    <col min="18" max="19" width="10.7109375" customWidth="1"/>
    <col min="20" max="20" width="15.42578125" customWidth="1"/>
    <col min="21" max="21" width="18" customWidth="1"/>
    <col min="22" max="22" width="15" customWidth="1"/>
    <col min="23" max="23" width="12.7109375" customWidth="1"/>
    <col min="24" max="31" hidden="1" width="12.7109375" customWidth="1"/>
    <col min="32" max="32" hidden="1" width="16.85546875" customWidth="1"/>
    <col min="33" max="33" hidden="1" width="12.7109375" customWidth="1"/>
    <col min="34" max="34" width="12" customWidth="1"/>
    <col min="35" max="36" width="12.85546875" customWidth="1"/>
    <col min="37" max="37" hidden="1" width="12.85546875" customWidth="1"/>
    <col min="38" max="38" width="16.42578125" customWidth="1"/>
    <col min="39" max="40" width="15.140625" customWidth="1"/>
    <col min="41" max="42" hidden="1" width="15.140625" customWidth="1"/>
    <col min="43" max="43" width="12.7109375" customWidth="1"/>
    <col min="44" max="44" width="13.140625" customWidth="1"/>
    <col min="45" max="45" width="11.85546875" customWidth="1"/>
    <col min="46" max="46" width="11.42578125" customWidth="1"/>
    <col min="47" max="47" width="11.85546875" customWidth="1"/>
    <col min="48" max="49" hidden="1" width="11.85546875" customWidth="1"/>
    <col min="50" max="50" width="11.85546875" customWidth="1"/>
    <col min="51" max="52" hidden="1" width="11.85546875" customWidth="1"/>
    <col min="53" max="53" hidden="1" width="13.42578125" customWidth="1"/>
    <col min="54" max="54" width="11.85546875" customWidth="1"/>
    <col min="55" max="55" width="13" customWidth="1"/>
    <col min="56" max="56" width="16.42578125" customWidth="1"/>
    <col min="57" max="57" width="4" customWidth="1"/>
    <col min="58" max="58" width="11.42578125" customWidth="1"/>
    <col min="59" max="61" width="12.7109375" customWidth="1"/>
    <col min="62" max="64" hidden="1" width="12.7109375" customWidth="1"/>
    <col min="65" max="65" hidden="1" width="15" customWidth="1"/>
    <col min="66" max="67" hidden="1" width="14.42578125" customWidth="1"/>
    <col min="68" max="68" width="12.7109375" customWidth="1"/>
    <col min="69" max="70" width="10.7109375" customWidth="1"/>
    <col min="71" max="71" hidden="1" width="10.7109375" customWidth="1"/>
    <col min="72" max="72" width="11.42578125" customWidth="1"/>
    <col min="73" max="73" width="2.140625" customWidth="1"/>
  </cols>
  <sheetData>
    <row r="1" ht="7.5" customHeight="1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3"/>
      <c r="AN1" s="3"/>
      <c r="AO1" s="3"/>
      <c r="AP1" s="3"/>
      <c r="AQ1" s="3"/>
      <c r="AR1" s="4"/>
      <c r="AS1" s="132"/>
      <c r="AT1" s="132"/>
      <c r="AU1" s="132"/>
      <c r="AV1" s="3"/>
      <c r="AW1" s="3"/>
      <c r="AX1" s="132"/>
      <c r="AY1" s="132"/>
      <c r="AZ1" s="132"/>
      <c r="BA1" s="132"/>
      <c r="BB1" s="132"/>
      <c r="BC1" s="4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ht="15" customHeight="1">
      <c r="A2" s="559"/>
      <c r="B2" s="560" t="s">
        <v>1</v>
      </c>
      <c r="C2" s="559"/>
      <c r="D2" s="559"/>
      <c r="E2" s="559"/>
      <c r="F2" s="559"/>
      <c r="G2" s="561"/>
      <c r="H2" s="561"/>
      <c r="I2" s="559"/>
      <c r="J2" s="559"/>
      <c r="K2" s="559"/>
      <c r="L2" s="559"/>
      <c r="M2" s="559"/>
      <c r="N2" s="559"/>
      <c r="O2" s="559"/>
      <c r="P2" s="561"/>
      <c r="Q2" s="561"/>
      <c r="R2" s="561"/>
      <c r="S2" s="561"/>
      <c r="T2" s="559"/>
      <c r="U2" s="559"/>
      <c r="V2" s="559"/>
      <c r="W2" s="559"/>
      <c r="X2" s="559"/>
      <c r="Y2" s="559"/>
      <c r="Z2" s="559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63"/>
      <c r="AM2" s="563"/>
      <c r="AN2" s="563"/>
      <c r="AO2" s="563"/>
      <c r="AP2" s="563"/>
      <c r="AQ2" s="563"/>
      <c r="AR2" s="563"/>
      <c r="AS2" s="559"/>
      <c r="AT2" s="559"/>
      <c r="AU2" s="559"/>
      <c r="AV2" s="559"/>
      <c r="AW2" s="563"/>
      <c r="AX2" s="559"/>
      <c r="AY2" s="559"/>
      <c r="AZ2" s="559"/>
      <c r="BA2" s="559"/>
      <c r="BB2" s="559"/>
      <c r="BC2" s="563"/>
      <c r="BD2" s="559"/>
      <c r="BE2" s="559"/>
      <c r="BF2" s="559"/>
      <c r="BG2" s="559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</row>
    <row r="3" ht="14.25" customHeight="1">
      <c r="A3" s="14"/>
      <c r="B3" s="20"/>
      <c r="C3" s="689" t="s">
        <v>178</v>
      </c>
      <c r="D3" s="14"/>
      <c r="E3" s="14"/>
      <c r="F3" s="14"/>
      <c r="G3" s="881"/>
      <c r="H3" s="15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4"/>
      <c r="AY3" s="14"/>
      <c r="AZ3" s="14"/>
      <c r="BA3" s="14"/>
      <c r="BB3" s="14"/>
      <c r="BC3" s="16"/>
      <c r="BD3" s="14"/>
      <c r="BE3" s="14"/>
      <c r="BF3" s="14" t="s">
        <v>3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ht="8.25" customHeight="1">
      <c r="A4" s="3"/>
      <c r="B4" s="204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693"/>
      <c r="AH4" s="25" t="s">
        <v>4</v>
      </c>
      <c r="AI4" s="3"/>
      <c r="AJ4" s="3"/>
      <c r="AK4" s="3"/>
      <c r="AL4" s="695" t="s">
        <v>5</v>
      </c>
      <c r="AM4" s="693"/>
      <c r="AN4" s="693"/>
      <c r="AO4" s="693"/>
      <c r="AP4" s="693"/>
      <c r="AQ4" s="693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175"/>
      <c r="BU4" s="3"/>
    </row>
    <row r="5" ht="13.5" customHeight="1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10</v>
      </c>
      <c r="U5" s="571" t="s">
        <v>11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708" t="s">
        <v>12</v>
      </c>
      <c r="AH5" s="709" t="s">
        <v>12</v>
      </c>
      <c r="AI5" s="572" t="s">
        <v>13</v>
      </c>
      <c r="AJ5" s="573" t="s">
        <v>13</v>
      </c>
      <c r="AK5" s="573" t="s">
        <v>13</v>
      </c>
      <c r="AL5" s="605" t="s">
        <v>14</v>
      </c>
      <c r="AM5" s="574" t="s">
        <v>15</v>
      </c>
      <c r="AN5" s="574" t="s">
        <v>15</v>
      </c>
      <c r="AO5" s="575" t="s">
        <v>15</v>
      </c>
      <c r="AP5" s="575" t="s">
        <v>15</v>
      </c>
      <c r="AQ5" s="576" t="s">
        <v>16</v>
      </c>
      <c r="AR5" s="51" t="s">
        <v>4</v>
      </c>
      <c r="AS5" s="882" t="s">
        <v>17</v>
      </c>
      <c r="AT5" s="883" t="s">
        <v>17</v>
      </c>
      <c r="AU5" s="59" t="s">
        <v>20</v>
      </c>
      <c r="AV5" s="59" t="s">
        <v>20</v>
      </c>
      <c r="AW5" s="59" t="s">
        <v>20</v>
      </c>
      <c r="AX5" s="882" t="s">
        <v>20</v>
      </c>
      <c r="AY5" s="884" t="s">
        <v>20</v>
      </c>
      <c r="AZ5" s="884" t="s">
        <v>21</v>
      </c>
      <c r="BA5" s="883" t="s">
        <v>22</v>
      </c>
      <c r="BB5" s="716" t="s">
        <v>24</v>
      </c>
      <c r="BC5" s="51" t="s">
        <v>5</v>
      </c>
      <c r="BD5" s="58" t="s">
        <v>25</v>
      </c>
      <c r="BE5" s="33"/>
      <c r="BF5" s="58" t="s">
        <v>4</v>
      </c>
      <c r="BG5" s="59" t="s">
        <v>26</v>
      </c>
      <c r="BH5" s="59" t="s">
        <v>89</v>
      </c>
      <c r="BI5" s="59" t="s">
        <v>90</v>
      </c>
      <c r="BJ5" s="59" t="s">
        <v>91</v>
      </c>
      <c r="BK5" s="59" t="s">
        <v>92</v>
      </c>
      <c r="BL5" s="59" t="s">
        <v>93</v>
      </c>
      <c r="BM5" s="59" t="s">
        <v>94</v>
      </c>
      <c r="BN5" s="59"/>
      <c r="BO5" s="59" t="s">
        <v>95</v>
      </c>
      <c r="BP5" s="59" t="s">
        <v>27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ht="19.5" customHeight="1">
      <c r="A6" s="33"/>
      <c r="B6" s="885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179</v>
      </c>
      <c r="I6" s="588" t="s">
        <v>180</v>
      </c>
      <c r="J6" s="588" t="s">
        <v>106</v>
      </c>
      <c r="K6" s="588" t="s">
        <v>181</v>
      </c>
      <c r="L6" s="588" t="s">
        <v>182</v>
      </c>
      <c r="M6" s="588" t="s">
        <v>183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112</v>
      </c>
      <c r="S6" s="588" t="s">
        <v>35</v>
      </c>
      <c r="T6" s="886" t="s">
        <v>184</v>
      </c>
      <c r="U6" s="595" t="s">
        <v>48</v>
      </c>
      <c r="V6" s="733"/>
      <c r="W6" s="733"/>
      <c r="X6" s="733" t="s">
        <v>52</v>
      </c>
      <c r="Y6" s="733" t="s">
        <v>53</v>
      </c>
      <c r="Z6" s="733" t="s">
        <v>54</v>
      </c>
      <c r="AA6" s="733" t="s">
        <v>55</v>
      </c>
      <c r="AB6" s="733" t="s">
        <v>56</v>
      </c>
      <c r="AC6" s="733" t="s">
        <v>57</v>
      </c>
      <c r="AD6" s="733" t="s">
        <v>58</v>
      </c>
      <c r="AE6" s="733" t="s">
        <v>59</v>
      </c>
      <c r="AF6" s="733" t="s">
        <v>46</v>
      </c>
      <c r="AG6" s="733" t="s">
        <v>47</v>
      </c>
      <c r="AH6" s="595" t="s">
        <v>30</v>
      </c>
      <c r="AI6" s="599" t="s">
        <v>30</v>
      </c>
      <c r="AJ6" s="600" t="s">
        <v>31</v>
      </c>
      <c r="AK6" s="600" t="s">
        <v>32</v>
      </c>
      <c r="AL6" s="90" t="s">
        <v>34</v>
      </c>
      <c r="AM6" s="601" t="s">
        <v>48</v>
      </c>
      <c r="AN6" s="601" t="s">
        <v>31</v>
      </c>
      <c r="AO6" s="602" t="s">
        <v>31</v>
      </c>
      <c r="AP6" s="602" t="s">
        <v>32</v>
      </c>
      <c r="AQ6" s="603" t="s">
        <v>60</v>
      </c>
      <c r="AR6" s="81" t="s">
        <v>61</v>
      </c>
      <c r="AS6" s="887" t="s">
        <v>62</v>
      </c>
      <c r="AT6" s="888" t="s">
        <v>64</v>
      </c>
      <c r="AU6" s="605" t="s">
        <v>158</v>
      </c>
      <c r="AV6" s="605" t="s">
        <v>12</v>
      </c>
      <c r="AW6" s="605" t="s">
        <v>67</v>
      </c>
      <c r="AX6" s="887" t="s">
        <v>31</v>
      </c>
      <c r="AY6" s="889" t="s">
        <v>32</v>
      </c>
      <c r="AZ6" s="889" t="s">
        <v>32</v>
      </c>
      <c r="BA6" s="888"/>
      <c r="BB6" s="740" t="s">
        <v>69</v>
      </c>
      <c r="BC6" s="81" t="s">
        <v>70</v>
      </c>
      <c r="BD6" s="89" t="s">
        <v>71</v>
      </c>
      <c r="BE6" s="33"/>
      <c r="BF6" s="89" t="s">
        <v>72</v>
      </c>
      <c r="BG6" s="90"/>
      <c r="BH6" s="90" t="s">
        <v>125</v>
      </c>
      <c r="BI6" s="90"/>
      <c r="BJ6" s="90" t="s">
        <v>126</v>
      </c>
      <c r="BK6" s="90" t="s">
        <v>127</v>
      </c>
      <c r="BL6" s="90" t="s">
        <v>128</v>
      </c>
      <c r="BM6" s="90" t="s">
        <v>129</v>
      </c>
      <c r="BN6" s="90" t="s">
        <v>185</v>
      </c>
      <c r="BO6" s="90" t="s">
        <v>131</v>
      </c>
      <c r="BP6" s="90" t="s">
        <v>73</v>
      </c>
      <c r="BQ6" s="741" t="s">
        <v>72</v>
      </c>
      <c r="BR6" s="90" t="s">
        <v>75</v>
      </c>
      <c r="BS6" s="90" t="s">
        <v>52</v>
      </c>
      <c r="BT6" s="91"/>
      <c r="BU6" s="33"/>
    </row>
    <row r="7" ht="14.25" customHeight="1">
      <c r="A7" s="3"/>
      <c r="B7" s="491">
        <v>46023</v>
      </c>
      <c r="C7" s="890">
        <f>5504.26-D7-0</f>
      </c>
      <c r="D7" s="891">
        <v>2448.98</v>
      </c>
      <c r="E7" s="892"/>
      <c r="F7" s="893"/>
      <c r="G7" s="147">
        <f ref="G7:G37" t="shared" si="0">+C7+D7+E7+F7</f>
        <v>0</v>
      </c>
      <c r="H7" s="187"/>
      <c r="I7" s="894"/>
      <c r="J7" s="186"/>
      <c r="K7" s="101"/>
      <c r="L7" s="186"/>
      <c r="M7" s="186"/>
      <c r="N7" s="186"/>
      <c r="O7" s="186"/>
      <c r="P7" s="186"/>
      <c r="Q7" s="186"/>
      <c r="R7" s="894"/>
      <c r="S7" s="895"/>
      <c r="T7" s="186"/>
      <c r="U7" s="103">
        <f ref="U7:U37" t="shared" si="1">SUM(H7:T7)</f>
        <v>0</v>
      </c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03">
        <f ref="AH7:AH37" t="shared" si="2">SUM(V7:AG7)</f>
        <v>0</v>
      </c>
      <c r="AI7" s="896">
        <v>1247.44</v>
      </c>
      <c r="AJ7" s="897">
        <v>896.5</v>
      </c>
      <c r="AK7" s="104"/>
      <c r="AL7" s="105">
        <f ref="AL7:AL37" t="shared" si="3">SUM(AI7:AK7)</f>
        <v>0</v>
      </c>
      <c r="AM7" s="188">
        <v>7.93</v>
      </c>
      <c r="AN7" s="188">
        <v>1</v>
      </c>
      <c r="AO7" s="186"/>
      <c r="AP7" s="186"/>
      <c r="AQ7" s="193"/>
      <c r="AR7" s="224">
        <f ref="AR7:AR37" t="shared" si="4">+G7-U7-AH7-AL7-AM7-AO7-AP7-AQ7-AN7</f>
        <v>0</v>
      </c>
      <c r="AS7" s="1759"/>
      <c r="AT7" s="1537"/>
      <c r="AU7" s="1537"/>
      <c r="AV7" s="1548"/>
      <c r="AW7" s="1548"/>
      <c r="AX7" s="1759"/>
      <c r="AY7" s="1539"/>
      <c r="AZ7" s="1539"/>
      <c r="BA7" s="1539"/>
      <c r="BB7" s="1708"/>
      <c r="BC7" s="222">
        <f ref="BC7:BC37" t="shared" si="5">SUM(AS7:BB7)-BA7</f>
        <v>0</v>
      </c>
      <c r="BD7" s="114">
        <f ref="BD7:BD37" t="shared" si="6">+AR7-BC7</f>
        <v>0</v>
      </c>
      <c r="BE7" s="3"/>
      <c r="BF7" s="114">
        <f ref="BF7:BF37" t="shared" si="7">SUM(BG7:BS7)</f>
        <v>0</v>
      </c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898"/>
      <c r="BR7" s="899"/>
      <c r="BS7" s="899"/>
      <c r="BT7" s="116">
        <f ref="BT7:BT37" t="shared" si="8">+BD7-BF7</f>
        <v>0</v>
      </c>
      <c r="BU7" s="3"/>
    </row>
    <row r="8" ht="14.25" customHeight="1">
      <c r="A8" s="3"/>
      <c r="B8" s="491">
        <v>46024</v>
      </c>
      <c r="C8" s="900">
        <f>6780.44-D8-0</f>
      </c>
      <c r="D8" s="901">
        <v>2580.4</v>
      </c>
      <c r="E8" s="902"/>
      <c r="F8" s="903"/>
      <c r="G8" s="147">
        <f t="shared" si="0"/>
        <v>0</v>
      </c>
      <c r="H8" s="144"/>
      <c r="I8" s="904"/>
      <c r="J8" s="143"/>
      <c r="K8" s="99"/>
      <c r="L8" s="143"/>
      <c r="M8" s="143"/>
      <c r="N8" s="143"/>
      <c r="O8" s="143"/>
      <c r="P8" s="143"/>
      <c r="Q8" s="143"/>
      <c r="R8" s="905"/>
      <c r="S8" s="895"/>
      <c r="T8" s="143"/>
      <c r="U8" s="103">
        <f t="shared" si="1"/>
        <v>0</v>
      </c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03">
        <f t="shared" si="2"/>
        <v>0</v>
      </c>
      <c r="AI8" s="906">
        <v>1426.04</v>
      </c>
      <c r="AJ8" s="907">
        <v>854.16</v>
      </c>
      <c r="AK8" s="123"/>
      <c r="AL8" s="105">
        <f t="shared" si="3"/>
        <v>0</v>
      </c>
      <c r="AM8" s="145">
        <v>77.86</v>
      </c>
      <c r="AN8" s="145">
        <v>2.9</v>
      </c>
      <c r="AO8" s="143"/>
      <c r="AP8" s="143"/>
      <c r="AQ8" s="146"/>
      <c r="AR8" s="224">
        <f t="shared" si="4"/>
        <v>0</v>
      </c>
      <c r="AS8" s="1760">
        <v>2696.2</v>
      </c>
      <c r="AT8" s="1546"/>
      <c r="AU8" s="1546"/>
      <c r="AV8" s="1548"/>
      <c r="AW8" s="1548"/>
      <c r="AX8" s="1760">
        <v>1723.4</v>
      </c>
      <c r="AY8" s="1548"/>
      <c r="AZ8" s="1548"/>
      <c r="BA8" s="1548"/>
      <c r="BB8" s="1709"/>
      <c r="BC8" s="222">
        <f t="shared" si="5"/>
        <v>0</v>
      </c>
      <c r="BD8" s="113">
        <f t="shared" si="6"/>
        <v>0</v>
      </c>
      <c r="BE8" s="3"/>
      <c r="BF8" s="113">
        <f t="shared" si="7"/>
        <v>0</v>
      </c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908"/>
      <c r="BR8" s="909"/>
      <c r="BS8" s="909"/>
      <c r="BT8" s="130">
        <f t="shared" si="8"/>
        <v>0</v>
      </c>
      <c r="BU8" s="3"/>
    </row>
    <row r="9" ht="14.25" customHeight="1">
      <c r="A9" s="3"/>
      <c r="B9" s="491">
        <v>46025</v>
      </c>
      <c r="C9" s="900">
        <f>6207.85-D9-0</f>
      </c>
      <c r="D9" s="901">
        <v>2989.6</v>
      </c>
      <c r="E9" s="902"/>
      <c r="F9" s="903"/>
      <c r="G9" s="147">
        <f t="shared" si="0"/>
        <v>0</v>
      </c>
      <c r="H9" s="144"/>
      <c r="I9" s="904"/>
      <c r="J9" s="143"/>
      <c r="K9" s="99"/>
      <c r="L9" s="143"/>
      <c r="M9" s="143"/>
      <c r="N9" s="143"/>
      <c r="O9" s="143"/>
      <c r="P9" s="143"/>
      <c r="Q9" s="143"/>
      <c r="R9" s="905"/>
      <c r="S9" s="895"/>
      <c r="T9" s="143"/>
      <c r="U9" s="103">
        <f t="shared" si="1"/>
        <v>0</v>
      </c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03">
        <f t="shared" si="2"/>
        <v>0</v>
      </c>
      <c r="AI9" s="906">
        <v>1245.55</v>
      </c>
      <c r="AJ9" s="907">
        <v>937.41</v>
      </c>
      <c r="AK9" s="123"/>
      <c r="AL9" s="105">
        <f t="shared" si="3"/>
        <v>0</v>
      </c>
      <c r="AM9" s="145">
        <v>16.26</v>
      </c>
      <c r="AN9" s="145">
        <v>2.85</v>
      </c>
      <c r="AO9" s="143"/>
      <c r="AP9" s="143"/>
      <c r="AQ9" s="146"/>
      <c r="AR9" s="224">
        <f t="shared" si="4"/>
        <v>0</v>
      </c>
      <c r="AS9" s="1760">
        <v>1956.5</v>
      </c>
      <c r="AT9" s="1546"/>
      <c r="AU9" s="1546"/>
      <c r="AV9" s="1548"/>
      <c r="AW9" s="1548"/>
      <c r="AX9" s="1760">
        <v>2049.4</v>
      </c>
      <c r="AY9" s="1548"/>
      <c r="AZ9" s="1548"/>
      <c r="BA9" s="1548"/>
      <c r="BB9" s="1709"/>
      <c r="BC9" s="222">
        <f t="shared" si="5"/>
        <v>0</v>
      </c>
      <c r="BD9" s="113">
        <f t="shared" si="6"/>
        <v>0</v>
      </c>
      <c r="BE9" s="3"/>
      <c r="BF9" s="113">
        <f t="shared" si="7"/>
        <v>0</v>
      </c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908"/>
      <c r="BR9" s="909"/>
      <c r="BS9" s="909"/>
      <c r="BT9" s="130">
        <f t="shared" si="8"/>
        <v>0</v>
      </c>
      <c r="BU9" s="3"/>
    </row>
    <row r="10" ht="14.25" customHeight="1">
      <c r="A10" s="3"/>
      <c r="B10" s="491">
        <v>46026</v>
      </c>
      <c r="C10" s="900">
        <f>6735.43-D10-0</f>
      </c>
      <c r="D10" s="901">
        <v>2807.43</v>
      </c>
      <c r="E10" s="902"/>
      <c r="F10" s="903"/>
      <c r="G10" s="147">
        <f t="shared" si="0"/>
        <v>0</v>
      </c>
      <c r="H10" s="144"/>
      <c r="I10" s="905"/>
      <c r="J10" s="143"/>
      <c r="K10" s="99"/>
      <c r="L10" s="143"/>
      <c r="M10" s="143"/>
      <c r="N10" s="143"/>
      <c r="O10" s="143"/>
      <c r="P10" s="143"/>
      <c r="Q10" s="143"/>
      <c r="R10" s="905"/>
      <c r="S10" s="895"/>
      <c r="T10" s="143"/>
      <c r="U10" s="103">
        <f t="shared" si="1"/>
        <v>0</v>
      </c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03">
        <f t="shared" si="2"/>
        <v>0</v>
      </c>
      <c r="AI10" s="906">
        <v>1382.91</v>
      </c>
      <c r="AJ10" s="907">
        <v>1090.8</v>
      </c>
      <c r="AK10" s="123"/>
      <c r="AL10" s="105">
        <f t="shared" si="3"/>
        <v>0</v>
      </c>
      <c r="AM10" s="145">
        <v>33.2</v>
      </c>
      <c r="AN10" s="145">
        <v>2.44</v>
      </c>
      <c r="AO10" s="143"/>
      <c r="AP10" s="143"/>
      <c r="AQ10" s="146"/>
      <c r="AR10" s="224">
        <f t="shared" si="4"/>
        <v>0</v>
      </c>
      <c r="AS10" s="1760">
        <v>2511.9</v>
      </c>
      <c r="AT10" s="1546"/>
      <c r="AU10" s="1546"/>
      <c r="AV10" s="1548"/>
      <c r="AW10" s="1548"/>
      <c r="AX10" s="1760">
        <v>1714.2</v>
      </c>
      <c r="AY10" s="1548"/>
      <c r="AZ10" s="1548"/>
      <c r="BA10" s="1548"/>
      <c r="BB10" s="1709"/>
      <c r="BC10" s="222">
        <f t="shared" si="5"/>
        <v>0</v>
      </c>
      <c r="BD10" s="113">
        <f t="shared" si="6"/>
        <v>0</v>
      </c>
      <c r="BE10" s="3"/>
      <c r="BF10" s="113">
        <f t="shared" si="7"/>
        <v>0</v>
      </c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08"/>
      <c r="BR10" s="910"/>
      <c r="BS10" s="909"/>
      <c r="BT10" s="130">
        <f t="shared" si="8"/>
        <v>0</v>
      </c>
      <c r="BU10" s="3"/>
    </row>
    <row r="11" ht="14.25" customHeight="1">
      <c r="A11" s="3"/>
      <c r="B11" s="491">
        <v>46027</v>
      </c>
      <c r="C11" s="900">
        <f>7270.36-D11-0</f>
      </c>
      <c r="D11" s="901">
        <v>2926.21</v>
      </c>
      <c r="E11" s="902"/>
      <c r="F11" s="903"/>
      <c r="G11" s="147">
        <f t="shared" si="0"/>
        <v>0</v>
      </c>
      <c r="H11" s="144"/>
      <c r="I11" s="905"/>
      <c r="J11" s="143"/>
      <c r="K11" s="135"/>
      <c r="L11" s="143"/>
      <c r="M11" s="143"/>
      <c r="N11" s="143"/>
      <c r="O11" s="143"/>
      <c r="P11" s="143"/>
      <c r="Q11" s="143"/>
      <c r="R11" s="905"/>
      <c r="S11" s="895"/>
      <c r="T11" s="143"/>
      <c r="U11" s="103">
        <f t="shared" si="1"/>
        <v>0</v>
      </c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03">
        <f t="shared" si="2"/>
        <v>0</v>
      </c>
      <c r="AI11" s="906">
        <v>1177.12</v>
      </c>
      <c r="AJ11" s="907">
        <v>1076.52</v>
      </c>
      <c r="AK11" s="123"/>
      <c r="AL11" s="105">
        <f t="shared" si="3"/>
        <v>0</v>
      </c>
      <c r="AM11" s="145">
        <v>58.25</v>
      </c>
      <c r="AN11" s="145">
        <v>1.31</v>
      </c>
      <c r="AO11" s="143"/>
      <c r="AP11" s="143"/>
      <c r="AQ11" s="146"/>
      <c r="AR11" s="224">
        <f t="shared" si="4"/>
        <v>0</v>
      </c>
      <c r="AS11" s="1760">
        <v>3108.8</v>
      </c>
      <c r="AT11" s="1546"/>
      <c r="AU11" s="1546"/>
      <c r="AV11" s="1548"/>
      <c r="AW11" s="1548"/>
      <c r="AX11" s="1760">
        <v>1848.5</v>
      </c>
      <c r="AY11" s="1548"/>
      <c r="AZ11" s="1548"/>
      <c r="BA11" s="1548"/>
      <c r="BB11" s="1709"/>
      <c r="BC11" s="222">
        <f t="shared" si="5"/>
        <v>0</v>
      </c>
      <c r="BD11" s="113">
        <f t="shared" si="6"/>
        <v>0</v>
      </c>
      <c r="BE11" s="3"/>
      <c r="BF11" s="113">
        <f t="shared" si="7"/>
        <v>0</v>
      </c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908"/>
      <c r="BR11" s="909"/>
      <c r="BS11" s="909"/>
      <c r="BT11" s="130">
        <f t="shared" si="8"/>
        <v>0</v>
      </c>
      <c r="BU11" s="3"/>
    </row>
    <row r="12" ht="14.25" customHeight="1">
      <c r="A12" s="3"/>
      <c r="B12" s="491">
        <v>46028</v>
      </c>
      <c r="C12" s="900">
        <f>7061.78-D12-0</f>
      </c>
      <c r="D12" s="901">
        <v>3106.27</v>
      </c>
      <c r="E12" s="902"/>
      <c r="F12" s="903"/>
      <c r="G12" s="147">
        <f t="shared" si="0"/>
        <v>0</v>
      </c>
      <c r="H12" s="144"/>
      <c r="I12" s="905"/>
      <c r="J12" s="143"/>
      <c r="K12" s="136"/>
      <c r="L12" s="143"/>
      <c r="M12" s="143"/>
      <c r="N12" s="143"/>
      <c r="O12" s="143"/>
      <c r="P12" s="143"/>
      <c r="Q12" s="143"/>
      <c r="R12" s="905"/>
      <c r="S12" s="895"/>
      <c r="T12" s="143"/>
      <c r="U12" s="103">
        <f t="shared" si="1"/>
        <v>0</v>
      </c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03">
        <f t="shared" si="2"/>
        <v>0</v>
      </c>
      <c r="AI12" s="906">
        <v>1224.19</v>
      </c>
      <c r="AJ12" s="907">
        <v>963.25</v>
      </c>
      <c r="AK12" s="123"/>
      <c r="AL12" s="105">
        <f t="shared" si="3"/>
        <v>0</v>
      </c>
      <c r="AM12" s="145">
        <v>18.94</v>
      </c>
      <c r="AN12" s="145">
        <v>1.06</v>
      </c>
      <c r="AO12" s="143"/>
      <c r="AP12" s="143"/>
      <c r="AQ12" s="146"/>
      <c r="AR12" s="224">
        <f t="shared" si="4"/>
        <v>0</v>
      </c>
      <c r="AS12" s="1760">
        <v>2712.6</v>
      </c>
      <c r="AT12" s="1546"/>
      <c r="AU12" s="1546"/>
      <c r="AV12" s="1548"/>
      <c r="AW12" s="1548"/>
      <c r="AX12" s="1760">
        <v>2142.1</v>
      </c>
      <c r="AY12" s="1548"/>
      <c r="AZ12" s="1548"/>
      <c r="BA12" s="1548"/>
      <c r="BB12" s="1709"/>
      <c r="BC12" s="222">
        <f t="shared" si="5"/>
        <v>0</v>
      </c>
      <c r="BD12" s="113">
        <f t="shared" si="6"/>
        <v>0</v>
      </c>
      <c r="BE12" s="3"/>
      <c r="BF12" s="113">
        <f t="shared" si="7"/>
        <v>0</v>
      </c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908"/>
      <c r="BR12" s="909"/>
      <c r="BS12" s="909"/>
      <c r="BT12" s="130">
        <f t="shared" si="8"/>
        <v>0</v>
      </c>
      <c r="BU12" s="3"/>
    </row>
    <row r="13" ht="14.25" customHeight="1">
      <c r="A13" s="3"/>
      <c r="B13" s="491">
        <v>46029</v>
      </c>
      <c r="C13" s="900">
        <f>6016.38-D13-0</f>
      </c>
      <c r="D13" s="901">
        <v>2894.26</v>
      </c>
      <c r="E13" s="902"/>
      <c r="F13" s="903"/>
      <c r="G13" s="147">
        <f t="shared" si="0"/>
        <v>0</v>
      </c>
      <c r="H13" s="144"/>
      <c r="I13" s="905"/>
      <c r="J13" s="143"/>
      <c r="K13" s="136"/>
      <c r="L13" s="143"/>
      <c r="M13" s="143"/>
      <c r="N13" s="143"/>
      <c r="O13" s="143"/>
      <c r="P13" s="143"/>
      <c r="Q13" s="143"/>
      <c r="R13" s="905"/>
      <c r="S13" s="895"/>
      <c r="T13" s="143"/>
      <c r="U13" s="103">
        <f t="shared" si="1"/>
        <v>0</v>
      </c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03">
        <f t="shared" si="2"/>
        <v>0</v>
      </c>
      <c r="AI13" s="906">
        <v>955.39</v>
      </c>
      <c r="AJ13" s="907">
        <v>1059.78</v>
      </c>
      <c r="AK13" s="123"/>
      <c r="AL13" s="105">
        <f t="shared" si="3"/>
        <v>0</v>
      </c>
      <c r="AM13" s="145">
        <v>24.49</v>
      </c>
      <c r="AN13" s="145">
        <v>0.76</v>
      </c>
      <c r="AO13" s="143"/>
      <c r="AP13" s="143"/>
      <c r="AQ13" s="146"/>
      <c r="AR13" s="224">
        <f t="shared" si="4"/>
        <v>0</v>
      </c>
      <c r="AS13" s="1760">
        <v>2142.4</v>
      </c>
      <c r="AT13" s="1546"/>
      <c r="AU13" s="1546"/>
      <c r="AV13" s="1548"/>
      <c r="AW13" s="1548"/>
      <c r="AX13" s="1760">
        <v>1833.8</v>
      </c>
      <c r="AY13" s="1548"/>
      <c r="AZ13" s="1548"/>
      <c r="BA13" s="1548"/>
      <c r="BB13" s="1709"/>
      <c r="BC13" s="222">
        <f t="shared" si="5"/>
        <v>0</v>
      </c>
      <c r="BD13" s="113">
        <f t="shared" si="6"/>
        <v>0</v>
      </c>
      <c r="BE13" s="3"/>
      <c r="BF13" s="113">
        <f t="shared" si="7"/>
        <v>0</v>
      </c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908"/>
      <c r="BR13" s="909"/>
      <c r="BS13" s="909"/>
      <c r="BT13" s="130">
        <f t="shared" si="8"/>
        <v>0</v>
      </c>
      <c r="BU13" s="3"/>
    </row>
    <row r="14" ht="14.25" customHeight="1">
      <c r="A14" s="3"/>
      <c r="B14" s="491">
        <v>46030</v>
      </c>
      <c r="C14" s="900">
        <f>6019.17-D14-0</f>
      </c>
      <c r="D14" s="901">
        <v>3075.67</v>
      </c>
      <c r="E14" s="902"/>
      <c r="F14" s="903"/>
      <c r="G14" s="147">
        <f t="shared" si="0"/>
        <v>0</v>
      </c>
      <c r="H14" s="144"/>
      <c r="I14" s="905"/>
      <c r="J14" s="143"/>
      <c r="K14" s="136"/>
      <c r="L14" s="143"/>
      <c r="M14" s="143"/>
      <c r="N14" s="143"/>
      <c r="O14" s="143"/>
      <c r="P14" s="143"/>
      <c r="Q14" s="143"/>
      <c r="R14" s="905"/>
      <c r="S14" s="895"/>
      <c r="T14" s="143"/>
      <c r="U14" s="103">
        <f t="shared" si="1"/>
        <v>0</v>
      </c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03">
        <f t="shared" si="2"/>
        <v>0</v>
      </c>
      <c r="AI14" s="911">
        <v>892.94</v>
      </c>
      <c r="AJ14" s="907">
        <v>962.27</v>
      </c>
      <c r="AK14" s="123"/>
      <c r="AL14" s="105">
        <f t="shared" si="3"/>
        <v>0</v>
      </c>
      <c r="AM14" s="145">
        <v>11.52</v>
      </c>
      <c r="AN14" s="145"/>
      <c r="AO14" s="143"/>
      <c r="AP14" s="143"/>
      <c r="AQ14" s="146"/>
      <c r="AR14" s="224">
        <f t="shared" si="4"/>
        <v>0</v>
      </c>
      <c r="AS14" s="1760">
        <v>2045.2</v>
      </c>
      <c r="AT14" s="1546"/>
      <c r="AU14" s="1546"/>
      <c r="AV14" s="1548"/>
      <c r="AW14" s="1548"/>
      <c r="AX14" s="1760">
        <v>2107.5</v>
      </c>
      <c r="AY14" s="1548"/>
      <c r="AZ14" s="1548"/>
      <c r="BA14" s="1548"/>
      <c r="BB14" s="1709"/>
      <c r="BC14" s="222">
        <f t="shared" si="5"/>
        <v>0</v>
      </c>
      <c r="BD14" s="113">
        <f t="shared" si="6"/>
        <v>0</v>
      </c>
      <c r="BE14" s="3"/>
      <c r="BF14" s="113">
        <f t="shared" si="7"/>
        <v>0</v>
      </c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908"/>
      <c r="BR14" s="909"/>
      <c r="BS14" s="909"/>
      <c r="BT14" s="130">
        <f t="shared" si="8"/>
        <v>0</v>
      </c>
      <c r="BU14" s="3"/>
    </row>
    <row r="15" ht="14.25" customHeight="1">
      <c r="A15" s="3"/>
      <c r="B15" s="491">
        <v>46031</v>
      </c>
      <c r="C15" s="900">
        <f>6926.71-D15-0</f>
      </c>
      <c r="D15" s="901">
        <v>2974.13</v>
      </c>
      <c r="E15" s="902"/>
      <c r="F15" s="903"/>
      <c r="G15" s="147">
        <f t="shared" si="0"/>
        <v>0</v>
      </c>
      <c r="H15" s="144"/>
      <c r="I15" s="905"/>
      <c r="J15" s="143"/>
      <c r="K15" s="136"/>
      <c r="L15" s="143"/>
      <c r="M15" s="143"/>
      <c r="N15" s="143"/>
      <c r="O15" s="143"/>
      <c r="P15" s="143"/>
      <c r="Q15" s="143"/>
      <c r="R15" s="905"/>
      <c r="S15" s="895"/>
      <c r="T15" s="143"/>
      <c r="U15" s="103">
        <f t="shared" si="1"/>
        <v>0</v>
      </c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03">
        <f t="shared" si="2"/>
        <v>0</v>
      </c>
      <c r="AI15" s="906">
        <v>835.59</v>
      </c>
      <c r="AJ15" s="907">
        <v>997.91</v>
      </c>
      <c r="AK15" s="123"/>
      <c r="AL15" s="105">
        <f t="shared" si="3"/>
        <v>0</v>
      </c>
      <c r="AM15" s="145">
        <v>55.43</v>
      </c>
      <c r="AN15" s="145"/>
      <c r="AO15" s="143"/>
      <c r="AP15" s="143"/>
      <c r="AQ15" s="146"/>
      <c r="AR15" s="224">
        <f t="shared" si="4"/>
        <v>0</v>
      </c>
      <c r="AS15" s="1760">
        <v>3061.6</v>
      </c>
      <c r="AT15" s="1546"/>
      <c r="AU15" s="1546"/>
      <c r="AV15" s="1548"/>
      <c r="AW15" s="1548"/>
      <c r="AX15" s="1760">
        <v>1976.3</v>
      </c>
      <c r="AY15" s="1548"/>
      <c r="AZ15" s="1548"/>
      <c r="BA15" s="1548"/>
      <c r="BB15" s="1709"/>
      <c r="BC15" s="222">
        <f t="shared" si="5"/>
        <v>0</v>
      </c>
      <c r="BD15" s="113">
        <f t="shared" si="6"/>
        <v>0</v>
      </c>
      <c r="BE15" s="3"/>
      <c r="BF15" s="113">
        <f t="shared" si="7"/>
        <v>0</v>
      </c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908"/>
      <c r="BR15" s="909"/>
      <c r="BS15" s="909"/>
      <c r="BT15" s="130">
        <f t="shared" si="8"/>
        <v>0</v>
      </c>
      <c r="BU15" s="3"/>
    </row>
    <row r="16" ht="14.25" customHeight="1">
      <c r="A16" s="3"/>
      <c r="B16" s="491">
        <v>46032</v>
      </c>
      <c r="C16" s="900">
        <f>6123.84-D16-0</f>
      </c>
      <c r="D16" s="901">
        <v>2874.31</v>
      </c>
      <c r="E16" s="902"/>
      <c r="F16" s="903"/>
      <c r="G16" s="147">
        <f t="shared" si="0"/>
        <v>0</v>
      </c>
      <c r="H16" s="144"/>
      <c r="I16" s="904"/>
      <c r="J16" s="143"/>
      <c r="K16" s="136"/>
      <c r="L16" s="143"/>
      <c r="M16" s="143"/>
      <c r="N16" s="143"/>
      <c r="O16" s="143"/>
      <c r="P16" s="143"/>
      <c r="Q16" s="143"/>
      <c r="R16" s="905"/>
      <c r="S16" s="895"/>
      <c r="T16" s="143"/>
      <c r="U16" s="103">
        <f t="shared" si="1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03">
        <f t="shared" si="2"/>
        <v>0</v>
      </c>
      <c r="AI16" s="906">
        <v>1200.47</v>
      </c>
      <c r="AJ16" s="907">
        <v>1079.61</v>
      </c>
      <c r="AK16" s="123"/>
      <c r="AL16" s="105">
        <f t="shared" si="3"/>
        <v>0</v>
      </c>
      <c r="AM16" s="145">
        <v>9.85</v>
      </c>
      <c r="AN16" s="145">
        <v>1.13</v>
      </c>
      <c r="AO16" s="143"/>
      <c r="AP16" s="143"/>
      <c r="AQ16" s="146"/>
      <c r="AR16" s="224">
        <f t="shared" si="4"/>
        <v>0</v>
      </c>
      <c r="AS16" s="1760">
        <v>2033.3</v>
      </c>
      <c r="AT16" s="1546"/>
      <c r="AU16" s="1546"/>
      <c r="AV16" s="1548"/>
      <c r="AW16" s="1548"/>
      <c r="AX16" s="1760">
        <v>1799.7</v>
      </c>
      <c r="AY16" s="1548"/>
      <c r="AZ16" s="1548"/>
      <c r="BA16" s="1548"/>
      <c r="BB16" s="1709"/>
      <c r="BC16" s="222">
        <f t="shared" si="5"/>
        <v>0</v>
      </c>
      <c r="BD16" s="113">
        <f t="shared" si="6"/>
        <v>0</v>
      </c>
      <c r="BE16" s="3"/>
      <c r="BF16" s="113">
        <f t="shared" si="7"/>
        <v>0</v>
      </c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908"/>
      <c r="BR16" s="910"/>
      <c r="BS16" s="909"/>
      <c r="BT16" s="130">
        <f t="shared" si="8"/>
        <v>0</v>
      </c>
      <c r="BU16" s="3"/>
    </row>
    <row r="17" ht="14.25" customHeight="1">
      <c r="A17" s="3"/>
      <c r="B17" s="491">
        <v>46033</v>
      </c>
      <c r="C17" s="900">
        <f>6191.04-D17-0</f>
      </c>
      <c r="D17" s="901">
        <v>2844.08</v>
      </c>
      <c r="E17" s="902"/>
      <c r="F17" s="903"/>
      <c r="G17" s="147">
        <f t="shared" si="0"/>
        <v>0</v>
      </c>
      <c r="H17" s="144"/>
      <c r="I17" s="904"/>
      <c r="J17" s="143"/>
      <c r="K17" s="136"/>
      <c r="L17" s="143"/>
      <c r="M17" s="143"/>
      <c r="N17" s="143"/>
      <c r="O17" s="143"/>
      <c r="P17" s="143"/>
      <c r="Q17" s="143"/>
      <c r="R17" s="904"/>
      <c r="S17" s="912"/>
      <c r="T17" s="143"/>
      <c r="U17" s="103">
        <f t="shared" si="1"/>
        <v>0</v>
      </c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03">
        <f t="shared" si="2"/>
        <v>0</v>
      </c>
      <c r="AI17" s="906">
        <v>945.3</v>
      </c>
      <c r="AJ17" s="907">
        <v>1131.72</v>
      </c>
      <c r="AK17" s="123"/>
      <c r="AL17" s="105">
        <f t="shared" si="3"/>
        <v>0</v>
      </c>
      <c r="AM17" s="145">
        <v>21.42</v>
      </c>
      <c r="AN17" s="145">
        <v>1.77</v>
      </c>
      <c r="AO17" s="143"/>
      <c r="AP17" s="143"/>
      <c r="AQ17" s="146"/>
      <c r="AR17" s="224">
        <f t="shared" si="4"/>
        <v>0</v>
      </c>
      <c r="AS17" s="1760">
        <v>2380.3</v>
      </c>
      <c r="AT17" s="1546"/>
      <c r="AU17" s="1546"/>
      <c r="AV17" s="1548"/>
      <c r="AW17" s="1548"/>
      <c r="AX17" s="1760">
        <v>1710.7</v>
      </c>
      <c r="AY17" s="1548"/>
      <c r="AZ17" s="1548"/>
      <c r="BA17" s="1548"/>
      <c r="BB17" s="1709"/>
      <c r="BC17" s="222">
        <f t="shared" si="5"/>
        <v>0</v>
      </c>
      <c r="BD17" s="113">
        <f t="shared" si="6"/>
        <v>0</v>
      </c>
      <c r="BE17" s="3"/>
      <c r="BF17" s="113">
        <f t="shared" si="7"/>
        <v>0</v>
      </c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08"/>
      <c r="BR17" s="909"/>
      <c r="BS17" s="909"/>
      <c r="BT17" s="130">
        <f t="shared" si="8"/>
        <v>0</v>
      </c>
      <c r="BU17" s="3"/>
    </row>
    <row r="18" ht="14.25" customHeight="1">
      <c r="A18" s="3"/>
      <c r="B18" s="491">
        <v>46034</v>
      </c>
      <c r="C18" s="900">
        <f>8787.99-D18-0</f>
      </c>
      <c r="D18" s="901">
        <v>2876.09</v>
      </c>
      <c r="E18" s="902"/>
      <c r="F18" s="903"/>
      <c r="G18" s="147">
        <f t="shared" si="0"/>
        <v>0</v>
      </c>
      <c r="H18" s="144"/>
      <c r="I18" s="905"/>
      <c r="J18" s="143"/>
      <c r="K18" s="99"/>
      <c r="L18" s="143"/>
      <c r="M18" s="143"/>
      <c r="N18" s="143"/>
      <c r="O18" s="143"/>
      <c r="P18" s="143"/>
      <c r="Q18" s="143"/>
      <c r="R18" s="905"/>
      <c r="S18" s="895"/>
      <c r="T18" s="143"/>
      <c r="U18" s="103">
        <f t="shared" si="1"/>
        <v>0</v>
      </c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03">
        <f t="shared" si="2"/>
        <v>0</v>
      </c>
      <c r="AI18" s="906">
        <v>1098.48</v>
      </c>
      <c r="AJ18" s="901">
        <v>1065.45</v>
      </c>
      <c r="AK18" s="123"/>
      <c r="AL18" s="105">
        <f t="shared" si="3"/>
        <v>0</v>
      </c>
      <c r="AM18" s="145">
        <v>151.49</v>
      </c>
      <c r="AN18" s="145">
        <v>1.8</v>
      </c>
      <c r="AO18" s="143"/>
      <c r="AP18" s="143"/>
      <c r="AQ18" s="146"/>
      <c r="AR18" s="224">
        <f t="shared" si="4"/>
        <v>0</v>
      </c>
      <c r="AS18" s="1760">
        <v>4661.9</v>
      </c>
      <c r="AT18" s="1546"/>
      <c r="AU18" s="1546"/>
      <c r="AV18" s="1548"/>
      <c r="AW18" s="1548"/>
      <c r="AX18" s="1760">
        <v>1809</v>
      </c>
      <c r="AY18" s="1548"/>
      <c r="AZ18" s="1548"/>
      <c r="BA18" s="1548"/>
      <c r="BB18" s="1709"/>
      <c r="BC18" s="222">
        <f t="shared" si="5"/>
        <v>0</v>
      </c>
      <c r="BD18" s="113">
        <f t="shared" si="6"/>
        <v>0</v>
      </c>
      <c r="BE18" s="3"/>
      <c r="BF18" s="113">
        <f t="shared" si="7"/>
        <v>0</v>
      </c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908"/>
      <c r="BR18" s="909"/>
      <c r="BS18" s="909"/>
      <c r="BT18" s="130">
        <f t="shared" si="8"/>
        <v>0</v>
      </c>
      <c r="BU18" s="3"/>
    </row>
    <row r="19" ht="14.25" customHeight="1">
      <c r="A19" s="132"/>
      <c r="B19" s="491">
        <v>46035</v>
      </c>
      <c r="C19" s="900">
        <f>6094.94-D19-0</f>
      </c>
      <c r="D19" s="901">
        <v>2668.5</v>
      </c>
      <c r="E19" s="902"/>
      <c r="F19" s="903"/>
      <c r="G19" s="147">
        <f t="shared" si="0"/>
        <v>0</v>
      </c>
      <c r="H19" s="144"/>
      <c r="I19" s="904"/>
      <c r="J19" s="143"/>
      <c r="K19" s="143"/>
      <c r="L19" s="143"/>
      <c r="M19" s="143"/>
      <c r="N19" s="143"/>
      <c r="O19" s="143"/>
      <c r="P19" s="143"/>
      <c r="Q19" s="143"/>
      <c r="R19" s="905"/>
      <c r="S19" s="895"/>
      <c r="T19" s="143"/>
      <c r="U19" s="103">
        <f t="shared" si="1"/>
        <v>0</v>
      </c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03">
        <f t="shared" si="2"/>
        <v>0</v>
      </c>
      <c r="AI19" s="906">
        <v>995.95</v>
      </c>
      <c r="AJ19" s="907">
        <v>873.36</v>
      </c>
      <c r="AK19" s="136"/>
      <c r="AL19" s="105">
        <f t="shared" si="3"/>
        <v>0</v>
      </c>
      <c r="AM19" s="145">
        <v>30.64</v>
      </c>
      <c r="AN19" s="145"/>
      <c r="AO19" s="143"/>
      <c r="AP19" s="143"/>
      <c r="AQ19" s="146"/>
      <c r="AR19" s="224">
        <f t="shared" si="4"/>
        <v>0</v>
      </c>
      <c r="AS19" s="1760">
        <v>2399.9</v>
      </c>
      <c r="AT19" s="1546"/>
      <c r="AU19" s="1546"/>
      <c r="AV19" s="1548"/>
      <c r="AW19" s="1548"/>
      <c r="AX19" s="1760">
        <v>1795.2</v>
      </c>
      <c r="AY19" s="1548"/>
      <c r="AZ19" s="1548"/>
      <c r="BA19" s="1548"/>
      <c r="BB19" s="1709"/>
      <c r="BC19" s="222">
        <f t="shared" si="5"/>
        <v>0</v>
      </c>
      <c r="BD19" s="140">
        <f t="shared" si="6"/>
        <v>0</v>
      </c>
      <c r="BE19" s="132"/>
      <c r="BF19" s="140">
        <f t="shared" si="7"/>
        <v>0</v>
      </c>
      <c r="BG19" s="141"/>
      <c r="BH19" s="141"/>
      <c r="BI19" s="913"/>
      <c r="BJ19" s="141"/>
      <c r="BK19" s="141"/>
      <c r="BL19" s="141"/>
      <c r="BM19" s="141"/>
      <c r="BN19" s="141"/>
      <c r="BO19" s="141"/>
      <c r="BP19" s="141"/>
      <c r="BQ19" s="908"/>
      <c r="BR19" s="909"/>
      <c r="BS19" s="909"/>
      <c r="BT19" s="130">
        <f t="shared" si="8"/>
        <v>0</v>
      </c>
      <c r="BU19" s="132"/>
    </row>
    <row r="20" ht="14.25" customHeight="1">
      <c r="A20" s="132"/>
      <c r="B20" s="491">
        <v>46036</v>
      </c>
      <c r="C20" s="900">
        <f>5550.77-D20-0</f>
      </c>
      <c r="D20" s="901">
        <v>3061.87</v>
      </c>
      <c r="E20" s="902"/>
      <c r="F20" s="903"/>
      <c r="G20" s="147">
        <f t="shared" si="0"/>
        <v>0</v>
      </c>
      <c r="H20" s="144"/>
      <c r="I20" s="905"/>
      <c r="J20" s="143"/>
      <c r="K20" s="143"/>
      <c r="L20" s="143"/>
      <c r="M20" s="143"/>
      <c r="N20" s="143"/>
      <c r="O20" s="143"/>
      <c r="P20" s="143"/>
      <c r="Q20" s="143"/>
      <c r="R20" s="904"/>
      <c r="S20" s="912"/>
      <c r="T20" s="143"/>
      <c r="U20" s="103">
        <f t="shared" si="1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03">
        <f t="shared" si="2"/>
        <v>0</v>
      </c>
      <c r="AI20" s="906">
        <v>764</v>
      </c>
      <c r="AJ20" s="907">
        <v>978.23</v>
      </c>
      <c r="AK20" s="136"/>
      <c r="AL20" s="105">
        <f t="shared" si="3"/>
        <v>0</v>
      </c>
      <c r="AM20" s="145">
        <v>10.78</v>
      </c>
      <c r="AN20" s="143"/>
      <c r="AO20" s="143"/>
      <c r="AP20" s="143"/>
      <c r="AQ20" s="146"/>
      <c r="AR20" s="224">
        <f t="shared" si="4"/>
        <v>0</v>
      </c>
      <c r="AS20" s="1761">
        <v>1709.4</v>
      </c>
      <c r="AT20" s="1546"/>
      <c r="AU20" s="1546"/>
      <c r="AV20" s="1548"/>
      <c r="AW20" s="1548"/>
      <c r="AX20" s="1762">
        <v>2088.7</v>
      </c>
      <c r="AY20" s="1548"/>
      <c r="AZ20" s="1548"/>
      <c r="BA20" s="1548"/>
      <c r="BB20" s="1709"/>
      <c r="BC20" s="222">
        <f t="shared" si="5"/>
        <v>0</v>
      </c>
      <c r="BD20" s="140">
        <f t="shared" si="6"/>
        <v>0</v>
      </c>
      <c r="BE20" s="132"/>
      <c r="BF20" s="140">
        <f t="shared" si="7"/>
        <v>0</v>
      </c>
      <c r="BG20" s="141"/>
      <c r="BH20" s="141"/>
      <c r="BI20" s="141"/>
      <c r="BJ20" s="141"/>
      <c r="BK20" s="141"/>
      <c r="BL20" s="141"/>
      <c r="BM20" s="141"/>
      <c r="BN20" s="141"/>
      <c r="BO20" s="141"/>
      <c r="BP20" s="141"/>
      <c r="BQ20" s="908"/>
      <c r="BR20" s="909"/>
      <c r="BS20" s="909"/>
      <c r="BT20" s="130">
        <f t="shared" si="8"/>
        <v>0</v>
      </c>
      <c r="BU20" s="132"/>
    </row>
    <row r="21" ht="14.25" customHeight="1">
      <c r="A21" s="132"/>
      <c r="B21" s="491">
        <v>46037</v>
      </c>
      <c r="C21" s="900">
        <f>7036.38-D21-0</f>
      </c>
      <c r="D21" s="901">
        <v>2887.96</v>
      </c>
      <c r="E21" s="902"/>
      <c r="F21" s="903"/>
      <c r="G21" s="147">
        <f t="shared" si="0"/>
        <v>0</v>
      </c>
      <c r="H21" s="144"/>
      <c r="I21" s="904"/>
      <c r="J21" s="143"/>
      <c r="K21" s="143"/>
      <c r="L21" s="143"/>
      <c r="M21" s="143"/>
      <c r="N21" s="143"/>
      <c r="O21" s="143"/>
      <c r="P21" s="143"/>
      <c r="Q21" s="143"/>
      <c r="R21" s="905"/>
      <c r="S21" s="895"/>
      <c r="T21" s="143"/>
      <c r="U21" s="103">
        <f t="shared" si="1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03">
        <f t="shared" si="2"/>
        <v>0</v>
      </c>
      <c r="AI21" s="906">
        <v>1025.21</v>
      </c>
      <c r="AJ21" s="907">
        <v>1182.61</v>
      </c>
      <c r="AK21" s="136"/>
      <c r="AL21" s="105">
        <f t="shared" si="3"/>
        <v>0</v>
      </c>
      <c r="AM21" s="145">
        <v>63.33</v>
      </c>
      <c r="AN21" s="143"/>
      <c r="AO21" s="143"/>
      <c r="AP21" s="143"/>
      <c r="AQ21" s="146"/>
      <c r="AR21" s="224">
        <f t="shared" si="4"/>
        <v>0</v>
      </c>
      <c r="AS21" s="1761">
        <v>3060.1</v>
      </c>
      <c r="AT21" s="1546"/>
      <c r="AU21" s="1546"/>
      <c r="AV21" s="1548"/>
      <c r="AW21" s="1548"/>
      <c r="AX21" s="1762">
        <v>1705.3</v>
      </c>
      <c r="AY21" s="1548"/>
      <c r="AZ21" s="1548"/>
      <c r="BA21" s="1548"/>
      <c r="BB21" s="1709"/>
      <c r="BC21" s="222">
        <f t="shared" si="5"/>
        <v>0</v>
      </c>
      <c r="BD21" s="140">
        <f t="shared" si="6"/>
        <v>0</v>
      </c>
      <c r="BE21" s="132"/>
      <c r="BF21" s="140">
        <f t="shared" si="7"/>
        <v>0</v>
      </c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908"/>
      <c r="BR21" s="909"/>
      <c r="BS21" s="909"/>
      <c r="BT21" s="130">
        <f t="shared" si="8"/>
        <v>0</v>
      </c>
      <c r="BU21" s="132"/>
    </row>
    <row r="22" ht="14.25" customHeight="1">
      <c r="A22" s="132"/>
      <c r="B22" s="491">
        <v>46038</v>
      </c>
      <c r="C22" s="900">
        <f>7715.45-D22-0</f>
      </c>
      <c r="D22" s="901">
        <v>3603.08</v>
      </c>
      <c r="E22" s="902"/>
      <c r="F22" s="903"/>
      <c r="G22" s="147">
        <f t="shared" si="0"/>
        <v>0</v>
      </c>
      <c r="H22" s="144"/>
      <c r="I22" s="904"/>
      <c r="J22" s="143"/>
      <c r="K22" s="143"/>
      <c r="L22" s="143"/>
      <c r="M22" s="143"/>
      <c r="N22" s="143"/>
      <c r="O22" s="143"/>
      <c r="P22" s="143"/>
      <c r="Q22" s="143"/>
      <c r="R22" s="905"/>
      <c r="S22" s="895"/>
      <c r="T22" s="143"/>
      <c r="U22" s="103">
        <f t="shared" si="1"/>
        <v>0</v>
      </c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03">
        <f t="shared" si="2"/>
        <v>0</v>
      </c>
      <c r="AI22" s="906">
        <v>976.44</v>
      </c>
      <c r="AJ22" s="907">
        <v>1287.7</v>
      </c>
      <c r="AK22" s="136"/>
      <c r="AL22" s="105">
        <f t="shared" si="3"/>
        <v>0</v>
      </c>
      <c r="AM22" s="145">
        <v>42.77</v>
      </c>
      <c r="AN22" s="143"/>
      <c r="AO22" s="143"/>
      <c r="AP22" s="143"/>
      <c r="AQ22" s="146"/>
      <c r="AR22" s="224">
        <f t="shared" si="4"/>
        <v>0</v>
      </c>
      <c r="AS22" s="1761">
        <v>3093.4</v>
      </c>
      <c r="AT22" s="1546"/>
      <c r="AU22" s="1546"/>
      <c r="AV22" s="1548"/>
      <c r="AW22" s="1548"/>
      <c r="AX22" s="1762">
        <v>2315.3</v>
      </c>
      <c r="AY22" s="1548"/>
      <c r="AZ22" s="1548"/>
      <c r="BA22" s="1548"/>
      <c r="BB22" s="1709"/>
      <c r="BC22" s="222">
        <f t="shared" si="5"/>
        <v>0</v>
      </c>
      <c r="BD22" s="140">
        <f t="shared" si="6"/>
        <v>0</v>
      </c>
      <c r="BE22" s="132"/>
      <c r="BF22" s="140">
        <f t="shared" si="7"/>
        <v>0</v>
      </c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908"/>
      <c r="BR22" s="909"/>
      <c r="BS22" s="909"/>
      <c r="BT22" s="130">
        <f t="shared" si="8"/>
        <v>0</v>
      </c>
      <c r="BU22" s="132"/>
    </row>
    <row r="23" ht="14.25" customHeight="1">
      <c r="A23" s="132"/>
      <c r="B23" s="491">
        <v>46039</v>
      </c>
      <c r="C23" s="900">
        <f>6564.08-D23-0</f>
      </c>
      <c r="D23" s="901">
        <v>3543.25</v>
      </c>
      <c r="E23" s="902"/>
      <c r="F23" s="903"/>
      <c r="G23" s="147">
        <f t="shared" si="0"/>
        <v>0</v>
      </c>
      <c r="H23" s="144"/>
      <c r="I23" s="904"/>
      <c r="J23" s="143"/>
      <c r="K23" s="143"/>
      <c r="L23" s="143"/>
      <c r="M23" s="143"/>
      <c r="N23" s="143"/>
      <c r="O23" s="143"/>
      <c r="P23" s="143"/>
      <c r="Q23" s="143"/>
      <c r="R23" s="905"/>
      <c r="S23" s="895"/>
      <c r="T23" s="143"/>
      <c r="U23" s="103">
        <f t="shared" si="1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03">
        <f t="shared" si="2"/>
        <v>0</v>
      </c>
      <c r="AI23" s="906">
        <v>1040.65</v>
      </c>
      <c r="AJ23" s="907">
        <v>1178.43</v>
      </c>
      <c r="AK23" s="136"/>
      <c r="AL23" s="105">
        <f t="shared" si="3"/>
        <v>0</v>
      </c>
      <c r="AM23" s="145">
        <v>4.57</v>
      </c>
      <c r="AN23" s="145">
        <v>0.64</v>
      </c>
      <c r="AO23" s="143"/>
      <c r="AP23" s="143"/>
      <c r="AQ23" s="146"/>
      <c r="AR23" s="224">
        <f t="shared" si="4"/>
        <v>0</v>
      </c>
      <c r="AS23" s="1761">
        <v>1975.7</v>
      </c>
      <c r="AT23" s="1546"/>
      <c r="AU23" s="1546"/>
      <c r="AV23" s="1548"/>
      <c r="AW23" s="1548"/>
      <c r="AX23" s="1762">
        <v>2364.2</v>
      </c>
      <c r="AY23" s="1548"/>
      <c r="AZ23" s="1548"/>
      <c r="BA23" s="1548"/>
      <c r="BB23" s="1709"/>
      <c r="BC23" s="222">
        <f t="shared" si="5"/>
        <v>0</v>
      </c>
      <c r="BD23" s="140">
        <f t="shared" si="6"/>
        <v>0</v>
      </c>
      <c r="BE23" s="132"/>
      <c r="BF23" s="140">
        <f t="shared" si="7"/>
        <v>0</v>
      </c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914"/>
      <c r="BR23" s="909"/>
      <c r="BS23" s="909"/>
      <c r="BT23" s="130">
        <f t="shared" si="8"/>
        <v>0</v>
      </c>
      <c r="BU23" s="132"/>
    </row>
    <row r="24" ht="14.25" customHeight="1">
      <c r="A24" s="132"/>
      <c r="B24" s="491">
        <v>46040</v>
      </c>
      <c r="C24" s="900">
        <f>6184.03-D24-0</f>
      </c>
      <c r="D24" s="901">
        <v>3168.8</v>
      </c>
      <c r="E24" s="902"/>
      <c r="F24" s="903"/>
      <c r="G24" s="147">
        <f t="shared" si="0"/>
        <v>0</v>
      </c>
      <c r="H24" s="144"/>
      <c r="I24" s="905"/>
      <c r="J24" s="143"/>
      <c r="K24" s="143"/>
      <c r="L24" s="143"/>
      <c r="M24" s="143"/>
      <c r="N24" s="143"/>
      <c r="O24" s="143"/>
      <c r="P24" s="143"/>
      <c r="Q24" s="143"/>
      <c r="R24" s="905"/>
      <c r="S24" s="895"/>
      <c r="T24" s="143"/>
      <c r="U24" s="103">
        <f t="shared" si="1"/>
        <v>0</v>
      </c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03">
        <f t="shared" si="2"/>
        <v>0</v>
      </c>
      <c r="AI24" s="906">
        <v>1108.39</v>
      </c>
      <c r="AJ24" s="907">
        <v>1209.96</v>
      </c>
      <c r="AK24" s="136"/>
      <c r="AL24" s="105">
        <f t="shared" si="3"/>
        <v>0</v>
      </c>
      <c r="AM24" s="145">
        <v>5.98</v>
      </c>
      <c r="AN24" s="145"/>
      <c r="AO24" s="143"/>
      <c r="AP24" s="143"/>
      <c r="AQ24" s="146"/>
      <c r="AR24" s="224">
        <f t="shared" si="4"/>
        <v>0</v>
      </c>
      <c r="AS24" s="1761">
        <v>1901</v>
      </c>
      <c r="AT24" s="1546"/>
      <c r="AU24" s="1546"/>
      <c r="AV24" s="1548"/>
      <c r="AW24" s="1548"/>
      <c r="AX24" s="1762">
        <v>1958.9</v>
      </c>
      <c r="AY24" s="1548"/>
      <c r="AZ24" s="1548"/>
      <c r="BA24" s="1548"/>
      <c r="BB24" s="1709"/>
      <c r="BC24" s="222">
        <f t="shared" si="5"/>
        <v>0</v>
      </c>
      <c r="BD24" s="140">
        <f t="shared" si="6"/>
        <v>0</v>
      </c>
      <c r="BE24" s="132"/>
      <c r="BF24" s="140">
        <f t="shared" si="7"/>
        <v>0</v>
      </c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08"/>
      <c r="BR24" s="909"/>
      <c r="BS24" s="909"/>
      <c r="BT24" s="130">
        <f t="shared" si="8"/>
        <v>0</v>
      </c>
      <c r="BU24" s="132"/>
    </row>
    <row r="25" ht="14.25" customHeight="1">
      <c r="A25" s="132"/>
      <c r="B25" s="491">
        <v>46041</v>
      </c>
      <c r="C25" s="900">
        <f>6556.17-D25-0</f>
      </c>
      <c r="D25" s="901">
        <v>3631.99</v>
      </c>
      <c r="E25" s="902"/>
      <c r="F25" s="903"/>
      <c r="G25" s="147">
        <f t="shared" si="0"/>
        <v>0</v>
      </c>
      <c r="H25" s="199"/>
      <c r="I25" s="905"/>
      <c r="J25" s="143"/>
      <c r="K25" s="143"/>
      <c r="L25" s="143"/>
      <c r="M25" s="143"/>
      <c r="N25" s="143"/>
      <c r="O25" s="143"/>
      <c r="P25" s="143"/>
      <c r="Q25" s="143"/>
      <c r="R25" s="905"/>
      <c r="S25" s="895"/>
      <c r="T25" s="143"/>
      <c r="U25" s="103">
        <f t="shared" si="1"/>
        <v>0</v>
      </c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03">
        <f t="shared" si="2"/>
        <v>0</v>
      </c>
      <c r="AI25" s="906">
        <v>945.19</v>
      </c>
      <c r="AJ25" s="907">
        <v>1194</v>
      </c>
      <c r="AK25" s="136"/>
      <c r="AL25" s="105">
        <f t="shared" si="3"/>
        <v>0</v>
      </c>
      <c r="AM25" s="145">
        <v>18.68</v>
      </c>
      <c r="AN25" s="145">
        <v>0.79</v>
      </c>
      <c r="AO25" s="143"/>
      <c r="AP25" s="143"/>
      <c r="AQ25" s="146"/>
      <c r="AR25" s="224">
        <f t="shared" si="4"/>
        <v>0</v>
      </c>
      <c r="AS25" s="1761">
        <v>1960.3</v>
      </c>
      <c r="AT25" s="1546"/>
      <c r="AU25" s="1546"/>
      <c r="AV25" s="1548"/>
      <c r="AW25" s="1548"/>
      <c r="AX25" s="1762">
        <v>2437.3</v>
      </c>
      <c r="AY25" s="1548"/>
      <c r="AZ25" s="1548"/>
      <c r="BA25" s="1548"/>
      <c r="BB25" s="1709"/>
      <c r="BC25" s="222">
        <f t="shared" si="5"/>
        <v>0</v>
      </c>
      <c r="BD25" s="140">
        <f t="shared" si="6"/>
        <v>0</v>
      </c>
      <c r="BE25" s="132"/>
      <c r="BF25" s="140">
        <f t="shared" si="7"/>
        <v>0</v>
      </c>
      <c r="BG25" s="141"/>
      <c r="BH25" s="141"/>
      <c r="BI25" s="913"/>
      <c r="BJ25" s="141"/>
      <c r="BK25" s="141"/>
      <c r="BL25" s="141"/>
      <c r="BM25" s="141"/>
      <c r="BN25" s="141"/>
      <c r="BO25" s="141"/>
      <c r="BP25" s="141"/>
      <c r="BQ25" s="908"/>
      <c r="BR25" s="909"/>
      <c r="BS25" s="909"/>
      <c r="BT25" s="130">
        <f t="shared" si="8"/>
        <v>0</v>
      </c>
      <c r="BU25" s="132"/>
    </row>
    <row r="26" ht="14.25" customHeight="1">
      <c r="A26" s="132"/>
      <c r="B26" s="491">
        <v>46042</v>
      </c>
      <c r="C26" s="900">
        <f>6319.01-D26-0</f>
      </c>
      <c r="D26" s="901">
        <v>3285.62</v>
      </c>
      <c r="E26" s="902"/>
      <c r="F26" s="903"/>
      <c r="G26" s="147">
        <f t="shared" si="0"/>
        <v>0</v>
      </c>
      <c r="H26" s="144"/>
      <c r="I26" s="905"/>
      <c r="J26" s="143"/>
      <c r="K26" s="143"/>
      <c r="L26" s="143"/>
      <c r="M26" s="143"/>
      <c r="N26" s="143"/>
      <c r="O26" s="143"/>
      <c r="P26" s="143"/>
      <c r="Q26" s="143"/>
      <c r="R26" s="905"/>
      <c r="S26" s="895"/>
      <c r="T26" s="143"/>
      <c r="U26" s="103">
        <f t="shared" si="1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03">
        <f t="shared" si="2"/>
        <v>0</v>
      </c>
      <c r="AI26" s="906">
        <v>1058.62</v>
      </c>
      <c r="AJ26" s="907">
        <v>1161.39</v>
      </c>
      <c r="AK26" s="136"/>
      <c r="AL26" s="105">
        <f t="shared" si="3"/>
        <v>0</v>
      </c>
      <c r="AM26" s="145">
        <v>15.23</v>
      </c>
      <c r="AN26" s="145">
        <v>0.89</v>
      </c>
      <c r="AO26" s="143"/>
      <c r="AP26" s="143"/>
      <c r="AQ26" s="146"/>
      <c r="AR26" s="224">
        <f t="shared" si="4"/>
        <v>0</v>
      </c>
      <c r="AS26" s="1761">
        <v>1959.7</v>
      </c>
      <c r="AT26" s="1546"/>
      <c r="AU26" s="1546"/>
      <c r="AV26" s="1548"/>
      <c r="AW26" s="1548"/>
      <c r="AX26" s="1762">
        <v>2123.3</v>
      </c>
      <c r="AY26" s="1548"/>
      <c r="AZ26" s="1548"/>
      <c r="BA26" s="1548"/>
      <c r="BB26" s="1709"/>
      <c r="BC26" s="222">
        <f t="shared" si="5"/>
        <v>0</v>
      </c>
      <c r="BD26" s="140">
        <f t="shared" si="6"/>
        <v>0</v>
      </c>
      <c r="BE26" s="132"/>
      <c r="BF26" s="140">
        <f t="shared" si="7"/>
        <v>0</v>
      </c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908"/>
      <c r="BR26" s="909"/>
      <c r="BS26" s="909"/>
      <c r="BT26" s="130">
        <f t="shared" si="8"/>
        <v>0</v>
      </c>
      <c r="BU26" s="132"/>
    </row>
    <row r="27" ht="14.25" customHeight="1">
      <c r="A27" s="132"/>
      <c r="B27" s="491">
        <v>46043</v>
      </c>
      <c r="C27" s="900">
        <f>5387.95-D27-0</f>
      </c>
      <c r="D27" s="901">
        <v>2762.61</v>
      </c>
      <c r="E27" s="902"/>
      <c r="F27" s="903"/>
      <c r="G27" s="147">
        <f t="shared" si="0"/>
        <v>0</v>
      </c>
      <c r="H27" s="144"/>
      <c r="I27" s="904"/>
      <c r="J27" s="143"/>
      <c r="K27" s="143"/>
      <c r="L27" s="143"/>
      <c r="M27" s="143"/>
      <c r="N27" s="143"/>
      <c r="O27" s="143"/>
      <c r="P27" s="143"/>
      <c r="Q27" s="143"/>
      <c r="R27" s="905"/>
      <c r="S27" s="895"/>
      <c r="T27" s="143"/>
      <c r="U27" s="103">
        <f t="shared" si="1"/>
        <v>0</v>
      </c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03">
        <f t="shared" si="2"/>
        <v>0</v>
      </c>
      <c r="AI27" s="911">
        <v>760.34</v>
      </c>
      <c r="AJ27" s="907">
        <v>948.92</v>
      </c>
      <c r="AK27" s="136"/>
      <c r="AL27" s="105">
        <f t="shared" si="3"/>
        <v>0</v>
      </c>
      <c r="AM27" s="145">
        <v>22.95</v>
      </c>
      <c r="AN27" s="145">
        <v>0.83</v>
      </c>
      <c r="AO27" s="143"/>
      <c r="AP27" s="143"/>
      <c r="AQ27" s="146"/>
      <c r="AR27" s="224">
        <f t="shared" si="4"/>
        <v>0</v>
      </c>
      <c r="AS27" s="1761">
        <v>1842.2</v>
      </c>
      <c r="AT27" s="1546"/>
      <c r="AU27" s="1546"/>
      <c r="AV27" s="1548"/>
      <c r="AW27" s="1548"/>
      <c r="AX27" s="1762">
        <v>1812.8</v>
      </c>
      <c r="AY27" s="1548"/>
      <c r="AZ27" s="1548"/>
      <c r="BA27" s="1548"/>
      <c r="BB27" s="1709"/>
      <c r="BC27" s="222">
        <f t="shared" si="5"/>
        <v>0</v>
      </c>
      <c r="BD27" s="140">
        <f t="shared" si="6"/>
        <v>0</v>
      </c>
      <c r="BE27" s="132"/>
      <c r="BF27" s="140">
        <f t="shared" si="7"/>
        <v>0</v>
      </c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908"/>
      <c r="BR27" s="909"/>
      <c r="BS27" s="909"/>
      <c r="BT27" s="130">
        <f t="shared" si="8"/>
        <v>0</v>
      </c>
      <c r="BU27" s="132"/>
    </row>
    <row r="28" ht="14.25" customHeight="1">
      <c r="A28" s="132"/>
      <c r="B28" s="491">
        <v>46044</v>
      </c>
      <c r="C28" s="900">
        <f>6360.64-D28-0</f>
      </c>
      <c r="D28" s="901">
        <v>3007.49</v>
      </c>
      <c r="E28" s="902"/>
      <c r="F28" s="903"/>
      <c r="G28" s="147">
        <f t="shared" si="0"/>
        <v>0</v>
      </c>
      <c r="H28" s="144"/>
      <c r="I28" s="905"/>
      <c r="J28" s="143"/>
      <c r="K28" s="143"/>
      <c r="L28" s="143"/>
      <c r="M28" s="143"/>
      <c r="N28" s="143"/>
      <c r="O28" s="143"/>
      <c r="P28" s="143"/>
      <c r="Q28" s="143"/>
      <c r="R28" s="905"/>
      <c r="S28" s="895"/>
      <c r="T28" s="143"/>
      <c r="U28" s="103">
        <f t="shared" si="1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03">
        <f t="shared" si="2"/>
        <v>0</v>
      </c>
      <c r="AI28" s="906">
        <v>1112.17</v>
      </c>
      <c r="AJ28" s="907">
        <v>979.86</v>
      </c>
      <c r="AK28" s="136"/>
      <c r="AL28" s="105">
        <f t="shared" si="3"/>
        <v>0</v>
      </c>
      <c r="AM28" s="145">
        <v>23.89</v>
      </c>
      <c r="AN28" s="145">
        <v>2.56</v>
      </c>
      <c r="AO28" s="143"/>
      <c r="AP28" s="143"/>
      <c r="AQ28" s="146"/>
      <c r="AR28" s="224">
        <f t="shared" si="4"/>
        <v>0</v>
      </c>
      <c r="AS28" s="1761">
        <v>2217.2</v>
      </c>
      <c r="AT28" s="1546"/>
      <c r="AU28" s="1546"/>
      <c r="AV28" s="1548"/>
      <c r="AW28" s="1548"/>
      <c r="AX28" s="1762">
        <v>2025.1</v>
      </c>
      <c r="AY28" s="1548"/>
      <c r="AZ28" s="1548"/>
      <c r="BA28" s="1548"/>
      <c r="BB28" s="1709"/>
      <c r="BC28" s="222">
        <f t="shared" si="5"/>
        <v>0</v>
      </c>
      <c r="BD28" s="140">
        <f t="shared" si="6"/>
        <v>0</v>
      </c>
      <c r="BE28" s="132"/>
      <c r="BF28" s="140">
        <f t="shared" si="7"/>
        <v>0</v>
      </c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909"/>
      <c r="BS28" s="909"/>
      <c r="BT28" s="130">
        <f t="shared" si="8"/>
        <v>0</v>
      </c>
      <c r="BU28" s="132"/>
    </row>
    <row r="29" ht="14.25" customHeight="1">
      <c r="A29" s="132"/>
      <c r="B29" s="491">
        <v>46045</v>
      </c>
      <c r="C29" s="900">
        <f>5795.31-D29-0</f>
      </c>
      <c r="D29" s="901">
        <v>3201.21</v>
      </c>
      <c r="E29" s="902"/>
      <c r="F29" s="903"/>
      <c r="G29" s="147">
        <f t="shared" si="0"/>
        <v>0</v>
      </c>
      <c r="H29" s="144"/>
      <c r="I29" s="904"/>
      <c r="J29" s="143"/>
      <c r="K29" s="143"/>
      <c r="L29" s="143"/>
      <c r="M29" s="143"/>
      <c r="N29" s="143"/>
      <c r="O29" s="143"/>
      <c r="P29" s="143"/>
      <c r="Q29" s="143"/>
      <c r="R29" s="905"/>
      <c r="S29" s="895"/>
      <c r="T29" s="143"/>
      <c r="U29" s="103">
        <f t="shared" si="1"/>
        <v>0</v>
      </c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03">
        <f t="shared" si="2"/>
        <v>0</v>
      </c>
      <c r="AI29" s="906">
        <v>580.3</v>
      </c>
      <c r="AJ29" s="907">
        <v>1171.5</v>
      </c>
      <c r="AK29" s="136"/>
      <c r="AL29" s="105">
        <f t="shared" si="3"/>
        <v>0</v>
      </c>
      <c r="AM29" s="145">
        <v>17.45</v>
      </c>
      <c r="AN29" s="145">
        <v>2.65</v>
      </c>
      <c r="AO29" s="143"/>
      <c r="AP29" s="143"/>
      <c r="AQ29" s="146"/>
      <c r="AR29" s="224">
        <f t="shared" si="4"/>
        <v>0</v>
      </c>
      <c r="AS29" s="1761">
        <v>1996.5</v>
      </c>
      <c r="AT29" s="1546"/>
      <c r="AU29" s="1546"/>
      <c r="AV29" s="1548"/>
      <c r="AW29" s="1548"/>
      <c r="AX29" s="1762">
        <v>2027</v>
      </c>
      <c r="AY29" s="1548"/>
      <c r="AZ29" s="1548"/>
      <c r="BA29" s="1548"/>
      <c r="BB29" s="1709"/>
      <c r="BC29" s="222">
        <f t="shared" si="5"/>
        <v>0</v>
      </c>
      <c r="BD29" s="140">
        <f t="shared" si="6"/>
        <v>0</v>
      </c>
      <c r="BE29" s="132"/>
      <c r="BF29" s="140">
        <f t="shared" si="7"/>
        <v>0</v>
      </c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08"/>
      <c r="BR29" s="909"/>
      <c r="BS29" s="909"/>
      <c r="BT29" s="130">
        <f t="shared" si="8"/>
        <v>0</v>
      </c>
      <c r="BU29" s="132"/>
    </row>
    <row r="30" ht="14.25" customHeight="1">
      <c r="A30" s="132"/>
      <c r="B30" s="491">
        <v>46046</v>
      </c>
      <c r="C30" s="900">
        <f>6869.46-D30-0</f>
      </c>
      <c r="D30" s="901">
        <v>3508.95</v>
      </c>
      <c r="E30" s="902"/>
      <c r="F30" s="903"/>
      <c r="G30" s="147">
        <f t="shared" si="0"/>
        <v>0</v>
      </c>
      <c r="H30" s="144"/>
      <c r="I30" s="904"/>
      <c r="J30" s="143"/>
      <c r="K30" s="143"/>
      <c r="L30" s="143"/>
      <c r="M30" s="143"/>
      <c r="N30" s="143"/>
      <c r="O30" s="143"/>
      <c r="P30" s="143"/>
      <c r="Q30" s="143"/>
      <c r="R30" s="905"/>
      <c r="S30" s="895"/>
      <c r="T30" s="143"/>
      <c r="U30" s="103">
        <f t="shared" si="1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03">
        <f t="shared" si="2"/>
        <v>0</v>
      </c>
      <c r="AI30" s="906">
        <v>1356.04</v>
      </c>
      <c r="AJ30" s="907">
        <v>1208.99</v>
      </c>
      <c r="AK30" s="136"/>
      <c r="AL30" s="105">
        <f t="shared" si="3"/>
        <v>0</v>
      </c>
      <c r="AM30" s="145">
        <v>18.77</v>
      </c>
      <c r="AN30" s="145">
        <v>1.55</v>
      </c>
      <c r="AO30" s="143"/>
      <c r="AP30" s="143"/>
      <c r="AQ30" s="146"/>
      <c r="AR30" s="224">
        <f t="shared" si="4"/>
        <v>0</v>
      </c>
      <c r="AS30" s="1761">
        <v>1985.9</v>
      </c>
      <c r="AT30" s="1546"/>
      <c r="AU30" s="1546"/>
      <c r="AV30" s="1548"/>
      <c r="AW30" s="1548"/>
      <c r="AX30" s="1762">
        <v>2298.4</v>
      </c>
      <c r="AY30" s="1548"/>
      <c r="AZ30" s="1548"/>
      <c r="BA30" s="1548"/>
      <c r="BB30" s="1709"/>
      <c r="BC30" s="222">
        <f t="shared" si="5"/>
        <v>0</v>
      </c>
      <c r="BD30" s="140">
        <f t="shared" si="6"/>
        <v>0</v>
      </c>
      <c r="BE30" s="132"/>
      <c r="BF30" s="140">
        <f t="shared" si="7"/>
        <v>0</v>
      </c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908"/>
      <c r="BR30" s="909"/>
      <c r="BS30" s="909"/>
      <c r="BT30" s="130">
        <f t="shared" si="8"/>
        <v>0</v>
      </c>
      <c r="BU30" s="132"/>
    </row>
    <row r="31" ht="14.25" customHeight="1">
      <c r="A31" s="132"/>
      <c r="B31" s="491">
        <v>46047</v>
      </c>
      <c r="C31" s="900">
        <f>5776.24-D31-0</f>
      </c>
      <c r="D31" s="907">
        <v>3273.51</v>
      </c>
      <c r="E31" s="902"/>
      <c r="F31" s="903"/>
      <c r="G31" s="147">
        <f t="shared" si="0"/>
        <v>0</v>
      </c>
      <c r="H31" s="144"/>
      <c r="I31" s="904"/>
      <c r="J31" s="143"/>
      <c r="K31" s="143"/>
      <c r="L31" s="143"/>
      <c r="M31" s="143"/>
      <c r="N31" s="143"/>
      <c r="O31" s="143"/>
      <c r="P31" s="143"/>
      <c r="Q31" s="143"/>
      <c r="R31" s="905"/>
      <c r="S31" s="895"/>
      <c r="T31" s="143"/>
      <c r="U31" s="103">
        <f t="shared" si="1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03">
        <f t="shared" si="2"/>
        <v>0</v>
      </c>
      <c r="AI31" s="906">
        <v>903.16</v>
      </c>
      <c r="AJ31" s="907">
        <v>1026.05</v>
      </c>
      <c r="AK31" s="136"/>
      <c r="AL31" s="105">
        <f t="shared" si="3"/>
        <v>0</v>
      </c>
      <c r="AM31" s="145">
        <v>11.2</v>
      </c>
      <c r="AN31" s="145">
        <v>0.54</v>
      </c>
      <c r="AO31" s="143"/>
      <c r="AP31" s="143"/>
      <c r="AQ31" s="146"/>
      <c r="AR31" s="224">
        <f t="shared" si="4"/>
        <v>0</v>
      </c>
      <c r="AS31" s="1761">
        <v>1588.5</v>
      </c>
      <c r="AT31" s="1546"/>
      <c r="AU31" s="1546"/>
      <c r="AV31" s="1548"/>
      <c r="AW31" s="1548"/>
      <c r="AX31" s="1762">
        <v>2246.9</v>
      </c>
      <c r="AY31" s="1548"/>
      <c r="AZ31" s="1548"/>
      <c r="BA31" s="1548"/>
      <c r="BB31" s="1709"/>
      <c r="BC31" s="222">
        <f t="shared" si="5"/>
        <v>0</v>
      </c>
      <c r="BD31" s="140">
        <f t="shared" si="6"/>
        <v>0</v>
      </c>
      <c r="BE31" s="132"/>
      <c r="BF31" s="140">
        <f t="shared" si="7"/>
        <v>0</v>
      </c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08"/>
      <c r="BR31" s="910"/>
      <c r="BS31" s="909"/>
      <c r="BT31" s="130">
        <f t="shared" si="8"/>
        <v>0</v>
      </c>
      <c r="BU31" s="132"/>
    </row>
    <row r="32" ht="14.25" customHeight="1">
      <c r="A32" s="132"/>
      <c r="B32" s="491">
        <v>46048</v>
      </c>
      <c r="C32" s="900">
        <f>7929.04-D32-0</f>
      </c>
      <c r="D32" s="907">
        <v>3543.05</v>
      </c>
      <c r="E32" s="902"/>
      <c r="F32" s="903"/>
      <c r="G32" s="147">
        <f t="shared" si="0"/>
        <v>0</v>
      </c>
      <c r="H32" s="144"/>
      <c r="I32" s="905"/>
      <c r="J32" s="143"/>
      <c r="K32" s="143"/>
      <c r="L32" s="143"/>
      <c r="M32" s="143"/>
      <c r="N32" s="99"/>
      <c r="O32" s="143"/>
      <c r="P32" s="143"/>
      <c r="Q32" s="143"/>
      <c r="R32" s="905"/>
      <c r="S32" s="895"/>
      <c r="T32" s="143"/>
      <c r="U32" s="103">
        <f t="shared" si="1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03">
        <f t="shared" si="2"/>
        <v>0</v>
      </c>
      <c r="AI32" s="915">
        <v>1391.21</v>
      </c>
      <c r="AJ32" s="916">
        <v>1159.41</v>
      </c>
      <c r="AK32" s="136"/>
      <c r="AL32" s="105">
        <f t="shared" si="3"/>
        <v>0</v>
      </c>
      <c r="AM32" s="145">
        <v>32.37</v>
      </c>
      <c r="AN32" s="145">
        <v>1.69</v>
      </c>
      <c r="AO32" s="143"/>
      <c r="AP32" s="143"/>
      <c r="AQ32" s="146"/>
      <c r="AR32" s="224">
        <f t="shared" si="4"/>
        <v>0</v>
      </c>
      <c r="AS32" s="1761">
        <v>2937.5</v>
      </c>
      <c r="AT32" s="1546"/>
      <c r="AU32" s="1546"/>
      <c r="AV32" s="1548"/>
      <c r="AW32" s="1548"/>
      <c r="AX32" s="1762">
        <v>2407</v>
      </c>
      <c r="AY32" s="1548"/>
      <c r="AZ32" s="1548"/>
      <c r="BA32" s="1548"/>
      <c r="BB32" s="1709"/>
      <c r="BC32" s="222">
        <f t="shared" si="5"/>
        <v>0</v>
      </c>
      <c r="BD32" s="140">
        <f t="shared" si="6"/>
        <v>0</v>
      </c>
      <c r="BE32" s="132"/>
      <c r="BF32" s="140">
        <f t="shared" si="7"/>
        <v>0</v>
      </c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908"/>
      <c r="BR32" s="909"/>
      <c r="BS32" s="909"/>
      <c r="BT32" s="130">
        <f t="shared" si="8"/>
        <v>0</v>
      </c>
      <c r="BU32" s="132"/>
    </row>
    <row r="33" ht="14.25" customHeight="1">
      <c r="A33" s="132"/>
      <c r="B33" s="491">
        <v>46049</v>
      </c>
      <c r="C33" s="917">
        <f>6185.49-D33-0</f>
      </c>
      <c r="D33" s="916">
        <v>3570.02</v>
      </c>
      <c r="E33" s="902"/>
      <c r="F33" s="903"/>
      <c r="G33" s="147">
        <f t="shared" si="0"/>
        <v>0</v>
      </c>
      <c r="H33" s="144"/>
      <c r="I33" s="905"/>
      <c r="J33" s="143"/>
      <c r="K33" s="143"/>
      <c r="L33" s="143"/>
      <c r="M33" s="143"/>
      <c r="N33" s="143"/>
      <c r="O33" s="143"/>
      <c r="P33" s="143"/>
      <c r="Q33" s="143"/>
      <c r="R33" s="905"/>
      <c r="S33" s="895"/>
      <c r="T33" s="143"/>
      <c r="U33" s="103">
        <f t="shared" si="1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03">
        <f t="shared" si="2"/>
        <v>0</v>
      </c>
      <c r="AI33" s="915">
        <v>812.59</v>
      </c>
      <c r="AJ33" s="916">
        <v>1143.28</v>
      </c>
      <c r="AK33" s="136"/>
      <c r="AL33" s="105">
        <f t="shared" si="3"/>
        <v>0</v>
      </c>
      <c r="AM33" s="145">
        <v>13.67</v>
      </c>
      <c r="AN33" s="145">
        <v>2.2</v>
      </c>
      <c r="AO33" s="143"/>
      <c r="AP33" s="143"/>
      <c r="AQ33" s="146"/>
      <c r="AR33" s="224">
        <f t="shared" si="4"/>
        <v>0</v>
      </c>
      <c r="AS33" s="1761">
        <v>1749.2</v>
      </c>
      <c r="AT33" s="1546"/>
      <c r="AU33" s="1546"/>
      <c r="AV33" s="1548"/>
      <c r="AW33" s="1548"/>
      <c r="AX33" s="1762">
        <v>2404.6</v>
      </c>
      <c r="AY33" s="1548"/>
      <c r="AZ33" s="1548"/>
      <c r="BA33" s="1548"/>
      <c r="BB33" s="1709"/>
      <c r="BC33" s="222">
        <f t="shared" si="5"/>
        <v>0</v>
      </c>
      <c r="BD33" s="140">
        <f t="shared" si="6"/>
        <v>0</v>
      </c>
      <c r="BE33" s="132"/>
      <c r="BF33" s="140">
        <f t="shared" si="7"/>
        <v>0</v>
      </c>
      <c r="BG33" s="141"/>
      <c r="BH33" s="141"/>
      <c r="BI33" s="913"/>
      <c r="BJ33" s="141"/>
      <c r="BK33" s="141"/>
      <c r="BL33" s="141"/>
      <c r="BM33" s="141"/>
      <c r="BN33" s="141"/>
      <c r="BO33" s="141"/>
      <c r="BP33" s="141"/>
      <c r="BQ33" s="908"/>
      <c r="BR33" s="909"/>
      <c r="BS33" s="909"/>
      <c r="BT33" s="130">
        <f t="shared" si="8"/>
        <v>0</v>
      </c>
      <c r="BU33" s="132"/>
    </row>
    <row r="34" ht="14.25" customHeight="1">
      <c r="A34" s="132"/>
      <c r="B34" s="491">
        <v>46050</v>
      </c>
      <c r="C34" s="917">
        <f>6101.52-D34-0</f>
      </c>
      <c r="D34" s="916">
        <v>3226.25</v>
      </c>
      <c r="E34" s="902"/>
      <c r="F34" s="903"/>
      <c r="G34" s="147">
        <f t="shared" si="0"/>
        <v>0</v>
      </c>
      <c r="H34" s="144"/>
      <c r="I34" s="905"/>
      <c r="J34" s="143"/>
      <c r="K34" s="143"/>
      <c r="L34" s="143"/>
      <c r="M34" s="143"/>
      <c r="N34" s="143"/>
      <c r="O34" s="143"/>
      <c r="P34" s="143"/>
      <c r="Q34" s="143"/>
      <c r="R34" s="905"/>
      <c r="S34" s="895"/>
      <c r="T34" s="143"/>
      <c r="U34" s="103">
        <f t="shared" si="1"/>
        <v>0</v>
      </c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03">
        <f t="shared" si="2"/>
        <v>0</v>
      </c>
      <c r="AI34" s="915">
        <v>916.16</v>
      </c>
      <c r="AJ34" s="916">
        <v>1013.48</v>
      </c>
      <c r="AK34" s="136"/>
      <c r="AL34" s="105">
        <f t="shared" si="3"/>
        <v>0</v>
      </c>
      <c r="AM34" s="145">
        <v>13.29</v>
      </c>
      <c r="AN34" s="145">
        <v>1.6</v>
      </c>
      <c r="AO34" s="143"/>
      <c r="AP34" s="143"/>
      <c r="AQ34" s="146"/>
      <c r="AR34" s="224">
        <f t="shared" si="4"/>
        <v>0</v>
      </c>
      <c r="AS34" s="1763">
        <v>1945.9</v>
      </c>
      <c r="AT34" s="1546"/>
      <c r="AU34" s="1546"/>
      <c r="AV34" s="1548"/>
      <c r="AW34" s="1548"/>
      <c r="AX34" s="1764">
        <v>2211.2</v>
      </c>
      <c r="AY34" s="1548"/>
      <c r="AZ34" s="1548"/>
      <c r="BA34" s="1548"/>
      <c r="BB34" s="1709"/>
      <c r="BC34" s="222">
        <f t="shared" si="5"/>
        <v>0</v>
      </c>
      <c r="BD34" s="140">
        <f t="shared" si="6"/>
        <v>0</v>
      </c>
      <c r="BE34" s="132"/>
      <c r="BF34" s="140">
        <f t="shared" si="7"/>
        <v>0</v>
      </c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908"/>
      <c r="BR34" s="909"/>
      <c r="BS34" s="909"/>
      <c r="BT34" s="130">
        <f t="shared" si="8"/>
        <v>0</v>
      </c>
      <c r="BU34" s="132"/>
    </row>
    <row r="35" ht="14.25" customHeight="1">
      <c r="A35" s="132"/>
      <c r="B35" s="491">
        <v>46051</v>
      </c>
      <c r="C35" s="900">
        <f>6269.25-D35-0</f>
      </c>
      <c r="D35" s="901">
        <v>3171.32</v>
      </c>
      <c r="E35" s="902"/>
      <c r="F35" s="903"/>
      <c r="G35" s="147">
        <f t="shared" si="0"/>
        <v>0</v>
      </c>
      <c r="H35" s="144"/>
      <c r="I35" s="905"/>
      <c r="J35" s="143"/>
      <c r="K35" s="143"/>
      <c r="L35" s="143"/>
      <c r="M35" s="143"/>
      <c r="N35" s="143"/>
      <c r="O35" s="143"/>
      <c r="P35" s="143"/>
      <c r="Q35" s="143"/>
      <c r="R35" s="905"/>
      <c r="S35" s="895"/>
      <c r="T35" s="143"/>
      <c r="U35" s="103">
        <f t="shared" si="1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03">
        <f t="shared" si="2"/>
        <v>0</v>
      </c>
      <c r="AI35" s="911">
        <v>932.83</v>
      </c>
      <c r="AJ35" s="907">
        <v>958.87</v>
      </c>
      <c r="AK35" s="136"/>
      <c r="AL35" s="105">
        <f t="shared" si="3"/>
        <v>0</v>
      </c>
      <c r="AM35" s="145">
        <v>34.25</v>
      </c>
      <c r="AN35" s="143"/>
      <c r="AO35" s="143"/>
      <c r="AP35" s="143"/>
      <c r="AQ35" s="146"/>
      <c r="AR35" s="224">
        <f t="shared" si="4"/>
        <v>0</v>
      </c>
      <c r="AS35" s="1761">
        <v>2130.8</v>
      </c>
      <c r="AT35" s="1546"/>
      <c r="AU35" s="1546"/>
      <c r="AV35" s="1548"/>
      <c r="AW35" s="1548"/>
      <c r="AX35" s="1765">
        <v>2212.6</v>
      </c>
      <c r="AY35" s="1548"/>
      <c r="AZ35" s="1548"/>
      <c r="BA35" s="1548"/>
      <c r="BB35" s="1709"/>
      <c r="BC35" s="222">
        <f t="shared" si="5"/>
        <v>0</v>
      </c>
      <c r="BD35" s="140">
        <f t="shared" si="6"/>
        <v>0</v>
      </c>
      <c r="BE35" s="132"/>
      <c r="BF35" s="140">
        <f t="shared" si="7"/>
        <v>0</v>
      </c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908"/>
      <c r="BR35" s="910"/>
      <c r="BS35" s="909"/>
      <c r="BT35" s="130">
        <f t="shared" si="8"/>
        <v>0</v>
      </c>
      <c r="BU35" s="132"/>
    </row>
    <row r="36" ht="14.25" customHeight="1">
      <c r="A36" s="132"/>
      <c r="B36" s="491">
        <v>46052</v>
      </c>
      <c r="C36" s="900">
        <f>5566.71-D36-0</f>
      </c>
      <c r="D36" s="901">
        <v>3312.2</v>
      </c>
      <c r="E36" s="902"/>
      <c r="F36" s="903"/>
      <c r="G36" s="147">
        <f t="shared" si="0"/>
        <v>0</v>
      </c>
      <c r="H36" s="144"/>
      <c r="I36" s="905"/>
      <c r="J36" s="143"/>
      <c r="K36" s="143"/>
      <c r="L36" s="143"/>
      <c r="M36" s="143"/>
      <c r="N36" s="143"/>
      <c r="O36" s="143"/>
      <c r="P36" s="143"/>
      <c r="Q36" s="143"/>
      <c r="R36" s="905"/>
      <c r="S36" s="895"/>
      <c r="T36" s="143"/>
      <c r="U36" s="103">
        <f t="shared" si="1"/>
        <v>0</v>
      </c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03">
        <f t="shared" si="2"/>
        <v>0</v>
      </c>
      <c r="AI36" s="906">
        <v>820.1</v>
      </c>
      <c r="AJ36" s="907">
        <v>1318.35</v>
      </c>
      <c r="AK36" s="136"/>
      <c r="AL36" s="105">
        <f t="shared" si="3"/>
        <v>0</v>
      </c>
      <c r="AM36" s="145">
        <v>5</v>
      </c>
      <c r="AN36" s="145">
        <v>1.85</v>
      </c>
      <c r="AO36" s="143"/>
      <c r="AP36" s="143"/>
      <c r="AQ36" s="146"/>
      <c r="AR36" s="224">
        <f t="shared" si="4"/>
        <v>0</v>
      </c>
      <c r="AS36" s="1761">
        <v>1429.6</v>
      </c>
      <c r="AT36" s="1546"/>
      <c r="AU36" s="1546"/>
      <c r="AV36" s="1548"/>
      <c r="AW36" s="1548"/>
      <c r="AX36" s="1762">
        <v>1992</v>
      </c>
      <c r="AY36" s="1548"/>
      <c r="AZ36" s="1548"/>
      <c r="BA36" s="1548"/>
      <c r="BB36" s="1709"/>
      <c r="BC36" s="222">
        <f t="shared" si="5"/>
        <v>0</v>
      </c>
      <c r="BD36" s="140">
        <f t="shared" si="6"/>
        <v>0</v>
      </c>
      <c r="BE36" s="132"/>
      <c r="BF36" s="140">
        <f t="shared" si="7"/>
        <v>0</v>
      </c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908"/>
      <c r="BR36" s="909"/>
      <c r="BS36" s="909"/>
      <c r="BT36" s="130">
        <f t="shared" si="8"/>
        <v>0</v>
      </c>
      <c r="BU36" s="132"/>
    </row>
    <row r="37" ht="14.25" customHeight="1">
      <c r="A37" s="132"/>
      <c r="B37" s="491">
        <v>46053</v>
      </c>
      <c r="C37" s="918">
        <f>6649.25-D37-0</f>
      </c>
      <c r="D37" s="919">
        <v>3401.73</v>
      </c>
      <c r="E37" s="920"/>
      <c r="F37" s="921"/>
      <c r="G37" s="147">
        <f t="shared" si="0"/>
        <v>0</v>
      </c>
      <c r="H37" s="612"/>
      <c r="I37" s="922"/>
      <c r="J37" s="157"/>
      <c r="K37" s="157"/>
      <c r="L37" s="157"/>
      <c r="M37" s="157"/>
      <c r="N37" s="157"/>
      <c r="O37" s="157"/>
      <c r="P37" s="157"/>
      <c r="Q37" s="157"/>
      <c r="R37" s="923"/>
      <c r="S37" s="895"/>
      <c r="T37" s="157"/>
      <c r="U37" s="103">
        <f t="shared" si="1"/>
        <v>0</v>
      </c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03">
        <f t="shared" si="2"/>
        <v>0</v>
      </c>
      <c r="AI37" s="924">
        <v>924.44</v>
      </c>
      <c r="AJ37" s="925">
        <v>1157.31</v>
      </c>
      <c r="AK37" s="159"/>
      <c r="AL37" s="105">
        <f t="shared" si="3"/>
        <v>0</v>
      </c>
      <c r="AM37" s="158">
        <v>8.3</v>
      </c>
      <c r="AN37" s="158">
        <v>1.35</v>
      </c>
      <c r="AO37" s="157"/>
      <c r="AP37" s="157"/>
      <c r="AQ37" s="160"/>
      <c r="AR37" s="224">
        <f t="shared" si="4"/>
        <v>0</v>
      </c>
      <c r="AS37" s="1766">
        <v>2224.2</v>
      </c>
      <c r="AT37" s="1557"/>
      <c r="AU37" s="1557"/>
      <c r="AV37" s="1548"/>
      <c r="AW37" s="1548"/>
      <c r="AX37" s="1767">
        <v>2243.1</v>
      </c>
      <c r="AY37" s="1586"/>
      <c r="AZ37" s="1586"/>
      <c r="BA37" s="1586"/>
      <c r="BB37" s="1720"/>
      <c r="BC37" s="222">
        <f t="shared" si="5"/>
        <v>0</v>
      </c>
      <c r="BD37" s="162">
        <f t="shared" si="6"/>
        <v>0</v>
      </c>
      <c r="BE37" s="132"/>
      <c r="BF37" s="162">
        <f t="shared" si="7"/>
        <v>0</v>
      </c>
      <c r="BG37" s="163"/>
      <c r="BH37" s="163"/>
      <c r="BI37" s="163"/>
      <c r="BJ37" s="163"/>
      <c r="BK37" s="163"/>
      <c r="BL37" s="163"/>
      <c r="BM37" s="163"/>
      <c r="BN37" s="163"/>
      <c r="BO37" s="163"/>
      <c r="BP37" s="141"/>
      <c r="BQ37" s="926"/>
      <c r="BR37" s="927"/>
      <c r="BS37" s="927"/>
      <c r="BT37" s="164">
        <f t="shared" si="8"/>
        <v>0</v>
      </c>
      <c r="BU37" s="132"/>
    </row>
    <row r="38" ht="14.25" customHeight="1">
      <c r="A38" s="3"/>
      <c r="B38" s="2" t="s">
        <v>186</v>
      </c>
      <c r="C38" s="166">
        <f ref="C38:BD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6">
        <f t="shared" si="9"/>
        <v>0</v>
      </c>
      <c r="AS38" s="165">
        <f t="shared" si="9"/>
        <v>0</v>
      </c>
      <c r="AT38" s="165">
        <f t="shared" si="9"/>
        <v>0</v>
      </c>
      <c r="AU38" s="165">
        <f t="shared" si="9"/>
        <v>0</v>
      </c>
      <c r="AV38" s="165">
        <f t="shared" si="9"/>
        <v>0</v>
      </c>
      <c r="AW38" s="165">
        <f t="shared" si="9"/>
        <v>0</v>
      </c>
      <c r="AX38" s="165">
        <f t="shared" si="9"/>
        <v>0</v>
      </c>
      <c r="AY38" s="165">
        <f t="shared" si="9"/>
        <v>0</v>
      </c>
      <c r="AZ38" s="165">
        <f t="shared" si="9"/>
        <v>0</v>
      </c>
      <c r="BA38" s="165">
        <f t="shared" si="9"/>
        <v>0</v>
      </c>
      <c r="BB38" s="165">
        <f t="shared" si="9"/>
        <v>0</v>
      </c>
      <c r="BC38" s="166">
        <f t="shared" si="9"/>
        <v>0</v>
      </c>
      <c r="BD38" s="166">
        <f t="shared" si="9"/>
        <v>0</v>
      </c>
      <c r="BE38" s="132"/>
      <c r="BF38" s="166">
        <f ref="BF38:BT38" t="shared" si="10">SUM(BF7:BF37)</f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166">
        <f t="shared" si="10"/>
        <v>0</v>
      </c>
      <c r="BS38" s="166">
        <f t="shared" si="10"/>
        <v>0</v>
      </c>
      <c r="BT38" s="166">
        <f t="shared" si="10"/>
        <v>0</v>
      </c>
      <c r="BU38" s="132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3"/>
      <c r="AN39" s="3"/>
      <c r="AO39" s="3"/>
      <c r="AP39" s="3"/>
      <c r="AQ39" s="3"/>
      <c r="AR39" s="4"/>
      <c r="AS39" s="132"/>
      <c r="AT39" s="132"/>
      <c r="AU39" s="132"/>
      <c r="AV39" s="3"/>
      <c r="AW39" s="3"/>
      <c r="AX39" s="132"/>
      <c r="AY39" s="132"/>
      <c r="AZ39" s="132"/>
      <c r="BA39" s="132"/>
      <c r="BB39" s="132"/>
      <c r="BC39" s="4"/>
      <c r="BD39" s="3"/>
      <c r="BE39" s="3"/>
      <c r="BF39" s="17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ht="14.25" customHeight="1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6"/>
      <c r="AI40" s="3"/>
      <c r="AJ40" s="3"/>
      <c r="AK40" s="3"/>
      <c r="AL40" s="4"/>
      <c r="AM40" s="3"/>
      <c r="AN40" s="3"/>
      <c r="AO40" s="3"/>
      <c r="AP40" s="3"/>
      <c r="AQ40" s="3"/>
      <c r="AR40" s="4"/>
      <c r="AS40" s="132"/>
      <c r="AT40" s="132"/>
      <c r="AU40" s="132"/>
      <c r="AV40" s="3"/>
      <c r="AW40" s="3"/>
      <c r="AX40" s="132"/>
      <c r="AY40" s="132"/>
      <c r="AZ40" s="132"/>
      <c r="BA40" s="132"/>
      <c r="BB40" s="132"/>
      <c r="BC40" s="177"/>
      <c r="BD40" s="3"/>
      <c r="BE40" s="3"/>
      <c r="BF40" s="178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ht="14.25" customHeight="1">
      <c r="A41" s="3"/>
      <c r="B41" s="491">
        <v>46054</v>
      </c>
      <c r="C41" s="94">
        <f>6269.30-D41-0</f>
      </c>
      <c r="D41" s="95">
        <v>3330.52</v>
      </c>
      <c r="E41" s="97"/>
      <c r="F41" s="97"/>
      <c r="G41" s="216">
        <f ref="G41:G69" t="shared" si="11">+C41+D41+E41+F41</f>
        <v>0</v>
      </c>
      <c r="H41" s="100"/>
      <c r="I41" s="101"/>
      <c r="J41" s="101"/>
      <c r="K41" s="101"/>
      <c r="L41" s="101"/>
      <c r="M41" s="101"/>
      <c r="N41" s="186"/>
      <c r="O41" s="186"/>
      <c r="P41" s="186"/>
      <c r="Q41" s="186"/>
      <c r="R41" s="186"/>
      <c r="S41" s="186"/>
      <c r="T41" s="186"/>
      <c r="U41" s="189">
        <f ref="U41:U69" t="shared" si="12">SUM(H41:T41)</f>
        <v>0</v>
      </c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03">
        <f ref="AH41:AH69" t="shared" si="13">SUM(V41:AG41)</f>
        <v>0</v>
      </c>
      <c r="AI41" s="95">
        <v>1066.52</v>
      </c>
      <c r="AJ41" s="95">
        <v>978.79</v>
      </c>
      <c r="AK41" s="104"/>
      <c r="AL41" s="191">
        <f ref="AL41:AL69" t="shared" si="14">SUM(AI41:AK41)</f>
        <v>0</v>
      </c>
      <c r="AM41" s="188">
        <v>26.95</v>
      </c>
      <c r="AN41" s="188">
        <v>3.55</v>
      </c>
      <c r="AO41" s="186"/>
      <c r="AP41" s="186"/>
      <c r="AQ41" s="193"/>
      <c r="AR41" s="620">
        <f ref="AR41:AR68" t="shared" si="15">+G41-U41-AH41-AL41-AM41-AO41-AP41-AQ41-AN41</f>
        <v>0</v>
      </c>
      <c r="AS41" s="1721">
        <v>1845.4</v>
      </c>
      <c r="AT41" s="1537"/>
      <c r="AU41" s="1537"/>
      <c r="AV41" s="1548"/>
      <c r="AW41" s="1548"/>
      <c r="AX41" s="1721">
        <v>2348.2</v>
      </c>
      <c r="AY41" s="1548"/>
      <c r="AZ41" s="1548"/>
      <c r="BA41" s="1548"/>
      <c r="BB41" s="1537"/>
      <c r="BC41" s="222">
        <f ref="BC41:BC69" t="shared" si="16">SUM(AS41:BB41)-BA41</f>
        <v>0</v>
      </c>
      <c r="BD41" s="114">
        <f ref="BD41:BD69" t="shared" si="17">+AR41-BC41</f>
        <v>0</v>
      </c>
      <c r="BE41" s="3"/>
      <c r="BF41" s="114">
        <f ref="BF41:BF69" t="shared" si="18">SUM(BG41:BS41)</f>
        <v>0</v>
      </c>
      <c r="BG41" s="115"/>
      <c r="BH41" s="115"/>
      <c r="BI41" s="913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ref="BT41:BT69" t="shared" si="19">+BD41-BF41</f>
        <v>0</v>
      </c>
      <c r="BU41" s="3"/>
    </row>
    <row r="42" ht="14.25" customHeight="1">
      <c r="A42" s="3"/>
      <c r="B42" s="491">
        <v>46055</v>
      </c>
      <c r="C42" s="118">
        <f>5689.48-D42-0</f>
      </c>
      <c r="D42" s="119">
        <v>2793.31</v>
      </c>
      <c r="E42" s="120"/>
      <c r="F42" s="120"/>
      <c r="G42" s="147">
        <f t="shared" si="11"/>
        <v>0</v>
      </c>
      <c r="H42" s="122"/>
      <c r="I42" s="99"/>
      <c r="J42" s="99"/>
      <c r="K42" s="99"/>
      <c r="L42" s="99"/>
      <c r="M42" s="99"/>
      <c r="N42" s="143"/>
      <c r="O42" s="143"/>
      <c r="P42" s="143"/>
      <c r="Q42" s="143"/>
      <c r="R42" s="143"/>
      <c r="S42" s="143"/>
      <c r="T42" s="143"/>
      <c r="U42" s="103">
        <f t="shared" si="12"/>
        <v>0</v>
      </c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03">
        <f t="shared" si="13"/>
        <v>0</v>
      </c>
      <c r="AI42" s="119">
        <v>722.35</v>
      </c>
      <c r="AJ42" s="119">
        <v>1129.48</v>
      </c>
      <c r="AK42" s="123"/>
      <c r="AL42" s="105">
        <f t="shared" si="14"/>
        <v>0</v>
      </c>
      <c r="AM42" s="145">
        <v>24.04</v>
      </c>
      <c r="AN42" s="145">
        <v>2.95</v>
      </c>
      <c r="AO42" s="143"/>
      <c r="AP42" s="143"/>
      <c r="AQ42" s="146"/>
      <c r="AR42" s="620">
        <f t="shared" si="15"/>
        <v>0</v>
      </c>
      <c r="AS42" s="1554">
        <v>2099.9</v>
      </c>
      <c r="AT42" s="1546"/>
      <c r="AU42" s="1546"/>
      <c r="AV42" s="1548"/>
      <c r="AW42" s="1548"/>
      <c r="AX42" s="1554">
        <v>1710.9</v>
      </c>
      <c r="AY42" s="1548"/>
      <c r="AZ42" s="1548"/>
      <c r="BA42" s="1548"/>
      <c r="BB42" s="1546"/>
      <c r="BC42" s="222">
        <f t="shared" si="16"/>
        <v>0</v>
      </c>
      <c r="BD42" s="113">
        <f t="shared" si="17"/>
        <v>0</v>
      </c>
      <c r="BE42" s="3"/>
      <c r="BF42" s="113">
        <f t="shared" si="18"/>
        <v>0</v>
      </c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30">
        <f t="shared" si="19"/>
        <v>0</v>
      </c>
      <c r="BU42" s="3"/>
    </row>
    <row r="43" ht="14.25" customHeight="1">
      <c r="A43" s="3"/>
      <c r="B43" s="491">
        <v>46056</v>
      </c>
      <c r="C43" s="118">
        <f>6079.60-D43-0</f>
      </c>
      <c r="D43" s="119">
        <v>3313.39</v>
      </c>
      <c r="E43" s="120"/>
      <c r="F43" s="120"/>
      <c r="G43" s="147">
        <f t="shared" si="11"/>
        <v>0</v>
      </c>
      <c r="H43" s="122"/>
      <c r="I43" s="99"/>
      <c r="J43" s="99"/>
      <c r="K43" s="99"/>
      <c r="L43" s="99"/>
      <c r="M43" s="99"/>
      <c r="N43" s="143"/>
      <c r="O43" s="143"/>
      <c r="P43" s="143"/>
      <c r="Q43" s="143"/>
      <c r="R43" s="143"/>
      <c r="S43" s="143"/>
      <c r="T43" s="143"/>
      <c r="U43" s="103">
        <f t="shared" si="12"/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03">
        <f t="shared" si="13"/>
        <v>0</v>
      </c>
      <c r="AI43" s="119">
        <v>1023.28</v>
      </c>
      <c r="AJ43" s="119">
        <v>1021.67</v>
      </c>
      <c r="AK43" s="123"/>
      <c r="AL43" s="105">
        <f t="shared" si="14"/>
        <v>0</v>
      </c>
      <c r="AM43" s="145">
        <v>4.84</v>
      </c>
      <c r="AN43" s="145">
        <v>3.09</v>
      </c>
      <c r="AO43" s="143"/>
      <c r="AP43" s="143"/>
      <c r="AQ43" s="146"/>
      <c r="AR43" s="620">
        <f t="shared" si="15"/>
        <v>0</v>
      </c>
      <c r="AS43" s="1554">
        <v>1738.1</v>
      </c>
      <c r="AT43" s="1546"/>
      <c r="AU43" s="1546"/>
      <c r="AV43" s="1548"/>
      <c r="AW43" s="1548"/>
      <c r="AX43" s="1554">
        <v>2288.7</v>
      </c>
      <c r="AY43" s="1548"/>
      <c r="AZ43" s="1548"/>
      <c r="BA43" s="1548"/>
      <c r="BB43" s="1546"/>
      <c r="BC43" s="222">
        <f t="shared" si="16"/>
        <v>0</v>
      </c>
      <c r="BD43" s="113">
        <f t="shared" si="17"/>
        <v>0</v>
      </c>
      <c r="BE43" s="3"/>
      <c r="BF43" s="113">
        <f t="shared" si="18"/>
        <v>0</v>
      </c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30">
        <f t="shared" si="19"/>
        <v>0</v>
      </c>
      <c r="BU43" s="3"/>
    </row>
    <row r="44" ht="14.25" customHeight="1">
      <c r="A44" s="3"/>
      <c r="B44" s="491">
        <v>46057</v>
      </c>
      <c r="C44" s="118">
        <f>6767.48-D44-0</f>
      </c>
      <c r="D44" s="119">
        <v>3649.74</v>
      </c>
      <c r="E44" s="123"/>
      <c r="F44" s="3"/>
      <c r="G44" s="147">
        <f t="shared" si="11"/>
        <v>0</v>
      </c>
      <c r="H44" s="122"/>
      <c r="I44" s="99"/>
      <c r="J44" s="99"/>
      <c r="K44" s="99"/>
      <c r="L44" s="99"/>
      <c r="M44" s="99"/>
      <c r="N44" s="143"/>
      <c r="O44" s="143"/>
      <c r="P44" s="143"/>
      <c r="Q44" s="143"/>
      <c r="R44" s="145"/>
      <c r="S44" s="143"/>
      <c r="T44" s="143"/>
      <c r="U44" s="103">
        <f t="shared" si="12"/>
        <v>0</v>
      </c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03">
        <f t="shared" si="13"/>
        <v>0</v>
      </c>
      <c r="AI44" s="119">
        <v>667.34</v>
      </c>
      <c r="AJ44" s="119">
        <v>1141.86</v>
      </c>
      <c r="AK44" s="123"/>
      <c r="AL44" s="105">
        <f t="shared" si="14"/>
        <v>0</v>
      </c>
      <c r="AM44" s="145">
        <v>37.45</v>
      </c>
      <c r="AN44" s="145">
        <v>3.5</v>
      </c>
      <c r="AO44" s="143"/>
      <c r="AP44" s="143"/>
      <c r="AQ44" s="146"/>
      <c r="AR44" s="620">
        <f t="shared" si="15"/>
        <v>0</v>
      </c>
      <c r="AS44" s="1554">
        <v>2183</v>
      </c>
      <c r="AT44" s="1546">
        <v>80</v>
      </c>
      <c r="AU44" s="1546"/>
      <c r="AV44" s="1548"/>
      <c r="AW44" s="1548"/>
      <c r="AX44" s="1554">
        <v>2504.4</v>
      </c>
      <c r="AY44" s="1548"/>
      <c r="AZ44" s="1548"/>
      <c r="BA44" s="1548"/>
      <c r="BB44" s="1546"/>
      <c r="BC44" s="222">
        <f t="shared" si="16"/>
        <v>0</v>
      </c>
      <c r="BD44" s="113">
        <f t="shared" si="17"/>
        <v>0</v>
      </c>
      <c r="BE44" s="3"/>
      <c r="BF44" s="113">
        <f t="shared" si="18"/>
        <v>0</v>
      </c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31"/>
      <c r="BR44" s="129"/>
      <c r="BS44" s="129"/>
      <c r="BT44" s="130">
        <f t="shared" si="19"/>
        <v>0</v>
      </c>
      <c r="BU44" s="3"/>
    </row>
    <row r="45" ht="14.25" customHeight="1">
      <c r="A45" s="3"/>
      <c r="B45" s="491">
        <v>46058</v>
      </c>
      <c r="C45" s="118">
        <f>6370.16-D45-0</f>
      </c>
      <c r="D45" s="119">
        <v>3253.1</v>
      </c>
      <c r="E45" s="120"/>
      <c r="F45" s="120"/>
      <c r="G45" s="147">
        <f t="shared" si="11"/>
        <v>0</v>
      </c>
      <c r="H45" s="122"/>
      <c r="I45" s="99"/>
      <c r="J45" s="99"/>
      <c r="K45" s="99"/>
      <c r="L45" s="99"/>
      <c r="M45" s="99"/>
      <c r="N45" s="143"/>
      <c r="O45" s="143"/>
      <c r="P45" s="143"/>
      <c r="Q45" s="143"/>
      <c r="R45" s="143"/>
      <c r="S45" s="143"/>
      <c r="T45" s="143"/>
      <c r="U45" s="103">
        <f t="shared" si="12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03">
        <f t="shared" si="13"/>
        <v>0</v>
      </c>
      <c r="AI45" s="119">
        <v>927.95</v>
      </c>
      <c r="AJ45" s="119">
        <v>1218.39</v>
      </c>
      <c r="AK45" s="123"/>
      <c r="AL45" s="105">
        <f t="shared" si="14"/>
        <v>0</v>
      </c>
      <c r="AM45" s="145">
        <v>17.31</v>
      </c>
      <c r="AN45" s="145">
        <v>3.27</v>
      </c>
      <c r="AO45" s="143"/>
      <c r="AP45" s="143"/>
      <c r="AQ45" s="146"/>
      <c r="AR45" s="620">
        <f t="shared" si="15"/>
        <v>0</v>
      </c>
      <c r="AS45" s="1554">
        <v>1392</v>
      </c>
      <c r="AT45" s="1546"/>
      <c r="AU45" s="1546"/>
      <c r="AV45" s="1548"/>
      <c r="AW45" s="1548"/>
      <c r="AX45" s="1554">
        <v>2031.4</v>
      </c>
      <c r="AY45" s="1548"/>
      <c r="AZ45" s="1548"/>
      <c r="BA45" s="1548"/>
      <c r="BB45" s="1546"/>
      <c r="BC45" s="222">
        <f t="shared" si="16"/>
        <v>0</v>
      </c>
      <c r="BD45" s="113">
        <f t="shared" si="17"/>
        <v>0</v>
      </c>
      <c r="BE45" s="3"/>
      <c r="BF45" s="113">
        <f t="shared" si="18"/>
        <v>0</v>
      </c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1"/>
      <c r="BR45" s="129"/>
      <c r="BS45" s="129"/>
      <c r="BT45" s="130">
        <f t="shared" si="19"/>
        <v>0</v>
      </c>
      <c r="BU45" s="3"/>
    </row>
    <row r="46" ht="14.25" customHeight="1">
      <c r="A46" s="3"/>
      <c r="B46" s="491">
        <v>46059</v>
      </c>
      <c r="C46" s="118">
        <f>6172.17-D46-0</f>
      </c>
      <c r="D46" s="119">
        <v>3055.99</v>
      </c>
      <c r="E46" s="120"/>
      <c r="F46" s="120"/>
      <c r="G46" s="147">
        <f t="shared" si="11"/>
        <v>0</v>
      </c>
      <c r="H46" s="122"/>
      <c r="I46" s="99"/>
      <c r="J46" s="99"/>
      <c r="K46" s="99"/>
      <c r="L46" s="99"/>
      <c r="M46" s="99"/>
      <c r="N46" s="143"/>
      <c r="O46" s="143"/>
      <c r="P46" s="143"/>
      <c r="Q46" s="143"/>
      <c r="R46" s="143"/>
      <c r="S46" s="143"/>
      <c r="T46" s="143"/>
      <c r="U46" s="103">
        <f t="shared" si="12"/>
        <v>0</v>
      </c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03">
        <f t="shared" si="13"/>
        <v>0</v>
      </c>
      <c r="AI46" s="119">
        <v>992.74</v>
      </c>
      <c r="AJ46" s="119">
        <v>814.51</v>
      </c>
      <c r="AK46" s="123"/>
      <c r="AL46" s="105">
        <f t="shared" si="14"/>
        <v>0</v>
      </c>
      <c r="AM46" s="145">
        <v>16.07</v>
      </c>
      <c r="AN46" s="145">
        <v>3.57</v>
      </c>
      <c r="AO46" s="143"/>
      <c r="AP46" s="143"/>
      <c r="AQ46" s="146"/>
      <c r="AR46" s="620">
        <f t="shared" si="15"/>
        <v>0</v>
      </c>
      <c r="AS46" s="1554">
        <v>2107.5</v>
      </c>
      <c r="AT46" s="1546"/>
      <c r="AU46" s="1546"/>
      <c r="AV46" s="1548"/>
      <c r="AW46" s="1548"/>
      <c r="AX46" s="1554">
        <v>2238</v>
      </c>
      <c r="AY46" s="1548"/>
      <c r="AZ46" s="1548"/>
      <c r="BA46" s="1548"/>
      <c r="BB46" s="1546"/>
      <c r="BC46" s="222">
        <f t="shared" si="16"/>
        <v>0</v>
      </c>
      <c r="BD46" s="113">
        <f t="shared" si="17"/>
        <v>0</v>
      </c>
      <c r="BE46" s="3"/>
      <c r="BF46" s="113">
        <f t="shared" si="18"/>
        <v>0</v>
      </c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30">
        <f t="shared" si="19"/>
        <v>0</v>
      </c>
      <c r="BU46" s="3"/>
    </row>
    <row r="47" ht="14.25" customHeight="1">
      <c r="A47" s="132"/>
      <c r="B47" s="491">
        <v>46060</v>
      </c>
      <c r="C47" s="133">
        <f>7194.27-D47-0</f>
      </c>
      <c r="D47" s="134">
        <v>3693.25</v>
      </c>
      <c r="E47" s="135"/>
      <c r="F47" s="135"/>
      <c r="G47" s="147">
        <f t="shared" si="11"/>
        <v>0</v>
      </c>
      <c r="H47" s="122"/>
      <c r="I47" s="99"/>
      <c r="J47" s="99"/>
      <c r="K47" s="99"/>
      <c r="L47" s="99"/>
      <c r="M47" s="99"/>
      <c r="N47" s="143"/>
      <c r="O47" s="143"/>
      <c r="P47" s="143"/>
      <c r="Q47" s="143"/>
      <c r="R47" s="143"/>
      <c r="S47" s="143"/>
      <c r="T47" s="143"/>
      <c r="U47" s="103">
        <f t="shared" si="12"/>
        <v>0</v>
      </c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03">
        <f t="shared" si="13"/>
        <v>0</v>
      </c>
      <c r="AI47" s="134">
        <v>1467.9</v>
      </c>
      <c r="AJ47" s="134">
        <v>1260.63</v>
      </c>
      <c r="AK47" s="136"/>
      <c r="AL47" s="105">
        <f t="shared" si="14"/>
        <v>0</v>
      </c>
      <c r="AM47" s="145">
        <v>24.44</v>
      </c>
      <c r="AN47" s="145">
        <v>3.46</v>
      </c>
      <c r="AO47" s="143"/>
      <c r="AP47" s="143"/>
      <c r="AQ47" s="146"/>
      <c r="AR47" s="620">
        <f t="shared" si="15"/>
        <v>0</v>
      </c>
      <c r="AS47" s="1554">
        <v>2008.7</v>
      </c>
      <c r="AT47" s="1546"/>
      <c r="AU47" s="1546"/>
      <c r="AV47" s="1548"/>
      <c r="AW47" s="1548"/>
      <c r="AX47" s="1554">
        <v>2429.2</v>
      </c>
      <c r="AY47" s="1548"/>
      <c r="AZ47" s="1548"/>
      <c r="BA47" s="1548"/>
      <c r="BB47" s="1546"/>
      <c r="BC47" s="222">
        <f t="shared" si="16"/>
        <v>0</v>
      </c>
      <c r="BD47" s="140">
        <f t="shared" si="17"/>
        <v>0</v>
      </c>
      <c r="BE47" s="132"/>
      <c r="BF47" s="140">
        <f t="shared" si="18"/>
        <v>0</v>
      </c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30">
        <f t="shared" si="19"/>
        <v>0</v>
      </c>
      <c r="BU47" s="132"/>
    </row>
    <row r="48" ht="14.25" customHeight="1">
      <c r="A48" s="132"/>
      <c r="B48" s="491">
        <v>46061</v>
      </c>
      <c r="C48" s="133">
        <f>6032.96-D48-0</f>
      </c>
      <c r="D48" s="134">
        <v>3044.49</v>
      </c>
      <c r="E48" s="135"/>
      <c r="F48" s="135"/>
      <c r="G48" s="147">
        <f t="shared" si="11"/>
        <v>0</v>
      </c>
      <c r="H48" s="122"/>
      <c r="I48" s="99"/>
      <c r="J48" s="99"/>
      <c r="K48" s="99"/>
      <c r="L48" s="99"/>
      <c r="M48" s="99"/>
      <c r="N48" s="143"/>
      <c r="O48" s="143"/>
      <c r="P48" s="143"/>
      <c r="Q48" s="143"/>
      <c r="R48" s="143"/>
      <c r="S48" s="143"/>
      <c r="T48" s="143"/>
      <c r="U48" s="103">
        <f t="shared" si="12"/>
        <v>0</v>
      </c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03">
        <f t="shared" si="13"/>
        <v>0</v>
      </c>
      <c r="AI48" s="134">
        <v>1267.28</v>
      </c>
      <c r="AJ48" s="134">
        <v>1059.94</v>
      </c>
      <c r="AK48" s="136"/>
      <c r="AL48" s="105">
        <f t="shared" si="14"/>
        <v>0</v>
      </c>
      <c r="AM48" s="145">
        <v>13.24</v>
      </c>
      <c r="AN48" s="145">
        <v>1.65</v>
      </c>
      <c r="AO48" s="143"/>
      <c r="AP48" s="143"/>
      <c r="AQ48" s="146"/>
      <c r="AR48" s="620">
        <f t="shared" si="15"/>
        <v>0</v>
      </c>
      <c r="AS48" s="1554">
        <v>1708.1</v>
      </c>
      <c r="AT48" s="1546"/>
      <c r="AU48" s="1546"/>
      <c r="AV48" s="1548"/>
      <c r="AW48" s="1548"/>
      <c r="AX48" s="1554">
        <v>1982.9</v>
      </c>
      <c r="AY48" s="1548"/>
      <c r="AZ48" s="1548"/>
      <c r="BA48" s="1548"/>
      <c r="BB48" s="1546"/>
      <c r="BC48" s="222">
        <f t="shared" si="16"/>
        <v>0</v>
      </c>
      <c r="BD48" s="140">
        <f t="shared" si="17"/>
        <v>0</v>
      </c>
      <c r="BE48" s="132"/>
      <c r="BF48" s="140">
        <f t="shared" si="18"/>
        <v>0</v>
      </c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30">
        <f t="shared" si="19"/>
        <v>0</v>
      </c>
      <c r="BU48" s="132"/>
    </row>
    <row r="49" ht="14.25" customHeight="1">
      <c r="A49" s="132"/>
      <c r="B49" s="491">
        <v>46062</v>
      </c>
      <c r="C49" s="133">
        <f>7332.52-D49-0</f>
      </c>
      <c r="D49" s="134">
        <v>3229.28</v>
      </c>
      <c r="E49" s="135"/>
      <c r="F49" s="135"/>
      <c r="G49" s="147">
        <f t="shared" si="11"/>
        <v>0</v>
      </c>
      <c r="H49" s="122"/>
      <c r="I49" s="99"/>
      <c r="J49" s="99"/>
      <c r="K49" s="99"/>
      <c r="L49" s="99"/>
      <c r="M49" s="99"/>
      <c r="N49" s="143"/>
      <c r="O49" s="143"/>
      <c r="P49" s="143"/>
      <c r="Q49" s="143"/>
      <c r="R49" s="143"/>
      <c r="S49" s="143"/>
      <c r="T49" s="143"/>
      <c r="U49" s="103">
        <f t="shared" si="12"/>
        <v>0</v>
      </c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03">
        <f t="shared" si="13"/>
        <v>0</v>
      </c>
      <c r="AI49" s="134">
        <v>418.14</v>
      </c>
      <c r="AJ49" s="200">
        <v>1171.64</v>
      </c>
      <c r="AK49" s="136"/>
      <c r="AL49" s="105">
        <f t="shared" si="14"/>
        <v>0</v>
      </c>
      <c r="AM49" s="145">
        <v>71.36</v>
      </c>
      <c r="AN49" s="145">
        <v>5.6</v>
      </c>
      <c r="AO49" s="143"/>
      <c r="AP49" s="143"/>
      <c r="AQ49" s="146"/>
      <c r="AR49" s="620">
        <f t="shared" si="15"/>
        <v>0</v>
      </c>
      <c r="AS49" s="1554">
        <v>3613.8</v>
      </c>
      <c r="AT49" s="1546"/>
      <c r="AU49" s="1546"/>
      <c r="AV49" s="1548"/>
      <c r="AW49" s="1548"/>
      <c r="AX49" s="1554">
        <v>2052.1</v>
      </c>
      <c r="AY49" s="1548"/>
      <c r="AZ49" s="1548"/>
      <c r="BA49" s="1548"/>
      <c r="BB49" s="1546"/>
      <c r="BC49" s="222">
        <f t="shared" si="16"/>
        <v>0</v>
      </c>
      <c r="BD49" s="140">
        <f t="shared" si="17"/>
        <v>0</v>
      </c>
      <c r="BE49" s="132"/>
      <c r="BF49" s="140">
        <f t="shared" si="18"/>
        <v>0</v>
      </c>
      <c r="BG49" s="141"/>
      <c r="BH49" s="141"/>
      <c r="BI49" s="913"/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30">
        <f t="shared" si="19"/>
        <v>0</v>
      </c>
      <c r="BU49" s="132"/>
    </row>
    <row r="50" ht="14.25" customHeight="1">
      <c r="A50" s="132"/>
      <c r="B50" s="491">
        <v>46063</v>
      </c>
      <c r="C50" s="133">
        <f>5914.21-D50-0</f>
      </c>
      <c r="D50" s="134">
        <v>3124.13</v>
      </c>
      <c r="E50" s="135"/>
      <c r="F50" s="135"/>
      <c r="G50" s="147">
        <f t="shared" si="11"/>
        <v>0</v>
      </c>
      <c r="H50" s="122"/>
      <c r="I50" s="99"/>
      <c r="J50" s="99"/>
      <c r="K50" s="99"/>
      <c r="L50" s="99"/>
      <c r="M50" s="99"/>
      <c r="N50" s="143"/>
      <c r="O50" s="143"/>
      <c r="P50" s="143"/>
      <c r="Q50" s="143"/>
      <c r="R50" s="143"/>
      <c r="S50" s="143"/>
      <c r="T50" s="143"/>
      <c r="U50" s="103">
        <f t="shared" si="12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03">
        <f t="shared" si="13"/>
        <v>0</v>
      </c>
      <c r="AI50" s="134">
        <v>999.2</v>
      </c>
      <c r="AJ50" s="134">
        <v>941.98</v>
      </c>
      <c r="AK50" s="136"/>
      <c r="AL50" s="105">
        <f t="shared" si="14"/>
        <v>0</v>
      </c>
      <c r="AM50" s="145">
        <v>7.42</v>
      </c>
      <c r="AN50" s="145">
        <v>3.34</v>
      </c>
      <c r="AO50" s="143"/>
      <c r="AP50" s="143"/>
      <c r="AQ50" s="146"/>
      <c r="AR50" s="620">
        <f t="shared" si="15"/>
        <v>0</v>
      </c>
      <c r="AS50" s="1554">
        <v>2178.8</v>
      </c>
      <c r="AT50" s="1546"/>
      <c r="AU50" s="1546"/>
      <c r="AV50" s="1548"/>
      <c r="AW50" s="1548"/>
      <c r="AX50" s="1554">
        <v>1783.5</v>
      </c>
      <c r="AY50" s="1548"/>
      <c r="AZ50" s="1548"/>
      <c r="BA50" s="1548"/>
      <c r="BB50" s="1546"/>
      <c r="BC50" s="222">
        <f t="shared" si="16"/>
        <v>0</v>
      </c>
      <c r="BD50" s="140">
        <f t="shared" si="17"/>
        <v>0</v>
      </c>
      <c r="BE50" s="132"/>
      <c r="BF50" s="140">
        <f t="shared" si="18"/>
        <v>0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30">
        <f t="shared" si="19"/>
        <v>0</v>
      </c>
      <c r="BU50" s="132"/>
    </row>
    <row r="51" ht="14.25" customHeight="1">
      <c r="A51" s="132"/>
      <c r="B51" s="491">
        <v>46064</v>
      </c>
      <c r="C51" s="133">
        <f>6424.30-D51-0</f>
      </c>
      <c r="D51" s="134">
        <v>3181.45</v>
      </c>
      <c r="E51" s="135"/>
      <c r="F51" s="135"/>
      <c r="G51" s="147">
        <f t="shared" si="11"/>
        <v>0</v>
      </c>
      <c r="H51" s="136"/>
      <c r="I51" s="99"/>
      <c r="J51" s="99"/>
      <c r="K51" s="99"/>
      <c r="L51" s="99"/>
      <c r="M51" s="99"/>
      <c r="N51" s="143"/>
      <c r="O51" s="143"/>
      <c r="P51" s="143"/>
      <c r="Q51" s="143"/>
      <c r="R51" s="143"/>
      <c r="S51" s="143"/>
      <c r="T51" s="143"/>
      <c r="U51" s="103">
        <f t="shared" si="12"/>
        <v>0</v>
      </c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03">
        <f t="shared" si="13"/>
        <v>0</v>
      </c>
      <c r="AI51" s="134">
        <v>846.58</v>
      </c>
      <c r="AJ51" s="134">
        <v>825.54</v>
      </c>
      <c r="AK51" s="136"/>
      <c r="AL51" s="105">
        <f t="shared" si="14"/>
        <v>0</v>
      </c>
      <c r="AM51" s="145">
        <v>19.29</v>
      </c>
      <c r="AN51" s="145">
        <v>4.35</v>
      </c>
      <c r="AO51" s="143"/>
      <c r="AP51" s="143"/>
      <c r="AQ51" s="146"/>
      <c r="AR51" s="620">
        <f t="shared" si="15"/>
        <v>0</v>
      </c>
      <c r="AS51" s="1554">
        <v>2227</v>
      </c>
      <c r="AT51" s="1546"/>
      <c r="AU51" s="1546"/>
      <c r="AV51" s="1548"/>
      <c r="AW51" s="1548"/>
      <c r="AX51" s="1554">
        <v>2351.6</v>
      </c>
      <c r="AY51" s="1548"/>
      <c r="AZ51" s="1548"/>
      <c r="BA51" s="1548"/>
      <c r="BB51" s="1546"/>
      <c r="BC51" s="222">
        <f t="shared" si="16"/>
        <v>0</v>
      </c>
      <c r="BD51" s="140">
        <f t="shared" si="17"/>
        <v>0</v>
      </c>
      <c r="BE51" s="132"/>
      <c r="BF51" s="140">
        <f t="shared" si="18"/>
        <v>0</v>
      </c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50"/>
      <c r="BR51" s="141"/>
      <c r="BS51" s="141"/>
      <c r="BT51" s="130">
        <f t="shared" si="19"/>
        <v>0</v>
      </c>
      <c r="BU51" s="132"/>
    </row>
    <row r="52" ht="14.25" customHeight="1">
      <c r="A52" s="132"/>
      <c r="B52" s="491">
        <v>46065</v>
      </c>
      <c r="C52" s="133">
        <f>6580.67-D52-0</f>
      </c>
      <c r="D52" s="134">
        <v>3351.94</v>
      </c>
      <c r="E52" s="135"/>
      <c r="F52" s="135"/>
      <c r="G52" s="147">
        <f t="shared" si="11"/>
        <v>0</v>
      </c>
      <c r="H52" s="122"/>
      <c r="I52" s="99"/>
      <c r="J52" s="99"/>
      <c r="K52" s="99"/>
      <c r="L52" s="99"/>
      <c r="M52" s="99"/>
      <c r="N52" s="143"/>
      <c r="O52" s="143"/>
      <c r="P52" s="143"/>
      <c r="Q52" s="143"/>
      <c r="R52" s="143"/>
      <c r="S52" s="143"/>
      <c r="T52" s="143"/>
      <c r="U52" s="103">
        <f t="shared" si="12"/>
        <v>0</v>
      </c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03">
        <f t="shared" si="13"/>
        <v>0</v>
      </c>
      <c r="AI52" s="134">
        <v>1142.95</v>
      </c>
      <c r="AJ52" s="134">
        <v>1168.99</v>
      </c>
      <c r="AK52" s="136"/>
      <c r="AL52" s="105">
        <f t="shared" si="14"/>
        <v>0</v>
      </c>
      <c r="AM52" s="145">
        <v>18.68</v>
      </c>
      <c r="AN52" s="145">
        <v>2.06</v>
      </c>
      <c r="AO52" s="143"/>
      <c r="AP52" s="143"/>
      <c r="AQ52" s="146"/>
      <c r="AR52" s="620">
        <f t="shared" si="15"/>
        <v>0</v>
      </c>
      <c r="AS52" s="1554">
        <v>2067.1</v>
      </c>
      <c r="AT52" s="1546"/>
      <c r="AU52" s="1546"/>
      <c r="AV52" s="1548"/>
      <c r="AW52" s="1548"/>
      <c r="AX52" s="1554">
        <v>2181</v>
      </c>
      <c r="AY52" s="1548"/>
      <c r="AZ52" s="1548"/>
      <c r="BA52" s="1548"/>
      <c r="BB52" s="1546"/>
      <c r="BC52" s="222">
        <f t="shared" si="16"/>
        <v>0</v>
      </c>
      <c r="BD52" s="140">
        <f t="shared" si="17"/>
        <v>0</v>
      </c>
      <c r="BE52" s="132"/>
      <c r="BF52" s="140">
        <f t="shared" si="18"/>
        <v>0</v>
      </c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30">
        <f t="shared" si="19"/>
        <v>0</v>
      </c>
      <c r="BU52" s="132"/>
    </row>
    <row r="53" ht="14.25" customHeight="1">
      <c r="A53" s="132"/>
      <c r="B53" s="491">
        <v>46066</v>
      </c>
      <c r="C53" s="133">
        <f>6851.21-D53-0</f>
      </c>
      <c r="D53" s="134">
        <v>3520.53</v>
      </c>
      <c r="E53" s="135"/>
      <c r="F53" s="135"/>
      <c r="G53" s="147">
        <f t="shared" si="11"/>
        <v>0</v>
      </c>
      <c r="H53" s="122"/>
      <c r="I53" s="99"/>
      <c r="J53" s="99"/>
      <c r="K53" s="136"/>
      <c r="L53" s="99"/>
      <c r="M53" s="99"/>
      <c r="N53" s="143"/>
      <c r="O53" s="143"/>
      <c r="P53" s="143"/>
      <c r="Q53" s="143"/>
      <c r="R53" s="143"/>
      <c r="S53" s="143"/>
      <c r="T53" s="143"/>
      <c r="U53" s="103">
        <f t="shared" si="12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03">
        <f t="shared" si="13"/>
        <v>0</v>
      </c>
      <c r="AI53" s="134">
        <v>1080.94</v>
      </c>
      <c r="AJ53" s="134">
        <v>1213.92</v>
      </c>
      <c r="AK53" s="136"/>
      <c r="AL53" s="105">
        <f t="shared" si="14"/>
        <v>0</v>
      </c>
      <c r="AM53" s="145">
        <v>6.23</v>
      </c>
      <c r="AN53" s="145">
        <v>1.86</v>
      </c>
      <c r="AO53" s="143"/>
      <c r="AP53" s="143"/>
      <c r="AQ53" s="146"/>
      <c r="AR53" s="620">
        <f t="shared" si="15"/>
        <v>0</v>
      </c>
      <c r="AS53" s="1554">
        <v>2243.6</v>
      </c>
      <c r="AT53" s="1546"/>
      <c r="AU53" s="1546"/>
      <c r="AV53" s="1548"/>
      <c r="AW53" s="1548"/>
      <c r="AX53" s="1554">
        <v>2304.7</v>
      </c>
      <c r="AY53" s="1548"/>
      <c r="AZ53" s="1548"/>
      <c r="BA53" s="1548"/>
      <c r="BB53" s="1546"/>
      <c r="BC53" s="222">
        <f t="shared" si="16"/>
        <v>0</v>
      </c>
      <c r="BD53" s="140">
        <f t="shared" si="17"/>
        <v>0</v>
      </c>
      <c r="BE53" s="132"/>
      <c r="BF53" s="140">
        <f t="shared" si="18"/>
        <v>0</v>
      </c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385"/>
      <c r="BR53" s="141"/>
      <c r="BS53" s="141"/>
      <c r="BT53" s="130">
        <f t="shared" si="19"/>
        <v>0</v>
      </c>
      <c r="BU53" s="132"/>
    </row>
    <row r="54" ht="14.25" customHeight="1">
      <c r="A54" s="132"/>
      <c r="B54" s="491">
        <v>46067</v>
      </c>
      <c r="C54" s="133">
        <f>13387.87-D54-0</f>
      </c>
      <c r="D54" s="134">
        <v>4201.84</v>
      </c>
      <c r="E54" s="135"/>
      <c r="F54" s="135"/>
      <c r="G54" s="147">
        <f t="shared" si="11"/>
        <v>0</v>
      </c>
      <c r="H54" s="122"/>
      <c r="I54" s="99"/>
      <c r="J54" s="99"/>
      <c r="K54" s="99"/>
      <c r="L54" s="136"/>
      <c r="M54" s="99"/>
      <c r="N54" s="143"/>
      <c r="O54" s="143"/>
      <c r="P54" s="143"/>
      <c r="Q54" s="143"/>
      <c r="R54" s="143"/>
      <c r="S54" s="143"/>
      <c r="T54" s="143"/>
      <c r="U54" s="103">
        <f t="shared" si="12"/>
        <v>0</v>
      </c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03">
        <f t="shared" si="13"/>
        <v>0</v>
      </c>
      <c r="AI54" s="134">
        <v>1633.89</v>
      </c>
      <c r="AJ54" s="200">
        <v>1378.84</v>
      </c>
      <c r="AK54" s="136"/>
      <c r="AL54" s="105">
        <f t="shared" si="14"/>
        <v>0</v>
      </c>
      <c r="AM54" s="145">
        <v>245.74</v>
      </c>
      <c r="AN54" s="145">
        <v>6.62</v>
      </c>
      <c r="AO54" s="143"/>
      <c r="AP54" s="143"/>
      <c r="AQ54" s="146"/>
      <c r="AR54" s="620">
        <f t="shared" si="15"/>
        <v>0</v>
      </c>
      <c r="AS54" s="1554">
        <v>2684.1</v>
      </c>
      <c r="AT54" s="1626"/>
      <c r="AU54" s="1546"/>
      <c r="AV54" s="1548"/>
      <c r="AW54" s="1768"/>
      <c r="AX54" s="1554">
        <v>2816.4</v>
      </c>
      <c r="AY54" s="1548"/>
      <c r="AZ54" s="1548"/>
      <c r="BA54" s="1548"/>
      <c r="BB54" s="1546"/>
      <c r="BC54" s="222">
        <f t="shared" si="16"/>
        <v>0</v>
      </c>
      <c r="BD54" s="140">
        <f t="shared" si="17"/>
        <v>0</v>
      </c>
      <c r="BE54" s="132"/>
      <c r="BF54" s="140">
        <f t="shared" si="18"/>
        <v>0</v>
      </c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30">
        <f t="shared" si="19"/>
        <v>0</v>
      </c>
      <c r="BU54" s="132"/>
    </row>
    <row r="55" ht="14.25" customHeight="1">
      <c r="A55" s="132"/>
      <c r="B55" s="491">
        <v>46068</v>
      </c>
      <c r="C55" s="133">
        <f>7618.47-D55-0</f>
      </c>
      <c r="D55" s="134">
        <v>3170.23</v>
      </c>
      <c r="E55" s="135"/>
      <c r="F55" s="135"/>
      <c r="G55" s="147">
        <f t="shared" si="11"/>
        <v>0</v>
      </c>
      <c r="H55" s="122"/>
      <c r="I55" s="99"/>
      <c r="J55" s="99"/>
      <c r="K55" s="99"/>
      <c r="L55" s="136"/>
      <c r="M55" s="99"/>
      <c r="N55" s="143"/>
      <c r="O55" s="143"/>
      <c r="P55" s="143"/>
      <c r="Q55" s="143"/>
      <c r="R55" s="143"/>
      <c r="S55" s="143"/>
      <c r="T55" s="143"/>
      <c r="U55" s="103">
        <f t="shared" si="12"/>
        <v>0</v>
      </c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03">
        <f t="shared" si="13"/>
        <v>0</v>
      </c>
      <c r="AI55" s="134">
        <v>1331.4</v>
      </c>
      <c r="AJ55" s="134">
        <v>1031.36</v>
      </c>
      <c r="AK55" s="136"/>
      <c r="AL55" s="105">
        <f t="shared" si="14"/>
        <v>0</v>
      </c>
      <c r="AM55" s="145">
        <v>12.49</v>
      </c>
      <c r="AN55" s="145">
        <v>3.45</v>
      </c>
      <c r="AO55" s="143"/>
      <c r="AP55" s="143"/>
      <c r="AQ55" s="146"/>
      <c r="AR55" s="620">
        <f t="shared" si="15"/>
        <v>0</v>
      </c>
      <c r="AS55" s="1554">
        <v>3104.5</v>
      </c>
      <c r="AT55" s="1546"/>
      <c r="AU55" s="1546"/>
      <c r="AV55" s="1548"/>
      <c r="AW55" s="1768"/>
      <c r="AX55" s="1554">
        <v>2135.4</v>
      </c>
      <c r="AY55" s="1548"/>
      <c r="AZ55" s="1548"/>
      <c r="BA55" s="1548"/>
      <c r="BB55" s="1546"/>
      <c r="BC55" s="222">
        <f t="shared" si="16"/>
        <v>0</v>
      </c>
      <c r="BD55" s="140">
        <f t="shared" si="17"/>
        <v>0</v>
      </c>
      <c r="BE55" s="132"/>
      <c r="BF55" s="140">
        <f t="shared" si="18"/>
        <v>0</v>
      </c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19"/>
        <v>0</v>
      </c>
      <c r="BU55" s="132"/>
    </row>
    <row r="56" ht="14.25" customHeight="1">
      <c r="A56" s="132"/>
      <c r="B56" s="491">
        <v>46069</v>
      </c>
      <c r="C56" s="133">
        <f>7345.00-D56-0</f>
      </c>
      <c r="D56" s="134">
        <v>3529.47</v>
      </c>
      <c r="E56" s="135"/>
      <c r="F56" s="135"/>
      <c r="G56" s="147">
        <f t="shared" si="11"/>
        <v>0</v>
      </c>
      <c r="H56" s="122"/>
      <c r="I56" s="99"/>
      <c r="J56" s="99"/>
      <c r="K56" s="99"/>
      <c r="L56" s="136"/>
      <c r="M56" s="99"/>
      <c r="N56" s="143"/>
      <c r="O56" s="143"/>
      <c r="P56" s="143"/>
      <c r="Q56" s="143"/>
      <c r="R56" s="143"/>
      <c r="S56" s="143"/>
      <c r="T56" s="143"/>
      <c r="U56" s="103">
        <f t="shared" si="12"/>
        <v>0</v>
      </c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03">
        <f t="shared" si="13"/>
        <v>0</v>
      </c>
      <c r="AI56" s="134">
        <v>1180.17</v>
      </c>
      <c r="AJ56" s="134">
        <v>1290.19</v>
      </c>
      <c r="AK56" s="136"/>
      <c r="AL56" s="105">
        <f t="shared" si="14"/>
        <v>0</v>
      </c>
      <c r="AM56" s="145">
        <v>9.13</v>
      </c>
      <c r="AN56" s="145">
        <v>4.29</v>
      </c>
      <c r="AO56" s="143"/>
      <c r="AP56" s="143"/>
      <c r="AQ56" s="146"/>
      <c r="AR56" s="620">
        <f t="shared" si="15"/>
        <v>0</v>
      </c>
      <c r="AS56" s="1554">
        <v>2631.6</v>
      </c>
      <c r="AT56" s="1546"/>
      <c r="AU56" s="1546"/>
      <c r="AV56" s="1548"/>
      <c r="AW56" s="1768"/>
      <c r="AX56" s="1554">
        <v>2230</v>
      </c>
      <c r="AY56" s="1548"/>
      <c r="AZ56" s="1548"/>
      <c r="BA56" s="1548"/>
      <c r="BB56" s="1546"/>
      <c r="BC56" s="222">
        <f t="shared" si="16"/>
        <v>0</v>
      </c>
      <c r="BD56" s="140">
        <f t="shared" si="17"/>
        <v>0</v>
      </c>
      <c r="BE56" s="132"/>
      <c r="BF56" s="140">
        <f t="shared" si="18"/>
        <v>0</v>
      </c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30">
        <f t="shared" si="19"/>
        <v>0</v>
      </c>
      <c r="BU56" s="132"/>
    </row>
    <row r="57" ht="14.25" customHeight="1">
      <c r="A57" s="132"/>
      <c r="B57" s="491">
        <v>46070</v>
      </c>
      <c r="C57" s="133">
        <f>6526.32-D57-0</f>
      </c>
      <c r="D57" s="134">
        <v>3201.2</v>
      </c>
      <c r="E57" s="135"/>
      <c r="F57" s="135"/>
      <c r="G57" s="147">
        <f t="shared" si="11"/>
        <v>0</v>
      </c>
      <c r="H57" s="122"/>
      <c r="I57" s="99"/>
      <c r="J57" s="99"/>
      <c r="K57" s="136"/>
      <c r="L57" s="136"/>
      <c r="M57" s="99"/>
      <c r="N57" s="143"/>
      <c r="O57" s="143"/>
      <c r="P57" s="143"/>
      <c r="Q57" s="143"/>
      <c r="R57" s="143"/>
      <c r="S57" s="143"/>
      <c r="T57" s="143"/>
      <c r="U57" s="103">
        <f t="shared" si="12"/>
        <v>0</v>
      </c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03">
        <f t="shared" si="13"/>
        <v>0</v>
      </c>
      <c r="AI57" s="134">
        <v>697.03</v>
      </c>
      <c r="AJ57" s="200">
        <v>1084.95</v>
      </c>
      <c r="AK57" s="136"/>
      <c r="AL57" s="105">
        <f t="shared" si="14"/>
        <v>0</v>
      </c>
      <c r="AM57" s="145">
        <v>30.24</v>
      </c>
      <c r="AN57" s="145">
        <v>1.86</v>
      </c>
      <c r="AO57" s="143"/>
      <c r="AP57" s="143"/>
      <c r="AQ57" s="146"/>
      <c r="AR57" s="620">
        <f t="shared" si="15"/>
        <v>0</v>
      </c>
      <c r="AS57" s="1554">
        <v>2598</v>
      </c>
      <c r="AT57" s="1546"/>
      <c r="AU57" s="1546"/>
      <c r="AV57" s="1548"/>
      <c r="AW57" s="1548"/>
      <c r="AX57" s="1554">
        <v>2114.4</v>
      </c>
      <c r="AY57" s="1548"/>
      <c r="AZ57" s="1548"/>
      <c r="BA57" s="1548"/>
      <c r="BB57" s="1546"/>
      <c r="BC57" s="222">
        <f t="shared" si="16"/>
        <v>0</v>
      </c>
      <c r="BD57" s="140">
        <f t="shared" si="17"/>
        <v>0</v>
      </c>
      <c r="BE57" s="132"/>
      <c r="BF57" s="140">
        <f t="shared" si="18"/>
        <v>0</v>
      </c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30">
        <f t="shared" si="19"/>
        <v>0</v>
      </c>
      <c r="BU57" s="132"/>
    </row>
    <row r="58" ht="14.25" customHeight="1">
      <c r="A58" s="132"/>
      <c r="B58" s="491">
        <v>46071</v>
      </c>
      <c r="C58" s="133">
        <f>7951.35-D58-0</f>
      </c>
      <c r="D58" s="134">
        <v>3715.39</v>
      </c>
      <c r="E58" s="135"/>
      <c r="F58" s="135"/>
      <c r="G58" s="147">
        <f t="shared" si="11"/>
        <v>0</v>
      </c>
      <c r="H58" s="122"/>
      <c r="I58" s="99"/>
      <c r="J58" s="99"/>
      <c r="K58" s="99"/>
      <c r="L58" s="136"/>
      <c r="M58" s="99"/>
      <c r="N58" s="143"/>
      <c r="O58" s="143"/>
      <c r="P58" s="143"/>
      <c r="Q58" s="143"/>
      <c r="R58" s="143"/>
      <c r="S58" s="143"/>
      <c r="T58" s="143"/>
      <c r="U58" s="103">
        <f t="shared" si="12"/>
        <v>0</v>
      </c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03">
        <f t="shared" si="13"/>
        <v>0</v>
      </c>
      <c r="AI58" s="134">
        <v>1121.18</v>
      </c>
      <c r="AJ58" s="200">
        <v>1425.85</v>
      </c>
      <c r="AK58" s="136"/>
      <c r="AL58" s="105">
        <f t="shared" si="14"/>
        <v>0</v>
      </c>
      <c r="AM58" s="145">
        <v>26.83</v>
      </c>
      <c r="AN58" s="145">
        <v>1.49</v>
      </c>
      <c r="AO58" s="143"/>
      <c r="AP58" s="143"/>
      <c r="AQ58" s="146"/>
      <c r="AR58" s="620">
        <f t="shared" si="15"/>
        <v>0</v>
      </c>
      <c r="AS58" s="1554">
        <v>3088.1</v>
      </c>
      <c r="AT58" s="1546"/>
      <c r="AU58" s="1546"/>
      <c r="AV58" s="1548"/>
      <c r="AW58" s="1548"/>
      <c r="AX58" s="1554">
        <v>2288.1</v>
      </c>
      <c r="AY58" s="1548"/>
      <c r="AZ58" s="1548"/>
      <c r="BA58" s="1548"/>
      <c r="BB58" s="1546"/>
      <c r="BC58" s="222">
        <f t="shared" si="16"/>
        <v>0</v>
      </c>
      <c r="BD58" s="140">
        <f t="shared" si="17"/>
        <v>0</v>
      </c>
      <c r="BE58" s="132"/>
      <c r="BF58" s="140">
        <f t="shared" si="18"/>
        <v>0</v>
      </c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30">
        <f t="shared" si="19"/>
        <v>0</v>
      </c>
      <c r="BU58" s="132"/>
    </row>
    <row r="59" ht="14.25" customHeight="1">
      <c r="A59" s="132"/>
      <c r="B59" s="491">
        <v>46072</v>
      </c>
      <c r="C59" s="133">
        <f>6707.71-D59-0</f>
      </c>
      <c r="D59" s="134">
        <v>3392.71</v>
      </c>
      <c r="E59" s="135"/>
      <c r="F59" s="135"/>
      <c r="G59" s="147">
        <f t="shared" si="11"/>
        <v>0</v>
      </c>
      <c r="H59" s="122"/>
      <c r="I59" s="99"/>
      <c r="J59" s="99"/>
      <c r="K59" s="99"/>
      <c r="L59" s="136"/>
      <c r="M59" s="99"/>
      <c r="N59" s="143"/>
      <c r="O59" s="143"/>
      <c r="P59" s="143"/>
      <c r="Q59" s="143"/>
      <c r="R59" s="143"/>
      <c r="S59" s="143"/>
      <c r="T59" s="143"/>
      <c r="U59" s="103">
        <f t="shared" si="12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03">
        <f t="shared" si="13"/>
        <v>0</v>
      </c>
      <c r="AI59" s="134">
        <v>871.71</v>
      </c>
      <c r="AJ59" s="134">
        <v>1092.43</v>
      </c>
      <c r="AK59" s="136"/>
      <c r="AL59" s="105">
        <f t="shared" si="14"/>
        <v>0</v>
      </c>
      <c r="AM59" s="145">
        <v>21.93</v>
      </c>
      <c r="AN59" s="145">
        <v>3.42</v>
      </c>
      <c r="AO59" s="143"/>
      <c r="AP59" s="143"/>
      <c r="AQ59" s="146"/>
      <c r="AR59" s="620">
        <f t="shared" si="15"/>
        <v>0</v>
      </c>
      <c r="AS59" s="1554">
        <v>2421.4</v>
      </c>
      <c r="AT59" s="1546"/>
      <c r="AU59" s="1546"/>
      <c r="AV59" s="1548"/>
      <c r="AW59" s="1548"/>
      <c r="AX59" s="1554">
        <v>2296.9</v>
      </c>
      <c r="AY59" s="1548"/>
      <c r="AZ59" s="1548"/>
      <c r="BA59" s="1548"/>
      <c r="BB59" s="1546"/>
      <c r="BC59" s="222">
        <f t="shared" si="16"/>
        <v>0</v>
      </c>
      <c r="BD59" s="140">
        <f t="shared" si="17"/>
        <v>0</v>
      </c>
      <c r="BE59" s="132"/>
      <c r="BF59" s="140">
        <f t="shared" si="18"/>
        <v>0</v>
      </c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30">
        <f t="shared" si="19"/>
        <v>0</v>
      </c>
      <c r="BU59" s="132"/>
    </row>
    <row r="60" ht="14.25" customHeight="1">
      <c r="A60" s="132"/>
      <c r="B60" s="491">
        <v>46073</v>
      </c>
      <c r="C60" s="133">
        <f>7023.14-D60-0</f>
      </c>
      <c r="D60" s="134">
        <v>3484.29</v>
      </c>
      <c r="E60" s="135"/>
      <c r="F60" s="135"/>
      <c r="G60" s="147">
        <f t="shared" si="11"/>
        <v>0</v>
      </c>
      <c r="H60" s="122"/>
      <c r="I60" s="99"/>
      <c r="J60" s="99"/>
      <c r="K60" s="99"/>
      <c r="L60" s="136"/>
      <c r="M60" s="99"/>
      <c r="N60" s="143"/>
      <c r="O60" s="143"/>
      <c r="P60" s="143"/>
      <c r="Q60" s="143"/>
      <c r="R60" s="143"/>
      <c r="S60" s="143"/>
      <c r="T60" s="143"/>
      <c r="U60" s="103">
        <f t="shared" si="12"/>
        <v>0</v>
      </c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03">
        <f t="shared" si="13"/>
        <v>0</v>
      </c>
      <c r="AI60" s="200">
        <v>1301.79</v>
      </c>
      <c r="AJ60" s="134">
        <v>956.51</v>
      </c>
      <c r="AK60" s="136"/>
      <c r="AL60" s="105">
        <f t="shared" si="14"/>
        <v>0</v>
      </c>
      <c r="AM60" s="145">
        <v>22.51</v>
      </c>
      <c r="AN60" s="145">
        <v>3.8</v>
      </c>
      <c r="AO60" s="143"/>
      <c r="AP60" s="143"/>
      <c r="AQ60" s="146"/>
      <c r="AR60" s="620">
        <f t="shared" si="15"/>
        <v>0</v>
      </c>
      <c r="AS60" s="1554">
        <v>2214.6</v>
      </c>
      <c r="AT60" s="1546"/>
      <c r="AU60" s="1546"/>
      <c r="AV60" s="1548"/>
      <c r="AW60" s="1548"/>
      <c r="AX60" s="1554">
        <v>2524</v>
      </c>
      <c r="AY60" s="1548"/>
      <c r="AZ60" s="1548"/>
      <c r="BA60" s="1548"/>
      <c r="BB60" s="1546"/>
      <c r="BC60" s="222">
        <f t="shared" si="16"/>
        <v>0</v>
      </c>
      <c r="BD60" s="140">
        <f t="shared" si="17"/>
        <v>0</v>
      </c>
      <c r="BE60" s="132"/>
      <c r="BF60" s="140">
        <f t="shared" si="18"/>
        <v>0</v>
      </c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30">
        <f t="shared" si="19"/>
        <v>0</v>
      </c>
      <c r="BU60" s="132"/>
    </row>
    <row r="61" ht="14.25" customHeight="1">
      <c r="A61" s="132"/>
      <c r="B61" s="491">
        <v>46074</v>
      </c>
      <c r="C61" s="133">
        <f>7094.78-D61-0</f>
      </c>
      <c r="D61" s="134">
        <v>3798.48</v>
      </c>
      <c r="E61" s="135"/>
      <c r="F61" s="135"/>
      <c r="G61" s="147">
        <f t="shared" si="11"/>
        <v>0</v>
      </c>
      <c r="H61" s="136"/>
      <c r="I61" s="99"/>
      <c r="J61" s="99"/>
      <c r="K61" s="99"/>
      <c r="L61" s="136"/>
      <c r="M61" s="99"/>
      <c r="N61" s="143"/>
      <c r="O61" s="143"/>
      <c r="P61" s="143"/>
      <c r="Q61" s="143"/>
      <c r="R61" s="143"/>
      <c r="S61" s="143"/>
      <c r="T61" s="143"/>
      <c r="U61" s="103">
        <f t="shared" si="12"/>
        <v>0</v>
      </c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03">
        <f t="shared" si="13"/>
        <v>0</v>
      </c>
      <c r="AI61" s="134">
        <v>1162.88</v>
      </c>
      <c r="AJ61" s="134">
        <v>1494.03</v>
      </c>
      <c r="AK61" s="136"/>
      <c r="AL61" s="105">
        <f t="shared" si="14"/>
        <v>0</v>
      </c>
      <c r="AM61" s="145">
        <v>19.56</v>
      </c>
      <c r="AN61" s="145">
        <v>3.93</v>
      </c>
      <c r="AO61" s="143"/>
      <c r="AP61" s="143"/>
      <c r="AQ61" s="146"/>
      <c r="AR61" s="620">
        <f t="shared" si="15"/>
        <v>0</v>
      </c>
      <c r="AS61" s="1554">
        <v>2129.2</v>
      </c>
      <c r="AT61" s="1546"/>
      <c r="AU61" s="1546"/>
      <c r="AV61" s="1548"/>
      <c r="AW61" s="1548"/>
      <c r="AX61" s="1554">
        <v>2285.7</v>
      </c>
      <c r="AY61" s="1548"/>
      <c r="AZ61" s="1548"/>
      <c r="BA61" s="1548"/>
      <c r="BB61" s="1546"/>
      <c r="BC61" s="222">
        <f t="shared" si="16"/>
        <v>0</v>
      </c>
      <c r="BD61" s="140">
        <f t="shared" si="17"/>
        <v>0</v>
      </c>
      <c r="BE61" s="132"/>
      <c r="BF61" s="140">
        <f t="shared" si="18"/>
        <v>0</v>
      </c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30">
        <f t="shared" si="19"/>
        <v>0</v>
      </c>
      <c r="BU61" s="132"/>
    </row>
    <row r="62" ht="14.25" customHeight="1">
      <c r="A62" s="132"/>
      <c r="B62" s="491">
        <v>46075</v>
      </c>
      <c r="C62" s="133">
        <f>6348.26-D62-0</f>
      </c>
      <c r="D62" s="134">
        <v>3312.7</v>
      </c>
      <c r="E62" s="135"/>
      <c r="F62" s="135"/>
      <c r="G62" s="147">
        <f t="shared" si="11"/>
        <v>0</v>
      </c>
      <c r="H62" s="122"/>
      <c r="I62" s="99"/>
      <c r="J62" s="99"/>
      <c r="K62" s="99"/>
      <c r="L62" s="136"/>
      <c r="M62" s="99"/>
      <c r="N62" s="143"/>
      <c r="O62" s="143"/>
      <c r="P62" s="143"/>
      <c r="Q62" s="143"/>
      <c r="R62" s="143"/>
      <c r="S62" s="143"/>
      <c r="T62" s="143"/>
      <c r="U62" s="103">
        <f t="shared" si="12"/>
        <v>0</v>
      </c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03">
        <f t="shared" si="13"/>
        <v>0</v>
      </c>
      <c r="AI62" s="134">
        <v>1126.82</v>
      </c>
      <c r="AJ62" s="200">
        <v>1445.91</v>
      </c>
      <c r="AK62" s="136"/>
      <c r="AL62" s="105">
        <f t="shared" si="14"/>
        <v>0</v>
      </c>
      <c r="AM62" s="145">
        <v>9.97</v>
      </c>
      <c r="AN62" s="145">
        <v>2.31</v>
      </c>
      <c r="AO62" s="143"/>
      <c r="AP62" s="143"/>
      <c r="AQ62" s="146"/>
      <c r="AR62" s="620">
        <f t="shared" si="15"/>
        <v>0</v>
      </c>
      <c r="AS62" s="1554">
        <v>1892.7</v>
      </c>
      <c r="AT62" s="1546"/>
      <c r="AU62" s="1546"/>
      <c r="AV62" s="1548"/>
      <c r="AW62" s="1548"/>
      <c r="AX62" s="1554">
        <v>1870.7</v>
      </c>
      <c r="AY62" s="1548"/>
      <c r="AZ62" s="1548"/>
      <c r="BA62" s="1548"/>
      <c r="BB62" s="1546"/>
      <c r="BC62" s="222">
        <f t="shared" si="16"/>
        <v>0</v>
      </c>
      <c r="BD62" s="140">
        <f t="shared" si="17"/>
        <v>0</v>
      </c>
      <c r="BE62" s="132"/>
      <c r="BF62" s="140">
        <f t="shared" si="18"/>
        <v>0</v>
      </c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19"/>
        <v>0</v>
      </c>
      <c r="BU62" s="132"/>
    </row>
    <row r="63" ht="14.25" customHeight="1">
      <c r="A63" s="132"/>
      <c r="B63" s="491">
        <v>46076</v>
      </c>
      <c r="C63" s="133">
        <f>6720.49-D63-0</f>
      </c>
      <c r="D63" s="134">
        <v>3229.58</v>
      </c>
      <c r="E63" s="135"/>
      <c r="F63" s="135"/>
      <c r="G63" s="147">
        <f t="shared" si="11"/>
        <v>0</v>
      </c>
      <c r="H63" s="122"/>
      <c r="I63" s="99"/>
      <c r="J63" s="99"/>
      <c r="K63" s="99"/>
      <c r="L63" s="136"/>
      <c r="M63" s="99"/>
      <c r="N63" s="143"/>
      <c r="O63" s="143"/>
      <c r="P63" s="143"/>
      <c r="Q63" s="143"/>
      <c r="R63" s="143"/>
      <c r="S63" s="143"/>
      <c r="T63" s="143"/>
      <c r="U63" s="103">
        <f t="shared" si="12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03">
        <f t="shared" si="13"/>
        <v>0</v>
      </c>
      <c r="AI63" s="134">
        <v>1062.19</v>
      </c>
      <c r="AJ63" s="200">
        <v>1142.03</v>
      </c>
      <c r="AK63" s="136"/>
      <c r="AL63" s="105">
        <f t="shared" si="14"/>
        <v>0</v>
      </c>
      <c r="AM63" s="145">
        <v>24.41</v>
      </c>
      <c r="AN63" s="145">
        <v>3.04</v>
      </c>
      <c r="AO63" s="143"/>
      <c r="AP63" s="143"/>
      <c r="AQ63" s="146"/>
      <c r="AR63" s="620">
        <f t="shared" si="15"/>
        <v>0</v>
      </c>
      <c r="AS63" s="1554">
        <v>2384.4</v>
      </c>
      <c r="AT63" s="1546"/>
      <c r="AU63" s="1546"/>
      <c r="AV63" s="1548"/>
      <c r="AW63" s="1548"/>
      <c r="AX63" s="1554">
        <v>2104.5</v>
      </c>
      <c r="AY63" s="1548"/>
      <c r="AZ63" s="1548"/>
      <c r="BA63" s="1548"/>
      <c r="BB63" s="1546"/>
      <c r="BC63" s="222">
        <f t="shared" si="16"/>
        <v>0</v>
      </c>
      <c r="BD63" s="140">
        <f t="shared" si="17"/>
        <v>0</v>
      </c>
      <c r="BE63" s="132"/>
      <c r="BF63" s="140">
        <f t="shared" si="18"/>
        <v>0</v>
      </c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30">
        <f t="shared" si="19"/>
        <v>0</v>
      </c>
      <c r="BU63" s="132"/>
    </row>
    <row r="64" ht="14.25" customHeight="1">
      <c r="A64" s="132"/>
      <c r="B64" s="491">
        <v>46077</v>
      </c>
      <c r="C64" s="133">
        <f>7109.54-D64-0</f>
      </c>
      <c r="D64" s="134">
        <v>3830.58</v>
      </c>
      <c r="E64" s="135"/>
      <c r="F64" s="135"/>
      <c r="G64" s="147">
        <f t="shared" si="11"/>
        <v>0</v>
      </c>
      <c r="H64" s="136"/>
      <c r="I64" s="99"/>
      <c r="J64" s="99"/>
      <c r="K64" s="99"/>
      <c r="L64" s="99"/>
      <c r="M64" s="99"/>
      <c r="N64" s="143"/>
      <c r="O64" s="143"/>
      <c r="P64" s="143"/>
      <c r="Q64" s="143"/>
      <c r="R64" s="143"/>
      <c r="S64" s="145"/>
      <c r="T64" s="143"/>
      <c r="U64" s="103">
        <f t="shared" si="12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03">
        <f t="shared" si="13"/>
        <v>0</v>
      </c>
      <c r="AI64" s="134">
        <v>906.34</v>
      </c>
      <c r="AJ64" s="134">
        <v>1314.16</v>
      </c>
      <c r="AK64" s="136"/>
      <c r="AL64" s="105">
        <f t="shared" si="14"/>
        <v>0</v>
      </c>
      <c r="AM64" s="145">
        <v>20.51</v>
      </c>
      <c r="AN64" s="145">
        <v>4.1</v>
      </c>
      <c r="AO64" s="143"/>
      <c r="AP64" s="143"/>
      <c r="AQ64" s="146"/>
      <c r="AR64" s="620">
        <f t="shared" si="15"/>
        <v>0</v>
      </c>
      <c r="AS64" s="1554">
        <v>2291.4</v>
      </c>
      <c r="AT64" s="1546"/>
      <c r="AU64" s="1546"/>
      <c r="AV64" s="1548"/>
      <c r="AW64" s="1548"/>
      <c r="AX64" s="1554">
        <v>2512.4</v>
      </c>
      <c r="AY64" s="1548"/>
      <c r="AZ64" s="1548"/>
      <c r="BA64" s="1548"/>
      <c r="BB64" s="1546"/>
      <c r="BC64" s="222">
        <f t="shared" si="16"/>
        <v>0</v>
      </c>
      <c r="BD64" s="140">
        <f t="shared" si="17"/>
        <v>0</v>
      </c>
      <c r="BE64" s="132"/>
      <c r="BF64" s="140">
        <f t="shared" si="18"/>
        <v>0</v>
      </c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30">
        <f t="shared" si="19"/>
        <v>0</v>
      </c>
      <c r="BU64" s="132"/>
    </row>
    <row r="65" ht="14.25" customHeight="1">
      <c r="A65" s="132"/>
      <c r="B65" s="491">
        <v>46078</v>
      </c>
      <c r="C65" s="133">
        <f>7042.27-D65-0</f>
      </c>
      <c r="D65" s="134">
        <v>3264.03</v>
      </c>
      <c r="E65" s="135"/>
      <c r="F65" s="135"/>
      <c r="G65" s="147">
        <f t="shared" si="11"/>
        <v>0</v>
      </c>
      <c r="H65" s="136"/>
      <c r="I65" s="99"/>
      <c r="J65" s="99"/>
      <c r="K65" s="99"/>
      <c r="L65" s="99"/>
      <c r="M65" s="99"/>
      <c r="N65" s="143"/>
      <c r="O65" s="143"/>
      <c r="P65" s="143"/>
      <c r="Q65" s="143"/>
      <c r="R65" s="143"/>
      <c r="S65" s="143"/>
      <c r="T65" s="143"/>
      <c r="U65" s="103">
        <f t="shared" si="12"/>
        <v>0</v>
      </c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03">
        <f t="shared" si="13"/>
        <v>0</v>
      </c>
      <c r="AI65" s="134">
        <v>1400.34</v>
      </c>
      <c r="AJ65" s="134">
        <v>1181.4</v>
      </c>
      <c r="AK65" s="136"/>
      <c r="AL65" s="105">
        <f t="shared" si="14"/>
        <v>0</v>
      </c>
      <c r="AM65" s="145">
        <v>22.54</v>
      </c>
      <c r="AN65" s="145">
        <v>0.81</v>
      </c>
      <c r="AO65" s="143"/>
      <c r="AP65" s="143"/>
      <c r="AQ65" s="146"/>
      <c r="AR65" s="620">
        <f t="shared" si="15"/>
        <v>0</v>
      </c>
      <c r="AS65" s="1554">
        <v>2345.5</v>
      </c>
      <c r="AT65" s="1546"/>
      <c r="AU65" s="1546"/>
      <c r="AV65" s="1548"/>
      <c r="AW65" s="1548"/>
      <c r="AX65" s="1554">
        <v>2091.8</v>
      </c>
      <c r="AY65" s="1548"/>
      <c r="AZ65" s="1548"/>
      <c r="BA65" s="1548"/>
      <c r="BB65" s="1546"/>
      <c r="BC65" s="222">
        <f t="shared" si="16"/>
        <v>0</v>
      </c>
      <c r="BD65" s="140">
        <f t="shared" si="17"/>
        <v>0</v>
      </c>
      <c r="BE65" s="132"/>
      <c r="BF65" s="140">
        <f t="shared" si="18"/>
        <v>0</v>
      </c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30">
        <f t="shared" si="19"/>
        <v>0</v>
      </c>
      <c r="BU65" s="132"/>
    </row>
    <row r="66" ht="14.25" customHeight="1">
      <c r="A66" s="132"/>
      <c r="B66" s="491">
        <v>46079</v>
      </c>
      <c r="C66" s="133">
        <f>8031.14-D66-0</f>
      </c>
      <c r="D66" s="134">
        <v>3353.28</v>
      </c>
      <c r="E66" s="135"/>
      <c r="F66" s="135"/>
      <c r="G66" s="147">
        <f t="shared" si="11"/>
        <v>0</v>
      </c>
      <c r="H66" s="122"/>
      <c r="I66" s="99"/>
      <c r="J66" s="99"/>
      <c r="K66" s="99"/>
      <c r="L66" s="99"/>
      <c r="M66" s="99"/>
      <c r="N66" s="99"/>
      <c r="O66" s="143"/>
      <c r="P66" s="143"/>
      <c r="Q66" s="143"/>
      <c r="R66" s="143"/>
      <c r="S66" s="143"/>
      <c r="T66" s="143"/>
      <c r="U66" s="103">
        <f t="shared" si="12"/>
        <v>0</v>
      </c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03">
        <f t="shared" si="13"/>
        <v>0</v>
      </c>
      <c r="AI66" s="134">
        <v>1116.05</v>
      </c>
      <c r="AJ66" s="134">
        <v>1189.46</v>
      </c>
      <c r="AK66" s="136"/>
      <c r="AL66" s="105">
        <f t="shared" si="14"/>
        <v>0</v>
      </c>
      <c r="AM66" s="145">
        <v>61.22</v>
      </c>
      <c r="AN66" s="145">
        <v>1.95</v>
      </c>
      <c r="AO66" s="143"/>
      <c r="AP66" s="143"/>
      <c r="AQ66" s="146"/>
      <c r="AR66" s="620">
        <f t="shared" si="15"/>
        <v>0</v>
      </c>
      <c r="AS66" s="1554">
        <v>3350.6</v>
      </c>
      <c r="AT66" s="1546"/>
      <c r="AU66" s="1546"/>
      <c r="AV66" s="1548"/>
      <c r="AW66" s="1548"/>
      <c r="AX66" s="1554">
        <v>2162</v>
      </c>
      <c r="AY66" s="1548"/>
      <c r="AZ66" s="1548"/>
      <c r="BA66" s="1548"/>
      <c r="BB66" s="1546"/>
      <c r="BC66" s="222">
        <f t="shared" si="16"/>
        <v>0</v>
      </c>
      <c r="BD66" s="140">
        <f t="shared" si="17"/>
        <v>0</v>
      </c>
      <c r="BE66" s="132"/>
      <c r="BF66" s="140">
        <f t="shared" si="18"/>
        <v>0</v>
      </c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50"/>
      <c r="BR66" s="141"/>
      <c r="BS66" s="141"/>
      <c r="BT66" s="130">
        <f t="shared" si="19"/>
        <v>0</v>
      </c>
      <c r="BU66" s="132"/>
    </row>
    <row r="67" ht="14.25" customHeight="1">
      <c r="A67" s="132"/>
      <c r="B67" s="491">
        <v>46080</v>
      </c>
      <c r="C67" s="133">
        <f>7019.60-D67-0</f>
      </c>
      <c r="D67" s="134">
        <v>3289.9</v>
      </c>
      <c r="E67" s="135"/>
      <c r="F67" s="135"/>
      <c r="G67" s="147">
        <f t="shared" si="11"/>
        <v>0</v>
      </c>
      <c r="H67" s="122"/>
      <c r="I67" s="99"/>
      <c r="J67" s="99"/>
      <c r="K67" s="99"/>
      <c r="L67" s="99"/>
      <c r="M67" s="99"/>
      <c r="N67" s="143"/>
      <c r="O67" s="143"/>
      <c r="P67" s="143"/>
      <c r="Q67" s="143"/>
      <c r="R67" s="143"/>
      <c r="S67" s="143"/>
      <c r="T67" s="143"/>
      <c r="U67" s="103">
        <f t="shared" si="12"/>
        <v>0</v>
      </c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03">
        <f t="shared" si="13"/>
        <v>0</v>
      </c>
      <c r="AI67" s="134">
        <v>1393.79</v>
      </c>
      <c r="AJ67" s="134">
        <v>1352.19</v>
      </c>
      <c r="AK67" s="136"/>
      <c r="AL67" s="105">
        <f t="shared" si="14"/>
        <v>0</v>
      </c>
      <c r="AM67" s="145">
        <v>16.54</v>
      </c>
      <c r="AN67" s="145">
        <v>2.78</v>
      </c>
      <c r="AO67" s="143"/>
      <c r="AP67" s="143"/>
      <c r="AQ67" s="146"/>
      <c r="AR67" s="620">
        <f t="shared" si="15"/>
        <v>0</v>
      </c>
      <c r="AS67" s="1554">
        <v>2319.4</v>
      </c>
      <c r="AT67" s="1546"/>
      <c r="AU67" s="1546"/>
      <c r="AV67" s="1548"/>
      <c r="AW67" s="1548"/>
      <c r="AX67" s="1554">
        <v>1935</v>
      </c>
      <c r="AY67" s="1548"/>
      <c r="AZ67" s="1548"/>
      <c r="BA67" s="1548"/>
      <c r="BB67" s="1546"/>
      <c r="BC67" s="222">
        <f t="shared" si="16"/>
        <v>0</v>
      </c>
      <c r="BD67" s="140">
        <f t="shared" si="17"/>
        <v>0</v>
      </c>
      <c r="BE67" s="132"/>
      <c r="BF67" s="140">
        <f t="shared" si="18"/>
        <v>0</v>
      </c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30">
        <f t="shared" si="19"/>
        <v>0</v>
      </c>
      <c r="BU67" s="132"/>
    </row>
    <row r="68" ht="14.25" customHeight="1">
      <c r="A68" s="132"/>
      <c r="B68" s="491">
        <v>46081</v>
      </c>
      <c r="C68" s="133">
        <f>6524.52-D68-0</f>
      </c>
      <c r="D68" s="134">
        <v>3587.07</v>
      </c>
      <c r="E68" s="135"/>
      <c r="F68" s="135"/>
      <c r="G68" s="147">
        <f t="shared" si="11"/>
        <v>0</v>
      </c>
      <c r="H68" s="122"/>
      <c r="I68" s="99"/>
      <c r="J68" s="99"/>
      <c r="K68" s="99"/>
      <c r="L68" s="99"/>
      <c r="M68" s="99"/>
      <c r="N68" s="143"/>
      <c r="O68" s="143"/>
      <c r="P68" s="143"/>
      <c r="Q68" s="143"/>
      <c r="R68" s="143"/>
      <c r="S68" s="143"/>
      <c r="T68" s="143"/>
      <c r="U68" s="103">
        <f t="shared" si="12"/>
        <v>0</v>
      </c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03">
        <f t="shared" si="13"/>
        <v>0</v>
      </c>
      <c r="AI68" s="134">
        <v>1217.77</v>
      </c>
      <c r="AJ68" s="134">
        <v>1381.53</v>
      </c>
      <c r="AK68" s="136"/>
      <c r="AL68" s="105">
        <f t="shared" si="14"/>
        <v>0</v>
      </c>
      <c r="AM68" s="145">
        <v>6.02</v>
      </c>
      <c r="AN68" s="145">
        <v>1.95</v>
      </c>
      <c r="AO68" s="143"/>
      <c r="AP68" s="143"/>
      <c r="AQ68" s="146"/>
      <c r="AR68" s="620">
        <f t="shared" si="15"/>
        <v>0</v>
      </c>
      <c r="AS68" s="1554">
        <v>1233.7</v>
      </c>
      <c r="AT68" s="1546"/>
      <c r="AU68" s="1546"/>
      <c r="AV68" s="1548"/>
      <c r="AW68" s="1548"/>
      <c r="AX68" s="1554">
        <v>2203.6</v>
      </c>
      <c r="AY68" s="1548"/>
      <c r="AZ68" s="1548"/>
      <c r="BA68" s="1548"/>
      <c r="BB68" s="1546"/>
      <c r="BC68" s="222">
        <f t="shared" si="16"/>
        <v>0</v>
      </c>
      <c r="BD68" s="140">
        <f t="shared" si="17"/>
        <v>0</v>
      </c>
      <c r="BE68" s="132"/>
      <c r="BF68" s="140">
        <f t="shared" si="18"/>
        <v>0</v>
      </c>
      <c r="BG68" s="141"/>
      <c r="BH68" s="141"/>
      <c r="BI68" s="913"/>
      <c r="BJ68" s="141"/>
      <c r="BK68" s="141"/>
      <c r="BL68" s="141"/>
      <c r="BM68" s="141"/>
      <c r="BN68" s="141"/>
      <c r="BO68" s="141"/>
      <c r="BP68" s="141"/>
      <c r="BQ68" s="150"/>
      <c r="BR68" s="141"/>
      <c r="BS68" s="141"/>
      <c r="BT68" s="130">
        <f t="shared" si="19"/>
        <v>0</v>
      </c>
      <c r="BU68" s="132"/>
    </row>
    <row r="69" ht="14.25" customHeight="1">
      <c r="A69" s="132"/>
      <c r="B69" s="179"/>
      <c r="C69" s="133"/>
      <c r="D69" s="136"/>
      <c r="E69" s="135"/>
      <c r="F69" s="135"/>
      <c r="G69" s="147">
        <f t="shared" si="11"/>
        <v>0</v>
      </c>
      <c r="H69" s="122"/>
      <c r="I69" s="99"/>
      <c r="J69" s="99"/>
      <c r="K69" s="99"/>
      <c r="L69" s="99"/>
      <c r="M69" s="99"/>
      <c r="N69" s="143"/>
      <c r="O69" s="143"/>
      <c r="P69" s="143"/>
      <c r="Q69" s="143"/>
      <c r="R69" s="143"/>
      <c r="S69" s="143"/>
      <c r="T69" s="143"/>
      <c r="U69" s="103">
        <f t="shared" si="12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03">
        <f t="shared" si="13"/>
        <v>0</v>
      </c>
      <c r="AI69" s="136"/>
      <c r="AJ69" s="136"/>
      <c r="AK69" s="136"/>
      <c r="AL69" s="105">
        <f t="shared" si="14"/>
        <v>0</v>
      </c>
      <c r="AM69" s="143"/>
      <c r="AN69" s="143"/>
      <c r="AO69" s="143"/>
      <c r="AP69" s="143"/>
      <c r="AQ69" s="146"/>
      <c r="AR69" s="621">
        <f>+G69-U69-AH69-AL69-AM69-AO69-AP69-AQ69</f>
        <v>0</v>
      </c>
      <c r="AS69" s="1557"/>
      <c r="AT69" s="1557"/>
      <c r="AU69" s="1557"/>
      <c r="AV69" s="1548"/>
      <c r="AW69" s="1548"/>
      <c r="AX69" s="1557"/>
      <c r="AY69" s="1548"/>
      <c r="AZ69" s="1548"/>
      <c r="BA69" s="1548"/>
      <c r="BB69" s="1557"/>
      <c r="BC69" s="222">
        <f t="shared" si="16"/>
        <v>0</v>
      </c>
      <c r="BD69" s="140">
        <f t="shared" si="17"/>
        <v>0</v>
      </c>
      <c r="BE69" s="132"/>
      <c r="BF69" s="140">
        <f t="shared" si="18"/>
        <v>0</v>
      </c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19"/>
        <v>0</v>
      </c>
      <c r="BU69" s="132"/>
    </row>
    <row r="70" ht="14.25" customHeight="1">
      <c r="A70" s="3"/>
      <c r="B70" s="2"/>
      <c r="C70" s="166">
        <f ref="C70:D70" t="shared" si="20">SUM(C41:C69)</f>
        <v>0</v>
      </c>
      <c r="D70" s="166">
        <f t="shared" si="20"/>
        <v>0</v>
      </c>
      <c r="E70" s="166">
        <f ref="E70:R70" t="shared" si="21">SUM(E41:E68)</f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 t="shared" si="21"/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/>
      <c r="T70" s="166">
        <f ref="T70:AH70" t="shared" si="22">SUM(T41:T68)</f>
        <v>0</v>
      </c>
      <c r="U70" s="166">
        <f t="shared" si="22"/>
        <v>0</v>
      </c>
      <c r="V70" s="166">
        <f t="shared" si="22"/>
        <v>0</v>
      </c>
      <c r="W70" s="166">
        <f t="shared" si="22"/>
        <v>0</v>
      </c>
      <c r="X70" s="166">
        <f t="shared" si="22"/>
        <v>0</v>
      </c>
      <c r="Y70" s="166">
        <f t="shared" si="22"/>
        <v>0</v>
      </c>
      <c r="Z70" s="166">
        <f t="shared" si="22"/>
        <v>0</v>
      </c>
      <c r="AA70" s="166">
        <f t="shared" si="22"/>
        <v>0</v>
      </c>
      <c r="AB70" s="166">
        <f t="shared" si="22"/>
        <v>0</v>
      </c>
      <c r="AC70" s="166">
        <f t="shared" si="22"/>
        <v>0</v>
      </c>
      <c r="AD70" s="166">
        <f t="shared" si="22"/>
        <v>0</v>
      </c>
      <c r="AE70" s="166">
        <f t="shared" si="22"/>
        <v>0</v>
      </c>
      <c r="AF70" s="166">
        <f t="shared" si="22"/>
        <v>0</v>
      </c>
      <c r="AG70" s="166">
        <f t="shared" si="22"/>
        <v>0</v>
      </c>
      <c r="AH70" s="166">
        <f t="shared" si="22"/>
        <v>0</v>
      </c>
      <c r="AI70" s="166">
        <f ref="AI70:AJ70" t="shared" si="23">SUM(AI41:AI69)</f>
        <v>0</v>
      </c>
      <c r="AJ70" s="166">
        <f t="shared" si="23"/>
        <v>0</v>
      </c>
      <c r="AK70" s="166">
        <f ref="AK70:AR70" t="shared" si="24">SUM(AK41:AK68)</f>
        <v>0</v>
      </c>
      <c r="AL70" s="166">
        <f t="shared" si="24"/>
        <v>0</v>
      </c>
      <c r="AM70" s="166">
        <f t="shared" si="24"/>
        <v>0</v>
      </c>
      <c r="AN70" s="166">
        <f t="shared" si="24"/>
        <v>0</v>
      </c>
      <c r="AO70" s="166">
        <f t="shared" si="24"/>
        <v>0</v>
      </c>
      <c r="AP70" s="166">
        <f t="shared" si="24"/>
        <v>0</v>
      </c>
      <c r="AQ70" s="166">
        <f t="shared" si="24"/>
        <v>0</v>
      </c>
      <c r="AR70" s="166">
        <f t="shared" si="24"/>
        <v>0</v>
      </c>
      <c r="AS70" s="165">
        <f>SUM(AS41:AS69)</f>
        <v>0</v>
      </c>
      <c r="AT70" s="165">
        <f ref="AT70:AW70" t="shared" si="25">SUM(AT41:AT68)</f>
        <v>0</v>
      </c>
      <c r="AU70" s="165">
        <f t="shared" si="25"/>
        <v>0</v>
      </c>
      <c r="AV70" s="165">
        <f t="shared" si="25"/>
        <v>0</v>
      </c>
      <c r="AW70" s="165">
        <f t="shared" si="25"/>
        <v>0</v>
      </c>
      <c r="AX70" s="165">
        <f>SUM(AX41:AX69)</f>
        <v>0</v>
      </c>
      <c r="AY70" s="165">
        <f ref="AY70:BD70" t="shared" si="26">SUM(AY41:AY68)</f>
        <v>0</v>
      </c>
      <c r="AZ70" s="165">
        <f t="shared" si="26"/>
        <v>0</v>
      </c>
      <c r="BA70" s="165">
        <f t="shared" si="26"/>
        <v>0</v>
      </c>
      <c r="BB70" s="165">
        <f t="shared" si="26"/>
        <v>0</v>
      </c>
      <c r="BC70" s="166">
        <f t="shared" si="26"/>
        <v>0</v>
      </c>
      <c r="BD70" s="166">
        <f t="shared" si="26"/>
        <v>0</v>
      </c>
      <c r="BE70" s="235"/>
      <c r="BF70" s="166">
        <f ref="BF70:BT70" t="shared" si="27">SUM(BF41:BF68)</f>
        <v>0</v>
      </c>
      <c r="BG70" s="166">
        <f t="shared" si="27"/>
        <v>0</v>
      </c>
      <c r="BH70" s="166">
        <f t="shared" si="27"/>
        <v>0</v>
      </c>
      <c r="BI70" s="166">
        <f t="shared" si="27"/>
        <v>0</v>
      </c>
      <c r="BJ70" s="166">
        <f t="shared" si="27"/>
        <v>0</v>
      </c>
      <c r="BK70" s="166">
        <f t="shared" si="27"/>
        <v>0</v>
      </c>
      <c r="BL70" s="166">
        <f t="shared" si="27"/>
        <v>0</v>
      </c>
      <c r="BM70" s="166">
        <f t="shared" si="27"/>
        <v>0</v>
      </c>
      <c r="BN70" s="166">
        <f t="shared" si="27"/>
        <v>0</v>
      </c>
      <c r="BO70" s="166">
        <f t="shared" si="27"/>
        <v>0</v>
      </c>
      <c r="BP70" s="166">
        <f t="shared" si="27"/>
        <v>0</v>
      </c>
      <c r="BQ70" s="166">
        <f t="shared" si="27"/>
        <v>0</v>
      </c>
      <c r="BR70" s="166">
        <f t="shared" si="27"/>
        <v>0</v>
      </c>
      <c r="BS70" s="166">
        <f t="shared" si="27"/>
        <v>0</v>
      </c>
      <c r="BT70" s="166">
        <f t="shared" si="27"/>
        <v>0</v>
      </c>
      <c r="BU70" s="235"/>
    </row>
    <row r="71" ht="14.25" customHeight="1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3"/>
      <c r="AN71" s="3"/>
      <c r="AO71" s="3"/>
      <c r="AP71" s="3"/>
      <c r="AQ71" s="3"/>
      <c r="AR71" s="4"/>
      <c r="AS71" s="628"/>
      <c r="AT71" s="928"/>
      <c r="AU71" s="928"/>
      <c r="AV71" s="928"/>
      <c r="AW71" s="928"/>
      <c r="AX71" s="628"/>
      <c r="AY71" s="628"/>
      <c r="AZ71" s="628"/>
      <c r="BA71" s="628"/>
      <c r="BB71" s="628"/>
      <c r="BC71" s="929"/>
      <c r="BD71" s="3"/>
      <c r="BE71" s="132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</row>
    <row r="72" ht="14.25" customHeight="1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9"/>
      <c r="AI72" s="207"/>
      <c r="AJ72" s="207"/>
      <c r="AK72" s="207"/>
      <c r="AL72" s="208"/>
      <c r="AM72" s="207"/>
      <c r="AN72" s="207"/>
      <c r="AO72" s="207"/>
      <c r="AP72" s="207"/>
      <c r="AQ72" s="207"/>
      <c r="AR72" s="210"/>
      <c r="AS72" s="773"/>
      <c r="AT72" s="773"/>
      <c r="AU72" s="773"/>
      <c r="AV72" s="774"/>
      <c r="AW72" s="774"/>
      <c r="AX72" s="773"/>
      <c r="AY72" s="773"/>
      <c r="AZ72" s="773"/>
      <c r="BA72" s="773"/>
      <c r="BB72" s="773"/>
      <c r="BC72" s="930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ht="14.25" customHeight="1">
      <c r="A73" s="3"/>
      <c r="B73" s="491">
        <v>46082</v>
      </c>
      <c r="C73" s="94">
        <f>6823.07-D73-0</f>
      </c>
      <c r="D73" s="95">
        <v>3389.1</v>
      </c>
      <c r="E73" s="97"/>
      <c r="F73" s="97"/>
      <c r="G73" s="265">
        <f ref="G73:G103" t="shared" si="28">+C73+D73+E73+F73</f>
        <v>0</v>
      </c>
      <c r="H73" s="100"/>
      <c r="I73" s="101"/>
      <c r="J73" s="101"/>
      <c r="K73" s="101"/>
      <c r="L73" s="101"/>
      <c r="M73" s="101"/>
      <c r="N73" s="186"/>
      <c r="O73" s="186"/>
      <c r="P73" s="186"/>
      <c r="Q73" s="186"/>
      <c r="R73" s="186"/>
      <c r="S73" s="186"/>
      <c r="T73" s="186"/>
      <c r="U73" s="103">
        <f ref="U73:U103" t="shared" si="29">SUM(H73:T73)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03">
        <f ref="AH73:AH103" t="shared" si="30">SUM(V73:AG73)</f>
        <v>0</v>
      </c>
      <c r="AI73" s="95">
        <v>1375.96</v>
      </c>
      <c r="AJ73" s="95">
        <v>1162.29</v>
      </c>
      <c r="AK73" s="104"/>
      <c r="AL73" s="191">
        <f ref="AL73:AL103" t="shared" si="31">SUM(AI73:AK73)</f>
        <v>0</v>
      </c>
      <c r="AM73" s="188">
        <v>13.09</v>
      </c>
      <c r="AN73" s="188">
        <v>2.78</v>
      </c>
      <c r="AO73" s="186"/>
      <c r="AP73" s="186"/>
      <c r="AQ73" s="193"/>
      <c r="AR73" s="224">
        <f ref="AR73:AR103" t="shared" si="32">+G73-U73-AH73-AL73-AM73-AO73-AP73-AQ73-AN73</f>
        <v>0</v>
      </c>
      <c r="AS73" s="1721"/>
      <c r="AT73" s="1537"/>
      <c r="AU73" s="1537"/>
      <c r="AV73" s="1548"/>
      <c r="AW73" s="1548"/>
      <c r="AX73" s="1721"/>
      <c r="AY73" s="1548"/>
      <c r="AZ73" s="1548"/>
      <c r="BA73" s="1548"/>
      <c r="BB73" s="1537"/>
      <c r="BC73" s="272">
        <f ref="BC73:BC103" t="shared" si="33">SUM(AS73:BB73)-BA73</f>
        <v>0</v>
      </c>
      <c r="BD73" s="114">
        <f ref="BD73:BD103" t="shared" si="34">+AR73-BC73</f>
        <v>0</v>
      </c>
      <c r="BE73" s="3"/>
      <c r="BF73" s="114">
        <f ref="BF73:BF103" t="shared" si="35">SUM(BG73:BS73)</f>
        <v>0</v>
      </c>
      <c r="BG73" s="220"/>
      <c r="BH73" s="220"/>
      <c r="BI73" s="220"/>
      <c r="BJ73" s="220"/>
      <c r="BK73" s="220"/>
      <c r="BL73" s="220"/>
      <c r="BM73" s="220"/>
      <c r="BN73" s="220"/>
      <c r="BO73" s="220"/>
      <c r="BP73" s="220"/>
      <c r="BQ73" s="220"/>
      <c r="BR73" s="220"/>
      <c r="BS73" s="115"/>
      <c r="BT73" s="116">
        <f ref="BT73:BT103" t="shared" si="36">+BD73-BF73</f>
        <v>0</v>
      </c>
      <c r="BU73" s="3"/>
    </row>
    <row r="74" ht="14.25" customHeight="1">
      <c r="A74" s="3"/>
      <c r="B74" s="491">
        <v>46083</v>
      </c>
      <c r="C74" s="118">
        <f>6974.54-D74-0</f>
      </c>
      <c r="D74" s="119">
        <v>3173.26</v>
      </c>
      <c r="E74" s="120"/>
      <c r="F74" s="120"/>
      <c r="G74" s="147">
        <f t="shared" si="28"/>
        <v>0</v>
      </c>
      <c r="H74" s="136"/>
      <c r="I74" s="99"/>
      <c r="J74" s="124"/>
      <c r="K74" s="136"/>
      <c r="L74" s="122"/>
      <c r="M74" s="99"/>
      <c r="N74" s="143"/>
      <c r="O74" s="143"/>
      <c r="P74" s="143"/>
      <c r="Q74" s="143"/>
      <c r="R74" s="143"/>
      <c r="S74" s="143"/>
      <c r="T74" s="143"/>
      <c r="U74" s="103">
        <f t="shared" si="29"/>
        <v>0</v>
      </c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03">
        <f t="shared" si="30"/>
        <v>0</v>
      </c>
      <c r="AI74" s="119">
        <v>1115.26</v>
      </c>
      <c r="AJ74" s="119">
        <v>1092.41</v>
      </c>
      <c r="AK74" s="123"/>
      <c r="AL74" s="105">
        <f t="shared" si="31"/>
        <v>0</v>
      </c>
      <c r="AM74" s="145">
        <v>30.31</v>
      </c>
      <c r="AN74" s="145">
        <v>4.68</v>
      </c>
      <c r="AO74" s="143"/>
      <c r="AP74" s="143"/>
      <c r="AQ74" s="146"/>
      <c r="AR74" s="224">
        <f t="shared" si="32"/>
        <v>0</v>
      </c>
      <c r="AS74" s="1554">
        <v>2655.8</v>
      </c>
      <c r="AT74" s="1546"/>
      <c r="AU74" s="1546"/>
      <c r="AV74" s="1548"/>
      <c r="AW74" s="1548"/>
      <c r="AX74" s="1554">
        <v>2076.5</v>
      </c>
      <c r="AY74" s="1548"/>
      <c r="AZ74" s="1548"/>
      <c r="BA74" s="1548"/>
      <c r="BB74" s="1546"/>
      <c r="BC74" s="222">
        <f t="shared" si="33"/>
        <v>0</v>
      </c>
      <c r="BD74" s="113">
        <f t="shared" si="34"/>
        <v>0</v>
      </c>
      <c r="BE74" s="3"/>
      <c r="BF74" s="113">
        <f t="shared" si="35"/>
        <v>0</v>
      </c>
      <c r="BG74" s="225"/>
      <c r="BH74" s="225"/>
      <c r="BI74" s="225"/>
      <c r="BJ74" s="225"/>
      <c r="BK74" s="225"/>
      <c r="BL74" s="225"/>
      <c r="BM74" s="225"/>
      <c r="BN74" s="225"/>
      <c r="BO74" s="225"/>
      <c r="BP74" s="225"/>
      <c r="BQ74" s="225"/>
      <c r="BR74" s="225"/>
      <c r="BS74" s="129"/>
      <c r="BT74" s="130">
        <f t="shared" si="36"/>
        <v>0</v>
      </c>
      <c r="BU74" s="3"/>
    </row>
    <row r="75" ht="14.25" customHeight="1">
      <c r="A75" s="3"/>
      <c r="B75" s="491">
        <v>46084</v>
      </c>
      <c r="C75" s="118">
        <f>12650.48-D75-0</f>
      </c>
      <c r="D75" s="119">
        <v>4870.89</v>
      </c>
      <c r="E75" s="120"/>
      <c r="F75" s="120"/>
      <c r="G75" s="147">
        <f t="shared" si="28"/>
        <v>0</v>
      </c>
      <c r="H75" s="122"/>
      <c r="I75" s="99"/>
      <c r="J75" s="99"/>
      <c r="K75" s="136"/>
      <c r="L75" s="99"/>
      <c r="M75" s="99"/>
      <c r="N75" s="143"/>
      <c r="O75" s="143"/>
      <c r="P75" s="143"/>
      <c r="Q75" s="143"/>
      <c r="R75" s="143"/>
      <c r="S75" s="143"/>
      <c r="T75" s="143"/>
      <c r="U75" s="103">
        <f t="shared" si="29"/>
        <v>0</v>
      </c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03">
        <f t="shared" si="30"/>
        <v>0</v>
      </c>
      <c r="AI75" s="119">
        <v>1861.1</v>
      </c>
      <c r="AJ75" s="119">
        <v>1296.28</v>
      </c>
      <c r="AK75" s="123"/>
      <c r="AL75" s="105">
        <f t="shared" si="31"/>
        <v>0</v>
      </c>
      <c r="AM75" s="145">
        <v>143.53</v>
      </c>
      <c r="AN75" s="145">
        <v>4.69</v>
      </c>
      <c r="AO75" s="143"/>
      <c r="AP75" s="143"/>
      <c r="AQ75" s="146"/>
      <c r="AR75" s="224">
        <f t="shared" si="32"/>
        <v>0</v>
      </c>
      <c r="AS75" s="1554">
        <v>2525</v>
      </c>
      <c r="AT75" s="1626"/>
      <c r="AU75" s="1546"/>
      <c r="AV75" s="1548"/>
      <c r="AW75" s="1548"/>
      <c r="AX75" s="1554">
        <v>3570</v>
      </c>
      <c r="AY75" s="1548"/>
      <c r="AZ75" s="1548"/>
      <c r="BA75" s="1548"/>
      <c r="BB75" s="1546"/>
      <c r="BC75" s="222">
        <f t="shared" si="33"/>
        <v>0</v>
      </c>
      <c r="BD75" s="113">
        <f t="shared" si="34"/>
        <v>0</v>
      </c>
      <c r="BE75" s="3"/>
      <c r="BF75" s="113">
        <f t="shared" si="35"/>
        <v>0</v>
      </c>
      <c r="BG75" s="225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129"/>
      <c r="BT75" s="130">
        <f t="shared" si="36"/>
        <v>0</v>
      </c>
      <c r="BU75" s="3"/>
    </row>
    <row r="76" ht="14.25" customHeight="1">
      <c r="A76" s="3"/>
      <c r="B76" s="491">
        <v>46085</v>
      </c>
      <c r="C76" s="118">
        <f>14603.59-D76-0</f>
      </c>
      <c r="D76" s="119">
        <v>10504.07</v>
      </c>
      <c r="E76" s="120"/>
      <c r="F76" s="120"/>
      <c r="G76" s="147">
        <f t="shared" si="28"/>
        <v>0</v>
      </c>
      <c r="H76" s="122"/>
      <c r="I76" s="99"/>
      <c r="J76" s="99"/>
      <c r="K76" s="136"/>
      <c r="L76" s="99"/>
      <c r="M76" s="99"/>
      <c r="N76" s="143"/>
      <c r="O76" s="143"/>
      <c r="P76" s="143"/>
      <c r="Q76" s="143"/>
      <c r="R76" s="143"/>
      <c r="S76" s="143"/>
      <c r="T76" s="143"/>
      <c r="U76" s="103">
        <f t="shared" si="29"/>
        <v>0</v>
      </c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03">
        <f t="shared" si="30"/>
        <v>0</v>
      </c>
      <c r="AI76" s="119">
        <v>1814.9</v>
      </c>
      <c r="AJ76" s="119">
        <v>2183.85</v>
      </c>
      <c r="AK76" s="123"/>
      <c r="AL76" s="105">
        <f t="shared" si="31"/>
        <v>0</v>
      </c>
      <c r="AM76" s="145">
        <v>8.8</v>
      </c>
      <c r="AN76" s="145"/>
      <c r="AO76" s="143"/>
      <c r="AP76" s="143"/>
      <c r="AQ76" s="146"/>
      <c r="AR76" s="224">
        <f t="shared" si="32"/>
        <v>0</v>
      </c>
      <c r="AS76" s="1554">
        <v>2273.8</v>
      </c>
      <c r="AT76" s="1546"/>
      <c r="AU76" s="1546"/>
      <c r="AV76" s="1548"/>
      <c r="AW76" s="1548"/>
      <c r="AX76" s="1554">
        <v>8322.3</v>
      </c>
      <c r="AY76" s="1548"/>
      <c r="AZ76" s="1548"/>
      <c r="BA76" s="1548"/>
      <c r="BB76" s="1546"/>
      <c r="BC76" s="222">
        <f t="shared" si="33"/>
        <v>0</v>
      </c>
      <c r="BD76" s="113">
        <f t="shared" si="34"/>
        <v>0</v>
      </c>
      <c r="BE76" s="3"/>
      <c r="BF76" s="113">
        <f t="shared" si="35"/>
        <v>0</v>
      </c>
      <c r="BG76" s="225"/>
      <c r="BH76" s="225"/>
      <c r="BI76" s="225"/>
      <c r="BJ76" s="225"/>
      <c r="BK76" s="225"/>
      <c r="BL76" s="225"/>
      <c r="BM76" s="225"/>
      <c r="BN76" s="225"/>
      <c r="BO76" s="225"/>
      <c r="BP76" s="225"/>
      <c r="BQ76" s="225"/>
      <c r="BR76" s="225"/>
      <c r="BS76" s="129"/>
      <c r="BT76" s="130">
        <f t="shared" si="36"/>
        <v>0</v>
      </c>
      <c r="BU76" s="3"/>
    </row>
    <row r="77" ht="14.25" customHeight="1">
      <c r="A77" s="3"/>
      <c r="B77" s="491">
        <v>46086</v>
      </c>
      <c r="C77" s="118">
        <f>13262.94-D77-0</f>
      </c>
      <c r="D77" s="119">
        <v>7541.72</v>
      </c>
      <c r="E77" s="120"/>
      <c r="F77" s="120"/>
      <c r="G77" s="147">
        <f t="shared" si="28"/>
        <v>0</v>
      </c>
      <c r="H77" s="122"/>
      <c r="I77" s="99"/>
      <c r="J77" s="99"/>
      <c r="K77" s="136"/>
      <c r="L77" s="99"/>
      <c r="M77" s="99"/>
      <c r="N77" s="143"/>
      <c r="O77" s="143"/>
      <c r="P77" s="143"/>
      <c r="Q77" s="143"/>
      <c r="R77" s="143"/>
      <c r="S77" s="143"/>
      <c r="T77" s="143"/>
      <c r="U77" s="103">
        <f t="shared" si="29"/>
        <v>0</v>
      </c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03">
        <f t="shared" si="30"/>
        <v>0</v>
      </c>
      <c r="AI77" s="119">
        <v>2949.83</v>
      </c>
      <c r="AJ77" s="119">
        <v>1673.67</v>
      </c>
      <c r="AK77" s="123"/>
      <c r="AL77" s="105">
        <f t="shared" si="31"/>
        <v>0</v>
      </c>
      <c r="AM77" s="143"/>
      <c r="AN77" s="143"/>
      <c r="AO77" s="143"/>
      <c r="AP77" s="143"/>
      <c r="AQ77" s="146"/>
      <c r="AR77" s="224">
        <f t="shared" si="32"/>
        <v>0</v>
      </c>
      <c r="AS77" s="1554">
        <v>2771.6</v>
      </c>
      <c r="AT77" s="1546"/>
      <c r="AU77" s="1546"/>
      <c r="AV77" s="1548"/>
      <c r="AW77" s="1548"/>
      <c r="AX77" s="1554">
        <v>5868.2</v>
      </c>
      <c r="AY77" s="1548"/>
      <c r="AZ77" s="1548"/>
      <c r="BA77" s="1548"/>
      <c r="BB77" s="1546"/>
      <c r="BC77" s="222">
        <f t="shared" si="33"/>
        <v>0</v>
      </c>
      <c r="BD77" s="113">
        <f t="shared" si="34"/>
        <v>0</v>
      </c>
      <c r="BE77" s="3"/>
      <c r="BF77" s="113">
        <f t="shared" si="35"/>
        <v>0</v>
      </c>
      <c r="BG77" s="225"/>
      <c r="BH77" s="225"/>
      <c r="BI77" s="931"/>
      <c r="BJ77" s="225"/>
      <c r="BK77" s="225"/>
      <c r="BL77" s="225"/>
      <c r="BM77" s="225"/>
      <c r="BN77" s="225"/>
      <c r="BO77" s="225"/>
      <c r="BP77" s="225"/>
      <c r="BQ77" s="225"/>
      <c r="BR77" s="225"/>
      <c r="BS77" s="129"/>
      <c r="BT77" s="130">
        <f t="shared" si="36"/>
        <v>0</v>
      </c>
      <c r="BU77" s="3"/>
    </row>
    <row r="78" ht="14.25" customHeight="1">
      <c r="A78" s="3"/>
      <c r="B78" s="491">
        <v>46087</v>
      </c>
      <c r="C78" s="118">
        <f>16017.69-D78-0</f>
      </c>
      <c r="D78" s="119">
        <v>2758.01</v>
      </c>
      <c r="E78" s="120"/>
      <c r="F78" s="120"/>
      <c r="G78" s="147">
        <f t="shared" si="28"/>
        <v>0</v>
      </c>
      <c r="H78" s="122"/>
      <c r="I78" s="99"/>
      <c r="J78" s="99"/>
      <c r="K78" s="136"/>
      <c r="L78" s="99"/>
      <c r="M78" s="99"/>
      <c r="N78" s="143"/>
      <c r="O78" s="143"/>
      <c r="P78" s="143"/>
      <c r="Q78" s="143"/>
      <c r="R78" s="143"/>
      <c r="S78" s="143"/>
      <c r="T78" s="143"/>
      <c r="U78" s="103">
        <f t="shared" si="29"/>
        <v>0</v>
      </c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03">
        <f t="shared" si="30"/>
        <v>0</v>
      </c>
      <c r="AI78" s="119">
        <v>5841.02</v>
      </c>
      <c r="AJ78" s="119">
        <v>869.77</v>
      </c>
      <c r="AK78" s="123"/>
      <c r="AL78" s="105">
        <f t="shared" si="31"/>
        <v>0</v>
      </c>
      <c r="AM78" s="143"/>
      <c r="AN78" s="143"/>
      <c r="AO78" s="143"/>
      <c r="AP78" s="143"/>
      <c r="AQ78" s="146"/>
      <c r="AR78" s="224">
        <f t="shared" si="32"/>
        <v>0</v>
      </c>
      <c r="AS78" s="1554"/>
      <c r="AT78" s="1546"/>
      <c r="AU78" s="1546"/>
      <c r="AV78" s="1548"/>
      <c r="AW78" s="1548"/>
      <c r="AX78" s="1554"/>
      <c r="AY78" s="1548"/>
      <c r="AZ78" s="1548"/>
      <c r="BA78" s="1548"/>
      <c r="BB78" s="1546"/>
      <c r="BC78" s="222">
        <f t="shared" si="33"/>
        <v>0</v>
      </c>
      <c r="BD78" s="113">
        <f t="shared" si="34"/>
        <v>0</v>
      </c>
      <c r="BE78" s="3"/>
      <c r="BF78" s="113">
        <f t="shared" si="35"/>
        <v>0</v>
      </c>
      <c r="BG78" s="225"/>
      <c r="BH78" s="225"/>
      <c r="BI78" s="225"/>
      <c r="BJ78" s="225"/>
      <c r="BK78" s="225"/>
      <c r="BL78" s="225"/>
      <c r="BM78" s="225"/>
      <c r="BN78" s="225"/>
      <c r="BO78" s="225"/>
      <c r="BP78" s="225"/>
      <c r="BQ78" s="225"/>
      <c r="BR78" s="225"/>
      <c r="BS78" s="129"/>
      <c r="BT78" s="130">
        <f t="shared" si="36"/>
        <v>0</v>
      </c>
      <c r="BU78" s="3"/>
    </row>
    <row r="79" ht="14.25" customHeight="1">
      <c r="A79" s="132"/>
      <c r="B79" s="491">
        <v>46088</v>
      </c>
      <c r="C79" s="133">
        <f>11485.26-D79-0</f>
      </c>
      <c r="D79" s="134">
        <v>7232.34</v>
      </c>
      <c r="E79" s="135"/>
      <c r="F79" s="135"/>
      <c r="G79" s="147">
        <f t="shared" si="28"/>
        <v>0</v>
      </c>
      <c r="H79" s="122"/>
      <c r="I79" s="99"/>
      <c r="J79" s="99"/>
      <c r="K79" s="136"/>
      <c r="L79" s="99"/>
      <c r="M79" s="99"/>
      <c r="N79" s="143"/>
      <c r="O79" s="143"/>
      <c r="P79" s="143"/>
      <c r="Q79" s="143"/>
      <c r="R79" s="143"/>
      <c r="S79" s="145"/>
      <c r="T79" s="143"/>
      <c r="U79" s="103">
        <f t="shared" si="29"/>
        <v>0</v>
      </c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03">
        <f t="shared" si="30"/>
        <v>0</v>
      </c>
      <c r="AI79" s="134">
        <v>1646.82</v>
      </c>
      <c r="AJ79" s="134">
        <v>2077.71</v>
      </c>
      <c r="AK79" s="136"/>
      <c r="AL79" s="105">
        <f t="shared" si="31"/>
        <v>0</v>
      </c>
      <c r="AM79" s="143"/>
      <c r="AN79" s="143"/>
      <c r="AO79" s="143"/>
      <c r="AP79" s="143"/>
      <c r="AQ79" s="146"/>
      <c r="AR79" s="224">
        <f t="shared" si="32"/>
        <v>0</v>
      </c>
      <c r="AS79" s="1554">
        <v>2433.4</v>
      </c>
      <c r="AT79" s="1546"/>
      <c r="AU79" s="1546"/>
      <c r="AV79" s="1548"/>
      <c r="AW79" s="1548"/>
      <c r="AX79" s="1554">
        <v>5139.7</v>
      </c>
      <c r="AY79" s="1548"/>
      <c r="AZ79" s="1548"/>
      <c r="BA79" s="1548"/>
      <c r="BB79" s="1546"/>
      <c r="BC79" s="222">
        <f t="shared" si="33"/>
        <v>0</v>
      </c>
      <c r="BD79" s="140">
        <f t="shared" si="34"/>
        <v>0</v>
      </c>
      <c r="BE79" s="132"/>
      <c r="BF79" s="140">
        <f t="shared" si="35"/>
        <v>0</v>
      </c>
      <c r="BG79" s="126"/>
      <c r="BH79" s="126"/>
      <c r="BI79" s="126"/>
      <c r="BJ79" s="126"/>
      <c r="BK79" s="126"/>
      <c r="BL79" s="126"/>
      <c r="BM79" s="126"/>
      <c r="BN79" s="126"/>
      <c r="BO79" s="126"/>
      <c r="BP79" s="126"/>
      <c r="BQ79" s="126"/>
      <c r="BR79" s="126"/>
      <c r="BS79" s="141"/>
      <c r="BT79" s="130">
        <f t="shared" si="36"/>
        <v>0</v>
      </c>
      <c r="BU79" s="132"/>
    </row>
    <row r="80" ht="14.25" customHeight="1">
      <c r="A80" s="132"/>
      <c r="B80" s="491">
        <v>46089</v>
      </c>
      <c r="C80" s="133">
        <f>18831.92-D80-0</f>
      </c>
      <c r="D80" s="134">
        <v>14101.77</v>
      </c>
      <c r="E80" s="135"/>
      <c r="F80" s="135"/>
      <c r="G80" s="147">
        <f t="shared" si="28"/>
        <v>0</v>
      </c>
      <c r="H80" s="122"/>
      <c r="I80" s="99"/>
      <c r="J80" s="99"/>
      <c r="K80" s="136"/>
      <c r="L80" s="99"/>
      <c r="M80" s="99"/>
      <c r="N80" s="143"/>
      <c r="O80" s="143"/>
      <c r="P80" s="143"/>
      <c r="Q80" s="143"/>
      <c r="R80" s="143"/>
      <c r="S80" s="143"/>
      <c r="T80" s="143"/>
      <c r="U80" s="103">
        <f t="shared" si="29"/>
        <v>0</v>
      </c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03">
        <f t="shared" si="30"/>
        <v>0</v>
      </c>
      <c r="AI80" s="134">
        <v>1517.78</v>
      </c>
      <c r="AJ80" s="134">
        <v>3115.61</v>
      </c>
      <c r="AK80" s="136"/>
      <c r="AL80" s="105">
        <f t="shared" si="31"/>
        <v>0</v>
      </c>
      <c r="AM80" s="143"/>
      <c r="AN80" s="143"/>
      <c r="AO80" s="143"/>
      <c r="AP80" s="143"/>
      <c r="AQ80" s="146"/>
      <c r="AR80" s="224">
        <f t="shared" si="32"/>
        <v>0</v>
      </c>
      <c r="AS80" s="1554">
        <v>3202.5</v>
      </c>
      <c r="AT80" s="1546"/>
      <c r="AU80" s="1626"/>
      <c r="AV80" s="1548"/>
      <c r="AW80" s="1548"/>
      <c r="AX80" s="1554">
        <v>10996.3</v>
      </c>
      <c r="AY80" s="1548"/>
      <c r="AZ80" s="1548"/>
      <c r="BA80" s="1548"/>
      <c r="BB80" s="1546"/>
      <c r="BC80" s="222">
        <f t="shared" si="33"/>
        <v>0</v>
      </c>
      <c r="BD80" s="140">
        <f t="shared" si="34"/>
        <v>0</v>
      </c>
      <c r="BE80" s="132"/>
      <c r="BF80" s="140">
        <f t="shared" si="35"/>
        <v>0</v>
      </c>
      <c r="BG80" s="126"/>
      <c r="BH80" s="126"/>
      <c r="BI80" s="126"/>
      <c r="BJ80" s="126"/>
      <c r="BK80" s="126"/>
      <c r="BL80" s="126"/>
      <c r="BM80" s="126"/>
      <c r="BN80" s="126"/>
      <c r="BO80" s="126"/>
      <c r="BP80" s="126"/>
      <c r="BQ80" s="126"/>
      <c r="BR80" s="126"/>
      <c r="BS80" s="141"/>
      <c r="BT80" s="130">
        <f t="shared" si="36"/>
        <v>0</v>
      </c>
      <c r="BU80" s="132"/>
    </row>
    <row r="81" ht="14.25" customHeight="1">
      <c r="A81" s="132"/>
      <c r="B81" s="491">
        <v>46090</v>
      </c>
      <c r="C81" s="133">
        <f>10535.22-D81-0</f>
      </c>
      <c r="D81" s="134">
        <v>6321.04</v>
      </c>
      <c r="E81" s="135"/>
      <c r="F81" s="135"/>
      <c r="G81" s="147">
        <f t="shared" si="28"/>
        <v>0</v>
      </c>
      <c r="H81" s="122"/>
      <c r="I81" s="121"/>
      <c r="J81" s="99"/>
      <c r="K81" s="136"/>
      <c r="L81" s="99"/>
      <c r="M81" s="99"/>
      <c r="N81" s="143"/>
      <c r="O81" s="143"/>
      <c r="P81" s="143"/>
      <c r="Q81" s="143"/>
      <c r="R81" s="143"/>
      <c r="S81" s="143"/>
      <c r="T81" s="143"/>
      <c r="U81" s="103">
        <f t="shared" si="29"/>
        <v>0</v>
      </c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03">
        <f t="shared" si="30"/>
        <v>0</v>
      </c>
      <c r="AI81" s="134">
        <v>1102.54</v>
      </c>
      <c r="AJ81" s="134">
        <v>1280.22</v>
      </c>
      <c r="AK81" s="136"/>
      <c r="AL81" s="105">
        <f t="shared" si="31"/>
        <v>0</v>
      </c>
      <c r="AM81" s="143"/>
      <c r="AN81" s="143"/>
      <c r="AO81" s="143"/>
      <c r="AP81" s="143"/>
      <c r="AQ81" s="146"/>
      <c r="AR81" s="224">
        <f t="shared" si="32"/>
        <v>0</v>
      </c>
      <c r="AS81" s="1554">
        <v>2981.8</v>
      </c>
      <c r="AT81" s="1546"/>
      <c r="AU81" s="1546"/>
      <c r="AV81" s="1548"/>
      <c r="AW81" s="1548"/>
      <c r="AX81" s="1554">
        <v>5041.1</v>
      </c>
      <c r="AY81" s="1548"/>
      <c r="AZ81" s="1548"/>
      <c r="BA81" s="1548"/>
      <c r="BB81" s="1546"/>
      <c r="BC81" s="222">
        <f t="shared" si="33"/>
        <v>0</v>
      </c>
      <c r="BD81" s="140">
        <f t="shared" si="34"/>
        <v>0</v>
      </c>
      <c r="BE81" s="132"/>
      <c r="BF81" s="140">
        <f t="shared" si="35"/>
        <v>0</v>
      </c>
      <c r="BG81" s="126"/>
      <c r="BH81" s="126"/>
      <c r="BI81" s="126"/>
      <c r="BJ81" s="126"/>
      <c r="BK81" s="126"/>
      <c r="BL81" s="126"/>
      <c r="BM81" s="126"/>
      <c r="BN81" s="126"/>
      <c r="BO81" s="126"/>
      <c r="BP81" s="126"/>
      <c r="BQ81" s="126"/>
      <c r="BR81" s="126"/>
      <c r="BS81" s="141"/>
      <c r="BT81" s="130">
        <f t="shared" si="36"/>
        <v>0</v>
      </c>
      <c r="BU81" s="132"/>
    </row>
    <row r="82" ht="14.25" customHeight="1">
      <c r="A82" s="132"/>
      <c r="B82" s="491">
        <v>46091</v>
      </c>
      <c r="C82" s="133">
        <f>6442.89-D82-0</f>
      </c>
      <c r="D82" s="134"/>
      <c r="E82" s="135"/>
      <c r="F82" s="135"/>
      <c r="G82" s="147">
        <f t="shared" si="28"/>
        <v>0</v>
      </c>
      <c r="H82" s="122"/>
      <c r="I82" s="121"/>
      <c r="J82" s="99"/>
      <c r="K82" s="136"/>
      <c r="L82" s="99"/>
      <c r="M82" s="99"/>
      <c r="N82" s="143"/>
      <c r="O82" s="143"/>
      <c r="P82" s="143"/>
      <c r="Q82" s="143"/>
      <c r="R82" s="143"/>
      <c r="S82" s="145"/>
      <c r="T82" s="143"/>
      <c r="U82" s="103">
        <f t="shared" si="29"/>
        <v>0</v>
      </c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03">
        <f t="shared" si="30"/>
        <v>0</v>
      </c>
      <c r="AI82" s="134">
        <v>2550.1</v>
      </c>
      <c r="AJ82" s="134"/>
      <c r="AK82" s="136"/>
      <c r="AL82" s="105">
        <f t="shared" si="31"/>
        <v>0</v>
      </c>
      <c r="AM82" s="143"/>
      <c r="AN82" s="143"/>
      <c r="AO82" s="143"/>
      <c r="AP82" s="143"/>
      <c r="AQ82" s="146"/>
      <c r="AR82" s="224">
        <f t="shared" si="32"/>
        <v>0</v>
      </c>
      <c r="AS82" s="1554">
        <v>3223.2</v>
      </c>
      <c r="AT82" s="1546"/>
      <c r="AU82" s="1546"/>
      <c r="AV82" s="1548"/>
      <c r="AW82" s="1548"/>
      <c r="AX82" s="1769"/>
      <c r="AY82" s="1548"/>
      <c r="AZ82" s="1548"/>
      <c r="BA82" s="1548"/>
      <c r="BB82" s="1546"/>
      <c r="BC82" s="222">
        <f t="shared" si="33"/>
        <v>0</v>
      </c>
      <c r="BD82" s="140">
        <f t="shared" si="34"/>
        <v>0</v>
      </c>
      <c r="BE82" s="132"/>
      <c r="BF82" s="140">
        <f t="shared" si="35"/>
        <v>0</v>
      </c>
      <c r="BG82" s="126"/>
      <c r="BH82" s="126"/>
      <c r="BI82" s="126"/>
      <c r="BJ82" s="126"/>
      <c r="BK82" s="126"/>
      <c r="BL82" s="126"/>
      <c r="BM82" s="126"/>
      <c r="BN82" s="126"/>
      <c r="BO82" s="126"/>
      <c r="BP82" s="126"/>
      <c r="BQ82" s="229"/>
      <c r="BR82" s="126"/>
      <c r="BS82" s="141"/>
      <c r="BT82" s="130">
        <f t="shared" si="36"/>
        <v>0</v>
      </c>
      <c r="BU82" s="132"/>
    </row>
    <row r="83" ht="14.25" customHeight="1">
      <c r="A83" s="132"/>
      <c r="B83" s="491">
        <v>46092</v>
      </c>
      <c r="C83" s="133">
        <f>5745.01-D83-0</f>
      </c>
      <c r="D83" s="134">
        <v>169.56</v>
      </c>
      <c r="E83" s="135"/>
      <c r="F83" s="135"/>
      <c r="G83" s="147">
        <f t="shared" si="28"/>
        <v>0</v>
      </c>
      <c r="H83" s="122"/>
      <c r="I83" s="99"/>
      <c r="J83" s="99"/>
      <c r="K83" s="136"/>
      <c r="L83" s="99"/>
      <c r="M83" s="99"/>
      <c r="N83" s="143"/>
      <c r="O83" s="143"/>
      <c r="P83" s="143"/>
      <c r="Q83" s="143"/>
      <c r="R83" s="143"/>
      <c r="S83" s="143"/>
      <c r="T83" s="143"/>
      <c r="U83" s="103">
        <f t="shared" si="29"/>
        <v>0</v>
      </c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03">
        <f t="shared" si="30"/>
        <v>0</v>
      </c>
      <c r="AI83" s="134">
        <v>2172.21</v>
      </c>
      <c r="AJ83" s="134">
        <v>82.48</v>
      </c>
      <c r="AK83" s="136"/>
      <c r="AL83" s="105">
        <f t="shared" si="31"/>
        <v>0</v>
      </c>
      <c r="AM83" s="143"/>
      <c r="AN83" s="143"/>
      <c r="AO83" s="143"/>
      <c r="AP83" s="143"/>
      <c r="AQ83" s="146"/>
      <c r="AR83" s="224">
        <f t="shared" si="32"/>
        <v>0</v>
      </c>
      <c r="AS83" s="1554">
        <v>2953.5</v>
      </c>
      <c r="AT83" s="1546"/>
      <c r="AU83" s="1546"/>
      <c r="AV83" s="1548"/>
      <c r="AW83" s="1548"/>
      <c r="AX83" s="1554">
        <v>87.1</v>
      </c>
      <c r="AY83" s="1548"/>
      <c r="AZ83" s="1548"/>
      <c r="BA83" s="1548"/>
      <c r="BB83" s="1546"/>
      <c r="BC83" s="222">
        <f t="shared" si="33"/>
        <v>0</v>
      </c>
      <c r="BD83" s="140">
        <f t="shared" si="34"/>
        <v>0</v>
      </c>
      <c r="BE83" s="132"/>
      <c r="BF83" s="140">
        <f t="shared" si="35"/>
        <v>0</v>
      </c>
      <c r="BG83" s="126"/>
      <c r="BH83" s="126"/>
      <c r="BI83" s="931"/>
      <c r="BJ83" s="126"/>
      <c r="BK83" s="126"/>
      <c r="BL83" s="126"/>
      <c r="BM83" s="126"/>
      <c r="BN83" s="126"/>
      <c r="BO83" s="126"/>
      <c r="BP83" s="126"/>
      <c r="BQ83" s="229"/>
      <c r="BR83" s="126"/>
      <c r="BS83" s="141"/>
      <c r="BT83" s="130">
        <f t="shared" si="36"/>
        <v>0</v>
      </c>
      <c r="BU83" s="132"/>
    </row>
    <row r="84" ht="14.25" customHeight="1">
      <c r="A84" s="132"/>
      <c r="B84" s="491">
        <v>46093</v>
      </c>
      <c r="C84" s="230">
        <f>5786.01-D84-0</f>
      </c>
      <c r="D84" s="134"/>
      <c r="E84" s="135"/>
      <c r="F84" s="135"/>
      <c r="G84" s="147">
        <f t="shared" si="28"/>
        <v>0</v>
      </c>
      <c r="H84" s="122"/>
      <c r="I84" s="121"/>
      <c r="J84" s="99"/>
      <c r="K84" s="136"/>
      <c r="L84" s="99"/>
      <c r="M84" s="99"/>
      <c r="N84" s="143"/>
      <c r="O84" s="143"/>
      <c r="P84" s="143"/>
      <c r="Q84" s="143"/>
      <c r="R84" s="143"/>
      <c r="S84" s="143"/>
      <c r="T84" s="143"/>
      <c r="U84" s="103">
        <f t="shared" si="29"/>
        <v>0</v>
      </c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03">
        <f t="shared" si="30"/>
        <v>0</v>
      </c>
      <c r="AI84" s="134">
        <v>1809.59</v>
      </c>
      <c r="AJ84" s="134"/>
      <c r="AK84" s="136"/>
      <c r="AL84" s="105">
        <f t="shared" si="31"/>
        <v>0</v>
      </c>
      <c r="AM84" s="145">
        <v>1.35</v>
      </c>
      <c r="AN84" s="143"/>
      <c r="AO84" s="143"/>
      <c r="AP84" s="143"/>
      <c r="AQ84" s="146"/>
      <c r="AR84" s="224">
        <f t="shared" si="32"/>
        <v>0</v>
      </c>
      <c r="AS84" s="1554">
        <v>2383.9</v>
      </c>
      <c r="AT84" s="1546"/>
      <c r="AU84" s="1546"/>
      <c r="AV84" s="1548"/>
      <c r="AW84" s="1548"/>
      <c r="AX84" s="1626"/>
      <c r="AY84" s="1548"/>
      <c r="AZ84" s="1548"/>
      <c r="BA84" s="1548"/>
      <c r="BB84" s="1546"/>
      <c r="BC84" s="222">
        <f t="shared" si="33"/>
        <v>0</v>
      </c>
      <c r="BD84" s="140">
        <f t="shared" si="34"/>
        <v>0</v>
      </c>
      <c r="BE84" s="132"/>
      <c r="BF84" s="140">
        <f t="shared" si="35"/>
        <v>0</v>
      </c>
      <c r="BG84" s="126"/>
      <c r="BH84" s="126"/>
      <c r="BI84" s="126"/>
      <c r="BJ84" s="126"/>
      <c r="BK84" s="126"/>
      <c r="BL84" s="126"/>
      <c r="BM84" s="126"/>
      <c r="BN84" s="126"/>
      <c r="BO84" s="126"/>
      <c r="BP84" s="126"/>
      <c r="BQ84" s="229"/>
      <c r="BR84" s="126"/>
      <c r="BS84" s="141"/>
      <c r="BT84" s="130">
        <f t="shared" si="36"/>
        <v>0</v>
      </c>
      <c r="BU84" s="132"/>
    </row>
    <row r="85" ht="14.25" customHeight="1">
      <c r="A85" s="132"/>
      <c r="B85" s="491">
        <v>46094</v>
      </c>
      <c r="C85" s="230">
        <f>4218.07-D85-0</f>
      </c>
      <c r="D85" s="134"/>
      <c r="E85" s="135"/>
      <c r="F85" s="135"/>
      <c r="G85" s="147">
        <f t="shared" si="28"/>
        <v>0</v>
      </c>
      <c r="H85" s="122"/>
      <c r="I85" s="121"/>
      <c r="J85" s="99"/>
      <c r="K85" s="136"/>
      <c r="L85" s="99"/>
      <c r="M85" s="99"/>
      <c r="N85" s="143"/>
      <c r="O85" s="143"/>
      <c r="P85" s="143"/>
      <c r="Q85" s="143"/>
      <c r="R85" s="143"/>
      <c r="S85" s="143"/>
      <c r="T85" s="143"/>
      <c r="U85" s="103">
        <f t="shared" si="29"/>
        <v>0</v>
      </c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03">
        <f t="shared" si="30"/>
        <v>0</v>
      </c>
      <c r="AI85" s="134">
        <v>1352.28</v>
      </c>
      <c r="AJ85" s="134"/>
      <c r="AK85" s="136"/>
      <c r="AL85" s="105">
        <f t="shared" si="31"/>
        <v>0</v>
      </c>
      <c r="AM85" s="143"/>
      <c r="AN85" s="143"/>
      <c r="AO85" s="143"/>
      <c r="AP85" s="143"/>
      <c r="AQ85" s="146"/>
      <c r="AR85" s="224">
        <f t="shared" si="32"/>
        <v>0</v>
      </c>
      <c r="AS85" s="1554">
        <v>2560.2</v>
      </c>
      <c r="AT85" s="1546"/>
      <c r="AU85" s="1546"/>
      <c r="AV85" s="1548"/>
      <c r="AW85" s="1548"/>
      <c r="AX85" s="1626"/>
      <c r="AY85" s="1548"/>
      <c r="AZ85" s="1548"/>
      <c r="BA85" s="1548"/>
      <c r="BB85" s="1546"/>
      <c r="BC85" s="222">
        <f t="shared" si="33"/>
        <v>0</v>
      </c>
      <c r="BD85" s="140">
        <f t="shared" si="34"/>
        <v>0</v>
      </c>
      <c r="BE85" s="132"/>
      <c r="BF85" s="140">
        <f t="shared" si="35"/>
        <v>0</v>
      </c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41"/>
      <c r="BT85" s="130">
        <f t="shared" si="36"/>
        <v>0</v>
      </c>
      <c r="BU85" s="132"/>
    </row>
    <row r="86" ht="14.25" customHeight="1">
      <c r="A86" s="132"/>
      <c r="B86" s="491">
        <v>46095</v>
      </c>
      <c r="C86" s="230">
        <f>3464.40-D86-0</f>
      </c>
      <c r="D86" s="134"/>
      <c r="E86" s="135"/>
      <c r="F86" s="135"/>
      <c r="G86" s="147">
        <f t="shared" si="28"/>
        <v>0</v>
      </c>
      <c r="H86" s="122"/>
      <c r="I86" s="99"/>
      <c r="J86" s="99"/>
      <c r="K86" s="99"/>
      <c r="L86" s="99"/>
      <c r="M86" s="99"/>
      <c r="N86" s="143"/>
      <c r="O86" s="143"/>
      <c r="P86" s="143"/>
      <c r="Q86" s="143"/>
      <c r="R86" s="143"/>
      <c r="S86" s="143"/>
      <c r="T86" s="143"/>
      <c r="U86" s="103">
        <f t="shared" si="29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03">
        <f t="shared" si="30"/>
        <v>0</v>
      </c>
      <c r="AI86" s="134">
        <v>1424.82</v>
      </c>
      <c r="AJ86" s="134"/>
      <c r="AK86" s="136"/>
      <c r="AL86" s="105">
        <f t="shared" si="31"/>
        <v>0</v>
      </c>
      <c r="AM86" s="143"/>
      <c r="AN86" s="143"/>
      <c r="AO86" s="143"/>
      <c r="AP86" s="143"/>
      <c r="AQ86" s="146"/>
      <c r="AR86" s="224">
        <f t="shared" si="32"/>
        <v>0</v>
      </c>
      <c r="AS86" s="1554">
        <v>2039.7</v>
      </c>
      <c r="AT86" s="1546"/>
      <c r="AU86" s="1546"/>
      <c r="AV86" s="1548"/>
      <c r="AW86" s="1548"/>
      <c r="AX86" s="1626"/>
      <c r="AY86" s="1548"/>
      <c r="AZ86" s="1548"/>
      <c r="BA86" s="1548"/>
      <c r="BB86" s="1546"/>
      <c r="BC86" s="222">
        <f t="shared" si="33"/>
        <v>0</v>
      </c>
      <c r="BD86" s="140">
        <f t="shared" si="34"/>
        <v>0</v>
      </c>
      <c r="BE86" s="132"/>
      <c r="BF86" s="140">
        <f t="shared" si="35"/>
        <v>0</v>
      </c>
      <c r="BG86" s="126"/>
      <c r="BH86" s="126"/>
      <c r="BI86" s="126"/>
      <c r="BJ86" s="126"/>
      <c r="BK86" s="126"/>
      <c r="BL86" s="126"/>
      <c r="BM86" s="126"/>
      <c r="BN86" s="126"/>
      <c r="BO86" s="126"/>
      <c r="BP86" s="126"/>
      <c r="BQ86" s="126"/>
      <c r="BR86" s="126"/>
      <c r="BS86" s="141"/>
      <c r="BT86" s="130">
        <f t="shared" si="36"/>
        <v>0</v>
      </c>
      <c r="BU86" s="132"/>
    </row>
    <row r="87" ht="14.25" customHeight="1">
      <c r="A87" s="132"/>
      <c r="B87" s="491">
        <v>46096</v>
      </c>
      <c r="C87" s="230">
        <f>4714.64-D87-0</f>
      </c>
      <c r="D87" s="134"/>
      <c r="E87" s="135"/>
      <c r="F87" s="135"/>
      <c r="G87" s="147">
        <f t="shared" si="28"/>
        <v>0</v>
      </c>
      <c r="H87" s="122"/>
      <c r="I87" s="99"/>
      <c r="J87" s="99"/>
      <c r="K87" s="99"/>
      <c r="L87" s="99"/>
      <c r="M87" s="99"/>
      <c r="N87" s="143"/>
      <c r="O87" s="143"/>
      <c r="P87" s="143"/>
      <c r="Q87" s="143"/>
      <c r="R87" s="143"/>
      <c r="S87" s="143"/>
      <c r="T87" s="143"/>
      <c r="U87" s="103">
        <f t="shared" si="29"/>
        <v>0</v>
      </c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03">
        <f t="shared" si="30"/>
        <v>0</v>
      </c>
      <c r="AI87" s="134">
        <v>1130.34</v>
      </c>
      <c r="AJ87" s="134"/>
      <c r="AK87" s="136"/>
      <c r="AL87" s="105">
        <f t="shared" si="31"/>
        <v>0</v>
      </c>
      <c r="AM87" s="145">
        <v>130</v>
      </c>
      <c r="AN87" s="143"/>
      <c r="AO87" s="143"/>
      <c r="AP87" s="143"/>
      <c r="AQ87" s="146"/>
      <c r="AR87" s="224">
        <f t="shared" si="32"/>
        <v>0</v>
      </c>
      <c r="AS87" s="1554">
        <v>3454.6</v>
      </c>
      <c r="AT87" s="1546"/>
      <c r="AU87" s="1546"/>
      <c r="AV87" s="1548"/>
      <c r="AW87" s="1548"/>
      <c r="AX87" s="1626"/>
      <c r="AY87" s="1548"/>
      <c r="AZ87" s="1548"/>
      <c r="BA87" s="1548"/>
      <c r="BB87" s="1546"/>
      <c r="BC87" s="222">
        <f t="shared" si="33"/>
        <v>0</v>
      </c>
      <c r="BD87" s="140">
        <f t="shared" si="34"/>
        <v>0</v>
      </c>
      <c r="BE87" s="132"/>
      <c r="BF87" s="140">
        <f t="shared" si="35"/>
        <v>0</v>
      </c>
      <c r="BG87" s="126"/>
      <c r="BH87" s="126"/>
      <c r="BI87" s="126"/>
      <c r="BJ87" s="126"/>
      <c r="BK87" s="126"/>
      <c r="BL87" s="126"/>
      <c r="BM87" s="126"/>
      <c r="BN87" s="126"/>
      <c r="BO87" s="126"/>
      <c r="BP87" s="126"/>
      <c r="BQ87" s="126"/>
      <c r="BR87" s="126"/>
      <c r="BS87" s="141"/>
      <c r="BT87" s="130">
        <f t="shared" si="36"/>
        <v>0</v>
      </c>
      <c r="BU87" s="132"/>
    </row>
    <row r="88" ht="14.25" customHeight="1">
      <c r="A88" s="132"/>
      <c r="B88" s="491">
        <v>46097</v>
      </c>
      <c r="C88" s="133">
        <f>7479.12-D88-0</f>
      </c>
      <c r="D88" s="134">
        <v>2140.1</v>
      </c>
      <c r="E88" s="135"/>
      <c r="F88" s="135"/>
      <c r="G88" s="147">
        <f t="shared" si="28"/>
        <v>0</v>
      </c>
      <c r="I88" s="99"/>
      <c r="J88" s="99"/>
      <c r="K88" s="99"/>
      <c r="L88" s="99"/>
      <c r="M88" s="99"/>
      <c r="N88" s="143"/>
      <c r="O88" s="143"/>
      <c r="P88" s="143"/>
      <c r="Q88" s="143"/>
      <c r="R88" s="143"/>
      <c r="S88" s="143"/>
      <c r="T88" s="143"/>
      <c r="U88" s="103">
        <f t="shared" si="29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03">
        <f t="shared" si="30"/>
        <v>0</v>
      </c>
      <c r="AI88" s="134">
        <v>2324.31</v>
      </c>
      <c r="AJ88" s="134">
        <v>697.56</v>
      </c>
      <c r="AK88" s="136"/>
      <c r="AL88" s="105">
        <f t="shared" si="31"/>
        <v>0</v>
      </c>
      <c r="AM88" s="143">
        <v>140</v>
      </c>
      <c r="AN88" s="143"/>
      <c r="AO88" s="143"/>
      <c r="AP88" s="143"/>
      <c r="AQ88" s="146"/>
      <c r="AR88" s="224">
        <f t="shared" si="32"/>
        <v>0</v>
      </c>
      <c r="AS88" s="1554">
        <v>2874.9</v>
      </c>
      <c r="AT88" s="1626"/>
      <c r="AU88" s="1546"/>
      <c r="AV88" s="1548"/>
      <c r="AW88" s="1548"/>
      <c r="AX88" s="1770">
        <v>1442.6</v>
      </c>
      <c r="AY88" s="1548"/>
      <c r="AZ88" s="1548"/>
      <c r="BA88" s="1548"/>
      <c r="BB88" s="1546"/>
      <c r="BC88" s="222">
        <f t="shared" si="33"/>
        <v>0</v>
      </c>
      <c r="BD88" s="140">
        <f t="shared" si="34"/>
        <v>0</v>
      </c>
      <c r="BE88" s="132"/>
      <c r="BF88" s="140">
        <f t="shared" si="35"/>
        <v>0</v>
      </c>
      <c r="BG88" s="126"/>
      <c r="BH88" s="126"/>
      <c r="BI88" s="126"/>
      <c r="BJ88" s="126"/>
      <c r="BK88" s="126"/>
      <c r="BL88" s="126"/>
      <c r="BM88" s="126"/>
      <c r="BN88" s="126"/>
      <c r="BO88" s="126"/>
      <c r="BP88" s="126"/>
      <c r="BQ88" s="126"/>
      <c r="BR88" s="126"/>
      <c r="BS88" s="141"/>
      <c r="BT88" s="130">
        <f t="shared" si="36"/>
        <v>0</v>
      </c>
      <c r="BU88" s="132"/>
    </row>
    <row r="89" ht="14.25" customHeight="1">
      <c r="A89" s="132"/>
      <c r="B89" s="491">
        <v>46098</v>
      </c>
      <c r="C89" s="133">
        <f>7115.51-D89-0</f>
      </c>
      <c r="D89" s="134">
        <v>3627.28</v>
      </c>
      <c r="E89" s="135"/>
      <c r="F89" s="135"/>
      <c r="G89" s="147">
        <f t="shared" si="28"/>
        <v>0</v>
      </c>
      <c r="H89" s="122"/>
      <c r="I89" s="99"/>
      <c r="J89" s="99"/>
      <c r="K89" s="99"/>
      <c r="L89" s="99"/>
      <c r="M89" s="99"/>
      <c r="N89" s="143"/>
      <c r="O89" s="143"/>
      <c r="P89" s="143"/>
      <c r="Q89" s="143"/>
      <c r="R89" s="143"/>
      <c r="S89" s="143"/>
      <c r="T89" s="143"/>
      <c r="U89" s="103">
        <f t="shared" si="29"/>
        <v>0</v>
      </c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03">
        <f t="shared" si="30"/>
        <v>0</v>
      </c>
      <c r="AI89" s="134">
        <v>1172.82</v>
      </c>
      <c r="AJ89" s="134">
        <v>1487.82</v>
      </c>
      <c r="AK89" s="136"/>
      <c r="AL89" s="105">
        <f t="shared" si="31"/>
        <v>0</v>
      </c>
      <c r="AM89" s="143"/>
      <c r="AN89" s="143"/>
      <c r="AO89" s="143"/>
      <c r="AP89" s="143"/>
      <c r="AQ89" s="146"/>
      <c r="AR89" s="224">
        <f t="shared" si="32"/>
        <v>0</v>
      </c>
      <c r="AS89" s="1554">
        <v>2315.7</v>
      </c>
      <c r="AT89" s="1546"/>
      <c r="AU89" s="1546"/>
      <c r="AV89" s="1548"/>
      <c r="AW89" s="1548"/>
      <c r="AX89" s="1770">
        <v>2139.6</v>
      </c>
      <c r="AY89" s="1548"/>
      <c r="AZ89" s="1548"/>
      <c r="BA89" s="1548"/>
      <c r="BB89" s="1546"/>
      <c r="BC89" s="222">
        <f t="shared" si="33"/>
        <v>0</v>
      </c>
      <c r="BD89" s="140">
        <f t="shared" si="34"/>
        <v>0</v>
      </c>
      <c r="BE89" s="132"/>
      <c r="BF89" s="140">
        <f t="shared" si="35"/>
        <v>0</v>
      </c>
      <c r="BG89" s="126"/>
      <c r="BH89" s="126"/>
      <c r="BI89" s="126"/>
      <c r="BJ89" s="126"/>
      <c r="BK89" s="126"/>
      <c r="BL89" s="126"/>
      <c r="BM89" s="126"/>
      <c r="BN89" s="126"/>
      <c r="BO89" s="126"/>
      <c r="BP89" s="126"/>
      <c r="BQ89" s="126"/>
      <c r="BR89" s="126"/>
      <c r="BS89" s="141"/>
      <c r="BT89" s="130">
        <f t="shared" si="36"/>
        <v>0</v>
      </c>
      <c r="BU89" s="132"/>
    </row>
    <row r="90" ht="14.25" customHeight="1">
      <c r="A90" s="132"/>
      <c r="B90" s="491">
        <v>46099</v>
      </c>
      <c r="C90" s="133">
        <f>19243.60-D90-0</f>
      </c>
      <c r="D90" s="134">
        <v>3839.53</v>
      </c>
      <c r="E90" s="135"/>
      <c r="F90" s="135"/>
      <c r="G90" s="147">
        <f t="shared" si="28"/>
        <v>0</v>
      </c>
      <c r="H90" s="122"/>
      <c r="I90" s="99"/>
      <c r="J90" s="99"/>
      <c r="K90" s="99"/>
      <c r="L90" s="99"/>
      <c r="M90" s="99"/>
      <c r="N90" s="143"/>
      <c r="O90" s="143"/>
      <c r="P90" s="143"/>
      <c r="Q90" s="143"/>
      <c r="R90" s="143"/>
      <c r="S90" s="143"/>
      <c r="T90" s="143"/>
      <c r="U90" s="103">
        <f t="shared" si="29"/>
        <v>0</v>
      </c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03">
        <f t="shared" si="30"/>
        <v>0</v>
      </c>
      <c r="AI90" s="134">
        <v>1414.99</v>
      </c>
      <c r="AJ90" s="134">
        <v>1498.04</v>
      </c>
      <c r="AK90" s="136"/>
      <c r="AL90" s="105">
        <f t="shared" si="31"/>
        <v>0</v>
      </c>
      <c r="AM90" s="145">
        <v>295</v>
      </c>
      <c r="AN90" s="143"/>
      <c r="AO90" s="143"/>
      <c r="AP90" s="143"/>
      <c r="AQ90" s="146"/>
      <c r="AR90" s="224">
        <f t="shared" si="32"/>
        <v>0</v>
      </c>
      <c r="AS90" s="1554">
        <v>4144.4</v>
      </c>
      <c r="AT90" s="1626"/>
      <c r="AU90" s="1546"/>
      <c r="AV90" s="1548"/>
      <c r="AW90" s="1548"/>
      <c r="AX90" s="1770">
        <v>2341.6</v>
      </c>
      <c r="AY90" s="1548"/>
      <c r="AZ90" s="1548"/>
      <c r="BA90" s="1548"/>
      <c r="BB90" s="1546"/>
      <c r="BC90" s="222">
        <f t="shared" si="33"/>
        <v>0</v>
      </c>
      <c r="BD90" s="140">
        <f t="shared" si="34"/>
        <v>0</v>
      </c>
      <c r="BE90" s="132"/>
      <c r="BF90" s="140">
        <f t="shared" si="35"/>
        <v>0</v>
      </c>
      <c r="BG90" s="126"/>
      <c r="BH90" s="126"/>
      <c r="BI90" s="126"/>
      <c r="BJ90" s="126"/>
      <c r="BK90" s="126"/>
      <c r="BL90" s="126"/>
      <c r="BM90" s="126"/>
      <c r="BN90" s="126"/>
      <c r="BO90" s="126"/>
      <c r="BP90" s="126"/>
      <c r="BQ90" s="229"/>
      <c r="BR90" s="126"/>
      <c r="BS90" s="141"/>
      <c r="BT90" s="130">
        <f t="shared" si="36"/>
        <v>0</v>
      </c>
      <c r="BU90" s="132"/>
    </row>
    <row r="91" ht="14.25" customHeight="1">
      <c r="A91" s="132"/>
      <c r="B91" s="491">
        <v>46100</v>
      </c>
      <c r="C91" s="133">
        <f>14408.88-D91-0</f>
      </c>
      <c r="D91" s="134">
        <v>5740.9</v>
      </c>
      <c r="E91" s="135"/>
      <c r="F91" s="135"/>
      <c r="G91" s="147">
        <f t="shared" si="28"/>
        <v>0</v>
      </c>
      <c r="H91" s="122"/>
      <c r="I91" s="99"/>
      <c r="J91" s="99"/>
      <c r="K91" s="99"/>
      <c r="L91" s="99"/>
      <c r="M91" s="99"/>
      <c r="N91" s="143"/>
      <c r="O91" s="143"/>
      <c r="P91" s="143"/>
      <c r="Q91" s="143"/>
      <c r="R91" s="143"/>
      <c r="S91" s="143"/>
      <c r="T91" s="143"/>
      <c r="U91" s="103">
        <f t="shared" si="29"/>
        <v>0</v>
      </c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03">
        <f t="shared" si="30"/>
        <v>0</v>
      </c>
      <c r="AI91" s="134">
        <v>5124</v>
      </c>
      <c r="AJ91" s="134">
        <v>1629.55</v>
      </c>
      <c r="AK91" s="136"/>
      <c r="AL91" s="105">
        <f t="shared" si="31"/>
        <v>0</v>
      </c>
      <c r="AM91" s="145">
        <v>101.27</v>
      </c>
      <c r="AN91" s="143"/>
      <c r="AO91" s="143"/>
      <c r="AP91" s="143"/>
      <c r="AQ91" s="146"/>
      <c r="AR91" s="224">
        <f t="shared" si="32"/>
        <v>0</v>
      </c>
      <c r="AS91" s="1554">
        <v>3442.9</v>
      </c>
      <c r="AT91" s="1546"/>
      <c r="AU91" s="1546"/>
      <c r="AV91" s="1548"/>
      <c r="AW91" s="1548"/>
      <c r="AX91" s="1770">
        <v>4111.4</v>
      </c>
      <c r="AY91" s="1548"/>
      <c r="AZ91" s="1548"/>
      <c r="BA91" s="1548"/>
      <c r="BB91" s="1546"/>
      <c r="BC91" s="222">
        <f t="shared" si="33"/>
        <v>0</v>
      </c>
      <c r="BD91" s="140">
        <f t="shared" si="34"/>
        <v>0</v>
      </c>
      <c r="BE91" s="132"/>
      <c r="BF91" s="140">
        <f t="shared" si="35"/>
        <v>0</v>
      </c>
      <c r="BG91" s="126"/>
      <c r="BH91" s="126"/>
      <c r="BI91" s="126"/>
      <c r="BJ91" s="126"/>
      <c r="BK91" s="126"/>
      <c r="BL91" s="126"/>
      <c r="BM91" s="126"/>
      <c r="BN91" s="126"/>
      <c r="BO91" s="126"/>
      <c r="BP91" s="126"/>
      <c r="BQ91" s="126"/>
      <c r="BR91" s="126"/>
      <c r="BS91" s="141"/>
      <c r="BT91" s="130">
        <f t="shared" si="36"/>
        <v>0</v>
      </c>
      <c r="BU91" s="132"/>
    </row>
    <row r="92" ht="14.25" customHeight="1">
      <c r="A92" s="132"/>
      <c r="B92" s="491">
        <v>46101</v>
      </c>
      <c r="C92" s="133">
        <f>5762.56-D92-0</f>
      </c>
      <c r="D92" s="134">
        <v>278.71</v>
      </c>
      <c r="E92" s="135"/>
      <c r="F92" s="135"/>
      <c r="G92" s="147">
        <f t="shared" si="28"/>
        <v>0</v>
      </c>
      <c r="H92" s="122"/>
      <c r="I92" s="99"/>
      <c r="J92" s="99"/>
      <c r="K92" s="99"/>
      <c r="L92" s="99"/>
      <c r="M92" s="99"/>
      <c r="N92" s="143"/>
      <c r="O92" s="143"/>
      <c r="P92" s="143"/>
      <c r="Q92" s="143"/>
      <c r="R92" s="143"/>
      <c r="S92" s="143"/>
      <c r="T92" s="143"/>
      <c r="U92" s="103">
        <f t="shared" si="29"/>
        <v>0</v>
      </c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03">
        <f t="shared" si="30"/>
        <v>0</v>
      </c>
      <c r="AI92" s="134">
        <v>2272.2</v>
      </c>
      <c r="AJ92" s="134">
        <v>76.08</v>
      </c>
      <c r="AK92" s="136"/>
      <c r="AL92" s="105">
        <f t="shared" si="31"/>
        <v>0</v>
      </c>
      <c r="AM92" s="145"/>
      <c r="AN92" s="143"/>
      <c r="AO92" s="143"/>
      <c r="AP92" s="143"/>
      <c r="AQ92" s="146"/>
      <c r="AR92" s="224">
        <f t="shared" si="32"/>
        <v>0</v>
      </c>
      <c r="AS92" s="1554">
        <v>3204.4</v>
      </c>
      <c r="AT92" s="1546"/>
      <c r="AU92" s="1546"/>
      <c r="AV92" s="1548"/>
      <c r="AW92" s="1548"/>
      <c r="AX92" s="1770">
        <v>210.1</v>
      </c>
      <c r="AY92" s="1548"/>
      <c r="AZ92" s="1548"/>
      <c r="BA92" s="1548"/>
      <c r="BB92" s="1546"/>
      <c r="BC92" s="222">
        <f t="shared" si="33"/>
        <v>0</v>
      </c>
      <c r="BD92" s="140">
        <f t="shared" si="34"/>
        <v>0</v>
      </c>
      <c r="BE92" s="132"/>
      <c r="BF92" s="140">
        <f t="shared" si="35"/>
        <v>0</v>
      </c>
      <c r="BG92" s="126"/>
      <c r="BH92" s="126"/>
      <c r="BI92" s="126"/>
      <c r="BJ92" s="126"/>
      <c r="BK92" s="126"/>
      <c r="BL92" s="126"/>
      <c r="BM92" s="126"/>
      <c r="BN92" s="126"/>
      <c r="BO92" s="126"/>
      <c r="BP92" s="126"/>
      <c r="BQ92" s="126"/>
      <c r="BR92" s="126"/>
      <c r="BS92" s="141"/>
      <c r="BT92" s="130">
        <f t="shared" si="36"/>
        <v>0</v>
      </c>
      <c r="BU92" s="132"/>
    </row>
    <row r="93" ht="14.25" customHeight="1">
      <c r="A93" s="132"/>
      <c r="B93" s="491">
        <v>46102</v>
      </c>
      <c r="C93" s="133">
        <f>10503.36-D93-0</f>
      </c>
      <c r="D93" s="134">
        <v>5415.4</v>
      </c>
      <c r="E93" s="135"/>
      <c r="F93" s="135"/>
      <c r="G93" s="147">
        <f t="shared" si="28"/>
        <v>0</v>
      </c>
      <c r="H93" s="122"/>
      <c r="I93" s="99"/>
      <c r="J93" s="99"/>
      <c r="K93" s="99"/>
      <c r="L93" s="99"/>
      <c r="M93" s="99"/>
      <c r="N93" s="143"/>
      <c r="O93" s="143"/>
      <c r="P93" s="143"/>
      <c r="Q93" s="143"/>
      <c r="R93" s="143"/>
      <c r="S93" s="143"/>
      <c r="T93" s="143"/>
      <c r="U93" s="103">
        <f t="shared" si="29"/>
        <v>0</v>
      </c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03">
        <f t="shared" si="30"/>
        <v>0</v>
      </c>
      <c r="AI93" s="134">
        <v>1841.23</v>
      </c>
      <c r="AJ93" s="134">
        <v>1427.28</v>
      </c>
      <c r="AK93" s="136"/>
      <c r="AL93" s="105">
        <f t="shared" si="31"/>
        <v>0</v>
      </c>
      <c r="AM93" s="143"/>
      <c r="AN93" s="143"/>
      <c r="AO93" s="143"/>
      <c r="AP93" s="143"/>
      <c r="AQ93" s="146"/>
      <c r="AR93" s="224">
        <f t="shared" si="32"/>
        <v>0</v>
      </c>
      <c r="AS93" s="1554">
        <v>3247.2</v>
      </c>
      <c r="AT93" s="1546"/>
      <c r="AU93" s="1546"/>
      <c r="AV93" s="1548"/>
      <c r="AW93" s="1548"/>
      <c r="AX93" s="1770">
        <v>3988.2</v>
      </c>
      <c r="AY93" s="1548"/>
      <c r="AZ93" s="1548"/>
      <c r="BA93" s="1548"/>
      <c r="BB93" s="1546"/>
      <c r="BC93" s="222">
        <f t="shared" si="33"/>
        <v>0</v>
      </c>
      <c r="BD93" s="140">
        <f t="shared" si="34"/>
        <v>0</v>
      </c>
      <c r="BE93" s="132"/>
      <c r="BF93" s="140">
        <f t="shared" si="35"/>
        <v>0</v>
      </c>
      <c r="BG93" s="126"/>
      <c r="BH93" s="126"/>
      <c r="BI93" s="126"/>
      <c r="BJ93" s="126"/>
      <c r="BK93" s="126"/>
      <c r="BL93" s="126"/>
      <c r="BM93" s="126"/>
      <c r="BN93" s="126"/>
      <c r="BO93" s="126"/>
      <c r="BP93" s="126"/>
      <c r="BQ93" s="126"/>
      <c r="BR93" s="126"/>
      <c r="BS93" s="141"/>
      <c r="BT93" s="130">
        <f t="shared" si="36"/>
        <v>0</v>
      </c>
      <c r="BU93" s="132"/>
    </row>
    <row r="94" ht="14.25" customHeight="1">
      <c r="A94" s="132"/>
      <c r="B94" s="491">
        <v>46103</v>
      </c>
      <c r="C94" s="133">
        <f>10238.86-D94-0</f>
      </c>
      <c r="D94" s="134">
        <v>5215.13</v>
      </c>
      <c r="E94" s="135"/>
      <c r="F94" s="135"/>
      <c r="G94" s="147">
        <f t="shared" si="28"/>
        <v>0</v>
      </c>
      <c r="H94" s="122"/>
      <c r="I94" s="99"/>
      <c r="J94" s="99"/>
      <c r="K94" s="99"/>
      <c r="L94" s="99"/>
      <c r="M94" s="99"/>
      <c r="N94" s="143"/>
      <c r="O94" s="143"/>
      <c r="P94" s="143"/>
      <c r="Q94" s="143"/>
      <c r="R94" s="143"/>
      <c r="S94" s="143"/>
      <c r="T94" s="143"/>
      <c r="U94" s="103">
        <f t="shared" si="29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03">
        <f t="shared" si="30"/>
        <v>0</v>
      </c>
      <c r="AI94" s="134">
        <v>2562.3</v>
      </c>
      <c r="AJ94" s="134">
        <v>1805.04</v>
      </c>
      <c r="AK94" s="136"/>
      <c r="AL94" s="105">
        <f t="shared" si="31"/>
        <v>0</v>
      </c>
      <c r="AM94" s="143"/>
      <c r="AN94" s="143"/>
      <c r="AO94" s="143"/>
      <c r="AP94" s="143"/>
      <c r="AQ94" s="146"/>
      <c r="AR94" s="224">
        <f t="shared" si="32"/>
        <v>0</v>
      </c>
      <c r="AS94" s="1554">
        <v>2461.8</v>
      </c>
      <c r="AT94" s="1546"/>
      <c r="AU94" s="1546"/>
      <c r="AV94" s="1548"/>
      <c r="AW94" s="1548"/>
      <c r="AX94" s="1770">
        <v>3410.2</v>
      </c>
      <c r="AY94" s="1548"/>
      <c r="AZ94" s="1548"/>
      <c r="BA94" s="1548"/>
      <c r="BB94" s="1546"/>
      <c r="BC94" s="222">
        <f t="shared" si="33"/>
        <v>0</v>
      </c>
      <c r="BD94" s="140">
        <f t="shared" si="34"/>
        <v>0</v>
      </c>
      <c r="BE94" s="132"/>
      <c r="BF94" s="140">
        <f t="shared" si="35"/>
        <v>0</v>
      </c>
      <c r="BG94" s="126"/>
      <c r="BH94" s="126"/>
      <c r="BI94" s="126"/>
      <c r="BJ94" s="126"/>
      <c r="BK94" s="126"/>
      <c r="BL94" s="126"/>
      <c r="BM94" s="126"/>
      <c r="BN94" s="126"/>
      <c r="BO94" s="126"/>
      <c r="BP94" s="126"/>
      <c r="BQ94" s="126"/>
      <c r="BR94" s="126"/>
      <c r="BS94" s="141"/>
      <c r="BT94" s="130">
        <f t="shared" si="36"/>
        <v>0</v>
      </c>
      <c r="BU94" s="132"/>
    </row>
    <row r="95" ht="15.75" customHeight="1">
      <c r="A95" s="132"/>
      <c r="B95" s="491">
        <v>46104</v>
      </c>
      <c r="C95" s="133">
        <f>10891.71-D95-0</f>
      </c>
      <c r="D95" s="134">
        <v>4656.38</v>
      </c>
      <c r="E95" s="135"/>
      <c r="F95" s="135"/>
      <c r="G95" s="147">
        <f t="shared" si="28"/>
        <v>0</v>
      </c>
      <c r="H95" s="122"/>
      <c r="I95" s="99"/>
      <c r="J95" s="99"/>
      <c r="K95" s="99"/>
      <c r="L95" s="99"/>
      <c r="M95" s="99"/>
      <c r="N95" s="143"/>
      <c r="O95" s="143"/>
      <c r="P95" s="143"/>
      <c r="Q95" s="143"/>
      <c r="R95" s="143"/>
      <c r="S95" s="143"/>
      <c r="T95" s="143"/>
      <c r="U95" s="103">
        <f t="shared" si="29"/>
        <v>0</v>
      </c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03">
        <f t="shared" si="30"/>
        <v>0</v>
      </c>
      <c r="AI95" s="134">
        <v>2086.17</v>
      </c>
      <c r="AJ95" s="134">
        <v>1291.76</v>
      </c>
      <c r="AK95" s="136"/>
      <c r="AL95" s="105">
        <f t="shared" si="31"/>
        <v>0</v>
      </c>
      <c r="AM95" s="143"/>
      <c r="AN95" s="143"/>
      <c r="AO95" s="143"/>
      <c r="AP95" s="143"/>
      <c r="AQ95" s="146"/>
      <c r="AR95" s="224">
        <f t="shared" si="32"/>
        <v>0</v>
      </c>
      <c r="AS95" s="1554">
        <v>4146.9</v>
      </c>
      <c r="AT95" s="1546"/>
      <c r="AU95" s="1546"/>
      <c r="AV95" s="1548"/>
      <c r="AW95" s="1548"/>
      <c r="AX95" s="1770">
        <v>3367.3</v>
      </c>
      <c r="AY95" s="1548"/>
      <c r="AZ95" s="1548"/>
      <c r="BA95" s="1548"/>
      <c r="BB95" s="1546"/>
      <c r="BC95" s="222">
        <f t="shared" si="33"/>
        <v>0</v>
      </c>
      <c r="BD95" s="140">
        <f t="shared" si="34"/>
        <v>0</v>
      </c>
      <c r="BE95" s="132"/>
      <c r="BF95" s="140">
        <f t="shared" si="35"/>
        <v>0</v>
      </c>
      <c r="BG95" s="126"/>
      <c r="BH95" s="126"/>
      <c r="BI95" s="126"/>
      <c r="BJ95" s="126"/>
      <c r="BK95" s="126"/>
      <c r="BL95" s="126"/>
      <c r="BM95" s="126"/>
      <c r="BN95" s="126"/>
      <c r="BO95" s="126"/>
      <c r="BP95" s="126"/>
      <c r="BQ95" s="126"/>
      <c r="BR95" s="126"/>
      <c r="BS95" s="141"/>
      <c r="BT95" s="130">
        <f t="shared" si="36"/>
        <v>0</v>
      </c>
      <c r="BU95" s="132"/>
    </row>
    <row r="96" ht="14.25" customHeight="1">
      <c r="A96" s="132"/>
      <c r="B96" s="491">
        <v>46105</v>
      </c>
      <c r="C96" s="133">
        <f>7506.80-D96-0</f>
      </c>
      <c r="D96" s="134">
        <v>3110.63</v>
      </c>
      <c r="E96" s="135"/>
      <c r="F96" s="135"/>
      <c r="G96" s="147">
        <f t="shared" si="28"/>
        <v>0</v>
      </c>
      <c r="H96" s="122"/>
      <c r="I96" s="99"/>
      <c r="J96" s="99"/>
      <c r="K96" s="99"/>
      <c r="L96" s="99"/>
      <c r="M96" s="99"/>
      <c r="N96" s="143"/>
      <c r="O96" s="143"/>
      <c r="P96" s="143"/>
      <c r="Q96" s="143"/>
      <c r="R96" s="143"/>
      <c r="S96" s="143"/>
      <c r="T96" s="143"/>
      <c r="U96" s="103">
        <f t="shared" si="29"/>
        <v>0</v>
      </c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03">
        <f t="shared" si="30"/>
        <v>0</v>
      </c>
      <c r="AI96" s="134">
        <v>1999.95</v>
      </c>
      <c r="AJ96" s="134">
        <v>1263.31</v>
      </c>
      <c r="AK96" s="136"/>
      <c r="AL96" s="105">
        <f t="shared" si="31"/>
        <v>0</v>
      </c>
      <c r="AM96" s="143"/>
      <c r="AN96" s="143"/>
      <c r="AO96" s="143"/>
      <c r="AP96" s="143"/>
      <c r="AQ96" s="146"/>
      <c r="AR96" s="224">
        <f t="shared" si="32"/>
        <v>0</v>
      </c>
      <c r="AS96" s="1554">
        <v>2408.3</v>
      </c>
      <c r="AT96" s="1546"/>
      <c r="AU96" s="1546"/>
      <c r="AV96" s="1548"/>
      <c r="AW96" s="1548"/>
      <c r="AX96" s="1770">
        <v>1836.2</v>
      </c>
      <c r="AY96" s="1548"/>
      <c r="AZ96" s="1548"/>
      <c r="BA96" s="1548"/>
      <c r="BB96" s="1546"/>
      <c r="BC96" s="222">
        <f t="shared" si="33"/>
        <v>0</v>
      </c>
      <c r="BD96" s="140">
        <f t="shared" si="34"/>
        <v>0</v>
      </c>
      <c r="BE96" s="132"/>
      <c r="BF96" s="140">
        <f t="shared" si="35"/>
        <v>0</v>
      </c>
      <c r="BG96" s="126"/>
      <c r="BH96" s="126"/>
      <c r="BI96" s="126"/>
      <c r="BJ96" s="126"/>
      <c r="BK96" s="126"/>
      <c r="BL96" s="126"/>
      <c r="BM96" s="126"/>
      <c r="BN96" s="126"/>
      <c r="BO96" s="126"/>
      <c r="BP96" s="126"/>
      <c r="BQ96" s="126"/>
      <c r="BR96" s="126"/>
      <c r="BS96" s="141"/>
      <c r="BT96" s="130">
        <f t="shared" si="36"/>
        <v>0</v>
      </c>
      <c r="BU96" s="132"/>
    </row>
    <row r="97" ht="14.25" customHeight="1">
      <c r="A97" s="132"/>
      <c r="B97" s="491">
        <v>46106</v>
      </c>
      <c r="C97" s="133">
        <f>6061.78-D97-0</f>
      </c>
      <c r="D97" s="134">
        <v>1929.32</v>
      </c>
      <c r="E97" s="135"/>
      <c r="F97" s="135"/>
      <c r="G97" s="147">
        <f t="shared" si="28"/>
        <v>0</v>
      </c>
      <c r="H97" s="133"/>
      <c r="I97" s="99"/>
      <c r="J97" s="99"/>
      <c r="K97" s="99"/>
      <c r="L97" s="99"/>
      <c r="M97" s="99"/>
      <c r="N97" s="143"/>
      <c r="O97" s="143"/>
      <c r="P97" s="143"/>
      <c r="Q97" s="143"/>
      <c r="R97" s="143"/>
      <c r="S97" s="143"/>
      <c r="T97" s="143"/>
      <c r="U97" s="103">
        <f t="shared" si="29"/>
        <v>0</v>
      </c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03">
        <f t="shared" si="30"/>
        <v>0</v>
      </c>
      <c r="AI97" s="134">
        <v>1706.49</v>
      </c>
      <c r="AJ97" s="134">
        <v>787.84</v>
      </c>
      <c r="AK97" s="136"/>
      <c r="AL97" s="105">
        <f t="shared" si="31"/>
        <v>0</v>
      </c>
      <c r="AM97" s="143"/>
      <c r="AN97" s="143"/>
      <c r="AO97" s="143"/>
      <c r="AP97" s="143"/>
      <c r="AQ97" s="146"/>
      <c r="AR97" s="224">
        <f t="shared" si="32"/>
        <v>0</v>
      </c>
      <c r="AS97" s="1554">
        <v>2419.2</v>
      </c>
      <c r="AT97" s="1546"/>
      <c r="AU97" s="1546"/>
      <c r="AV97" s="1548"/>
      <c r="AW97" s="1548"/>
      <c r="AX97" s="1770">
        <v>1148.5</v>
      </c>
      <c r="AY97" s="1548"/>
      <c r="AZ97" s="1548"/>
      <c r="BA97" s="1548"/>
      <c r="BB97" s="1546"/>
      <c r="BC97" s="222">
        <f t="shared" si="33"/>
        <v>0</v>
      </c>
      <c r="BD97" s="140">
        <f t="shared" si="34"/>
        <v>0</v>
      </c>
      <c r="BE97" s="132"/>
      <c r="BF97" s="140">
        <f t="shared" si="35"/>
        <v>0</v>
      </c>
      <c r="BG97" s="126"/>
      <c r="BH97" s="126"/>
      <c r="BI97" s="126"/>
      <c r="BJ97" s="126"/>
      <c r="BK97" s="126"/>
      <c r="BL97" s="126"/>
      <c r="BM97" s="126"/>
      <c r="BN97" s="126"/>
      <c r="BO97" s="126"/>
      <c r="BP97" s="126"/>
      <c r="BQ97" s="126"/>
      <c r="BR97" s="126"/>
      <c r="BS97" s="141"/>
      <c r="BT97" s="130">
        <f t="shared" si="36"/>
        <v>0</v>
      </c>
      <c r="BU97" s="132"/>
    </row>
    <row r="98" ht="14.25" customHeight="1">
      <c r="A98" s="132"/>
      <c r="B98" s="491">
        <v>46107</v>
      </c>
      <c r="C98" s="133">
        <f>6194.28-D98-0</f>
      </c>
      <c r="D98" s="134">
        <v>1364.36</v>
      </c>
      <c r="E98" s="135"/>
      <c r="F98" s="135"/>
      <c r="G98" s="147">
        <f t="shared" si="28"/>
        <v>0</v>
      </c>
      <c r="H98" s="122"/>
      <c r="I98" s="99"/>
      <c r="J98" s="99"/>
      <c r="K98" s="99"/>
      <c r="L98" s="99"/>
      <c r="M98" s="99"/>
      <c r="N98" s="99"/>
      <c r="O98" s="143"/>
      <c r="P98" s="143"/>
      <c r="Q98" s="143"/>
      <c r="R98" s="143"/>
      <c r="S98" s="143"/>
      <c r="T98" s="143"/>
      <c r="U98" s="103">
        <f t="shared" si="29"/>
        <v>0</v>
      </c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03">
        <f t="shared" si="30"/>
        <v>0</v>
      </c>
      <c r="AI98" s="134">
        <v>1811.24</v>
      </c>
      <c r="AJ98" s="134">
        <v>650.71</v>
      </c>
      <c r="AK98" s="136"/>
      <c r="AL98" s="105">
        <f t="shared" si="31"/>
        <v>0</v>
      </c>
      <c r="AM98" s="143"/>
      <c r="AN98" s="143"/>
      <c r="AO98" s="143"/>
      <c r="AP98" s="143"/>
      <c r="AQ98" s="146"/>
      <c r="AR98" s="224">
        <f t="shared" si="32"/>
        <v>0</v>
      </c>
      <c r="AS98" s="1554">
        <v>3019</v>
      </c>
      <c r="AT98" s="1546"/>
      <c r="AU98" s="1546"/>
      <c r="AV98" s="1548"/>
      <c r="AW98" s="1548"/>
      <c r="AX98" s="1770">
        <v>713.7</v>
      </c>
      <c r="AY98" s="1548"/>
      <c r="AZ98" s="1548"/>
      <c r="BA98" s="1548"/>
      <c r="BB98" s="1546"/>
      <c r="BC98" s="222">
        <f t="shared" si="33"/>
        <v>0</v>
      </c>
      <c r="BD98" s="140">
        <f t="shared" si="34"/>
        <v>0</v>
      </c>
      <c r="BE98" s="132"/>
      <c r="BF98" s="140">
        <f t="shared" si="35"/>
        <v>0</v>
      </c>
      <c r="BG98" s="126"/>
      <c r="BH98" s="126"/>
      <c r="BI98" s="126"/>
      <c r="BJ98" s="126"/>
      <c r="BK98" s="126"/>
      <c r="BL98" s="126"/>
      <c r="BM98" s="126"/>
      <c r="BN98" s="126"/>
      <c r="BO98" s="126"/>
      <c r="BP98" s="126"/>
      <c r="BQ98" s="126"/>
      <c r="BR98" s="126"/>
      <c r="BS98" s="141"/>
      <c r="BT98" s="130">
        <f t="shared" si="36"/>
        <v>0</v>
      </c>
      <c r="BU98" s="132"/>
    </row>
    <row r="99" ht="14.25" customHeight="1">
      <c r="A99" s="132"/>
      <c r="B99" s="491">
        <v>46108</v>
      </c>
      <c r="C99" s="133">
        <f>5147.90-D99-0</f>
      </c>
      <c r="D99" s="134">
        <v>1673.71</v>
      </c>
      <c r="E99" s="135"/>
      <c r="F99" s="135"/>
      <c r="G99" s="147">
        <f t="shared" si="28"/>
        <v>0</v>
      </c>
      <c r="H99" s="122"/>
      <c r="I99" s="99"/>
      <c r="J99" s="99"/>
      <c r="K99" s="99"/>
      <c r="L99" s="99"/>
      <c r="M99" s="99"/>
      <c r="N99" s="143"/>
      <c r="O99" s="143"/>
      <c r="P99" s="143"/>
      <c r="Q99" s="143"/>
      <c r="R99" s="143"/>
      <c r="S99" s="143"/>
      <c r="T99" s="143"/>
      <c r="U99" s="103">
        <f t="shared" si="29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03">
        <f t="shared" si="30"/>
        <v>0</v>
      </c>
      <c r="AI99" s="134">
        <v>1346.51</v>
      </c>
      <c r="AJ99" s="134">
        <v>652.34</v>
      </c>
      <c r="AK99" s="136"/>
      <c r="AL99" s="105">
        <f t="shared" si="31"/>
        <v>0</v>
      </c>
      <c r="AM99" s="143"/>
      <c r="AN99" s="143"/>
      <c r="AO99" s="143"/>
      <c r="AP99" s="143"/>
      <c r="AQ99" s="146"/>
      <c r="AR99" s="224">
        <f t="shared" si="32"/>
        <v>0</v>
      </c>
      <c r="AS99" s="1554">
        <v>2127.9</v>
      </c>
      <c r="AT99" s="1546"/>
      <c r="AU99" s="1546"/>
      <c r="AV99" s="1548"/>
      <c r="AW99" s="1548"/>
      <c r="AX99" s="1770">
        <v>1021.4</v>
      </c>
      <c r="AY99" s="1548"/>
      <c r="AZ99" s="1548"/>
      <c r="BA99" s="1548"/>
      <c r="BB99" s="1546"/>
      <c r="BC99" s="222">
        <f t="shared" si="33"/>
        <v>0</v>
      </c>
      <c r="BD99" s="140">
        <f t="shared" si="34"/>
        <v>0</v>
      </c>
      <c r="BE99" s="132"/>
      <c r="BF99" s="140">
        <f t="shared" si="35"/>
        <v>0</v>
      </c>
      <c r="BG99" s="126"/>
      <c r="BH99" s="126"/>
      <c r="BI99" s="126"/>
      <c r="BJ99" s="126"/>
      <c r="BK99" s="126"/>
      <c r="BL99" s="126"/>
      <c r="BM99" s="126"/>
      <c r="BN99" s="126"/>
      <c r="BO99" s="126"/>
      <c r="BP99" s="126"/>
      <c r="BQ99" s="126"/>
      <c r="BR99" s="126"/>
      <c r="BS99" s="141"/>
      <c r="BT99" s="130">
        <f t="shared" si="36"/>
        <v>0</v>
      </c>
      <c r="BU99" s="132"/>
    </row>
    <row r="100" ht="14.25" customHeight="1">
      <c r="A100" s="132"/>
      <c r="B100" s="491">
        <v>46109</v>
      </c>
      <c r="C100" s="133">
        <f>5930.16-D100-0</f>
      </c>
      <c r="D100" s="134">
        <v>2154.88</v>
      </c>
      <c r="E100" s="135"/>
      <c r="F100" s="135"/>
      <c r="G100" s="147">
        <f t="shared" si="28"/>
        <v>0</v>
      </c>
      <c r="H100" s="122"/>
      <c r="I100" s="99"/>
      <c r="J100" s="99"/>
      <c r="K100" s="99"/>
      <c r="L100" s="99"/>
      <c r="M100" s="99"/>
      <c r="N100" s="143"/>
      <c r="O100" s="143"/>
      <c r="P100" s="143"/>
      <c r="Q100" s="143"/>
      <c r="R100" s="143"/>
      <c r="S100" s="143"/>
      <c r="T100" s="143"/>
      <c r="U100" s="103">
        <f t="shared" si="29"/>
        <v>0</v>
      </c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03">
        <f t="shared" si="30"/>
        <v>0</v>
      </c>
      <c r="AI100" s="134">
        <v>1571.86</v>
      </c>
      <c r="AJ100" s="134">
        <v>887.77</v>
      </c>
      <c r="AK100" s="136"/>
      <c r="AL100" s="105">
        <f t="shared" si="31"/>
        <v>0</v>
      </c>
      <c r="AM100" s="143"/>
      <c r="AN100" s="143"/>
      <c r="AO100" s="143"/>
      <c r="AP100" s="143"/>
      <c r="AQ100" s="146"/>
      <c r="AR100" s="224">
        <f t="shared" si="32"/>
        <v>0</v>
      </c>
      <c r="AS100" s="1554">
        <v>2203.8</v>
      </c>
      <c r="AT100" s="1546"/>
      <c r="AU100" s="1546"/>
      <c r="AV100" s="1548"/>
      <c r="AW100" s="1548"/>
      <c r="AX100" s="1770">
        <v>1267.2</v>
      </c>
      <c r="AY100" s="1548"/>
      <c r="AZ100" s="1548"/>
      <c r="BA100" s="1548"/>
      <c r="BB100" s="1546"/>
      <c r="BC100" s="222">
        <f t="shared" si="33"/>
        <v>0</v>
      </c>
      <c r="BD100" s="140">
        <f t="shared" si="34"/>
        <v>0</v>
      </c>
      <c r="BE100" s="132"/>
      <c r="BF100" s="140">
        <f t="shared" si="35"/>
        <v>0</v>
      </c>
      <c r="BG100" s="126"/>
      <c r="BH100" s="126"/>
      <c r="BI100" s="126"/>
      <c r="BJ100" s="126"/>
      <c r="BK100" s="126"/>
      <c r="BL100" s="126"/>
      <c r="BM100" s="126"/>
      <c r="BN100" s="126"/>
      <c r="BO100" s="126"/>
      <c r="BP100" s="126"/>
      <c r="BQ100" s="126"/>
      <c r="BR100" s="126"/>
      <c r="BS100" s="141"/>
      <c r="BT100" s="130">
        <f t="shared" si="36"/>
        <v>0</v>
      </c>
      <c r="BU100" s="132"/>
    </row>
    <row r="101" ht="14.25" customHeight="1">
      <c r="A101" s="132"/>
      <c r="B101" s="491">
        <v>46110</v>
      </c>
      <c r="C101" s="133">
        <f>5377.28-D101-0</f>
      </c>
      <c r="D101" s="134">
        <v>1797.82</v>
      </c>
      <c r="E101" s="135"/>
      <c r="F101" s="135"/>
      <c r="G101" s="147">
        <f t="shared" si="28"/>
        <v>0</v>
      </c>
      <c r="H101" s="122"/>
      <c r="I101" s="99"/>
      <c r="J101" s="99"/>
      <c r="K101" s="99"/>
      <c r="L101" s="99"/>
      <c r="M101" s="99"/>
      <c r="N101" s="143"/>
      <c r="O101" s="143"/>
      <c r="P101" s="143"/>
      <c r="Q101" s="143"/>
      <c r="R101" s="143"/>
      <c r="S101" s="143"/>
      <c r="T101" s="143"/>
      <c r="U101" s="103">
        <f t="shared" si="29"/>
        <v>0</v>
      </c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03">
        <f t="shared" si="30"/>
        <v>0</v>
      </c>
      <c r="AI101" s="134">
        <v>1561.78</v>
      </c>
      <c r="AJ101" s="134">
        <v>693.03</v>
      </c>
      <c r="AK101" s="136"/>
      <c r="AL101" s="105">
        <f t="shared" si="31"/>
        <v>0</v>
      </c>
      <c r="AM101" s="143"/>
      <c r="AN101" s="143"/>
      <c r="AO101" s="143"/>
      <c r="AP101" s="143"/>
      <c r="AQ101" s="146"/>
      <c r="AR101" s="224">
        <f t="shared" si="32"/>
        <v>0</v>
      </c>
      <c r="AS101" s="1554">
        <v>2018</v>
      </c>
      <c r="AT101" s="1546"/>
      <c r="AU101" s="1546"/>
      <c r="AV101" s="1548"/>
      <c r="AW101" s="1548"/>
      <c r="AX101" s="1770">
        <v>1104.9</v>
      </c>
      <c r="AY101" s="1548"/>
      <c r="AZ101" s="1548"/>
      <c r="BA101" s="1548"/>
      <c r="BB101" s="1546"/>
      <c r="BC101" s="222">
        <f t="shared" si="33"/>
        <v>0</v>
      </c>
      <c r="BD101" s="140">
        <f t="shared" si="34"/>
        <v>0</v>
      </c>
      <c r="BE101" s="132"/>
      <c r="BF101" s="140">
        <f t="shared" si="35"/>
        <v>0</v>
      </c>
      <c r="BG101" s="126"/>
      <c r="BH101" s="126"/>
      <c r="BI101" s="126"/>
      <c r="BJ101" s="126"/>
      <c r="BK101" s="126"/>
      <c r="BL101" s="126"/>
      <c r="BM101" s="126"/>
      <c r="BN101" s="126"/>
      <c r="BO101" s="126"/>
      <c r="BP101" s="126"/>
      <c r="BQ101" s="126"/>
      <c r="BR101" s="126"/>
      <c r="BS101" s="141"/>
      <c r="BT101" s="130">
        <f t="shared" si="36"/>
        <v>0</v>
      </c>
      <c r="BU101" s="132"/>
    </row>
    <row r="102" ht="14.25" customHeight="1">
      <c r="A102" s="132"/>
      <c r="B102" s="491">
        <v>46111</v>
      </c>
      <c r="C102" s="133">
        <f>6387.77-D102-0</f>
      </c>
      <c r="D102" s="134">
        <v>2505.47</v>
      </c>
      <c r="E102" s="135"/>
      <c r="F102" s="135"/>
      <c r="G102" s="147">
        <f t="shared" si="28"/>
        <v>0</v>
      </c>
      <c r="H102" s="122"/>
      <c r="I102" s="99"/>
      <c r="J102" s="99"/>
      <c r="K102" s="99"/>
      <c r="L102" s="99"/>
      <c r="M102" s="99"/>
      <c r="N102" s="143"/>
      <c r="O102" s="143"/>
      <c r="P102" s="143"/>
      <c r="Q102" s="143"/>
      <c r="R102" s="143"/>
      <c r="S102" s="143"/>
      <c r="T102" s="143"/>
      <c r="U102" s="103">
        <f t="shared" si="29"/>
        <v>0</v>
      </c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03">
        <f t="shared" si="30"/>
        <v>0</v>
      </c>
      <c r="AI102" s="134">
        <v>1302.85</v>
      </c>
      <c r="AJ102" s="134">
        <v>859.96</v>
      </c>
      <c r="AK102" s="136"/>
      <c r="AL102" s="105">
        <f t="shared" si="31"/>
        <v>0</v>
      </c>
      <c r="AM102" s="143"/>
      <c r="AN102" s="143"/>
      <c r="AO102" s="143"/>
      <c r="AP102" s="143"/>
      <c r="AQ102" s="146"/>
      <c r="AR102" s="224">
        <f t="shared" si="32"/>
        <v>0</v>
      </c>
      <c r="AS102" s="1554">
        <v>2279.7</v>
      </c>
      <c r="AT102" s="1546"/>
      <c r="AU102" s="1546"/>
      <c r="AV102" s="1548"/>
      <c r="AW102" s="1548"/>
      <c r="AX102" s="1770">
        <v>1645.6</v>
      </c>
      <c r="AY102" s="1548"/>
      <c r="AZ102" s="1548"/>
      <c r="BA102" s="1548"/>
      <c r="BB102" s="1546"/>
      <c r="BC102" s="222">
        <f t="shared" si="33"/>
        <v>0</v>
      </c>
      <c r="BD102" s="140">
        <f t="shared" si="34"/>
        <v>0</v>
      </c>
      <c r="BE102" s="132"/>
      <c r="BF102" s="140">
        <f t="shared" si="35"/>
        <v>0</v>
      </c>
      <c r="BG102" s="126"/>
      <c r="BH102" s="126"/>
      <c r="BI102" s="126"/>
      <c r="BJ102" s="126"/>
      <c r="BK102" s="126"/>
      <c r="BL102" s="126"/>
      <c r="BM102" s="126"/>
      <c r="BN102" s="126"/>
      <c r="BO102" s="126"/>
      <c r="BP102" s="126"/>
      <c r="BQ102" s="229"/>
      <c r="BR102" s="126"/>
      <c r="BS102" s="141"/>
      <c r="BT102" s="130">
        <f t="shared" si="36"/>
        <v>0</v>
      </c>
      <c r="BU102" s="132"/>
    </row>
    <row r="103" ht="14.25" customHeight="1">
      <c r="A103" s="132"/>
      <c r="B103" s="491">
        <v>46112</v>
      </c>
      <c r="C103" s="153">
        <f>5662.48-D103-0</f>
      </c>
      <c r="D103" s="154">
        <v>1699.79</v>
      </c>
      <c r="E103" s="156"/>
      <c r="F103" s="156"/>
      <c r="G103" s="147">
        <f t="shared" si="28"/>
        <v>0</v>
      </c>
      <c r="H103" s="656"/>
      <c r="I103" s="657"/>
      <c r="J103" s="657"/>
      <c r="K103" s="657"/>
      <c r="L103" s="657"/>
      <c r="M103" s="657"/>
      <c r="N103" s="157"/>
      <c r="O103" s="157"/>
      <c r="P103" s="157"/>
      <c r="Q103" s="157"/>
      <c r="R103" s="157"/>
      <c r="S103" s="157"/>
      <c r="T103" s="157"/>
      <c r="U103" s="103">
        <f t="shared" si="29"/>
        <v>0</v>
      </c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03">
        <f t="shared" si="30"/>
        <v>0</v>
      </c>
      <c r="AI103" s="154">
        <v>1563.34</v>
      </c>
      <c r="AJ103" s="154">
        <v>949.27</v>
      </c>
      <c r="AK103" s="159"/>
      <c r="AL103" s="105">
        <f t="shared" si="31"/>
        <v>0</v>
      </c>
      <c r="AM103" s="157"/>
      <c r="AN103" s="157"/>
      <c r="AO103" s="157"/>
      <c r="AP103" s="157"/>
      <c r="AQ103" s="160"/>
      <c r="AR103" s="224">
        <f t="shared" si="32"/>
        <v>0</v>
      </c>
      <c r="AS103" s="1642">
        <v>2399.5</v>
      </c>
      <c r="AT103" s="1557"/>
      <c r="AU103" s="1557"/>
      <c r="AV103" s="1548"/>
      <c r="AW103" s="1548"/>
      <c r="AX103" s="1771">
        <v>750.6</v>
      </c>
      <c r="AY103" s="1548"/>
      <c r="AZ103" s="1548"/>
      <c r="BA103" s="1548"/>
      <c r="BB103" s="1557"/>
      <c r="BC103" s="222">
        <f t="shared" si="33"/>
        <v>0</v>
      </c>
      <c r="BD103" s="140">
        <f t="shared" si="34"/>
        <v>0</v>
      </c>
      <c r="BE103" s="132"/>
      <c r="BF103" s="162">
        <f t="shared" si="35"/>
        <v>0</v>
      </c>
      <c r="BG103" s="138"/>
      <c r="BH103" s="138"/>
      <c r="BI103" s="138"/>
      <c r="BJ103" s="138"/>
      <c r="BK103" s="138"/>
      <c r="BL103" s="138"/>
      <c r="BM103" s="138"/>
      <c r="BN103" s="138"/>
      <c r="BO103" s="138"/>
      <c r="BP103" s="126"/>
      <c r="BQ103" s="138"/>
      <c r="BR103" s="138"/>
      <c r="BS103" s="163"/>
      <c r="BT103" s="164">
        <f t="shared" si="36"/>
        <v>0</v>
      </c>
      <c r="BU103" s="132"/>
    </row>
    <row r="104" ht="14.25" customHeight="1">
      <c r="A104" s="3"/>
      <c r="B104" s="2"/>
      <c r="C104" s="166">
        <f ref="C104:R104" t="shared" si="37">SUM(C73:C103)</f>
        <v>0</v>
      </c>
      <c r="D104" s="166">
        <f t="shared" si="37"/>
        <v>0</v>
      </c>
      <c r="E104" s="166">
        <f t="shared" si="37"/>
        <v>0</v>
      </c>
      <c r="F104" s="166">
        <f t="shared" si="37"/>
        <v>0</v>
      </c>
      <c r="G104" s="166">
        <f t="shared" si="37"/>
        <v>0</v>
      </c>
      <c r="H104" s="166">
        <f t="shared" si="37"/>
        <v>0</v>
      </c>
      <c r="I104" s="166">
        <f t="shared" si="37"/>
        <v>0</v>
      </c>
      <c r="J104" s="166">
        <f t="shared" si="37"/>
        <v>0</v>
      </c>
      <c r="K104" s="166">
        <f t="shared" si="37"/>
        <v>0</v>
      </c>
      <c r="L104" s="166">
        <f t="shared" si="37"/>
        <v>0</v>
      </c>
      <c r="M104" s="166">
        <f t="shared" si="37"/>
        <v>0</v>
      </c>
      <c r="N104" s="166">
        <f t="shared" si="37"/>
        <v>0</v>
      </c>
      <c r="O104" s="166">
        <f t="shared" si="37"/>
        <v>0</v>
      </c>
      <c r="P104" s="166">
        <f t="shared" si="37"/>
        <v>0</v>
      </c>
      <c r="Q104" s="166">
        <f t="shared" si="37"/>
        <v>0</v>
      </c>
      <c r="R104" s="166">
        <f t="shared" si="37"/>
        <v>0</v>
      </c>
      <c r="S104" s="166"/>
      <c r="T104" s="166">
        <f ref="T104:BD104" t="shared" si="38">SUM(T73:T103)</f>
        <v>0</v>
      </c>
      <c r="U104" s="166">
        <f t="shared" si="38"/>
        <v>0</v>
      </c>
      <c r="V104" s="166">
        <f t="shared" si="38"/>
        <v>0</v>
      </c>
      <c r="W104" s="166">
        <f t="shared" si="38"/>
        <v>0</v>
      </c>
      <c r="X104" s="166">
        <f t="shared" si="38"/>
        <v>0</v>
      </c>
      <c r="Y104" s="166">
        <f t="shared" si="38"/>
        <v>0</v>
      </c>
      <c r="Z104" s="166">
        <f t="shared" si="38"/>
        <v>0</v>
      </c>
      <c r="AA104" s="166">
        <f t="shared" si="38"/>
        <v>0</v>
      </c>
      <c r="AB104" s="166">
        <f t="shared" si="38"/>
        <v>0</v>
      </c>
      <c r="AC104" s="166">
        <f t="shared" si="38"/>
        <v>0</v>
      </c>
      <c r="AD104" s="166">
        <f t="shared" si="38"/>
        <v>0</v>
      </c>
      <c r="AE104" s="166">
        <f t="shared" si="38"/>
        <v>0</v>
      </c>
      <c r="AF104" s="166">
        <f t="shared" si="38"/>
        <v>0</v>
      </c>
      <c r="AG104" s="166">
        <f t="shared" si="38"/>
        <v>0</v>
      </c>
      <c r="AH104" s="166">
        <f t="shared" si="38"/>
        <v>0</v>
      </c>
      <c r="AI104" s="166">
        <f t="shared" si="38"/>
        <v>0</v>
      </c>
      <c r="AJ104" s="166">
        <f t="shared" si="38"/>
        <v>0</v>
      </c>
      <c r="AK104" s="166">
        <f t="shared" si="38"/>
        <v>0</v>
      </c>
      <c r="AL104" s="166">
        <f t="shared" si="38"/>
        <v>0</v>
      </c>
      <c r="AM104" s="166">
        <f t="shared" si="38"/>
        <v>0</v>
      </c>
      <c r="AN104" s="166">
        <f t="shared" si="38"/>
        <v>0</v>
      </c>
      <c r="AO104" s="166">
        <f t="shared" si="38"/>
        <v>0</v>
      </c>
      <c r="AP104" s="166">
        <f t="shared" si="38"/>
        <v>0</v>
      </c>
      <c r="AQ104" s="166">
        <f t="shared" si="38"/>
        <v>0</v>
      </c>
      <c r="AR104" s="166">
        <f t="shared" si="38"/>
        <v>0</v>
      </c>
      <c r="AS104" s="165">
        <f t="shared" si="38"/>
        <v>0</v>
      </c>
      <c r="AT104" s="165">
        <f t="shared" si="38"/>
        <v>0</v>
      </c>
      <c r="AU104" s="165">
        <f t="shared" si="38"/>
        <v>0</v>
      </c>
      <c r="AV104" s="165">
        <f t="shared" si="38"/>
        <v>0</v>
      </c>
      <c r="AW104" s="165">
        <f t="shared" si="38"/>
        <v>0</v>
      </c>
      <c r="AX104" s="165">
        <f t="shared" si="38"/>
        <v>0</v>
      </c>
      <c r="AY104" s="165">
        <f t="shared" si="38"/>
        <v>0</v>
      </c>
      <c r="AZ104" s="165">
        <f t="shared" si="38"/>
        <v>0</v>
      </c>
      <c r="BA104" s="165">
        <f t="shared" si="38"/>
        <v>0</v>
      </c>
      <c r="BB104" s="165">
        <f t="shared" si="38"/>
        <v>0</v>
      </c>
      <c r="BC104" s="166">
        <f t="shared" si="38"/>
        <v>0</v>
      </c>
      <c r="BD104" s="166">
        <f t="shared" si="38"/>
        <v>0</v>
      </c>
      <c r="BE104" s="132"/>
      <c r="BF104" s="166">
        <f ref="BF104:BT104" t="shared" si="39">SUM(BF73:BF103)</f>
        <v>0</v>
      </c>
      <c r="BG104" s="166">
        <f t="shared" si="39"/>
        <v>0</v>
      </c>
      <c r="BH104" s="166">
        <f t="shared" si="39"/>
        <v>0</v>
      </c>
      <c r="BI104" s="166">
        <f t="shared" si="39"/>
        <v>0</v>
      </c>
      <c r="BJ104" s="166">
        <f t="shared" si="39"/>
        <v>0</v>
      </c>
      <c r="BK104" s="166">
        <f t="shared" si="39"/>
        <v>0</v>
      </c>
      <c r="BL104" s="166">
        <f t="shared" si="39"/>
        <v>0</v>
      </c>
      <c r="BM104" s="166">
        <f t="shared" si="39"/>
        <v>0</v>
      </c>
      <c r="BN104" s="166">
        <f t="shared" si="39"/>
        <v>0</v>
      </c>
      <c r="BO104" s="166">
        <f t="shared" si="39"/>
        <v>0</v>
      </c>
      <c r="BP104" s="166">
        <f t="shared" si="39"/>
        <v>0</v>
      </c>
      <c r="BQ104" s="166">
        <f t="shared" si="39"/>
        <v>0</v>
      </c>
      <c r="BR104" s="166">
        <f t="shared" si="39"/>
        <v>0</v>
      </c>
      <c r="BS104" s="166">
        <f t="shared" si="39"/>
        <v>0</v>
      </c>
      <c r="BT104" s="164">
        <f t="shared" si="39"/>
        <v>0</v>
      </c>
      <c r="BU104" s="3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3"/>
      <c r="AN105" s="3"/>
      <c r="AO105" s="3"/>
      <c r="AP105" s="3"/>
      <c r="AQ105" s="3"/>
      <c r="AR105" s="4"/>
      <c r="AS105" s="132"/>
      <c r="AT105" s="132"/>
      <c r="AU105" s="132"/>
      <c r="AV105" s="3"/>
      <c r="AW105" s="3"/>
      <c r="AX105" s="132"/>
      <c r="AY105" s="132"/>
      <c r="AZ105" s="132"/>
      <c r="BA105" s="132"/>
      <c r="BB105" s="132"/>
      <c r="BC105" s="4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ht="14.25" customHeight="1">
      <c r="A106" s="1"/>
      <c r="B106" s="236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176"/>
      <c r="AI106" s="3"/>
      <c r="AJ106" s="3"/>
      <c r="AK106" s="3"/>
      <c r="AL106" s="4"/>
      <c r="AM106" s="3"/>
      <c r="AN106" s="3"/>
      <c r="AO106" s="3"/>
      <c r="AP106" s="3"/>
      <c r="AQ106" s="3"/>
      <c r="AR106" s="177"/>
      <c r="AS106" s="4"/>
      <c r="AT106" s="4"/>
      <c r="AU106" s="4"/>
      <c r="AV106" s="4"/>
      <c r="AW106" s="4"/>
      <c r="AX106" s="4"/>
      <c r="AY106" s="4"/>
      <c r="AZ106" s="4"/>
      <c r="BA106" s="132"/>
      <c r="BB106" s="132"/>
      <c r="BC106" s="177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ht="14.25" customHeight="1">
      <c r="A107" s="3"/>
      <c r="B107" s="306">
        <v>46113</v>
      </c>
      <c r="C107" s="94">
        <f>7559.77-D107-0</f>
      </c>
      <c r="D107" s="95">
        <v>2510.83</v>
      </c>
      <c r="E107" s="97"/>
      <c r="F107" s="97"/>
      <c r="G107" s="265">
        <f ref="G107:G125" t="shared" si="40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03">
        <f ref="U107:U136" t="shared" si="41">SUM(H107:T107)</f>
        <v>0</v>
      </c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03">
        <f ref="AH107:AH136" t="shared" si="42">SUM(V107:AG107)</f>
        <v>0</v>
      </c>
      <c r="AI107" s="95">
        <v>1758.32</v>
      </c>
      <c r="AJ107" s="95">
        <v>1130.27</v>
      </c>
      <c r="AK107" s="104"/>
      <c r="AL107" s="191">
        <f ref="AL107:AL136" t="shared" si="43">SUM(AI107:AK107)</f>
        <v>0</v>
      </c>
      <c r="AM107" s="186"/>
      <c r="AN107" s="186"/>
      <c r="AO107" s="186"/>
      <c r="AP107" s="186"/>
      <c r="AQ107" s="193"/>
      <c r="AR107" s="224">
        <f ref="AR107:AR136" t="shared" si="44">+G107-U107-AH107-AL107-AM107-AO107-AP107-AQ107-AN107</f>
        <v>0</v>
      </c>
      <c r="AS107" s="1772"/>
      <c r="AT107" s="1537"/>
      <c r="AU107" s="1537"/>
      <c r="AV107" s="1539"/>
      <c r="AW107" s="1539"/>
      <c r="AX107" s="1773"/>
      <c r="AY107" s="1539"/>
      <c r="AZ107" s="1539"/>
      <c r="BA107" s="1539"/>
      <c r="BB107" s="1708"/>
      <c r="BC107" s="222">
        <f ref="BC107:BC136" t="shared" si="45">SUM(AS107:BB107)-BA107</f>
        <v>0</v>
      </c>
      <c r="BD107" s="114">
        <f ref="BD107:BD136" t="shared" si="46">+AR107-BC107</f>
        <v>0</v>
      </c>
      <c r="BE107" s="3"/>
      <c r="BF107" s="114">
        <f ref="BF107:BF136" t="shared" si="47">SUM(BG107:BS107)</f>
        <v>0</v>
      </c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220"/>
      <c r="BR107" s="932"/>
      <c r="BS107" s="115"/>
      <c r="BT107" s="116">
        <f ref="BT107:BT136" t="shared" si="48">+BD107-BF107</f>
        <v>0</v>
      </c>
      <c r="BU107" s="3"/>
    </row>
    <row r="108" ht="14.25" customHeight="1">
      <c r="A108" s="3"/>
      <c r="B108" s="306">
        <v>46114</v>
      </c>
      <c r="C108" s="118">
        <f>6702.59-D108-0</f>
      </c>
      <c r="D108" s="119">
        <v>2915.11</v>
      </c>
      <c r="E108" s="120"/>
      <c r="F108" s="120"/>
      <c r="G108" s="147">
        <f t="shared" si="40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03">
        <f t="shared" si="41"/>
        <v>0</v>
      </c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03">
        <f t="shared" si="42"/>
        <v>0</v>
      </c>
      <c r="AI108" s="119">
        <v>1713.68</v>
      </c>
      <c r="AJ108" s="119">
        <v>1157.7</v>
      </c>
      <c r="AK108" s="123"/>
      <c r="AL108" s="105">
        <f t="shared" si="43"/>
        <v>0</v>
      </c>
      <c r="AM108" s="143"/>
      <c r="AN108" s="143"/>
      <c r="AO108" s="143"/>
      <c r="AP108" s="143"/>
      <c r="AQ108" s="146"/>
      <c r="AR108" s="224">
        <f t="shared" si="44"/>
        <v>0</v>
      </c>
      <c r="AS108" s="1573">
        <v>2073.8</v>
      </c>
      <c r="AT108" s="1546"/>
      <c r="AU108" s="1546"/>
      <c r="AV108" s="1548"/>
      <c r="AW108" s="1548"/>
      <c r="AX108" s="1774">
        <v>1757.5</v>
      </c>
      <c r="AY108" s="1548"/>
      <c r="AZ108" s="1548"/>
      <c r="BA108" s="1548"/>
      <c r="BB108" s="1709"/>
      <c r="BC108" s="222">
        <f t="shared" si="45"/>
        <v>0</v>
      </c>
      <c r="BD108" s="113">
        <f t="shared" si="46"/>
        <v>0</v>
      </c>
      <c r="BE108" s="3"/>
      <c r="BF108" s="113">
        <f t="shared" si="47"/>
        <v>0</v>
      </c>
      <c r="BG108" s="225"/>
      <c r="BH108" s="225"/>
      <c r="BI108" s="225"/>
      <c r="BJ108" s="225"/>
      <c r="BK108" s="225"/>
      <c r="BL108" s="225"/>
      <c r="BM108" s="225"/>
      <c r="BN108" s="225"/>
      <c r="BO108" s="225"/>
      <c r="BP108" s="225"/>
      <c r="BQ108" s="225"/>
      <c r="BR108" s="225"/>
      <c r="BS108" s="129"/>
      <c r="BT108" s="130">
        <f t="shared" si="48"/>
        <v>0</v>
      </c>
      <c r="BU108" s="3"/>
    </row>
    <row r="109" ht="14.25" customHeight="1">
      <c r="A109" s="3"/>
      <c r="B109" s="306">
        <v>46115</v>
      </c>
      <c r="C109" s="118">
        <f>6170.52-D109-0</f>
      </c>
      <c r="D109" s="119">
        <v>2187.15</v>
      </c>
      <c r="E109" s="120"/>
      <c r="F109" s="120"/>
      <c r="G109" s="147">
        <f t="shared" si="40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03">
        <f t="shared" si="41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03">
        <f t="shared" si="42"/>
        <v>0</v>
      </c>
      <c r="AI109" s="119">
        <v>2133.98</v>
      </c>
      <c r="AJ109" s="119">
        <v>1184.13</v>
      </c>
      <c r="AK109" s="123"/>
      <c r="AL109" s="105">
        <f t="shared" si="43"/>
        <v>0</v>
      </c>
      <c r="AM109" s="143"/>
      <c r="AN109" s="143"/>
      <c r="AO109" s="143"/>
      <c r="AP109" s="143"/>
      <c r="AQ109" s="146"/>
      <c r="AR109" s="224">
        <f t="shared" si="44"/>
        <v>0</v>
      </c>
      <c r="AS109" s="1573">
        <v>1839.6</v>
      </c>
      <c r="AT109" s="1546"/>
      <c r="AU109" s="1546"/>
      <c r="AV109" s="1548"/>
      <c r="AW109" s="1548"/>
      <c r="AX109" s="1774">
        <v>1013.1</v>
      </c>
      <c r="AY109" s="1548"/>
      <c r="AZ109" s="1548"/>
      <c r="BA109" s="1548"/>
      <c r="BB109" s="1709"/>
      <c r="BC109" s="222">
        <f t="shared" si="45"/>
        <v>0</v>
      </c>
      <c r="BD109" s="113">
        <f t="shared" si="46"/>
        <v>0</v>
      </c>
      <c r="BE109" s="3"/>
      <c r="BF109" s="113">
        <f t="shared" si="47"/>
        <v>0</v>
      </c>
      <c r="BG109" s="225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225"/>
      <c r="BR109" s="225"/>
      <c r="BS109" s="129"/>
      <c r="BT109" s="130">
        <f t="shared" si="48"/>
        <v>0</v>
      </c>
      <c r="BU109" s="3"/>
    </row>
    <row r="110" ht="14.25" customHeight="1">
      <c r="A110" s="132"/>
      <c r="B110" s="306">
        <v>46116</v>
      </c>
      <c r="C110" s="133">
        <f>5541.00-D110-0</f>
      </c>
      <c r="D110" s="134">
        <v>2187.9</v>
      </c>
      <c r="E110" s="135"/>
      <c r="F110" s="135"/>
      <c r="G110" s="147">
        <f t="shared" si="40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03">
        <f t="shared" si="41"/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03">
        <f t="shared" si="42"/>
        <v>0</v>
      </c>
      <c r="AI110" s="134">
        <v>1218.73</v>
      </c>
      <c r="AJ110" s="134">
        <v>1005.9</v>
      </c>
      <c r="AK110" s="136"/>
      <c r="AL110" s="105">
        <f t="shared" si="43"/>
        <v>0</v>
      </c>
      <c r="AM110" s="143"/>
      <c r="AN110" s="143"/>
      <c r="AO110" s="143"/>
      <c r="AP110" s="143"/>
      <c r="AQ110" s="146"/>
      <c r="AR110" s="224">
        <f t="shared" si="44"/>
        <v>0</v>
      </c>
      <c r="AS110" s="1573">
        <v>1884.4</v>
      </c>
      <c r="AT110" s="1546"/>
      <c r="AU110" s="1546"/>
      <c r="AV110" s="1548"/>
      <c r="AW110" s="1548"/>
      <c r="AX110" s="1774">
        <v>1182</v>
      </c>
      <c r="AY110" s="1548"/>
      <c r="AZ110" s="1548"/>
      <c r="BA110" s="1548"/>
      <c r="BB110" s="1709"/>
      <c r="BC110" s="222">
        <f t="shared" si="45"/>
        <v>0</v>
      </c>
      <c r="BD110" s="140">
        <f t="shared" si="46"/>
        <v>0</v>
      </c>
      <c r="BE110" s="132"/>
      <c r="BF110" s="140">
        <f t="shared" si="47"/>
        <v>0</v>
      </c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26"/>
      <c r="BR110" s="229"/>
      <c r="BS110" s="141"/>
      <c r="BT110" s="130">
        <f t="shared" si="48"/>
        <v>0</v>
      </c>
      <c r="BU110" s="132"/>
    </row>
    <row r="111" ht="14.25" customHeight="1">
      <c r="A111" s="5"/>
      <c r="B111" s="306">
        <v>46117</v>
      </c>
      <c r="C111" s="133">
        <f>7159.10-D111-0</f>
      </c>
      <c r="D111" s="134">
        <v>2695.58</v>
      </c>
      <c r="E111" s="135"/>
      <c r="F111" s="135"/>
      <c r="G111" s="147">
        <f t="shared" si="40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03">
        <f t="shared" si="41"/>
        <v>0</v>
      </c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03">
        <f t="shared" si="42"/>
        <v>0</v>
      </c>
      <c r="AI111" s="134">
        <v>1927.1</v>
      </c>
      <c r="AJ111" s="134">
        <v>1340.19</v>
      </c>
      <c r="AK111" s="136"/>
      <c r="AL111" s="105">
        <f t="shared" si="43"/>
        <v>0</v>
      </c>
      <c r="AM111" s="143"/>
      <c r="AN111" s="143"/>
      <c r="AO111" s="143"/>
      <c r="AP111" s="143"/>
      <c r="AQ111" s="146"/>
      <c r="AR111" s="224">
        <f t="shared" si="44"/>
        <v>0</v>
      </c>
      <c r="AS111" s="1573">
        <v>2536.4</v>
      </c>
      <c r="AT111" s="1546"/>
      <c r="AU111" s="1546"/>
      <c r="AV111" s="1548"/>
      <c r="AW111" s="1548"/>
      <c r="AX111" s="1774">
        <v>1355.5</v>
      </c>
      <c r="AY111" s="1548"/>
      <c r="AZ111" s="1548"/>
      <c r="BA111" s="1548"/>
      <c r="BB111" s="1709"/>
      <c r="BC111" s="222">
        <f t="shared" si="45"/>
        <v>0</v>
      </c>
      <c r="BD111" s="140">
        <f t="shared" si="46"/>
        <v>0</v>
      </c>
      <c r="BE111" s="132"/>
      <c r="BF111" s="140">
        <f t="shared" si="47"/>
        <v>0</v>
      </c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41"/>
      <c r="BT111" s="130">
        <f t="shared" si="48"/>
        <v>0</v>
      </c>
      <c r="BU111" s="132"/>
    </row>
    <row r="112" ht="14.25" customHeight="1">
      <c r="A112" s="132"/>
      <c r="B112" s="306">
        <v>46118</v>
      </c>
      <c r="C112" s="133">
        <f>7403.35-D112-0</f>
      </c>
      <c r="D112" s="134">
        <v>3118.17</v>
      </c>
      <c r="E112" s="135"/>
      <c r="F112" s="135"/>
      <c r="G112" s="147">
        <f t="shared" si="40"/>
        <v>0</v>
      </c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03">
        <f t="shared" si="41"/>
        <v>0</v>
      </c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03">
        <f t="shared" si="42"/>
        <v>0</v>
      </c>
      <c r="AI112" s="134">
        <v>1666.65</v>
      </c>
      <c r="AJ112" s="134">
        <v>1115.86</v>
      </c>
      <c r="AK112" s="136"/>
      <c r="AL112" s="105">
        <f t="shared" si="43"/>
        <v>0</v>
      </c>
      <c r="AM112" s="143"/>
      <c r="AN112" s="143"/>
      <c r="AO112" s="143"/>
      <c r="AP112" s="143"/>
      <c r="AQ112" s="146"/>
      <c r="AR112" s="224">
        <f t="shared" si="44"/>
        <v>0</v>
      </c>
      <c r="AS112" s="1573">
        <v>2618.8</v>
      </c>
      <c r="AT112" s="1546"/>
      <c r="AU112" s="1546"/>
      <c r="AV112" s="1548"/>
      <c r="AW112" s="1548"/>
      <c r="AX112" s="1774">
        <v>2002.4</v>
      </c>
      <c r="AY112" s="1548"/>
      <c r="AZ112" s="1548"/>
      <c r="BA112" s="1548"/>
      <c r="BB112" s="1709"/>
      <c r="BC112" s="222">
        <f t="shared" si="45"/>
        <v>0</v>
      </c>
      <c r="BD112" s="140">
        <f t="shared" si="46"/>
        <v>0</v>
      </c>
      <c r="BE112" s="132"/>
      <c r="BF112" s="140">
        <f t="shared" si="47"/>
        <v>0</v>
      </c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41"/>
      <c r="BT112" s="130">
        <f t="shared" si="48"/>
        <v>0</v>
      </c>
      <c r="BU112" s="132"/>
    </row>
    <row r="113" ht="14.25" customHeight="1">
      <c r="A113" s="132"/>
      <c r="B113" s="306">
        <v>46119</v>
      </c>
      <c r="C113" s="133">
        <f>8468.37-D113-0</f>
      </c>
      <c r="D113" s="134">
        <v>3789.2</v>
      </c>
      <c r="E113" s="135"/>
      <c r="F113" s="135"/>
      <c r="G113" s="147">
        <f t="shared" si="40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03">
        <f t="shared" si="41"/>
        <v>0</v>
      </c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03">
        <f t="shared" si="42"/>
        <v>0</v>
      </c>
      <c r="AI113" s="134">
        <v>1834.28</v>
      </c>
      <c r="AJ113" s="134">
        <v>1231.71</v>
      </c>
      <c r="AK113" s="136"/>
      <c r="AL113" s="105">
        <f t="shared" si="43"/>
        <v>0</v>
      </c>
      <c r="AM113" s="143"/>
      <c r="AN113" s="143"/>
      <c r="AO113" s="143"/>
      <c r="AP113" s="143"/>
      <c r="AQ113" s="146"/>
      <c r="AR113" s="224">
        <f t="shared" si="44"/>
        <v>0</v>
      </c>
      <c r="AS113" s="1573">
        <v>2845.2</v>
      </c>
      <c r="AT113" s="1546"/>
      <c r="AU113" s="1546"/>
      <c r="AV113" s="1548"/>
      <c r="AW113" s="1548"/>
      <c r="AX113" s="1774">
        <v>2557.5</v>
      </c>
      <c r="AY113" s="1548"/>
      <c r="AZ113" s="1548"/>
      <c r="BA113" s="1548"/>
      <c r="BB113" s="1709"/>
      <c r="BC113" s="222">
        <f t="shared" si="45"/>
        <v>0</v>
      </c>
      <c r="BD113" s="140">
        <f t="shared" si="46"/>
        <v>0</v>
      </c>
      <c r="BE113" s="132"/>
      <c r="BF113" s="140">
        <f t="shared" si="47"/>
        <v>0</v>
      </c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41"/>
      <c r="BT113" s="130">
        <f t="shared" si="48"/>
        <v>0</v>
      </c>
      <c r="BU113" s="132"/>
    </row>
    <row r="114" ht="14.25" customHeight="1">
      <c r="A114" s="132"/>
      <c r="B114" s="306">
        <v>46120</v>
      </c>
      <c r="C114" s="133">
        <f>12443.03-D114-0</f>
      </c>
      <c r="D114" s="134">
        <v>5794.84</v>
      </c>
      <c r="E114" s="135"/>
      <c r="F114" s="135"/>
      <c r="G114" s="147">
        <f t="shared" si="40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03">
        <f t="shared" si="41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03">
        <f t="shared" si="42"/>
        <v>0</v>
      </c>
      <c r="AI114" s="134">
        <v>3773.03</v>
      </c>
      <c r="AJ114" s="134">
        <v>1290.2</v>
      </c>
      <c r="AK114" s="136"/>
      <c r="AL114" s="105">
        <f t="shared" si="43"/>
        <v>0</v>
      </c>
      <c r="AM114" s="145">
        <v>64.83</v>
      </c>
      <c r="AN114" s="143"/>
      <c r="AO114" s="143"/>
      <c r="AP114" s="143"/>
      <c r="AQ114" s="146"/>
      <c r="AR114" s="224">
        <f t="shared" si="44"/>
        <v>0</v>
      </c>
      <c r="AS114" s="1573">
        <v>2810.6</v>
      </c>
      <c r="AT114" s="1546"/>
      <c r="AU114" s="1546"/>
      <c r="AV114" s="1548"/>
      <c r="AW114" s="1548"/>
      <c r="AX114" s="1774">
        <v>4504.8</v>
      </c>
      <c r="AY114" s="1548"/>
      <c r="AZ114" s="1548"/>
      <c r="BA114" s="1548"/>
      <c r="BB114" s="1709"/>
      <c r="BC114" s="222">
        <f t="shared" si="45"/>
        <v>0</v>
      </c>
      <c r="BD114" s="140">
        <f t="shared" si="46"/>
        <v>0</v>
      </c>
      <c r="BE114" s="132"/>
      <c r="BF114" s="140">
        <f t="shared" si="47"/>
        <v>0</v>
      </c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41"/>
      <c r="BT114" s="130">
        <f t="shared" si="48"/>
        <v>0</v>
      </c>
      <c r="BU114" s="132"/>
    </row>
    <row r="115" ht="14.25" customHeight="1">
      <c r="A115" s="132"/>
      <c r="B115" s="306">
        <v>46121</v>
      </c>
      <c r="C115" s="133">
        <f>8134.09-D115-0</f>
      </c>
      <c r="D115" s="134">
        <v>3415.21</v>
      </c>
      <c r="E115" s="135"/>
      <c r="F115" s="135"/>
      <c r="G115" s="147">
        <f t="shared" si="40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03">
        <f t="shared" si="41"/>
        <v>0</v>
      </c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03">
        <f t="shared" si="42"/>
        <v>0</v>
      </c>
      <c r="AI115" s="134">
        <v>1920.61</v>
      </c>
      <c r="AJ115" s="134">
        <v>630.68</v>
      </c>
      <c r="AK115" s="136"/>
      <c r="AL115" s="105">
        <f t="shared" si="43"/>
        <v>0</v>
      </c>
      <c r="AM115" s="143"/>
      <c r="AN115" s="143"/>
      <c r="AO115" s="143"/>
      <c r="AP115" s="143"/>
      <c r="AQ115" s="146"/>
      <c r="AR115" s="224">
        <f t="shared" si="44"/>
        <v>0</v>
      </c>
      <c r="AS115" s="1573">
        <v>2798.5</v>
      </c>
      <c r="AT115" s="1546"/>
      <c r="AU115" s="1546"/>
      <c r="AV115" s="1548"/>
      <c r="AW115" s="1548"/>
      <c r="AX115" s="1774">
        <v>2784.6</v>
      </c>
      <c r="AY115" s="1548"/>
      <c r="AZ115" s="1548"/>
      <c r="BA115" s="1548"/>
      <c r="BB115" s="1709"/>
      <c r="BC115" s="222">
        <f t="shared" si="45"/>
        <v>0</v>
      </c>
      <c r="BD115" s="140">
        <f t="shared" si="46"/>
        <v>0</v>
      </c>
      <c r="BE115" s="132"/>
      <c r="BF115" s="140">
        <f t="shared" si="47"/>
        <v>0</v>
      </c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41"/>
      <c r="BT115" s="130">
        <f t="shared" si="48"/>
        <v>0</v>
      </c>
      <c r="BU115" s="132"/>
    </row>
    <row r="116" ht="14.25" customHeight="1">
      <c r="A116" s="132"/>
      <c r="B116" s="306">
        <v>46122</v>
      </c>
      <c r="C116" s="133">
        <f>5734.74-D116-0</f>
      </c>
      <c r="D116" s="134">
        <v>2158.67</v>
      </c>
      <c r="E116" s="135"/>
      <c r="F116" s="135"/>
      <c r="G116" s="147">
        <f t="shared" si="40"/>
        <v>0</v>
      </c>
      <c r="H116" s="144"/>
      <c r="I116" s="143"/>
      <c r="J116" s="143"/>
      <c r="K116" s="933"/>
      <c r="L116" s="143"/>
      <c r="M116" s="143"/>
      <c r="N116" s="143"/>
      <c r="O116" s="143"/>
      <c r="P116" s="143"/>
      <c r="Q116" s="143"/>
      <c r="R116" s="143"/>
      <c r="S116" s="143"/>
      <c r="T116" s="143"/>
      <c r="U116" s="103">
        <f t="shared" si="41"/>
        <v>0</v>
      </c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03">
        <f t="shared" si="42"/>
        <v>0</v>
      </c>
      <c r="AI116" s="134">
        <v>1261.46</v>
      </c>
      <c r="AJ116" s="134">
        <v>815.95</v>
      </c>
      <c r="AK116" s="136"/>
      <c r="AL116" s="105">
        <f t="shared" si="43"/>
        <v>0</v>
      </c>
      <c r="AM116" s="143"/>
      <c r="AN116" s="143"/>
      <c r="AO116" s="143"/>
      <c r="AP116" s="143"/>
      <c r="AQ116" s="146"/>
      <c r="AR116" s="224">
        <f t="shared" si="44"/>
        <v>0</v>
      </c>
      <c r="AS116" s="1573">
        <v>2314.9</v>
      </c>
      <c r="AT116" s="1546"/>
      <c r="AU116" s="1546"/>
      <c r="AV116" s="1548"/>
      <c r="AW116" s="1548"/>
      <c r="AX116" s="1774">
        <v>1342.7</v>
      </c>
      <c r="AY116" s="1548"/>
      <c r="AZ116" s="1548"/>
      <c r="BA116" s="1548"/>
      <c r="BB116" s="1709"/>
      <c r="BC116" s="222">
        <f t="shared" si="45"/>
        <v>0</v>
      </c>
      <c r="BD116" s="140">
        <f t="shared" si="46"/>
        <v>0</v>
      </c>
      <c r="BE116" s="132"/>
      <c r="BF116" s="140">
        <f t="shared" si="47"/>
        <v>0</v>
      </c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41"/>
      <c r="BT116" s="130">
        <f t="shared" si="48"/>
        <v>0</v>
      </c>
      <c r="BU116" s="132"/>
    </row>
    <row r="117" ht="14.25" customHeight="1">
      <c r="A117" s="132"/>
      <c r="B117" s="306">
        <v>46123</v>
      </c>
      <c r="C117" s="133">
        <f>6794.68-D117-0</f>
      </c>
      <c r="D117" s="134">
        <v>2125.69</v>
      </c>
      <c r="E117" s="135"/>
      <c r="F117" s="135"/>
      <c r="G117" s="147">
        <f t="shared" si="40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03">
        <f t="shared" si="41"/>
        <v>0</v>
      </c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03">
        <f t="shared" si="42"/>
        <v>0</v>
      </c>
      <c r="AI117" s="134">
        <v>1984.63</v>
      </c>
      <c r="AJ117" s="134">
        <v>793.4</v>
      </c>
      <c r="AK117" s="136"/>
      <c r="AL117" s="105">
        <f t="shared" si="43"/>
        <v>0</v>
      </c>
      <c r="AM117" s="145">
        <v>13.21</v>
      </c>
      <c r="AN117" s="143"/>
      <c r="AO117" s="143"/>
      <c r="AP117" s="143"/>
      <c r="AQ117" s="146"/>
      <c r="AR117" s="224">
        <f t="shared" si="44"/>
        <v>0</v>
      </c>
      <c r="AS117" s="1573">
        <v>2658.3</v>
      </c>
      <c r="AT117" s="1546"/>
      <c r="AU117" s="1546"/>
      <c r="AV117" s="1548"/>
      <c r="AW117" s="1548"/>
      <c r="AX117" s="1774">
        <v>1345.4</v>
      </c>
      <c r="AY117" s="1548"/>
      <c r="AZ117" s="1548"/>
      <c r="BA117" s="1548"/>
      <c r="BB117" s="1709"/>
      <c r="BC117" s="222">
        <f t="shared" si="45"/>
        <v>0</v>
      </c>
      <c r="BD117" s="140">
        <f t="shared" si="46"/>
        <v>0</v>
      </c>
      <c r="BE117" s="132"/>
      <c r="BF117" s="140">
        <f t="shared" si="47"/>
        <v>0</v>
      </c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41"/>
      <c r="BT117" s="130">
        <f t="shared" si="48"/>
        <v>0</v>
      </c>
      <c r="BU117" s="132"/>
    </row>
    <row r="118" ht="14.25" customHeight="1">
      <c r="A118" s="132"/>
      <c r="B118" s="306">
        <v>46124</v>
      </c>
      <c r="C118" s="133">
        <f>9757.10-D118-0</f>
      </c>
      <c r="D118" s="134">
        <v>3692.04</v>
      </c>
      <c r="E118" s="135"/>
      <c r="F118" s="135"/>
      <c r="G118" s="147">
        <f t="shared" si="40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03">
        <f t="shared" si="41"/>
        <v>0</v>
      </c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03">
        <f t="shared" si="42"/>
        <v>0</v>
      </c>
      <c r="AI118" s="134">
        <v>2304.61</v>
      </c>
      <c r="AJ118" s="134">
        <v>1246.57</v>
      </c>
      <c r="AK118" s="136"/>
      <c r="AL118" s="105">
        <f t="shared" si="43"/>
        <v>0</v>
      </c>
      <c r="AM118" s="143"/>
      <c r="AN118" s="143"/>
      <c r="AO118" s="143"/>
      <c r="AP118" s="143"/>
      <c r="AQ118" s="146"/>
      <c r="AR118" s="224">
        <f t="shared" si="44"/>
        <v>0</v>
      </c>
      <c r="AS118" s="1573">
        <v>3760.9</v>
      </c>
      <c r="AT118" s="1546"/>
      <c r="AU118" s="1546"/>
      <c r="AV118" s="1548"/>
      <c r="AW118" s="1548"/>
      <c r="AX118" s="1774">
        <v>2445.6</v>
      </c>
      <c r="AY118" s="1548"/>
      <c r="AZ118" s="1548"/>
      <c r="BA118" s="1548"/>
      <c r="BB118" s="1709"/>
      <c r="BC118" s="222">
        <f t="shared" si="45"/>
        <v>0</v>
      </c>
      <c r="BD118" s="140">
        <f t="shared" si="46"/>
        <v>0</v>
      </c>
      <c r="BE118" s="132"/>
      <c r="BF118" s="140">
        <f t="shared" si="47"/>
        <v>0</v>
      </c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41"/>
      <c r="BT118" s="130">
        <f t="shared" si="48"/>
        <v>0</v>
      </c>
      <c r="BU118" s="132"/>
    </row>
    <row r="119" ht="14.25" customHeight="1">
      <c r="A119" s="132"/>
      <c r="B119" s="306">
        <v>46125</v>
      </c>
      <c r="C119" s="133">
        <f>6546.73-D119-0</f>
      </c>
      <c r="D119" s="134">
        <v>3177.88</v>
      </c>
      <c r="E119" s="135"/>
      <c r="F119" s="135"/>
      <c r="G119" s="147">
        <f t="shared" si="40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03">
        <f t="shared" si="41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03">
        <f t="shared" si="42"/>
        <v>0</v>
      </c>
      <c r="AI119" s="134">
        <v>1145.75</v>
      </c>
      <c r="AJ119" s="134">
        <v>1233.53</v>
      </c>
      <c r="AK119" s="136"/>
      <c r="AL119" s="105">
        <f t="shared" si="43"/>
        <v>0</v>
      </c>
      <c r="AM119" s="143"/>
      <c r="AN119" s="143"/>
      <c r="AO119" s="143"/>
      <c r="AP119" s="143"/>
      <c r="AQ119" s="146"/>
      <c r="AR119" s="224">
        <f t="shared" si="44"/>
        <v>0</v>
      </c>
      <c r="AS119" s="1573">
        <v>2223.3</v>
      </c>
      <c r="AT119" s="1626"/>
      <c r="AU119" s="1546"/>
      <c r="AV119" s="1548"/>
      <c r="AW119" s="1548"/>
      <c r="AX119" s="1774">
        <v>1944.5</v>
      </c>
      <c r="AY119" s="1548"/>
      <c r="AZ119" s="1548"/>
      <c r="BA119" s="1548"/>
      <c r="BB119" s="1709"/>
      <c r="BC119" s="222">
        <f t="shared" si="45"/>
        <v>0</v>
      </c>
      <c r="BD119" s="140">
        <f t="shared" si="46"/>
        <v>0</v>
      </c>
      <c r="BE119" s="132"/>
      <c r="BF119" s="140">
        <f t="shared" si="47"/>
        <v>0</v>
      </c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41"/>
      <c r="BT119" s="130">
        <f t="shared" si="48"/>
        <v>0</v>
      </c>
      <c r="BU119" s="132"/>
    </row>
    <row r="120" ht="14.25" customHeight="1">
      <c r="A120" s="132"/>
      <c r="B120" s="306">
        <v>46126</v>
      </c>
      <c r="C120" s="133">
        <f>9559.21-D120-0</f>
      </c>
      <c r="D120" s="134">
        <v>6415.66</v>
      </c>
      <c r="E120" s="135"/>
      <c r="F120" s="135"/>
      <c r="G120" s="147">
        <f t="shared" si="40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03">
        <f t="shared" si="41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03">
        <f t="shared" si="42"/>
        <v>0</v>
      </c>
      <c r="AI120" s="134">
        <v>935.97</v>
      </c>
      <c r="AJ120" s="134">
        <v>1387.94</v>
      </c>
      <c r="AK120" s="136"/>
      <c r="AL120" s="105">
        <f t="shared" si="43"/>
        <v>0</v>
      </c>
      <c r="AM120" s="143"/>
      <c r="AN120" s="143"/>
      <c r="AO120" s="143"/>
      <c r="AP120" s="143"/>
      <c r="AQ120" s="146"/>
      <c r="AR120" s="224">
        <f t="shared" si="44"/>
        <v>0</v>
      </c>
      <c r="AS120" s="1573">
        <v>2207.8</v>
      </c>
      <c r="AT120" s="1546"/>
      <c r="AU120" s="1546"/>
      <c r="AV120" s="1548"/>
      <c r="AW120" s="1548"/>
      <c r="AX120" s="1774">
        <v>5027.9</v>
      </c>
      <c r="AY120" s="1548"/>
      <c r="AZ120" s="1548"/>
      <c r="BA120" s="1548"/>
      <c r="BB120" s="1709"/>
      <c r="BC120" s="222">
        <f t="shared" si="45"/>
        <v>0</v>
      </c>
      <c r="BD120" s="140">
        <f t="shared" si="46"/>
        <v>0</v>
      </c>
      <c r="BE120" s="132"/>
      <c r="BF120" s="140">
        <f t="shared" si="47"/>
        <v>0</v>
      </c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41"/>
      <c r="BT120" s="130">
        <f t="shared" si="48"/>
        <v>0</v>
      </c>
      <c r="BU120" s="132"/>
    </row>
    <row r="121" ht="14.25" customHeight="1">
      <c r="A121" s="132"/>
      <c r="B121" s="306">
        <v>46127</v>
      </c>
      <c r="C121" s="133">
        <f>8427.76-D121-0</f>
      </c>
      <c r="D121" s="134">
        <v>3265.24</v>
      </c>
      <c r="E121" s="135"/>
      <c r="F121" s="135"/>
      <c r="G121" s="147">
        <f t="shared" si="40"/>
        <v>0</v>
      </c>
      <c r="H121" s="144"/>
      <c r="I121" s="143"/>
      <c r="J121" s="145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03">
        <f t="shared" si="41"/>
        <v>0</v>
      </c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03">
        <f t="shared" si="42"/>
        <v>0</v>
      </c>
      <c r="AI121" s="134">
        <v>1961.53</v>
      </c>
      <c r="AJ121" s="134">
        <v>1428.33</v>
      </c>
      <c r="AK121" s="136"/>
      <c r="AL121" s="105">
        <f t="shared" si="43"/>
        <v>0</v>
      </c>
      <c r="AM121" s="143"/>
      <c r="AN121" s="143"/>
      <c r="AO121" s="143"/>
      <c r="AP121" s="143"/>
      <c r="AQ121" s="146"/>
      <c r="AR121" s="224">
        <f t="shared" si="44"/>
        <v>0</v>
      </c>
      <c r="AS121" s="1573">
        <v>2661</v>
      </c>
      <c r="AT121" s="1546"/>
      <c r="AU121" s="1546"/>
      <c r="AV121" s="1548"/>
      <c r="AW121" s="1548"/>
      <c r="AX121" s="1774">
        <v>1837.1</v>
      </c>
      <c r="AY121" s="1548"/>
      <c r="AZ121" s="1548"/>
      <c r="BA121" s="1548"/>
      <c r="BB121" s="1709"/>
      <c r="BC121" s="222">
        <f t="shared" si="45"/>
        <v>0</v>
      </c>
      <c r="BD121" s="140">
        <f t="shared" si="46"/>
        <v>0</v>
      </c>
      <c r="BE121" s="132"/>
      <c r="BF121" s="140">
        <f t="shared" si="47"/>
        <v>0</v>
      </c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41"/>
      <c r="BT121" s="130">
        <f t="shared" si="48"/>
        <v>0</v>
      </c>
      <c r="BU121" s="132"/>
    </row>
    <row r="122" ht="14.25" customHeight="1">
      <c r="A122" s="132"/>
      <c r="B122" s="306">
        <v>46128</v>
      </c>
      <c r="C122" s="133">
        <f>6144.62-D122-0</f>
      </c>
      <c r="D122" s="134">
        <v>2884.4</v>
      </c>
      <c r="E122" s="135"/>
      <c r="F122" s="135"/>
      <c r="G122" s="147">
        <f t="shared" si="40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03">
        <f t="shared" si="41"/>
        <v>0</v>
      </c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03">
        <f t="shared" si="42"/>
        <v>0</v>
      </c>
      <c r="AI122" s="134">
        <v>1303.55</v>
      </c>
      <c r="AJ122" s="134">
        <v>1134.58</v>
      </c>
      <c r="AK122" s="136"/>
      <c r="AL122" s="105">
        <f t="shared" si="43"/>
        <v>0</v>
      </c>
      <c r="AM122" s="143"/>
      <c r="AN122" s="143"/>
      <c r="AO122" s="143"/>
      <c r="AP122" s="143"/>
      <c r="AQ122" s="146"/>
      <c r="AR122" s="224">
        <f t="shared" si="44"/>
        <v>0</v>
      </c>
      <c r="AS122" s="1573">
        <v>1956.9</v>
      </c>
      <c r="AT122" s="1626"/>
      <c r="AU122" s="1546"/>
      <c r="AV122" s="1548"/>
      <c r="AW122" s="1548"/>
      <c r="AX122" s="1774">
        <v>1750</v>
      </c>
      <c r="AY122" s="1548"/>
      <c r="AZ122" s="1548"/>
      <c r="BA122" s="1548"/>
      <c r="BB122" s="1709"/>
      <c r="BC122" s="222">
        <f t="shared" si="45"/>
        <v>0</v>
      </c>
      <c r="BD122" s="140">
        <f t="shared" si="46"/>
        <v>0</v>
      </c>
      <c r="BE122" s="132"/>
      <c r="BF122" s="140">
        <f t="shared" si="47"/>
        <v>0</v>
      </c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41"/>
      <c r="BT122" s="130">
        <f t="shared" si="48"/>
        <v>0</v>
      </c>
      <c r="BU122" s="132"/>
    </row>
    <row r="123" ht="14.25" customHeight="1">
      <c r="A123" s="132"/>
      <c r="B123" s="306">
        <v>46129</v>
      </c>
      <c r="C123" s="133">
        <f>7157.35-D123-0</f>
      </c>
      <c r="D123" s="134">
        <v>3135.67</v>
      </c>
      <c r="E123" s="135"/>
      <c r="F123" s="135"/>
      <c r="G123" s="147">
        <f t="shared" si="40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03">
        <f t="shared" si="41"/>
        <v>0</v>
      </c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03">
        <f t="shared" si="42"/>
        <v>0</v>
      </c>
      <c r="AI123" s="134">
        <v>2235.09</v>
      </c>
      <c r="AJ123" s="134">
        <v>1266.23</v>
      </c>
      <c r="AK123" s="136"/>
      <c r="AL123" s="105">
        <f t="shared" si="43"/>
        <v>0</v>
      </c>
      <c r="AM123" s="145">
        <v>23.21</v>
      </c>
      <c r="AN123" s="143"/>
      <c r="AO123" s="143"/>
      <c r="AP123" s="143"/>
      <c r="AQ123" s="146"/>
      <c r="AR123" s="224">
        <f t="shared" si="44"/>
        <v>0</v>
      </c>
      <c r="AS123" s="1573">
        <v>1763.7</v>
      </c>
      <c r="AT123" s="1546"/>
      <c r="AU123" s="1546"/>
      <c r="AV123" s="1548"/>
      <c r="AW123" s="1548"/>
      <c r="AX123" s="1774">
        <v>1869.5</v>
      </c>
      <c r="AY123" s="1548"/>
      <c r="AZ123" s="1548"/>
      <c r="BA123" s="1548"/>
      <c r="BB123" s="1709"/>
      <c r="BC123" s="222">
        <f t="shared" si="45"/>
        <v>0</v>
      </c>
      <c r="BD123" s="140">
        <f t="shared" si="46"/>
        <v>0</v>
      </c>
      <c r="BE123" s="132"/>
      <c r="BF123" s="140">
        <f t="shared" si="47"/>
        <v>0</v>
      </c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41"/>
      <c r="BT123" s="130">
        <f t="shared" si="48"/>
        <v>0</v>
      </c>
      <c r="BU123" s="132"/>
    </row>
    <row r="124" ht="14.25" customHeight="1">
      <c r="A124" s="132"/>
      <c r="B124" s="306">
        <v>46130</v>
      </c>
      <c r="C124" s="133">
        <f>5617.12-D124-0</f>
      </c>
      <c r="D124" s="134">
        <v>2754.92</v>
      </c>
      <c r="E124" s="135"/>
      <c r="F124" s="135"/>
      <c r="G124" s="147">
        <f t="shared" si="40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03">
        <f t="shared" si="41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03">
        <f t="shared" si="42"/>
        <v>0</v>
      </c>
      <c r="AI124" s="134">
        <v>1017.02</v>
      </c>
      <c r="AJ124" s="134">
        <v>1100.01</v>
      </c>
      <c r="AK124" s="136"/>
      <c r="AL124" s="105">
        <f t="shared" si="43"/>
        <v>0</v>
      </c>
      <c r="AM124" s="145">
        <v>6.12</v>
      </c>
      <c r="AN124" s="143"/>
      <c r="AO124" s="143"/>
      <c r="AP124" s="143"/>
      <c r="AQ124" s="146"/>
      <c r="AR124" s="224">
        <f t="shared" si="44"/>
        <v>0</v>
      </c>
      <c r="AS124" s="1573">
        <v>1839.1</v>
      </c>
      <c r="AT124" s="1546"/>
      <c r="AU124" s="1546"/>
      <c r="AV124" s="1548"/>
      <c r="AW124" s="1548"/>
      <c r="AX124" s="1774">
        <v>1655</v>
      </c>
      <c r="AY124" s="1548"/>
      <c r="AZ124" s="1548"/>
      <c r="BA124" s="1548"/>
      <c r="BB124" s="1709"/>
      <c r="BC124" s="222">
        <f t="shared" si="45"/>
        <v>0</v>
      </c>
      <c r="BD124" s="140">
        <f t="shared" si="46"/>
        <v>0</v>
      </c>
      <c r="BE124" s="132"/>
      <c r="BF124" s="140">
        <f t="shared" si="47"/>
        <v>0</v>
      </c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41"/>
      <c r="BT124" s="130">
        <f t="shared" si="48"/>
        <v>0</v>
      </c>
      <c r="BU124" s="132"/>
    </row>
    <row r="125" ht="14.25" customHeight="1">
      <c r="A125" s="132"/>
      <c r="B125" s="306">
        <v>46131</v>
      </c>
      <c r="C125" s="133">
        <f>5298.51-D125-0</f>
      </c>
      <c r="D125" s="134">
        <v>2188.1</v>
      </c>
      <c r="E125" s="135"/>
      <c r="F125" s="135"/>
      <c r="G125" s="147">
        <f t="shared" si="40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03">
        <f t="shared" si="41"/>
        <v>0</v>
      </c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03">
        <f t="shared" si="42"/>
        <v>0</v>
      </c>
      <c r="AI125" s="134">
        <v>1281.26</v>
      </c>
      <c r="AJ125" s="134">
        <v>960.55</v>
      </c>
      <c r="AK125" s="136"/>
      <c r="AL125" s="105">
        <f t="shared" si="43"/>
        <v>0</v>
      </c>
      <c r="AM125" s="145">
        <v>7.2</v>
      </c>
      <c r="AN125" s="143"/>
      <c r="AO125" s="143"/>
      <c r="AP125" s="143"/>
      <c r="AQ125" s="146"/>
      <c r="AR125" s="224">
        <f t="shared" si="44"/>
        <v>0</v>
      </c>
      <c r="AS125" s="1573">
        <v>1822.1</v>
      </c>
      <c r="AT125" s="1546"/>
      <c r="AU125" s="1546"/>
      <c r="AV125" s="1548"/>
      <c r="AW125" s="1548"/>
      <c r="AX125" s="1774">
        <v>1227.6</v>
      </c>
      <c r="AY125" s="1548"/>
      <c r="AZ125" s="1548"/>
      <c r="BA125" s="1548"/>
      <c r="BB125" s="1709"/>
      <c r="BC125" s="222">
        <f t="shared" si="45"/>
        <v>0</v>
      </c>
      <c r="BD125" s="140">
        <f t="shared" si="46"/>
        <v>0</v>
      </c>
      <c r="BE125" s="132"/>
      <c r="BF125" s="140">
        <f t="shared" si="47"/>
        <v>0</v>
      </c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41"/>
      <c r="BT125" s="130">
        <f t="shared" si="48"/>
        <v>0</v>
      </c>
      <c r="BU125" s="132"/>
    </row>
    <row r="126" ht="14.25" customHeight="1">
      <c r="A126" s="132"/>
      <c r="B126" s="306">
        <v>46132</v>
      </c>
      <c r="C126" s="133">
        <f>7074.65-D126-0</f>
      </c>
      <c r="D126" s="134">
        <v>2979.33</v>
      </c>
      <c r="E126" s="135"/>
      <c r="F126" s="135"/>
      <c r="G126" s="147">
        <f>SUM(C126:D126)</f>
        <v>0</v>
      </c>
      <c r="H126" s="231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03">
        <f t="shared" si="41"/>
        <v>0</v>
      </c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03">
        <f t="shared" si="42"/>
        <v>0</v>
      </c>
      <c r="AI126" s="134">
        <v>1295.14</v>
      </c>
      <c r="AJ126" s="134">
        <v>1219.04</v>
      </c>
      <c r="AK126" s="136"/>
      <c r="AL126" s="105">
        <f t="shared" si="43"/>
        <v>0</v>
      </c>
      <c r="AM126" s="145">
        <v>15.18</v>
      </c>
      <c r="AN126" s="143"/>
      <c r="AO126" s="143"/>
      <c r="AP126" s="143"/>
      <c r="AQ126" s="146"/>
      <c r="AR126" s="224">
        <f t="shared" si="44"/>
        <v>0</v>
      </c>
      <c r="AS126" s="1573">
        <v>2785</v>
      </c>
      <c r="AT126" s="1546"/>
      <c r="AU126" s="1546"/>
      <c r="AV126" s="1548"/>
      <c r="AW126" s="1548"/>
      <c r="AX126" s="1774">
        <v>1760.5</v>
      </c>
      <c r="AY126" s="1548"/>
      <c r="AZ126" s="1548"/>
      <c r="BA126" s="1548"/>
      <c r="BB126" s="1709"/>
      <c r="BC126" s="222">
        <f t="shared" si="45"/>
        <v>0</v>
      </c>
      <c r="BD126" s="140">
        <f t="shared" si="46"/>
        <v>0</v>
      </c>
      <c r="BE126" s="132"/>
      <c r="BF126" s="140">
        <f t="shared" si="47"/>
        <v>0</v>
      </c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41"/>
      <c r="BT126" s="130">
        <f t="shared" si="48"/>
        <v>0</v>
      </c>
      <c r="BU126" s="132"/>
    </row>
    <row r="127" ht="14.25" customHeight="1">
      <c r="A127" s="132"/>
      <c r="B127" s="306">
        <v>46133</v>
      </c>
      <c r="C127" s="133">
        <f>6192.47-D127-0</f>
      </c>
      <c r="D127" s="134">
        <v>3001.16</v>
      </c>
      <c r="E127" s="135"/>
      <c r="F127" s="135"/>
      <c r="G127" s="147">
        <f ref="G127:G136" t="shared" si="49">+C127+D127+E127+F127</f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03">
        <f t="shared" si="41"/>
        <v>0</v>
      </c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03">
        <f t="shared" si="42"/>
        <v>0</v>
      </c>
      <c r="AI127" s="134">
        <v>1063.71</v>
      </c>
      <c r="AJ127" s="134">
        <v>1199.66</v>
      </c>
      <c r="AK127" s="136"/>
      <c r="AL127" s="105">
        <f t="shared" si="43"/>
        <v>0</v>
      </c>
      <c r="AM127" s="145">
        <v>20.55</v>
      </c>
      <c r="AN127" s="143"/>
      <c r="AO127" s="143"/>
      <c r="AP127" s="143"/>
      <c r="AQ127" s="146"/>
      <c r="AR127" s="224">
        <f t="shared" si="44"/>
        <v>0</v>
      </c>
      <c r="AS127" s="1627">
        <v>2087.8</v>
      </c>
      <c r="AT127" s="1546"/>
      <c r="AU127" s="1546"/>
      <c r="AV127" s="1548"/>
      <c r="AW127" s="1548"/>
      <c r="AX127" s="1632">
        <v>1821.4</v>
      </c>
      <c r="AY127" s="1548"/>
      <c r="AZ127" s="1548"/>
      <c r="BA127" s="1548"/>
      <c r="BB127" s="1709"/>
      <c r="BC127" s="222">
        <f t="shared" si="45"/>
        <v>0</v>
      </c>
      <c r="BD127" s="140">
        <f t="shared" si="46"/>
        <v>0</v>
      </c>
      <c r="BE127" s="132"/>
      <c r="BF127" s="140">
        <f t="shared" si="47"/>
        <v>0</v>
      </c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41"/>
      <c r="BT127" s="130">
        <f t="shared" si="48"/>
        <v>0</v>
      </c>
      <c r="BU127" s="132"/>
    </row>
    <row r="128" ht="14.25" customHeight="1">
      <c r="A128" s="132"/>
      <c r="B128" s="306">
        <v>46134</v>
      </c>
      <c r="C128" s="133">
        <f>7663.69-D128-0</f>
      </c>
      <c r="D128" s="134">
        <v>3236.57</v>
      </c>
      <c r="E128" s="135"/>
      <c r="F128" s="135"/>
      <c r="G128" s="147">
        <f t="shared" si="49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03">
        <f t="shared" si="41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03">
        <f t="shared" si="42"/>
        <v>0</v>
      </c>
      <c r="AI128" s="134">
        <v>1266.89</v>
      </c>
      <c r="AJ128" s="134">
        <v>1269.65</v>
      </c>
      <c r="AK128" s="136"/>
      <c r="AL128" s="105">
        <f t="shared" si="43"/>
        <v>0</v>
      </c>
      <c r="AM128" s="145">
        <v>23.42</v>
      </c>
      <c r="AN128" s="143"/>
      <c r="AO128" s="143"/>
      <c r="AP128" s="143"/>
      <c r="AQ128" s="146"/>
      <c r="AR128" s="224">
        <f t="shared" si="44"/>
        <v>0</v>
      </c>
      <c r="AS128" s="1627">
        <v>3194</v>
      </c>
      <c r="AT128" s="1546"/>
      <c r="AU128" s="1546"/>
      <c r="AV128" s="1548"/>
      <c r="AW128" s="1548"/>
      <c r="AX128" s="1632">
        <v>1909.9</v>
      </c>
      <c r="AY128" s="1548"/>
      <c r="AZ128" s="1548"/>
      <c r="BA128" s="1548"/>
      <c r="BB128" s="1709"/>
      <c r="BC128" s="222">
        <f t="shared" si="45"/>
        <v>0</v>
      </c>
      <c r="BD128" s="140">
        <f t="shared" si="46"/>
        <v>0</v>
      </c>
      <c r="BE128" s="132"/>
      <c r="BF128" s="140">
        <f t="shared" si="47"/>
        <v>0</v>
      </c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41"/>
      <c r="BT128" s="130">
        <f t="shared" si="48"/>
        <v>0</v>
      </c>
      <c r="BU128" s="132"/>
    </row>
    <row r="129" ht="14.25" customHeight="1">
      <c r="A129" s="5"/>
      <c r="B129" s="306">
        <v>46135</v>
      </c>
      <c r="C129" s="133">
        <f>6492.48-D129-0</f>
      </c>
      <c r="D129" s="134">
        <v>3363.29</v>
      </c>
      <c r="E129" s="135"/>
      <c r="F129" s="135"/>
      <c r="G129" s="147">
        <f t="shared" si="49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03">
        <f t="shared" si="41"/>
        <v>0</v>
      </c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03">
        <f t="shared" si="42"/>
        <v>0</v>
      </c>
      <c r="AI129" s="134">
        <v>1150.84</v>
      </c>
      <c r="AJ129" s="134">
        <v>1071.89</v>
      </c>
      <c r="AK129" s="136"/>
      <c r="AL129" s="105">
        <f t="shared" si="43"/>
        <v>0</v>
      </c>
      <c r="AM129" s="145">
        <v>14.88</v>
      </c>
      <c r="AN129" s="143"/>
      <c r="AO129" s="143"/>
      <c r="AP129" s="143"/>
      <c r="AQ129" s="146"/>
      <c r="AR129" s="224">
        <f t="shared" si="44"/>
        <v>0</v>
      </c>
      <c r="AS129" s="1627">
        <v>1978.7</v>
      </c>
      <c r="AT129" s="1546"/>
      <c r="AU129" s="1546"/>
      <c r="AV129" s="1548"/>
      <c r="AW129" s="1548"/>
      <c r="AX129" s="1632">
        <v>2276.5</v>
      </c>
      <c r="AY129" s="1548"/>
      <c r="AZ129" s="1548"/>
      <c r="BA129" s="1548"/>
      <c r="BB129" s="1709"/>
      <c r="BC129" s="222">
        <f t="shared" si="45"/>
        <v>0</v>
      </c>
      <c r="BD129" s="140">
        <f t="shared" si="46"/>
        <v>0</v>
      </c>
      <c r="BE129" s="132"/>
      <c r="BF129" s="140">
        <f t="shared" si="47"/>
        <v>0</v>
      </c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41"/>
      <c r="BT129" s="130">
        <f t="shared" si="48"/>
        <v>0</v>
      </c>
      <c r="BU129" s="132"/>
    </row>
    <row r="130" ht="14.25" customHeight="1">
      <c r="A130" s="132"/>
      <c r="B130" s="306">
        <v>46136</v>
      </c>
      <c r="C130" s="133">
        <f>6151.13-D130-0</f>
      </c>
      <c r="D130" s="134">
        <v>2848.27</v>
      </c>
      <c r="E130" s="135"/>
      <c r="F130" s="135"/>
      <c r="G130" s="147">
        <f t="shared" si="49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03">
        <f t="shared" si="41"/>
        <v>0</v>
      </c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03">
        <f t="shared" si="42"/>
        <v>0</v>
      </c>
      <c r="AI130" s="134">
        <v>858.9</v>
      </c>
      <c r="AJ130" s="134">
        <v>1213.18</v>
      </c>
      <c r="AK130" s="136"/>
      <c r="AL130" s="105">
        <f t="shared" si="43"/>
        <v>0</v>
      </c>
      <c r="AM130" s="145">
        <v>30.35</v>
      </c>
      <c r="AN130" s="143"/>
      <c r="AO130" s="143"/>
      <c r="AP130" s="143"/>
      <c r="AQ130" s="146"/>
      <c r="AR130" s="224">
        <f t="shared" si="44"/>
        <v>0</v>
      </c>
      <c r="AS130" s="1627">
        <v>2413.9</v>
      </c>
      <c r="AT130" s="1546"/>
      <c r="AU130" s="1546"/>
      <c r="AV130" s="1548"/>
      <c r="AW130" s="1548"/>
      <c r="AX130" s="1632">
        <v>1635.1</v>
      </c>
      <c r="AY130" s="1548"/>
      <c r="AZ130" s="1548"/>
      <c r="BA130" s="1548"/>
      <c r="BB130" s="1709"/>
      <c r="BC130" s="222">
        <f t="shared" si="45"/>
        <v>0</v>
      </c>
      <c r="BD130" s="140">
        <f t="shared" si="46"/>
        <v>0</v>
      </c>
      <c r="BE130" s="132"/>
      <c r="BF130" s="140">
        <f t="shared" si="47"/>
        <v>0</v>
      </c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41"/>
      <c r="BT130" s="130">
        <f t="shared" si="48"/>
        <v>0</v>
      </c>
      <c r="BU130" s="132"/>
    </row>
    <row r="131" ht="14.25" customHeight="1">
      <c r="A131" s="132"/>
      <c r="B131" s="306">
        <v>46137</v>
      </c>
      <c r="C131" s="133">
        <f>5070.51-D131-0</f>
      </c>
      <c r="D131" s="134">
        <v>1879.07</v>
      </c>
      <c r="E131" s="135"/>
      <c r="F131" s="135"/>
      <c r="G131" s="147">
        <f t="shared" si="49"/>
        <v>0</v>
      </c>
      <c r="H131" s="93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03">
        <f t="shared" si="41"/>
        <v>0</v>
      </c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03">
        <f t="shared" si="42"/>
        <v>0</v>
      </c>
      <c r="AI131" s="134">
        <v>879.17</v>
      </c>
      <c r="AJ131" s="134">
        <v>689.53</v>
      </c>
      <c r="AK131" s="136"/>
      <c r="AL131" s="105">
        <f t="shared" si="43"/>
        <v>0</v>
      </c>
      <c r="AM131" s="145">
        <v>4.41</v>
      </c>
      <c r="AN131" s="143"/>
      <c r="AO131" s="143"/>
      <c r="AP131" s="143"/>
      <c r="AQ131" s="146"/>
      <c r="AR131" s="224">
        <f t="shared" si="44"/>
        <v>0</v>
      </c>
      <c r="AS131" s="1627">
        <v>2307.9</v>
      </c>
      <c r="AT131" s="1546"/>
      <c r="AU131" s="1546"/>
      <c r="AV131" s="1548"/>
      <c r="AW131" s="1548"/>
      <c r="AX131" s="1632">
        <v>1189.6</v>
      </c>
      <c r="AY131" s="1548"/>
      <c r="AZ131" s="1548"/>
      <c r="BA131" s="1548"/>
      <c r="BB131" s="1709"/>
      <c r="BC131" s="222">
        <f t="shared" si="45"/>
        <v>0</v>
      </c>
      <c r="BD131" s="140">
        <f t="shared" si="46"/>
        <v>0</v>
      </c>
      <c r="BE131" s="132"/>
      <c r="BF131" s="140">
        <f t="shared" si="47"/>
        <v>0</v>
      </c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41"/>
      <c r="BT131" s="130">
        <f t="shared" si="48"/>
        <v>0</v>
      </c>
      <c r="BU131" s="132"/>
    </row>
    <row r="132" ht="14.25" customHeight="1">
      <c r="A132" s="132"/>
      <c r="B132" s="306">
        <v>46138</v>
      </c>
      <c r="C132" s="133">
        <f>3483.55-D132-0</f>
      </c>
      <c r="D132" s="134">
        <v>823.62</v>
      </c>
      <c r="E132" s="135"/>
      <c r="F132" s="135"/>
      <c r="G132" s="147">
        <f t="shared" si="49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43"/>
      <c r="U132" s="103">
        <f t="shared" si="41"/>
        <v>0</v>
      </c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03">
        <f t="shared" si="42"/>
        <v>0</v>
      </c>
      <c r="AI132" s="134">
        <v>911.65</v>
      </c>
      <c r="AJ132" s="134">
        <v>421.19</v>
      </c>
      <c r="AK132" s="136"/>
      <c r="AL132" s="105">
        <f t="shared" si="43"/>
        <v>0</v>
      </c>
      <c r="AM132" s="145">
        <v>6.82</v>
      </c>
      <c r="AN132" s="143"/>
      <c r="AO132" s="143"/>
      <c r="AP132" s="143"/>
      <c r="AQ132" s="146"/>
      <c r="AR132" s="224">
        <f t="shared" si="44"/>
        <v>0</v>
      </c>
      <c r="AS132" s="1627">
        <v>1741.7</v>
      </c>
      <c r="AT132" s="1546"/>
      <c r="AU132" s="1546"/>
      <c r="AV132" s="1548"/>
      <c r="AW132" s="1548"/>
      <c r="AX132" s="1632">
        <v>402.4</v>
      </c>
      <c r="AY132" s="1548"/>
      <c r="AZ132" s="1548"/>
      <c r="BA132" s="1548"/>
      <c r="BB132" s="1709"/>
      <c r="BC132" s="222">
        <f t="shared" si="45"/>
        <v>0</v>
      </c>
      <c r="BD132" s="140">
        <f t="shared" si="46"/>
        <v>0</v>
      </c>
      <c r="BE132" s="132"/>
      <c r="BF132" s="140">
        <f t="shared" si="47"/>
        <v>0</v>
      </c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41"/>
      <c r="BT132" s="130">
        <f t="shared" si="48"/>
        <v>0</v>
      </c>
      <c r="BU132" s="132"/>
    </row>
    <row r="133" ht="14.25" customHeight="1">
      <c r="A133" s="132"/>
      <c r="B133" s="306">
        <v>46139</v>
      </c>
      <c r="C133" s="133">
        <f>5418.36-D133-0</f>
      </c>
      <c r="D133" s="134">
        <v>2816.5</v>
      </c>
      <c r="E133" s="135"/>
      <c r="F133" s="135"/>
      <c r="G133" s="147">
        <f t="shared" si="49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03">
        <f t="shared" si="41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03">
        <f t="shared" si="42"/>
        <v>0</v>
      </c>
      <c r="AI133" s="134">
        <v>711.81</v>
      </c>
      <c r="AJ133" s="134">
        <v>1107.65</v>
      </c>
      <c r="AK133" s="136"/>
      <c r="AL133" s="105">
        <f t="shared" si="43"/>
        <v>0</v>
      </c>
      <c r="AM133" s="145">
        <v>13.13</v>
      </c>
      <c r="AN133" s="143"/>
      <c r="AO133" s="143"/>
      <c r="AP133" s="143"/>
      <c r="AQ133" s="146"/>
      <c r="AR133" s="224">
        <f t="shared" si="44"/>
        <v>0</v>
      </c>
      <c r="AS133" s="1627">
        <v>1876.9</v>
      </c>
      <c r="AT133" s="1546"/>
      <c r="AU133" s="1546"/>
      <c r="AV133" s="1548"/>
      <c r="AW133" s="1548"/>
      <c r="AX133" s="1632">
        <v>1709</v>
      </c>
      <c r="AY133" s="1548"/>
      <c r="AZ133" s="1548"/>
      <c r="BA133" s="1548"/>
      <c r="BB133" s="1709"/>
      <c r="BC133" s="222">
        <f t="shared" si="45"/>
        <v>0</v>
      </c>
      <c r="BD133" s="140">
        <f t="shared" si="46"/>
        <v>0</v>
      </c>
      <c r="BE133" s="132"/>
      <c r="BF133" s="140">
        <f t="shared" si="47"/>
        <v>0</v>
      </c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41"/>
      <c r="BT133" s="130">
        <f t="shared" si="48"/>
        <v>0</v>
      </c>
      <c r="BU133" s="132"/>
    </row>
    <row r="134" ht="14.25" customHeight="1">
      <c r="A134" s="132"/>
      <c r="B134" s="306">
        <v>46140</v>
      </c>
      <c r="C134" s="133">
        <f>7449.04-D134-0</f>
      </c>
      <c r="D134" s="134">
        <v>2898.46</v>
      </c>
      <c r="E134" s="135"/>
      <c r="F134" s="135"/>
      <c r="G134" s="147">
        <f t="shared" si="49"/>
        <v>0</v>
      </c>
      <c r="H134" s="144"/>
      <c r="I134" s="143"/>
      <c r="J134" s="145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03">
        <f t="shared" si="41"/>
        <v>0</v>
      </c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03">
        <f t="shared" si="42"/>
        <v>0</v>
      </c>
      <c r="AI134" s="134">
        <v>1544.21</v>
      </c>
      <c r="AJ134" s="134">
        <v>1123.28</v>
      </c>
      <c r="AK134" s="136"/>
      <c r="AL134" s="105">
        <f t="shared" si="43"/>
        <v>0</v>
      </c>
      <c r="AM134" s="145">
        <v>19.44</v>
      </c>
      <c r="AN134" s="143">
        <v>3.74</v>
      </c>
      <c r="AO134" s="143"/>
      <c r="AP134" s="143"/>
      <c r="AQ134" s="146"/>
      <c r="AR134" s="224">
        <f t="shared" si="44"/>
        <v>0</v>
      </c>
      <c r="AS134" s="1627">
        <v>2270.3</v>
      </c>
      <c r="AT134" s="1626"/>
      <c r="AU134" s="1546"/>
      <c r="AV134" s="1548"/>
      <c r="AW134" s="1548"/>
      <c r="AX134" s="1632">
        <v>1771.5</v>
      </c>
      <c r="AY134" s="1548"/>
      <c r="AZ134" s="1548"/>
      <c r="BA134" s="1548"/>
      <c r="BB134" s="1709"/>
      <c r="BC134" s="222">
        <f t="shared" si="45"/>
        <v>0</v>
      </c>
      <c r="BD134" s="140">
        <f t="shared" si="46"/>
        <v>0</v>
      </c>
      <c r="BE134" s="132"/>
      <c r="BF134" s="140">
        <f t="shared" si="47"/>
        <v>0</v>
      </c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294"/>
      <c r="BR134" s="126"/>
      <c r="BS134" s="141"/>
      <c r="BT134" s="130">
        <f t="shared" si="48"/>
        <v>0</v>
      </c>
      <c r="BU134" s="132"/>
    </row>
    <row r="135" ht="14.25" customHeight="1">
      <c r="A135" s="132"/>
      <c r="B135" s="306">
        <v>46141</v>
      </c>
      <c r="C135" s="133">
        <f>5981.98-D135-0</f>
      </c>
      <c r="D135" s="134">
        <v>3328.87</v>
      </c>
      <c r="E135" s="135"/>
      <c r="F135" s="135"/>
      <c r="G135" s="147">
        <f t="shared" si="49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03">
        <f t="shared" si="41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03">
        <f t="shared" si="42"/>
        <v>0</v>
      </c>
      <c r="AI135" s="134">
        <v>839.56</v>
      </c>
      <c r="AJ135" s="134">
        <v>1320.65</v>
      </c>
      <c r="AK135" s="136"/>
      <c r="AL135" s="105">
        <f t="shared" si="43"/>
        <v>0</v>
      </c>
      <c r="AM135" s="145">
        <v>8.66</v>
      </c>
      <c r="AN135" s="145">
        <v>2.02</v>
      </c>
      <c r="AO135" s="143"/>
      <c r="AP135" s="143"/>
      <c r="AQ135" s="146"/>
      <c r="AR135" s="224">
        <f t="shared" si="44"/>
        <v>0</v>
      </c>
      <c r="AS135" s="1627">
        <v>1805.1</v>
      </c>
      <c r="AT135" s="1546"/>
      <c r="AU135" s="1546"/>
      <c r="AV135" s="1548"/>
      <c r="AW135" s="1548"/>
      <c r="AX135" s="1632">
        <v>2006.2</v>
      </c>
      <c r="AY135" s="1548"/>
      <c r="AZ135" s="1548"/>
      <c r="BA135" s="1548"/>
      <c r="BB135" s="1709"/>
      <c r="BC135" s="222">
        <f t="shared" si="45"/>
        <v>0</v>
      </c>
      <c r="BD135" s="140">
        <f t="shared" si="46"/>
        <v>0</v>
      </c>
      <c r="BE135" s="132"/>
      <c r="BF135" s="140">
        <f t="shared" si="47"/>
        <v>0</v>
      </c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41"/>
      <c r="BT135" s="130">
        <f t="shared" si="48"/>
        <v>0</v>
      </c>
      <c r="BU135" s="132"/>
    </row>
    <row r="136" ht="14.25" customHeight="1">
      <c r="A136" s="132"/>
      <c r="B136" s="306">
        <v>46142</v>
      </c>
      <c r="C136" s="133">
        <f>7410.68-D136-0</f>
      </c>
      <c r="D136" s="134">
        <v>3123.81</v>
      </c>
      <c r="E136" s="135"/>
      <c r="F136" s="135"/>
      <c r="G136" s="147">
        <f t="shared" si="49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03">
        <f t="shared" si="41"/>
        <v>0</v>
      </c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03">
        <f t="shared" si="42"/>
        <v>0</v>
      </c>
      <c r="AI136" s="134">
        <v>1579.55</v>
      </c>
      <c r="AJ136" s="134">
        <v>1013.44</v>
      </c>
      <c r="AK136" s="136"/>
      <c r="AL136" s="105">
        <f t="shared" si="43"/>
        <v>0</v>
      </c>
      <c r="AM136" s="145">
        <v>19.01</v>
      </c>
      <c r="AN136" s="145">
        <v>0.39</v>
      </c>
      <c r="AO136" s="143"/>
      <c r="AP136" s="143"/>
      <c r="AQ136" s="146"/>
      <c r="AR136" s="224">
        <f t="shared" si="44"/>
        <v>0</v>
      </c>
      <c r="AS136" s="1775">
        <v>2688.4</v>
      </c>
      <c r="AT136" s="1557"/>
      <c r="AU136" s="1557"/>
      <c r="AV136" s="1586"/>
      <c r="AW136" s="1586"/>
      <c r="AX136" s="1776">
        <v>2110</v>
      </c>
      <c r="AY136" s="1586"/>
      <c r="AZ136" s="1586"/>
      <c r="BA136" s="1586"/>
      <c r="BB136" s="1720"/>
      <c r="BC136" s="222">
        <f t="shared" si="45"/>
        <v>0</v>
      </c>
      <c r="BD136" s="140">
        <f t="shared" si="46"/>
        <v>0</v>
      </c>
      <c r="BE136" s="132"/>
      <c r="BF136" s="140">
        <f t="shared" si="47"/>
        <v>0</v>
      </c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41"/>
      <c r="BT136" s="130">
        <f t="shared" si="48"/>
        <v>0</v>
      </c>
      <c r="BU136" s="132"/>
    </row>
    <row r="137" ht="14.25" customHeight="1">
      <c r="A137" s="3"/>
      <c r="B137" s="935" t="s">
        <v>187</v>
      </c>
      <c r="C137" s="166">
        <f ref="C137:G137" t="shared" si="50">SUM(C107:C136)</f>
        <v>0</v>
      </c>
      <c r="D137" s="166">
        <f t="shared" si="50"/>
        <v>0</v>
      </c>
      <c r="E137" s="166">
        <f t="shared" si="50"/>
        <v>0</v>
      </c>
      <c r="F137" s="166">
        <f t="shared" si="50"/>
        <v>0</v>
      </c>
      <c r="G137" s="166">
        <f t="shared" si="50"/>
        <v>0</v>
      </c>
      <c r="H137" s="166">
        <f>SUMIF(H107:H136,"&gt;0")</f>
        <v>0</v>
      </c>
      <c r="I137" s="166">
        <f ref="I137:U137" t="shared" si="51">SUM(I107:I136)</f>
        <v>0</v>
      </c>
      <c r="J137" s="166">
        <f t="shared" si="51"/>
        <v>0</v>
      </c>
      <c r="K137" s="166">
        <f t="shared" si="51"/>
        <v>0</v>
      </c>
      <c r="L137" s="166">
        <f t="shared" si="51"/>
        <v>0</v>
      </c>
      <c r="M137" s="166">
        <f t="shared" si="51"/>
        <v>0</v>
      </c>
      <c r="N137" s="166">
        <f t="shared" si="51"/>
        <v>0</v>
      </c>
      <c r="O137" s="166">
        <f t="shared" si="51"/>
        <v>0</v>
      </c>
      <c r="P137" s="166">
        <f t="shared" si="51"/>
        <v>0</v>
      </c>
      <c r="Q137" s="166">
        <f t="shared" si="51"/>
        <v>0</v>
      </c>
      <c r="R137" s="166">
        <f t="shared" si="51"/>
        <v>0</v>
      </c>
      <c r="S137" s="166">
        <f t="shared" si="51"/>
        <v>0</v>
      </c>
      <c r="T137" s="166">
        <f t="shared" si="51"/>
        <v>0</v>
      </c>
      <c r="U137" s="166">
        <f t="shared" si="51"/>
        <v>0</v>
      </c>
      <c r="V137" s="166"/>
      <c r="W137" s="166"/>
      <c r="X137" s="166">
        <f ref="X137:AX137" t="shared" si="52">SUM(X107:X136)</f>
        <v>0</v>
      </c>
      <c r="Y137" s="166">
        <f t="shared" si="52"/>
        <v>0</v>
      </c>
      <c r="Z137" s="166">
        <f t="shared" si="52"/>
        <v>0</v>
      </c>
      <c r="AA137" s="166">
        <f t="shared" si="52"/>
        <v>0</v>
      </c>
      <c r="AB137" s="166">
        <f t="shared" si="52"/>
        <v>0</v>
      </c>
      <c r="AC137" s="166">
        <f t="shared" si="52"/>
        <v>0</v>
      </c>
      <c r="AD137" s="166">
        <f t="shared" si="52"/>
        <v>0</v>
      </c>
      <c r="AE137" s="166">
        <f t="shared" si="52"/>
        <v>0</v>
      </c>
      <c r="AF137" s="166">
        <f t="shared" si="52"/>
        <v>0</v>
      </c>
      <c r="AG137" s="166">
        <f t="shared" si="52"/>
        <v>0</v>
      </c>
      <c r="AH137" s="166">
        <f t="shared" si="52"/>
        <v>0</v>
      </c>
      <c r="AI137" s="166">
        <f t="shared" si="52"/>
        <v>0</v>
      </c>
      <c r="AJ137" s="166">
        <f t="shared" si="52"/>
        <v>0</v>
      </c>
      <c r="AK137" s="166">
        <f t="shared" si="52"/>
        <v>0</v>
      </c>
      <c r="AL137" s="166">
        <f t="shared" si="52"/>
        <v>0</v>
      </c>
      <c r="AM137" s="166">
        <f t="shared" si="52"/>
        <v>0</v>
      </c>
      <c r="AN137" s="166">
        <f t="shared" si="52"/>
        <v>0</v>
      </c>
      <c r="AO137" s="166">
        <f t="shared" si="52"/>
        <v>0</v>
      </c>
      <c r="AP137" s="166">
        <f t="shared" si="52"/>
        <v>0</v>
      </c>
      <c r="AQ137" s="166">
        <f t="shared" si="52"/>
        <v>0</v>
      </c>
      <c r="AR137" s="166">
        <f t="shared" si="52"/>
        <v>0</v>
      </c>
      <c r="AS137" s="165">
        <f t="shared" si="52"/>
        <v>0</v>
      </c>
      <c r="AT137" s="165">
        <f t="shared" si="52"/>
        <v>0</v>
      </c>
      <c r="AU137" s="165">
        <f t="shared" si="52"/>
        <v>0</v>
      </c>
      <c r="AV137" s="165">
        <f t="shared" si="52"/>
        <v>0</v>
      </c>
      <c r="AW137" s="165">
        <f t="shared" si="52"/>
        <v>0</v>
      </c>
      <c r="AX137" s="165">
        <f t="shared" si="52"/>
        <v>0</v>
      </c>
      <c r="AY137" s="165"/>
      <c r="AZ137" s="165"/>
      <c r="BA137" s="165"/>
      <c r="BB137" s="165"/>
      <c r="BC137" s="166">
        <f ref="BC137:BD137" t="shared" si="53">SUM(BC107:BC136)</f>
        <v>0</v>
      </c>
      <c r="BD137" s="166">
        <f t="shared" si="53"/>
        <v>0</v>
      </c>
      <c r="BE137" s="3"/>
      <c r="BF137" s="172">
        <f>SUM(BF107:BF136)</f>
        <v>0</v>
      </c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6"/>
      <c r="BR137" s="166"/>
      <c r="BS137" s="166"/>
      <c r="BT137" s="166">
        <f>SUM(BT73:BT103)</f>
        <v>0</v>
      </c>
      <c r="BU137" s="936"/>
    </row>
    <row r="138" ht="14.25" customHeight="1">
      <c r="A138" s="1"/>
      <c r="B138" s="937" t="s">
        <v>11</v>
      </c>
      <c r="C138" s="3"/>
      <c r="D138" s="3"/>
      <c r="E138" s="3"/>
      <c r="F138" s="3"/>
      <c r="G138" s="4"/>
      <c r="H138" s="517">
        <f ref="H138:T138" t="shared" si="54">SUMIF(H107:H136,"&lt;0")</f>
        <v>0</v>
      </c>
      <c r="I138" s="517">
        <f t="shared" si="54"/>
        <v>0</v>
      </c>
      <c r="J138" s="517">
        <f t="shared" si="54"/>
        <v>0</v>
      </c>
      <c r="K138" s="517">
        <f t="shared" si="54"/>
        <v>0</v>
      </c>
      <c r="L138" s="517">
        <f t="shared" si="54"/>
        <v>0</v>
      </c>
      <c r="M138" s="517">
        <f t="shared" si="54"/>
        <v>0</v>
      </c>
      <c r="N138" s="517">
        <f t="shared" si="54"/>
        <v>0</v>
      </c>
      <c r="O138" s="517">
        <f t="shared" si="54"/>
        <v>0</v>
      </c>
      <c r="P138" s="517">
        <f t="shared" si="54"/>
        <v>0</v>
      </c>
      <c r="Q138" s="517">
        <f t="shared" si="54"/>
        <v>0</v>
      </c>
      <c r="R138" s="517">
        <f t="shared" si="54"/>
        <v>0</v>
      </c>
      <c r="S138" s="517">
        <f t="shared" si="54"/>
        <v>0</v>
      </c>
      <c r="T138" s="517">
        <f t="shared" si="54"/>
        <v>0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96"/>
      <c r="AI138" s="3"/>
      <c r="AJ138" s="3"/>
      <c r="AK138" s="3"/>
      <c r="AL138" s="4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ht="14.25" customHeight="1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176"/>
      <c r="AI139" s="3"/>
      <c r="AJ139" s="3"/>
      <c r="AK139" s="3"/>
      <c r="AL139" s="4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ht="14.25" customHeight="1">
      <c r="A140" s="3"/>
      <c r="B140" s="512">
        <v>46143</v>
      </c>
      <c r="C140" s="94"/>
      <c r="D140" s="95"/>
      <c r="E140" s="97"/>
      <c r="F140" s="97"/>
      <c r="G140" s="265">
        <f ref="G140:G170" t="shared" si="55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03">
        <f ref="U140:U170" t="shared" si="56">SUM(H140:T140)</f>
        <v>0</v>
      </c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03">
        <f ref="AH140:AH170" t="shared" si="57">SUM(V140:AG140)</f>
        <v>0</v>
      </c>
      <c r="AI140" s="95"/>
      <c r="AJ140" s="95"/>
      <c r="AK140" s="104"/>
      <c r="AL140" s="191">
        <f ref="AL140:AL170" t="shared" si="58">SUM(AI140:AK140)</f>
        <v>0</v>
      </c>
      <c r="AM140" s="188"/>
      <c r="AN140" s="188"/>
      <c r="AO140" s="186"/>
      <c r="AP140" s="186"/>
      <c r="AQ140" s="193"/>
      <c r="AR140" s="224">
        <f ref="AR140:AR141" t="shared" si="59">+G140-U140-AH140-AL140-AM140-AO140-AP140-AQ140</f>
        <v>0</v>
      </c>
      <c r="AS140" s="938"/>
      <c r="AT140" s="269"/>
      <c r="AU140" s="109"/>
      <c r="AV140" s="109"/>
      <c r="AW140" s="109"/>
      <c r="AX140" s="938"/>
      <c r="AY140" s="269"/>
      <c r="AZ140" s="269"/>
      <c r="BA140" s="269"/>
      <c r="BB140" s="269"/>
      <c r="BC140" s="292">
        <f ref="BC140:BC170" t="shared" si="60">SUM(AS140:BB140)-BA140</f>
        <v>0</v>
      </c>
      <c r="BD140" s="114">
        <f ref="BD140:BD170" t="shared" si="61">+AR140-BC140</f>
        <v>0</v>
      </c>
      <c r="BE140" s="3"/>
      <c r="BF140" s="114">
        <f ref="BF140:BF170" t="shared" si="62">SUM(BG140:BS140)</f>
        <v>0</v>
      </c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249"/>
      <c r="BT140" s="116">
        <f ref="BT140:BT170" t="shared" si="63">+BD140-BF140</f>
        <v>0</v>
      </c>
      <c r="BU140" s="3"/>
    </row>
    <row r="141" ht="14.25" customHeight="1">
      <c r="A141" s="3"/>
      <c r="B141" s="512">
        <v>46144</v>
      </c>
      <c r="C141" s="118"/>
      <c r="D141" s="119"/>
      <c r="E141" s="120"/>
      <c r="F141" s="120"/>
      <c r="G141" s="147">
        <f t="shared" si="55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03">
        <f t="shared" si="56"/>
        <v>0</v>
      </c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03">
        <f t="shared" si="57"/>
        <v>0</v>
      </c>
      <c r="AI141" s="119"/>
      <c r="AJ141" s="119"/>
      <c r="AK141" s="123"/>
      <c r="AL141" s="105">
        <f t="shared" si="58"/>
        <v>0</v>
      </c>
      <c r="AM141" s="145"/>
      <c r="AN141" s="145"/>
      <c r="AO141" s="143"/>
      <c r="AP141" s="143"/>
      <c r="AQ141" s="146"/>
      <c r="AR141" s="224">
        <f t="shared" si="59"/>
        <v>0</v>
      </c>
      <c r="AS141" s="939"/>
      <c r="AT141" s="274"/>
      <c r="AU141" s="126"/>
      <c r="AV141" s="126"/>
      <c r="AW141" s="126"/>
      <c r="AX141" s="939"/>
      <c r="AY141" s="274"/>
      <c r="AZ141" s="274"/>
      <c r="BA141" s="274"/>
      <c r="BB141" s="274"/>
      <c r="BC141" s="222">
        <f t="shared" si="60"/>
        <v>0</v>
      </c>
      <c r="BD141" s="113">
        <f t="shared" si="61"/>
        <v>0</v>
      </c>
      <c r="BE141" s="3"/>
      <c r="BF141" s="113">
        <f t="shared" si="62"/>
        <v>0</v>
      </c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31"/>
      <c r="BR141" s="129"/>
      <c r="BS141" s="255"/>
      <c r="BT141" s="130">
        <f t="shared" si="63"/>
        <v>0</v>
      </c>
      <c r="BU141" s="3"/>
    </row>
    <row r="142" ht="14.25" customHeight="1">
      <c r="A142" s="3"/>
      <c r="B142" s="512">
        <v>46145</v>
      </c>
      <c r="C142" s="118"/>
      <c r="D142" s="119"/>
      <c r="E142" s="120"/>
      <c r="F142" s="120"/>
      <c r="G142" s="147">
        <f t="shared" si="55"/>
        <v>0</v>
      </c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03">
        <f t="shared" si="56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03">
        <f t="shared" si="57"/>
        <v>0</v>
      </c>
      <c r="AI142" s="119"/>
      <c r="AJ142" s="119"/>
      <c r="AK142" s="123"/>
      <c r="AL142" s="105">
        <f t="shared" si="58"/>
        <v>0</v>
      </c>
      <c r="AM142" s="145"/>
      <c r="AN142" s="145"/>
      <c r="AO142" s="143"/>
      <c r="AP142" s="143"/>
      <c r="AQ142" s="146"/>
      <c r="AR142" s="224">
        <f ref="AR142:AR170" t="shared" si="64">+G142-U142-AH142-AL142-AM142-AO142-AP142-AQ142-AN142</f>
        <v>0</v>
      </c>
      <c r="AS142" s="939"/>
      <c r="AT142" s="274"/>
      <c r="AU142" s="274"/>
      <c r="AV142" s="126"/>
      <c r="AW142" s="126"/>
      <c r="AX142" s="939"/>
      <c r="AY142" s="274"/>
      <c r="AZ142" s="274"/>
      <c r="BA142" s="274"/>
      <c r="BB142" s="274"/>
      <c r="BC142" s="222">
        <f t="shared" si="60"/>
        <v>0</v>
      </c>
      <c r="BD142" s="113">
        <f t="shared" si="61"/>
        <v>0</v>
      </c>
      <c r="BE142" s="3"/>
      <c r="BF142" s="113">
        <f t="shared" si="62"/>
        <v>0</v>
      </c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31"/>
      <c r="BR142" s="129"/>
      <c r="BS142" s="255"/>
      <c r="BT142" s="130">
        <f t="shared" si="63"/>
        <v>0</v>
      </c>
      <c r="BU142" s="3"/>
    </row>
    <row r="143" ht="14.25" customHeight="1">
      <c r="A143" s="3"/>
      <c r="B143" s="512">
        <v>46146</v>
      </c>
      <c r="C143" s="118"/>
      <c r="D143" s="119"/>
      <c r="E143" s="120"/>
      <c r="F143" s="120"/>
      <c r="G143" s="147">
        <f t="shared" si="55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03">
        <f t="shared" si="56"/>
        <v>0</v>
      </c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03">
        <f t="shared" si="57"/>
        <v>0</v>
      </c>
      <c r="AI143" s="119"/>
      <c r="AJ143" s="119"/>
      <c r="AK143" s="123"/>
      <c r="AL143" s="105">
        <f t="shared" si="58"/>
        <v>0</v>
      </c>
      <c r="AM143" s="145"/>
      <c r="AN143" s="145"/>
      <c r="AO143" s="143"/>
      <c r="AP143" s="143"/>
      <c r="AQ143" s="146"/>
      <c r="AR143" s="224">
        <f t="shared" si="64"/>
        <v>0</v>
      </c>
      <c r="AS143" s="939"/>
      <c r="AT143" s="274"/>
      <c r="AU143" s="274"/>
      <c r="AV143" s="126"/>
      <c r="AW143" s="126"/>
      <c r="AX143" s="939"/>
      <c r="AY143" s="274"/>
      <c r="AZ143" s="274"/>
      <c r="BA143" s="274"/>
      <c r="BB143" s="274"/>
      <c r="BC143" s="222">
        <f t="shared" si="60"/>
        <v>0</v>
      </c>
      <c r="BD143" s="113">
        <f t="shared" si="61"/>
        <v>0</v>
      </c>
      <c r="BE143" s="3"/>
      <c r="BF143" s="113">
        <f t="shared" si="62"/>
        <v>0</v>
      </c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255"/>
      <c r="BT143" s="130">
        <f t="shared" si="63"/>
        <v>0</v>
      </c>
      <c r="BU143" s="3"/>
    </row>
    <row r="144" ht="14.25" customHeight="1">
      <c r="A144" s="3"/>
      <c r="B144" s="512">
        <v>46147</v>
      </c>
      <c r="C144" s="118"/>
      <c r="D144" s="119"/>
      <c r="E144" s="120"/>
      <c r="F144" s="120"/>
      <c r="G144" s="147">
        <f t="shared" si="55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03">
        <f t="shared" si="56"/>
        <v>0</v>
      </c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03">
        <f t="shared" si="57"/>
        <v>0</v>
      </c>
      <c r="AI144" s="119"/>
      <c r="AJ144" s="119"/>
      <c r="AK144" s="123"/>
      <c r="AL144" s="105">
        <f t="shared" si="58"/>
        <v>0</v>
      </c>
      <c r="AM144" s="145"/>
      <c r="AN144" s="145"/>
      <c r="AO144" s="143"/>
      <c r="AP144" s="143"/>
      <c r="AQ144" s="146"/>
      <c r="AR144" s="224">
        <f t="shared" si="64"/>
        <v>0</v>
      </c>
      <c r="AS144" s="939"/>
      <c r="AT144" s="274"/>
      <c r="AU144" s="274"/>
      <c r="AV144" s="126"/>
      <c r="AW144" s="126"/>
      <c r="AX144" s="939"/>
      <c r="AY144" s="274"/>
      <c r="AZ144" s="274"/>
      <c r="BA144" s="274"/>
      <c r="BB144" s="274"/>
      <c r="BC144" s="222">
        <f t="shared" si="60"/>
        <v>0</v>
      </c>
      <c r="BD144" s="113">
        <f t="shared" si="61"/>
        <v>0</v>
      </c>
      <c r="BE144" s="3"/>
      <c r="BF144" s="113">
        <f t="shared" si="62"/>
        <v>0</v>
      </c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255"/>
      <c r="BT144" s="130">
        <f t="shared" si="63"/>
        <v>0</v>
      </c>
      <c r="BU144" s="3"/>
    </row>
    <row r="145" ht="14.25" customHeight="1">
      <c r="A145" s="3"/>
      <c r="B145" s="512">
        <v>46148</v>
      </c>
      <c r="C145" s="118"/>
      <c r="D145" s="119"/>
      <c r="E145" s="120"/>
      <c r="F145" s="120"/>
      <c r="G145" s="147">
        <f t="shared" si="55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03">
        <f t="shared" si="56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03">
        <f t="shared" si="57"/>
        <v>0</v>
      </c>
      <c r="AI145" s="119"/>
      <c r="AJ145" s="119"/>
      <c r="AK145" s="123"/>
      <c r="AL145" s="105">
        <f t="shared" si="58"/>
        <v>0</v>
      </c>
      <c r="AM145" s="145"/>
      <c r="AN145" s="145"/>
      <c r="AO145" s="143"/>
      <c r="AP145" s="143"/>
      <c r="AQ145" s="146"/>
      <c r="AR145" s="224">
        <f t="shared" si="64"/>
        <v>0</v>
      </c>
      <c r="AS145" s="939"/>
      <c r="AT145" s="274"/>
      <c r="AU145" s="274"/>
      <c r="AV145" s="126"/>
      <c r="AW145" s="126"/>
      <c r="AX145" s="939"/>
      <c r="AY145" s="274"/>
      <c r="AZ145" s="274"/>
      <c r="BA145" s="274"/>
      <c r="BB145" s="274"/>
      <c r="BC145" s="222">
        <f t="shared" si="60"/>
        <v>0</v>
      </c>
      <c r="BD145" s="113">
        <f t="shared" si="61"/>
        <v>0</v>
      </c>
      <c r="BE145" s="3"/>
      <c r="BF145" s="113">
        <f t="shared" si="62"/>
        <v>0</v>
      </c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255"/>
      <c r="BT145" s="130">
        <f t="shared" si="63"/>
        <v>0</v>
      </c>
      <c r="BU145" s="3"/>
    </row>
    <row r="146" ht="14.25" customHeight="1">
      <c r="A146" s="3"/>
      <c r="B146" s="512">
        <v>46149</v>
      </c>
      <c r="C146" s="118"/>
      <c r="D146" s="123"/>
      <c r="E146" s="120"/>
      <c r="F146" s="120"/>
      <c r="G146" s="147">
        <f t="shared" si="55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56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03">
        <f t="shared" si="57"/>
        <v>0</v>
      </c>
      <c r="AI146" s="123"/>
      <c r="AJ146" s="123"/>
      <c r="AK146" s="123"/>
      <c r="AL146" s="105">
        <f t="shared" si="58"/>
        <v>0</v>
      </c>
      <c r="AM146" s="143"/>
      <c r="AN146" s="143"/>
      <c r="AO146" s="143"/>
      <c r="AP146" s="143"/>
      <c r="AQ146" s="146"/>
      <c r="AR146" s="224">
        <f t="shared" si="64"/>
        <v>0</v>
      </c>
      <c r="AS146" s="863"/>
      <c r="AT146" s="274"/>
      <c r="AU146" s="274"/>
      <c r="AV146" s="126"/>
      <c r="AW146" s="126"/>
      <c r="AX146" s="863"/>
      <c r="AY146" s="274"/>
      <c r="AZ146" s="274"/>
      <c r="BA146" s="274"/>
      <c r="BB146" s="274"/>
      <c r="BC146" s="222">
        <f t="shared" si="60"/>
        <v>0</v>
      </c>
      <c r="BD146" s="113">
        <f t="shared" si="61"/>
        <v>0</v>
      </c>
      <c r="BE146" s="3"/>
      <c r="BF146" s="113">
        <f t="shared" si="62"/>
        <v>0</v>
      </c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255"/>
      <c r="BT146" s="130">
        <f t="shared" si="63"/>
        <v>0</v>
      </c>
      <c r="BU146" s="3"/>
    </row>
    <row r="147" ht="14.25" customHeight="1">
      <c r="A147" s="3"/>
      <c r="B147" s="512">
        <v>46150</v>
      </c>
      <c r="C147" s="118"/>
      <c r="D147" s="123"/>
      <c r="E147" s="120"/>
      <c r="F147" s="120"/>
      <c r="G147" s="147">
        <f t="shared" si="55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03">
        <f t="shared" si="56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03">
        <f t="shared" si="57"/>
        <v>0</v>
      </c>
      <c r="AI147" s="123"/>
      <c r="AJ147" s="123"/>
      <c r="AK147" s="123"/>
      <c r="AL147" s="105">
        <f t="shared" si="58"/>
        <v>0</v>
      </c>
      <c r="AM147" s="143"/>
      <c r="AN147" s="143"/>
      <c r="AO147" s="143"/>
      <c r="AP147" s="143"/>
      <c r="AQ147" s="146"/>
      <c r="AR147" s="224">
        <f t="shared" si="64"/>
        <v>0</v>
      </c>
      <c r="AS147" s="863"/>
      <c r="AT147" s="274"/>
      <c r="AU147" s="274"/>
      <c r="AV147" s="126"/>
      <c r="AW147" s="126"/>
      <c r="AX147" s="863"/>
      <c r="AY147" s="274"/>
      <c r="AZ147" s="274"/>
      <c r="BA147" s="274"/>
      <c r="BB147" s="274"/>
      <c r="BC147" s="222">
        <f t="shared" si="60"/>
        <v>0</v>
      </c>
      <c r="BD147" s="113">
        <f t="shared" si="61"/>
        <v>0</v>
      </c>
      <c r="BE147" s="3"/>
      <c r="BF147" s="113">
        <f t="shared" si="62"/>
        <v>0</v>
      </c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255"/>
      <c r="BT147" s="130">
        <f t="shared" si="63"/>
        <v>0</v>
      </c>
      <c r="BU147" s="3"/>
    </row>
    <row r="148" ht="14.25" customHeight="1">
      <c r="A148" s="3"/>
      <c r="B148" s="512">
        <v>46151</v>
      </c>
      <c r="C148" s="118"/>
      <c r="D148" s="123"/>
      <c r="E148" s="120"/>
      <c r="F148" s="120"/>
      <c r="G148" s="147">
        <f t="shared" si="55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56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03">
        <f t="shared" si="57"/>
        <v>0</v>
      </c>
      <c r="AI148" s="123"/>
      <c r="AJ148" s="123"/>
      <c r="AK148" s="123"/>
      <c r="AL148" s="105">
        <f t="shared" si="58"/>
        <v>0</v>
      </c>
      <c r="AM148" s="143"/>
      <c r="AN148" s="143"/>
      <c r="AO148" s="143"/>
      <c r="AP148" s="143"/>
      <c r="AQ148" s="146"/>
      <c r="AR148" s="224">
        <f t="shared" si="64"/>
        <v>0</v>
      </c>
      <c r="AS148" s="863"/>
      <c r="AT148" s="274"/>
      <c r="AU148" s="274"/>
      <c r="AV148" s="126"/>
      <c r="AW148" s="126"/>
      <c r="AX148" s="863"/>
      <c r="AY148" s="274"/>
      <c r="AZ148" s="274"/>
      <c r="BA148" s="274"/>
      <c r="BB148" s="274"/>
      <c r="BC148" s="222">
        <f t="shared" si="60"/>
        <v>0</v>
      </c>
      <c r="BD148" s="113">
        <f t="shared" si="61"/>
        <v>0</v>
      </c>
      <c r="BE148" s="3"/>
      <c r="BF148" s="113">
        <f t="shared" si="62"/>
        <v>0</v>
      </c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255"/>
      <c r="BT148" s="130">
        <f t="shared" si="63"/>
        <v>0</v>
      </c>
      <c r="BU148" s="3"/>
    </row>
    <row r="149" ht="14.25" customHeight="1">
      <c r="A149" s="3"/>
      <c r="B149" s="512">
        <v>46152</v>
      </c>
      <c r="C149" s="118"/>
      <c r="D149" s="123"/>
      <c r="E149" s="120"/>
      <c r="F149" s="120"/>
      <c r="G149" s="147">
        <f t="shared" si="55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56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03">
        <f t="shared" si="57"/>
        <v>0</v>
      </c>
      <c r="AI149" s="123"/>
      <c r="AJ149" s="123"/>
      <c r="AK149" s="123"/>
      <c r="AL149" s="105">
        <f t="shared" si="58"/>
        <v>0</v>
      </c>
      <c r="AM149" s="143"/>
      <c r="AN149" s="143"/>
      <c r="AO149" s="143"/>
      <c r="AP149" s="143"/>
      <c r="AQ149" s="146"/>
      <c r="AR149" s="224">
        <f t="shared" si="64"/>
        <v>0</v>
      </c>
      <c r="AS149" s="863"/>
      <c r="AT149" s="274"/>
      <c r="AU149" s="274"/>
      <c r="AV149" s="126"/>
      <c r="AW149" s="126"/>
      <c r="AX149" s="863"/>
      <c r="AY149" s="274"/>
      <c r="AZ149" s="274"/>
      <c r="BA149" s="274"/>
      <c r="BB149" s="274"/>
      <c r="BC149" s="222">
        <f t="shared" si="60"/>
        <v>0</v>
      </c>
      <c r="BD149" s="113">
        <f t="shared" si="61"/>
        <v>0</v>
      </c>
      <c r="BE149" s="3"/>
      <c r="BF149" s="113">
        <f t="shared" si="62"/>
        <v>0</v>
      </c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255"/>
      <c r="BT149" s="130">
        <f t="shared" si="63"/>
        <v>0</v>
      </c>
      <c r="BU149" s="3"/>
    </row>
    <row r="150" ht="14.25" customHeight="1">
      <c r="A150" s="3"/>
      <c r="B150" s="512">
        <v>46153</v>
      </c>
      <c r="C150" s="118"/>
      <c r="D150" s="123"/>
      <c r="E150" s="120"/>
      <c r="F150" s="120"/>
      <c r="G150" s="147">
        <f t="shared" si="55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56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03">
        <f t="shared" si="57"/>
        <v>0</v>
      </c>
      <c r="AI150" s="123"/>
      <c r="AJ150" s="123"/>
      <c r="AK150" s="123"/>
      <c r="AL150" s="105">
        <f t="shared" si="58"/>
        <v>0</v>
      </c>
      <c r="AM150" s="143"/>
      <c r="AN150" s="143"/>
      <c r="AO150" s="143"/>
      <c r="AP150" s="143"/>
      <c r="AQ150" s="146"/>
      <c r="AR150" s="224">
        <f t="shared" si="64"/>
        <v>0</v>
      </c>
      <c r="AS150" s="863"/>
      <c r="AT150" s="274"/>
      <c r="AU150" s="274"/>
      <c r="AV150" s="126"/>
      <c r="AW150" s="126"/>
      <c r="AX150" s="863"/>
      <c r="AY150" s="274"/>
      <c r="AZ150" s="274"/>
      <c r="BA150" s="274"/>
      <c r="BB150" s="274"/>
      <c r="BC150" s="222">
        <f t="shared" si="60"/>
        <v>0</v>
      </c>
      <c r="BD150" s="113">
        <f t="shared" si="61"/>
        <v>0</v>
      </c>
      <c r="BE150" s="3"/>
      <c r="BF150" s="113">
        <f t="shared" si="62"/>
        <v>0</v>
      </c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255"/>
      <c r="BT150" s="130">
        <f t="shared" si="63"/>
        <v>0</v>
      </c>
      <c r="BU150" s="3"/>
    </row>
    <row r="151" ht="14.25" customHeight="1">
      <c r="A151" s="3"/>
      <c r="B151" s="512">
        <v>46154</v>
      </c>
      <c r="C151" s="118"/>
      <c r="D151" s="123"/>
      <c r="E151" s="120"/>
      <c r="F151" s="120"/>
      <c r="G151" s="147">
        <f t="shared" si="55"/>
        <v>0</v>
      </c>
      <c r="H151" s="231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56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03">
        <f t="shared" si="57"/>
        <v>0</v>
      </c>
      <c r="AI151" s="123"/>
      <c r="AJ151" s="123"/>
      <c r="AK151" s="123"/>
      <c r="AL151" s="105">
        <f t="shared" si="58"/>
        <v>0</v>
      </c>
      <c r="AM151" s="143"/>
      <c r="AN151" s="143"/>
      <c r="AO151" s="143"/>
      <c r="AP151" s="143"/>
      <c r="AQ151" s="146"/>
      <c r="AR151" s="224">
        <f t="shared" si="64"/>
        <v>0</v>
      </c>
      <c r="AS151" s="863"/>
      <c r="AT151" s="274"/>
      <c r="AU151" s="274"/>
      <c r="AV151" s="126"/>
      <c r="AW151" s="126"/>
      <c r="AX151" s="863"/>
      <c r="AY151" s="274"/>
      <c r="AZ151" s="274"/>
      <c r="BA151" s="274"/>
      <c r="BB151" s="274"/>
      <c r="BC151" s="222">
        <f t="shared" si="60"/>
        <v>0</v>
      </c>
      <c r="BD151" s="113">
        <f t="shared" si="61"/>
        <v>0</v>
      </c>
      <c r="BE151" s="3"/>
      <c r="BF151" s="113">
        <f t="shared" si="62"/>
        <v>0</v>
      </c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255"/>
      <c r="BT151" s="130">
        <f t="shared" si="63"/>
        <v>0</v>
      </c>
      <c r="BU151" s="3"/>
    </row>
    <row r="152" ht="14.25" customHeight="1">
      <c r="A152" s="132"/>
      <c r="B152" s="512">
        <v>46155</v>
      </c>
      <c r="C152" s="133"/>
      <c r="D152" s="136"/>
      <c r="E152" s="135"/>
      <c r="F152" s="135"/>
      <c r="G152" s="147">
        <f t="shared" si="55"/>
        <v>0</v>
      </c>
      <c r="H152" s="940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56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03">
        <f t="shared" si="57"/>
        <v>0</v>
      </c>
      <c r="AI152" s="136"/>
      <c r="AJ152" s="136"/>
      <c r="AK152" s="136"/>
      <c r="AL152" s="105">
        <f t="shared" si="58"/>
        <v>0</v>
      </c>
      <c r="AM152" s="143"/>
      <c r="AN152" s="143"/>
      <c r="AO152" s="143"/>
      <c r="AP152" s="143"/>
      <c r="AQ152" s="146"/>
      <c r="AR152" s="224">
        <f t="shared" si="64"/>
        <v>0</v>
      </c>
      <c r="AS152" s="863"/>
      <c r="AT152" s="274"/>
      <c r="AU152" s="126"/>
      <c r="AV152" s="126"/>
      <c r="AW152" s="126"/>
      <c r="AX152" s="863"/>
      <c r="AY152" s="274"/>
      <c r="AZ152" s="274"/>
      <c r="BA152" s="274"/>
      <c r="BB152" s="274"/>
      <c r="BC152" s="222">
        <f t="shared" si="60"/>
        <v>0</v>
      </c>
      <c r="BD152" s="140">
        <f t="shared" si="61"/>
        <v>0</v>
      </c>
      <c r="BE152" s="132"/>
      <c r="BF152" s="140">
        <f t="shared" si="62"/>
        <v>0</v>
      </c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52"/>
      <c r="BT152" s="130">
        <f t="shared" si="63"/>
        <v>0</v>
      </c>
      <c r="BU152" s="132"/>
    </row>
    <row r="153" ht="14.25" customHeight="1">
      <c r="A153" s="132"/>
      <c r="B153" s="512">
        <v>46156</v>
      </c>
      <c r="C153" s="133"/>
      <c r="D153" s="136"/>
      <c r="E153" s="135"/>
      <c r="F153" s="135"/>
      <c r="G153" s="147">
        <f t="shared" si="55"/>
        <v>0</v>
      </c>
      <c r="H153" s="940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56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03">
        <f t="shared" si="57"/>
        <v>0</v>
      </c>
      <c r="AI153" s="136"/>
      <c r="AJ153" s="136"/>
      <c r="AK153" s="136"/>
      <c r="AL153" s="105">
        <f t="shared" si="58"/>
        <v>0</v>
      </c>
      <c r="AM153" s="143"/>
      <c r="AN153" s="143"/>
      <c r="AO153" s="143"/>
      <c r="AP153" s="143"/>
      <c r="AQ153" s="146"/>
      <c r="AR153" s="224">
        <f t="shared" si="64"/>
        <v>0</v>
      </c>
      <c r="AS153" s="863"/>
      <c r="AT153" s="274"/>
      <c r="AU153" s="126"/>
      <c r="AV153" s="126"/>
      <c r="AW153" s="126"/>
      <c r="AX153" s="863"/>
      <c r="AY153" s="274"/>
      <c r="AZ153" s="274"/>
      <c r="BA153" s="274"/>
      <c r="BB153" s="274"/>
      <c r="BC153" s="222">
        <f t="shared" si="60"/>
        <v>0</v>
      </c>
      <c r="BD153" s="140">
        <f t="shared" si="61"/>
        <v>0</v>
      </c>
      <c r="BE153" s="132"/>
      <c r="BF153" s="140">
        <f t="shared" si="62"/>
        <v>0</v>
      </c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52"/>
      <c r="BT153" s="130">
        <f t="shared" si="63"/>
        <v>0</v>
      </c>
      <c r="BU153" s="132"/>
    </row>
    <row r="154" ht="14.25" customHeight="1">
      <c r="A154" s="132"/>
      <c r="B154" s="512">
        <v>46157</v>
      </c>
      <c r="C154" s="133"/>
      <c r="D154" s="136"/>
      <c r="E154" s="135"/>
      <c r="F154" s="135"/>
      <c r="G154" s="147">
        <f t="shared" si="55"/>
        <v>0</v>
      </c>
      <c r="H154" s="940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56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03">
        <f t="shared" si="57"/>
        <v>0</v>
      </c>
      <c r="AI154" s="136"/>
      <c r="AJ154" s="136"/>
      <c r="AK154" s="136"/>
      <c r="AL154" s="105">
        <f t="shared" si="58"/>
        <v>0</v>
      </c>
      <c r="AM154" s="143"/>
      <c r="AN154" s="143"/>
      <c r="AO154" s="143"/>
      <c r="AP154" s="143"/>
      <c r="AQ154" s="146"/>
      <c r="AR154" s="224">
        <f t="shared" si="64"/>
        <v>0</v>
      </c>
      <c r="AS154" s="863"/>
      <c r="AT154" s="274"/>
      <c r="AU154" s="126"/>
      <c r="AV154" s="126"/>
      <c r="AW154" s="126"/>
      <c r="AX154" s="863"/>
      <c r="AY154" s="274"/>
      <c r="AZ154" s="274"/>
      <c r="BA154" s="274"/>
      <c r="BB154" s="274"/>
      <c r="BC154" s="222">
        <f t="shared" si="60"/>
        <v>0</v>
      </c>
      <c r="BD154" s="140">
        <f t="shared" si="61"/>
        <v>0</v>
      </c>
      <c r="BE154" s="132"/>
      <c r="BF154" s="140">
        <f t="shared" si="62"/>
        <v>0</v>
      </c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52"/>
      <c r="BT154" s="130">
        <f t="shared" si="63"/>
        <v>0</v>
      </c>
      <c r="BU154" s="132"/>
    </row>
    <row r="155" ht="14.25" customHeight="1">
      <c r="A155" s="132"/>
      <c r="B155" s="512">
        <v>46158</v>
      </c>
      <c r="C155" s="133"/>
      <c r="D155" s="136"/>
      <c r="E155" s="135"/>
      <c r="F155" s="135"/>
      <c r="G155" s="147">
        <f t="shared" si="55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56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03">
        <f t="shared" si="57"/>
        <v>0</v>
      </c>
      <c r="AI155" s="136"/>
      <c r="AJ155" s="136"/>
      <c r="AK155" s="136"/>
      <c r="AL155" s="105">
        <f t="shared" si="58"/>
        <v>0</v>
      </c>
      <c r="AM155" s="143"/>
      <c r="AN155" s="143"/>
      <c r="AO155" s="143"/>
      <c r="AP155" s="143"/>
      <c r="AQ155" s="146"/>
      <c r="AR155" s="224">
        <f t="shared" si="64"/>
        <v>0</v>
      </c>
      <c r="AS155" s="863"/>
      <c r="AT155" s="274"/>
      <c r="AU155" s="126"/>
      <c r="AV155" s="126"/>
      <c r="AW155" s="126"/>
      <c r="AX155" s="863"/>
      <c r="AY155" s="274"/>
      <c r="AZ155" s="274"/>
      <c r="BA155" s="274"/>
      <c r="BB155" s="274"/>
      <c r="BC155" s="222">
        <f t="shared" si="60"/>
        <v>0</v>
      </c>
      <c r="BD155" s="140">
        <f t="shared" si="61"/>
        <v>0</v>
      </c>
      <c r="BE155" s="132"/>
      <c r="BF155" s="140">
        <f t="shared" si="62"/>
        <v>0</v>
      </c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52"/>
      <c r="BT155" s="130">
        <f t="shared" si="63"/>
        <v>0</v>
      </c>
      <c r="BU155" s="132"/>
    </row>
    <row r="156" ht="14.25" customHeight="1">
      <c r="A156" s="132"/>
      <c r="B156" s="512">
        <v>46159</v>
      </c>
      <c r="C156" s="133"/>
      <c r="D156" s="136"/>
      <c r="E156" s="135"/>
      <c r="F156" s="135"/>
      <c r="G156" s="147">
        <f t="shared" si="55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56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03">
        <f t="shared" si="57"/>
        <v>0</v>
      </c>
      <c r="AI156" s="136"/>
      <c r="AJ156" s="136"/>
      <c r="AK156" s="136"/>
      <c r="AL156" s="105">
        <f t="shared" si="58"/>
        <v>0</v>
      </c>
      <c r="AM156" s="143"/>
      <c r="AN156" s="143"/>
      <c r="AO156" s="143"/>
      <c r="AP156" s="143"/>
      <c r="AQ156" s="146"/>
      <c r="AR156" s="224">
        <f t="shared" si="64"/>
        <v>0</v>
      </c>
      <c r="AS156" s="863"/>
      <c r="AT156" s="274"/>
      <c r="AU156" s="126"/>
      <c r="AV156" s="126"/>
      <c r="AW156" s="126"/>
      <c r="AX156" s="863"/>
      <c r="AY156" s="274"/>
      <c r="AZ156" s="274"/>
      <c r="BA156" s="274"/>
      <c r="BB156" s="274"/>
      <c r="BC156" s="222">
        <f t="shared" si="60"/>
        <v>0</v>
      </c>
      <c r="BD156" s="140">
        <f t="shared" si="61"/>
        <v>0</v>
      </c>
      <c r="BE156" s="132"/>
      <c r="BF156" s="140">
        <f t="shared" si="62"/>
        <v>0</v>
      </c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52"/>
      <c r="BT156" s="130">
        <f t="shared" si="63"/>
        <v>0</v>
      </c>
      <c r="BU156" s="132"/>
    </row>
    <row r="157" ht="14.25" customHeight="1">
      <c r="A157" s="132"/>
      <c r="B157" s="512">
        <v>46160</v>
      </c>
      <c r="C157" s="133"/>
      <c r="D157" s="136"/>
      <c r="E157" s="135"/>
      <c r="F157" s="135"/>
      <c r="G157" s="147">
        <f t="shared" si="55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56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03">
        <f t="shared" si="57"/>
        <v>0</v>
      </c>
      <c r="AI157" s="136"/>
      <c r="AJ157" s="136"/>
      <c r="AK157" s="136"/>
      <c r="AL157" s="105">
        <f t="shared" si="58"/>
        <v>0</v>
      </c>
      <c r="AM157" s="143"/>
      <c r="AN157" s="143"/>
      <c r="AO157" s="143"/>
      <c r="AP157" s="143"/>
      <c r="AQ157" s="146"/>
      <c r="AR157" s="224">
        <f t="shared" si="64"/>
        <v>0</v>
      </c>
      <c r="AS157" s="863"/>
      <c r="AT157" s="274"/>
      <c r="AU157" s="126"/>
      <c r="AV157" s="126"/>
      <c r="AW157" s="126"/>
      <c r="AX157" s="863"/>
      <c r="AY157" s="274"/>
      <c r="AZ157" s="274"/>
      <c r="BA157" s="274"/>
      <c r="BB157" s="274"/>
      <c r="BC157" s="222">
        <f t="shared" si="60"/>
        <v>0</v>
      </c>
      <c r="BD157" s="140">
        <f t="shared" si="61"/>
        <v>0</v>
      </c>
      <c r="BE157" s="132"/>
      <c r="BF157" s="140">
        <f t="shared" si="62"/>
        <v>0</v>
      </c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52"/>
      <c r="BT157" s="130">
        <f t="shared" si="63"/>
        <v>0</v>
      </c>
      <c r="BU157" s="132"/>
    </row>
    <row r="158" ht="14.25" customHeight="1">
      <c r="A158" s="132"/>
      <c r="B158" s="512">
        <v>46161</v>
      </c>
      <c r="C158" s="133"/>
      <c r="D158" s="136"/>
      <c r="E158" s="135"/>
      <c r="F158" s="135"/>
      <c r="G158" s="147">
        <f t="shared" si="55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56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03">
        <f t="shared" si="57"/>
        <v>0</v>
      </c>
      <c r="AI158" s="136"/>
      <c r="AJ158" s="136"/>
      <c r="AK158" s="136"/>
      <c r="AL158" s="105">
        <f t="shared" si="58"/>
        <v>0</v>
      </c>
      <c r="AM158" s="143"/>
      <c r="AN158" s="143"/>
      <c r="AO158" s="143"/>
      <c r="AP158" s="143"/>
      <c r="AQ158" s="146"/>
      <c r="AR158" s="224">
        <f t="shared" si="64"/>
        <v>0</v>
      </c>
      <c r="AS158" s="863"/>
      <c r="AT158" s="274"/>
      <c r="AU158" s="126"/>
      <c r="AV158" s="126"/>
      <c r="AW158" s="126"/>
      <c r="AX158" s="863"/>
      <c r="AY158" s="274"/>
      <c r="AZ158" s="274"/>
      <c r="BA158" s="274"/>
      <c r="BB158" s="274"/>
      <c r="BC158" s="222">
        <f t="shared" si="60"/>
        <v>0</v>
      </c>
      <c r="BD158" s="140">
        <f t="shared" si="61"/>
        <v>0</v>
      </c>
      <c r="BE158" s="132"/>
      <c r="BF158" s="140">
        <f t="shared" si="62"/>
        <v>0</v>
      </c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52"/>
      <c r="BT158" s="130">
        <f t="shared" si="63"/>
        <v>0</v>
      </c>
      <c r="BU158" s="132"/>
    </row>
    <row r="159" ht="14.25" customHeight="1">
      <c r="A159" s="132"/>
      <c r="B159" s="512">
        <v>46162</v>
      </c>
      <c r="C159" s="133"/>
      <c r="D159" s="136"/>
      <c r="E159" s="135"/>
      <c r="F159" s="135"/>
      <c r="G159" s="147">
        <f t="shared" si="55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56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03">
        <f t="shared" si="57"/>
        <v>0</v>
      </c>
      <c r="AI159" s="136"/>
      <c r="AJ159" s="136"/>
      <c r="AK159" s="136"/>
      <c r="AL159" s="105">
        <f t="shared" si="58"/>
        <v>0</v>
      </c>
      <c r="AM159" s="143"/>
      <c r="AN159" s="143"/>
      <c r="AO159" s="143"/>
      <c r="AP159" s="143"/>
      <c r="AQ159" s="146"/>
      <c r="AR159" s="224">
        <f t="shared" si="64"/>
        <v>0</v>
      </c>
      <c r="AS159" s="863"/>
      <c r="AT159" s="274"/>
      <c r="AU159" s="126"/>
      <c r="AV159" s="126"/>
      <c r="AW159" s="126"/>
      <c r="AX159" s="863"/>
      <c r="AY159" s="274"/>
      <c r="AZ159" s="274"/>
      <c r="BA159" s="274"/>
      <c r="BB159" s="274"/>
      <c r="BC159" s="222">
        <f t="shared" si="60"/>
        <v>0</v>
      </c>
      <c r="BD159" s="140">
        <f t="shared" si="61"/>
        <v>0</v>
      </c>
      <c r="BE159" s="132"/>
      <c r="BF159" s="140">
        <f t="shared" si="62"/>
        <v>0</v>
      </c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52"/>
      <c r="BT159" s="130">
        <f t="shared" si="63"/>
        <v>0</v>
      </c>
      <c r="BU159" s="132"/>
    </row>
    <row r="160" ht="14.25" customHeight="1">
      <c r="A160" s="132"/>
      <c r="B160" s="512">
        <v>46163</v>
      </c>
      <c r="C160" s="133"/>
      <c r="D160" s="136"/>
      <c r="E160" s="135"/>
      <c r="F160" s="135"/>
      <c r="G160" s="147">
        <f t="shared" si="55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56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03">
        <f t="shared" si="57"/>
        <v>0</v>
      </c>
      <c r="AI160" s="136"/>
      <c r="AJ160" s="136"/>
      <c r="AK160" s="136"/>
      <c r="AL160" s="105">
        <f t="shared" si="58"/>
        <v>0</v>
      </c>
      <c r="AM160" s="143"/>
      <c r="AN160" s="143"/>
      <c r="AO160" s="143"/>
      <c r="AP160" s="143"/>
      <c r="AQ160" s="146"/>
      <c r="AR160" s="224">
        <f t="shared" si="64"/>
        <v>0</v>
      </c>
      <c r="AS160" s="863"/>
      <c r="AT160" s="274"/>
      <c r="AU160" s="126"/>
      <c r="AV160" s="126"/>
      <c r="AW160" s="126"/>
      <c r="AX160" s="863"/>
      <c r="AY160" s="274"/>
      <c r="AZ160" s="274"/>
      <c r="BA160" s="274"/>
      <c r="BB160" s="274"/>
      <c r="BC160" s="222">
        <f t="shared" si="60"/>
        <v>0</v>
      </c>
      <c r="BD160" s="140">
        <f t="shared" si="61"/>
        <v>0</v>
      </c>
      <c r="BE160" s="132"/>
      <c r="BF160" s="140">
        <f t="shared" si="62"/>
        <v>0</v>
      </c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52"/>
      <c r="BT160" s="130">
        <f t="shared" si="63"/>
        <v>0</v>
      </c>
      <c r="BU160" s="132"/>
    </row>
    <row r="161" ht="14.25" customHeight="1">
      <c r="A161" s="132"/>
      <c r="B161" s="512">
        <v>46164</v>
      </c>
      <c r="C161" s="133"/>
      <c r="D161" s="136"/>
      <c r="E161" s="135"/>
      <c r="F161" s="135"/>
      <c r="G161" s="147">
        <f t="shared" si="55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56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03">
        <f t="shared" si="57"/>
        <v>0</v>
      </c>
      <c r="AI161" s="136"/>
      <c r="AJ161" s="136"/>
      <c r="AK161" s="136"/>
      <c r="AL161" s="105">
        <f t="shared" si="58"/>
        <v>0</v>
      </c>
      <c r="AM161" s="143"/>
      <c r="AN161" s="143"/>
      <c r="AO161" s="143"/>
      <c r="AP161" s="143"/>
      <c r="AQ161" s="146"/>
      <c r="AR161" s="224">
        <f t="shared" si="64"/>
        <v>0</v>
      </c>
      <c r="AS161" s="863"/>
      <c r="AT161" s="274"/>
      <c r="AU161" s="126"/>
      <c r="AV161" s="126"/>
      <c r="AW161" s="126"/>
      <c r="AX161" s="863"/>
      <c r="AY161" s="274"/>
      <c r="AZ161" s="274"/>
      <c r="BA161" s="274"/>
      <c r="BB161" s="274"/>
      <c r="BC161" s="222">
        <f t="shared" si="60"/>
        <v>0</v>
      </c>
      <c r="BD161" s="140">
        <f t="shared" si="61"/>
        <v>0</v>
      </c>
      <c r="BE161" s="132"/>
      <c r="BF161" s="140">
        <f t="shared" si="62"/>
        <v>0</v>
      </c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52"/>
      <c r="BT161" s="130">
        <f t="shared" si="63"/>
        <v>0</v>
      </c>
      <c r="BU161" s="132"/>
    </row>
    <row r="162" ht="14.25" customHeight="1">
      <c r="A162" s="132"/>
      <c r="B162" s="512">
        <v>46165</v>
      </c>
      <c r="C162" s="133"/>
      <c r="D162" s="136"/>
      <c r="E162" s="135"/>
      <c r="F162" s="135"/>
      <c r="G162" s="147">
        <f t="shared" si="55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56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03">
        <f t="shared" si="57"/>
        <v>0</v>
      </c>
      <c r="AI162" s="136"/>
      <c r="AJ162" s="136"/>
      <c r="AK162" s="136"/>
      <c r="AL162" s="105">
        <f t="shared" si="58"/>
        <v>0</v>
      </c>
      <c r="AM162" s="143"/>
      <c r="AN162" s="143"/>
      <c r="AO162" s="143"/>
      <c r="AP162" s="143"/>
      <c r="AQ162" s="146"/>
      <c r="AR162" s="224">
        <f t="shared" si="64"/>
        <v>0</v>
      </c>
      <c r="AS162" s="863"/>
      <c r="AT162" s="274"/>
      <c r="AU162" s="126"/>
      <c r="AV162" s="126"/>
      <c r="AW162" s="126"/>
      <c r="AX162" s="863"/>
      <c r="AY162" s="274"/>
      <c r="AZ162" s="274"/>
      <c r="BA162" s="274"/>
      <c r="BB162" s="274"/>
      <c r="BC162" s="222">
        <f t="shared" si="60"/>
        <v>0</v>
      </c>
      <c r="BD162" s="140">
        <f t="shared" si="61"/>
        <v>0</v>
      </c>
      <c r="BE162" s="132"/>
      <c r="BF162" s="140">
        <f t="shared" si="62"/>
        <v>0</v>
      </c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52"/>
      <c r="BT162" s="130">
        <f t="shared" si="63"/>
        <v>0</v>
      </c>
      <c r="BU162" s="132"/>
    </row>
    <row r="163" ht="14.25" customHeight="1">
      <c r="A163" s="132"/>
      <c r="B163" s="512">
        <v>46166</v>
      </c>
      <c r="C163" s="133"/>
      <c r="D163" s="136"/>
      <c r="E163" s="135"/>
      <c r="F163" s="135"/>
      <c r="G163" s="147">
        <f t="shared" si="55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56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03">
        <f t="shared" si="57"/>
        <v>0</v>
      </c>
      <c r="AI163" s="136"/>
      <c r="AJ163" s="136"/>
      <c r="AK163" s="136"/>
      <c r="AL163" s="105">
        <f t="shared" si="58"/>
        <v>0</v>
      </c>
      <c r="AM163" s="143"/>
      <c r="AN163" s="143"/>
      <c r="AO163" s="143"/>
      <c r="AP163" s="143"/>
      <c r="AQ163" s="146"/>
      <c r="AR163" s="224">
        <f t="shared" si="64"/>
        <v>0</v>
      </c>
      <c r="AS163" s="863"/>
      <c r="AT163" s="274"/>
      <c r="AU163" s="126"/>
      <c r="AV163" s="126"/>
      <c r="AW163" s="126"/>
      <c r="AX163" s="863"/>
      <c r="AY163" s="274"/>
      <c r="AZ163" s="274"/>
      <c r="BA163" s="274"/>
      <c r="BB163" s="274"/>
      <c r="BC163" s="222">
        <f t="shared" si="60"/>
        <v>0</v>
      </c>
      <c r="BD163" s="140">
        <f t="shared" si="61"/>
        <v>0</v>
      </c>
      <c r="BE163" s="132"/>
      <c r="BF163" s="140">
        <f t="shared" si="62"/>
        <v>0</v>
      </c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52"/>
      <c r="BT163" s="130">
        <f t="shared" si="63"/>
        <v>0</v>
      </c>
      <c r="BU163" s="132"/>
    </row>
    <row r="164" ht="14.25" customHeight="1">
      <c r="A164" s="132"/>
      <c r="B164" s="512">
        <v>46167</v>
      </c>
      <c r="C164" s="133"/>
      <c r="D164" s="136"/>
      <c r="E164" s="135"/>
      <c r="F164" s="135"/>
      <c r="G164" s="147">
        <f t="shared" si="55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56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03">
        <f t="shared" si="57"/>
        <v>0</v>
      </c>
      <c r="AI164" s="136"/>
      <c r="AJ164" s="136"/>
      <c r="AK164" s="136"/>
      <c r="AL164" s="105">
        <f t="shared" si="58"/>
        <v>0</v>
      </c>
      <c r="AM164" s="143"/>
      <c r="AN164" s="143"/>
      <c r="AO164" s="143"/>
      <c r="AP164" s="143"/>
      <c r="AQ164" s="146"/>
      <c r="AR164" s="224">
        <f t="shared" si="64"/>
        <v>0</v>
      </c>
      <c r="AS164" s="863"/>
      <c r="AT164" s="274"/>
      <c r="AU164" s="126"/>
      <c r="AV164" s="126"/>
      <c r="AW164" s="126"/>
      <c r="AX164" s="863"/>
      <c r="AY164" s="274"/>
      <c r="AZ164" s="274"/>
      <c r="BA164" s="274"/>
      <c r="BB164" s="274"/>
      <c r="BC164" s="222">
        <f t="shared" si="60"/>
        <v>0</v>
      </c>
      <c r="BD164" s="140">
        <f t="shared" si="61"/>
        <v>0</v>
      </c>
      <c r="BE164" s="132"/>
      <c r="BF164" s="140">
        <f t="shared" si="62"/>
        <v>0</v>
      </c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52"/>
      <c r="BT164" s="130">
        <f t="shared" si="63"/>
        <v>0</v>
      </c>
      <c r="BU164" s="132"/>
    </row>
    <row r="165" ht="14.25" customHeight="1">
      <c r="A165" s="132"/>
      <c r="B165" s="512">
        <v>46168</v>
      </c>
      <c r="C165" s="133"/>
      <c r="D165" s="136"/>
      <c r="E165" s="135"/>
      <c r="F165" s="135"/>
      <c r="G165" s="147">
        <f t="shared" si="55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43"/>
      <c r="U165" s="103">
        <f t="shared" si="56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03">
        <f t="shared" si="57"/>
        <v>0</v>
      </c>
      <c r="AI165" s="136"/>
      <c r="AJ165" s="136"/>
      <c r="AK165" s="136"/>
      <c r="AL165" s="105">
        <f t="shared" si="58"/>
        <v>0</v>
      </c>
      <c r="AM165" s="143"/>
      <c r="AN165" s="143"/>
      <c r="AO165" s="143"/>
      <c r="AP165" s="143"/>
      <c r="AQ165" s="146"/>
      <c r="AR165" s="224">
        <f t="shared" si="64"/>
        <v>0</v>
      </c>
      <c r="AS165" s="863"/>
      <c r="AT165" s="274"/>
      <c r="AU165" s="126"/>
      <c r="AV165" s="126"/>
      <c r="AW165" s="126"/>
      <c r="AX165" s="863"/>
      <c r="AY165" s="274"/>
      <c r="AZ165" s="274"/>
      <c r="BA165" s="274"/>
      <c r="BB165" s="274"/>
      <c r="BC165" s="222">
        <f t="shared" si="60"/>
        <v>0</v>
      </c>
      <c r="BD165" s="140">
        <f t="shared" si="61"/>
        <v>0</v>
      </c>
      <c r="BE165" s="132"/>
      <c r="BF165" s="140">
        <f t="shared" si="62"/>
        <v>0</v>
      </c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52"/>
      <c r="BT165" s="130">
        <f t="shared" si="63"/>
        <v>0</v>
      </c>
      <c r="BU165" s="132"/>
    </row>
    <row r="166" ht="14.25" customHeight="1">
      <c r="A166" s="132"/>
      <c r="B166" s="512">
        <v>46169</v>
      </c>
      <c r="C166" s="136"/>
      <c r="D166" s="136"/>
      <c r="E166" s="135"/>
      <c r="F166" s="135"/>
      <c r="G166" s="147">
        <f t="shared" si="55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03">
        <f t="shared" si="56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03">
        <f t="shared" si="57"/>
        <v>0</v>
      </c>
      <c r="AI166" s="136"/>
      <c r="AJ166" s="136"/>
      <c r="AK166" s="136"/>
      <c r="AL166" s="105">
        <f t="shared" si="58"/>
        <v>0</v>
      </c>
      <c r="AM166" s="143"/>
      <c r="AN166" s="143"/>
      <c r="AO166" s="143"/>
      <c r="AP166" s="143"/>
      <c r="AQ166" s="146"/>
      <c r="AR166" s="224">
        <f t="shared" si="64"/>
        <v>0</v>
      </c>
      <c r="AS166" s="863"/>
      <c r="AT166" s="274"/>
      <c r="AU166" s="126"/>
      <c r="AV166" s="126"/>
      <c r="AW166" s="126"/>
      <c r="AX166" s="863"/>
      <c r="AY166" s="274"/>
      <c r="AZ166" s="274"/>
      <c r="BA166" s="274"/>
      <c r="BB166" s="274"/>
      <c r="BC166" s="222">
        <f t="shared" si="60"/>
        <v>0</v>
      </c>
      <c r="BD166" s="140">
        <f t="shared" si="61"/>
        <v>0</v>
      </c>
      <c r="BE166" s="132"/>
      <c r="BF166" s="140">
        <f t="shared" si="62"/>
        <v>0</v>
      </c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52"/>
      <c r="BT166" s="130">
        <f t="shared" si="63"/>
        <v>0</v>
      </c>
      <c r="BU166" s="132"/>
    </row>
    <row r="167" ht="14.25" customHeight="1">
      <c r="A167" s="132"/>
      <c r="B167" s="512">
        <v>46170</v>
      </c>
      <c r="C167" s="136"/>
      <c r="D167" s="136"/>
      <c r="E167" s="135"/>
      <c r="F167" s="135"/>
      <c r="G167" s="147">
        <f t="shared" si="55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56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03">
        <f t="shared" si="57"/>
        <v>0</v>
      </c>
      <c r="AI167" s="136"/>
      <c r="AJ167" s="136"/>
      <c r="AK167" s="136"/>
      <c r="AL167" s="105">
        <f t="shared" si="58"/>
        <v>0</v>
      </c>
      <c r="AM167" s="143"/>
      <c r="AN167" s="143"/>
      <c r="AO167" s="143"/>
      <c r="AP167" s="143"/>
      <c r="AQ167" s="146"/>
      <c r="AR167" s="224">
        <f t="shared" si="64"/>
        <v>0</v>
      </c>
      <c r="AS167" s="863"/>
      <c r="AT167" s="274"/>
      <c r="AU167" s="126"/>
      <c r="AV167" s="126"/>
      <c r="AW167" s="126"/>
      <c r="AX167" s="863"/>
      <c r="AY167" s="274"/>
      <c r="AZ167" s="274"/>
      <c r="BA167" s="274"/>
      <c r="BB167" s="274"/>
      <c r="BC167" s="222">
        <f t="shared" si="60"/>
        <v>0</v>
      </c>
      <c r="BD167" s="140">
        <f t="shared" si="61"/>
        <v>0</v>
      </c>
      <c r="BE167" s="132"/>
      <c r="BF167" s="140">
        <f t="shared" si="62"/>
        <v>0</v>
      </c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52"/>
      <c r="BT167" s="130">
        <f t="shared" si="63"/>
        <v>0</v>
      </c>
      <c r="BU167" s="132"/>
    </row>
    <row r="168" ht="14.25" customHeight="1">
      <c r="A168" s="132"/>
      <c r="B168" s="512">
        <v>46171</v>
      </c>
      <c r="C168" s="136"/>
      <c r="D168" s="136"/>
      <c r="E168" s="135"/>
      <c r="F168" s="135"/>
      <c r="G168" s="147">
        <f t="shared" si="55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56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03">
        <f t="shared" si="57"/>
        <v>0</v>
      </c>
      <c r="AI168" s="136"/>
      <c r="AJ168" s="136"/>
      <c r="AK168" s="136"/>
      <c r="AL168" s="105">
        <f t="shared" si="58"/>
        <v>0</v>
      </c>
      <c r="AM168" s="143"/>
      <c r="AN168" s="143"/>
      <c r="AO168" s="143"/>
      <c r="AP168" s="143"/>
      <c r="AQ168" s="146"/>
      <c r="AR168" s="224">
        <f t="shared" si="64"/>
        <v>0</v>
      </c>
      <c r="AS168" s="863"/>
      <c r="AT168" s="274"/>
      <c r="AU168" s="126"/>
      <c r="AV168" s="126"/>
      <c r="AW168" s="126"/>
      <c r="AX168" s="863"/>
      <c r="AY168" s="274"/>
      <c r="AZ168" s="274"/>
      <c r="BA168" s="274"/>
      <c r="BB168" s="274"/>
      <c r="BC168" s="222">
        <f t="shared" si="60"/>
        <v>0</v>
      </c>
      <c r="BD168" s="140">
        <f t="shared" si="61"/>
        <v>0</v>
      </c>
      <c r="BE168" s="132"/>
      <c r="BF168" s="140">
        <f t="shared" si="62"/>
        <v>0</v>
      </c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52"/>
      <c r="BT168" s="130">
        <f t="shared" si="63"/>
        <v>0</v>
      </c>
      <c r="BU168" s="132"/>
    </row>
    <row r="169" ht="14.25" customHeight="1">
      <c r="A169" s="3"/>
      <c r="B169" s="512">
        <v>46172</v>
      </c>
      <c r="C169" s="123"/>
      <c r="D169" s="123"/>
      <c r="E169" s="120"/>
      <c r="F169" s="120"/>
      <c r="G169" s="147">
        <f t="shared" si="55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03">
        <f t="shared" si="56"/>
        <v>0</v>
      </c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43"/>
      <c r="AH169" s="103">
        <f t="shared" si="57"/>
        <v>0</v>
      </c>
      <c r="AI169" s="123"/>
      <c r="AJ169" s="123"/>
      <c r="AK169" s="123"/>
      <c r="AL169" s="105">
        <f t="shared" si="58"/>
        <v>0</v>
      </c>
      <c r="AM169" s="143"/>
      <c r="AN169" s="143"/>
      <c r="AO169" s="143"/>
      <c r="AP169" s="143"/>
      <c r="AQ169" s="146"/>
      <c r="AR169" s="224">
        <f t="shared" si="64"/>
        <v>0</v>
      </c>
      <c r="AS169" s="863"/>
      <c r="AT169" s="274"/>
      <c r="AU169" s="126"/>
      <c r="AV169" s="126"/>
      <c r="AW169" s="126"/>
      <c r="AX169" s="863"/>
      <c r="AY169" s="274"/>
      <c r="AZ169" s="274"/>
      <c r="BA169" s="274"/>
      <c r="BB169" s="274"/>
      <c r="BC169" s="222">
        <f t="shared" si="60"/>
        <v>0</v>
      </c>
      <c r="BD169" s="113">
        <f t="shared" si="61"/>
        <v>0</v>
      </c>
      <c r="BE169" s="3"/>
      <c r="BF169" s="113">
        <f t="shared" si="62"/>
        <v>0</v>
      </c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255"/>
      <c r="BT169" s="130">
        <f t="shared" si="63"/>
        <v>0</v>
      </c>
      <c r="BU169" s="3"/>
    </row>
    <row r="170" ht="14.25" customHeight="1">
      <c r="A170" s="3"/>
      <c r="B170" s="512">
        <v>46173</v>
      </c>
      <c r="C170" s="278"/>
      <c r="D170" s="278"/>
      <c r="E170" s="279"/>
      <c r="F170" s="279"/>
      <c r="G170" s="147">
        <f t="shared" si="55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03">
        <f t="shared" si="56"/>
        <v>0</v>
      </c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03">
        <f t="shared" si="57"/>
        <v>0</v>
      </c>
      <c r="AI170" s="278"/>
      <c r="AJ170" s="278"/>
      <c r="AK170" s="278"/>
      <c r="AL170" s="105">
        <f t="shared" si="58"/>
        <v>0</v>
      </c>
      <c r="AM170" s="157"/>
      <c r="AN170" s="157"/>
      <c r="AO170" s="157"/>
      <c r="AP170" s="157"/>
      <c r="AQ170" s="160"/>
      <c r="AR170" s="224">
        <f t="shared" si="64"/>
        <v>0</v>
      </c>
      <c r="AS170" s="941"/>
      <c r="AT170" s="942"/>
      <c r="AU170" s="943"/>
      <c r="AV170" s="943"/>
      <c r="AW170" s="857"/>
      <c r="AX170" s="944"/>
      <c r="AY170" s="296"/>
      <c r="AZ170" s="296"/>
      <c r="BA170" s="296"/>
      <c r="BB170" s="296"/>
      <c r="BC170" s="222">
        <f t="shared" si="60"/>
        <v>0</v>
      </c>
      <c r="BD170" s="281">
        <f t="shared" si="61"/>
        <v>0</v>
      </c>
      <c r="BE170" s="3"/>
      <c r="BF170" s="281">
        <f t="shared" si="62"/>
        <v>0</v>
      </c>
      <c r="BG170" s="282"/>
      <c r="BH170" s="282"/>
      <c r="BI170" s="282"/>
      <c r="BJ170" s="282"/>
      <c r="BK170" s="282"/>
      <c r="BL170" s="282"/>
      <c r="BM170" s="282"/>
      <c r="BN170" s="282"/>
      <c r="BO170" s="282"/>
      <c r="BP170" s="282"/>
      <c r="BQ170" s="282"/>
      <c r="BR170" s="282"/>
      <c r="BS170" s="945"/>
      <c r="BT170" s="164">
        <f t="shared" si="63"/>
        <v>0</v>
      </c>
      <c r="BU170" s="3"/>
    </row>
    <row r="171" ht="14.25" customHeight="1">
      <c r="A171" s="3"/>
      <c r="B171" s="2"/>
      <c r="C171" s="165">
        <f ref="C171:R171" t="shared" si="65">SUM(C140:C170)</f>
        <v>0</v>
      </c>
      <c r="D171" s="165">
        <f t="shared" si="65"/>
        <v>0</v>
      </c>
      <c r="E171" s="165">
        <f t="shared" si="65"/>
        <v>0</v>
      </c>
      <c r="F171" s="165">
        <f t="shared" si="65"/>
        <v>0</v>
      </c>
      <c r="G171" s="165">
        <f t="shared" si="65"/>
        <v>0</v>
      </c>
      <c r="H171" s="165">
        <f t="shared" si="65"/>
        <v>0</v>
      </c>
      <c r="I171" s="165">
        <f t="shared" si="65"/>
        <v>0</v>
      </c>
      <c r="J171" s="165">
        <f t="shared" si="65"/>
        <v>0</v>
      </c>
      <c r="K171" s="165">
        <f t="shared" si="65"/>
        <v>0</v>
      </c>
      <c r="L171" s="165">
        <f t="shared" si="65"/>
        <v>0</v>
      </c>
      <c r="M171" s="165">
        <f t="shared" si="65"/>
        <v>0</v>
      </c>
      <c r="N171" s="165">
        <f t="shared" si="65"/>
        <v>0</v>
      </c>
      <c r="O171" s="165">
        <f t="shared" si="65"/>
        <v>0</v>
      </c>
      <c r="P171" s="165">
        <f t="shared" si="65"/>
        <v>0</v>
      </c>
      <c r="Q171" s="165">
        <f t="shared" si="65"/>
        <v>0</v>
      </c>
      <c r="R171" s="165">
        <f t="shared" si="65"/>
        <v>0</v>
      </c>
      <c r="S171" s="165"/>
      <c r="T171" s="165">
        <f ref="T171:BD171" t="shared" si="66">SUM(T140:T170)</f>
        <v>0</v>
      </c>
      <c r="U171" s="165">
        <f t="shared" si="66"/>
        <v>0</v>
      </c>
      <c r="V171" s="165">
        <f t="shared" si="66"/>
        <v>0</v>
      </c>
      <c r="W171" s="165">
        <f t="shared" si="66"/>
        <v>0</v>
      </c>
      <c r="X171" s="165">
        <f t="shared" si="66"/>
        <v>0</v>
      </c>
      <c r="Y171" s="165">
        <f t="shared" si="66"/>
        <v>0</v>
      </c>
      <c r="Z171" s="165">
        <f t="shared" si="66"/>
        <v>0</v>
      </c>
      <c r="AA171" s="165">
        <f t="shared" si="66"/>
        <v>0</v>
      </c>
      <c r="AB171" s="165">
        <f t="shared" si="66"/>
        <v>0</v>
      </c>
      <c r="AC171" s="165">
        <f t="shared" si="66"/>
        <v>0</v>
      </c>
      <c r="AD171" s="165">
        <f t="shared" si="66"/>
        <v>0</v>
      </c>
      <c r="AE171" s="165">
        <f t="shared" si="66"/>
        <v>0</v>
      </c>
      <c r="AF171" s="165">
        <f t="shared" si="66"/>
        <v>0</v>
      </c>
      <c r="AG171" s="165">
        <f t="shared" si="66"/>
        <v>0</v>
      </c>
      <c r="AH171" s="165">
        <f t="shared" si="66"/>
        <v>0</v>
      </c>
      <c r="AI171" s="165">
        <f t="shared" si="66"/>
        <v>0</v>
      </c>
      <c r="AJ171" s="165">
        <f t="shared" si="66"/>
        <v>0</v>
      </c>
      <c r="AK171" s="165">
        <f t="shared" si="66"/>
        <v>0</v>
      </c>
      <c r="AL171" s="165">
        <f t="shared" si="66"/>
        <v>0</v>
      </c>
      <c r="AM171" s="165">
        <f t="shared" si="66"/>
        <v>0</v>
      </c>
      <c r="AN171" s="165">
        <f t="shared" si="66"/>
        <v>0</v>
      </c>
      <c r="AO171" s="165">
        <f t="shared" si="66"/>
        <v>0</v>
      </c>
      <c r="AP171" s="165">
        <f t="shared" si="66"/>
        <v>0</v>
      </c>
      <c r="AQ171" s="165">
        <f t="shared" si="66"/>
        <v>0</v>
      </c>
      <c r="AR171" s="165">
        <f t="shared" si="66"/>
        <v>0</v>
      </c>
      <c r="AS171" s="165">
        <f t="shared" si="66"/>
        <v>0</v>
      </c>
      <c r="AT171" s="165">
        <f t="shared" si="66"/>
        <v>0</v>
      </c>
      <c r="AU171" s="165">
        <f t="shared" si="66"/>
        <v>0</v>
      </c>
      <c r="AV171" s="165">
        <f t="shared" si="66"/>
        <v>0</v>
      </c>
      <c r="AW171" s="165">
        <f t="shared" si="66"/>
        <v>0</v>
      </c>
      <c r="AX171" s="165">
        <f t="shared" si="66"/>
        <v>0</v>
      </c>
      <c r="AY171" s="165">
        <f t="shared" si="66"/>
        <v>0</v>
      </c>
      <c r="AZ171" s="165">
        <f t="shared" si="66"/>
        <v>0</v>
      </c>
      <c r="BA171" s="165">
        <f t="shared" si="66"/>
        <v>0</v>
      </c>
      <c r="BB171" s="165">
        <f t="shared" si="66"/>
        <v>0</v>
      </c>
      <c r="BC171" s="165">
        <f t="shared" si="66"/>
        <v>0</v>
      </c>
      <c r="BD171" s="165">
        <f t="shared" si="66"/>
        <v>0</v>
      </c>
      <c r="BE171" s="3"/>
      <c r="BF171" s="172">
        <f>SUM(BF140:BF170)</f>
        <v>0</v>
      </c>
      <c r="BG171" s="165">
        <f ref="BG171:BT171" t="shared" si="67">SUM(BG156:BG170)</f>
        <v>0</v>
      </c>
      <c r="BH171" s="165">
        <f t="shared" si="67"/>
        <v>0</v>
      </c>
      <c r="BI171" s="165">
        <f t="shared" si="67"/>
        <v>0</v>
      </c>
      <c r="BJ171" s="165">
        <f t="shared" si="67"/>
        <v>0</v>
      </c>
      <c r="BK171" s="165">
        <f t="shared" si="67"/>
        <v>0</v>
      </c>
      <c r="BL171" s="165">
        <f t="shared" si="67"/>
        <v>0</v>
      </c>
      <c r="BM171" s="165">
        <f t="shared" si="67"/>
        <v>0</v>
      </c>
      <c r="BN171" s="165">
        <f t="shared" si="67"/>
        <v>0</v>
      </c>
      <c r="BO171" s="165">
        <f t="shared" si="67"/>
        <v>0</v>
      </c>
      <c r="BP171" s="165">
        <f t="shared" si="67"/>
        <v>0</v>
      </c>
      <c r="BQ171" s="165">
        <f t="shared" si="67"/>
        <v>0</v>
      </c>
      <c r="BR171" s="165">
        <f t="shared" si="67"/>
        <v>0</v>
      </c>
      <c r="BS171" s="165">
        <f t="shared" si="67"/>
        <v>0</v>
      </c>
      <c r="BT171" s="165">
        <f t="shared" si="67"/>
        <v>0</v>
      </c>
      <c r="BU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4"/>
      <c r="AM172" s="3"/>
      <c r="AN172" s="3"/>
      <c r="AO172" s="3"/>
      <c r="AP172" s="3"/>
      <c r="AQ172" s="3"/>
      <c r="AR172" s="4"/>
      <c r="AS172" s="132"/>
      <c r="AT172" s="132"/>
      <c r="AU172" s="132"/>
      <c r="AV172" s="3"/>
      <c r="AW172" s="3"/>
      <c r="AX172" s="132"/>
      <c r="AY172" s="132"/>
      <c r="AZ172" s="132"/>
      <c r="BA172" s="132"/>
      <c r="BB172" s="132"/>
      <c r="BC172" s="4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ht="14.25" customHeight="1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176"/>
      <c r="AI173" s="3"/>
      <c r="AJ173" s="3"/>
      <c r="AK173" s="3"/>
      <c r="AL173" s="4"/>
      <c r="AM173" s="3"/>
      <c r="AN173" s="3"/>
      <c r="AO173" s="3"/>
      <c r="AP173" s="3"/>
      <c r="AQ173" s="3"/>
      <c r="AR173" s="177"/>
      <c r="AS173" s="4"/>
      <c r="AT173" s="4"/>
      <c r="AU173" s="4"/>
      <c r="AV173" s="4"/>
      <c r="AW173" s="4"/>
      <c r="AX173" s="4"/>
      <c r="AY173" s="4"/>
      <c r="AZ173" s="4"/>
      <c r="BA173" s="4"/>
      <c r="BB173" s="132"/>
      <c r="BC173" s="177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</row>
    <row r="174" ht="14.25" customHeight="1">
      <c r="A174" s="3"/>
      <c r="B174" s="512">
        <v>46174</v>
      </c>
      <c r="C174" s="94"/>
      <c r="D174" s="104"/>
      <c r="E174" s="97"/>
      <c r="F174" s="97"/>
      <c r="G174" s="265">
        <f ref="G174:G203" t="shared" si="68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03">
        <f ref="U174:U203" t="shared" si="69">SUM(H174:T174)</f>
        <v>0</v>
      </c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03">
        <f ref="AH174:AH203" t="shared" si="70">SUM(V174:AG174)</f>
        <v>0</v>
      </c>
      <c r="AI174" s="104"/>
      <c r="AJ174" s="104"/>
      <c r="AK174" s="104"/>
      <c r="AL174" s="191">
        <f ref="AL174:AL203" t="shared" si="71">SUM(AI174:AK174)</f>
        <v>0</v>
      </c>
      <c r="AM174" s="186"/>
      <c r="AN174" s="186"/>
      <c r="AO174" s="186"/>
      <c r="AP174" s="186"/>
      <c r="AQ174" s="193"/>
      <c r="AR174" s="224">
        <f ref="AR174:AR203" t="shared" si="72">+G174-U174-AH174-AL174-AM174-AO174-AP174-AQ174</f>
        <v>0</v>
      </c>
      <c r="AS174" s="109"/>
      <c r="AT174" s="109"/>
      <c r="AU174" s="109"/>
      <c r="AV174" s="127"/>
      <c r="AW174" s="127"/>
      <c r="AX174" s="109"/>
      <c r="AY174" s="127"/>
      <c r="AZ174" s="127"/>
      <c r="BA174" s="127"/>
      <c r="BB174" s="109"/>
      <c r="BC174" s="222">
        <f ref="BC174:BC203" t="shared" si="73">SUM(AS174:BB174)-BA174</f>
        <v>0</v>
      </c>
      <c r="BD174" s="114">
        <f ref="BD174:BD203" t="shared" si="74">+AR174-BC174</f>
        <v>0</v>
      </c>
      <c r="BE174" s="3"/>
      <c r="BF174" s="114">
        <f ref="BF174:BF203" t="shared" si="75">SUM(BG174:BS174)</f>
        <v>0</v>
      </c>
      <c r="BG174" s="115"/>
      <c r="BH174" s="115"/>
      <c r="BI174" s="946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116">
        <f ref="BT174:BT203" t="shared" si="76">+BD174-BF174</f>
        <v>0</v>
      </c>
      <c r="BU174" s="3"/>
    </row>
    <row r="175" ht="14.25" customHeight="1">
      <c r="A175" s="3"/>
      <c r="B175" s="512">
        <v>46175</v>
      </c>
      <c r="C175" s="118"/>
      <c r="D175" s="123"/>
      <c r="E175" s="120"/>
      <c r="F175" s="120"/>
      <c r="G175" s="147">
        <f t="shared" si="68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03">
        <f t="shared" si="69"/>
        <v>0</v>
      </c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03">
        <f t="shared" si="70"/>
        <v>0</v>
      </c>
      <c r="AI175" s="123"/>
      <c r="AJ175" s="123"/>
      <c r="AK175" s="123"/>
      <c r="AL175" s="105">
        <f t="shared" si="71"/>
        <v>0</v>
      </c>
      <c r="AM175" s="143"/>
      <c r="AN175" s="143"/>
      <c r="AO175" s="143"/>
      <c r="AP175" s="143"/>
      <c r="AQ175" s="146"/>
      <c r="AR175" s="224">
        <f t="shared" si="72"/>
        <v>0</v>
      </c>
      <c r="AS175" s="126"/>
      <c r="AT175" s="126"/>
      <c r="AU175" s="126"/>
      <c r="AV175" s="127"/>
      <c r="AW175" s="127"/>
      <c r="AX175" s="126"/>
      <c r="AY175" s="127"/>
      <c r="AZ175" s="127"/>
      <c r="BA175" s="127"/>
      <c r="BB175" s="126"/>
      <c r="BC175" s="222">
        <f t="shared" si="73"/>
        <v>0</v>
      </c>
      <c r="BD175" s="113">
        <f t="shared" si="74"/>
        <v>0</v>
      </c>
      <c r="BE175" s="3"/>
      <c r="BF175" s="113">
        <f t="shared" si="75"/>
        <v>0</v>
      </c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30">
        <f t="shared" si="76"/>
        <v>0</v>
      </c>
      <c r="BU175" s="3"/>
    </row>
    <row r="176" ht="14.25" customHeight="1">
      <c r="A176" s="3"/>
      <c r="B176" s="512">
        <v>46176</v>
      </c>
      <c r="C176" s="118"/>
      <c r="D176" s="123"/>
      <c r="E176" s="120"/>
      <c r="F176" s="120"/>
      <c r="G176" s="147">
        <f t="shared" si="68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69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03">
        <f t="shared" si="70"/>
        <v>0</v>
      </c>
      <c r="AI176" s="123"/>
      <c r="AJ176" s="123"/>
      <c r="AK176" s="123"/>
      <c r="AL176" s="105">
        <f t="shared" si="71"/>
        <v>0</v>
      </c>
      <c r="AM176" s="143"/>
      <c r="AN176" s="143"/>
      <c r="AO176" s="143"/>
      <c r="AP176" s="143"/>
      <c r="AQ176" s="146"/>
      <c r="AR176" s="224">
        <f t="shared" si="72"/>
        <v>0</v>
      </c>
      <c r="AS176" s="126"/>
      <c r="AT176" s="126"/>
      <c r="AU176" s="126"/>
      <c r="AV176" s="127"/>
      <c r="AW176" s="127"/>
      <c r="AX176" s="126"/>
      <c r="AY176" s="127"/>
      <c r="AZ176" s="127"/>
      <c r="BA176" s="127"/>
      <c r="BB176" s="126"/>
      <c r="BC176" s="222">
        <f t="shared" si="73"/>
        <v>0</v>
      </c>
      <c r="BD176" s="113">
        <f t="shared" si="74"/>
        <v>0</v>
      </c>
      <c r="BE176" s="3"/>
      <c r="BF176" s="113">
        <f t="shared" si="75"/>
        <v>0</v>
      </c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30">
        <f t="shared" si="76"/>
        <v>0</v>
      </c>
      <c r="BU176" s="3"/>
    </row>
    <row r="177" ht="14.25" customHeight="1">
      <c r="A177" s="3"/>
      <c r="B177" s="512">
        <v>46177</v>
      </c>
      <c r="C177" s="118"/>
      <c r="D177" s="123"/>
      <c r="E177" s="120"/>
      <c r="F177" s="120"/>
      <c r="G177" s="147">
        <f t="shared" si="68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69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03">
        <f t="shared" si="70"/>
        <v>0</v>
      </c>
      <c r="AI177" s="123"/>
      <c r="AJ177" s="123"/>
      <c r="AK177" s="123"/>
      <c r="AL177" s="105">
        <f t="shared" si="71"/>
        <v>0</v>
      </c>
      <c r="AM177" s="143"/>
      <c r="AN177" s="143"/>
      <c r="AO177" s="143"/>
      <c r="AP177" s="143"/>
      <c r="AQ177" s="146"/>
      <c r="AR177" s="224">
        <f t="shared" si="72"/>
        <v>0</v>
      </c>
      <c r="AS177" s="126"/>
      <c r="AT177" s="126"/>
      <c r="AU177" s="126"/>
      <c r="AV177" s="127"/>
      <c r="AW177" s="127"/>
      <c r="AX177" s="126"/>
      <c r="AY177" s="127"/>
      <c r="AZ177" s="127"/>
      <c r="BA177" s="127"/>
      <c r="BB177" s="126"/>
      <c r="BC177" s="222">
        <f t="shared" si="73"/>
        <v>0</v>
      </c>
      <c r="BD177" s="113">
        <f t="shared" si="74"/>
        <v>0</v>
      </c>
      <c r="BE177" s="3"/>
      <c r="BF177" s="113">
        <f t="shared" si="75"/>
        <v>0</v>
      </c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30">
        <f t="shared" si="76"/>
        <v>0</v>
      </c>
      <c r="BU177" s="3"/>
    </row>
    <row r="178" ht="14.25" customHeight="1">
      <c r="A178" s="3"/>
      <c r="B178" s="512">
        <v>46178</v>
      </c>
      <c r="C178" s="118"/>
      <c r="D178" s="123"/>
      <c r="E178" s="120"/>
      <c r="F178" s="120"/>
      <c r="G178" s="147">
        <f t="shared" si="68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69"/>
        <v>0</v>
      </c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03">
        <f t="shared" si="70"/>
        <v>0</v>
      </c>
      <c r="AI178" s="123"/>
      <c r="AJ178" s="123"/>
      <c r="AK178" s="123"/>
      <c r="AL178" s="105">
        <f t="shared" si="71"/>
        <v>0</v>
      </c>
      <c r="AM178" s="143"/>
      <c r="AN178" s="143"/>
      <c r="AO178" s="143"/>
      <c r="AP178" s="143"/>
      <c r="AQ178" s="146"/>
      <c r="AR178" s="224">
        <f t="shared" si="72"/>
        <v>0</v>
      </c>
      <c r="AS178" s="126"/>
      <c r="AT178" s="126"/>
      <c r="AU178" s="126"/>
      <c r="AV178" s="127"/>
      <c r="AW178" s="127"/>
      <c r="AX178" s="126"/>
      <c r="AY178" s="127"/>
      <c r="AZ178" s="127"/>
      <c r="BA178" s="127"/>
      <c r="BB178" s="126"/>
      <c r="BC178" s="222">
        <f t="shared" si="73"/>
        <v>0</v>
      </c>
      <c r="BD178" s="113">
        <f t="shared" si="74"/>
        <v>0</v>
      </c>
      <c r="BE178" s="3"/>
      <c r="BF178" s="113">
        <f t="shared" si="75"/>
        <v>0</v>
      </c>
      <c r="BG178" s="129"/>
      <c r="BH178" s="129"/>
      <c r="BI178" s="913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30">
        <f t="shared" si="76"/>
        <v>0</v>
      </c>
      <c r="BU178" s="3"/>
    </row>
    <row r="179" ht="14.25" customHeight="1">
      <c r="A179" s="3"/>
      <c r="B179" s="512">
        <v>46179</v>
      </c>
      <c r="C179" s="118"/>
      <c r="D179" s="123"/>
      <c r="E179" s="120"/>
      <c r="F179" s="120"/>
      <c r="G179" s="147">
        <f t="shared" si="68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69"/>
        <v>0</v>
      </c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03">
        <f t="shared" si="70"/>
        <v>0</v>
      </c>
      <c r="AI179" s="123"/>
      <c r="AJ179" s="123"/>
      <c r="AK179" s="123"/>
      <c r="AL179" s="105">
        <f t="shared" si="71"/>
        <v>0</v>
      </c>
      <c r="AM179" s="143"/>
      <c r="AN179" s="143"/>
      <c r="AO179" s="143"/>
      <c r="AP179" s="143"/>
      <c r="AQ179" s="146"/>
      <c r="AR179" s="224">
        <f t="shared" si="72"/>
        <v>0</v>
      </c>
      <c r="AS179" s="126"/>
      <c r="AT179" s="126"/>
      <c r="AU179" s="126"/>
      <c r="AV179" s="127"/>
      <c r="AW179" s="127"/>
      <c r="AX179" s="126"/>
      <c r="AY179" s="127"/>
      <c r="AZ179" s="127"/>
      <c r="BA179" s="127"/>
      <c r="BB179" s="126"/>
      <c r="BC179" s="222">
        <f t="shared" si="73"/>
        <v>0</v>
      </c>
      <c r="BD179" s="113">
        <f t="shared" si="74"/>
        <v>0</v>
      </c>
      <c r="BE179" s="3"/>
      <c r="BF179" s="113">
        <f t="shared" si="75"/>
        <v>0</v>
      </c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30">
        <f t="shared" si="76"/>
        <v>0</v>
      </c>
      <c r="BU179" s="3"/>
    </row>
    <row r="180" ht="14.25" customHeight="1">
      <c r="A180" s="132"/>
      <c r="B180" s="512">
        <v>46180</v>
      </c>
      <c r="C180" s="133"/>
      <c r="D180" s="136"/>
      <c r="E180" s="135"/>
      <c r="F180" s="135"/>
      <c r="G180" s="147">
        <f t="shared" si="68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69"/>
        <v>0</v>
      </c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03">
        <f t="shared" si="70"/>
        <v>0</v>
      </c>
      <c r="AI180" s="136"/>
      <c r="AJ180" s="136"/>
      <c r="AK180" s="136"/>
      <c r="AL180" s="105">
        <f t="shared" si="71"/>
        <v>0</v>
      </c>
      <c r="AM180" s="143"/>
      <c r="AN180" s="143"/>
      <c r="AO180" s="143"/>
      <c r="AP180" s="143"/>
      <c r="AQ180" s="146"/>
      <c r="AR180" s="224">
        <f t="shared" si="72"/>
        <v>0</v>
      </c>
      <c r="AS180" s="126"/>
      <c r="AT180" s="126"/>
      <c r="AU180" s="126"/>
      <c r="AV180" s="127"/>
      <c r="AW180" s="127"/>
      <c r="AX180" s="126"/>
      <c r="AY180" s="127"/>
      <c r="AZ180" s="127"/>
      <c r="BA180" s="127"/>
      <c r="BB180" s="126"/>
      <c r="BC180" s="222">
        <f t="shared" si="73"/>
        <v>0</v>
      </c>
      <c r="BD180" s="140">
        <f t="shared" si="74"/>
        <v>0</v>
      </c>
      <c r="BE180" s="132"/>
      <c r="BF180" s="140">
        <f t="shared" si="75"/>
        <v>0</v>
      </c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76"/>
        <v>0</v>
      </c>
      <c r="BU180" s="132"/>
    </row>
    <row r="181" ht="14.25" customHeight="1">
      <c r="A181" s="132"/>
      <c r="B181" s="512">
        <v>46181</v>
      </c>
      <c r="C181" s="133"/>
      <c r="D181" s="136"/>
      <c r="E181" s="135"/>
      <c r="F181" s="135"/>
      <c r="G181" s="147">
        <f t="shared" si="68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69"/>
        <v>0</v>
      </c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03">
        <f t="shared" si="70"/>
        <v>0</v>
      </c>
      <c r="AI181" s="136"/>
      <c r="AJ181" s="136"/>
      <c r="AK181" s="136"/>
      <c r="AL181" s="105">
        <f t="shared" si="71"/>
        <v>0</v>
      </c>
      <c r="AM181" s="143"/>
      <c r="AN181" s="143"/>
      <c r="AO181" s="143"/>
      <c r="AP181" s="143"/>
      <c r="AQ181" s="146"/>
      <c r="AR181" s="224">
        <f t="shared" si="72"/>
        <v>0</v>
      </c>
      <c r="AS181" s="126"/>
      <c r="AT181" s="126"/>
      <c r="AU181" s="126"/>
      <c r="AV181" s="127"/>
      <c r="AW181" s="127"/>
      <c r="AX181" s="126"/>
      <c r="AY181" s="127"/>
      <c r="AZ181" s="127"/>
      <c r="BA181" s="127"/>
      <c r="BB181" s="126"/>
      <c r="BC181" s="222">
        <f t="shared" si="73"/>
        <v>0</v>
      </c>
      <c r="BD181" s="140">
        <f t="shared" si="74"/>
        <v>0</v>
      </c>
      <c r="BE181" s="132"/>
      <c r="BF181" s="140">
        <f t="shared" si="75"/>
        <v>0</v>
      </c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76"/>
        <v>0</v>
      </c>
      <c r="BU181" s="132"/>
    </row>
    <row r="182" ht="14.25" customHeight="1">
      <c r="A182" s="132"/>
      <c r="B182" s="512">
        <v>46182</v>
      </c>
      <c r="C182" s="133"/>
      <c r="D182" s="136"/>
      <c r="E182" s="135"/>
      <c r="F182" s="135"/>
      <c r="G182" s="147">
        <f t="shared" si="68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69"/>
        <v>0</v>
      </c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03">
        <f t="shared" si="70"/>
        <v>0</v>
      </c>
      <c r="AI182" s="136"/>
      <c r="AJ182" s="136"/>
      <c r="AK182" s="136"/>
      <c r="AL182" s="105">
        <f t="shared" si="71"/>
        <v>0</v>
      </c>
      <c r="AM182" s="143"/>
      <c r="AN182" s="143"/>
      <c r="AO182" s="143"/>
      <c r="AP182" s="143"/>
      <c r="AQ182" s="146"/>
      <c r="AR182" s="224">
        <f t="shared" si="72"/>
        <v>0</v>
      </c>
      <c r="AS182" s="126"/>
      <c r="AT182" s="126"/>
      <c r="AU182" s="126"/>
      <c r="AV182" s="127"/>
      <c r="AW182" s="127"/>
      <c r="AX182" s="126"/>
      <c r="AY182" s="127"/>
      <c r="AZ182" s="127"/>
      <c r="BA182" s="127"/>
      <c r="BB182" s="126"/>
      <c r="BC182" s="222">
        <f t="shared" si="73"/>
        <v>0</v>
      </c>
      <c r="BD182" s="140">
        <f t="shared" si="74"/>
        <v>0</v>
      </c>
      <c r="BE182" s="132"/>
      <c r="BF182" s="140">
        <f t="shared" si="75"/>
        <v>0</v>
      </c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76"/>
        <v>0</v>
      </c>
      <c r="BU182" s="132"/>
    </row>
    <row r="183" ht="14.25" customHeight="1">
      <c r="A183" s="132"/>
      <c r="B183" s="512">
        <v>46183</v>
      </c>
      <c r="C183" s="133"/>
      <c r="D183" s="136"/>
      <c r="E183" s="135"/>
      <c r="F183" s="135"/>
      <c r="G183" s="147">
        <f t="shared" si="68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69"/>
        <v>0</v>
      </c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03">
        <f t="shared" si="70"/>
        <v>0</v>
      </c>
      <c r="AI183" s="136"/>
      <c r="AJ183" s="136"/>
      <c r="AK183" s="136"/>
      <c r="AL183" s="105">
        <f t="shared" si="71"/>
        <v>0</v>
      </c>
      <c r="AM183" s="143"/>
      <c r="AN183" s="143"/>
      <c r="AO183" s="143"/>
      <c r="AP183" s="143"/>
      <c r="AQ183" s="146"/>
      <c r="AR183" s="224">
        <f t="shared" si="72"/>
        <v>0</v>
      </c>
      <c r="AS183" s="126"/>
      <c r="AT183" s="126"/>
      <c r="AU183" s="126"/>
      <c r="AV183" s="127"/>
      <c r="AW183" s="127"/>
      <c r="AX183" s="126"/>
      <c r="AY183" s="127"/>
      <c r="AZ183" s="127"/>
      <c r="BA183" s="127"/>
      <c r="BB183" s="126"/>
      <c r="BC183" s="222">
        <f t="shared" si="73"/>
        <v>0</v>
      </c>
      <c r="BD183" s="140">
        <f t="shared" si="74"/>
        <v>0</v>
      </c>
      <c r="BE183" s="132"/>
      <c r="BF183" s="140">
        <f t="shared" si="75"/>
        <v>0</v>
      </c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30">
        <f t="shared" si="76"/>
        <v>0</v>
      </c>
      <c r="BU183" s="132"/>
    </row>
    <row r="184" ht="14.25" customHeight="1">
      <c r="A184" s="132"/>
      <c r="B184" s="512">
        <v>46184</v>
      </c>
      <c r="C184" s="133"/>
      <c r="D184" s="136"/>
      <c r="E184" s="135"/>
      <c r="F184" s="135"/>
      <c r="G184" s="147">
        <f t="shared" si="68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69"/>
        <v>0</v>
      </c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03">
        <f t="shared" si="70"/>
        <v>0</v>
      </c>
      <c r="AI184" s="136"/>
      <c r="AJ184" s="136"/>
      <c r="AK184" s="136"/>
      <c r="AL184" s="105">
        <f t="shared" si="71"/>
        <v>0</v>
      </c>
      <c r="AM184" s="143"/>
      <c r="AN184" s="143"/>
      <c r="AO184" s="143"/>
      <c r="AP184" s="143"/>
      <c r="AQ184" s="146"/>
      <c r="AR184" s="224">
        <f t="shared" si="72"/>
        <v>0</v>
      </c>
      <c r="AS184" s="126"/>
      <c r="AT184" s="126"/>
      <c r="AU184" s="126"/>
      <c r="AV184" s="127"/>
      <c r="AW184" s="127"/>
      <c r="AX184" s="126"/>
      <c r="AY184" s="127"/>
      <c r="AZ184" s="127"/>
      <c r="BA184" s="127"/>
      <c r="BB184" s="126"/>
      <c r="BC184" s="222">
        <f t="shared" si="73"/>
        <v>0</v>
      </c>
      <c r="BD184" s="140">
        <f t="shared" si="74"/>
        <v>0</v>
      </c>
      <c r="BE184" s="132"/>
      <c r="BF184" s="140">
        <f t="shared" si="75"/>
        <v>0</v>
      </c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76"/>
        <v>0</v>
      </c>
      <c r="BU184" s="132"/>
    </row>
    <row r="185" ht="14.25" customHeight="1">
      <c r="A185" s="132"/>
      <c r="B185" s="512">
        <v>46185</v>
      </c>
      <c r="C185" s="133"/>
      <c r="D185" s="136"/>
      <c r="E185" s="135"/>
      <c r="F185" s="135"/>
      <c r="G185" s="147">
        <f t="shared" si="68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69"/>
        <v>0</v>
      </c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03">
        <f t="shared" si="70"/>
        <v>0</v>
      </c>
      <c r="AI185" s="136"/>
      <c r="AJ185" s="136"/>
      <c r="AK185" s="136"/>
      <c r="AL185" s="105">
        <f t="shared" si="71"/>
        <v>0</v>
      </c>
      <c r="AM185" s="143"/>
      <c r="AN185" s="143"/>
      <c r="AO185" s="143"/>
      <c r="AP185" s="143"/>
      <c r="AQ185" s="146"/>
      <c r="AR185" s="224">
        <f t="shared" si="72"/>
        <v>0</v>
      </c>
      <c r="AS185" s="126"/>
      <c r="AT185" s="126"/>
      <c r="AU185" s="126"/>
      <c r="AV185" s="127"/>
      <c r="AW185" s="127"/>
      <c r="AX185" s="126"/>
      <c r="AY185" s="127"/>
      <c r="AZ185" s="127"/>
      <c r="BA185" s="127"/>
      <c r="BB185" s="126"/>
      <c r="BC185" s="222">
        <f t="shared" si="73"/>
        <v>0</v>
      </c>
      <c r="BD185" s="140">
        <f t="shared" si="74"/>
        <v>0</v>
      </c>
      <c r="BE185" s="132"/>
      <c r="BF185" s="140">
        <f t="shared" si="75"/>
        <v>0</v>
      </c>
      <c r="BG185" s="141"/>
      <c r="BH185" s="141"/>
      <c r="BI185" s="913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76"/>
        <v>0</v>
      </c>
      <c r="BU185" s="132"/>
    </row>
    <row r="186" ht="15" customHeight="1">
      <c r="A186" s="132"/>
      <c r="B186" s="512">
        <v>46186</v>
      </c>
      <c r="C186" s="133"/>
      <c r="D186" s="136"/>
      <c r="E186" s="135"/>
      <c r="F186" s="135"/>
      <c r="G186" s="147">
        <f t="shared" si="68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69"/>
        <v>0</v>
      </c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03">
        <f t="shared" si="70"/>
        <v>0</v>
      </c>
      <c r="AI186" s="136"/>
      <c r="AJ186" s="136"/>
      <c r="AK186" s="136"/>
      <c r="AL186" s="105">
        <f t="shared" si="71"/>
        <v>0</v>
      </c>
      <c r="AM186" s="143"/>
      <c r="AN186" s="143"/>
      <c r="AO186" s="143"/>
      <c r="AP186" s="143"/>
      <c r="AQ186" s="146"/>
      <c r="AR186" s="224">
        <f t="shared" si="72"/>
        <v>0</v>
      </c>
      <c r="AS186" s="126"/>
      <c r="AT186" s="126"/>
      <c r="AU186" s="126"/>
      <c r="AV186" s="127"/>
      <c r="AW186" s="127"/>
      <c r="AX186" s="126"/>
      <c r="AY186" s="127"/>
      <c r="AZ186" s="127"/>
      <c r="BA186" s="127"/>
      <c r="BB186" s="126"/>
      <c r="BC186" s="222">
        <f t="shared" si="73"/>
        <v>0</v>
      </c>
      <c r="BD186" s="140">
        <f t="shared" si="74"/>
        <v>0</v>
      </c>
      <c r="BE186" s="132"/>
      <c r="BF186" s="140">
        <f t="shared" si="75"/>
        <v>0</v>
      </c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76"/>
        <v>0</v>
      </c>
      <c r="BU186" s="132"/>
    </row>
    <row r="187" ht="13.5" customHeight="1">
      <c r="A187" s="3"/>
      <c r="B187" s="512">
        <v>46187</v>
      </c>
      <c r="C187" s="118"/>
      <c r="D187" s="123"/>
      <c r="E187" s="120"/>
      <c r="F187" s="120"/>
      <c r="G187" s="147">
        <f t="shared" si="68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69"/>
        <v>0</v>
      </c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03">
        <f t="shared" si="70"/>
        <v>0</v>
      </c>
      <c r="AI187" s="123"/>
      <c r="AJ187" s="123"/>
      <c r="AK187" s="123"/>
      <c r="AL187" s="105">
        <f t="shared" si="71"/>
        <v>0</v>
      </c>
      <c r="AM187" s="143"/>
      <c r="AN187" s="143"/>
      <c r="AO187" s="143"/>
      <c r="AP187" s="143"/>
      <c r="AQ187" s="146"/>
      <c r="AR187" s="224">
        <f t="shared" si="72"/>
        <v>0</v>
      </c>
      <c r="AS187" s="126"/>
      <c r="AT187" s="126"/>
      <c r="AU187" s="126"/>
      <c r="AV187" s="127"/>
      <c r="AW187" s="127"/>
      <c r="AX187" s="126"/>
      <c r="AY187" s="127"/>
      <c r="AZ187" s="127"/>
      <c r="BA187" s="127"/>
      <c r="BB187" s="126"/>
      <c r="BC187" s="222">
        <f t="shared" si="73"/>
        <v>0</v>
      </c>
      <c r="BD187" s="113">
        <f t="shared" si="74"/>
        <v>0</v>
      </c>
      <c r="BE187" s="3"/>
      <c r="BF187" s="113">
        <f t="shared" si="75"/>
        <v>0</v>
      </c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29"/>
      <c r="BT187" s="130">
        <f t="shared" si="76"/>
        <v>0</v>
      </c>
      <c r="BU187" s="3"/>
    </row>
    <row r="188" ht="14.25" customHeight="1">
      <c r="A188" s="3"/>
      <c r="B188" s="512">
        <v>46188</v>
      </c>
      <c r="C188" s="118"/>
      <c r="D188" s="123"/>
      <c r="E188" s="120"/>
      <c r="F188" s="120"/>
      <c r="G188" s="147">
        <f t="shared" si="68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69"/>
        <v>0</v>
      </c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03">
        <f t="shared" si="70"/>
        <v>0</v>
      </c>
      <c r="AI188" s="123"/>
      <c r="AJ188" s="123"/>
      <c r="AK188" s="123"/>
      <c r="AL188" s="105">
        <f t="shared" si="71"/>
        <v>0</v>
      </c>
      <c r="AM188" s="143"/>
      <c r="AN188" s="143"/>
      <c r="AO188" s="143"/>
      <c r="AP188" s="143"/>
      <c r="AQ188" s="146"/>
      <c r="AR188" s="224">
        <f t="shared" si="72"/>
        <v>0</v>
      </c>
      <c r="AS188" s="126"/>
      <c r="AT188" s="126"/>
      <c r="AU188" s="126"/>
      <c r="AV188" s="127"/>
      <c r="AW188" s="127"/>
      <c r="AX188" s="126"/>
      <c r="AY188" s="127"/>
      <c r="AZ188" s="127"/>
      <c r="BA188" s="127"/>
      <c r="BB188" s="126"/>
      <c r="BC188" s="222">
        <f t="shared" si="73"/>
        <v>0</v>
      </c>
      <c r="BD188" s="113">
        <f t="shared" si="74"/>
        <v>0</v>
      </c>
      <c r="BE188" s="3"/>
      <c r="BF188" s="113">
        <f t="shared" si="75"/>
        <v>0</v>
      </c>
      <c r="BG188" s="129"/>
      <c r="BH188" s="129"/>
      <c r="BI188" s="913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30">
        <f t="shared" si="76"/>
        <v>0</v>
      </c>
      <c r="BU188" s="3"/>
    </row>
    <row r="189" ht="14.25" customHeight="1">
      <c r="A189" s="132"/>
      <c r="B189" s="512">
        <v>46189</v>
      </c>
      <c r="C189" s="133"/>
      <c r="D189" s="136"/>
      <c r="E189" s="135"/>
      <c r="F189" s="135"/>
      <c r="G189" s="147">
        <f t="shared" si="68"/>
        <v>0</v>
      </c>
      <c r="H189" s="231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69"/>
        <v>0</v>
      </c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03">
        <f t="shared" si="70"/>
        <v>0</v>
      </c>
      <c r="AI189" s="136"/>
      <c r="AJ189" s="136"/>
      <c r="AK189" s="136"/>
      <c r="AL189" s="105">
        <f t="shared" si="71"/>
        <v>0</v>
      </c>
      <c r="AM189" s="143"/>
      <c r="AN189" s="143"/>
      <c r="AO189" s="143"/>
      <c r="AP189" s="143"/>
      <c r="AQ189" s="146"/>
      <c r="AR189" s="224">
        <f t="shared" si="72"/>
        <v>0</v>
      </c>
      <c r="AS189" s="126"/>
      <c r="AT189" s="126"/>
      <c r="AU189" s="126"/>
      <c r="AV189" s="127"/>
      <c r="AW189" s="127"/>
      <c r="AX189" s="126"/>
      <c r="AY189" s="127"/>
      <c r="AZ189" s="127"/>
      <c r="BA189" s="127"/>
      <c r="BB189" s="126"/>
      <c r="BC189" s="222">
        <f t="shared" si="73"/>
        <v>0</v>
      </c>
      <c r="BD189" s="140">
        <f t="shared" si="74"/>
        <v>0</v>
      </c>
      <c r="BE189" s="132"/>
      <c r="BF189" s="140">
        <f t="shared" si="75"/>
        <v>0</v>
      </c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30">
        <f t="shared" si="76"/>
        <v>0</v>
      </c>
      <c r="BU189" s="132"/>
    </row>
    <row r="190" ht="14.25" customHeight="1">
      <c r="A190" s="132"/>
      <c r="B190" s="512">
        <v>46190</v>
      </c>
      <c r="C190" s="133"/>
      <c r="D190" s="136"/>
      <c r="E190" s="135"/>
      <c r="F190" s="135"/>
      <c r="G190" s="147">
        <f t="shared" si="68"/>
        <v>0</v>
      </c>
      <c r="H190" s="231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69"/>
        <v>0</v>
      </c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03">
        <f t="shared" si="70"/>
        <v>0</v>
      </c>
      <c r="AI190" s="136"/>
      <c r="AJ190" s="136"/>
      <c r="AK190" s="136"/>
      <c r="AL190" s="105">
        <f t="shared" si="71"/>
        <v>0</v>
      </c>
      <c r="AM190" s="143"/>
      <c r="AN190" s="143"/>
      <c r="AO190" s="143"/>
      <c r="AP190" s="143"/>
      <c r="AQ190" s="146"/>
      <c r="AR190" s="224">
        <f t="shared" si="72"/>
        <v>0</v>
      </c>
      <c r="AS190" s="126"/>
      <c r="AT190" s="126"/>
      <c r="AU190" s="126"/>
      <c r="AV190" s="127"/>
      <c r="AW190" s="127"/>
      <c r="AX190" s="126"/>
      <c r="AY190" s="127"/>
      <c r="AZ190" s="127"/>
      <c r="BA190" s="127"/>
      <c r="BB190" s="126"/>
      <c r="BC190" s="222">
        <f t="shared" si="73"/>
        <v>0</v>
      </c>
      <c r="BD190" s="140">
        <f t="shared" si="74"/>
        <v>0</v>
      </c>
      <c r="BE190" s="132"/>
      <c r="BF190" s="140">
        <f t="shared" si="75"/>
        <v>0</v>
      </c>
      <c r="BG190" s="141"/>
      <c r="BH190" s="141"/>
      <c r="BI190" s="913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76"/>
        <v>0</v>
      </c>
      <c r="BU190" s="132"/>
    </row>
    <row r="191" ht="14.25" customHeight="1">
      <c r="A191" s="132"/>
      <c r="B191" s="512">
        <v>46191</v>
      </c>
      <c r="C191" s="133"/>
      <c r="D191" s="136"/>
      <c r="E191" s="135"/>
      <c r="F191" s="135"/>
      <c r="G191" s="147">
        <f t="shared" si="68"/>
        <v>0</v>
      </c>
      <c r="H191" s="231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69"/>
        <v>0</v>
      </c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03">
        <f t="shared" si="70"/>
        <v>0</v>
      </c>
      <c r="AI191" s="136"/>
      <c r="AJ191" s="136"/>
      <c r="AK191" s="136"/>
      <c r="AL191" s="105">
        <f t="shared" si="71"/>
        <v>0</v>
      </c>
      <c r="AM191" s="143"/>
      <c r="AN191" s="143"/>
      <c r="AO191" s="143"/>
      <c r="AP191" s="143"/>
      <c r="AQ191" s="146"/>
      <c r="AR191" s="224">
        <f t="shared" si="72"/>
        <v>0</v>
      </c>
      <c r="AS191" s="126"/>
      <c r="AT191" s="126"/>
      <c r="AU191" s="126"/>
      <c r="AV191" s="127"/>
      <c r="AW191" s="127"/>
      <c r="AX191" s="126"/>
      <c r="AY191" s="127"/>
      <c r="AZ191" s="127"/>
      <c r="BA191" s="127"/>
      <c r="BB191" s="126"/>
      <c r="BC191" s="222">
        <f t="shared" si="73"/>
        <v>0</v>
      </c>
      <c r="BD191" s="140">
        <f t="shared" si="74"/>
        <v>0</v>
      </c>
      <c r="BE191" s="132"/>
      <c r="BF191" s="140">
        <f t="shared" si="75"/>
        <v>0</v>
      </c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76"/>
        <v>0</v>
      </c>
      <c r="BU191" s="132"/>
    </row>
    <row r="192" ht="14.25" customHeight="1">
      <c r="A192" s="132"/>
      <c r="B192" s="512">
        <v>46192</v>
      </c>
      <c r="C192" s="133"/>
      <c r="D192" s="136"/>
      <c r="E192" s="135"/>
      <c r="F192" s="135"/>
      <c r="G192" s="147">
        <f t="shared" si="68"/>
        <v>0</v>
      </c>
      <c r="H192" s="231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69"/>
        <v>0</v>
      </c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03">
        <f t="shared" si="70"/>
        <v>0</v>
      </c>
      <c r="AI192" s="136"/>
      <c r="AJ192" s="136"/>
      <c r="AK192" s="136"/>
      <c r="AL192" s="105">
        <f t="shared" si="71"/>
        <v>0</v>
      </c>
      <c r="AM192" s="143"/>
      <c r="AN192" s="143"/>
      <c r="AO192" s="143"/>
      <c r="AP192" s="143"/>
      <c r="AQ192" s="146"/>
      <c r="AR192" s="224">
        <f t="shared" si="72"/>
        <v>0</v>
      </c>
      <c r="AS192" s="126"/>
      <c r="AT192" s="126"/>
      <c r="AU192" s="126"/>
      <c r="AV192" s="127"/>
      <c r="AW192" s="127"/>
      <c r="AX192" s="126"/>
      <c r="AY192" s="127"/>
      <c r="AZ192" s="127"/>
      <c r="BA192" s="127"/>
      <c r="BB192" s="126"/>
      <c r="BC192" s="222">
        <f t="shared" si="73"/>
        <v>0</v>
      </c>
      <c r="BD192" s="140">
        <f t="shared" si="74"/>
        <v>0</v>
      </c>
      <c r="BE192" s="132"/>
      <c r="BF192" s="140">
        <f t="shared" si="75"/>
        <v>0</v>
      </c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76"/>
        <v>0</v>
      </c>
      <c r="BU192" s="132"/>
    </row>
    <row r="193" ht="14.25" customHeight="1">
      <c r="A193" s="132"/>
      <c r="B193" s="512">
        <v>46193</v>
      </c>
      <c r="C193" s="133"/>
      <c r="D193" s="136"/>
      <c r="E193" s="135"/>
      <c r="F193" s="135"/>
      <c r="G193" s="147">
        <f t="shared" si="68"/>
        <v>0</v>
      </c>
      <c r="H193" s="231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69"/>
        <v>0</v>
      </c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03">
        <f t="shared" si="70"/>
        <v>0</v>
      </c>
      <c r="AI193" s="136"/>
      <c r="AJ193" s="136"/>
      <c r="AK193" s="136"/>
      <c r="AL193" s="105">
        <f t="shared" si="71"/>
        <v>0</v>
      </c>
      <c r="AM193" s="143"/>
      <c r="AN193" s="143"/>
      <c r="AO193" s="143"/>
      <c r="AP193" s="143"/>
      <c r="AQ193" s="146"/>
      <c r="AR193" s="224">
        <f t="shared" si="72"/>
        <v>0</v>
      </c>
      <c r="AS193" s="126"/>
      <c r="AT193" s="126"/>
      <c r="AU193" s="126"/>
      <c r="AV193" s="127"/>
      <c r="AW193" s="127"/>
      <c r="AX193" s="126"/>
      <c r="AY193" s="127"/>
      <c r="AZ193" s="127"/>
      <c r="BA193" s="127"/>
      <c r="BB193" s="126"/>
      <c r="BC193" s="222">
        <f t="shared" si="73"/>
        <v>0</v>
      </c>
      <c r="BD193" s="140">
        <f t="shared" si="74"/>
        <v>0</v>
      </c>
      <c r="BE193" s="132"/>
      <c r="BF193" s="140">
        <f t="shared" si="75"/>
        <v>0</v>
      </c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76"/>
        <v>0</v>
      </c>
      <c r="BU193" s="132"/>
    </row>
    <row r="194" ht="14.25" customHeight="1">
      <c r="A194" s="132"/>
      <c r="B194" s="512">
        <v>46194</v>
      </c>
      <c r="C194" s="133"/>
      <c r="D194" s="136"/>
      <c r="E194" s="135"/>
      <c r="F194" s="135"/>
      <c r="G194" s="147">
        <f t="shared" si="68"/>
        <v>0</v>
      </c>
      <c r="H194" s="231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69"/>
        <v>0</v>
      </c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03">
        <f t="shared" si="70"/>
        <v>0</v>
      </c>
      <c r="AI194" s="136"/>
      <c r="AJ194" s="136"/>
      <c r="AK194" s="136"/>
      <c r="AL194" s="105">
        <f t="shared" si="71"/>
        <v>0</v>
      </c>
      <c r="AM194" s="143"/>
      <c r="AN194" s="143"/>
      <c r="AO194" s="143"/>
      <c r="AP194" s="143"/>
      <c r="AQ194" s="146"/>
      <c r="AR194" s="224">
        <f t="shared" si="72"/>
        <v>0</v>
      </c>
      <c r="AS194" s="126"/>
      <c r="AT194" s="126"/>
      <c r="AU194" s="126"/>
      <c r="AV194" s="127"/>
      <c r="AW194" s="127"/>
      <c r="AX194" s="126"/>
      <c r="AY194" s="127"/>
      <c r="AZ194" s="127"/>
      <c r="BA194" s="127"/>
      <c r="BB194" s="126"/>
      <c r="BC194" s="222">
        <f t="shared" si="73"/>
        <v>0</v>
      </c>
      <c r="BD194" s="140">
        <f t="shared" si="74"/>
        <v>0</v>
      </c>
      <c r="BE194" s="132"/>
      <c r="BF194" s="140">
        <f t="shared" si="75"/>
        <v>0</v>
      </c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76"/>
        <v>0</v>
      </c>
      <c r="BU194" s="132"/>
    </row>
    <row r="195" ht="13.5" customHeight="1">
      <c r="A195" s="132"/>
      <c r="B195" s="512">
        <v>46195</v>
      </c>
      <c r="C195" s="136"/>
      <c r="D195" s="136"/>
      <c r="E195" s="135"/>
      <c r="F195" s="135"/>
      <c r="G195" s="147">
        <f t="shared" si="68"/>
        <v>0</v>
      </c>
      <c r="H195" s="231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69"/>
        <v>0</v>
      </c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03">
        <f t="shared" si="70"/>
        <v>0</v>
      </c>
      <c r="AI195" s="136"/>
      <c r="AJ195" s="136"/>
      <c r="AK195" s="136"/>
      <c r="AL195" s="105">
        <f t="shared" si="71"/>
        <v>0</v>
      </c>
      <c r="AM195" s="143"/>
      <c r="AN195" s="143"/>
      <c r="AO195" s="143"/>
      <c r="AP195" s="143"/>
      <c r="AQ195" s="146"/>
      <c r="AR195" s="224">
        <f t="shared" si="72"/>
        <v>0</v>
      </c>
      <c r="AS195" s="126"/>
      <c r="AT195" s="126"/>
      <c r="AU195" s="126"/>
      <c r="AV195" s="127"/>
      <c r="AW195" s="127"/>
      <c r="AX195" s="126"/>
      <c r="AY195" s="127"/>
      <c r="AZ195" s="127"/>
      <c r="BA195" s="127"/>
      <c r="BB195" s="126"/>
      <c r="BC195" s="222">
        <f t="shared" si="73"/>
        <v>0</v>
      </c>
      <c r="BD195" s="140">
        <f t="shared" si="74"/>
        <v>0</v>
      </c>
      <c r="BE195" s="132"/>
      <c r="BF195" s="140">
        <f t="shared" si="75"/>
        <v>0</v>
      </c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76"/>
        <v>0</v>
      </c>
      <c r="BU195" s="132"/>
    </row>
    <row r="196" ht="14.25" customHeight="1">
      <c r="A196" s="132"/>
      <c r="B196" s="512">
        <v>46196</v>
      </c>
      <c r="C196" s="136"/>
      <c r="D196" s="136"/>
      <c r="E196" s="135"/>
      <c r="F196" s="135"/>
      <c r="G196" s="147">
        <f t="shared" si="68"/>
        <v>0</v>
      </c>
      <c r="H196" s="231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69"/>
        <v>0</v>
      </c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03">
        <f t="shared" si="70"/>
        <v>0</v>
      </c>
      <c r="AI196" s="136"/>
      <c r="AJ196" s="136"/>
      <c r="AK196" s="136"/>
      <c r="AL196" s="105">
        <f t="shared" si="71"/>
        <v>0</v>
      </c>
      <c r="AM196" s="143"/>
      <c r="AN196" s="143"/>
      <c r="AO196" s="143"/>
      <c r="AP196" s="143"/>
      <c r="AQ196" s="146"/>
      <c r="AR196" s="224">
        <f t="shared" si="72"/>
        <v>0</v>
      </c>
      <c r="AS196" s="126"/>
      <c r="AT196" s="126"/>
      <c r="AU196" s="126"/>
      <c r="AV196" s="127"/>
      <c r="AW196" s="127"/>
      <c r="AX196" s="126"/>
      <c r="AY196" s="127"/>
      <c r="AZ196" s="127"/>
      <c r="BA196" s="127"/>
      <c r="BB196" s="126"/>
      <c r="BC196" s="222">
        <f t="shared" si="73"/>
        <v>0</v>
      </c>
      <c r="BD196" s="140">
        <f t="shared" si="74"/>
        <v>0</v>
      </c>
      <c r="BE196" s="132"/>
      <c r="BF196" s="140">
        <f t="shared" si="75"/>
        <v>0</v>
      </c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76"/>
        <v>0</v>
      </c>
      <c r="BU196" s="132"/>
    </row>
    <row r="197" ht="14.25" customHeight="1">
      <c r="A197" s="132"/>
      <c r="B197" s="512">
        <v>46197</v>
      </c>
      <c r="C197" s="133"/>
      <c r="D197" s="136"/>
      <c r="E197" s="135"/>
      <c r="F197" s="135"/>
      <c r="G197" s="147">
        <f t="shared" si="68"/>
        <v>0</v>
      </c>
      <c r="H197" s="231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69"/>
        <v>0</v>
      </c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03">
        <f t="shared" si="70"/>
        <v>0</v>
      </c>
      <c r="AI197" s="136"/>
      <c r="AJ197" s="136"/>
      <c r="AK197" s="136"/>
      <c r="AL197" s="105">
        <f t="shared" si="71"/>
        <v>0</v>
      </c>
      <c r="AM197" s="143"/>
      <c r="AN197" s="143"/>
      <c r="AO197" s="143"/>
      <c r="AP197" s="143"/>
      <c r="AQ197" s="146"/>
      <c r="AR197" s="224">
        <f t="shared" si="72"/>
        <v>0</v>
      </c>
      <c r="AS197" s="126"/>
      <c r="AT197" s="126"/>
      <c r="AU197" s="126"/>
      <c r="AV197" s="127"/>
      <c r="AW197" s="127"/>
      <c r="AX197" s="126"/>
      <c r="AY197" s="127"/>
      <c r="AZ197" s="127"/>
      <c r="BA197" s="127"/>
      <c r="BB197" s="126"/>
      <c r="BC197" s="222">
        <f t="shared" si="73"/>
        <v>0</v>
      </c>
      <c r="BD197" s="140">
        <f t="shared" si="74"/>
        <v>0</v>
      </c>
      <c r="BE197" s="132"/>
      <c r="BF197" s="140">
        <f t="shared" si="75"/>
        <v>0</v>
      </c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76"/>
        <v>0</v>
      </c>
      <c r="BU197" s="132"/>
    </row>
    <row r="198" ht="14.25" customHeight="1">
      <c r="A198" s="132"/>
      <c r="B198" s="512">
        <v>46198</v>
      </c>
      <c r="C198" s="133"/>
      <c r="D198" s="136"/>
      <c r="E198" s="135"/>
      <c r="F198" s="135"/>
      <c r="G198" s="147">
        <f t="shared" si="68"/>
        <v>0</v>
      </c>
      <c r="H198" s="231"/>
      <c r="I198" s="143"/>
      <c r="J198" s="143"/>
      <c r="K198" s="136"/>
      <c r="L198" s="143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69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03">
        <f t="shared" si="70"/>
        <v>0</v>
      </c>
      <c r="AI198" s="136"/>
      <c r="AJ198" s="136"/>
      <c r="AK198" s="136"/>
      <c r="AL198" s="105">
        <f t="shared" si="71"/>
        <v>0</v>
      </c>
      <c r="AM198" s="143"/>
      <c r="AN198" s="143"/>
      <c r="AO198" s="143"/>
      <c r="AP198" s="143"/>
      <c r="AQ198" s="146"/>
      <c r="AR198" s="224">
        <f t="shared" si="72"/>
        <v>0</v>
      </c>
      <c r="AS198" s="126"/>
      <c r="AT198" s="126"/>
      <c r="AU198" s="126"/>
      <c r="AV198" s="127"/>
      <c r="AW198" s="127"/>
      <c r="AX198" s="126"/>
      <c r="AY198" s="127"/>
      <c r="AZ198" s="127"/>
      <c r="BA198" s="127"/>
      <c r="BB198" s="126"/>
      <c r="BC198" s="222">
        <f t="shared" si="73"/>
        <v>0</v>
      </c>
      <c r="BD198" s="140">
        <f t="shared" si="74"/>
        <v>0</v>
      </c>
      <c r="BE198" s="132"/>
      <c r="BF198" s="140">
        <f t="shared" si="75"/>
        <v>0</v>
      </c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76"/>
        <v>0</v>
      </c>
      <c r="BU198" s="132"/>
    </row>
    <row r="199" ht="14.25" customHeight="1">
      <c r="A199" s="132"/>
      <c r="B199" s="512">
        <v>46199</v>
      </c>
      <c r="C199" s="133"/>
      <c r="D199" s="136"/>
      <c r="E199" s="135"/>
      <c r="F199" s="135"/>
      <c r="G199" s="147">
        <f t="shared" si="68"/>
        <v>0</v>
      </c>
      <c r="H199" s="231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43"/>
      <c r="U199" s="103">
        <f t="shared" si="69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03">
        <f t="shared" si="70"/>
        <v>0</v>
      </c>
      <c r="AI199" s="136"/>
      <c r="AJ199" s="136"/>
      <c r="AK199" s="136"/>
      <c r="AL199" s="105">
        <f t="shared" si="71"/>
        <v>0</v>
      </c>
      <c r="AM199" s="143"/>
      <c r="AN199" s="143"/>
      <c r="AO199" s="143"/>
      <c r="AP199" s="143"/>
      <c r="AQ199" s="146"/>
      <c r="AR199" s="224">
        <f t="shared" si="72"/>
        <v>0</v>
      </c>
      <c r="AS199" s="126"/>
      <c r="AT199" s="126"/>
      <c r="AU199" s="126"/>
      <c r="AV199" s="127"/>
      <c r="AW199" s="127"/>
      <c r="AX199" s="126"/>
      <c r="AY199" s="127"/>
      <c r="AZ199" s="127"/>
      <c r="BA199" s="127"/>
      <c r="BB199" s="126"/>
      <c r="BC199" s="222">
        <f t="shared" si="73"/>
        <v>0</v>
      </c>
      <c r="BD199" s="140">
        <f t="shared" si="74"/>
        <v>0</v>
      </c>
      <c r="BE199" s="132"/>
      <c r="BF199" s="140">
        <f t="shared" si="75"/>
        <v>0</v>
      </c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76"/>
        <v>0</v>
      </c>
      <c r="BU199" s="132"/>
    </row>
    <row r="200" ht="14.25" customHeight="1">
      <c r="A200" s="132"/>
      <c r="B200" s="512">
        <v>46200</v>
      </c>
      <c r="C200" s="133"/>
      <c r="D200" s="136"/>
      <c r="E200" s="135"/>
      <c r="F200" s="135"/>
      <c r="G200" s="147">
        <f t="shared" si="68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03">
        <f t="shared" si="69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03">
        <f t="shared" si="70"/>
        <v>0</v>
      </c>
      <c r="AI200" s="136"/>
      <c r="AJ200" s="136"/>
      <c r="AK200" s="136"/>
      <c r="AL200" s="105">
        <f t="shared" si="71"/>
        <v>0</v>
      </c>
      <c r="AM200" s="143"/>
      <c r="AN200" s="143"/>
      <c r="AO200" s="143"/>
      <c r="AP200" s="143"/>
      <c r="AQ200" s="146"/>
      <c r="AR200" s="224">
        <f t="shared" si="72"/>
        <v>0</v>
      </c>
      <c r="AS200" s="126"/>
      <c r="AT200" s="126"/>
      <c r="AU200" s="126"/>
      <c r="AV200" s="127"/>
      <c r="AW200" s="127"/>
      <c r="AX200" s="126"/>
      <c r="AY200" s="127"/>
      <c r="AZ200" s="127"/>
      <c r="BA200" s="127"/>
      <c r="BB200" s="126"/>
      <c r="BC200" s="222">
        <f t="shared" si="73"/>
        <v>0</v>
      </c>
      <c r="BD200" s="140">
        <f t="shared" si="74"/>
        <v>0</v>
      </c>
      <c r="BE200" s="132"/>
      <c r="BF200" s="140">
        <f t="shared" si="75"/>
        <v>0</v>
      </c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76"/>
        <v>0</v>
      </c>
      <c r="BU200" s="132"/>
    </row>
    <row r="201" ht="14.25" customHeight="1">
      <c r="A201" s="132"/>
      <c r="B201" s="512">
        <v>46201</v>
      </c>
      <c r="C201" s="133"/>
      <c r="D201" s="136"/>
      <c r="E201" s="135"/>
      <c r="F201" s="135"/>
      <c r="G201" s="147">
        <f t="shared" si="68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69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03">
        <f t="shared" si="70"/>
        <v>0</v>
      </c>
      <c r="AI201" s="136"/>
      <c r="AJ201" s="136"/>
      <c r="AK201" s="136"/>
      <c r="AL201" s="105">
        <f t="shared" si="71"/>
        <v>0</v>
      </c>
      <c r="AM201" s="143"/>
      <c r="AN201" s="143"/>
      <c r="AO201" s="143"/>
      <c r="AP201" s="143"/>
      <c r="AQ201" s="146"/>
      <c r="AR201" s="224">
        <f t="shared" si="72"/>
        <v>0</v>
      </c>
      <c r="AS201" s="126"/>
      <c r="AT201" s="126"/>
      <c r="AU201" s="126"/>
      <c r="AV201" s="127"/>
      <c r="AW201" s="127"/>
      <c r="AX201" s="126"/>
      <c r="AY201" s="127"/>
      <c r="AZ201" s="127"/>
      <c r="BA201" s="127"/>
      <c r="BB201" s="126"/>
      <c r="BC201" s="222">
        <f t="shared" si="73"/>
        <v>0</v>
      </c>
      <c r="BD201" s="140">
        <f t="shared" si="74"/>
        <v>0</v>
      </c>
      <c r="BE201" s="132"/>
      <c r="BF201" s="140">
        <f t="shared" si="75"/>
        <v>0</v>
      </c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76"/>
        <v>0</v>
      </c>
      <c r="BU201" s="132"/>
    </row>
    <row r="202" ht="14.25" customHeight="1">
      <c r="A202" s="132"/>
      <c r="B202" s="512">
        <v>46202</v>
      </c>
      <c r="C202" s="133"/>
      <c r="D202" s="136"/>
      <c r="E202" s="135"/>
      <c r="F202" s="135"/>
      <c r="G202" s="147">
        <f t="shared" si="68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69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03">
        <f t="shared" si="70"/>
        <v>0</v>
      </c>
      <c r="AI202" s="136"/>
      <c r="AJ202" s="136"/>
      <c r="AK202" s="136"/>
      <c r="AL202" s="105">
        <f t="shared" si="71"/>
        <v>0</v>
      </c>
      <c r="AM202" s="143"/>
      <c r="AN202" s="143"/>
      <c r="AO202" s="143"/>
      <c r="AP202" s="143"/>
      <c r="AQ202" s="146"/>
      <c r="AR202" s="224">
        <f t="shared" si="72"/>
        <v>0</v>
      </c>
      <c r="AS202" s="126"/>
      <c r="AT202" s="126"/>
      <c r="AU202" s="126"/>
      <c r="AV202" s="127"/>
      <c r="AW202" s="127"/>
      <c r="AX202" s="126"/>
      <c r="AY202" s="127"/>
      <c r="AZ202" s="127"/>
      <c r="BA202" s="127"/>
      <c r="BB202" s="126"/>
      <c r="BC202" s="222">
        <f t="shared" si="73"/>
        <v>0</v>
      </c>
      <c r="BD202" s="140">
        <f t="shared" si="74"/>
        <v>0</v>
      </c>
      <c r="BE202" s="132"/>
      <c r="BF202" s="140">
        <f t="shared" si="75"/>
        <v>0</v>
      </c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76"/>
        <v>0</v>
      </c>
      <c r="BU202" s="132"/>
    </row>
    <row r="203" ht="14.25" customHeight="1">
      <c r="A203" s="3"/>
      <c r="B203" s="512">
        <v>46203</v>
      </c>
      <c r="C203" s="118"/>
      <c r="D203" s="123"/>
      <c r="E203" s="120"/>
      <c r="F203" s="120"/>
      <c r="G203" s="147">
        <f t="shared" si="68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69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03">
        <f t="shared" si="70"/>
        <v>0</v>
      </c>
      <c r="AI203" s="123"/>
      <c r="AJ203" s="123"/>
      <c r="AK203" s="123"/>
      <c r="AL203" s="105">
        <f t="shared" si="71"/>
        <v>0</v>
      </c>
      <c r="AM203" s="143"/>
      <c r="AN203" s="143"/>
      <c r="AO203" s="143"/>
      <c r="AP203" s="143"/>
      <c r="AQ203" s="146"/>
      <c r="AR203" s="224">
        <f t="shared" si="72"/>
        <v>0</v>
      </c>
      <c r="AS203" s="138"/>
      <c r="AT203" s="138"/>
      <c r="AU203" s="138"/>
      <c r="AV203" s="127"/>
      <c r="AW203" s="127"/>
      <c r="AX203" s="138"/>
      <c r="AY203" s="127"/>
      <c r="AZ203" s="127"/>
      <c r="BA203" s="127"/>
      <c r="BB203" s="138"/>
      <c r="BC203" s="222">
        <f t="shared" si="73"/>
        <v>0</v>
      </c>
      <c r="BD203" s="113">
        <f t="shared" si="74"/>
        <v>0</v>
      </c>
      <c r="BE203" s="132"/>
      <c r="BF203" s="113">
        <f t="shared" si="75"/>
        <v>0</v>
      </c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30">
        <f t="shared" si="76"/>
        <v>0</v>
      </c>
      <c r="BU203" s="3"/>
    </row>
    <row r="204" ht="14.25" customHeight="1">
      <c r="A204" s="3"/>
      <c r="B204" s="2"/>
      <c r="C204" s="166">
        <f ref="C204:U204" t="shared" si="77">SUM(C174:C203)</f>
        <v>0</v>
      </c>
      <c r="D204" s="166">
        <f t="shared" si="77"/>
        <v>0</v>
      </c>
      <c r="E204" s="166">
        <f t="shared" si="77"/>
        <v>0</v>
      </c>
      <c r="F204" s="166">
        <f t="shared" si="77"/>
        <v>0</v>
      </c>
      <c r="G204" s="166">
        <f t="shared" si="77"/>
        <v>0</v>
      </c>
      <c r="H204" s="166">
        <f t="shared" si="77"/>
        <v>0</v>
      </c>
      <c r="I204" s="166">
        <f t="shared" si="77"/>
        <v>0</v>
      </c>
      <c r="J204" s="166">
        <f t="shared" si="77"/>
        <v>0</v>
      </c>
      <c r="K204" s="166">
        <f t="shared" si="77"/>
        <v>0</v>
      </c>
      <c r="L204" s="166">
        <f t="shared" si="77"/>
        <v>0</v>
      </c>
      <c r="M204" s="166">
        <f t="shared" si="77"/>
        <v>0</v>
      </c>
      <c r="N204" s="166">
        <f t="shared" si="77"/>
        <v>0</v>
      </c>
      <c r="O204" s="166">
        <f t="shared" si="77"/>
        <v>0</v>
      </c>
      <c r="P204" s="166">
        <f t="shared" si="77"/>
        <v>0</v>
      </c>
      <c r="Q204" s="166">
        <f t="shared" si="77"/>
        <v>0</v>
      </c>
      <c r="R204" s="166">
        <f t="shared" si="77"/>
        <v>0</v>
      </c>
      <c r="S204" s="166">
        <f t="shared" si="77"/>
        <v>0</v>
      </c>
      <c r="T204" s="166">
        <f t="shared" si="77"/>
        <v>0</v>
      </c>
      <c r="U204" s="166">
        <f t="shared" si="77"/>
        <v>0</v>
      </c>
      <c r="V204" s="166"/>
      <c r="W204" s="166"/>
      <c r="X204" s="166">
        <f ref="X204:AJ204" t="shared" si="78">SUM(X174:X203)</f>
        <v>0</v>
      </c>
      <c r="Y204" s="166">
        <f t="shared" si="78"/>
        <v>0</v>
      </c>
      <c r="Z204" s="166">
        <f t="shared" si="78"/>
        <v>0</v>
      </c>
      <c r="AA204" s="166">
        <f t="shared" si="78"/>
        <v>0</v>
      </c>
      <c r="AB204" s="166">
        <f t="shared" si="78"/>
        <v>0</v>
      </c>
      <c r="AC204" s="166">
        <f t="shared" si="78"/>
        <v>0</v>
      </c>
      <c r="AD204" s="166">
        <f t="shared" si="78"/>
        <v>0</v>
      </c>
      <c r="AE204" s="166">
        <f t="shared" si="78"/>
        <v>0</v>
      </c>
      <c r="AF204" s="166">
        <f t="shared" si="78"/>
        <v>0</v>
      </c>
      <c r="AG204" s="166">
        <f t="shared" si="78"/>
        <v>0</v>
      </c>
      <c r="AH204" s="166">
        <f t="shared" si="78"/>
        <v>0</v>
      </c>
      <c r="AI204" s="166">
        <f t="shared" si="78"/>
        <v>0</v>
      </c>
      <c r="AJ204" s="166">
        <f t="shared" si="78"/>
        <v>0</v>
      </c>
      <c r="AK204" s="166"/>
      <c r="AL204" s="166">
        <f ref="AL204:BD204" t="shared" si="79">SUM(AL174:AL203)</f>
        <v>0</v>
      </c>
      <c r="AM204" s="166">
        <f t="shared" si="79"/>
        <v>0</v>
      </c>
      <c r="AN204" s="166">
        <f t="shared" si="79"/>
        <v>0</v>
      </c>
      <c r="AO204" s="166">
        <f t="shared" si="79"/>
        <v>0</v>
      </c>
      <c r="AP204" s="166">
        <f t="shared" si="79"/>
        <v>0</v>
      </c>
      <c r="AQ204" s="166">
        <f t="shared" si="79"/>
        <v>0</v>
      </c>
      <c r="AR204" s="166">
        <f t="shared" si="79"/>
        <v>0</v>
      </c>
      <c r="AS204" s="165">
        <f t="shared" si="79"/>
        <v>0</v>
      </c>
      <c r="AT204" s="165">
        <f t="shared" si="79"/>
        <v>0</v>
      </c>
      <c r="AU204" s="165">
        <f t="shared" si="79"/>
        <v>0</v>
      </c>
      <c r="AV204" s="165">
        <f t="shared" si="79"/>
        <v>0</v>
      </c>
      <c r="AW204" s="165">
        <f t="shared" si="79"/>
        <v>0</v>
      </c>
      <c r="AX204" s="165">
        <f t="shared" si="79"/>
        <v>0</v>
      </c>
      <c r="AY204" s="165">
        <f t="shared" si="79"/>
        <v>0</v>
      </c>
      <c r="AZ204" s="165">
        <f t="shared" si="79"/>
        <v>0</v>
      </c>
      <c r="BA204" s="165">
        <f t="shared" si="79"/>
        <v>0</v>
      </c>
      <c r="BB204" s="165">
        <f t="shared" si="79"/>
        <v>0</v>
      </c>
      <c r="BC204" s="166">
        <f t="shared" si="79"/>
        <v>0</v>
      </c>
      <c r="BD204" s="166">
        <f t="shared" si="79"/>
        <v>0</v>
      </c>
      <c r="BE204" s="132"/>
      <c r="BF204" s="166">
        <f>SUM(BF174:BF203)</f>
        <v>0</v>
      </c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>
        <f ref="BP204:BQ204" t="shared" si="80">SUM(BP174:BP203)</f>
        <v>0</v>
      </c>
      <c r="BQ204" s="166">
        <f t="shared" si="80"/>
        <v>0</v>
      </c>
      <c r="BR204" s="166"/>
      <c r="BS204" s="166"/>
      <c r="BT204" s="166">
        <f>SUM(BT174:BT203)</f>
        <v>0</v>
      </c>
      <c r="BU204" s="3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96"/>
      <c r="AI205" s="3"/>
      <c r="AJ205" s="3"/>
      <c r="AK205" s="3"/>
      <c r="AL205" s="4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132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</row>
    <row r="206" ht="14.25" customHeight="1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176"/>
      <c r="AI206" s="3"/>
      <c r="AJ206" s="3"/>
      <c r="AK206" s="3"/>
      <c r="AL206" s="4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132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ht="14.25" customHeight="1">
      <c r="A207" s="3"/>
      <c r="B207" s="512">
        <v>46204</v>
      </c>
      <c r="C207" s="94"/>
      <c r="D207" s="104"/>
      <c r="E207" s="97"/>
      <c r="F207" s="97"/>
      <c r="G207" s="265">
        <f ref="G207:G237" t="shared" si="81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89">
        <f ref="U207:U237" t="shared" si="82">SUM(H207:T207)</f>
        <v>0</v>
      </c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03">
        <f ref="AH207:AH237" t="shared" si="83">SUM(V207:AG207)</f>
        <v>0</v>
      </c>
      <c r="AI207" s="104"/>
      <c r="AJ207" s="104"/>
      <c r="AK207" s="104"/>
      <c r="AL207" s="191">
        <f ref="AL207:AL237" t="shared" si="84">SUM(AI207:AK207)</f>
        <v>0</v>
      </c>
      <c r="AM207" s="186"/>
      <c r="AN207" s="186"/>
      <c r="AO207" s="186"/>
      <c r="AP207" s="186"/>
      <c r="AQ207" s="193"/>
      <c r="AR207" s="266">
        <f ref="AR207:AR216" t="shared" si="85">+G207-U207-AH207-AL207-AM207-AO207-AP207-AQ207</f>
        <v>0</v>
      </c>
      <c r="AS207" s="274"/>
      <c r="AT207" s="126"/>
      <c r="AU207" s="126"/>
      <c r="AV207" s="126"/>
      <c r="AW207" s="126"/>
      <c r="AX207" s="126"/>
      <c r="AY207" s="269"/>
      <c r="AZ207" s="269"/>
      <c r="BA207" s="269"/>
      <c r="BB207" s="269"/>
      <c r="BC207" s="292">
        <f ref="BC207:BC237" t="shared" si="86">SUM(AS207:BB207)-BA207</f>
        <v>0</v>
      </c>
      <c r="BD207" s="114">
        <f ref="BD207:BD237" t="shared" si="87">+AR207-BC207</f>
        <v>0</v>
      </c>
      <c r="BE207" s="132"/>
      <c r="BF207" s="114">
        <f ref="BF207:BF237" t="shared" si="88">SUM(BG207:BS207)</f>
        <v>0</v>
      </c>
      <c r="BG207" s="220"/>
      <c r="BH207" s="220"/>
      <c r="BI207" s="220"/>
      <c r="BJ207" s="220"/>
      <c r="BK207" s="220"/>
      <c r="BL207" s="220"/>
      <c r="BM207" s="220"/>
      <c r="BN207" s="220"/>
      <c r="BO207" s="220"/>
      <c r="BP207" s="220"/>
      <c r="BQ207" s="220"/>
      <c r="BR207" s="220"/>
      <c r="BS207" s="115"/>
      <c r="BT207" s="116">
        <f ref="BT207:BT237" t="shared" si="89">+BD207-BF207</f>
        <v>0</v>
      </c>
      <c r="BU207" s="3"/>
    </row>
    <row r="208" ht="14.25" customHeight="1">
      <c r="A208" s="3"/>
      <c r="B208" s="512">
        <v>46205</v>
      </c>
      <c r="C208" s="118"/>
      <c r="D208" s="123"/>
      <c r="E208" s="120"/>
      <c r="F208" s="120"/>
      <c r="G208" s="147">
        <f t="shared" si="81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03">
        <f t="shared" si="82"/>
        <v>0</v>
      </c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03">
        <f t="shared" si="83"/>
        <v>0</v>
      </c>
      <c r="AI208" s="123"/>
      <c r="AJ208" s="123"/>
      <c r="AK208" s="123"/>
      <c r="AL208" s="105">
        <f t="shared" si="84"/>
        <v>0</v>
      </c>
      <c r="AM208" s="143"/>
      <c r="AN208" s="143"/>
      <c r="AO208" s="143"/>
      <c r="AP208" s="143"/>
      <c r="AQ208" s="146"/>
      <c r="AR208" s="224">
        <f t="shared" si="85"/>
        <v>0</v>
      </c>
      <c r="AS208" s="274"/>
      <c r="AT208" s="126"/>
      <c r="AU208" s="126"/>
      <c r="AV208" s="126"/>
      <c r="AW208" s="126"/>
      <c r="AX208" s="126"/>
      <c r="AY208" s="274"/>
      <c r="AZ208" s="274"/>
      <c r="BA208" s="274"/>
      <c r="BB208" s="274"/>
      <c r="BC208" s="947">
        <f t="shared" si="86"/>
        <v>0</v>
      </c>
      <c r="BD208" s="113">
        <f t="shared" si="87"/>
        <v>0</v>
      </c>
      <c r="BE208" s="132"/>
      <c r="BF208" s="113">
        <f t="shared" si="88"/>
        <v>0</v>
      </c>
      <c r="BG208" s="225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225"/>
      <c r="BR208" s="225"/>
      <c r="BS208" s="129"/>
      <c r="BT208" s="130">
        <f t="shared" si="89"/>
        <v>0</v>
      </c>
      <c r="BU208" s="3"/>
    </row>
    <row r="209" ht="14.25" customHeight="1">
      <c r="A209" s="3"/>
      <c r="B209" s="512">
        <v>46206</v>
      </c>
      <c r="C209" s="118"/>
      <c r="D209" s="123"/>
      <c r="E209" s="120"/>
      <c r="F209" s="120"/>
      <c r="G209" s="147">
        <f t="shared" si="81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82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03">
        <f t="shared" si="83"/>
        <v>0</v>
      </c>
      <c r="AI209" s="123"/>
      <c r="AJ209" s="123"/>
      <c r="AK209" s="123"/>
      <c r="AL209" s="105">
        <f t="shared" si="84"/>
        <v>0</v>
      </c>
      <c r="AM209" s="143"/>
      <c r="AN209" s="143"/>
      <c r="AO209" s="143"/>
      <c r="AP209" s="143"/>
      <c r="AQ209" s="146"/>
      <c r="AR209" s="224">
        <f t="shared" si="85"/>
        <v>0</v>
      </c>
      <c r="AS209" s="274"/>
      <c r="AT209" s="126"/>
      <c r="AU209" s="126"/>
      <c r="AV209" s="126"/>
      <c r="AW209" s="126"/>
      <c r="AX209" s="126"/>
      <c r="AY209" s="274"/>
      <c r="AZ209" s="274"/>
      <c r="BA209" s="274"/>
      <c r="BB209" s="274"/>
      <c r="BC209" s="947">
        <f t="shared" si="86"/>
        <v>0</v>
      </c>
      <c r="BD209" s="113">
        <f t="shared" si="87"/>
        <v>0</v>
      </c>
      <c r="BE209" s="132"/>
      <c r="BF209" s="113">
        <f t="shared" si="88"/>
        <v>0</v>
      </c>
      <c r="BG209" s="225"/>
      <c r="BH209" s="225"/>
      <c r="BI209" s="931"/>
      <c r="BJ209" s="225"/>
      <c r="BK209" s="225"/>
      <c r="BL209" s="225"/>
      <c r="BM209" s="225"/>
      <c r="BN209" s="225"/>
      <c r="BO209" s="225"/>
      <c r="BP209" s="225"/>
      <c r="BQ209" s="225"/>
      <c r="BR209" s="225"/>
      <c r="BS209" s="129"/>
      <c r="BT209" s="130">
        <f t="shared" si="89"/>
        <v>0</v>
      </c>
      <c r="BU209" s="3"/>
    </row>
    <row r="210" ht="14.25" customHeight="1">
      <c r="A210" s="132"/>
      <c r="B210" s="512">
        <v>46207</v>
      </c>
      <c r="C210" s="133"/>
      <c r="D210" s="136"/>
      <c r="E210" s="135"/>
      <c r="F210" s="135"/>
      <c r="G210" s="147">
        <f t="shared" si="81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82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03">
        <f t="shared" si="83"/>
        <v>0</v>
      </c>
      <c r="AI210" s="136"/>
      <c r="AJ210" s="136"/>
      <c r="AK210" s="136"/>
      <c r="AL210" s="105">
        <f t="shared" si="84"/>
        <v>0</v>
      </c>
      <c r="AM210" s="143"/>
      <c r="AN210" s="143"/>
      <c r="AO210" s="143"/>
      <c r="AP210" s="143"/>
      <c r="AQ210" s="146"/>
      <c r="AR210" s="224">
        <f t="shared" si="85"/>
        <v>0</v>
      </c>
      <c r="AS210" s="274"/>
      <c r="AT210" s="126"/>
      <c r="AU210" s="126"/>
      <c r="AV210" s="126"/>
      <c r="AW210" s="126"/>
      <c r="AX210" s="126"/>
      <c r="AY210" s="274"/>
      <c r="AZ210" s="274"/>
      <c r="BA210" s="274"/>
      <c r="BB210" s="274"/>
      <c r="BC210" s="222">
        <f t="shared" si="86"/>
        <v>0</v>
      </c>
      <c r="BD210" s="140">
        <f t="shared" si="87"/>
        <v>0</v>
      </c>
      <c r="BE210" s="132"/>
      <c r="BF210" s="140">
        <f t="shared" si="88"/>
        <v>0</v>
      </c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26"/>
      <c r="BR210" s="126"/>
      <c r="BS210" s="141"/>
      <c r="BT210" s="130">
        <f t="shared" si="89"/>
        <v>0</v>
      </c>
      <c r="BU210" s="132"/>
    </row>
    <row r="211" ht="14.25" customHeight="1">
      <c r="A211" s="132"/>
      <c r="B211" s="512">
        <v>46208</v>
      </c>
      <c r="C211" s="133"/>
      <c r="D211" s="136"/>
      <c r="E211" s="135"/>
      <c r="F211" s="135"/>
      <c r="G211" s="147">
        <f t="shared" si="81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82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03">
        <f t="shared" si="83"/>
        <v>0</v>
      </c>
      <c r="AI211" s="136"/>
      <c r="AJ211" s="136"/>
      <c r="AK211" s="136"/>
      <c r="AL211" s="105">
        <f t="shared" si="84"/>
        <v>0</v>
      </c>
      <c r="AM211" s="143"/>
      <c r="AN211" s="143"/>
      <c r="AO211" s="143"/>
      <c r="AP211" s="143"/>
      <c r="AQ211" s="146"/>
      <c r="AR211" s="224">
        <f t="shared" si="85"/>
        <v>0</v>
      </c>
      <c r="AS211" s="274"/>
      <c r="AT211" s="126"/>
      <c r="AU211" s="126"/>
      <c r="AV211" s="126"/>
      <c r="AW211" s="126"/>
      <c r="AX211" s="126"/>
      <c r="AY211" s="274"/>
      <c r="AZ211" s="274"/>
      <c r="BA211" s="274"/>
      <c r="BB211" s="274"/>
      <c r="BC211" s="222">
        <f t="shared" si="86"/>
        <v>0</v>
      </c>
      <c r="BD211" s="140">
        <f t="shared" si="87"/>
        <v>0</v>
      </c>
      <c r="BE211" s="132"/>
      <c r="BF211" s="140">
        <f t="shared" si="88"/>
        <v>0</v>
      </c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26"/>
      <c r="BR211" s="126"/>
      <c r="BS211" s="141"/>
      <c r="BT211" s="130">
        <f t="shared" si="89"/>
        <v>0</v>
      </c>
      <c r="BU211" s="132"/>
    </row>
    <row r="212" ht="14.25" customHeight="1">
      <c r="A212" s="132"/>
      <c r="B212" s="512">
        <v>46209</v>
      </c>
      <c r="C212" s="133"/>
      <c r="D212" s="136"/>
      <c r="E212" s="135"/>
      <c r="F212" s="135"/>
      <c r="G212" s="147">
        <f t="shared" si="81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82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03">
        <f t="shared" si="83"/>
        <v>0</v>
      </c>
      <c r="AI212" s="136"/>
      <c r="AJ212" s="136"/>
      <c r="AK212" s="136"/>
      <c r="AL212" s="105">
        <f t="shared" si="84"/>
        <v>0</v>
      </c>
      <c r="AM212" s="143"/>
      <c r="AN212" s="143"/>
      <c r="AO212" s="143"/>
      <c r="AP212" s="143"/>
      <c r="AQ212" s="146"/>
      <c r="AR212" s="224">
        <f t="shared" si="85"/>
        <v>0</v>
      </c>
      <c r="AS212" s="274"/>
      <c r="AT212" s="126"/>
      <c r="AU212" s="126"/>
      <c r="AV212" s="126"/>
      <c r="AW212" s="126"/>
      <c r="AX212" s="126"/>
      <c r="AY212" s="274"/>
      <c r="AZ212" s="274"/>
      <c r="BA212" s="274"/>
      <c r="BB212" s="274"/>
      <c r="BC212" s="222">
        <f t="shared" si="86"/>
        <v>0</v>
      </c>
      <c r="BD212" s="140">
        <f t="shared" si="87"/>
        <v>0</v>
      </c>
      <c r="BE212" s="132"/>
      <c r="BF212" s="140">
        <f t="shared" si="88"/>
        <v>0</v>
      </c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26"/>
      <c r="BR212" s="126"/>
      <c r="BS212" s="141"/>
      <c r="BT212" s="130">
        <f t="shared" si="89"/>
        <v>0</v>
      </c>
      <c r="BU212" s="132"/>
    </row>
    <row r="213" ht="14.25" customHeight="1">
      <c r="A213" s="132"/>
      <c r="B213" s="512">
        <v>46210</v>
      </c>
      <c r="C213" s="133"/>
      <c r="D213" s="136"/>
      <c r="E213" s="135"/>
      <c r="F213" s="135"/>
      <c r="G213" s="147">
        <f t="shared" si="81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82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03">
        <f t="shared" si="83"/>
        <v>0</v>
      </c>
      <c r="AI213" s="136"/>
      <c r="AJ213" s="136"/>
      <c r="AK213" s="136"/>
      <c r="AL213" s="105">
        <f t="shared" si="84"/>
        <v>0</v>
      </c>
      <c r="AM213" s="143"/>
      <c r="AN213" s="143"/>
      <c r="AO213" s="143"/>
      <c r="AP213" s="143"/>
      <c r="AQ213" s="146"/>
      <c r="AR213" s="224">
        <f t="shared" si="85"/>
        <v>0</v>
      </c>
      <c r="AS213" s="274"/>
      <c r="AT213" s="126"/>
      <c r="AU213" s="126"/>
      <c r="AV213" s="126"/>
      <c r="AW213" s="126"/>
      <c r="AX213" s="126"/>
      <c r="AY213" s="274"/>
      <c r="AZ213" s="274"/>
      <c r="BA213" s="274"/>
      <c r="BB213" s="274"/>
      <c r="BC213" s="222">
        <f t="shared" si="86"/>
        <v>0</v>
      </c>
      <c r="BD213" s="140">
        <f t="shared" si="87"/>
        <v>0</v>
      </c>
      <c r="BE213" s="132"/>
      <c r="BF213" s="140">
        <f t="shared" si="88"/>
        <v>0</v>
      </c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26"/>
      <c r="BR213" s="126"/>
      <c r="BS213" s="141"/>
      <c r="BT213" s="130">
        <f t="shared" si="89"/>
        <v>0</v>
      </c>
      <c r="BU213" s="132"/>
    </row>
    <row r="214" ht="14.25" customHeight="1">
      <c r="A214" s="132"/>
      <c r="B214" s="512">
        <v>46211</v>
      </c>
      <c r="C214" s="133"/>
      <c r="D214" s="136"/>
      <c r="E214" s="135"/>
      <c r="F214" s="135"/>
      <c r="G214" s="147">
        <f t="shared" si="81"/>
        <v>0</v>
      </c>
      <c r="H214" s="144"/>
      <c r="I214" s="948"/>
      <c r="J214" s="949"/>
      <c r="K214" s="950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82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03">
        <f t="shared" si="83"/>
        <v>0</v>
      </c>
      <c r="AI214" s="136"/>
      <c r="AJ214" s="136"/>
      <c r="AK214" s="136"/>
      <c r="AL214" s="105">
        <f t="shared" si="84"/>
        <v>0</v>
      </c>
      <c r="AM214" s="143"/>
      <c r="AN214" s="143"/>
      <c r="AO214" s="143"/>
      <c r="AP214" s="143"/>
      <c r="AQ214" s="146"/>
      <c r="AR214" s="224">
        <f t="shared" si="85"/>
        <v>0</v>
      </c>
      <c r="AS214" s="274"/>
      <c r="AT214" s="126"/>
      <c r="AU214" s="126"/>
      <c r="AV214" s="126"/>
      <c r="AW214" s="126"/>
      <c r="AX214" s="126"/>
      <c r="AY214" s="274"/>
      <c r="AZ214" s="274"/>
      <c r="BA214" s="274"/>
      <c r="BB214" s="274"/>
      <c r="BC214" s="222">
        <f t="shared" si="86"/>
        <v>0</v>
      </c>
      <c r="BD214" s="140">
        <f t="shared" si="87"/>
        <v>0</v>
      </c>
      <c r="BE214" s="132"/>
      <c r="BF214" s="140">
        <f t="shared" si="88"/>
        <v>0</v>
      </c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41"/>
      <c r="BT214" s="130">
        <f t="shared" si="89"/>
        <v>0</v>
      </c>
      <c r="BU214" s="132"/>
    </row>
    <row r="215" ht="14.25" customHeight="1">
      <c r="A215" s="132"/>
      <c r="B215" s="512">
        <v>46212</v>
      </c>
      <c r="C215" s="133"/>
      <c r="D215" s="136"/>
      <c r="E215" s="135"/>
      <c r="F215" s="135"/>
      <c r="G215" s="951">
        <f t="shared" si="81"/>
        <v>0</v>
      </c>
      <c r="H215" s="122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819">
        <f t="shared" si="82"/>
        <v>0</v>
      </c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819">
        <f t="shared" si="83"/>
        <v>0</v>
      </c>
      <c r="AI215" s="136"/>
      <c r="AJ215" s="136"/>
      <c r="AK215" s="136"/>
      <c r="AL215" s="819">
        <f t="shared" si="84"/>
        <v>0</v>
      </c>
      <c r="AM215" s="99"/>
      <c r="AN215" s="99"/>
      <c r="AO215" s="99"/>
      <c r="AP215" s="99"/>
      <c r="AQ215" s="124"/>
      <c r="AR215" s="224">
        <f t="shared" si="85"/>
        <v>0</v>
      </c>
      <c r="AS215" s="274"/>
      <c r="AT215" s="126"/>
      <c r="AU215" s="126"/>
      <c r="AV215" s="126"/>
      <c r="AW215" s="126"/>
      <c r="AX215" s="126"/>
      <c r="AY215" s="274"/>
      <c r="AZ215" s="274"/>
      <c r="BA215" s="274"/>
      <c r="BB215" s="274"/>
      <c r="BC215" s="952">
        <f t="shared" si="86"/>
        <v>0</v>
      </c>
      <c r="BD215" s="136">
        <f t="shared" si="87"/>
        <v>0</v>
      </c>
      <c r="BE215" s="132"/>
      <c r="BF215" s="136">
        <f t="shared" si="88"/>
        <v>0</v>
      </c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36"/>
      <c r="BT215" s="819">
        <f t="shared" si="89"/>
        <v>0</v>
      </c>
      <c r="BU215" s="132"/>
    </row>
    <row r="216" ht="14.25" customHeight="1">
      <c r="A216" s="132"/>
      <c r="B216" s="512">
        <v>46213</v>
      </c>
      <c r="C216" s="133"/>
      <c r="D216" s="136"/>
      <c r="E216" s="135"/>
      <c r="F216" s="135"/>
      <c r="G216" s="953">
        <f t="shared" si="81"/>
        <v>0</v>
      </c>
      <c r="H216" s="457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383">
        <f t="shared" si="82"/>
        <v>0</v>
      </c>
      <c r="V216" s="140"/>
      <c r="W216" s="140"/>
      <c r="X216" s="140"/>
      <c r="Y216" s="140"/>
      <c r="Z216" s="140"/>
      <c r="AA216" s="140"/>
      <c r="AB216" s="140"/>
      <c r="AC216" s="140"/>
      <c r="AD216" s="140"/>
      <c r="AE216" s="140"/>
      <c r="AF216" s="140"/>
      <c r="AG216" s="140"/>
      <c r="AH216" s="383">
        <f t="shared" si="83"/>
        <v>0</v>
      </c>
      <c r="AI216" s="136"/>
      <c r="AJ216" s="136"/>
      <c r="AK216" s="136"/>
      <c r="AL216" s="954">
        <f t="shared" si="84"/>
        <v>0</v>
      </c>
      <c r="AM216" s="140"/>
      <c r="AN216" s="140"/>
      <c r="AO216" s="140"/>
      <c r="AP216" s="140"/>
      <c r="AQ216" s="392"/>
      <c r="AR216" s="955">
        <f t="shared" si="85"/>
        <v>0</v>
      </c>
      <c r="AS216" s="274"/>
      <c r="AT216" s="956"/>
      <c r="AU216" s="956"/>
      <c r="AV216" s="956"/>
      <c r="AW216" s="957"/>
      <c r="AX216" s="126"/>
      <c r="AY216" s="274"/>
      <c r="AZ216" s="274"/>
      <c r="BA216" s="274"/>
      <c r="BB216" s="274"/>
      <c r="BC216" s="958">
        <f t="shared" si="86"/>
        <v>0</v>
      </c>
      <c r="BD216" s="140">
        <f t="shared" si="87"/>
        <v>0</v>
      </c>
      <c r="BE216" s="132"/>
      <c r="BF216" s="140">
        <f t="shared" si="88"/>
        <v>0</v>
      </c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26"/>
      <c r="BR216" s="126"/>
      <c r="BS216" s="141"/>
      <c r="BT216" s="390">
        <f t="shared" si="89"/>
        <v>0</v>
      </c>
      <c r="BU216" s="132"/>
    </row>
    <row r="217" ht="14.25" customHeight="1">
      <c r="A217" s="132"/>
      <c r="B217" s="512">
        <v>46214</v>
      </c>
      <c r="C217" s="133"/>
      <c r="D217" s="132"/>
      <c r="E217" s="135"/>
      <c r="F217" s="135"/>
      <c r="G217" s="147">
        <f t="shared" si="81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82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03">
        <f t="shared" si="83"/>
        <v>0</v>
      </c>
      <c r="AI217" s="136"/>
      <c r="AJ217" s="136"/>
      <c r="AK217" s="136"/>
      <c r="AL217" s="105">
        <f t="shared" si="84"/>
        <v>0</v>
      </c>
      <c r="AM217" s="143"/>
      <c r="AN217" s="143"/>
      <c r="AO217" s="143"/>
      <c r="AP217" s="143"/>
      <c r="AQ217" s="146"/>
      <c r="AR217" s="224">
        <f ref="AR217:AR228" t="shared" si="90">+G217-U217-AH217-AL217-AM217-AO217-AP217-AQ217-AN217</f>
        <v>0</v>
      </c>
      <c r="AS217" s="274"/>
      <c r="AT217" s="126"/>
      <c r="AU217" s="126"/>
      <c r="AV217" s="126"/>
      <c r="AW217" s="126"/>
      <c r="AX217" s="126"/>
      <c r="AY217" s="274"/>
      <c r="AZ217" s="274"/>
      <c r="BA217" s="274"/>
      <c r="BB217" s="274"/>
      <c r="BC217" s="222">
        <f t="shared" si="86"/>
        <v>0</v>
      </c>
      <c r="BD217" s="140">
        <f t="shared" si="87"/>
        <v>0</v>
      </c>
      <c r="BE217" s="132"/>
      <c r="BF217" s="140">
        <f t="shared" si="88"/>
        <v>0</v>
      </c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26"/>
      <c r="BR217" s="126"/>
      <c r="BS217" s="141"/>
      <c r="BT217" s="130">
        <f t="shared" si="89"/>
        <v>0</v>
      </c>
      <c r="BU217" s="132"/>
    </row>
    <row r="218" ht="14.25" customHeight="1">
      <c r="A218" s="132"/>
      <c r="B218" s="512">
        <v>46215</v>
      </c>
      <c r="C218" s="133"/>
      <c r="D218" s="136"/>
      <c r="E218" s="135"/>
      <c r="F218" s="135"/>
      <c r="G218" s="147">
        <f t="shared" si="81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82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03">
        <f t="shared" si="83"/>
        <v>0</v>
      </c>
      <c r="AI218" s="136"/>
      <c r="AJ218" s="136"/>
      <c r="AK218" s="136"/>
      <c r="AL218" s="105">
        <f t="shared" si="84"/>
        <v>0</v>
      </c>
      <c r="AM218" s="143"/>
      <c r="AN218" s="143"/>
      <c r="AO218" s="143"/>
      <c r="AP218" s="143"/>
      <c r="AQ218" s="146"/>
      <c r="AR218" s="224">
        <f t="shared" si="90"/>
        <v>0</v>
      </c>
      <c r="AS218" s="274"/>
      <c r="AT218" s="126"/>
      <c r="AU218" s="126"/>
      <c r="AV218" s="126"/>
      <c r="AW218" s="126"/>
      <c r="AX218" s="126"/>
      <c r="AY218" s="274"/>
      <c r="AZ218" s="274"/>
      <c r="BA218" s="274"/>
      <c r="BB218" s="274"/>
      <c r="BC218" s="222">
        <f t="shared" si="86"/>
        <v>0</v>
      </c>
      <c r="BD218" s="140">
        <f t="shared" si="87"/>
        <v>0</v>
      </c>
      <c r="BE218" s="132"/>
      <c r="BF218" s="140">
        <f t="shared" si="88"/>
        <v>0</v>
      </c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26"/>
      <c r="BR218" s="126"/>
      <c r="BS218" s="141"/>
      <c r="BT218" s="130">
        <f t="shared" si="89"/>
        <v>0</v>
      </c>
      <c r="BU218" s="132"/>
    </row>
    <row r="219" ht="14.25" customHeight="1">
      <c r="A219" s="3"/>
      <c r="B219" s="512">
        <v>46216</v>
      </c>
      <c r="C219" s="118"/>
      <c r="D219" s="123"/>
      <c r="E219" s="120"/>
      <c r="F219" s="120"/>
      <c r="G219" s="147">
        <f t="shared" si="81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82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03">
        <f t="shared" si="83"/>
        <v>0</v>
      </c>
      <c r="AI219" s="123"/>
      <c r="AJ219" s="123"/>
      <c r="AK219" s="123"/>
      <c r="AL219" s="105">
        <f t="shared" si="84"/>
        <v>0</v>
      </c>
      <c r="AM219" s="143"/>
      <c r="AN219" s="143"/>
      <c r="AO219" s="143"/>
      <c r="AP219" s="143"/>
      <c r="AQ219" s="146"/>
      <c r="AR219" s="224">
        <f t="shared" si="90"/>
        <v>0</v>
      </c>
      <c r="AS219" s="274"/>
      <c r="AT219" s="126"/>
      <c r="AU219" s="126"/>
      <c r="AV219" s="126"/>
      <c r="AW219" s="126"/>
      <c r="AX219" s="126"/>
      <c r="AY219" s="274"/>
      <c r="AZ219" s="274"/>
      <c r="BA219" s="274"/>
      <c r="BB219" s="274"/>
      <c r="BC219" s="222">
        <f t="shared" si="86"/>
        <v>0</v>
      </c>
      <c r="BD219" s="113">
        <f t="shared" si="87"/>
        <v>0</v>
      </c>
      <c r="BE219" s="3"/>
      <c r="BF219" s="113">
        <f t="shared" si="88"/>
        <v>0</v>
      </c>
      <c r="BG219" s="225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225"/>
      <c r="BR219" s="225"/>
      <c r="BS219" s="129"/>
      <c r="BT219" s="130">
        <f t="shared" si="89"/>
        <v>0</v>
      </c>
      <c r="BU219" s="3"/>
    </row>
    <row r="220" ht="14.25" customHeight="1">
      <c r="A220" s="132"/>
      <c r="B220" s="512">
        <v>46217</v>
      </c>
      <c r="C220" s="133"/>
      <c r="D220" s="136"/>
      <c r="E220" s="135"/>
      <c r="F220" s="135"/>
      <c r="G220" s="147">
        <f t="shared" si="81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82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03">
        <f t="shared" si="83"/>
        <v>0</v>
      </c>
      <c r="AI220" s="136"/>
      <c r="AJ220" s="136"/>
      <c r="AK220" s="136"/>
      <c r="AL220" s="105">
        <f t="shared" si="84"/>
        <v>0</v>
      </c>
      <c r="AM220" s="143"/>
      <c r="AN220" s="143"/>
      <c r="AO220" s="143"/>
      <c r="AP220" s="143"/>
      <c r="AQ220" s="146"/>
      <c r="AR220" s="224">
        <f t="shared" si="90"/>
        <v>0</v>
      </c>
      <c r="AS220" s="274"/>
      <c r="AT220" s="126"/>
      <c r="AU220" s="126"/>
      <c r="AV220" s="126"/>
      <c r="AW220" s="126"/>
      <c r="AX220" s="126"/>
      <c r="AY220" s="274"/>
      <c r="AZ220" s="274"/>
      <c r="BA220" s="274"/>
      <c r="BB220" s="274"/>
      <c r="BC220" s="222">
        <f t="shared" si="86"/>
        <v>0</v>
      </c>
      <c r="BD220" s="140">
        <f t="shared" si="87"/>
        <v>0</v>
      </c>
      <c r="BE220" s="132"/>
      <c r="BF220" s="140">
        <f t="shared" si="88"/>
        <v>0</v>
      </c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26"/>
      <c r="BR220" s="126"/>
      <c r="BS220" s="141"/>
      <c r="BT220" s="130">
        <f t="shared" si="89"/>
        <v>0</v>
      </c>
      <c r="BU220" s="132"/>
    </row>
    <row r="221" ht="14.25" customHeight="1">
      <c r="A221" s="132"/>
      <c r="B221" s="512">
        <v>46218</v>
      </c>
      <c r="C221" s="133"/>
      <c r="D221" s="136"/>
      <c r="E221" s="135"/>
      <c r="F221" s="135"/>
      <c r="G221" s="147">
        <f t="shared" si="81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82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03">
        <f t="shared" si="83"/>
        <v>0</v>
      </c>
      <c r="AI221" s="136"/>
      <c r="AJ221" s="136"/>
      <c r="AK221" s="136"/>
      <c r="AL221" s="105">
        <f t="shared" si="84"/>
        <v>0</v>
      </c>
      <c r="AM221" s="143"/>
      <c r="AN221" s="143"/>
      <c r="AO221" s="143"/>
      <c r="AP221" s="143"/>
      <c r="AQ221" s="146"/>
      <c r="AR221" s="224">
        <f t="shared" si="90"/>
        <v>0</v>
      </c>
      <c r="AS221" s="274"/>
      <c r="AT221" s="126"/>
      <c r="AU221" s="126"/>
      <c r="AV221" s="126"/>
      <c r="AW221" s="126"/>
      <c r="AX221" s="126"/>
      <c r="AY221" s="274"/>
      <c r="AZ221" s="274"/>
      <c r="BA221" s="274"/>
      <c r="BB221" s="274"/>
      <c r="BC221" s="222">
        <f t="shared" si="86"/>
        <v>0</v>
      </c>
      <c r="BD221" s="140">
        <f t="shared" si="87"/>
        <v>0</v>
      </c>
      <c r="BE221" s="132"/>
      <c r="BF221" s="140">
        <f t="shared" si="88"/>
        <v>0</v>
      </c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26"/>
      <c r="BR221" s="126"/>
      <c r="BS221" s="141"/>
      <c r="BT221" s="130">
        <f t="shared" si="89"/>
        <v>0</v>
      </c>
      <c r="BU221" s="132"/>
    </row>
    <row r="222" ht="14.25" customHeight="1">
      <c r="A222" s="132"/>
      <c r="B222" s="512">
        <v>46219</v>
      </c>
      <c r="C222" s="133"/>
      <c r="D222" s="136"/>
      <c r="E222" s="135"/>
      <c r="F222" s="135"/>
      <c r="G222" s="147">
        <f t="shared" si="81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82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03">
        <f t="shared" si="83"/>
        <v>0</v>
      </c>
      <c r="AI222" s="136"/>
      <c r="AJ222" s="136"/>
      <c r="AK222" s="136"/>
      <c r="AL222" s="105">
        <f t="shared" si="84"/>
        <v>0</v>
      </c>
      <c r="AM222" s="143"/>
      <c r="AN222" s="143"/>
      <c r="AO222" s="143"/>
      <c r="AP222" s="143"/>
      <c r="AQ222" s="146"/>
      <c r="AR222" s="224">
        <f t="shared" si="90"/>
        <v>0</v>
      </c>
      <c r="AS222" s="274"/>
      <c r="AT222" s="126"/>
      <c r="AU222" s="126"/>
      <c r="AV222" s="126"/>
      <c r="AW222" s="126"/>
      <c r="AX222" s="126"/>
      <c r="AY222" s="274"/>
      <c r="AZ222" s="274"/>
      <c r="BA222" s="274"/>
      <c r="BB222" s="274"/>
      <c r="BC222" s="222">
        <f t="shared" si="86"/>
        <v>0</v>
      </c>
      <c r="BD222" s="140">
        <f t="shared" si="87"/>
        <v>0</v>
      </c>
      <c r="BE222" s="132"/>
      <c r="BF222" s="140">
        <f t="shared" si="88"/>
        <v>0</v>
      </c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26"/>
      <c r="BR222" s="126"/>
      <c r="BS222" s="141"/>
      <c r="BT222" s="130">
        <f t="shared" si="89"/>
        <v>0</v>
      </c>
      <c r="BU222" s="132"/>
    </row>
    <row r="223" ht="14.25" customHeight="1">
      <c r="A223" s="132"/>
      <c r="B223" s="512">
        <v>46220</v>
      </c>
      <c r="C223" s="133"/>
      <c r="D223" s="136"/>
      <c r="E223" s="135"/>
      <c r="F223" s="135"/>
      <c r="G223" s="147">
        <f t="shared" si="81"/>
        <v>0</v>
      </c>
      <c r="H223" s="959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82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03">
        <f t="shared" si="83"/>
        <v>0</v>
      </c>
      <c r="AI223" s="136"/>
      <c r="AJ223" s="136"/>
      <c r="AK223" s="136"/>
      <c r="AL223" s="105">
        <f t="shared" si="84"/>
        <v>0</v>
      </c>
      <c r="AM223" s="143"/>
      <c r="AN223" s="143"/>
      <c r="AO223" s="143"/>
      <c r="AP223" s="143"/>
      <c r="AQ223" s="146"/>
      <c r="AR223" s="224">
        <f t="shared" si="90"/>
        <v>0</v>
      </c>
      <c r="AS223" s="274"/>
      <c r="AT223" s="126"/>
      <c r="AU223" s="126"/>
      <c r="AV223" s="126"/>
      <c r="AW223" s="126"/>
      <c r="AX223" s="126"/>
      <c r="AY223" s="274"/>
      <c r="AZ223" s="274"/>
      <c r="BA223" s="274"/>
      <c r="BB223" s="274"/>
      <c r="BC223" s="222">
        <f t="shared" si="86"/>
        <v>0</v>
      </c>
      <c r="BD223" s="140">
        <f t="shared" si="87"/>
        <v>0</v>
      </c>
      <c r="BE223" s="132"/>
      <c r="BF223" s="140">
        <f t="shared" si="88"/>
        <v>0</v>
      </c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26"/>
      <c r="BR223" s="126"/>
      <c r="BS223" s="141"/>
      <c r="BT223" s="130">
        <f t="shared" si="89"/>
        <v>0</v>
      </c>
      <c r="BU223" s="132"/>
    </row>
    <row r="224" ht="14.25" customHeight="1">
      <c r="A224" s="132"/>
      <c r="B224" s="512">
        <v>46221</v>
      </c>
      <c r="C224" s="133"/>
      <c r="D224" s="136"/>
      <c r="E224" s="135"/>
      <c r="F224" s="135"/>
      <c r="G224" s="147">
        <f t="shared" si="81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82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03">
        <f t="shared" si="83"/>
        <v>0</v>
      </c>
      <c r="AI224" s="136"/>
      <c r="AJ224" s="136"/>
      <c r="AK224" s="136"/>
      <c r="AL224" s="105">
        <f t="shared" si="84"/>
        <v>0</v>
      </c>
      <c r="AM224" s="143"/>
      <c r="AN224" s="143"/>
      <c r="AO224" s="143"/>
      <c r="AP224" s="143"/>
      <c r="AQ224" s="146"/>
      <c r="AR224" s="224">
        <f t="shared" si="90"/>
        <v>0</v>
      </c>
      <c r="AS224" s="274"/>
      <c r="AT224" s="126"/>
      <c r="AU224" s="126"/>
      <c r="AV224" s="126"/>
      <c r="AW224" s="126"/>
      <c r="AX224" s="126"/>
      <c r="AY224" s="274"/>
      <c r="AZ224" s="274"/>
      <c r="BA224" s="274"/>
      <c r="BB224" s="274"/>
      <c r="BC224" s="222">
        <f t="shared" si="86"/>
        <v>0</v>
      </c>
      <c r="BD224" s="140">
        <f t="shared" si="87"/>
        <v>0</v>
      </c>
      <c r="BE224" s="132"/>
      <c r="BF224" s="140">
        <f t="shared" si="88"/>
        <v>0</v>
      </c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26"/>
      <c r="BR224" s="126"/>
      <c r="BS224" s="141"/>
      <c r="BT224" s="130">
        <f t="shared" si="89"/>
        <v>0</v>
      </c>
      <c r="BU224" s="132"/>
    </row>
    <row r="225" ht="14.25" customHeight="1">
      <c r="A225" s="132"/>
      <c r="B225" s="512">
        <v>46222</v>
      </c>
      <c r="C225" s="133"/>
      <c r="D225" s="136"/>
      <c r="E225" s="135"/>
      <c r="F225" s="135"/>
      <c r="G225" s="147">
        <f t="shared" si="81"/>
        <v>0</v>
      </c>
      <c r="H225" s="959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82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03">
        <f t="shared" si="83"/>
        <v>0</v>
      </c>
      <c r="AI225" s="136"/>
      <c r="AJ225" s="136"/>
      <c r="AK225" s="136"/>
      <c r="AL225" s="105">
        <f t="shared" si="84"/>
        <v>0</v>
      </c>
      <c r="AM225" s="143"/>
      <c r="AN225" s="143"/>
      <c r="AO225" s="143"/>
      <c r="AP225" s="143"/>
      <c r="AQ225" s="146"/>
      <c r="AR225" s="224">
        <f t="shared" si="90"/>
        <v>0</v>
      </c>
      <c r="AS225" s="274"/>
      <c r="AT225" s="126"/>
      <c r="AU225" s="126"/>
      <c r="AV225" s="126"/>
      <c r="AW225" s="126"/>
      <c r="AX225" s="126"/>
      <c r="AY225" s="274"/>
      <c r="AZ225" s="274"/>
      <c r="BA225" s="274"/>
      <c r="BB225" s="274"/>
      <c r="BC225" s="222">
        <f t="shared" si="86"/>
        <v>0</v>
      </c>
      <c r="BD225" s="140">
        <f t="shared" si="87"/>
        <v>0</v>
      </c>
      <c r="BE225" s="132"/>
      <c r="BF225" s="140">
        <f t="shared" si="88"/>
        <v>0</v>
      </c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26"/>
      <c r="BR225" s="126"/>
      <c r="BS225" s="141"/>
      <c r="BT225" s="130">
        <f t="shared" si="89"/>
        <v>0</v>
      </c>
      <c r="BU225" s="132"/>
    </row>
    <row r="226" ht="14.25" customHeight="1">
      <c r="A226" s="132"/>
      <c r="B226" s="512">
        <v>46223</v>
      </c>
      <c r="C226" s="133"/>
      <c r="D226" s="136"/>
      <c r="E226" s="135"/>
      <c r="F226" s="135"/>
      <c r="G226" s="147">
        <f t="shared" si="81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82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03">
        <f t="shared" si="83"/>
        <v>0</v>
      </c>
      <c r="AI226" s="136"/>
      <c r="AJ226" s="136"/>
      <c r="AK226" s="136"/>
      <c r="AL226" s="105">
        <f t="shared" si="84"/>
        <v>0</v>
      </c>
      <c r="AM226" s="143"/>
      <c r="AN226" s="143"/>
      <c r="AO226" s="143"/>
      <c r="AP226" s="143"/>
      <c r="AQ226" s="146"/>
      <c r="AR226" s="224">
        <f t="shared" si="90"/>
        <v>0</v>
      </c>
      <c r="AS226" s="274"/>
      <c r="AT226" s="126"/>
      <c r="AU226" s="126"/>
      <c r="AV226" s="126"/>
      <c r="AW226" s="126"/>
      <c r="AX226" s="126"/>
      <c r="AY226" s="274"/>
      <c r="AZ226" s="274"/>
      <c r="BA226" s="274"/>
      <c r="BB226" s="274"/>
      <c r="BC226" s="222">
        <f t="shared" si="86"/>
        <v>0</v>
      </c>
      <c r="BD226" s="140">
        <f t="shared" si="87"/>
        <v>0</v>
      </c>
      <c r="BE226" s="132"/>
      <c r="BF226" s="140">
        <f t="shared" si="88"/>
        <v>0</v>
      </c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26"/>
      <c r="BR226" s="126"/>
      <c r="BS226" s="141"/>
      <c r="BT226" s="130">
        <f t="shared" si="89"/>
        <v>0</v>
      </c>
      <c r="BU226" s="132"/>
    </row>
    <row r="227" ht="14.25" customHeight="1">
      <c r="A227" s="132"/>
      <c r="B227" s="512">
        <v>46224</v>
      </c>
      <c r="C227" s="133"/>
      <c r="D227" s="136"/>
      <c r="E227" s="135"/>
      <c r="F227" s="135"/>
      <c r="G227" s="147">
        <f t="shared" si="81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82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03">
        <f t="shared" si="83"/>
        <v>0</v>
      </c>
      <c r="AI227" s="136"/>
      <c r="AJ227" s="136"/>
      <c r="AK227" s="136"/>
      <c r="AL227" s="105">
        <f t="shared" si="84"/>
        <v>0</v>
      </c>
      <c r="AM227" s="143"/>
      <c r="AN227" s="143"/>
      <c r="AO227" s="143"/>
      <c r="AP227" s="143"/>
      <c r="AQ227" s="146"/>
      <c r="AR227" s="224">
        <f t="shared" si="90"/>
        <v>0</v>
      </c>
      <c r="AS227" s="274"/>
      <c r="AT227" s="126"/>
      <c r="AU227" s="126"/>
      <c r="AV227" s="126"/>
      <c r="AW227" s="126"/>
      <c r="AX227" s="126"/>
      <c r="AY227" s="274"/>
      <c r="AZ227" s="274"/>
      <c r="BA227" s="274"/>
      <c r="BB227" s="274"/>
      <c r="BC227" s="222">
        <f t="shared" si="86"/>
        <v>0</v>
      </c>
      <c r="BD227" s="140">
        <f t="shared" si="87"/>
        <v>0</v>
      </c>
      <c r="BE227" s="132"/>
      <c r="BF227" s="140">
        <f t="shared" si="88"/>
        <v>0</v>
      </c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26"/>
      <c r="BR227" s="126"/>
      <c r="BS227" s="141"/>
      <c r="BT227" s="130">
        <f t="shared" si="89"/>
        <v>0</v>
      </c>
      <c r="BU227" s="132"/>
    </row>
    <row r="228" ht="14.25" customHeight="1">
      <c r="A228" s="132"/>
      <c r="B228" s="512">
        <v>46225</v>
      </c>
      <c r="C228" s="133"/>
      <c r="D228" s="136"/>
      <c r="E228" s="135"/>
      <c r="F228" s="135"/>
      <c r="G228" s="147">
        <f t="shared" si="81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82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03">
        <f t="shared" si="83"/>
        <v>0</v>
      </c>
      <c r="AI228" s="136"/>
      <c r="AJ228" s="136"/>
      <c r="AK228" s="136"/>
      <c r="AL228" s="105">
        <f t="shared" si="84"/>
        <v>0</v>
      </c>
      <c r="AM228" s="143"/>
      <c r="AN228" s="143"/>
      <c r="AO228" s="143"/>
      <c r="AP228" s="143"/>
      <c r="AQ228" s="146"/>
      <c r="AR228" s="224">
        <f t="shared" si="90"/>
        <v>0</v>
      </c>
      <c r="AS228" s="274"/>
      <c r="AT228" s="126"/>
      <c r="AU228" s="126"/>
      <c r="AV228" s="126"/>
      <c r="AW228" s="126"/>
      <c r="AX228" s="126"/>
      <c r="AY228" s="274"/>
      <c r="AZ228" s="274"/>
      <c r="BA228" s="274"/>
      <c r="BB228" s="274"/>
      <c r="BC228" s="222">
        <f t="shared" si="86"/>
        <v>0</v>
      </c>
      <c r="BD228" s="140">
        <f t="shared" si="87"/>
        <v>0</v>
      </c>
      <c r="BE228" s="132"/>
      <c r="BF228" s="140">
        <f t="shared" si="88"/>
        <v>0</v>
      </c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26"/>
      <c r="BR228" s="126"/>
      <c r="BS228" s="141"/>
      <c r="BT228" s="130">
        <f t="shared" si="89"/>
        <v>0</v>
      </c>
      <c r="BU228" s="132"/>
    </row>
    <row r="229" ht="14.25" customHeight="1">
      <c r="A229" s="132"/>
      <c r="B229" s="512">
        <v>46226</v>
      </c>
      <c r="C229" s="133"/>
      <c r="D229" s="136"/>
      <c r="E229" s="135"/>
      <c r="F229" s="135"/>
      <c r="G229" s="147">
        <f t="shared" si="81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82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03">
        <f t="shared" si="83"/>
        <v>0</v>
      </c>
      <c r="AI229" s="136"/>
      <c r="AJ229" s="136"/>
      <c r="AK229" s="136"/>
      <c r="AL229" s="105">
        <f t="shared" si="84"/>
        <v>0</v>
      </c>
      <c r="AM229" s="143"/>
      <c r="AN229" s="143"/>
      <c r="AO229" s="143"/>
      <c r="AP229" s="143"/>
      <c r="AQ229" s="146"/>
      <c r="AR229" s="224">
        <f ref="AR229:AR237" t="shared" si="91">+G229-U229-AH229-AL229-AM229-AO229-AP229-AQ229</f>
        <v>0</v>
      </c>
      <c r="AS229" s="274"/>
      <c r="AT229" s="126"/>
      <c r="AU229" s="126"/>
      <c r="AV229" s="126"/>
      <c r="AW229" s="126"/>
      <c r="AX229" s="126"/>
      <c r="AY229" s="274"/>
      <c r="AZ229" s="274"/>
      <c r="BA229" s="274"/>
      <c r="BB229" s="274"/>
      <c r="BC229" s="222">
        <f t="shared" si="86"/>
        <v>0</v>
      </c>
      <c r="BD229" s="140">
        <f t="shared" si="87"/>
        <v>0</v>
      </c>
      <c r="BE229" s="132"/>
      <c r="BF229" s="140">
        <f t="shared" si="88"/>
        <v>0</v>
      </c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26"/>
      <c r="BR229" s="126"/>
      <c r="BS229" s="141"/>
      <c r="BT229" s="130">
        <f t="shared" si="89"/>
        <v>0</v>
      </c>
      <c r="BU229" s="132"/>
    </row>
    <row r="230" ht="14.25" customHeight="1">
      <c r="A230" s="132"/>
      <c r="B230" s="512">
        <v>46227</v>
      </c>
      <c r="C230" s="133"/>
      <c r="D230" s="136"/>
      <c r="E230" s="135"/>
      <c r="F230" s="135"/>
      <c r="G230" s="147">
        <f t="shared" si="81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82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03">
        <f t="shared" si="83"/>
        <v>0</v>
      </c>
      <c r="AI230" s="136"/>
      <c r="AJ230" s="136"/>
      <c r="AK230" s="136"/>
      <c r="AL230" s="105">
        <f t="shared" si="84"/>
        <v>0</v>
      </c>
      <c r="AM230" s="143"/>
      <c r="AN230" s="143"/>
      <c r="AO230" s="143"/>
      <c r="AP230" s="143"/>
      <c r="AQ230" s="146"/>
      <c r="AR230" s="224">
        <f t="shared" si="91"/>
        <v>0</v>
      </c>
      <c r="AS230" s="274"/>
      <c r="AT230" s="126"/>
      <c r="AU230" s="126"/>
      <c r="AV230" s="126"/>
      <c r="AW230" s="126"/>
      <c r="AX230" s="126"/>
      <c r="AY230" s="274"/>
      <c r="AZ230" s="274"/>
      <c r="BA230" s="274"/>
      <c r="BB230" s="274"/>
      <c r="BC230" s="222">
        <f t="shared" si="86"/>
        <v>0</v>
      </c>
      <c r="BD230" s="140">
        <f t="shared" si="87"/>
        <v>0</v>
      </c>
      <c r="BE230" s="132"/>
      <c r="BF230" s="140">
        <f t="shared" si="88"/>
        <v>0</v>
      </c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26"/>
      <c r="BR230" s="126"/>
      <c r="BS230" s="141"/>
      <c r="BT230" s="130">
        <f t="shared" si="89"/>
        <v>0</v>
      </c>
      <c r="BU230" s="132"/>
    </row>
    <row r="231" ht="14.25" customHeight="1">
      <c r="A231" s="132"/>
      <c r="B231" s="512">
        <v>46228</v>
      </c>
      <c r="C231" s="133"/>
      <c r="D231" s="136"/>
      <c r="E231" s="135"/>
      <c r="F231" s="135"/>
      <c r="G231" s="147">
        <f t="shared" si="81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82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03">
        <f t="shared" si="83"/>
        <v>0</v>
      </c>
      <c r="AI231" s="136"/>
      <c r="AJ231" s="136"/>
      <c r="AK231" s="136"/>
      <c r="AL231" s="105">
        <f t="shared" si="84"/>
        <v>0</v>
      </c>
      <c r="AM231" s="143"/>
      <c r="AN231" s="143"/>
      <c r="AO231" s="143"/>
      <c r="AP231" s="143"/>
      <c r="AQ231" s="146"/>
      <c r="AR231" s="224">
        <f t="shared" si="91"/>
        <v>0</v>
      </c>
      <c r="AS231" s="274"/>
      <c r="AT231" s="126"/>
      <c r="AU231" s="126"/>
      <c r="AV231" s="126"/>
      <c r="AW231" s="126"/>
      <c r="AX231" s="126"/>
      <c r="AY231" s="274"/>
      <c r="AZ231" s="274"/>
      <c r="BA231" s="274"/>
      <c r="BB231" s="274"/>
      <c r="BC231" s="222">
        <f t="shared" si="86"/>
        <v>0</v>
      </c>
      <c r="BD231" s="140">
        <f t="shared" si="87"/>
        <v>0</v>
      </c>
      <c r="BE231" s="132"/>
      <c r="BF231" s="140">
        <f t="shared" si="88"/>
        <v>0</v>
      </c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26"/>
      <c r="BR231" s="126"/>
      <c r="BS231" s="141"/>
      <c r="BT231" s="130">
        <f t="shared" si="89"/>
        <v>0</v>
      </c>
      <c r="BU231" s="132"/>
    </row>
    <row r="232" ht="14.25" customHeight="1">
      <c r="A232" s="132"/>
      <c r="B232" s="512">
        <v>46229</v>
      </c>
      <c r="C232" s="133"/>
      <c r="D232" s="136"/>
      <c r="E232" s="135"/>
      <c r="F232" s="135"/>
      <c r="G232" s="147">
        <f t="shared" si="81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43"/>
      <c r="U232" s="103">
        <f t="shared" si="82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03">
        <f t="shared" si="83"/>
        <v>0</v>
      </c>
      <c r="AI232" s="136"/>
      <c r="AJ232" s="136"/>
      <c r="AK232" s="136"/>
      <c r="AL232" s="105">
        <f t="shared" si="84"/>
        <v>0</v>
      </c>
      <c r="AM232" s="143"/>
      <c r="AN232" s="143"/>
      <c r="AO232" s="143"/>
      <c r="AP232" s="143"/>
      <c r="AQ232" s="146"/>
      <c r="AR232" s="224">
        <f t="shared" si="91"/>
        <v>0</v>
      </c>
      <c r="AS232" s="274"/>
      <c r="AT232" s="126"/>
      <c r="AU232" s="126"/>
      <c r="AV232" s="126"/>
      <c r="AW232" s="126"/>
      <c r="AX232" s="126"/>
      <c r="AY232" s="274"/>
      <c r="AZ232" s="274"/>
      <c r="BA232" s="274"/>
      <c r="BB232" s="274"/>
      <c r="BC232" s="222">
        <f t="shared" si="86"/>
        <v>0</v>
      </c>
      <c r="BD232" s="140">
        <f t="shared" si="87"/>
        <v>0</v>
      </c>
      <c r="BE232" s="132"/>
      <c r="BF232" s="140">
        <f t="shared" si="88"/>
        <v>0</v>
      </c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26"/>
      <c r="BR232" s="126"/>
      <c r="BS232" s="141"/>
      <c r="BT232" s="130">
        <f t="shared" si="89"/>
        <v>0</v>
      </c>
      <c r="BU232" s="132"/>
    </row>
    <row r="233" ht="14.25" customHeight="1">
      <c r="A233" s="132"/>
      <c r="B233" s="512">
        <v>46230</v>
      </c>
      <c r="C233" s="133"/>
      <c r="D233" s="136"/>
      <c r="E233" s="135"/>
      <c r="F233" s="135"/>
      <c r="G233" s="147">
        <f t="shared" si="81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03">
        <f t="shared" si="82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03">
        <f t="shared" si="83"/>
        <v>0</v>
      </c>
      <c r="AI233" s="136"/>
      <c r="AJ233" s="136"/>
      <c r="AK233" s="136"/>
      <c r="AL233" s="105">
        <f t="shared" si="84"/>
        <v>0</v>
      </c>
      <c r="AM233" s="143"/>
      <c r="AN233" s="143"/>
      <c r="AO233" s="143"/>
      <c r="AP233" s="143"/>
      <c r="AQ233" s="146"/>
      <c r="AR233" s="224">
        <f t="shared" si="91"/>
        <v>0</v>
      </c>
      <c r="AS233" s="274"/>
      <c r="AT233" s="126"/>
      <c r="AU233" s="126"/>
      <c r="AV233" s="126"/>
      <c r="AW233" s="126"/>
      <c r="AX233" s="126"/>
      <c r="AY233" s="274"/>
      <c r="AZ233" s="274"/>
      <c r="BA233" s="274"/>
      <c r="BB233" s="274"/>
      <c r="BC233" s="222">
        <f t="shared" si="86"/>
        <v>0</v>
      </c>
      <c r="BD233" s="140">
        <f t="shared" si="87"/>
        <v>0</v>
      </c>
      <c r="BE233" s="132"/>
      <c r="BF233" s="140">
        <f t="shared" si="88"/>
        <v>0</v>
      </c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26"/>
      <c r="BR233" s="126"/>
      <c r="BS233" s="141"/>
      <c r="BT233" s="130">
        <f t="shared" si="89"/>
        <v>0</v>
      </c>
      <c r="BU233" s="132"/>
    </row>
    <row r="234" ht="14.25" customHeight="1">
      <c r="A234" s="132"/>
      <c r="B234" s="512">
        <v>46231</v>
      </c>
      <c r="C234" s="133"/>
      <c r="D234" s="136"/>
      <c r="E234" s="135"/>
      <c r="F234" s="135"/>
      <c r="G234" s="147">
        <f t="shared" si="81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82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03">
        <f t="shared" si="83"/>
        <v>0</v>
      </c>
      <c r="AI234" s="136"/>
      <c r="AJ234" s="136"/>
      <c r="AK234" s="136"/>
      <c r="AL234" s="105">
        <f t="shared" si="84"/>
        <v>0</v>
      </c>
      <c r="AM234" s="143"/>
      <c r="AN234" s="143"/>
      <c r="AO234" s="143"/>
      <c r="AP234" s="143"/>
      <c r="AQ234" s="146"/>
      <c r="AR234" s="224">
        <f t="shared" si="91"/>
        <v>0</v>
      </c>
      <c r="AS234" s="274"/>
      <c r="AT234" s="126"/>
      <c r="AU234" s="126"/>
      <c r="AV234" s="126"/>
      <c r="AW234" s="126"/>
      <c r="AX234" s="126"/>
      <c r="AY234" s="274"/>
      <c r="AZ234" s="274"/>
      <c r="BA234" s="274"/>
      <c r="BB234" s="274"/>
      <c r="BC234" s="222">
        <f t="shared" si="86"/>
        <v>0</v>
      </c>
      <c r="BD234" s="140">
        <f t="shared" si="87"/>
        <v>0</v>
      </c>
      <c r="BE234" s="132"/>
      <c r="BF234" s="140">
        <f t="shared" si="88"/>
        <v>0</v>
      </c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26"/>
      <c r="BR234" s="126"/>
      <c r="BS234" s="141"/>
      <c r="BT234" s="130">
        <f t="shared" si="89"/>
        <v>0</v>
      </c>
      <c r="BU234" s="132"/>
    </row>
    <row r="235" ht="14.25" customHeight="1">
      <c r="A235" s="132"/>
      <c r="B235" s="512">
        <v>46232</v>
      </c>
      <c r="C235" s="133"/>
      <c r="D235" s="136"/>
      <c r="E235" s="135"/>
      <c r="F235" s="135"/>
      <c r="G235" s="147">
        <f t="shared" si="81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82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03">
        <f t="shared" si="83"/>
        <v>0</v>
      </c>
      <c r="AI235" s="136"/>
      <c r="AJ235" s="136"/>
      <c r="AK235" s="136"/>
      <c r="AL235" s="105">
        <f t="shared" si="84"/>
        <v>0</v>
      </c>
      <c r="AM235" s="143"/>
      <c r="AN235" s="143"/>
      <c r="AO235" s="143"/>
      <c r="AP235" s="143"/>
      <c r="AQ235" s="146"/>
      <c r="AR235" s="224">
        <f t="shared" si="91"/>
        <v>0</v>
      </c>
      <c r="AS235" s="274"/>
      <c r="AT235" s="126"/>
      <c r="AU235" s="126"/>
      <c r="AV235" s="126"/>
      <c r="AW235" s="126"/>
      <c r="AX235" s="126"/>
      <c r="AY235" s="274"/>
      <c r="AZ235" s="274"/>
      <c r="BA235" s="274"/>
      <c r="BB235" s="274"/>
      <c r="BC235" s="222">
        <f t="shared" si="86"/>
        <v>0</v>
      </c>
      <c r="BD235" s="140">
        <f t="shared" si="87"/>
        <v>0</v>
      </c>
      <c r="BE235" s="132"/>
      <c r="BF235" s="140">
        <f t="shared" si="88"/>
        <v>0</v>
      </c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26"/>
      <c r="BR235" s="126"/>
      <c r="BS235" s="141"/>
      <c r="BT235" s="130">
        <f t="shared" si="89"/>
        <v>0</v>
      </c>
      <c r="BU235" s="132"/>
    </row>
    <row r="236" ht="13.5" customHeight="1">
      <c r="A236" s="132"/>
      <c r="B236" s="512">
        <v>46233</v>
      </c>
      <c r="C236" s="133"/>
      <c r="D236" s="136"/>
      <c r="E236" s="135"/>
      <c r="F236" s="135"/>
      <c r="G236" s="147">
        <f t="shared" si="81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82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03">
        <f t="shared" si="83"/>
        <v>0</v>
      </c>
      <c r="AI236" s="136"/>
      <c r="AJ236" s="136"/>
      <c r="AK236" s="136"/>
      <c r="AL236" s="105">
        <f t="shared" si="84"/>
        <v>0</v>
      </c>
      <c r="AM236" s="143"/>
      <c r="AN236" s="143"/>
      <c r="AO236" s="143"/>
      <c r="AP236" s="143"/>
      <c r="AQ236" s="146"/>
      <c r="AR236" s="224">
        <f t="shared" si="91"/>
        <v>0</v>
      </c>
      <c r="AS236" s="274"/>
      <c r="AT236" s="126"/>
      <c r="AU236" s="126"/>
      <c r="AV236" s="126"/>
      <c r="AW236" s="126"/>
      <c r="AX236" s="126"/>
      <c r="AY236" s="274"/>
      <c r="AZ236" s="274"/>
      <c r="BA236" s="274"/>
      <c r="BB236" s="274"/>
      <c r="BC236" s="222">
        <f t="shared" si="86"/>
        <v>0</v>
      </c>
      <c r="BD236" s="140">
        <f t="shared" si="87"/>
        <v>0</v>
      </c>
      <c r="BE236" s="132"/>
      <c r="BF236" s="140">
        <f t="shared" si="88"/>
        <v>0</v>
      </c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26"/>
      <c r="BR236" s="126"/>
      <c r="BS236" s="141"/>
      <c r="BT236" s="130">
        <f t="shared" si="89"/>
        <v>0</v>
      </c>
      <c r="BU236" s="132"/>
    </row>
    <row r="237" ht="14.25" customHeight="1">
      <c r="A237" s="132"/>
      <c r="B237" s="512">
        <v>46234</v>
      </c>
      <c r="C237" s="960"/>
      <c r="D237" s="159"/>
      <c r="E237" s="156"/>
      <c r="F237" s="156"/>
      <c r="G237" s="147">
        <f t="shared" si="81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03">
        <f t="shared" si="82"/>
        <v>0</v>
      </c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03">
        <f t="shared" si="83"/>
        <v>0</v>
      </c>
      <c r="AI237" s="159"/>
      <c r="AJ237" s="159"/>
      <c r="AK237" s="159"/>
      <c r="AL237" s="105">
        <f t="shared" si="84"/>
        <v>0</v>
      </c>
      <c r="AM237" s="157"/>
      <c r="AN237" s="157"/>
      <c r="AO237" s="157"/>
      <c r="AP237" s="157"/>
      <c r="AQ237" s="146"/>
      <c r="AR237" s="224">
        <f t="shared" si="91"/>
        <v>0</v>
      </c>
      <c r="AS237" s="274"/>
      <c r="AT237" s="126"/>
      <c r="AU237" s="126"/>
      <c r="AV237" s="126"/>
      <c r="AW237" s="126"/>
      <c r="AX237" s="126"/>
      <c r="AY237" s="296"/>
      <c r="AZ237" s="274"/>
      <c r="BA237" s="296"/>
      <c r="BB237" s="296"/>
      <c r="BC237" s="222">
        <f t="shared" si="86"/>
        <v>0</v>
      </c>
      <c r="BD237" s="162">
        <f t="shared" si="87"/>
        <v>0</v>
      </c>
      <c r="BE237" s="132"/>
      <c r="BF237" s="162">
        <f t="shared" si="88"/>
        <v>0</v>
      </c>
      <c r="BG237" s="138"/>
      <c r="BH237" s="138"/>
      <c r="BI237" s="138"/>
      <c r="BJ237" s="138"/>
      <c r="BK237" s="138"/>
      <c r="BL237" s="138"/>
      <c r="BM237" s="138"/>
      <c r="BN237" s="138"/>
      <c r="BO237" s="138"/>
      <c r="BP237" s="126"/>
      <c r="BQ237" s="138"/>
      <c r="BR237" s="138"/>
      <c r="BS237" s="163"/>
      <c r="BT237" s="164">
        <f t="shared" si="89"/>
        <v>0</v>
      </c>
      <c r="BU237" s="132"/>
    </row>
    <row r="238" ht="14.25" customHeight="1">
      <c r="A238" s="3"/>
      <c r="B238" s="2"/>
      <c r="C238" s="167">
        <f ref="C238:U238" t="shared" si="92">SUM(C207:C237)</f>
        <v>0</v>
      </c>
      <c r="D238" s="167">
        <f t="shared" si="92"/>
        <v>0</v>
      </c>
      <c r="E238" s="167">
        <f t="shared" si="92"/>
        <v>0</v>
      </c>
      <c r="F238" s="167">
        <f t="shared" si="92"/>
        <v>0</v>
      </c>
      <c r="G238" s="167">
        <f t="shared" si="92"/>
        <v>0</v>
      </c>
      <c r="H238" s="166">
        <f t="shared" si="92"/>
        <v>0</v>
      </c>
      <c r="I238" s="166">
        <f t="shared" si="92"/>
        <v>0</v>
      </c>
      <c r="J238" s="166">
        <f t="shared" si="92"/>
        <v>0</v>
      </c>
      <c r="K238" s="166">
        <f t="shared" si="92"/>
        <v>0</v>
      </c>
      <c r="L238" s="166">
        <f t="shared" si="92"/>
        <v>0</v>
      </c>
      <c r="M238" s="166">
        <f t="shared" si="92"/>
        <v>0</v>
      </c>
      <c r="N238" s="166">
        <f t="shared" si="92"/>
        <v>0</v>
      </c>
      <c r="O238" s="166">
        <f t="shared" si="92"/>
        <v>0</v>
      </c>
      <c r="P238" s="166">
        <f t="shared" si="92"/>
        <v>0</v>
      </c>
      <c r="Q238" s="166">
        <f t="shared" si="92"/>
        <v>0</v>
      </c>
      <c r="R238" s="166">
        <f t="shared" si="92"/>
        <v>0</v>
      </c>
      <c r="S238" s="166">
        <f t="shared" si="92"/>
        <v>0</v>
      </c>
      <c r="T238" s="166">
        <f t="shared" si="92"/>
        <v>0</v>
      </c>
      <c r="U238" s="166">
        <f t="shared" si="92"/>
        <v>0</v>
      </c>
      <c r="V238" s="166"/>
      <c r="W238" s="166"/>
      <c r="X238" s="166">
        <f ref="X238:AJ238" t="shared" si="93">SUM(X207:X237)</f>
        <v>0</v>
      </c>
      <c r="Y238" s="166">
        <f t="shared" si="93"/>
        <v>0</v>
      </c>
      <c r="Z238" s="166">
        <f t="shared" si="93"/>
        <v>0</v>
      </c>
      <c r="AA238" s="166">
        <f t="shared" si="93"/>
        <v>0</v>
      </c>
      <c r="AB238" s="166">
        <f t="shared" si="93"/>
        <v>0</v>
      </c>
      <c r="AC238" s="166">
        <f t="shared" si="93"/>
        <v>0</v>
      </c>
      <c r="AD238" s="166">
        <f t="shared" si="93"/>
        <v>0</v>
      </c>
      <c r="AE238" s="166">
        <f t="shared" si="93"/>
        <v>0</v>
      </c>
      <c r="AF238" s="166">
        <f t="shared" si="93"/>
        <v>0</v>
      </c>
      <c r="AG238" s="166">
        <f t="shared" si="93"/>
        <v>0</v>
      </c>
      <c r="AH238" s="166">
        <f t="shared" si="93"/>
        <v>0</v>
      </c>
      <c r="AI238" s="166">
        <f t="shared" si="93"/>
        <v>0</v>
      </c>
      <c r="AJ238" s="166">
        <f t="shared" si="93"/>
        <v>0</v>
      </c>
      <c r="AK238" s="166"/>
      <c r="AL238" s="166">
        <f ref="AL238:BD238" t="shared" si="94">SUM(AL207:AL237)</f>
        <v>0</v>
      </c>
      <c r="AM238" s="166">
        <f t="shared" si="94"/>
        <v>0</v>
      </c>
      <c r="AN238" s="166">
        <f t="shared" si="94"/>
        <v>0</v>
      </c>
      <c r="AO238" s="166">
        <f t="shared" si="94"/>
        <v>0</v>
      </c>
      <c r="AP238" s="166">
        <f t="shared" si="94"/>
        <v>0</v>
      </c>
      <c r="AQ238" s="166">
        <f t="shared" si="94"/>
        <v>0</v>
      </c>
      <c r="AR238" s="166">
        <f t="shared" si="94"/>
        <v>0</v>
      </c>
      <c r="AS238" s="166">
        <f t="shared" si="94"/>
        <v>0</v>
      </c>
      <c r="AT238" s="166">
        <f t="shared" si="94"/>
        <v>0</v>
      </c>
      <c r="AU238" s="166">
        <f t="shared" si="94"/>
        <v>0</v>
      </c>
      <c r="AV238" s="166">
        <f t="shared" si="94"/>
        <v>0</v>
      </c>
      <c r="AW238" s="166">
        <f t="shared" si="94"/>
        <v>0</v>
      </c>
      <c r="AX238" s="166">
        <f t="shared" si="94"/>
        <v>0</v>
      </c>
      <c r="AY238" s="166">
        <f t="shared" si="94"/>
        <v>0</v>
      </c>
      <c r="AZ238" s="166">
        <f t="shared" si="94"/>
        <v>0</v>
      </c>
      <c r="BA238" s="166">
        <f t="shared" si="94"/>
        <v>0</v>
      </c>
      <c r="BB238" s="166">
        <f t="shared" si="94"/>
        <v>0</v>
      </c>
      <c r="BC238" s="166">
        <f t="shared" si="94"/>
        <v>0</v>
      </c>
      <c r="BD238" s="166">
        <f t="shared" si="94"/>
        <v>0</v>
      </c>
      <c r="BE238" s="166"/>
      <c r="BF238" s="166">
        <f ref="BF238:BR238" t="shared" si="95">SUM(BF207:BF237)</f>
        <v>0</v>
      </c>
      <c r="BG238" s="166">
        <f t="shared" si="95"/>
        <v>0</v>
      </c>
      <c r="BH238" s="166">
        <f t="shared" si="95"/>
        <v>0</v>
      </c>
      <c r="BI238" s="166">
        <f t="shared" si="95"/>
        <v>0</v>
      </c>
      <c r="BJ238" s="166">
        <f t="shared" si="95"/>
        <v>0</v>
      </c>
      <c r="BK238" s="166">
        <f t="shared" si="95"/>
        <v>0</v>
      </c>
      <c r="BL238" s="166">
        <f t="shared" si="95"/>
        <v>0</v>
      </c>
      <c r="BM238" s="166">
        <f t="shared" si="95"/>
        <v>0</v>
      </c>
      <c r="BN238" s="166">
        <f t="shared" si="95"/>
        <v>0</v>
      </c>
      <c r="BO238" s="166">
        <f t="shared" si="95"/>
        <v>0</v>
      </c>
      <c r="BP238" s="166">
        <f t="shared" si="95"/>
        <v>0</v>
      </c>
      <c r="BQ238" s="166">
        <f t="shared" si="95"/>
        <v>0</v>
      </c>
      <c r="BR238" s="166">
        <f t="shared" si="95"/>
        <v>0</v>
      </c>
      <c r="BS238" s="166"/>
      <c r="BT238" s="166">
        <f>SUM(BT207:BT237)</f>
        <v>0</v>
      </c>
      <c r="BU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4"/>
      <c r="AM239" s="3"/>
      <c r="AN239" s="3"/>
      <c r="AO239" s="3"/>
      <c r="AP239" s="3"/>
      <c r="AQ239" s="3"/>
      <c r="AR239" s="4"/>
      <c r="AS239" s="856"/>
      <c r="AT239" s="132"/>
      <c r="AU239" s="132"/>
      <c r="AV239" s="3"/>
      <c r="AW239" s="3"/>
      <c r="AX239" s="132"/>
      <c r="AY239" s="132"/>
      <c r="AZ239" s="132"/>
      <c r="BA239" s="132"/>
      <c r="BB239" s="132"/>
      <c r="BC239" s="4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</row>
    <row r="240" ht="14.25" customHeight="1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176"/>
      <c r="AI240" s="3"/>
      <c r="AJ240" s="3"/>
      <c r="AK240" s="3"/>
      <c r="AL240" s="4"/>
      <c r="AM240" s="3"/>
      <c r="AN240" s="3"/>
      <c r="AO240" s="3"/>
      <c r="AP240" s="3"/>
      <c r="AQ240" s="3"/>
      <c r="AR240" s="177"/>
      <c r="AS240" s="856"/>
      <c r="AT240" s="132"/>
      <c r="AU240" s="132"/>
      <c r="AV240" s="3"/>
      <c r="AW240" s="3"/>
      <c r="AX240" s="132"/>
      <c r="AY240" s="132"/>
      <c r="AZ240" s="132"/>
      <c r="BA240" s="132"/>
      <c r="BB240" s="132"/>
      <c r="BC240" s="177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ht="14.25" customHeight="1">
      <c r="A241" s="3"/>
      <c r="B241" s="215">
        <v>46235</v>
      </c>
      <c r="C241" s="94"/>
      <c r="D241" s="104"/>
      <c r="E241" s="97"/>
      <c r="F241" s="97"/>
      <c r="G241" s="265">
        <f>SUM(C241+D241)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03">
        <f ref="U241:U271" t="shared" si="96">SUM(H241:T241)</f>
        <v>0</v>
      </c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86"/>
      <c r="AH241" s="103">
        <v>0</v>
      </c>
      <c r="AI241" s="104"/>
      <c r="AJ241" s="104"/>
      <c r="AK241" s="104">
        <v>0</v>
      </c>
      <c r="AL241" s="191">
        <f ref="AL241:AL271" t="shared" si="97">SUM(AI241:AK241)</f>
        <v>0</v>
      </c>
      <c r="AM241" s="186"/>
      <c r="AN241" s="186"/>
      <c r="AO241" s="186"/>
      <c r="AP241" s="186"/>
      <c r="AQ241" s="193"/>
      <c r="AR241" s="224">
        <f ref="AR241:AR271" t="shared" si="98">+G241-U241-AH241-AL241-AM241-AO241-AP241-AQ241-AN241</f>
        <v>0</v>
      </c>
      <c r="AS241" s="269"/>
      <c r="AT241" s="109"/>
      <c r="AU241" s="109"/>
      <c r="AV241" s="109"/>
      <c r="AW241" s="109"/>
      <c r="AX241" s="109"/>
      <c r="AY241" s="269"/>
      <c r="AZ241" s="269"/>
      <c r="BA241" s="269"/>
      <c r="BB241" s="269"/>
      <c r="BC241" s="222">
        <f ref="BC241:BC271" t="shared" si="99">SUM(AS241:BB241)-BA241</f>
        <v>0</v>
      </c>
      <c r="BD241" s="114">
        <f ref="BD241:BD271" t="shared" si="100">+AR241-BC241</f>
        <v>0</v>
      </c>
      <c r="BE241" s="3"/>
      <c r="BF241" s="114">
        <f ref="BF241:BF271" t="shared" si="101">SUM(BG241:BS241)</f>
        <v>0</v>
      </c>
      <c r="BG241" s="220"/>
      <c r="BH241" s="220"/>
      <c r="BI241" s="220"/>
      <c r="BJ241" s="220"/>
      <c r="BK241" s="220"/>
      <c r="BL241" s="220"/>
      <c r="BM241" s="220"/>
      <c r="BN241" s="220"/>
      <c r="BO241" s="220"/>
      <c r="BP241" s="220"/>
      <c r="BQ241" s="220"/>
      <c r="BR241" s="220"/>
      <c r="BS241" s="115"/>
      <c r="BT241" s="116">
        <f ref="BT241:BT271" t="shared" si="102">+BD241-BF241</f>
        <v>0</v>
      </c>
      <c r="BU241" s="3"/>
    </row>
    <row r="242" ht="14.25" customHeight="1">
      <c r="A242" s="3"/>
      <c r="B242" s="215">
        <v>46236</v>
      </c>
      <c r="C242" s="118"/>
      <c r="D242" s="123"/>
      <c r="E242" s="120"/>
      <c r="F242" s="120"/>
      <c r="G242" s="147">
        <f ref="G242:G271" t="shared" si="103">+C242+D242+E242+F242</f>
        <v>0</v>
      </c>
      <c r="H242" s="144"/>
      <c r="I242" s="143"/>
      <c r="J242" s="143"/>
      <c r="K242" s="143"/>
      <c r="L242" s="136"/>
      <c r="M242" s="143"/>
      <c r="N242" s="143"/>
      <c r="O242" s="143"/>
      <c r="P242" s="143"/>
      <c r="Q242" s="143"/>
      <c r="R242" s="143"/>
      <c r="S242" s="143"/>
      <c r="T242" s="143"/>
      <c r="U242" s="103">
        <f t="shared" si="96"/>
        <v>0</v>
      </c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03">
        <f ref="AH242:AH271" t="shared" si="104">SUM(V242:AG242)</f>
        <v>0</v>
      </c>
      <c r="AI242" s="123"/>
      <c r="AJ242" s="123"/>
      <c r="AK242" s="123"/>
      <c r="AL242" s="105">
        <f t="shared" si="97"/>
        <v>0</v>
      </c>
      <c r="AM242" s="143"/>
      <c r="AN242" s="143"/>
      <c r="AO242" s="143"/>
      <c r="AP242" s="143"/>
      <c r="AQ242" s="146"/>
      <c r="AR242" s="224">
        <f t="shared" si="98"/>
        <v>0</v>
      </c>
      <c r="AS242" s="274"/>
      <c r="AT242" s="126"/>
      <c r="AU242" s="126"/>
      <c r="AV242" s="126"/>
      <c r="AW242" s="126"/>
      <c r="AX242" s="126"/>
      <c r="AY242" s="274"/>
      <c r="AZ242" s="274"/>
      <c r="BA242" s="274"/>
      <c r="BB242" s="274"/>
      <c r="BC242" s="222">
        <f t="shared" si="99"/>
        <v>0</v>
      </c>
      <c r="BD242" s="113">
        <f t="shared" si="100"/>
        <v>0</v>
      </c>
      <c r="BE242" s="3"/>
      <c r="BF242" s="113">
        <f t="shared" si="101"/>
        <v>0</v>
      </c>
      <c r="BG242" s="225"/>
      <c r="BH242" s="225"/>
      <c r="BI242" s="225"/>
      <c r="BJ242" s="225"/>
      <c r="BK242" s="225"/>
      <c r="BL242" s="225"/>
      <c r="BM242" s="225"/>
      <c r="BN242" s="225"/>
      <c r="BO242" s="225"/>
      <c r="BP242" s="225"/>
      <c r="BQ242" s="225"/>
      <c r="BR242" s="225"/>
      <c r="BS242" s="129"/>
      <c r="BT242" s="130">
        <f t="shared" si="102"/>
        <v>0</v>
      </c>
      <c r="BU242" s="3"/>
    </row>
    <row r="243" ht="14.25" customHeight="1">
      <c r="A243" s="3"/>
      <c r="B243" s="215">
        <v>46237</v>
      </c>
      <c r="C243" s="118"/>
      <c r="D243" s="123"/>
      <c r="E243" s="120"/>
      <c r="F243" s="120"/>
      <c r="G243" s="147">
        <f t="shared" si="103"/>
        <v>0</v>
      </c>
      <c r="H243" s="144"/>
      <c r="I243" s="143"/>
      <c r="J243" s="143"/>
      <c r="K243" s="143"/>
      <c r="L243" s="99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96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03">
        <f t="shared" si="104"/>
        <v>0</v>
      </c>
      <c r="AI243" s="123"/>
      <c r="AJ243" s="123"/>
      <c r="AK243" s="123"/>
      <c r="AL243" s="105">
        <f t="shared" si="97"/>
        <v>0</v>
      </c>
      <c r="AM243" s="143"/>
      <c r="AN243" s="143"/>
      <c r="AO243" s="143"/>
      <c r="AP243" s="143"/>
      <c r="AQ243" s="146"/>
      <c r="AR243" s="224">
        <f t="shared" si="98"/>
        <v>0</v>
      </c>
      <c r="AS243" s="274"/>
      <c r="AT243" s="126"/>
      <c r="AU243" s="126"/>
      <c r="AV243" s="126"/>
      <c r="AW243" s="126"/>
      <c r="AX243" s="126"/>
      <c r="AY243" s="274"/>
      <c r="AZ243" s="274"/>
      <c r="BA243" s="274"/>
      <c r="BB243" s="274"/>
      <c r="BC243" s="222">
        <f t="shared" si="99"/>
        <v>0</v>
      </c>
      <c r="BD243" s="113">
        <f t="shared" si="100"/>
        <v>0</v>
      </c>
      <c r="BE243" s="3"/>
      <c r="BF243" s="113">
        <f t="shared" si="101"/>
        <v>0</v>
      </c>
      <c r="BG243" s="225"/>
      <c r="BH243" s="225"/>
      <c r="BI243" s="225"/>
      <c r="BJ243" s="225"/>
      <c r="BK243" s="225"/>
      <c r="BL243" s="225"/>
      <c r="BM243" s="225"/>
      <c r="BN243" s="225"/>
      <c r="BO243" s="225"/>
      <c r="BP243" s="225"/>
      <c r="BQ243" s="225"/>
      <c r="BR243" s="225"/>
      <c r="BS243" s="129"/>
      <c r="BT243" s="130">
        <f t="shared" si="102"/>
        <v>0</v>
      </c>
      <c r="BU243" s="3"/>
    </row>
    <row r="244" ht="14.25" customHeight="1">
      <c r="A244" s="3"/>
      <c r="B244" s="215">
        <v>46238</v>
      </c>
      <c r="C244" s="118"/>
      <c r="D244" s="123"/>
      <c r="E244" s="120"/>
      <c r="F244" s="120"/>
      <c r="G244" s="147">
        <f t="shared" si="103"/>
        <v>0</v>
      </c>
      <c r="H244" s="144"/>
      <c r="I244" s="143"/>
      <c r="J244" s="143"/>
      <c r="K244" s="143"/>
      <c r="L244" s="99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96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03">
        <f t="shared" si="104"/>
        <v>0</v>
      </c>
      <c r="AI244" s="123"/>
      <c r="AJ244" s="123"/>
      <c r="AK244" s="123"/>
      <c r="AL244" s="105">
        <f t="shared" si="97"/>
        <v>0</v>
      </c>
      <c r="AM244" s="143"/>
      <c r="AN244" s="143"/>
      <c r="AO244" s="143"/>
      <c r="AP244" s="143"/>
      <c r="AQ244" s="146"/>
      <c r="AR244" s="224">
        <f t="shared" si="98"/>
        <v>0</v>
      </c>
      <c r="AS244" s="274"/>
      <c r="AT244" s="126"/>
      <c r="AU244" s="126"/>
      <c r="AV244" s="126"/>
      <c r="AW244" s="126"/>
      <c r="AX244" s="126"/>
      <c r="AY244" s="274"/>
      <c r="AZ244" s="274"/>
      <c r="BA244" s="274"/>
      <c r="BB244" s="274"/>
      <c r="BC244" s="222">
        <f t="shared" si="99"/>
        <v>0</v>
      </c>
      <c r="BD244" s="113">
        <f t="shared" si="100"/>
        <v>0</v>
      </c>
      <c r="BE244" s="3"/>
      <c r="BF244" s="113">
        <f t="shared" si="101"/>
        <v>0</v>
      </c>
      <c r="BG244" s="225"/>
      <c r="BH244" s="225"/>
      <c r="BI244" s="225"/>
      <c r="BJ244" s="225"/>
      <c r="BK244" s="225"/>
      <c r="BL244" s="225"/>
      <c r="BM244" s="225"/>
      <c r="BN244" s="225"/>
      <c r="BO244" s="225"/>
      <c r="BP244" s="225"/>
      <c r="BQ244" s="225"/>
      <c r="BR244" s="225"/>
      <c r="BS244" s="129"/>
      <c r="BT244" s="130">
        <f t="shared" si="102"/>
        <v>0</v>
      </c>
      <c r="BU244" s="3"/>
    </row>
    <row r="245" ht="14.25" customHeight="1">
      <c r="A245" s="3"/>
      <c r="B245" s="215">
        <v>46239</v>
      </c>
      <c r="C245" s="118"/>
      <c r="D245" s="123"/>
      <c r="E245" s="120"/>
      <c r="F245" s="120"/>
      <c r="G245" s="147">
        <f t="shared" si="103"/>
        <v>0</v>
      </c>
      <c r="H245" s="144"/>
      <c r="I245" s="143"/>
      <c r="J245" s="143"/>
      <c r="K245" s="143"/>
      <c r="L245" s="99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96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03">
        <f t="shared" si="104"/>
        <v>0</v>
      </c>
      <c r="AI245" s="123"/>
      <c r="AJ245" s="123"/>
      <c r="AK245" s="123"/>
      <c r="AL245" s="105">
        <f t="shared" si="97"/>
        <v>0</v>
      </c>
      <c r="AM245" s="143"/>
      <c r="AN245" s="143"/>
      <c r="AO245" s="143"/>
      <c r="AP245" s="143"/>
      <c r="AQ245" s="146"/>
      <c r="AR245" s="224">
        <f t="shared" si="98"/>
        <v>0</v>
      </c>
      <c r="AS245" s="274"/>
      <c r="AT245" s="126"/>
      <c r="AU245" s="126"/>
      <c r="AV245" s="126"/>
      <c r="AW245" s="126"/>
      <c r="AX245" s="126"/>
      <c r="AY245" s="274"/>
      <c r="AZ245" s="274"/>
      <c r="BA245" s="274"/>
      <c r="BB245" s="274"/>
      <c r="BC245" s="222">
        <f t="shared" si="99"/>
        <v>0</v>
      </c>
      <c r="BD245" s="113">
        <f t="shared" si="100"/>
        <v>0</v>
      </c>
      <c r="BE245" s="3"/>
      <c r="BF245" s="113">
        <f t="shared" si="101"/>
        <v>0</v>
      </c>
      <c r="BG245" s="225"/>
      <c r="BH245" s="225"/>
      <c r="BI245" s="225"/>
      <c r="BJ245" s="225"/>
      <c r="BK245" s="225"/>
      <c r="BL245" s="225"/>
      <c r="BM245" s="225"/>
      <c r="BN245" s="225"/>
      <c r="BO245" s="225"/>
      <c r="BP245" s="225"/>
      <c r="BQ245" s="225"/>
      <c r="BR245" s="225"/>
      <c r="BS245" s="129"/>
      <c r="BT245" s="130">
        <f t="shared" si="102"/>
        <v>0</v>
      </c>
      <c r="BU245" s="3"/>
    </row>
    <row r="246" ht="14.25" customHeight="1">
      <c r="A246" s="3"/>
      <c r="B246" s="215">
        <v>46240</v>
      </c>
      <c r="C246" s="118"/>
      <c r="D246" s="123"/>
      <c r="E246" s="120"/>
      <c r="F246" s="120"/>
      <c r="G246" s="147">
        <f t="shared" si="103"/>
        <v>0</v>
      </c>
      <c r="H246" s="144"/>
      <c r="I246" s="143"/>
      <c r="J246" s="143"/>
      <c r="K246" s="143"/>
      <c r="L246" s="136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96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03">
        <f t="shared" si="104"/>
        <v>0</v>
      </c>
      <c r="AI246" s="123"/>
      <c r="AJ246" s="123"/>
      <c r="AK246" s="123"/>
      <c r="AL246" s="105">
        <f t="shared" si="97"/>
        <v>0</v>
      </c>
      <c r="AM246" s="143"/>
      <c r="AN246" s="143"/>
      <c r="AO246" s="143"/>
      <c r="AP246" s="143"/>
      <c r="AQ246" s="146"/>
      <c r="AR246" s="224">
        <f t="shared" si="98"/>
        <v>0</v>
      </c>
      <c r="AS246" s="274"/>
      <c r="AT246" s="126"/>
      <c r="AU246" s="126"/>
      <c r="AV246" s="126"/>
      <c r="AW246" s="126"/>
      <c r="AX246" s="126"/>
      <c r="AY246" s="274"/>
      <c r="AZ246" s="274"/>
      <c r="BA246" s="274"/>
      <c r="BB246" s="274"/>
      <c r="BC246" s="222">
        <f t="shared" si="99"/>
        <v>0</v>
      </c>
      <c r="BD246" s="113">
        <f t="shared" si="100"/>
        <v>0</v>
      </c>
      <c r="BE246" s="3"/>
      <c r="BF246" s="113">
        <f t="shared" si="101"/>
        <v>0</v>
      </c>
      <c r="BG246" s="225"/>
      <c r="BH246" s="225"/>
      <c r="BI246" s="225"/>
      <c r="BJ246" s="225"/>
      <c r="BK246" s="225"/>
      <c r="BL246" s="225"/>
      <c r="BM246" s="225"/>
      <c r="BN246" s="225"/>
      <c r="BO246" s="225"/>
      <c r="BP246" s="225"/>
      <c r="BQ246" s="225"/>
      <c r="BR246" s="225"/>
      <c r="BS246" s="129"/>
      <c r="BT246" s="130">
        <f t="shared" si="102"/>
        <v>0</v>
      </c>
      <c r="BU246" s="3"/>
    </row>
    <row r="247" ht="14.25" customHeight="1">
      <c r="A247" s="3"/>
      <c r="B247" s="215">
        <v>46241</v>
      </c>
      <c r="C247" s="118"/>
      <c r="D247" s="123"/>
      <c r="E247" s="120"/>
      <c r="F247" s="120"/>
      <c r="G247" s="147">
        <f t="shared" si="103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96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03">
        <f t="shared" si="104"/>
        <v>0</v>
      </c>
      <c r="AI247" s="123"/>
      <c r="AJ247" s="123"/>
      <c r="AK247" s="123"/>
      <c r="AL247" s="105">
        <f t="shared" si="97"/>
        <v>0</v>
      </c>
      <c r="AM247" s="143"/>
      <c r="AN247" s="143"/>
      <c r="AO247" s="143"/>
      <c r="AP247" s="143"/>
      <c r="AQ247" s="146"/>
      <c r="AR247" s="224">
        <f t="shared" si="98"/>
        <v>0</v>
      </c>
      <c r="AS247" s="274"/>
      <c r="AT247" s="126"/>
      <c r="AU247" s="126"/>
      <c r="AV247" s="126"/>
      <c r="AW247" s="126"/>
      <c r="AX247" s="126"/>
      <c r="AY247" s="274"/>
      <c r="AZ247" s="274"/>
      <c r="BA247" s="274"/>
      <c r="BB247" s="274"/>
      <c r="BC247" s="222">
        <f t="shared" si="99"/>
        <v>0</v>
      </c>
      <c r="BD247" s="113">
        <f t="shared" si="100"/>
        <v>0</v>
      </c>
      <c r="BE247" s="3"/>
      <c r="BF247" s="113">
        <f t="shared" si="101"/>
        <v>0</v>
      </c>
      <c r="BG247" s="225"/>
      <c r="BH247" s="225"/>
      <c r="BI247" s="225"/>
      <c r="BJ247" s="225"/>
      <c r="BK247" s="225"/>
      <c r="BL247" s="225"/>
      <c r="BM247" s="225"/>
      <c r="BN247" s="225"/>
      <c r="BO247" s="225"/>
      <c r="BP247" s="225"/>
      <c r="BQ247" s="225"/>
      <c r="BR247" s="225"/>
      <c r="BS247" s="129"/>
      <c r="BT247" s="130">
        <f t="shared" si="102"/>
        <v>0</v>
      </c>
      <c r="BU247" s="3"/>
    </row>
    <row r="248" ht="14.25" customHeight="1">
      <c r="A248" s="3"/>
      <c r="B248" s="215">
        <v>46242</v>
      </c>
      <c r="C248" s="118"/>
      <c r="D248" s="123"/>
      <c r="E248" s="120"/>
      <c r="F248" s="120"/>
      <c r="G248" s="147">
        <f t="shared" si="103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96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03">
        <f t="shared" si="104"/>
        <v>0</v>
      </c>
      <c r="AI248" s="123"/>
      <c r="AJ248" s="123"/>
      <c r="AK248" s="123"/>
      <c r="AL248" s="105">
        <f t="shared" si="97"/>
        <v>0</v>
      </c>
      <c r="AM248" s="143"/>
      <c r="AN248" s="143"/>
      <c r="AO248" s="143"/>
      <c r="AP248" s="143"/>
      <c r="AQ248" s="146"/>
      <c r="AR248" s="224">
        <f t="shared" si="98"/>
        <v>0</v>
      </c>
      <c r="AS248" s="274"/>
      <c r="AT248" s="126"/>
      <c r="AU248" s="126"/>
      <c r="AV248" s="126"/>
      <c r="AW248" s="126"/>
      <c r="AX248" s="126"/>
      <c r="AY248" s="274"/>
      <c r="AZ248" s="274"/>
      <c r="BA248" s="274"/>
      <c r="BB248" s="274"/>
      <c r="BC248" s="222">
        <f t="shared" si="99"/>
        <v>0</v>
      </c>
      <c r="BD248" s="113">
        <f t="shared" si="100"/>
        <v>0</v>
      </c>
      <c r="BE248" s="3"/>
      <c r="BF248" s="113">
        <f t="shared" si="101"/>
        <v>0</v>
      </c>
      <c r="BG248" s="225"/>
      <c r="BH248" s="225"/>
      <c r="BI248" s="225"/>
      <c r="BJ248" s="225"/>
      <c r="BK248" s="225"/>
      <c r="BL248" s="225"/>
      <c r="BM248" s="225"/>
      <c r="BN248" s="225"/>
      <c r="BO248" s="225"/>
      <c r="BP248" s="225"/>
      <c r="BQ248" s="225"/>
      <c r="BR248" s="225"/>
      <c r="BS248" s="129"/>
      <c r="BT248" s="130">
        <f t="shared" si="102"/>
        <v>0</v>
      </c>
      <c r="BU248" s="3"/>
    </row>
    <row r="249" ht="14.25" customHeight="1">
      <c r="A249" s="3"/>
      <c r="B249" s="215">
        <v>46243</v>
      </c>
      <c r="C249" s="118"/>
      <c r="D249" s="123"/>
      <c r="E249" s="120"/>
      <c r="F249" s="120"/>
      <c r="G249" s="147">
        <f t="shared" si="103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96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03">
        <f t="shared" si="104"/>
        <v>0</v>
      </c>
      <c r="AI249" s="123"/>
      <c r="AJ249" s="123"/>
      <c r="AK249" s="123"/>
      <c r="AL249" s="105">
        <f t="shared" si="97"/>
        <v>0</v>
      </c>
      <c r="AM249" s="143"/>
      <c r="AN249" s="143"/>
      <c r="AO249" s="143"/>
      <c r="AP249" s="143"/>
      <c r="AQ249" s="146"/>
      <c r="AR249" s="224">
        <f t="shared" si="98"/>
        <v>0</v>
      </c>
      <c r="AS249" s="274"/>
      <c r="AT249" s="126"/>
      <c r="AU249" s="126"/>
      <c r="AV249" s="126"/>
      <c r="AW249" s="126"/>
      <c r="AX249" s="126"/>
      <c r="AY249" s="274"/>
      <c r="AZ249" s="274"/>
      <c r="BA249" s="274"/>
      <c r="BB249" s="274"/>
      <c r="BC249" s="222">
        <f t="shared" si="99"/>
        <v>0</v>
      </c>
      <c r="BD249" s="113">
        <f t="shared" si="100"/>
        <v>0</v>
      </c>
      <c r="BE249" s="3"/>
      <c r="BF249" s="113">
        <f t="shared" si="101"/>
        <v>0</v>
      </c>
      <c r="BG249" s="225"/>
      <c r="BH249" s="225"/>
      <c r="BI249" s="225"/>
      <c r="BJ249" s="225"/>
      <c r="BK249" s="225"/>
      <c r="BL249" s="225"/>
      <c r="BM249" s="225"/>
      <c r="BN249" s="225"/>
      <c r="BO249" s="225"/>
      <c r="BP249" s="225"/>
      <c r="BQ249" s="225"/>
      <c r="BR249" s="225"/>
      <c r="BS249" s="129"/>
      <c r="BT249" s="130">
        <f t="shared" si="102"/>
        <v>0</v>
      </c>
      <c r="BU249" s="3"/>
    </row>
    <row r="250" ht="14.25" customHeight="1">
      <c r="A250" s="3"/>
      <c r="B250" s="215">
        <v>46244</v>
      </c>
      <c r="C250" s="118"/>
      <c r="D250" s="123"/>
      <c r="E250" s="120"/>
      <c r="F250" s="120"/>
      <c r="G250" s="147">
        <f t="shared" si="103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96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03">
        <f t="shared" si="104"/>
        <v>0</v>
      </c>
      <c r="AI250" s="123"/>
      <c r="AJ250" s="123"/>
      <c r="AK250" s="123"/>
      <c r="AL250" s="105">
        <f t="shared" si="97"/>
        <v>0</v>
      </c>
      <c r="AM250" s="143"/>
      <c r="AN250" s="143"/>
      <c r="AO250" s="143"/>
      <c r="AP250" s="143"/>
      <c r="AQ250" s="146"/>
      <c r="AR250" s="224">
        <f t="shared" si="98"/>
        <v>0</v>
      </c>
      <c r="AS250" s="274"/>
      <c r="AT250" s="126"/>
      <c r="AU250" s="126"/>
      <c r="AV250" s="126"/>
      <c r="AW250" s="126"/>
      <c r="AX250" s="126"/>
      <c r="AY250" s="274"/>
      <c r="AZ250" s="274"/>
      <c r="BA250" s="274"/>
      <c r="BB250" s="274"/>
      <c r="BC250" s="222">
        <f t="shared" si="99"/>
        <v>0</v>
      </c>
      <c r="BD250" s="113">
        <f t="shared" si="100"/>
        <v>0</v>
      </c>
      <c r="BE250" s="3"/>
      <c r="BF250" s="113">
        <f t="shared" si="101"/>
        <v>0</v>
      </c>
      <c r="BG250" s="225"/>
      <c r="BH250" s="225"/>
      <c r="BI250" s="225"/>
      <c r="BJ250" s="225"/>
      <c r="BK250" s="225"/>
      <c r="BL250" s="225"/>
      <c r="BM250" s="225"/>
      <c r="BN250" s="225"/>
      <c r="BO250" s="225"/>
      <c r="BP250" s="225"/>
      <c r="BQ250" s="225"/>
      <c r="BR250" s="225"/>
      <c r="BS250" s="129"/>
      <c r="BT250" s="130">
        <f t="shared" si="102"/>
        <v>0</v>
      </c>
      <c r="BU250" s="3"/>
    </row>
    <row r="251" ht="14.25" customHeight="1">
      <c r="A251" s="3"/>
      <c r="B251" s="215">
        <v>46245</v>
      </c>
      <c r="C251" s="118"/>
      <c r="D251" s="123"/>
      <c r="E251" s="120"/>
      <c r="F251" s="120"/>
      <c r="G251" s="147">
        <f t="shared" si="103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96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03">
        <f t="shared" si="104"/>
        <v>0</v>
      </c>
      <c r="AI251" s="123"/>
      <c r="AJ251" s="123"/>
      <c r="AK251" s="123"/>
      <c r="AL251" s="105">
        <f t="shared" si="97"/>
        <v>0</v>
      </c>
      <c r="AM251" s="143"/>
      <c r="AN251" s="143"/>
      <c r="AO251" s="143"/>
      <c r="AP251" s="143"/>
      <c r="AQ251" s="146"/>
      <c r="AR251" s="224">
        <f t="shared" si="98"/>
        <v>0</v>
      </c>
      <c r="AS251" s="274"/>
      <c r="AT251" s="126"/>
      <c r="AU251" s="126"/>
      <c r="AV251" s="126"/>
      <c r="AW251" s="126"/>
      <c r="AX251" s="126"/>
      <c r="AY251" s="274"/>
      <c r="AZ251" s="274"/>
      <c r="BA251" s="274"/>
      <c r="BB251" s="274"/>
      <c r="BC251" s="222">
        <f t="shared" si="99"/>
        <v>0</v>
      </c>
      <c r="BD251" s="113">
        <f t="shared" si="100"/>
        <v>0</v>
      </c>
      <c r="BE251" s="3"/>
      <c r="BF251" s="113">
        <f t="shared" si="101"/>
        <v>0</v>
      </c>
      <c r="BG251" s="225"/>
      <c r="BH251" s="225"/>
      <c r="BI251" s="225"/>
      <c r="BJ251" s="225"/>
      <c r="BK251" s="225"/>
      <c r="BL251" s="225"/>
      <c r="BM251" s="225"/>
      <c r="BN251" s="225"/>
      <c r="BO251" s="225"/>
      <c r="BP251" s="225"/>
      <c r="BQ251" s="225"/>
      <c r="BR251" s="225"/>
      <c r="BS251" s="129"/>
      <c r="BT251" s="130">
        <f t="shared" si="102"/>
        <v>0</v>
      </c>
      <c r="BU251" s="3"/>
    </row>
    <row r="252" ht="14.25" customHeight="1">
      <c r="A252" s="132"/>
      <c r="B252" s="215">
        <v>46246</v>
      </c>
      <c r="C252" s="133"/>
      <c r="D252" s="136"/>
      <c r="E252" s="135"/>
      <c r="F252" s="135"/>
      <c r="G252" s="147">
        <f t="shared" si="103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96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03">
        <f t="shared" si="104"/>
        <v>0</v>
      </c>
      <c r="AI252" s="136"/>
      <c r="AJ252" s="136"/>
      <c r="AK252" s="136"/>
      <c r="AL252" s="105">
        <f t="shared" si="97"/>
        <v>0</v>
      </c>
      <c r="AM252" s="143"/>
      <c r="AN252" s="143"/>
      <c r="AO252" s="143"/>
      <c r="AP252" s="143"/>
      <c r="AQ252" s="146"/>
      <c r="AR252" s="224">
        <f t="shared" si="98"/>
        <v>0</v>
      </c>
      <c r="AS252" s="274"/>
      <c r="AT252" s="126"/>
      <c r="AU252" s="126"/>
      <c r="AV252" s="126"/>
      <c r="AW252" s="126"/>
      <c r="AX252" s="126"/>
      <c r="AY252" s="274"/>
      <c r="AZ252" s="274"/>
      <c r="BA252" s="274"/>
      <c r="BB252" s="274"/>
      <c r="BC252" s="222">
        <f t="shared" si="99"/>
        <v>0</v>
      </c>
      <c r="BD252" s="140">
        <f t="shared" si="100"/>
        <v>0</v>
      </c>
      <c r="BE252" s="132"/>
      <c r="BF252" s="140">
        <f t="shared" si="101"/>
        <v>0</v>
      </c>
      <c r="BG252" s="126"/>
      <c r="BH252" s="126"/>
      <c r="BI252" s="126"/>
      <c r="BJ252" s="126"/>
      <c r="BK252" s="126"/>
      <c r="BL252" s="126"/>
      <c r="BM252" s="126"/>
      <c r="BN252" s="126"/>
      <c r="BO252" s="126"/>
      <c r="BP252" s="126"/>
      <c r="BQ252" s="126"/>
      <c r="BR252" s="126"/>
      <c r="BS252" s="141"/>
      <c r="BT252" s="130">
        <f t="shared" si="102"/>
        <v>0</v>
      </c>
      <c r="BU252" s="132"/>
    </row>
    <row r="253" ht="14.25" customHeight="1">
      <c r="A253" s="132"/>
      <c r="B253" s="215">
        <v>46247</v>
      </c>
      <c r="C253" s="133"/>
      <c r="D253" s="136"/>
      <c r="E253" s="135"/>
      <c r="F253" s="135"/>
      <c r="G253" s="147">
        <f t="shared" si="103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96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03">
        <f t="shared" si="104"/>
        <v>0</v>
      </c>
      <c r="AI253" s="136"/>
      <c r="AJ253" s="136"/>
      <c r="AK253" s="136"/>
      <c r="AL253" s="105">
        <f t="shared" si="97"/>
        <v>0</v>
      </c>
      <c r="AM253" s="143"/>
      <c r="AN253" s="143"/>
      <c r="AO253" s="143"/>
      <c r="AP253" s="143"/>
      <c r="AQ253" s="146"/>
      <c r="AR253" s="224">
        <f t="shared" si="98"/>
        <v>0</v>
      </c>
      <c r="AS253" s="274"/>
      <c r="AT253" s="126"/>
      <c r="AU253" s="126"/>
      <c r="AV253" s="126"/>
      <c r="AW253" s="126"/>
      <c r="AX253" s="126"/>
      <c r="AY253" s="274"/>
      <c r="AZ253" s="274"/>
      <c r="BA253" s="274"/>
      <c r="BB253" s="274"/>
      <c r="BC253" s="222">
        <f t="shared" si="99"/>
        <v>0</v>
      </c>
      <c r="BD253" s="140">
        <f t="shared" si="100"/>
        <v>0</v>
      </c>
      <c r="BE253" s="132"/>
      <c r="BF253" s="140">
        <f t="shared" si="101"/>
        <v>0</v>
      </c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41"/>
      <c r="BT253" s="130">
        <f t="shared" si="102"/>
        <v>0</v>
      </c>
      <c r="BU253" s="132"/>
    </row>
    <row r="254" ht="14.25" customHeight="1">
      <c r="A254" s="132"/>
      <c r="B254" s="215">
        <v>46248</v>
      </c>
      <c r="C254" s="133"/>
      <c r="D254" s="136"/>
      <c r="E254" s="135"/>
      <c r="F254" s="135"/>
      <c r="G254" s="147">
        <f t="shared" si="103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96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03">
        <f t="shared" si="104"/>
        <v>0</v>
      </c>
      <c r="AI254" s="136"/>
      <c r="AJ254" s="136"/>
      <c r="AK254" s="136"/>
      <c r="AL254" s="105">
        <f t="shared" si="97"/>
        <v>0</v>
      </c>
      <c r="AM254" s="143"/>
      <c r="AN254" s="143"/>
      <c r="AO254" s="143"/>
      <c r="AP254" s="143"/>
      <c r="AQ254" s="146"/>
      <c r="AR254" s="224">
        <f t="shared" si="98"/>
        <v>0</v>
      </c>
      <c r="AS254" s="274"/>
      <c r="AT254" s="126"/>
      <c r="AU254" s="126"/>
      <c r="AV254" s="126"/>
      <c r="AW254" s="126"/>
      <c r="AX254" s="126"/>
      <c r="AY254" s="274"/>
      <c r="AZ254" s="274"/>
      <c r="BA254" s="274"/>
      <c r="BB254" s="274"/>
      <c r="BC254" s="222">
        <f t="shared" si="99"/>
        <v>0</v>
      </c>
      <c r="BD254" s="140">
        <f t="shared" si="100"/>
        <v>0</v>
      </c>
      <c r="BE254" s="132"/>
      <c r="BF254" s="140">
        <f t="shared" si="101"/>
        <v>0</v>
      </c>
      <c r="BG254" s="126"/>
      <c r="BH254" s="126"/>
      <c r="BI254" s="931"/>
      <c r="BJ254" s="126"/>
      <c r="BK254" s="126"/>
      <c r="BL254" s="126"/>
      <c r="BM254" s="126"/>
      <c r="BN254" s="126"/>
      <c r="BO254" s="126"/>
      <c r="BP254" s="126"/>
      <c r="BQ254" s="126"/>
      <c r="BR254" s="126"/>
      <c r="BS254" s="141"/>
      <c r="BT254" s="130">
        <f t="shared" si="102"/>
        <v>0</v>
      </c>
      <c r="BU254" s="132"/>
    </row>
    <row r="255" ht="14.25" customHeight="1">
      <c r="A255" s="132"/>
      <c r="B255" s="215">
        <v>46249</v>
      </c>
      <c r="C255" s="133"/>
      <c r="D255" s="136"/>
      <c r="E255" s="135"/>
      <c r="F255" s="135"/>
      <c r="G255" s="147">
        <f t="shared" si="103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96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03">
        <f t="shared" si="104"/>
        <v>0</v>
      </c>
      <c r="AI255" s="136"/>
      <c r="AJ255" s="136"/>
      <c r="AK255" s="136"/>
      <c r="AL255" s="105">
        <f t="shared" si="97"/>
        <v>0</v>
      </c>
      <c r="AM255" s="143"/>
      <c r="AN255" s="143"/>
      <c r="AO255" s="143"/>
      <c r="AP255" s="143"/>
      <c r="AQ255" s="146"/>
      <c r="AR255" s="224">
        <f t="shared" si="98"/>
        <v>0</v>
      </c>
      <c r="AS255" s="274"/>
      <c r="AT255" s="126"/>
      <c r="AU255" s="126"/>
      <c r="AV255" s="126"/>
      <c r="AW255" s="126"/>
      <c r="AX255" s="126"/>
      <c r="AY255" s="274"/>
      <c r="AZ255" s="274"/>
      <c r="BA255" s="274"/>
      <c r="BB255" s="274"/>
      <c r="BC255" s="222">
        <f t="shared" si="99"/>
        <v>0</v>
      </c>
      <c r="BD255" s="140">
        <f t="shared" si="100"/>
        <v>0</v>
      </c>
      <c r="BE255" s="132"/>
      <c r="BF255" s="140">
        <f t="shared" si="101"/>
        <v>0</v>
      </c>
      <c r="BG255" s="126"/>
      <c r="BH255" s="126"/>
      <c r="BI255" s="126"/>
      <c r="BJ255" s="126"/>
      <c r="BK255" s="126"/>
      <c r="BL255" s="126"/>
      <c r="BM255" s="126"/>
      <c r="BN255" s="126"/>
      <c r="BO255" s="126"/>
      <c r="BP255" s="126"/>
      <c r="BQ255" s="126"/>
      <c r="BR255" s="126"/>
      <c r="BS255" s="141"/>
      <c r="BT255" s="130">
        <f t="shared" si="102"/>
        <v>0</v>
      </c>
      <c r="BU255" s="132"/>
    </row>
    <row r="256" ht="14.25" customHeight="1">
      <c r="A256" s="132"/>
      <c r="B256" s="215">
        <v>46250</v>
      </c>
      <c r="C256" s="133"/>
      <c r="D256" s="136"/>
      <c r="E256" s="135"/>
      <c r="F256" s="135"/>
      <c r="G256" s="147">
        <f t="shared" si="103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96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03">
        <f t="shared" si="104"/>
        <v>0</v>
      </c>
      <c r="AI256" s="136"/>
      <c r="AJ256" s="136"/>
      <c r="AK256" s="136"/>
      <c r="AL256" s="105">
        <f t="shared" si="97"/>
        <v>0</v>
      </c>
      <c r="AM256" s="143"/>
      <c r="AN256" s="143"/>
      <c r="AO256" s="143"/>
      <c r="AP256" s="143"/>
      <c r="AQ256" s="146"/>
      <c r="AR256" s="224">
        <f t="shared" si="98"/>
        <v>0</v>
      </c>
      <c r="AS256" s="274"/>
      <c r="AT256" s="126"/>
      <c r="AU256" s="126"/>
      <c r="AV256" s="126"/>
      <c r="AW256" s="126"/>
      <c r="AX256" s="126"/>
      <c r="AY256" s="274"/>
      <c r="AZ256" s="274"/>
      <c r="BA256" s="274"/>
      <c r="BB256" s="274"/>
      <c r="BC256" s="222">
        <f t="shared" si="99"/>
        <v>0</v>
      </c>
      <c r="BD256" s="140">
        <f t="shared" si="100"/>
        <v>0</v>
      </c>
      <c r="BE256" s="132"/>
      <c r="BF256" s="140">
        <f t="shared" si="101"/>
        <v>0</v>
      </c>
      <c r="BG256" s="126"/>
      <c r="BH256" s="126"/>
      <c r="BI256" s="126"/>
      <c r="BJ256" s="126"/>
      <c r="BK256" s="126"/>
      <c r="BL256" s="126"/>
      <c r="BM256" s="126"/>
      <c r="BN256" s="126"/>
      <c r="BO256" s="126"/>
      <c r="BP256" s="126"/>
      <c r="BQ256" s="126"/>
      <c r="BR256" s="126"/>
      <c r="BS256" s="141"/>
      <c r="BT256" s="130">
        <f t="shared" si="102"/>
        <v>0</v>
      </c>
      <c r="BU256" s="132"/>
    </row>
    <row r="257" ht="14.25" customHeight="1">
      <c r="A257" s="132"/>
      <c r="B257" s="215">
        <v>46251</v>
      </c>
      <c r="C257" s="133"/>
      <c r="D257" s="136"/>
      <c r="E257" s="135"/>
      <c r="F257" s="135"/>
      <c r="G257" s="147">
        <f t="shared" si="103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96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03">
        <f t="shared" si="104"/>
        <v>0</v>
      </c>
      <c r="AI257" s="136"/>
      <c r="AJ257" s="136"/>
      <c r="AK257" s="136"/>
      <c r="AL257" s="105">
        <f t="shared" si="97"/>
        <v>0</v>
      </c>
      <c r="AM257" s="143"/>
      <c r="AN257" s="143"/>
      <c r="AO257" s="143"/>
      <c r="AP257" s="143"/>
      <c r="AQ257" s="146"/>
      <c r="AR257" s="224">
        <f t="shared" si="98"/>
        <v>0</v>
      </c>
      <c r="AS257" s="274"/>
      <c r="AT257" s="126"/>
      <c r="AU257" s="126"/>
      <c r="AV257" s="126"/>
      <c r="AW257" s="126"/>
      <c r="AX257" s="126"/>
      <c r="AY257" s="274"/>
      <c r="AZ257" s="274"/>
      <c r="BA257" s="274"/>
      <c r="BB257" s="274"/>
      <c r="BC257" s="222">
        <f t="shared" si="99"/>
        <v>0</v>
      </c>
      <c r="BD257" s="140">
        <f t="shared" si="100"/>
        <v>0</v>
      </c>
      <c r="BE257" s="132"/>
      <c r="BF257" s="140">
        <f t="shared" si="101"/>
        <v>0</v>
      </c>
      <c r="BG257" s="126"/>
      <c r="BH257" s="126"/>
      <c r="BI257" s="126"/>
      <c r="BJ257" s="126"/>
      <c r="BK257" s="126"/>
      <c r="BL257" s="126"/>
      <c r="BM257" s="126"/>
      <c r="BN257" s="126"/>
      <c r="BO257" s="126"/>
      <c r="BP257" s="126"/>
      <c r="BQ257" s="126"/>
      <c r="BR257" s="126"/>
      <c r="BS257" s="141"/>
      <c r="BT257" s="130">
        <f t="shared" si="102"/>
        <v>0</v>
      </c>
      <c r="BU257" s="132"/>
    </row>
    <row r="258" ht="14.25" customHeight="1">
      <c r="A258" s="132"/>
      <c r="B258" s="215">
        <v>46252</v>
      </c>
      <c r="C258" s="133"/>
      <c r="D258" s="136"/>
      <c r="E258" s="135"/>
      <c r="F258" s="135"/>
      <c r="G258" s="147">
        <f t="shared" si="103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96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03">
        <f t="shared" si="104"/>
        <v>0</v>
      </c>
      <c r="AI258" s="136"/>
      <c r="AJ258" s="136"/>
      <c r="AK258" s="136"/>
      <c r="AL258" s="105">
        <f t="shared" si="97"/>
        <v>0</v>
      </c>
      <c r="AM258" s="143"/>
      <c r="AN258" s="143"/>
      <c r="AO258" s="143"/>
      <c r="AP258" s="143"/>
      <c r="AQ258" s="146"/>
      <c r="AR258" s="224">
        <f t="shared" si="98"/>
        <v>0</v>
      </c>
      <c r="AS258" s="274"/>
      <c r="AT258" s="126"/>
      <c r="AU258" s="126"/>
      <c r="AV258" s="126"/>
      <c r="AW258" s="126"/>
      <c r="AX258" s="126"/>
      <c r="AY258" s="274"/>
      <c r="AZ258" s="274"/>
      <c r="BA258" s="274"/>
      <c r="BB258" s="274"/>
      <c r="BC258" s="222">
        <f t="shared" si="99"/>
        <v>0</v>
      </c>
      <c r="BD258" s="140">
        <f t="shared" si="100"/>
        <v>0</v>
      </c>
      <c r="BE258" s="132"/>
      <c r="BF258" s="140">
        <f t="shared" si="101"/>
        <v>0</v>
      </c>
      <c r="BG258" s="126"/>
      <c r="BH258" s="126"/>
      <c r="BI258" s="126"/>
      <c r="BJ258" s="126"/>
      <c r="BK258" s="126"/>
      <c r="BL258" s="126"/>
      <c r="BM258" s="126"/>
      <c r="BN258" s="126"/>
      <c r="BO258" s="126"/>
      <c r="BP258" s="126"/>
      <c r="BQ258" s="126"/>
      <c r="BR258" s="126"/>
      <c r="BS258" s="141"/>
      <c r="BT258" s="130">
        <f t="shared" si="102"/>
        <v>0</v>
      </c>
      <c r="BU258" s="132"/>
    </row>
    <row r="259" ht="14.25" customHeight="1">
      <c r="A259" s="132"/>
      <c r="B259" s="215">
        <v>46253</v>
      </c>
      <c r="C259" s="133"/>
      <c r="D259" s="136"/>
      <c r="E259" s="135"/>
      <c r="F259" s="135"/>
      <c r="G259" s="147">
        <f t="shared" si="103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96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03">
        <f t="shared" si="104"/>
        <v>0</v>
      </c>
      <c r="AI259" s="136"/>
      <c r="AJ259" s="136"/>
      <c r="AK259" s="136"/>
      <c r="AL259" s="105">
        <f t="shared" si="97"/>
        <v>0</v>
      </c>
      <c r="AM259" s="143"/>
      <c r="AN259" s="143"/>
      <c r="AO259" s="143"/>
      <c r="AP259" s="143"/>
      <c r="AQ259" s="146"/>
      <c r="AR259" s="224">
        <f t="shared" si="98"/>
        <v>0</v>
      </c>
      <c r="AS259" s="274"/>
      <c r="AT259" s="126"/>
      <c r="AU259" s="126"/>
      <c r="AV259" s="126"/>
      <c r="AW259" s="126"/>
      <c r="AX259" s="126"/>
      <c r="AY259" s="274"/>
      <c r="AZ259" s="274"/>
      <c r="BA259" s="274"/>
      <c r="BB259" s="274"/>
      <c r="BC259" s="222">
        <f t="shared" si="99"/>
        <v>0</v>
      </c>
      <c r="BD259" s="140">
        <f t="shared" si="100"/>
        <v>0</v>
      </c>
      <c r="BE259" s="132"/>
      <c r="BF259" s="140">
        <f t="shared" si="101"/>
        <v>0</v>
      </c>
      <c r="BG259" s="126"/>
      <c r="BH259" s="126"/>
      <c r="BI259" s="126"/>
      <c r="BJ259" s="126"/>
      <c r="BK259" s="126"/>
      <c r="BL259" s="126"/>
      <c r="BM259" s="126"/>
      <c r="BN259" s="126"/>
      <c r="BO259" s="126"/>
      <c r="BP259" s="126"/>
      <c r="BQ259" s="126"/>
      <c r="BR259" s="126"/>
      <c r="BS259" s="141"/>
      <c r="BT259" s="130">
        <f t="shared" si="102"/>
        <v>0</v>
      </c>
      <c r="BU259" s="132"/>
    </row>
    <row r="260" ht="14.25" customHeight="1">
      <c r="A260" s="132"/>
      <c r="B260" s="215">
        <v>46254</v>
      </c>
      <c r="C260" s="133"/>
      <c r="D260" s="136"/>
      <c r="E260" s="135"/>
      <c r="F260" s="135"/>
      <c r="G260" s="147">
        <f t="shared" si="103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96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03">
        <f t="shared" si="104"/>
        <v>0</v>
      </c>
      <c r="AI260" s="136"/>
      <c r="AJ260" s="136"/>
      <c r="AK260" s="136"/>
      <c r="AL260" s="105">
        <f t="shared" si="97"/>
        <v>0</v>
      </c>
      <c r="AM260" s="143"/>
      <c r="AN260" s="143"/>
      <c r="AO260" s="143"/>
      <c r="AP260" s="143"/>
      <c r="AQ260" s="146"/>
      <c r="AR260" s="224">
        <f t="shared" si="98"/>
        <v>0</v>
      </c>
      <c r="AS260" s="274"/>
      <c r="AT260" s="126"/>
      <c r="AU260" s="126"/>
      <c r="AV260" s="126"/>
      <c r="AW260" s="126"/>
      <c r="AX260" s="126"/>
      <c r="AY260" s="274"/>
      <c r="AZ260" s="274"/>
      <c r="BA260" s="274"/>
      <c r="BB260" s="274"/>
      <c r="BC260" s="222">
        <f t="shared" si="99"/>
        <v>0</v>
      </c>
      <c r="BD260" s="140">
        <f t="shared" si="100"/>
        <v>0</v>
      </c>
      <c r="BE260" s="132"/>
      <c r="BF260" s="140">
        <f t="shared" si="101"/>
        <v>0</v>
      </c>
      <c r="BG260" s="126"/>
      <c r="BH260" s="126"/>
      <c r="BI260" s="126"/>
      <c r="BJ260" s="126"/>
      <c r="BK260" s="126"/>
      <c r="BL260" s="126"/>
      <c r="BM260" s="126"/>
      <c r="BN260" s="126"/>
      <c r="BO260" s="126"/>
      <c r="BP260" s="126"/>
      <c r="BQ260" s="126"/>
      <c r="BR260" s="126"/>
      <c r="BS260" s="141"/>
      <c r="BT260" s="130">
        <f t="shared" si="102"/>
        <v>0</v>
      </c>
      <c r="BU260" s="132"/>
    </row>
    <row r="261" ht="14.25" customHeight="1">
      <c r="A261" s="132"/>
      <c r="B261" s="215">
        <v>46255</v>
      </c>
      <c r="C261" s="133"/>
      <c r="D261" s="136"/>
      <c r="E261" s="135"/>
      <c r="F261" s="135"/>
      <c r="G261" s="147">
        <f t="shared" si="103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96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03">
        <f t="shared" si="104"/>
        <v>0</v>
      </c>
      <c r="AI261" s="136"/>
      <c r="AJ261" s="136"/>
      <c r="AK261" s="136"/>
      <c r="AL261" s="105">
        <f t="shared" si="97"/>
        <v>0</v>
      </c>
      <c r="AM261" s="143"/>
      <c r="AN261" s="143"/>
      <c r="AO261" s="143"/>
      <c r="AP261" s="143"/>
      <c r="AQ261" s="146"/>
      <c r="AR261" s="224">
        <f t="shared" si="98"/>
        <v>0</v>
      </c>
      <c r="AS261" s="274"/>
      <c r="AT261" s="126"/>
      <c r="AU261" s="126"/>
      <c r="AV261" s="126"/>
      <c r="AW261" s="126"/>
      <c r="AX261" s="126"/>
      <c r="AY261" s="274"/>
      <c r="AZ261" s="274"/>
      <c r="BA261" s="274"/>
      <c r="BB261" s="274"/>
      <c r="BC261" s="222">
        <f t="shared" si="99"/>
        <v>0</v>
      </c>
      <c r="BD261" s="140">
        <f t="shared" si="100"/>
        <v>0</v>
      </c>
      <c r="BE261" s="132"/>
      <c r="BF261" s="140">
        <f t="shared" si="101"/>
        <v>0</v>
      </c>
      <c r="BG261" s="126"/>
      <c r="BH261" s="126"/>
      <c r="BI261" s="126"/>
      <c r="BJ261" s="126"/>
      <c r="BK261" s="126"/>
      <c r="BL261" s="126"/>
      <c r="BM261" s="126"/>
      <c r="BN261" s="126"/>
      <c r="BO261" s="126"/>
      <c r="BP261" s="126"/>
      <c r="BQ261" s="126"/>
      <c r="BR261" s="126"/>
      <c r="BS261" s="141"/>
      <c r="BT261" s="130">
        <f t="shared" si="102"/>
        <v>0</v>
      </c>
      <c r="BU261" s="132"/>
    </row>
    <row r="262" ht="14.25" customHeight="1">
      <c r="A262" s="132"/>
      <c r="B262" s="215">
        <v>46256</v>
      </c>
      <c r="C262" s="133"/>
      <c r="D262" s="136"/>
      <c r="E262" s="135"/>
      <c r="F262" s="135"/>
      <c r="G262" s="147">
        <f t="shared" si="103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96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03">
        <f t="shared" si="104"/>
        <v>0</v>
      </c>
      <c r="AI262" s="136"/>
      <c r="AJ262" s="136"/>
      <c r="AK262" s="136"/>
      <c r="AL262" s="105">
        <f t="shared" si="97"/>
        <v>0</v>
      </c>
      <c r="AM262" s="143"/>
      <c r="AN262" s="143"/>
      <c r="AO262" s="143"/>
      <c r="AP262" s="143"/>
      <c r="AQ262" s="146"/>
      <c r="AR262" s="224">
        <f t="shared" si="98"/>
        <v>0</v>
      </c>
      <c r="AS262" s="274"/>
      <c r="AT262" s="126"/>
      <c r="AU262" s="126"/>
      <c r="AV262" s="126"/>
      <c r="AW262" s="126"/>
      <c r="AX262" s="126"/>
      <c r="AY262" s="274"/>
      <c r="AZ262" s="274"/>
      <c r="BA262" s="274"/>
      <c r="BB262" s="274"/>
      <c r="BC262" s="222">
        <f t="shared" si="99"/>
        <v>0</v>
      </c>
      <c r="BD262" s="140">
        <f t="shared" si="100"/>
        <v>0</v>
      </c>
      <c r="BE262" s="132"/>
      <c r="BF262" s="140">
        <f t="shared" si="101"/>
        <v>0</v>
      </c>
      <c r="BG262" s="126"/>
      <c r="BH262" s="126"/>
      <c r="BI262" s="126"/>
      <c r="BJ262" s="126"/>
      <c r="BK262" s="126"/>
      <c r="BL262" s="126"/>
      <c r="BM262" s="126"/>
      <c r="BN262" s="126"/>
      <c r="BO262" s="126"/>
      <c r="BP262" s="126"/>
      <c r="BQ262" s="126"/>
      <c r="BR262" s="126"/>
      <c r="BS262" s="141"/>
      <c r="BT262" s="130">
        <f t="shared" si="102"/>
        <v>0</v>
      </c>
      <c r="BU262" s="132"/>
    </row>
    <row r="263" ht="14.25" customHeight="1">
      <c r="A263" s="132"/>
      <c r="B263" s="215">
        <v>46257</v>
      </c>
      <c r="C263" s="133"/>
      <c r="D263" s="136"/>
      <c r="E263" s="135"/>
      <c r="F263" s="135"/>
      <c r="G263" s="147">
        <f t="shared" si="103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96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03">
        <f t="shared" si="104"/>
        <v>0</v>
      </c>
      <c r="AI263" s="136"/>
      <c r="AJ263" s="136"/>
      <c r="AK263" s="136"/>
      <c r="AL263" s="105">
        <f t="shared" si="97"/>
        <v>0</v>
      </c>
      <c r="AM263" s="143"/>
      <c r="AN263" s="143"/>
      <c r="AO263" s="143"/>
      <c r="AP263" s="143"/>
      <c r="AQ263" s="146"/>
      <c r="AR263" s="224">
        <f t="shared" si="98"/>
        <v>0</v>
      </c>
      <c r="AS263" s="274"/>
      <c r="AT263" s="126"/>
      <c r="AU263" s="126"/>
      <c r="AV263" s="126"/>
      <c r="AW263" s="126"/>
      <c r="AX263" s="126"/>
      <c r="AY263" s="274"/>
      <c r="AZ263" s="274"/>
      <c r="BA263" s="274"/>
      <c r="BB263" s="274"/>
      <c r="BC263" s="222">
        <f t="shared" si="99"/>
        <v>0</v>
      </c>
      <c r="BD263" s="140">
        <f t="shared" si="100"/>
        <v>0</v>
      </c>
      <c r="BE263" s="132"/>
      <c r="BF263" s="140">
        <f t="shared" si="101"/>
        <v>0</v>
      </c>
      <c r="BG263" s="126"/>
      <c r="BH263" s="126"/>
      <c r="BI263" s="126"/>
      <c r="BJ263" s="126"/>
      <c r="BK263" s="126"/>
      <c r="BL263" s="126"/>
      <c r="BM263" s="126"/>
      <c r="BN263" s="126"/>
      <c r="BO263" s="126"/>
      <c r="BP263" s="126"/>
      <c r="BQ263" s="126"/>
      <c r="BR263" s="126"/>
      <c r="BS263" s="141"/>
      <c r="BT263" s="130">
        <f t="shared" si="102"/>
        <v>0</v>
      </c>
      <c r="BU263" s="132"/>
    </row>
    <row r="264" ht="14.25" customHeight="1">
      <c r="A264" s="132"/>
      <c r="B264" s="215">
        <v>46258</v>
      </c>
      <c r="C264" s="133"/>
      <c r="D264" s="136"/>
      <c r="E264" s="135"/>
      <c r="F264" s="135"/>
      <c r="G264" s="147">
        <f t="shared" si="103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96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03">
        <f t="shared" si="104"/>
        <v>0</v>
      </c>
      <c r="AI264" s="136"/>
      <c r="AJ264" s="136"/>
      <c r="AK264" s="136"/>
      <c r="AL264" s="105">
        <f t="shared" si="97"/>
        <v>0</v>
      </c>
      <c r="AM264" s="143"/>
      <c r="AN264" s="143"/>
      <c r="AO264" s="143"/>
      <c r="AP264" s="143"/>
      <c r="AQ264" s="146"/>
      <c r="AR264" s="224">
        <f t="shared" si="98"/>
        <v>0</v>
      </c>
      <c r="AS264" s="274"/>
      <c r="AT264" s="126"/>
      <c r="AU264" s="126"/>
      <c r="AV264" s="126"/>
      <c r="AW264" s="126"/>
      <c r="AX264" s="126"/>
      <c r="AY264" s="274"/>
      <c r="AZ264" s="274"/>
      <c r="BA264" s="274"/>
      <c r="BB264" s="274"/>
      <c r="BC264" s="222">
        <f t="shared" si="99"/>
        <v>0</v>
      </c>
      <c r="BD264" s="140">
        <f t="shared" si="100"/>
        <v>0</v>
      </c>
      <c r="BE264" s="132"/>
      <c r="BF264" s="140">
        <f t="shared" si="101"/>
        <v>0</v>
      </c>
      <c r="BG264" s="126"/>
      <c r="BH264" s="126"/>
      <c r="BI264" s="931"/>
      <c r="BJ264" s="126"/>
      <c r="BK264" s="126"/>
      <c r="BL264" s="126"/>
      <c r="BM264" s="126"/>
      <c r="BN264" s="126"/>
      <c r="BO264" s="126"/>
      <c r="BP264" s="126"/>
      <c r="BQ264" s="126"/>
      <c r="BR264" s="126"/>
      <c r="BS264" s="141"/>
      <c r="BT264" s="130">
        <f t="shared" si="102"/>
        <v>0</v>
      </c>
      <c r="BU264" s="132"/>
    </row>
    <row r="265" ht="14.25" customHeight="1">
      <c r="A265" s="132"/>
      <c r="B265" s="215">
        <v>46259</v>
      </c>
      <c r="C265" s="133"/>
      <c r="D265" s="136"/>
      <c r="E265" s="135"/>
      <c r="F265" s="135"/>
      <c r="G265" s="147">
        <f t="shared" si="103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96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03">
        <f t="shared" si="104"/>
        <v>0</v>
      </c>
      <c r="AI265" s="136"/>
      <c r="AJ265" s="136"/>
      <c r="AK265" s="136"/>
      <c r="AL265" s="105">
        <f t="shared" si="97"/>
        <v>0</v>
      </c>
      <c r="AM265" s="143"/>
      <c r="AN265" s="143"/>
      <c r="AO265" s="143"/>
      <c r="AP265" s="143"/>
      <c r="AQ265" s="146"/>
      <c r="AR265" s="224">
        <f t="shared" si="98"/>
        <v>0</v>
      </c>
      <c r="AS265" s="274"/>
      <c r="AT265" s="126"/>
      <c r="AU265" s="126"/>
      <c r="AV265" s="126"/>
      <c r="AW265" s="126"/>
      <c r="AX265" s="126"/>
      <c r="AY265" s="274"/>
      <c r="AZ265" s="274"/>
      <c r="BA265" s="274"/>
      <c r="BB265" s="274"/>
      <c r="BC265" s="222">
        <f t="shared" si="99"/>
        <v>0</v>
      </c>
      <c r="BD265" s="140">
        <f t="shared" si="100"/>
        <v>0</v>
      </c>
      <c r="BE265" s="132"/>
      <c r="BF265" s="140">
        <f t="shared" si="101"/>
        <v>0</v>
      </c>
      <c r="BG265" s="126"/>
      <c r="BH265" s="126"/>
      <c r="BI265" s="126"/>
      <c r="BJ265" s="126"/>
      <c r="BK265" s="126"/>
      <c r="BL265" s="126"/>
      <c r="BM265" s="126"/>
      <c r="BN265" s="126"/>
      <c r="BO265" s="126"/>
      <c r="BP265" s="126"/>
      <c r="BQ265" s="126"/>
      <c r="BR265" s="126"/>
      <c r="BS265" s="141"/>
      <c r="BT265" s="130">
        <f t="shared" si="102"/>
        <v>0</v>
      </c>
      <c r="BU265" s="132"/>
    </row>
    <row r="266" ht="14.25" customHeight="1">
      <c r="A266" s="132"/>
      <c r="B266" s="215">
        <v>46260</v>
      </c>
      <c r="C266" s="133"/>
      <c r="D266" s="136"/>
      <c r="E266" s="135"/>
      <c r="F266" s="135"/>
      <c r="G266" s="147">
        <f t="shared" si="103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43"/>
      <c r="U266" s="103">
        <f t="shared" si="96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03">
        <f t="shared" si="104"/>
        <v>0</v>
      </c>
      <c r="AI266" s="136"/>
      <c r="AJ266" s="136"/>
      <c r="AK266" s="136"/>
      <c r="AL266" s="105">
        <f t="shared" si="97"/>
        <v>0</v>
      </c>
      <c r="AM266" s="143"/>
      <c r="AN266" s="143"/>
      <c r="AO266" s="143"/>
      <c r="AP266" s="143"/>
      <c r="AQ266" s="146"/>
      <c r="AR266" s="224">
        <f t="shared" si="98"/>
        <v>0</v>
      </c>
      <c r="AS266" s="274"/>
      <c r="AT266" s="126"/>
      <c r="AU266" s="126"/>
      <c r="AV266" s="126"/>
      <c r="AW266" s="126"/>
      <c r="AX266" s="126"/>
      <c r="AY266" s="274"/>
      <c r="AZ266" s="274"/>
      <c r="BA266" s="274"/>
      <c r="BB266" s="274"/>
      <c r="BC266" s="222">
        <f t="shared" si="99"/>
        <v>0</v>
      </c>
      <c r="BD266" s="140">
        <f t="shared" si="100"/>
        <v>0</v>
      </c>
      <c r="BE266" s="132"/>
      <c r="BF266" s="140">
        <f t="shared" si="101"/>
        <v>0</v>
      </c>
      <c r="BG266" s="126"/>
      <c r="BH266" s="126"/>
      <c r="BI266" s="931"/>
      <c r="BJ266" s="126"/>
      <c r="BK266" s="126"/>
      <c r="BL266" s="126"/>
      <c r="BM266" s="126"/>
      <c r="BN266" s="126"/>
      <c r="BO266" s="126"/>
      <c r="BP266" s="126"/>
      <c r="BQ266" s="126"/>
      <c r="BR266" s="126"/>
      <c r="BS266" s="141"/>
      <c r="BT266" s="130">
        <f t="shared" si="102"/>
        <v>0</v>
      </c>
      <c r="BU266" s="132"/>
    </row>
    <row r="267" ht="14.25" customHeight="1">
      <c r="A267" s="132"/>
      <c r="B267" s="215">
        <v>46261</v>
      </c>
      <c r="C267" s="133"/>
      <c r="D267" s="136"/>
      <c r="E267" s="135"/>
      <c r="F267" s="135"/>
      <c r="G267" s="147">
        <f t="shared" si="103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03">
        <f t="shared" si="96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03">
        <f t="shared" si="104"/>
        <v>0</v>
      </c>
      <c r="AI267" s="136"/>
      <c r="AJ267" s="136"/>
      <c r="AK267" s="136"/>
      <c r="AL267" s="105">
        <f t="shared" si="97"/>
        <v>0</v>
      </c>
      <c r="AM267" s="301"/>
      <c r="AO267" s="143"/>
      <c r="AP267" s="143"/>
      <c r="AQ267" s="146"/>
      <c r="AR267" s="224">
        <f t="shared" si="98"/>
        <v>0</v>
      </c>
      <c r="AS267" s="274"/>
      <c r="AT267" s="126"/>
      <c r="AU267" s="126"/>
      <c r="AV267" s="126"/>
      <c r="AW267" s="126"/>
      <c r="AX267" s="126"/>
      <c r="AY267" s="274"/>
      <c r="AZ267" s="274"/>
      <c r="BA267" s="274"/>
      <c r="BB267" s="274"/>
      <c r="BC267" s="222">
        <f t="shared" si="99"/>
        <v>0</v>
      </c>
      <c r="BD267" s="140">
        <f t="shared" si="100"/>
        <v>0</v>
      </c>
      <c r="BE267" s="132"/>
      <c r="BF267" s="140">
        <f t="shared" si="101"/>
        <v>0</v>
      </c>
      <c r="BG267" s="126"/>
      <c r="BH267" s="126"/>
      <c r="BI267" s="126"/>
      <c r="BJ267" s="126"/>
      <c r="BK267" s="126"/>
      <c r="BL267" s="126"/>
      <c r="BM267" s="126"/>
      <c r="BN267" s="126"/>
      <c r="BO267" s="126"/>
      <c r="BP267" s="126"/>
      <c r="BQ267" s="126"/>
      <c r="BR267" s="126"/>
      <c r="BS267" s="141"/>
      <c r="BT267" s="130">
        <f t="shared" si="102"/>
        <v>0</v>
      </c>
      <c r="BU267" s="132"/>
    </row>
    <row r="268" ht="14.25" customHeight="1">
      <c r="A268" s="132"/>
      <c r="B268" s="215">
        <v>46262</v>
      </c>
      <c r="C268" s="133"/>
      <c r="D268" s="136"/>
      <c r="E268" s="135"/>
      <c r="F268" s="135"/>
      <c r="G268" s="147">
        <f t="shared" si="103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96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03">
        <f t="shared" si="104"/>
        <v>0</v>
      </c>
      <c r="AI268" s="136"/>
      <c r="AJ268" s="136"/>
      <c r="AK268" s="136"/>
      <c r="AL268" s="105">
        <f t="shared" si="97"/>
        <v>0</v>
      </c>
      <c r="AM268" s="143"/>
      <c r="AN268" s="143"/>
      <c r="AO268" s="143"/>
      <c r="AP268" s="143"/>
      <c r="AQ268" s="146"/>
      <c r="AR268" s="224">
        <f t="shared" si="98"/>
        <v>0</v>
      </c>
      <c r="AS268" s="274"/>
      <c r="AT268" s="126"/>
      <c r="AU268" s="126"/>
      <c r="AV268" s="126"/>
      <c r="AW268" s="126"/>
      <c r="AX268" s="126"/>
      <c r="AY268" s="274"/>
      <c r="AZ268" s="274"/>
      <c r="BA268" s="274"/>
      <c r="BB268" s="274"/>
      <c r="BC268" s="222">
        <f t="shared" si="99"/>
        <v>0</v>
      </c>
      <c r="BD268" s="140">
        <f t="shared" si="100"/>
        <v>0</v>
      </c>
      <c r="BE268" s="132"/>
      <c r="BF268" s="140">
        <f t="shared" si="101"/>
        <v>0</v>
      </c>
      <c r="BG268" s="126"/>
      <c r="BH268" s="126"/>
      <c r="BI268" s="126"/>
      <c r="BJ268" s="126"/>
      <c r="BK268" s="126"/>
      <c r="BL268" s="126"/>
      <c r="BM268" s="126"/>
      <c r="BN268" s="126"/>
      <c r="BO268" s="126"/>
      <c r="BP268" s="126"/>
      <c r="BQ268" s="126"/>
      <c r="BR268" s="126"/>
      <c r="BS268" s="141"/>
      <c r="BT268" s="130">
        <f t="shared" si="102"/>
        <v>0</v>
      </c>
      <c r="BU268" s="132"/>
    </row>
    <row r="269" ht="14.25" customHeight="1">
      <c r="A269" s="132"/>
      <c r="B269" s="215">
        <v>46263</v>
      </c>
      <c r="C269" s="133"/>
      <c r="D269" s="136"/>
      <c r="E269" s="135"/>
      <c r="F269" s="135"/>
      <c r="G269" s="147">
        <f t="shared" si="103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96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03">
        <f t="shared" si="104"/>
        <v>0</v>
      </c>
      <c r="AI269" s="136"/>
      <c r="AJ269" s="136"/>
      <c r="AK269" s="136"/>
      <c r="AL269" s="105">
        <f t="shared" si="97"/>
        <v>0</v>
      </c>
      <c r="AM269" s="143"/>
      <c r="AN269" s="143"/>
      <c r="AO269" s="143"/>
      <c r="AP269" s="143"/>
      <c r="AQ269" s="146"/>
      <c r="AR269" s="224">
        <f t="shared" si="98"/>
        <v>0</v>
      </c>
      <c r="AS269" s="274"/>
      <c r="AT269" s="126"/>
      <c r="AU269" s="126"/>
      <c r="AV269" s="126"/>
      <c r="AW269" s="126"/>
      <c r="AX269" s="126"/>
      <c r="AY269" s="274"/>
      <c r="AZ269" s="274"/>
      <c r="BA269" s="274"/>
      <c r="BB269" s="274"/>
      <c r="BC269" s="222">
        <f t="shared" si="99"/>
        <v>0</v>
      </c>
      <c r="BD269" s="140">
        <f t="shared" si="100"/>
        <v>0</v>
      </c>
      <c r="BE269" s="132"/>
      <c r="BF269" s="140">
        <f t="shared" si="101"/>
        <v>0</v>
      </c>
      <c r="BG269" s="126"/>
      <c r="BH269" s="126"/>
      <c r="BI269" s="126"/>
      <c r="BJ269" s="126"/>
      <c r="BK269" s="126"/>
      <c r="BL269" s="126"/>
      <c r="BM269" s="126"/>
      <c r="BN269" s="126"/>
      <c r="BO269" s="126"/>
      <c r="BP269" s="126"/>
      <c r="BQ269" s="126"/>
      <c r="BR269" s="126"/>
      <c r="BS269" s="141"/>
      <c r="BT269" s="130">
        <f t="shared" si="102"/>
        <v>0</v>
      </c>
      <c r="BU269" s="132"/>
    </row>
    <row r="270" ht="14.25" customHeight="1">
      <c r="A270" s="132"/>
      <c r="B270" s="215">
        <v>46264</v>
      </c>
      <c r="C270" s="133"/>
      <c r="D270" s="136"/>
      <c r="E270" s="135"/>
      <c r="F270" s="135"/>
      <c r="G270" s="147">
        <f t="shared" si="103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96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03">
        <f t="shared" si="104"/>
        <v>0</v>
      </c>
      <c r="AI270" s="136"/>
      <c r="AJ270" s="136"/>
      <c r="AK270" s="136"/>
      <c r="AL270" s="105">
        <f t="shared" si="97"/>
        <v>0</v>
      </c>
      <c r="AM270" s="143"/>
      <c r="AN270" s="143"/>
      <c r="AO270" s="143"/>
      <c r="AP270" s="143"/>
      <c r="AQ270" s="146"/>
      <c r="AR270" s="224">
        <f t="shared" si="98"/>
        <v>0</v>
      </c>
      <c r="AS270" s="274"/>
      <c r="AT270" s="126"/>
      <c r="AU270" s="126"/>
      <c r="AV270" s="126"/>
      <c r="AW270" s="126"/>
      <c r="AX270" s="126"/>
      <c r="AY270" s="274"/>
      <c r="AZ270" s="274"/>
      <c r="BA270" s="274"/>
      <c r="BB270" s="274"/>
      <c r="BC270" s="222">
        <f t="shared" si="99"/>
        <v>0</v>
      </c>
      <c r="BD270" s="140">
        <f t="shared" si="100"/>
        <v>0</v>
      </c>
      <c r="BE270" s="132"/>
      <c r="BF270" s="140">
        <f t="shared" si="101"/>
        <v>0</v>
      </c>
      <c r="BG270" s="126"/>
      <c r="BH270" s="126"/>
      <c r="BI270" s="126"/>
      <c r="BJ270" s="126"/>
      <c r="BK270" s="126"/>
      <c r="BL270" s="126"/>
      <c r="BM270" s="126"/>
      <c r="BN270" s="126"/>
      <c r="BO270" s="126"/>
      <c r="BP270" s="126"/>
      <c r="BQ270" s="126"/>
      <c r="BR270" s="126"/>
      <c r="BS270" s="141"/>
      <c r="BT270" s="130">
        <f t="shared" si="102"/>
        <v>0</v>
      </c>
      <c r="BU270" s="132"/>
    </row>
    <row r="271" ht="14.25" customHeight="1">
      <c r="A271" s="132"/>
      <c r="B271" s="215">
        <v>46265</v>
      </c>
      <c r="C271" s="153"/>
      <c r="D271" s="159"/>
      <c r="E271" s="156"/>
      <c r="F271" s="156"/>
      <c r="G271" s="147">
        <f t="shared" si="103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03">
        <f t="shared" si="96"/>
        <v>0</v>
      </c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03">
        <f t="shared" si="104"/>
        <v>0</v>
      </c>
      <c r="AI271" s="159"/>
      <c r="AJ271" s="159"/>
      <c r="AK271" s="159"/>
      <c r="AL271" s="105">
        <f t="shared" si="97"/>
        <v>0</v>
      </c>
      <c r="AM271" s="157"/>
      <c r="AN271" s="157"/>
      <c r="AO271" s="157"/>
      <c r="AP271" s="157"/>
      <c r="AQ271" s="160"/>
      <c r="AR271" s="224">
        <f t="shared" si="98"/>
        <v>0</v>
      </c>
      <c r="AS271" s="296"/>
      <c r="AT271" s="138"/>
      <c r="AU271" s="138"/>
      <c r="AV271" s="138"/>
      <c r="AW271" s="138"/>
      <c r="AX271" s="138"/>
      <c r="AY271" s="296"/>
      <c r="AZ271" s="296"/>
      <c r="BA271" s="296"/>
      <c r="BB271" s="296"/>
      <c r="BC271" s="222">
        <f t="shared" si="99"/>
        <v>0</v>
      </c>
      <c r="BD271" s="162">
        <f t="shared" si="100"/>
        <v>0</v>
      </c>
      <c r="BE271" s="132"/>
      <c r="BF271" s="162">
        <f t="shared" si="101"/>
        <v>0</v>
      </c>
      <c r="BG271" s="138"/>
      <c r="BH271" s="138"/>
      <c r="BI271" s="138"/>
      <c r="BJ271" s="138"/>
      <c r="BK271" s="138"/>
      <c r="BL271" s="138"/>
      <c r="BM271" s="138"/>
      <c r="BN271" s="138"/>
      <c r="BO271" s="138"/>
      <c r="BP271" s="126"/>
      <c r="BQ271" s="138"/>
      <c r="BR271" s="138"/>
      <c r="BS271" s="163"/>
      <c r="BT271" s="164">
        <f t="shared" si="102"/>
        <v>0</v>
      </c>
      <c r="BU271" s="132"/>
    </row>
    <row r="272" ht="14.25" customHeight="1">
      <c r="A272" s="3"/>
      <c r="B272" s="299"/>
      <c r="C272" s="166">
        <f ref="C272:R272" t="shared" si="105">SUM(C241:C271)</f>
        <v>0</v>
      </c>
      <c r="D272" s="166">
        <f t="shared" si="105"/>
        <v>0</v>
      </c>
      <c r="E272" s="166">
        <f t="shared" si="105"/>
        <v>0</v>
      </c>
      <c r="F272" s="166">
        <f t="shared" si="105"/>
        <v>0</v>
      </c>
      <c r="G272" s="166">
        <f t="shared" si="105"/>
        <v>0</v>
      </c>
      <c r="H272" s="166">
        <f t="shared" si="105"/>
        <v>0</v>
      </c>
      <c r="I272" s="166">
        <f t="shared" si="105"/>
        <v>0</v>
      </c>
      <c r="J272" s="166">
        <f t="shared" si="105"/>
        <v>0</v>
      </c>
      <c r="K272" s="166">
        <f t="shared" si="105"/>
        <v>0</v>
      </c>
      <c r="L272" s="166">
        <f t="shared" si="105"/>
        <v>0</v>
      </c>
      <c r="M272" s="166">
        <f t="shared" si="105"/>
        <v>0</v>
      </c>
      <c r="N272" s="166">
        <f t="shared" si="105"/>
        <v>0</v>
      </c>
      <c r="O272" s="166">
        <f t="shared" si="105"/>
        <v>0</v>
      </c>
      <c r="P272" s="166">
        <f t="shared" si="105"/>
        <v>0</v>
      </c>
      <c r="Q272" s="166">
        <f t="shared" si="105"/>
        <v>0</v>
      </c>
      <c r="R272" s="166">
        <f t="shared" si="105"/>
        <v>0</v>
      </c>
      <c r="S272" s="166"/>
      <c r="T272" s="166">
        <f ref="T272:U272" t="shared" si="106">SUM(T241:T271)</f>
        <v>0</v>
      </c>
      <c r="U272" s="166">
        <f t="shared" si="106"/>
        <v>0</v>
      </c>
      <c r="V272" s="166"/>
      <c r="W272" s="166"/>
      <c r="X272" s="166">
        <f ref="X272:AJ272" t="shared" si="107">SUM(X241:X271)</f>
        <v>0</v>
      </c>
      <c r="Y272" s="166">
        <f t="shared" si="107"/>
        <v>0</v>
      </c>
      <c r="Z272" s="166">
        <f t="shared" si="107"/>
        <v>0</v>
      </c>
      <c r="AA272" s="166">
        <f t="shared" si="107"/>
        <v>0</v>
      </c>
      <c r="AB272" s="166">
        <f t="shared" si="107"/>
        <v>0</v>
      </c>
      <c r="AC272" s="166">
        <f t="shared" si="107"/>
        <v>0</v>
      </c>
      <c r="AD272" s="166">
        <f t="shared" si="107"/>
        <v>0</v>
      </c>
      <c r="AE272" s="166">
        <f t="shared" si="107"/>
        <v>0</v>
      </c>
      <c r="AF272" s="166">
        <f t="shared" si="107"/>
        <v>0</v>
      </c>
      <c r="AG272" s="166">
        <f t="shared" si="107"/>
        <v>0</v>
      </c>
      <c r="AH272" s="166">
        <f t="shared" si="107"/>
        <v>0</v>
      </c>
      <c r="AI272" s="166">
        <f t="shared" si="107"/>
        <v>0</v>
      </c>
      <c r="AJ272" s="166">
        <f t="shared" si="107"/>
        <v>0</v>
      </c>
      <c r="AK272" s="166"/>
      <c r="AL272" s="166">
        <f ref="AL272:AX272" t="shared" si="108">SUM(AL241:AL271)</f>
        <v>0</v>
      </c>
      <c r="AM272" s="166">
        <f t="shared" si="108"/>
        <v>0</v>
      </c>
      <c r="AN272" s="166">
        <f t="shared" si="108"/>
        <v>0</v>
      </c>
      <c r="AO272" s="166">
        <f t="shared" si="108"/>
        <v>0</v>
      </c>
      <c r="AP272" s="166">
        <f t="shared" si="108"/>
        <v>0</v>
      </c>
      <c r="AQ272" s="166">
        <f t="shared" si="108"/>
        <v>0</v>
      </c>
      <c r="AR272" s="166">
        <f t="shared" si="108"/>
        <v>0</v>
      </c>
      <c r="AS272" s="166">
        <f t="shared" si="108"/>
        <v>0</v>
      </c>
      <c r="AT272" s="166">
        <f t="shared" si="108"/>
        <v>0</v>
      </c>
      <c r="AU272" s="166">
        <f t="shared" si="108"/>
        <v>0</v>
      </c>
      <c r="AV272" s="166">
        <f t="shared" si="108"/>
        <v>0</v>
      </c>
      <c r="AW272" s="166">
        <f t="shared" si="108"/>
        <v>0</v>
      </c>
      <c r="AX272" s="166">
        <f t="shared" si="108"/>
        <v>0</v>
      </c>
      <c r="AY272" s="166"/>
      <c r="AZ272" s="166"/>
      <c r="BA272" s="166"/>
      <c r="BB272" s="166"/>
      <c r="BC272" s="166">
        <f ref="BC272:BD272" t="shared" si="109">SUM(BC241:BC271)</f>
        <v>0</v>
      </c>
      <c r="BD272" s="166">
        <f t="shared" si="109"/>
        <v>0</v>
      </c>
      <c r="BE272" s="132"/>
      <c r="BF272" s="166">
        <f>SUM(BF241:BF271)</f>
        <v>0</v>
      </c>
      <c r="BG272" s="166"/>
      <c r="BH272" s="166"/>
      <c r="BI272" s="166"/>
      <c r="BJ272" s="166"/>
      <c r="BK272" s="166"/>
      <c r="BL272" s="166"/>
      <c r="BM272" s="166"/>
      <c r="BN272" s="166"/>
      <c r="BO272" s="166"/>
      <c r="BP272" s="166"/>
      <c r="BQ272" s="166"/>
      <c r="BR272" s="166"/>
      <c r="BS272" s="166"/>
      <c r="BT272" s="166">
        <f ref="BT272:BU272" t="shared" si="110">SUM(BT241:BT271)</f>
        <v>0</v>
      </c>
      <c r="BU272" s="166">
        <f t="shared" si="110"/>
        <v>0</v>
      </c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4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132"/>
      <c r="BC273" s="4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</row>
    <row r="274" ht="14.25" customHeight="1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176"/>
      <c r="AI274" s="3"/>
      <c r="AJ274" s="3"/>
      <c r="AK274" s="3"/>
      <c r="AL274" s="4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132"/>
      <c r="BC274" s="177"/>
      <c r="BD274" s="3"/>
      <c r="BE274" s="3"/>
      <c r="BF274" s="3"/>
      <c r="BG274" s="3"/>
      <c r="BH274" s="3"/>
      <c r="BI274" s="3"/>
      <c r="BJ274" s="176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ht="14.25" customHeight="1">
      <c r="A275" s="3"/>
      <c r="B275" s="512">
        <v>46266</v>
      </c>
      <c r="C275" s="94"/>
      <c r="D275" s="104"/>
      <c r="E275" s="97"/>
      <c r="F275" s="97"/>
      <c r="G275" s="216">
        <f ref="G275:G304" t="shared" si="111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03">
        <f ref="U275:U304" t="shared" si="112">SUM(H275:T275)</f>
        <v>0</v>
      </c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03">
        <f ref="AH275:AH304" t="shared" si="113">SUM(V275:AG275)</f>
        <v>0</v>
      </c>
      <c r="AI275" s="104"/>
      <c r="AJ275" s="104"/>
      <c r="AK275" s="104"/>
      <c r="AL275" s="191">
        <f ref="AL275:AL304" t="shared" si="114">SUM(AI275:AK275)</f>
        <v>0</v>
      </c>
      <c r="AM275" s="186"/>
      <c r="AN275" s="186"/>
      <c r="AO275" s="186"/>
      <c r="AP275" s="186"/>
      <c r="AQ275" s="817"/>
      <c r="AR275" s="219">
        <f ref="AR275:AR278" t="shared" si="115">+G275-U275-AH275-AL275-AM275-AO275-AP275-AQ275</f>
        <v>0</v>
      </c>
      <c r="AS275" s="269"/>
      <c r="AT275" s="109"/>
      <c r="AU275" s="109"/>
      <c r="AV275" s="109"/>
      <c r="AW275" s="109"/>
      <c r="AX275" s="109"/>
      <c r="AY275" s="269"/>
      <c r="AZ275" s="109"/>
      <c r="BA275" s="269"/>
      <c r="BB275" s="269"/>
      <c r="BC275" s="222">
        <f ref="BC275:BC304" t="shared" si="116">SUM(AS275:BB275)-BA275</f>
        <v>0</v>
      </c>
      <c r="BD275" s="114">
        <f ref="BD275:BD304" t="shared" si="117">+AR275-BC275</f>
        <v>0</v>
      </c>
      <c r="BE275" s="3"/>
      <c r="BF275" s="114">
        <f ref="BF275:BF304" t="shared" si="118">SUM(BG275:BS275)</f>
        <v>0</v>
      </c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6">
        <f ref="BT275:BT304" t="shared" si="119">+BD275-BF275</f>
        <v>0</v>
      </c>
      <c r="BU275" s="3"/>
    </row>
    <row r="276" ht="14.25" customHeight="1">
      <c r="A276" s="3"/>
      <c r="B276" s="512">
        <v>46267</v>
      </c>
      <c r="C276" s="118"/>
      <c r="D276" s="123"/>
      <c r="E276" s="120"/>
      <c r="F276" s="120"/>
      <c r="G276" s="147">
        <f t="shared" si="111"/>
        <v>0</v>
      </c>
      <c r="H276" s="144"/>
      <c r="I276" s="143"/>
      <c r="J276" s="143"/>
      <c r="K276" s="633"/>
      <c r="L276" s="143"/>
      <c r="M276" s="143"/>
      <c r="N276" s="143"/>
      <c r="O276" s="143"/>
      <c r="P276" s="143"/>
      <c r="Q276" s="143"/>
      <c r="R276" s="143"/>
      <c r="S276" s="143"/>
      <c r="T276" s="143"/>
      <c r="U276" s="103">
        <f t="shared" si="112"/>
        <v>0</v>
      </c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03">
        <f t="shared" si="113"/>
        <v>0</v>
      </c>
      <c r="AI276" s="123"/>
      <c r="AJ276" s="123"/>
      <c r="AK276" s="123"/>
      <c r="AL276" s="105">
        <f t="shared" si="114"/>
        <v>0</v>
      </c>
      <c r="AM276" s="143"/>
      <c r="AN276" s="143"/>
      <c r="AO276" s="143"/>
      <c r="AP276" s="143"/>
      <c r="AQ276" s="819"/>
      <c r="AR276" s="224">
        <f t="shared" si="115"/>
        <v>0</v>
      </c>
      <c r="AS276" s="274"/>
      <c r="AT276" s="126"/>
      <c r="AU276" s="126"/>
      <c r="AV276" s="126"/>
      <c r="AW276" s="126"/>
      <c r="AX276" s="126"/>
      <c r="AY276" s="274"/>
      <c r="AZ276" s="126"/>
      <c r="BA276" s="274"/>
      <c r="BB276" s="274"/>
      <c r="BC276" s="222">
        <f t="shared" si="116"/>
        <v>0</v>
      </c>
      <c r="BD276" s="113">
        <f t="shared" si="117"/>
        <v>0</v>
      </c>
      <c r="BE276" s="3"/>
      <c r="BF276" s="113">
        <f t="shared" si="118"/>
        <v>0</v>
      </c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30">
        <f t="shared" si="119"/>
        <v>0</v>
      </c>
      <c r="BU276" s="3"/>
    </row>
    <row r="277" ht="14.25" customHeight="1">
      <c r="A277" s="3"/>
      <c r="B277" s="512">
        <v>46268</v>
      </c>
      <c r="C277" s="118"/>
      <c r="D277" s="123"/>
      <c r="E277" s="120"/>
      <c r="F277" s="120"/>
      <c r="G277" s="147">
        <f t="shared" si="111"/>
        <v>0</v>
      </c>
      <c r="H277" s="144"/>
      <c r="I277" s="143"/>
      <c r="J277" s="143"/>
      <c r="K277" s="231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12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03">
        <f t="shared" si="113"/>
        <v>0</v>
      </c>
      <c r="AI277" s="123"/>
      <c r="AJ277" s="123"/>
      <c r="AK277" s="123"/>
      <c r="AL277" s="105">
        <f t="shared" si="114"/>
        <v>0</v>
      </c>
      <c r="AM277" s="143"/>
      <c r="AN277" s="143"/>
      <c r="AO277" s="143"/>
      <c r="AP277" s="143"/>
      <c r="AQ277" s="819"/>
      <c r="AR277" s="224">
        <f t="shared" si="115"/>
        <v>0</v>
      </c>
      <c r="AS277" s="274"/>
      <c r="AT277" s="126"/>
      <c r="AU277" s="126"/>
      <c r="AV277" s="126"/>
      <c r="AW277" s="126"/>
      <c r="AX277" s="126"/>
      <c r="AY277" s="274"/>
      <c r="AZ277" s="126"/>
      <c r="BA277" s="274"/>
      <c r="BB277" s="274"/>
      <c r="BC277" s="222">
        <f t="shared" si="116"/>
        <v>0</v>
      </c>
      <c r="BD277" s="113">
        <f t="shared" si="117"/>
        <v>0</v>
      </c>
      <c r="BE277" s="3"/>
      <c r="BF277" s="113">
        <f t="shared" si="118"/>
        <v>0</v>
      </c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30">
        <f t="shared" si="119"/>
        <v>0</v>
      </c>
      <c r="BU277" s="3"/>
    </row>
    <row r="278" ht="14.25" customHeight="1">
      <c r="A278" s="3"/>
      <c r="B278" s="512">
        <v>46269</v>
      </c>
      <c r="C278" s="118"/>
      <c r="D278" s="123"/>
      <c r="E278" s="120"/>
      <c r="F278" s="120"/>
      <c r="G278" s="147">
        <f t="shared" si="111"/>
        <v>0</v>
      </c>
      <c r="H278" s="144"/>
      <c r="I278" s="143"/>
      <c r="J278" s="143"/>
      <c r="K278" s="663"/>
      <c r="L278" s="143"/>
      <c r="M278" s="143"/>
      <c r="N278" s="143"/>
      <c r="O278" s="143"/>
      <c r="P278" s="143"/>
      <c r="Q278" s="143"/>
      <c r="R278" s="143"/>
      <c r="S278" s="143"/>
      <c r="T278" s="143"/>
      <c r="U278" s="103">
        <f t="shared" si="112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03">
        <f t="shared" si="113"/>
        <v>0</v>
      </c>
      <c r="AI278" s="123"/>
      <c r="AJ278" s="123"/>
      <c r="AK278" s="123"/>
      <c r="AL278" s="105">
        <f t="shared" si="114"/>
        <v>0</v>
      </c>
      <c r="AM278" s="143"/>
      <c r="AN278" s="143"/>
      <c r="AO278" s="143"/>
      <c r="AP278" s="143"/>
      <c r="AQ278" s="819"/>
      <c r="AR278" s="224">
        <f t="shared" si="115"/>
        <v>0</v>
      </c>
      <c r="AS278" s="274"/>
      <c r="AT278" s="126"/>
      <c r="AU278" s="126"/>
      <c r="AV278" s="126"/>
      <c r="AW278" s="126"/>
      <c r="AX278" s="126"/>
      <c r="AY278" s="274"/>
      <c r="AZ278" s="126"/>
      <c r="BA278" s="274"/>
      <c r="BB278" s="274"/>
      <c r="BC278" s="222">
        <f t="shared" si="116"/>
        <v>0</v>
      </c>
      <c r="BD278" s="113">
        <f t="shared" si="117"/>
        <v>0</v>
      </c>
      <c r="BE278" s="3"/>
      <c r="BF278" s="113">
        <f t="shared" si="118"/>
        <v>0</v>
      </c>
      <c r="BG278" s="129"/>
      <c r="BH278" s="129"/>
      <c r="BI278" s="913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19"/>
        <v>0</v>
      </c>
      <c r="BU278" s="3"/>
    </row>
    <row r="279" ht="14.25" customHeight="1">
      <c r="A279" s="3"/>
      <c r="B279" s="512">
        <v>46270</v>
      </c>
      <c r="C279" s="118"/>
      <c r="D279" s="123"/>
      <c r="E279" s="120"/>
      <c r="F279" s="120"/>
      <c r="G279" s="147">
        <f t="shared" si="111"/>
        <v>0</v>
      </c>
      <c r="H279" s="144"/>
      <c r="I279" s="143"/>
      <c r="J279" s="143"/>
      <c r="K279" s="231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12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03">
        <f t="shared" si="113"/>
        <v>0</v>
      </c>
      <c r="AI279" s="123"/>
      <c r="AJ279" s="123"/>
      <c r="AK279" s="123"/>
      <c r="AL279" s="105">
        <f t="shared" si="114"/>
        <v>0</v>
      </c>
      <c r="AM279" s="143"/>
      <c r="AN279" s="143"/>
      <c r="AO279" s="143"/>
      <c r="AP279" s="143"/>
      <c r="AQ279" s="819"/>
      <c r="AR279" s="224">
        <f>+G279-U279-AH279-AL279-AM279-AO279-AP279-AQ279-AN279</f>
        <v>0</v>
      </c>
      <c r="AS279" s="274"/>
      <c r="AT279" s="126"/>
      <c r="AU279" s="126"/>
      <c r="AV279" s="126"/>
      <c r="AW279" s="126"/>
      <c r="AX279" s="126"/>
      <c r="AY279" s="274"/>
      <c r="AZ279" s="126"/>
      <c r="BA279" s="274"/>
      <c r="BB279" s="274"/>
      <c r="BC279" s="222">
        <f t="shared" si="116"/>
        <v>0</v>
      </c>
      <c r="BD279" s="113">
        <f t="shared" si="117"/>
        <v>0</v>
      </c>
      <c r="BE279" s="3"/>
      <c r="BF279" s="113">
        <f t="shared" si="118"/>
        <v>0</v>
      </c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30">
        <f t="shared" si="119"/>
        <v>0</v>
      </c>
      <c r="BU279" s="3"/>
    </row>
    <row r="280" ht="14.25" customHeight="1">
      <c r="A280" s="3"/>
      <c r="B280" s="512">
        <v>46271</v>
      </c>
      <c r="C280" s="118"/>
      <c r="D280" s="123"/>
      <c r="E280" s="120"/>
      <c r="F280" s="120"/>
      <c r="G280" s="147">
        <f t="shared" si="111"/>
        <v>0</v>
      </c>
      <c r="H280" s="144"/>
      <c r="I280" s="143"/>
      <c r="J280" s="143"/>
      <c r="K280" s="231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12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03">
        <f t="shared" si="113"/>
        <v>0</v>
      </c>
      <c r="AI280" s="123"/>
      <c r="AJ280" s="123"/>
      <c r="AK280" s="123"/>
      <c r="AL280" s="105">
        <f t="shared" si="114"/>
        <v>0</v>
      </c>
      <c r="AM280" s="143"/>
      <c r="AN280" s="143"/>
      <c r="AO280" s="143"/>
      <c r="AP280" s="143"/>
      <c r="AQ280" s="819"/>
      <c r="AR280" s="224">
        <f ref="AR280:AR304" t="shared" si="120">+G280-U280-AH280-AL280-AM280-AO280-AP280-AQ280</f>
        <v>0</v>
      </c>
      <c r="AS280" s="274"/>
      <c r="AT280" s="126"/>
      <c r="AU280" s="126"/>
      <c r="AV280" s="126"/>
      <c r="AW280" s="126"/>
      <c r="AX280" s="126"/>
      <c r="AY280" s="274"/>
      <c r="AZ280" s="126"/>
      <c r="BA280" s="274"/>
      <c r="BB280" s="274"/>
      <c r="BC280" s="222">
        <f t="shared" si="116"/>
        <v>0</v>
      </c>
      <c r="BD280" s="113">
        <f t="shared" si="117"/>
        <v>0</v>
      </c>
      <c r="BE280" s="3"/>
      <c r="BF280" s="113">
        <f t="shared" si="118"/>
        <v>0</v>
      </c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30">
        <f t="shared" si="119"/>
        <v>0</v>
      </c>
      <c r="BU280" s="3"/>
    </row>
    <row r="281" ht="14.25" customHeight="1">
      <c r="A281" s="3"/>
      <c r="B281" s="512">
        <v>46272</v>
      </c>
      <c r="C281" s="118"/>
      <c r="D281" s="123"/>
      <c r="E281" s="120"/>
      <c r="F281" s="120"/>
      <c r="G281" s="147">
        <f t="shared" si="111"/>
        <v>0</v>
      </c>
      <c r="H281" s="144"/>
      <c r="I281" s="143"/>
      <c r="J281" s="143"/>
      <c r="K281" s="231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12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03">
        <f t="shared" si="113"/>
        <v>0</v>
      </c>
      <c r="AI281" s="123"/>
      <c r="AJ281" s="123"/>
      <c r="AK281" s="123"/>
      <c r="AL281" s="105">
        <f t="shared" si="114"/>
        <v>0</v>
      </c>
      <c r="AM281" s="143"/>
      <c r="AN281" s="143"/>
      <c r="AO281" s="143"/>
      <c r="AP281" s="143"/>
      <c r="AQ281" s="819"/>
      <c r="AR281" s="224">
        <f t="shared" si="120"/>
        <v>0</v>
      </c>
      <c r="AS281" s="274"/>
      <c r="AT281" s="126"/>
      <c r="AU281" s="126"/>
      <c r="AV281" s="126"/>
      <c r="AW281" s="126"/>
      <c r="AX281" s="126"/>
      <c r="AY281" s="274"/>
      <c r="AZ281" s="126"/>
      <c r="BA281" s="274"/>
      <c r="BB281" s="274"/>
      <c r="BC281" s="222">
        <f t="shared" si="116"/>
        <v>0</v>
      </c>
      <c r="BD281" s="113">
        <f t="shared" si="117"/>
        <v>0</v>
      </c>
      <c r="BE281" s="3"/>
      <c r="BF281" s="113">
        <f t="shared" si="118"/>
        <v>0</v>
      </c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30">
        <f t="shared" si="119"/>
        <v>0</v>
      </c>
      <c r="BU281" s="3"/>
    </row>
    <row r="282" ht="14.25" customHeight="1">
      <c r="A282" s="3"/>
      <c r="B282" s="512">
        <v>46273</v>
      </c>
      <c r="C282" s="118"/>
      <c r="D282" s="123"/>
      <c r="E282" s="120"/>
      <c r="F282" s="120"/>
      <c r="G282" s="147">
        <f t="shared" si="111"/>
        <v>0</v>
      </c>
      <c r="H282" s="144"/>
      <c r="I282" s="143"/>
      <c r="J282" s="143"/>
      <c r="K282" s="231"/>
      <c r="L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12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03">
        <f t="shared" si="113"/>
        <v>0</v>
      </c>
      <c r="AI282" s="123"/>
      <c r="AJ282" s="123"/>
      <c r="AK282" s="123"/>
      <c r="AL282" s="105">
        <f t="shared" si="114"/>
        <v>0</v>
      </c>
      <c r="AM282" s="143"/>
      <c r="AN282" s="143"/>
      <c r="AO282" s="143"/>
      <c r="AP282" s="143"/>
      <c r="AQ282" s="819"/>
      <c r="AR282" s="224">
        <f t="shared" si="120"/>
        <v>0</v>
      </c>
      <c r="AS282" s="274"/>
      <c r="AT282" s="126"/>
      <c r="AU282" s="126"/>
      <c r="AV282" s="126"/>
      <c r="AW282" s="126"/>
      <c r="AX282" s="126"/>
      <c r="AY282" s="274"/>
      <c r="AZ282" s="126"/>
      <c r="BA282" s="274"/>
      <c r="BB282" s="274"/>
      <c r="BC282" s="222">
        <f t="shared" si="116"/>
        <v>0</v>
      </c>
      <c r="BD282" s="113">
        <f t="shared" si="117"/>
        <v>0</v>
      </c>
      <c r="BE282" s="3"/>
      <c r="BF282" s="113">
        <f t="shared" si="118"/>
        <v>0</v>
      </c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30">
        <f t="shared" si="119"/>
        <v>0</v>
      </c>
      <c r="BU282" s="3"/>
    </row>
    <row r="283" ht="14.25" customHeight="1">
      <c r="A283" s="3"/>
      <c r="B283" s="512">
        <v>46274</v>
      </c>
      <c r="C283" s="118"/>
      <c r="D283" s="123"/>
      <c r="E283" s="120"/>
      <c r="F283" s="120"/>
      <c r="G283" s="147">
        <f t="shared" si="111"/>
        <v>0</v>
      </c>
      <c r="H283" s="144"/>
      <c r="I283" s="143"/>
      <c r="J283" s="143"/>
      <c r="K283" s="231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12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03">
        <f t="shared" si="113"/>
        <v>0</v>
      </c>
      <c r="AI283" s="123"/>
      <c r="AJ283" s="123"/>
      <c r="AK283" s="123"/>
      <c r="AL283" s="105">
        <f t="shared" si="114"/>
        <v>0</v>
      </c>
      <c r="AM283" s="143"/>
      <c r="AN283" s="143"/>
      <c r="AO283" s="143"/>
      <c r="AP283" s="143"/>
      <c r="AQ283" s="819"/>
      <c r="AR283" s="224">
        <f t="shared" si="120"/>
        <v>0</v>
      </c>
      <c r="AS283" s="274"/>
      <c r="AT283" s="126"/>
      <c r="AU283" s="126"/>
      <c r="AV283" s="126"/>
      <c r="AW283" s="126"/>
      <c r="AX283" s="126"/>
      <c r="AY283" s="274"/>
      <c r="AZ283" s="126"/>
      <c r="BA283" s="274"/>
      <c r="BB283" s="274"/>
      <c r="BC283" s="222">
        <f t="shared" si="116"/>
        <v>0</v>
      </c>
      <c r="BD283" s="113">
        <f t="shared" si="117"/>
        <v>0</v>
      </c>
      <c r="BE283" s="3"/>
      <c r="BF283" s="113">
        <f t="shared" si="118"/>
        <v>0</v>
      </c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30">
        <f t="shared" si="119"/>
        <v>0</v>
      </c>
      <c r="BU283" s="3"/>
    </row>
    <row r="284" ht="14.25" customHeight="1">
      <c r="A284" s="3"/>
      <c r="B284" s="512">
        <v>46275</v>
      </c>
      <c r="C284" s="118"/>
      <c r="D284" s="123"/>
      <c r="E284" s="120"/>
      <c r="F284" s="120"/>
      <c r="G284" s="147">
        <f t="shared" si="111"/>
        <v>0</v>
      </c>
      <c r="H284" s="144"/>
      <c r="I284" s="143"/>
      <c r="J284" s="143"/>
      <c r="K284" s="231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12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03">
        <f t="shared" si="113"/>
        <v>0</v>
      </c>
      <c r="AI284" s="123"/>
      <c r="AJ284" s="123"/>
      <c r="AK284" s="123"/>
      <c r="AL284" s="105">
        <f t="shared" si="114"/>
        <v>0</v>
      </c>
      <c r="AM284" s="143"/>
      <c r="AN284" s="143"/>
      <c r="AO284" s="143"/>
      <c r="AP284" s="143"/>
      <c r="AQ284" s="819"/>
      <c r="AR284" s="224">
        <f t="shared" si="120"/>
        <v>0</v>
      </c>
      <c r="AS284" s="274"/>
      <c r="AT284" s="126"/>
      <c r="AU284" s="126"/>
      <c r="AV284" s="126"/>
      <c r="AW284" s="126"/>
      <c r="AX284" s="126"/>
      <c r="AY284" s="274"/>
      <c r="AZ284" s="126"/>
      <c r="BA284" s="274"/>
      <c r="BB284" s="274"/>
      <c r="BC284" s="222">
        <f t="shared" si="116"/>
        <v>0</v>
      </c>
      <c r="BD284" s="113">
        <f t="shared" si="117"/>
        <v>0</v>
      </c>
      <c r="BE284" s="3"/>
      <c r="BF284" s="113">
        <f t="shared" si="118"/>
        <v>0</v>
      </c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30">
        <f t="shared" si="119"/>
        <v>0</v>
      </c>
      <c r="BU284" s="3"/>
    </row>
    <row r="285" ht="14.25" customHeight="1">
      <c r="A285" s="3"/>
      <c r="B285" s="512">
        <v>46276</v>
      </c>
      <c r="C285" s="118"/>
      <c r="D285" s="123"/>
      <c r="E285" s="120"/>
      <c r="F285" s="120"/>
      <c r="G285" s="147">
        <f t="shared" si="111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12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03">
        <f t="shared" si="113"/>
        <v>0</v>
      </c>
      <c r="AI285" s="123"/>
      <c r="AJ285" s="123"/>
      <c r="AK285" s="123"/>
      <c r="AL285" s="105">
        <f t="shared" si="114"/>
        <v>0</v>
      </c>
      <c r="AM285" s="143"/>
      <c r="AN285" s="143"/>
      <c r="AO285" s="143"/>
      <c r="AP285" s="143"/>
      <c r="AQ285" s="819"/>
      <c r="AR285" s="224">
        <f t="shared" si="120"/>
        <v>0</v>
      </c>
      <c r="AS285" s="274"/>
      <c r="AT285" s="126"/>
      <c r="AU285" s="126"/>
      <c r="AV285" s="126"/>
      <c r="AW285" s="126"/>
      <c r="AX285" s="126"/>
      <c r="AY285" s="274"/>
      <c r="AZ285" s="126"/>
      <c r="BA285" s="274"/>
      <c r="BB285" s="274"/>
      <c r="BC285" s="222">
        <f t="shared" si="116"/>
        <v>0</v>
      </c>
      <c r="BD285" s="113">
        <f t="shared" si="117"/>
        <v>0</v>
      </c>
      <c r="BE285" s="3"/>
      <c r="BF285" s="113">
        <f t="shared" si="118"/>
        <v>0</v>
      </c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30">
        <f t="shared" si="119"/>
        <v>0</v>
      </c>
      <c r="BU285" s="3"/>
    </row>
    <row r="286" ht="14.25" customHeight="1">
      <c r="A286" s="132"/>
      <c r="B286" s="512">
        <v>46277</v>
      </c>
      <c r="C286" s="133"/>
      <c r="D286" s="136"/>
      <c r="E286" s="135"/>
      <c r="F286" s="135"/>
      <c r="G286" s="147">
        <f t="shared" si="111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12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03">
        <f t="shared" si="113"/>
        <v>0</v>
      </c>
      <c r="AI286" s="136"/>
      <c r="AJ286" s="136"/>
      <c r="AK286" s="136"/>
      <c r="AL286" s="105">
        <f t="shared" si="114"/>
        <v>0</v>
      </c>
      <c r="AM286" s="143"/>
      <c r="AN286" s="143"/>
      <c r="AO286" s="143"/>
      <c r="AP286" s="143"/>
      <c r="AQ286" s="819"/>
      <c r="AR286" s="224">
        <f t="shared" si="120"/>
        <v>0</v>
      </c>
      <c r="AS286" s="274"/>
      <c r="AT286" s="126"/>
      <c r="AU286" s="126"/>
      <c r="AV286" s="126"/>
      <c r="AW286" s="126"/>
      <c r="AX286" s="126"/>
      <c r="AY286" s="274"/>
      <c r="AZ286" s="126"/>
      <c r="BA286" s="274"/>
      <c r="BB286" s="274"/>
      <c r="BC286" s="222">
        <f t="shared" si="116"/>
        <v>0</v>
      </c>
      <c r="BD286" s="140">
        <f t="shared" si="117"/>
        <v>0</v>
      </c>
      <c r="BE286" s="132"/>
      <c r="BF286" s="140">
        <f t="shared" si="118"/>
        <v>0</v>
      </c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30">
        <f t="shared" si="119"/>
        <v>0</v>
      </c>
      <c r="BU286" s="132"/>
    </row>
    <row r="287" ht="14.25" customHeight="1">
      <c r="A287" s="132"/>
      <c r="B287" s="512">
        <v>46278</v>
      </c>
      <c r="C287" s="136"/>
      <c r="D287" s="136"/>
      <c r="E287" s="135"/>
      <c r="F287" s="135"/>
      <c r="G287" s="147">
        <f t="shared" si="111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12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03">
        <f t="shared" si="113"/>
        <v>0</v>
      </c>
      <c r="AI287" s="136"/>
      <c r="AJ287" s="136"/>
      <c r="AK287" s="136"/>
      <c r="AL287" s="105">
        <f t="shared" si="114"/>
        <v>0</v>
      </c>
      <c r="AM287" s="143"/>
      <c r="AN287" s="143"/>
      <c r="AO287" s="143"/>
      <c r="AP287" s="143"/>
      <c r="AQ287" s="146"/>
      <c r="AR287" s="224">
        <f t="shared" si="120"/>
        <v>0</v>
      </c>
      <c r="AS287" s="274"/>
      <c r="AT287" s="126"/>
      <c r="AU287" s="126"/>
      <c r="AV287" s="126"/>
      <c r="AW287" s="126"/>
      <c r="AX287" s="126"/>
      <c r="AY287" s="274"/>
      <c r="AZ287" s="126"/>
      <c r="BA287" s="274"/>
      <c r="BB287" s="274"/>
      <c r="BC287" s="222">
        <f t="shared" si="116"/>
        <v>0</v>
      </c>
      <c r="BD287" s="140">
        <f t="shared" si="117"/>
        <v>0</v>
      </c>
      <c r="BE287" s="132"/>
      <c r="BF287" s="140">
        <f t="shared" si="118"/>
        <v>0</v>
      </c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19"/>
        <v>0</v>
      </c>
      <c r="BU287" s="132"/>
    </row>
    <row r="288" ht="14.25" customHeight="1">
      <c r="A288" s="132"/>
      <c r="B288" s="512">
        <v>46279</v>
      </c>
      <c r="C288" s="136"/>
      <c r="D288" s="136"/>
      <c r="E288" s="135"/>
      <c r="F288" s="135"/>
      <c r="G288" s="147">
        <f t="shared" si="111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12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03">
        <f t="shared" si="113"/>
        <v>0</v>
      </c>
      <c r="AI288" s="136"/>
      <c r="AJ288" s="136"/>
      <c r="AK288" s="136"/>
      <c r="AL288" s="105">
        <f t="shared" si="114"/>
        <v>0</v>
      </c>
      <c r="AM288" s="143"/>
      <c r="AN288" s="143"/>
      <c r="AO288" s="143"/>
      <c r="AP288" s="143"/>
      <c r="AQ288" s="146"/>
      <c r="AR288" s="224">
        <f t="shared" si="120"/>
        <v>0</v>
      </c>
      <c r="AS288" s="274"/>
      <c r="AT288" s="126"/>
      <c r="AU288" s="126"/>
      <c r="AV288" s="126"/>
      <c r="AW288" s="126"/>
      <c r="AX288" s="126"/>
      <c r="AY288" s="274"/>
      <c r="AZ288" s="126"/>
      <c r="BA288" s="274"/>
      <c r="BB288" s="274"/>
      <c r="BC288" s="222">
        <f t="shared" si="116"/>
        <v>0</v>
      </c>
      <c r="BD288" s="140">
        <f t="shared" si="117"/>
        <v>0</v>
      </c>
      <c r="BE288" s="132"/>
      <c r="BF288" s="140">
        <f t="shared" si="118"/>
        <v>0</v>
      </c>
      <c r="BG288" s="141"/>
      <c r="BH288" s="141"/>
      <c r="BI288" s="913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19"/>
        <v>0</v>
      </c>
      <c r="BU288" s="132"/>
    </row>
    <row r="289" ht="14.25" customHeight="1">
      <c r="A289" s="132"/>
      <c r="B289" s="512">
        <v>46280</v>
      </c>
      <c r="C289" s="136"/>
      <c r="D289" s="136"/>
      <c r="E289" s="135"/>
      <c r="F289" s="135"/>
      <c r="G289" s="147">
        <f t="shared" si="111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12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03">
        <f t="shared" si="113"/>
        <v>0</v>
      </c>
      <c r="AI289" s="136"/>
      <c r="AJ289" s="136"/>
      <c r="AK289" s="136"/>
      <c r="AL289" s="105">
        <f t="shared" si="114"/>
        <v>0</v>
      </c>
      <c r="AM289" s="143"/>
      <c r="AN289" s="143"/>
      <c r="AO289" s="143"/>
      <c r="AP289" s="143"/>
      <c r="AQ289" s="146"/>
      <c r="AR289" s="224">
        <f t="shared" si="120"/>
        <v>0</v>
      </c>
      <c r="AS289" s="274"/>
      <c r="AT289" s="126"/>
      <c r="AU289" s="126"/>
      <c r="AV289" s="126"/>
      <c r="AW289" s="126"/>
      <c r="AX289" s="126"/>
      <c r="AY289" s="274"/>
      <c r="AZ289" s="274"/>
      <c r="BA289" s="274"/>
      <c r="BB289" s="274"/>
      <c r="BC289" s="222">
        <f t="shared" si="116"/>
        <v>0</v>
      </c>
      <c r="BD289" s="140">
        <f t="shared" si="117"/>
        <v>0</v>
      </c>
      <c r="BE289" s="132"/>
      <c r="BF289" s="140">
        <f t="shared" si="118"/>
        <v>0</v>
      </c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19"/>
        <v>0</v>
      </c>
      <c r="BU289" s="132"/>
    </row>
    <row r="290" ht="14.25" customHeight="1">
      <c r="A290" s="132"/>
      <c r="B290" s="512">
        <v>46281</v>
      </c>
      <c r="C290" s="136"/>
      <c r="D290" s="136"/>
      <c r="E290" s="135"/>
      <c r="F290" s="135"/>
      <c r="G290" s="147">
        <f t="shared" si="111"/>
        <v>0</v>
      </c>
      <c r="H290" s="144"/>
      <c r="I290" s="143"/>
      <c r="J290" s="143"/>
      <c r="K290" s="146"/>
      <c r="L290" s="143"/>
      <c r="M290" s="144"/>
      <c r="N290" s="143"/>
      <c r="O290" s="143"/>
      <c r="P290" s="143"/>
      <c r="Q290" s="143"/>
      <c r="R290" s="143"/>
      <c r="S290" s="143"/>
      <c r="T290" s="143"/>
      <c r="U290" s="103">
        <f t="shared" si="112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03">
        <f t="shared" si="113"/>
        <v>0</v>
      </c>
      <c r="AI290" s="136"/>
      <c r="AJ290" s="136"/>
      <c r="AK290" s="136"/>
      <c r="AL290" s="105">
        <f t="shared" si="114"/>
        <v>0</v>
      </c>
      <c r="AM290" s="143"/>
      <c r="AN290" s="143"/>
      <c r="AO290" s="143"/>
      <c r="AP290" s="143"/>
      <c r="AQ290" s="146"/>
      <c r="AR290" s="224">
        <f t="shared" si="120"/>
        <v>0</v>
      </c>
      <c r="AS290" s="274"/>
      <c r="AT290" s="126"/>
      <c r="AU290" s="126"/>
      <c r="AV290" s="126"/>
      <c r="AW290" s="126"/>
      <c r="AX290" s="126"/>
      <c r="AY290" s="274"/>
      <c r="AZ290" s="274"/>
      <c r="BA290" s="274"/>
      <c r="BB290" s="274"/>
      <c r="BC290" s="222">
        <f t="shared" si="116"/>
        <v>0</v>
      </c>
      <c r="BD290" s="140">
        <f t="shared" si="117"/>
        <v>0</v>
      </c>
      <c r="BE290" s="132"/>
      <c r="BF290" s="140">
        <f t="shared" si="118"/>
        <v>0</v>
      </c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19"/>
        <v>0</v>
      </c>
      <c r="BU290" s="132"/>
    </row>
    <row r="291" ht="14.25" customHeight="1">
      <c r="A291" s="132"/>
      <c r="B291" s="512">
        <v>46282</v>
      </c>
      <c r="C291" s="136"/>
      <c r="D291" s="136"/>
      <c r="E291" s="135"/>
      <c r="F291" s="135"/>
      <c r="G291" s="147">
        <f t="shared" si="111"/>
        <v>0</v>
      </c>
      <c r="H291" s="144"/>
      <c r="I291" s="146"/>
      <c r="J291" s="143"/>
      <c r="K291" s="148"/>
      <c r="L291" s="143"/>
      <c r="M291" s="961"/>
      <c r="N291" s="143"/>
      <c r="O291" s="143"/>
      <c r="P291" s="143"/>
      <c r="Q291" s="143"/>
      <c r="R291" s="143"/>
      <c r="S291" s="143"/>
      <c r="T291" s="143"/>
      <c r="U291" s="103">
        <f t="shared" si="112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03">
        <f t="shared" si="113"/>
        <v>0</v>
      </c>
      <c r="AI291" s="136"/>
      <c r="AJ291" s="136"/>
      <c r="AK291" s="136"/>
      <c r="AL291" s="105">
        <f t="shared" si="114"/>
        <v>0</v>
      </c>
      <c r="AM291" s="143"/>
      <c r="AN291" s="143"/>
      <c r="AO291" s="143"/>
      <c r="AP291" s="143"/>
      <c r="AQ291" s="146"/>
      <c r="AR291" s="224">
        <f t="shared" si="120"/>
        <v>0</v>
      </c>
      <c r="AS291" s="274"/>
      <c r="AT291" s="126"/>
      <c r="AU291" s="126"/>
      <c r="AV291" s="126"/>
      <c r="AW291" s="126"/>
      <c r="AX291" s="126"/>
      <c r="AY291" s="274"/>
      <c r="AZ291" s="274"/>
      <c r="BA291" s="274"/>
      <c r="BB291" s="274"/>
      <c r="BC291" s="222">
        <f t="shared" si="116"/>
        <v>0</v>
      </c>
      <c r="BD291" s="140">
        <f t="shared" si="117"/>
        <v>0</v>
      </c>
      <c r="BE291" s="132"/>
      <c r="BF291" s="140">
        <f t="shared" si="118"/>
        <v>0</v>
      </c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19"/>
        <v>0</v>
      </c>
      <c r="BU291" s="132"/>
    </row>
    <row r="292" ht="14.25" customHeight="1">
      <c r="A292" s="132"/>
      <c r="B292" s="512">
        <v>46283</v>
      </c>
      <c r="C292" s="136"/>
      <c r="D292" s="136"/>
      <c r="E292" s="135"/>
      <c r="F292" s="135"/>
      <c r="G292" s="147">
        <f t="shared" si="111"/>
        <v>0</v>
      </c>
      <c r="H292" s="144"/>
      <c r="I292" s="146"/>
      <c r="J292" s="143"/>
      <c r="K292" s="148"/>
      <c r="L292" s="143"/>
      <c r="M292" s="144"/>
      <c r="N292" s="143"/>
      <c r="O292" s="143"/>
      <c r="P292" s="143"/>
      <c r="Q292" s="143"/>
      <c r="R292" s="143"/>
      <c r="S292" s="143"/>
      <c r="T292" s="143"/>
      <c r="U292" s="103">
        <f t="shared" si="112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03">
        <f t="shared" si="113"/>
        <v>0</v>
      </c>
      <c r="AI292" s="136"/>
      <c r="AJ292" s="136"/>
      <c r="AK292" s="136"/>
      <c r="AL292" s="105">
        <f t="shared" si="114"/>
        <v>0</v>
      </c>
      <c r="AM292" s="143"/>
      <c r="AN292" s="143"/>
      <c r="AO292" s="143"/>
      <c r="AP292" s="143"/>
      <c r="AQ292" s="146"/>
      <c r="AR292" s="224">
        <f t="shared" si="120"/>
        <v>0</v>
      </c>
      <c r="AS292" s="274"/>
      <c r="AT292" s="126"/>
      <c r="AU292" s="126"/>
      <c r="AV292" s="126"/>
      <c r="AW292" s="126"/>
      <c r="AX292" s="126"/>
      <c r="AY292" s="274"/>
      <c r="AZ292" s="274"/>
      <c r="BA292" s="274"/>
      <c r="BB292" s="274"/>
      <c r="BC292" s="222">
        <f t="shared" si="116"/>
        <v>0</v>
      </c>
      <c r="BD292" s="140">
        <f t="shared" si="117"/>
        <v>0</v>
      </c>
      <c r="BE292" s="132"/>
      <c r="BF292" s="140">
        <f t="shared" si="118"/>
        <v>0</v>
      </c>
      <c r="BG292" s="141"/>
      <c r="BH292" s="141"/>
      <c r="BI292" s="913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19"/>
        <v>0</v>
      </c>
      <c r="BU292" s="132"/>
    </row>
    <row r="293" ht="14.25" customHeight="1">
      <c r="A293" s="132"/>
      <c r="B293" s="512">
        <v>46284</v>
      </c>
      <c r="C293" s="136"/>
      <c r="D293" s="136"/>
      <c r="E293" s="135"/>
      <c r="F293" s="135"/>
      <c r="G293" s="147">
        <f t="shared" si="111"/>
        <v>0</v>
      </c>
      <c r="H293" s="144"/>
      <c r="I293" s="146"/>
      <c r="J293" s="143"/>
      <c r="K293" s="962"/>
      <c r="L293" s="143"/>
      <c r="M293" s="144"/>
      <c r="N293" s="143"/>
      <c r="O293" s="143"/>
      <c r="P293" s="143"/>
      <c r="Q293" s="143"/>
      <c r="R293" s="143"/>
      <c r="S293" s="143"/>
      <c r="T293" s="143"/>
      <c r="U293" s="103">
        <f t="shared" si="112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03">
        <f t="shared" si="113"/>
        <v>0</v>
      </c>
      <c r="AI293" s="136"/>
      <c r="AJ293" s="136"/>
      <c r="AK293" s="136"/>
      <c r="AL293" s="105">
        <f t="shared" si="114"/>
        <v>0</v>
      </c>
      <c r="AM293" s="143"/>
      <c r="AN293" s="143"/>
      <c r="AO293" s="143"/>
      <c r="AP293" s="143"/>
      <c r="AQ293" s="146"/>
      <c r="AR293" s="224">
        <f t="shared" si="120"/>
        <v>0</v>
      </c>
      <c r="AS293" s="274"/>
      <c r="AT293" s="126"/>
      <c r="AU293" s="126"/>
      <c r="AV293" s="126"/>
      <c r="AW293" s="126"/>
      <c r="AX293" s="126"/>
      <c r="AY293" s="274"/>
      <c r="AZ293" s="274"/>
      <c r="BA293" s="274"/>
      <c r="BB293" s="274"/>
      <c r="BC293" s="222">
        <f t="shared" si="116"/>
        <v>0</v>
      </c>
      <c r="BD293" s="140">
        <f t="shared" si="117"/>
        <v>0</v>
      </c>
      <c r="BE293" s="132"/>
      <c r="BF293" s="140">
        <f t="shared" si="118"/>
        <v>0</v>
      </c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19"/>
        <v>0</v>
      </c>
      <c r="BU293" s="132"/>
    </row>
    <row r="294" ht="14.25" customHeight="1">
      <c r="A294" s="132"/>
      <c r="B294" s="512">
        <v>46285</v>
      </c>
      <c r="C294" s="136"/>
      <c r="D294" s="136"/>
      <c r="E294" s="135"/>
      <c r="F294" s="135"/>
      <c r="G294" s="147">
        <f t="shared" si="111"/>
        <v>0</v>
      </c>
      <c r="H294" s="144"/>
      <c r="I294" s="146"/>
      <c r="J294" s="143"/>
      <c r="K294" s="148"/>
      <c r="L294" s="143"/>
      <c r="M294" s="144"/>
      <c r="N294" s="143"/>
      <c r="O294" s="143"/>
      <c r="P294" s="143"/>
      <c r="Q294" s="143"/>
      <c r="R294" s="143"/>
      <c r="S294" s="143"/>
      <c r="T294" s="143"/>
      <c r="U294" s="103">
        <f t="shared" si="112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03">
        <f t="shared" si="113"/>
        <v>0</v>
      </c>
      <c r="AI294" s="136"/>
      <c r="AJ294" s="136"/>
      <c r="AK294" s="136"/>
      <c r="AL294" s="105">
        <f t="shared" si="114"/>
        <v>0</v>
      </c>
      <c r="AM294" s="143"/>
      <c r="AN294" s="143"/>
      <c r="AO294" s="143"/>
      <c r="AP294" s="143"/>
      <c r="AQ294" s="146"/>
      <c r="AR294" s="224">
        <f t="shared" si="120"/>
        <v>0</v>
      </c>
      <c r="AS294" s="274"/>
      <c r="AT294" s="126"/>
      <c r="AU294" s="126"/>
      <c r="AV294" s="126"/>
      <c r="AW294" s="126"/>
      <c r="AX294" s="126"/>
      <c r="AY294" s="274"/>
      <c r="AZ294" s="274"/>
      <c r="BA294" s="274"/>
      <c r="BB294" s="274"/>
      <c r="BC294" s="222">
        <f t="shared" si="116"/>
        <v>0</v>
      </c>
      <c r="BD294" s="140">
        <f t="shared" si="117"/>
        <v>0</v>
      </c>
      <c r="BE294" s="132"/>
      <c r="BF294" s="140">
        <f t="shared" si="118"/>
        <v>0</v>
      </c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19"/>
        <v>0</v>
      </c>
      <c r="BU294" s="132"/>
    </row>
    <row r="295" ht="14.25" customHeight="1">
      <c r="A295" s="132"/>
      <c r="B295" s="512">
        <v>46286</v>
      </c>
      <c r="C295" s="136"/>
      <c r="D295" s="136"/>
      <c r="E295" s="135"/>
      <c r="F295" s="135"/>
      <c r="G295" s="147">
        <f t="shared" si="111"/>
        <v>0</v>
      </c>
      <c r="H295" s="144"/>
      <c r="I295" s="146"/>
      <c r="J295" s="143"/>
      <c r="K295" s="148"/>
      <c r="L295" s="143"/>
      <c r="M295" s="144"/>
      <c r="N295" s="143"/>
      <c r="O295" s="143"/>
      <c r="P295" s="143"/>
      <c r="Q295" s="143"/>
      <c r="R295" s="143"/>
      <c r="S295" s="143"/>
      <c r="T295" s="143"/>
      <c r="U295" s="103">
        <f t="shared" si="112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03">
        <f t="shared" si="113"/>
        <v>0</v>
      </c>
      <c r="AI295" s="136"/>
      <c r="AJ295" s="136"/>
      <c r="AK295" s="136"/>
      <c r="AL295" s="105">
        <f t="shared" si="114"/>
        <v>0</v>
      </c>
      <c r="AM295" s="143"/>
      <c r="AN295" s="143"/>
      <c r="AO295" s="143"/>
      <c r="AP295" s="143"/>
      <c r="AQ295" s="146"/>
      <c r="AR295" s="224">
        <f t="shared" si="120"/>
        <v>0</v>
      </c>
      <c r="AS295" s="274"/>
      <c r="AT295" s="126"/>
      <c r="AU295" s="126"/>
      <c r="AV295" s="126"/>
      <c r="AW295" s="126"/>
      <c r="AX295" s="126"/>
      <c r="AY295" s="274"/>
      <c r="AZ295" s="274"/>
      <c r="BA295" s="274"/>
      <c r="BB295" s="274"/>
      <c r="BC295" s="222">
        <f t="shared" si="116"/>
        <v>0</v>
      </c>
      <c r="BD295" s="140">
        <f t="shared" si="117"/>
        <v>0</v>
      </c>
      <c r="BE295" s="132"/>
      <c r="BF295" s="140">
        <f t="shared" si="118"/>
        <v>0</v>
      </c>
      <c r="BG295" s="141"/>
      <c r="BH295" s="141"/>
      <c r="BI295" s="913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19"/>
        <v>0</v>
      </c>
      <c r="BU295" s="132"/>
    </row>
    <row r="296" ht="14.25" customHeight="1">
      <c r="A296" s="132"/>
      <c r="B296" s="512">
        <v>46287</v>
      </c>
      <c r="C296" s="136"/>
      <c r="D296" s="136"/>
      <c r="E296" s="135"/>
      <c r="F296" s="135"/>
      <c r="G296" s="147">
        <f t="shared" si="111"/>
        <v>0</v>
      </c>
      <c r="H296" s="144"/>
      <c r="I296" s="146"/>
      <c r="J296" s="143"/>
      <c r="K296" s="148"/>
      <c r="L296" s="143"/>
      <c r="M296" s="961"/>
      <c r="N296" s="143"/>
      <c r="O296" s="143"/>
      <c r="P296" s="143"/>
      <c r="Q296" s="143"/>
      <c r="R296" s="143"/>
      <c r="S296" s="143"/>
      <c r="T296" s="143"/>
      <c r="U296" s="103">
        <f t="shared" si="112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03">
        <f t="shared" si="113"/>
        <v>0</v>
      </c>
      <c r="AI296" s="136"/>
      <c r="AJ296" s="136"/>
      <c r="AK296" s="136"/>
      <c r="AL296" s="105">
        <f t="shared" si="114"/>
        <v>0</v>
      </c>
      <c r="AM296" s="143"/>
      <c r="AN296" s="143"/>
      <c r="AO296" s="143"/>
      <c r="AP296" s="143"/>
      <c r="AQ296" s="146"/>
      <c r="AR296" s="224">
        <f t="shared" si="120"/>
        <v>0</v>
      </c>
      <c r="AS296" s="274"/>
      <c r="AT296" s="126"/>
      <c r="AU296" s="126"/>
      <c r="AV296" s="126"/>
      <c r="AW296" s="126"/>
      <c r="AX296" s="126"/>
      <c r="AY296" s="274"/>
      <c r="AZ296" s="274"/>
      <c r="BA296" s="274"/>
      <c r="BB296" s="274"/>
      <c r="BC296" s="222">
        <f t="shared" si="116"/>
        <v>0</v>
      </c>
      <c r="BD296" s="140">
        <f t="shared" si="117"/>
        <v>0</v>
      </c>
      <c r="BE296" s="132"/>
      <c r="BF296" s="140">
        <f t="shared" si="118"/>
        <v>0</v>
      </c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19"/>
        <v>0</v>
      </c>
      <c r="BU296" s="132"/>
    </row>
    <row r="297" ht="14.25" customHeight="1">
      <c r="A297" s="132"/>
      <c r="B297" s="512">
        <v>46288</v>
      </c>
      <c r="C297" s="136"/>
      <c r="D297" s="136"/>
      <c r="E297" s="135"/>
      <c r="F297" s="135"/>
      <c r="G297" s="147">
        <f t="shared" si="111"/>
        <v>0</v>
      </c>
      <c r="H297" s="144"/>
      <c r="I297" s="146"/>
      <c r="J297" s="143"/>
      <c r="K297" s="96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12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03">
        <f t="shared" si="113"/>
        <v>0</v>
      </c>
      <c r="AI297" s="136"/>
      <c r="AJ297" s="136"/>
      <c r="AK297" s="136"/>
      <c r="AL297" s="105">
        <f t="shared" si="114"/>
        <v>0</v>
      </c>
      <c r="AM297" s="143"/>
      <c r="AN297" s="143"/>
      <c r="AO297" s="143"/>
      <c r="AP297" s="143"/>
      <c r="AQ297" s="146"/>
      <c r="AR297" s="224">
        <f t="shared" si="120"/>
        <v>0</v>
      </c>
      <c r="AS297" s="274"/>
      <c r="AT297" s="126"/>
      <c r="AU297" s="126"/>
      <c r="AV297" s="126"/>
      <c r="AW297" s="126"/>
      <c r="AX297" s="126"/>
      <c r="AY297" s="274"/>
      <c r="AZ297" s="274"/>
      <c r="BA297" s="274"/>
      <c r="BB297" s="274"/>
      <c r="BC297" s="222">
        <f t="shared" si="116"/>
        <v>0</v>
      </c>
      <c r="BD297" s="140">
        <f t="shared" si="117"/>
        <v>0</v>
      </c>
      <c r="BE297" s="132"/>
      <c r="BF297" s="140">
        <f t="shared" si="118"/>
        <v>0</v>
      </c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19"/>
        <v>0</v>
      </c>
      <c r="BU297" s="132"/>
    </row>
    <row r="298" ht="14.25" customHeight="1">
      <c r="A298" s="132"/>
      <c r="B298" s="512">
        <v>46289</v>
      </c>
      <c r="C298" s="136"/>
      <c r="D298" s="136"/>
      <c r="E298" s="135"/>
      <c r="F298" s="135"/>
      <c r="G298" s="147">
        <f t="shared" si="111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12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03">
        <f t="shared" si="113"/>
        <v>0</v>
      </c>
      <c r="AI298" s="136"/>
      <c r="AJ298" s="136"/>
      <c r="AK298" s="136"/>
      <c r="AL298" s="105">
        <f t="shared" si="114"/>
        <v>0</v>
      </c>
      <c r="AM298" s="143"/>
      <c r="AN298" s="143"/>
      <c r="AO298" s="143"/>
      <c r="AP298" s="143"/>
      <c r="AQ298" s="146"/>
      <c r="AR298" s="224">
        <f t="shared" si="120"/>
        <v>0</v>
      </c>
      <c r="AS298" s="274"/>
      <c r="AT298" s="126"/>
      <c r="AU298" s="126"/>
      <c r="AV298" s="126"/>
      <c r="AW298" s="126"/>
      <c r="AX298" s="126"/>
      <c r="AY298" s="274"/>
      <c r="AZ298" s="274"/>
      <c r="BA298" s="274"/>
      <c r="BB298" s="274"/>
      <c r="BC298" s="222">
        <f t="shared" si="116"/>
        <v>0</v>
      </c>
      <c r="BD298" s="140">
        <f t="shared" si="117"/>
        <v>0</v>
      </c>
      <c r="BE298" s="132"/>
      <c r="BF298" s="140">
        <f t="shared" si="118"/>
        <v>0</v>
      </c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19"/>
        <v>0</v>
      </c>
      <c r="BU298" s="132"/>
    </row>
    <row r="299" ht="14.25" customHeight="1">
      <c r="A299" s="132"/>
      <c r="B299" s="512">
        <v>46290</v>
      </c>
      <c r="C299" s="136"/>
      <c r="D299" s="136"/>
      <c r="E299" s="135"/>
      <c r="F299" s="135"/>
      <c r="G299" s="147">
        <f t="shared" si="111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12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03">
        <f t="shared" si="113"/>
        <v>0</v>
      </c>
      <c r="AI299" s="136"/>
      <c r="AJ299" s="136"/>
      <c r="AK299" s="136"/>
      <c r="AL299" s="105">
        <f t="shared" si="114"/>
        <v>0</v>
      </c>
      <c r="AM299" s="143"/>
      <c r="AN299" s="143"/>
      <c r="AO299" s="143"/>
      <c r="AP299" s="143"/>
      <c r="AQ299" s="146"/>
      <c r="AR299" s="224">
        <f t="shared" si="120"/>
        <v>0</v>
      </c>
      <c r="AS299" s="274"/>
      <c r="AT299" s="126"/>
      <c r="AU299" s="126"/>
      <c r="AV299" s="126"/>
      <c r="AW299" s="126"/>
      <c r="AX299" s="126"/>
      <c r="AY299" s="274"/>
      <c r="AZ299" s="274"/>
      <c r="BA299" s="274"/>
      <c r="BB299" s="274"/>
      <c r="BC299" s="222">
        <f t="shared" si="116"/>
        <v>0</v>
      </c>
      <c r="BD299" s="140">
        <f t="shared" si="117"/>
        <v>0</v>
      </c>
      <c r="BE299" s="132"/>
      <c r="BF299" s="140">
        <f t="shared" si="118"/>
        <v>0</v>
      </c>
      <c r="BG299" s="964"/>
      <c r="BH299" s="141"/>
      <c r="BI299" s="913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19"/>
        <v>0</v>
      </c>
      <c r="BU299" s="132"/>
    </row>
    <row r="300" ht="14.25" customHeight="1">
      <c r="A300" s="132"/>
      <c r="B300" s="512">
        <v>46291</v>
      </c>
      <c r="C300" s="133"/>
      <c r="D300" s="136"/>
      <c r="E300" s="135"/>
      <c r="F300" s="135"/>
      <c r="G300" s="147">
        <f t="shared" si="111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43"/>
      <c r="U300" s="103">
        <f t="shared" si="112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03">
        <f t="shared" si="113"/>
        <v>0</v>
      </c>
      <c r="AI300" s="136"/>
      <c r="AJ300" s="136"/>
      <c r="AK300" s="136"/>
      <c r="AL300" s="105">
        <f t="shared" si="114"/>
        <v>0</v>
      </c>
      <c r="AM300" s="143"/>
      <c r="AN300" s="143"/>
      <c r="AO300" s="143"/>
      <c r="AP300" s="143"/>
      <c r="AQ300" s="146"/>
      <c r="AR300" s="224">
        <f t="shared" si="120"/>
        <v>0</v>
      </c>
      <c r="AS300" s="274"/>
      <c r="AT300" s="126"/>
      <c r="AU300" s="126"/>
      <c r="AV300" s="126"/>
      <c r="AW300" s="126"/>
      <c r="AX300" s="126"/>
      <c r="AY300" s="274"/>
      <c r="AZ300" s="274"/>
      <c r="BA300" s="274"/>
      <c r="BB300" s="274"/>
      <c r="BC300" s="222">
        <f t="shared" si="116"/>
        <v>0</v>
      </c>
      <c r="BD300" s="140">
        <f t="shared" si="117"/>
        <v>0</v>
      </c>
      <c r="BE300" s="132"/>
      <c r="BF300" s="140">
        <f t="shared" si="118"/>
        <v>0</v>
      </c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19"/>
        <v>0</v>
      </c>
      <c r="BU300" s="132"/>
    </row>
    <row r="301" ht="14.25" customHeight="1">
      <c r="A301" s="132"/>
      <c r="B301" s="512">
        <v>46292</v>
      </c>
      <c r="C301" s="133"/>
      <c r="D301" s="136"/>
      <c r="E301" s="135"/>
      <c r="F301" s="135"/>
      <c r="G301" s="147">
        <f t="shared" si="111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03">
        <f t="shared" si="112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03">
        <f t="shared" si="113"/>
        <v>0</v>
      </c>
      <c r="AI301" s="136"/>
      <c r="AJ301" s="136"/>
      <c r="AK301" s="136"/>
      <c r="AL301" s="105">
        <f t="shared" si="114"/>
        <v>0</v>
      </c>
      <c r="AM301" s="143"/>
      <c r="AN301" s="143"/>
      <c r="AO301" s="143"/>
      <c r="AP301" s="143"/>
      <c r="AQ301" s="146"/>
      <c r="AR301" s="224">
        <f t="shared" si="120"/>
        <v>0</v>
      </c>
      <c r="AS301" s="274"/>
      <c r="AT301" s="126"/>
      <c r="AU301" s="126"/>
      <c r="AV301" s="126"/>
      <c r="AW301" s="126"/>
      <c r="AX301" s="126"/>
      <c r="AY301" s="274"/>
      <c r="AZ301" s="274"/>
      <c r="BA301" s="274"/>
      <c r="BB301" s="274"/>
      <c r="BC301" s="222">
        <f t="shared" si="116"/>
        <v>0</v>
      </c>
      <c r="BD301" s="140">
        <f t="shared" si="117"/>
        <v>0</v>
      </c>
      <c r="BE301" s="132"/>
      <c r="BF301" s="140">
        <f t="shared" si="118"/>
        <v>0</v>
      </c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19"/>
        <v>0</v>
      </c>
      <c r="BU301" s="132"/>
    </row>
    <row r="302" ht="14.25" customHeight="1">
      <c r="A302" s="132"/>
      <c r="B302" s="512">
        <v>46293</v>
      </c>
      <c r="C302" s="133"/>
      <c r="D302" s="136"/>
      <c r="E302" s="135"/>
      <c r="F302" s="135"/>
      <c r="G302" s="147">
        <f t="shared" si="111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12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03">
        <f t="shared" si="113"/>
        <v>0</v>
      </c>
      <c r="AI302" s="136"/>
      <c r="AJ302" s="136"/>
      <c r="AK302" s="136"/>
      <c r="AL302" s="105">
        <f t="shared" si="114"/>
        <v>0</v>
      </c>
      <c r="AM302" s="143"/>
      <c r="AN302" s="143"/>
      <c r="AO302" s="143"/>
      <c r="AP302" s="143"/>
      <c r="AQ302" s="146"/>
      <c r="AR302" s="224">
        <f t="shared" si="120"/>
        <v>0</v>
      </c>
      <c r="AS302" s="274"/>
      <c r="AT302" s="126"/>
      <c r="AU302" s="126"/>
      <c r="AV302" s="126"/>
      <c r="AW302" s="126"/>
      <c r="AX302" s="126"/>
      <c r="AY302" s="274"/>
      <c r="AZ302" s="274"/>
      <c r="BA302" s="274"/>
      <c r="BB302" s="274"/>
      <c r="BC302" s="222">
        <f t="shared" si="116"/>
        <v>0</v>
      </c>
      <c r="BD302" s="140">
        <f t="shared" si="117"/>
        <v>0</v>
      </c>
      <c r="BE302" s="132"/>
      <c r="BF302" s="140">
        <f t="shared" si="118"/>
        <v>0</v>
      </c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19"/>
        <v>0</v>
      </c>
      <c r="BU302" s="132"/>
    </row>
    <row r="303" ht="14.25" customHeight="1">
      <c r="A303" s="132"/>
      <c r="B303" s="512">
        <v>46294</v>
      </c>
      <c r="C303" s="136"/>
      <c r="D303" s="136"/>
      <c r="E303" s="135"/>
      <c r="F303" s="135"/>
      <c r="G303" s="147">
        <f t="shared" si="111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12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03">
        <f t="shared" si="113"/>
        <v>0</v>
      </c>
      <c r="AI303" s="136"/>
      <c r="AJ303" s="136"/>
      <c r="AK303" s="136"/>
      <c r="AL303" s="105">
        <f t="shared" si="114"/>
        <v>0</v>
      </c>
      <c r="AM303" s="143"/>
      <c r="AN303" s="143"/>
      <c r="AO303" s="143"/>
      <c r="AP303" s="143"/>
      <c r="AQ303" s="146"/>
      <c r="AR303" s="224">
        <f t="shared" si="120"/>
        <v>0</v>
      </c>
      <c r="AS303" s="274"/>
      <c r="AT303" s="126"/>
      <c r="AU303" s="126"/>
      <c r="AV303" s="126"/>
      <c r="AW303" s="126"/>
      <c r="AX303" s="126"/>
      <c r="AY303" s="274"/>
      <c r="AZ303" s="274"/>
      <c r="BA303" s="274"/>
      <c r="BB303" s="274"/>
      <c r="BC303" s="222">
        <f t="shared" si="116"/>
        <v>0</v>
      </c>
      <c r="BD303" s="140">
        <f t="shared" si="117"/>
        <v>0</v>
      </c>
      <c r="BE303" s="132"/>
      <c r="BF303" s="140">
        <f t="shared" si="118"/>
        <v>0</v>
      </c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19"/>
        <v>0</v>
      </c>
      <c r="BU303" s="132"/>
    </row>
    <row r="304" ht="14.25" customHeight="1">
      <c r="A304" s="132"/>
      <c r="B304" s="512">
        <v>46295</v>
      </c>
      <c r="C304" s="136"/>
      <c r="D304" s="136"/>
      <c r="E304" s="135"/>
      <c r="F304" s="135"/>
      <c r="G304" s="147">
        <f t="shared" si="111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12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03">
        <f t="shared" si="113"/>
        <v>0</v>
      </c>
      <c r="AI304" s="136"/>
      <c r="AJ304" s="136"/>
      <c r="AK304" s="136"/>
      <c r="AL304" s="105">
        <f t="shared" si="114"/>
        <v>0</v>
      </c>
      <c r="AM304" s="143"/>
      <c r="AN304" s="143"/>
      <c r="AO304" s="143"/>
      <c r="AP304" s="143"/>
      <c r="AQ304" s="146"/>
      <c r="AR304" s="224">
        <f t="shared" si="120"/>
        <v>0</v>
      </c>
      <c r="AS304" s="296"/>
      <c r="AT304" s="138"/>
      <c r="AU304" s="138"/>
      <c r="AV304" s="138"/>
      <c r="AW304" s="138"/>
      <c r="AX304" s="138"/>
      <c r="AY304" s="274"/>
      <c r="AZ304" s="274"/>
      <c r="BA304" s="274"/>
      <c r="BB304" s="274"/>
      <c r="BC304" s="222">
        <f t="shared" si="116"/>
        <v>0</v>
      </c>
      <c r="BD304" s="140">
        <f t="shared" si="117"/>
        <v>0</v>
      </c>
      <c r="BE304" s="132"/>
      <c r="BF304" s="140">
        <f t="shared" si="118"/>
        <v>0</v>
      </c>
      <c r="BG304" s="141"/>
      <c r="BH304" s="141"/>
      <c r="BI304" s="913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19"/>
        <v>0</v>
      </c>
      <c r="BU304" s="132"/>
    </row>
    <row r="305" ht="14.25" customHeight="1">
      <c r="A305" s="3"/>
      <c r="B305" s="2"/>
      <c r="C305" s="166">
        <f ref="C305:U305" t="shared" si="121">SUM(C275:C304)</f>
        <v>0</v>
      </c>
      <c r="D305" s="166">
        <f t="shared" si="121"/>
        <v>0</v>
      </c>
      <c r="E305" s="166">
        <f t="shared" si="121"/>
        <v>0</v>
      </c>
      <c r="F305" s="166">
        <f t="shared" si="121"/>
        <v>0</v>
      </c>
      <c r="G305" s="166">
        <f t="shared" si="121"/>
        <v>0</v>
      </c>
      <c r="H305" s="166">
        <f t="shared" si="121"/>
        <v>0</v>
      </c>
      <c r="I305" s="166">
        <f t="shared" si="121"/>
        <v>0</v>
      </c>
      <c r="J305" s="166">
        <f t="shared" si="121"/>
        <v>0</v>
      </c>
      <c r="K305" s="166">
        <f t="shared" si="121"/>
        <v>0</v>
      </c>
      <c r="L305" s="166">
        <f t="shared" si="121"/>
        <v>0</v>
      </c>
      <c r="M305" s="166">
        <f t="shared" si="121"/>
        <v>0</v>
      </c>
      <c r="N305" s="166">
        <f t="shared" si="121"/>
        <v>0</v>
      </c>
      <c r="O305" s="166">
        <f t="shared" si="121"/>
        <v>0</v>
      </c>
      <c r="P305" s="166">
        <f t="shared" si="121"/>
        <v>0</v>
      </c>
      <c r="Q305" s="166">
        <f t="shared" si="121"/>
        <v>0</v>
      </c>
      <c r="R305" s="166">
        <f t="shared" si="121"/>
        <v>0</v>
      </c>
      <c r="S305" s="166">
        <f t="shared" si="121"/>
        <v>0</v>
      </c>
      <c r="T305" s="166">
        <f t="shared" si="121"/>
        <v>0</v>
      </c>
      <c r="U305" s="166">
        <f t="shared" si="121"/>
        <v>0</v>
      </c>
      <c r="V305" s="166"/>
      <c r="W305" s="166"/>
      <c r="X305" s="166">
        <f ref="X305:AJ305" t="shared" si="122">SUM(X275:X304)</f>
        <v>0</v>
      </c>
      <c r="Y305" s="166">
        <f t="shared" si="122"/>
        <v>0</v>
      </c>
      <c r="Z305" s="166">
        <f t="shared" si="122"/>
        <v>0</v>
      </c>
      <c r="AA305" s="166">
        <f t="shared" si="122"/>
        <v>0</v>
      </c>
      <c r="AB305" s="166">
        <f t="shared" si="122"/>
        <v>0</v>
      </c>
      <c r="AC305" s="166">
        <f t="shared" si="122"/>
        <v>0</v>
      </c>
      <c r="AD305" s="166">
        <f t="shared" si="122"/>
        <v>0</v>
      </c>
      <c r="AE305" s="166">
        <f t="shared" si="122"/>
        <v>0</v>
      </c>
      <c r="AF305" s="166">
        <f t="shared" si="122"/>
        <v>0</v>
      </c>
      <c r="AG305" s="166">
        <f t="shared" si="122"/>
        <v>0</v>
      </c>
      <c r="AH305" s="166">
        <f t="shared" si="122"/>
        <v>0</v>
      </c>
      <c r="AI305" s="166">
        <f t="shared" si="122"/>
        <v>0</v>
      </c>
      <c r="AJ305" s="166">
        <f t="shared" si="122"/>
        <v>0</v>
      </c>
      <c r="AK305" s="166"/>
      <c r="AL305" s="166">
        <f ref="AL305:AX305" t="shared" si="123">SUM(AL275:AL304)</f>
        <v>0</v>
      </c>
      <c r="AM305" s="166">
        <f t="shared" si="123"/>
        <v>0</v>
      </c>
      <c r="AN305" s="166">
        <f t="shared" si="123"/>
        <v>0</v>
      </c>
      <c r="AO305" s="166">
        <f t="shared" si="123"/>
        <v>0</v>
      </c>
      <c r="AP305" s="166">
        <f t="shared" si="123"/>
        <v>0</v>
      </c>
      <c r="AQ305" s="166">
        <f t="shared" si="123"/>
        <v>0</v>
      </c>
      <c r="AR305" s="166">
        <f t="shared" si="123"/>
        <v>0</v>
      </c>
      <c r="AS305" s="166">
        <f t="shared" si="123"/>
        <v>0</v>
      </c>
      <c r="AT305" s="166">
        <f t="shared" si="123"/>
        <v>0</v>
      </c>
      <c r="AU305" s="166">
        <f t="shared" si="123"/>
        <v>0</v>
      </c>
      <c r="AV305" s="166">
        <f t="shared" si="123"/>
        <v>0</v>
      </c>
      <c r="AW305" s="166">
        <f t="shared" si="123"/>
        <v>0</v>
      </c>
      <c r="AX305" s="166">
        <f t="shared" si="123"/>
        <v>0</v>
      </c>
      <c r="AY305" s="166"/>
      <c r="AZ305" s="166"/>
      <c r="BA305" s="166"/>
      <c r="BB305" s="166"/>
      <c r="BC305" s="166">
        <f ref="BC305:BD305" t="shared" si="124">SUM(BC275:BC304)</f>
        <v>0</v>
      </c>
      <c r="BD305" s="166">
        <f t="shared" si="124"/>
        <v>0</v>
      </c>
      <c r="BE305" s="3"/>
      <c r="BF305" s="172">
        <f ref="BF305:BI305" t="shared" si="125">SUM(BF275:BF304)</f>
        <v>0</v>
      </c>
      <c r="BG305" s="166">
        <f t="shared" si="125"/>
        <v>0</v>
      </c>
      <c r="BH305" s="166">
        <f t="shared" si="125"/>
        <v>0</v>
      </c>
      <c r="BI305" s="166">
        <f t="shared" si="125"/>
        <v>0</v>
      </c>
      <c r="BJ305" s="166"/>
      <c r="BK305" s="166"/>
      <c r="BL305" s="166"/>
      <c r="BM305" s="166"/>
      <c r="BN305" s="166"/>
      <c r="BO305" s="166"/>
      <c r="BP305" s="166">
        <f ref="BP305:BR305" t="shared" si="126">SUM(BP275:BP304)</f>
        <v>0</v>
      </c>
      <c r="BQ305" s="166">
        <f t="shared" si="126"/>
        <v>0</v>
      </c>
      <c r="BR305" s="166">
        <f t="shared" si="126"/>
        <v>0</v>
      </c>
      <c r="BS305" s="166"/>
      <c r="BT305" s="166">
        <f>SUM(BT275:BT304)</f>
        <v>0</v>
      </c>
      <c r="BU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96"/>
      <c r="AI306" s="96"/>
      <c r="AJ306" s="3"/>
      <c r="AK306" s="3"/>
      <c r="AL306" s="4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</row>
    <row r="307" ht="14.25" customHeight="1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176"/>
      <c r="AI307" s="3"/>
      <c r="AJ307" s="3"/>
      <c r="AK307" s="3"/>
      <c r="AL307" s="4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ht="14.25" customHeight="1">
      <c r="A308" s="3"/>
      <c r="B308" s="512">
        <v>46296</v>
      </c>
      <c r="C308" s="104"/>
      <c r="D308" s="104"/>
      <c r="E308" s="97"/>
      <c r="F308" s="97"/>
      <c r="G308" s="265">
        <f ref="G308:G338" t="shared" si="127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6"/>
      <c r="U308" s="189">
        <f ref="U308:U338" t="shared" si="128">SUM(H308:T308)</f>
        <v>0</v>
      </c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6"/>
      <c r="AH308" s="189">
        <f ref="AH308:AH338" t="shared" si="129">SUM(V308:AG308)</f>
        <v>0</v>
      </c>
      <c r="AI308" s="104"/>
      <c r="AJ308" s="104"/>
      <c r="AK308" s="104"/>
      <c r="AL308" s="191">
        <f ref="AL308:AL338" t="shared" si="130">SUM(AI308:AK308)</f>
        <v>0</v>
      </c>
      <c r="AM308" s="186"/>
      <c r="AN308" s="186"/>
      <c r="AO308" s="186"/>
      <c r="AP308" s="186"/>
      <c r="AQ308" s="193"/>
      <c r="AR308" s="266">
        <f ref="AR308:AR338" t="shared" si="131">+G308-U308-AH308-AL308-AM308-AO308-AP308-AQ308</f>
        <v>0</v>
      </c>
      <c r="AS308" s="269"/>
      <c r="AT308" s="109"/>
      <c r="AU308" s="109"/>
      <c r="AV308" s="109"/>
      <c r="AW308" s="109"/>
      <c r="AX308" s="109"/>
      <c r="AY308" s="270"/>
      <c r="AZ308" s="269"/>
      <c r="BA308" s="269"/>
      <c r="BB308" s="269"/>
      <c r="BC308" s="272">
        <f ref="BC308:BC338" t="shared" si="132">SUM(AS308:BB308)-BA308</f>
        <v>0</v>
      </c>
      <c r="BD308" s="114">
        <f ref="BD308:BD338" t="shared" si="133">+AR308-BC308</f>
        <v>0</v>
      </c>
      <c r="BE308" s="96"/>
      <c r="BF308" s="114">
        <f ref="BF308:BF338" t="shared" si="134">SUM(BG308:BS308)</f>
        <v>0</v>
      </c>
      <c r="BG308" s="220"/>
      <c r="BH308" s="220"/>
      <c r="BI308" s="220"/>
      <c r="BJ308" s="220"/>
      <c r="BK308" s="220"/>
      <c r="BL308" s="220"/>
      <c r="BM308" s="220"/>
      <c r="BN308" s="220"/>
      <c r="BO308" s="220"/>
      <c r="BP308" s="220"/>
      <c r="BQ308" s="220"/>
      <c r="BR308" s="220"/>
      <c r="BS308" s="115"/>
      <c r="BT308" s="116">
        <f ref="BT308:BT338" t="shared" si="135">+BD308-BF308</f>
        <v>0</v>
      </c>
      <c r="BU308" s="3"/>
    </row>
    <row r="309" ht="14.25" customHeight="1">
      <c r="A309" s="3"/>
      <c r="B309" s="512">
        <v>46297</v>
      </c>
      <c r="C309" s="123"/>
      <c r="D309" s="123"/>
      <c r="E309" s="120"/>
      <c r="F309" s="120"/>
      <c r="G309" s="147">
        <f t="shared" si="12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28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03">
        <f t="shared" si="129"/>
        <v>0</v>
      </c>
      <c r="AI309" s="123"/>
      <c r="AJ309" s="123"/>
      <c r="AK309" s="123"/>
      <c r="AL309" s="105">
        <f t="shared" si="130"/>
        <v>0</v>
      </c>
      <c r="AM309" s="143"/>
      <c r="AN309" s="143"/>
      <c r="AO309" s="143"/>
      <c r="AP309" s="143"/>
      <c r="AQ309" s="146"/>
      <c r="AR309" s="224">
        <f t="shared" si="131"/>
        <v>0</v>
      </c>
      <c r="AS309" s="274"/>
      <c r="AT309" s="126"/>
      <c r="AU309" s="126"/>
      <c r="AV309" s="126"/>
      <c r="AW309" s="126"/>
      <c r="AX309" s="126"/>
      <c r="AY309" s="275"/>
      <c r="AZ309" s="274"/>
      <c r="BA309" s="274"/>
      <c r="BB309" s="274"/>
      <c r="BC309" s="222">
        <f t="shared" si="132"/>
        <v>0</v>
      </c>
      <c r="BD309" s="113">
        <f t="shared" si="133"/>
        <v>0</v>
      </c>
      <c r="BE309" s="3"/>
      <c r="BF309" s="113">
        <f t="shared" si="134"/>
        <v>0</v>
      </c>
      <c r="BG309" s="225"/>
      <c r="BH309" s="225"/>
      <c r="BI309" s="225"/>
      <c r="BJ309" s="225"/>
      <c r="BK309" s="225"/>
      <c r="BL309" s="225"/>
      <c r="BM309" s="225"/>
      <c r="BN309" s="225"/>
      <c r="BO309" s="225"/>
      <c r="BP309" s="225"/>
      <c r="BQ309" s="225"/>
      <c r="BR309" s="225"/>
      <c r="BS309" s="129"/>
      <c r="BT309" s="130">
        <f t="shared" si="135"/>
        <v>0</v>
      </c>
      <c r="BU309" s="3"/>
    </row>
    <row r="310" ht="14.25" customHeight="1">
      <c r="A310" s="3"/>
      <c r="B310" s="512">
        <v>46298</v>
      </c>
      <c r="C310" s="123"/>
      <c r="D310" s="123"/>
      <c r="E310" s="120"/>
      <c r="F310" s="120"/>
      <c r="G310" s="147">
        <f t="shared" si="127"/>
        <v>0</v>
      </c>
      <c r="H310" s="144"/>
      <c r="I310" s="143"/>
      <c r="J310" s="143"/>
      <c r="K310" s="766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28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03">
        <f t="shared" si="129"/>
        <v>0</v>
      </c>
      <c r="AI310" s="123"/>
      <c r="AJ310" s="123"/>
      <c r="AK310" s="123"/>
      <c r="AL310" s="105">
        <f t="shared" si="130"/>
        <v>0</v>
      </c>
      <c r="AM310" s="143"/>
      <c r="AN310" s="143"/>
      <c r="AO310" s="143"/>
      <c r="AP310" s="143"/>
      <c r="AQ310" s="146"/>
      <c r="AR310" s="224">
        <f t="shared" si="131"/>
        <v>0</v>
      </c>
      <c r="AS310" s="274"/>
      <c r="AT310" s="126"/>
      <c r="AU310" s="126"/>
      <c r="AV310" s="126"/>
      <c r="AW310" s="126"/>
      <c r="AX310" s="126"/>
      <c r="AY310" s="275"/>
      <c r="AZ310" s="274"/>
      <c r="BA310" s="274"/>
      <c r="BB310" s="274"/>
      <c r="BC310" s="222">
        <f t="shared" si="132"/>
        <v>0</v>
      </c>
      <c r="BD310" s="113">
        <f t="shared" si="133"/>
        <v>0</v>
      </c>
      <c r="BE310" s="3"/>
      <c r="BF310" s="113">
        <f t="shared" si="134"/>
        <v>0</v>
      </c>
      <c r="BG310" s="225"/>
      <c r="BH310" s="225"/>
      <c r="BI310" s="225"/>
      <c r="BJ310" s="225"/>
      <c r="BK310" s="225"/>
      <c r="BL310" s="225"/>
      <c r="BM310" s="225"/>
      <c r="BN310" s="225"/>
      <c r="BO310" s="225"/>
      <c r="BP310" s="225"/>
      <c r="BQ310" s="225"/>
      <c r="BR310" s="225"/>
      <c r="BS310" s="129"/>
      <c r="BT310" s="130">
        <f t="shared" si="135"/>
        <v>0</v>
      </c>
      <c r="BU310" s="3"/>
    </row>
    <row r="311" ht="14.25" customHeight="1">
      <c r="A311" s="3"/>
      <c r="B311" s="512">
        <v>46299</v>
      </c>
      <c r="C311" s="123"/>
      <c r="D311" s="123"/>
      <c r="E311" s="120"/>
      <c r="F311" s="120"/>
      <c r="G311" s="147">
        <f t="shared" si="12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28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03">
        <f t="shared" si="129"/>
        <v>0</v>
      </c>
      <c r="AI311" s="123"/>
      <c r="AJ311" s="123"/>
      <c r="AK311" s="123"/>
      <c r="AL311" s="105">
        <f t="shared" si="130"/>
        <v>0</v>
      </c>
      <c r="AM311" s="143"/>
      <c r="AN311" s="143"/>
      <c r="AO311" s="143"/>
      <c r="AP311" s="143"/>
      <c r="AQ311" s="146"/>
      <c r="AR311" s="224">
        <f t="shared" si="131"/>
        <v>0</v>
      </c>
      <c r="AS311" s="274"/>
      <c r="AT311" s="126"/>
      <c r="AU311" s="126"/>
      <c r="AV311" s="126"/>
      <c r="AW311" s="126"/>
      <c r="AX311" s="126"/>
      <c r="AY311" s="275"/>
      <c r="AZ311" s="274"/>
      <c r="BA311" s="274"/>
      <c r="BB311" s="274"/>
      <c r="BC311" s="222">
        <f t="shared" si="132"/>
        <v>0</v>
      </c>
      <c r="BD311" s="113">
        <f t="shared" si="133"/>
        <v>0</v>
      </c>
      <c r="BE311" s="3"/>
      <c r="BF311" s="113">
        <f t="shared" si="134"/>
        <v>0</v>
      </c>
      <c r="BG311" s="225"/>
      <c r="BH311" s="225"/>
      <c r="BI311" s="225"/>
      <c r="BJ311" s="225"/>
      <c r="BK311" s="225"/>
      <c r="BL311" s="225"/>
      <c r="BM311" s="225"/>
      <c r="BN311" s="225"/>
      <c r="BO311" s="225"/>
      <c r="BP311" s="225"/>
      <c r="BQ311" s="225"/>
      <c r="BR311" s="225"/>
      <c r="BS311" s="129"/>
      <c r="BT311" s="130">
        <f t="shared" si="135"/>
        <v>0</v>
      </c>
      <c r="BU311" s="3"/>
    </row>
    <row r="312" ht="14.25" customHeight="1">
      <c r="A312" s="3"/>
      <c r="B312" s="512">
        <v>46300</v>
      </c>
      <c r="C312" s="123"/>
      <c r="D312" s="123"/>
      <c r="E312" s="120"/>
      <c r="F312" s="120"/>
      <c r="G312" s="147">
        <f t="shared" si="12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28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03">
        <f t="shared" si="129"/>
        <v>0</v>
      </c>
      <c r="AI312" s="123"/>
      <c r="AJ312" s="123"/>
      <c r="AK312" s="123"/>
      <c r="AL312" s="105">
        <f t="shared" si="130"/>
        <v>0</v>
      </c>
      <c r="AM312" s="143"/>
      <c r="AN312" s="143"/>
      <c r="AO312" s="143"/>
      <c r="AP312" s="143"/>
      <c r="AQ312" s="146"/>
      <c r="AR312" s="224">
        <f t="shared" si="131"/>
        <v>0</v>
      </c>
      <c r="AS312" s="274"/>
      <c r="AT312" s="126"/>
      <c r="AU312" s="126"/>
      <c r="AV312" s="126"/>
      <c r="AW312" s="126"/>
      <c r="AX312" s="126"/>
      <c r="AY312" s="275"/>
      <c r="AZ312" s="274"/>
      <c r="BA312" s="274"/>
      <c r="BB312" s="274"/>
      <c r="BC312" s="222">
        <f t="shared" si="132"/>
        <v>0</v>
      </c>
      <c r="BD312" s="113">
        <f t="shared" si="133"/>
        <v>0</v>
      </c>
      <c r="BE312" s="3"/>
      <c r="BF312" s="113">
        <f t="shared" si="134"/>
        <v>0</v>
      </c>
      <c r="BG312" s="225"/>
      <c r="BH312" s="225"/>
      <c r="BI312" s="225"/>
      <c r="BJ312" s="225"/>
      <c r="BK312" s="225"/>
      <c r="BL312" s="225"/>
      <c r="BM312" s="225"/>
      <c r="BN312" s="225"/>
      <c r="BO312" s="225"/>
      <c r="BP312" s="225"/>
      <c r="BQ312" s="225"/>
      <c r="BR312" s="225"/>
      <c r="BS312" s="129"/>
      <c r="BT312" s="130">
        <f t="shared" si="135"/>
        <v>0</v>
      </c>
      <c r="BU312" s="3"/>
    </row>
    <row r="313" ht="14.25" customHeight="1">
      <c r="A313" s="3"/>
      <c r="B313" s="512">
        <v>46301</v>
      </c>
      <c r="C313" s="123"/>
      <c r="D313" s="123"/>
      <c r="E313" s="120"/>
      <c r="F313" s="120"/>
      <c r="G313" s="147">
        <f t="shared" si="12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28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03">
        <f t="shared" si="129"/>
        <v>0</v>
      </c>
      <c r="AI313" s="123"/>
      <c r="AJ313" s="123"/>
      <c r="AK313" s="123"/>
      <c r="AL313" s="105">
        <f t="shared" si="130"/>
        <v>0</v>
      </c>
      <c r="AM313" s="143"/>
      <c r="AN313" s="143"/>
      <c r="AO313" s="143"/>
      <c r="AP313" s="143"/>
      <c r="AQ313" s="146"/>
      <c r="AR313" s="224">
        <f t="shared" si="131"/>
        <v>0</v>
      </c>
      <c r="AS313" s="274"/>
      <c r="AT313" s="126"/>
      <c r="AU313" s="126"/>
      <c r="AV313" s="126"/>
      <c r="AW313" s="126"/>
      <c r="AX313" s="126"/>
      <c r="AY313" s="275"/>
      <c r="AZ313" s="274"/>
      <c r="BA313" s="274"/>
      <c r="BB313" s="274"/>
      <c r="BC313" s="222">
        <f t="shared" si="132"/>
        <v>0</v>
      </c>
      <c r="BD313" s="113">
        <f t="shared" si="133"/>
        <v>0</v>
      </c>
      <c r="BE313" s="3"/>
      <c r="BF313" s="113">
        <f t="shared" si="134"/>
        <v>0</v>
      </c>
      <c r="BG313" s="225"/>
      <c r="BH313" s="225"/>
      <c r="BI313" s="225"/>
      <c r="BJ313" s="225"/>
      <c r="BK313" s="225"/>
      <c r="BL313" s="225"/>
      <c r="BM313" s="225"/>
      <c r="BN313" s="225"/>
      <c r="BO313" s="225"/>
      <c r="BP313" s="225"/>
      <c r="BQ313" s="225"/>
      <c r="BR313" s="225"/>
      <c r="BS313" s="129"/>
      <c r="BT313" s="130">
        <f t="shared" si="135"/>
        <v>0</v>
      </c>
      <c r="BU313" s="3"/>
    </row>
    <row r="314" ht="14.25" customHeight="1">
      <c r="A314" s="3"/>
      <c r="B314" s="512">
        <v>46302</v>
      </c>
      <c r="C314" s="123"/>
      <c r="D314" s="123"/>
      <c r="E314" s="120"/>
      <c r="F314" s="120"/>
      <c r="G314" s="147">
        <f t="shared" si="12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28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03">
        <f t="shared" si="129"/>
        <v>0</v>
      </c>
      <c r="AI314" s="123"/>
      <c r="AJ314" s="123"/>
      <c r="AK314" s="123"/>
      <c r="AL314" s="105">
        <f t="shared" si="130"/>
        <v>0</v>
      </c>
      <c r="AM314" s="143"/>
      <c r="AN314" s="143"/>
      <c r="AO314" s="143"/>
      <c r="AP314" s="143"/>
      <c r="AQ314" s="146"/>
      <c r="AR314" s="224">
        <f t="shared" si="131"/>
        <v>0</v>
      </c>
      <c r="AS314" s="274"/>
      <c r="AT314" s="126"/>
      <c r="AU314" s="126"/>
      <c r="AV314" s="126"/>
      <c r="AW314" s="126"/>
      <c r="AX314" s="126"/>
      <c r="AY314" s="275"/>
      <c r="AZ314" s="274"/>
      <c r="BA314" s="274"/>
      <c r="BB314" s="274"/>
      <c r="BC314" s="222">
        <f t="shared" si="132"/>
        <v>0</v>
      </c>
      <c r="BD314" s="113">
        <f t="shared" si="133"/>
        <v>0</v>
      </c>
      <c r="BE314" s="3"/>
      <c r="BF314" s="113">
        <f t="shared" si="134"/>
        <v>0</v>
      </c>
      <c r="BG314" s="225"/>
      <c r="BH314" s="225"/>
      <c r="BI314" s="931"/>
      <c r="BJ314" s="225"/>
      <c r="BK314" s="225"/>
      <c r="BL314" s="225"/>
      <c r="BM314" s="225"/>
      <c r="BN314" s="225"/>
      <c r="BO314" s="225"/>
      <c r="BP314" s="225"/>
      <c r="BQ314" s="225"/>
      <c r="BR314" s="225"/>
      <c r="BS314" s="129"/>
      <c r="BT314" s="130">
        <f t="shared" si="135"/>
        <v>0</v>
      </c>
      <c r="BU314" s="3"/>
    </row>
    <row r="315" ht="14.25" customHeight="1">
      <c r="A315" s="3"/>
      <c r="B315" s="512">
        <v>46303</v>
      </c>
      <c r="C315" s="123"/>
      <c r="D315" s="123"/>
      <c r="E315" s="120"/>
      <c r="F315" s="120"/>
      <c r="G315" s="147">
        <f t="shared" si="12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03">
        <f t="shared" si="128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03">
        <f t="shared" si="129"/>
        <v>0</v>
      </c>
      <c r="AI315" s="123"/>
      <c r="AJ315" s="123"/>
      <c r="AK315" s="123"/>
      <c r="AL315" s="105">
        <f t="shared" si="130"/>
        <v>0</v>
      </c>
      <c r="AM315" s="143"/>
      <c r="AN315" s="143"/>
      <c r="AO315" s="143"/>
      <c r="AP315" s="143"/>
      <c r="AQ315" s="146"/>
      <c r="AR315" s="224">
        <f t="shared" si="131"/>
        <v>0</v>
      </c>
      <c r="AS315" s="274"/>
      <c r="AT315" s="126"/>
      <c r="AU315" s="126"/>
      <c r="AV315" s="126"/>
      <c r="AW315" s="126"/>
      <c r="AX315" s="126"/>
      <c r="AY315" s="275"/>
      <c r="AZ315" s="274"/>
      <c r="BA315" s="274"/>
      <c r="BB315" s="274"/>
      <c r="BC315" s="222">
        <f t="shared" si="132"/>
        <v>0</v>
      </c>
      <c r="BD315" s="113">
        <f t="shared" si="133"/>
        <v>0</v>
      </c>
      <c r="BE315" s="3"/>
      <c r="BF315" s="113">
        <f t="shared" si="134"/>
        <v>0</v>
      </c>
      <c r="BG315" s="225"/>
      <c r="BH315" s="225"/>
      <c r="BI315" s="225"/>
      <c r="BJ315" s="225"/>
      <c r="BK315" s="225"/>
      <c r="BL315" s="225"/>
      <c r="BM315" s="225"/>
      <c r="BN315" s="225"/>
      <c r="BO315" s="225"/>
      <c r="BP315" s="225"/>
      <c r="BQ315" s="225"/>
      <c r="BR315" s="225"/>
      <c r="BS315" s="129"/>
      <c r="BT315" s="130">
        <f t="shared" si="135"/>
        <v>0</v>
      </c>
      <c r="BU315" s="3"/>
    </row>
    <row r="316" ht="14.25" customHeight="1">
      <c r="A316" s="3"/>
      <c r="B316" s="512">
        <v>46304</v>
      </c>
      <c r="C316" s="123"/>
      <c r="D316" s="123"/>
      <c r="E316" s="120"/>
      <c r="F316" s="120"/>
      <c r="G316" s="147">
        <f t="shared" si="12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28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03">
        <f t="shared" si="129"/>
        <v>0</v>
      </c>
      <c r="AI316" s="123"/>
      <c r="AJ316" s="123"/>
      <c r="AK316" s="123"/>
      <c r="AL316" s="105">
        <f t="shared" si="130"/>
        <v>0</v>
      </c>
      <c r="AM316" s="143"/>
      <c r="AN316" s="143"/>
      <c r="AO316" s="143"/>
      <c r="AP316" s="143"/>
      <c r="AQ316" s="146"/>
      <c r="AR316" s="224">
        <f t="shared" si="131"/>
        <v>0</v>
      </c>
      <c r="AS316" s="274"/>
      <c r="AT316" s="126"/>
      <c r="AU316" s="126"/>
      <c r="AV316" s="126"/>
      <c r="AW316" s="126"/>
      <c r="AX316" s="126"/>
      <c r="AY316" s="275"/>
      <c r="AZ316" s="274"/>
      <c r="BA316" s="274"/>
      <c r="BB316" s="274"/>
      <c r="BC316" s="222">
        <f t="shared" si="132"/>
        <v>0</v>
      </c>
      <c r="BD316" s="113">
        <f t="shared" si="133"/>
        <v>0</v>
      </c>
      <c r="BE316" s="3"/>
      <c r="BF316" s="113">
        <f t="shared" si="134"/>
        <v>0</v>
      </c>
      <c r="BG316" s="225"/>
      <c r="BH316" s="225"/>
      <c r="BI316" s="225"/>
      <c r="BJ316" s="225"/>
      <c r="BK316" s="225"/>
      <c r="BL316" s="225"/>
      <c r="BM316" s="225"/>
      <c r="BN316" s="225"/>
      <c r="BO316" s="225"/>
      <c r="BP316" s="225"/>
      <c r="BQ316" s="225"/>
      <c r="BR316" s="225"/>
      <c r="BS316" s="129"/>
      <c r="BT316" s="130">
        <f t="shared" si="135"/>
        <v>0</v>
      </c>
      <c r="BU316" s="3"/>
    </row>
    <row r="317" ht="14.25" customHeight="1">
      <c r="A317" s="132"/>
      <c r="B317" s="512">
        <v>46305</v>
      </c>
      <c r="C317" s="136"/>
      <c r="D317" s="136"/>
      <c r="E317" s="135"/>
      <c r="F317" s="135"/>
      <c r="G317" s="147">
        <f t="shared" si="12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28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03">
        <f t="shared" si="129"/>
        <v>0</v>
      </c>
      <c r="AI317" s="136"/>
      <c r="AJ317" s="136"/>
      <c r="AK317" s="136"/>
      <c r="AL317" s="105">
        <f t="shared" si="130"/>
        <v>0</v>
      </c>
      <c r="AM317" s="143"/>
      <c r="AN317" s="143"/>
      <c r="AO317" s="143"/>
      <c r="AP317" s="143"/>
      <c r="AQ317" s="146"/>
      <c r="AR317" s="224">
        <f t="shared" si="131"/>
        <v>0</v>
      </c>
      <c r="AS317" s="274"/>
      <c r="AT317" s="126"/>
      <c r="AU317" s="126"/>
      <c r="AV317" s="126"/>
      <c r="AW317" s="126"/>
      <c r="AX317" s="126"/>
      <c r="AY317" s="275"/>
      <c r="AZ317" s="274"/>
      <c r="BA317" s="274"/>
      <c r="BB317" s="274"/>
      <c r="BC317" s="222">
        <f t="shared" si="132"/>
        <v>0</v>
      </c>
      <c r="BD317" s="140">
        <f t="shared" si="133"/>
        <v>0</v>
      </c>
      <c r="BE317" s="132"/>
      <c r="BF317" s="140">
        <f t="shared" si="134"/>
        <v>0</v>
      </c>
      <c r="BG317" s="126"/>
      <c r="BH317" s="126"/>
      <c r="BI317" s="126"/>
      <c r="BJ317" s="126"/>
      <c r="BK317" s="126"/>
      <c r="BL317" s="126"/>
      <c r="BM317" s="126"/>
      <c r="BN317" s="126"/>
      <c r="BO317" s="126"/>
      <c r="BP317" s="126"/>
      <c r="BQ317" s="126"/>
      <c r="BR317" s="126"/>
      <c r="BS317" s="141"/>
      <c r="BT317" s="130">
        <f t="shared" si="135"/>
        <v>0</v>
      </c>
      <c r="BU317" s="132"/>
    </row>
    <row r="318" ht="14.25" customHeight="1">
      <c r="A318" s="132"/>
      <c r="B318" s="512">
        <v>46306</v>
      </c>
      <c r="C318" s="136"/>
      <c r="D318" s="136"/>
      <c r="E318" s="135"/>
      <c r="F318" s="135"/>
      <c r="G318" s="147">
        <f t="shared" si="12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28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03">
        <f t="shared" si="129"/>
        <v>0</v>
      </c>
      <c r="AI318" s="136"/>
      <c r="AJ318" s="136"/>
      <c r="AK318" s="136"/>
      <c r="AL318" s="105">
        <f t="shared" si="130"/>
        <v>0</v>
      </c>
      <c r="AM318" s="143"/>
      <c r="AN318" s="143"/>
      <c r="AO318" s="143"/>
      <c r="AP318" s="143"/>
      <c r="AQ318" s="146"/>
      <c r="AR318" s="224">
        <f t="shared" si="131"/>
        <v>0</v>
      </c>
      <c r="AS318" s="274"/>
      <c r="AT318" s="126"/>
      <c r="AU318" s="126"/>
      <c r="AV318" s="126"/>
      <c r="AW318" s="126"/>
      <c r="AX318" s="126"/>
      <c r="AY318" s="275"/>
      <c r="AZ318" s="274"/>
      <c r="BA318" s="274"/>
      <c r="BB318" s="274"/>
      <c r="BC318" s="222">
        <f t="shared" si="132"/>
        <v>0</v>
      </c>
      <c r="BD318" s="140">
        <f t="shared" si="133"/>
        <v>0</v>
      </c>
      <c r="BE318" s="132"/>
      <c r="BF318" s="140">
        <f t="shared" si="134"/>
        <v>0</v>
      </c>
      <c r="BG318" s="126"/>
      <c r="BH318" s="126"/>
      <c r="BI318" s="126"/>
      <c r="BJ318" s="126"/>
      <c r="BK318" s="126"/>
      <c r="BL318" s="126"/>
      <c r="BM318" s="126"/>
      <c r="BN318" s="126"/>
      <c r="BO318" s="126"/>
      <c r="BP318" s="126"/>
      <c r="BQ318" s="126"/>
      <c r="BR318" s="126"/>
      <c r="BS318" s="141"/>
      <c r="BT318" s="130">
        <f t="shared" si="135"/>
        <v>0</v>
      </c>
      <c r="BU318" s="132"/>
    </row>
    <row r="319" ht="14.25" customHeight="1">
      <c r="A319" s="132"/>
      <c r="B319" s="512">
        <v>46307</v>
      </c>
      <c r="C319" s="136"/>
      <c r="D319" s="136"/>
      <c r="E319" s="135"/>
      <c r="F319" s="135"/>
      <c r="G319" s="147">
        <f t="shared" si="12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28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03">
        <f t="shared" si="129"/>
        <v>0</v>
      </c>
      <c r="AI319" s="136"/>
      <c r="AJ319" s="136"/>
      <c r="AK319" s="136"/>
      <c r="AL319" s="105">
        <f t="shared" si="130"/>
        <v>0</v>
      </c>
      <c r="AM319" s="143"/>
      <c r="AN319" s="143"/>
      <c r="AO319" s="143"/>
      <c r="AP319" s="143"/>
      <c r="AQ319" s="146"/>
      <c r="AR319" s="224">
        <f t="shared" si="131"/>
        <v>0</v>
      </c>
      <c r="AS319" s="274"/>
      <c r="AT319" s="126"/>
      <c r="AU319" s="126"/>
      <c r="AV319" s="126"/>
      <c r="AW319" s="126"/>
      <c r="AX319" s="126"/>
      <c r="AY319" s="275"/>
      <c r="AZ319" s="274"/>
      <c r="BA319" s="274"/>
      <c r="BB319" s="274"/>
      <c r="BC319" s="222">
        <f t="shared" si="132"/>
        <v>0</v>
      </c>
      <c r="BD319" s="140">
        <f t="shared" si="133"/>
        <v>0</v>
      </c>
      <c r="BE319" s="132"/>
      <c r="BF319" s="140">
        <f t="shared" si="134"/>
        <v>0</v>
      </c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  <c r="BQ319" s="126"/>
      <c r="BR319" s="126"/>
      <c r="BS319" s="141"/>
      <c r="BT319" s="130">
        <f t="shared" si="135"/>
        <v>0</v>
      </c>
      <c r="BU319" s="132"/>
    </row>
    <row r="320" ht="14.25" customHeight="1">
      <c r="A320" s="132"/>
      <c r="B320" s="512">
        <v>46308</v>
      </c>
      <c r="C320" s="136"/>
      <c r="D320" s="136"/>
      <c r="E320" s="135"/>
      <c r="F320" s="135"/>
      <c r="G320" s="147">
        <f t="shared" si="12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28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03">
        <f t="shared" si="129"/>
        <v>0</v>
      </c>
      <c r="AI320" s="136"/>
      <c r="AJ320" s="136"/>
      <c r="AK320" s="136"/>
      <c r="AL320" s="105">
        <f t="shared" si="130"/>
        <v>0</v>
      </c>
      <c r="AM320" s="143"/>
      <c r="AN320" s="143"/>
      <c r="AO320" s="143"/>
      <c r="AP320" s="143"/>
      <c r="AQ320" s="146"/>
      <c r="AR320" s="224">
        <f t="shared" si="131"/>
        <v>0</v>
      </c>
      <c r="AS320" s="274"/>
      <c r="AT320" s="126"/>
      <c r="AU320" s="126"/>
      <c r="AV320" s="126"/>
      <c r="AW320" s="126"/>
      <c r="AX320" s="126"/>
      <c r="AY320" s="275"/>
      <c r="AZ320" s="274"/>
      <c r="BA320" s="274"/>
      <c r="BB320" s="274"/>
      <c r="BC320" s="222">
        <f t="shared" si="132"/>
        <v>0</v>
      </c>
      <c r="BD320" s="140">
        <f t="shared" si="133"/>
        <v>0</v>
      </c>
      <c r="BE320" s="132"/>
      <c r="BF320" s="140">
        <f t="shared" si="134"/>
        <v>0</v>
      </c>
      <c r="BG320" s="126"/>
      <c r="BH320" s="126"/>
      <c r="BI320" s="126"/>
      <c r="BJ320" s="126"/>
      <c r="BK320" s="126"/>
      <c r="BL320" s="126"/>
      <c r="BM320" s="126"/>
      <c r="BN320" s="126"/>
      <c r="BO320" s="126"/>
      <c r="BP320" s="126"/>
      <c r="BQ320" s="126"/>
      <c r="BR320" s="126"/>
      <c r="BS320" s="141"/>
      <c r="BT320" s="130">
        <f t="shared" si="135"/>
        <v>0</v>
      </c>
      <c r="BU320" s="132"/>
    </row>
    <row r="321" ht="14.25" customHeight="1">
      <c r="A321" s="132"/>
      <c r="B321" s="512">
        <v>46309</v>
      </c>
      <c r="C321" s="136"/>
      <c r="D321" s="136"/>
      <c r="E321" s="135"/>
      <c r="F321" s="135"/>
      <c r="G321" s="147">
        <f t="shared" si="12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28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03">
        <f t="shared" si="129"/>
        <v>0</v>
      </c>
      <c r="AI321" s="136"/>
      <c r="AJ321" s="136"/>
      <c r="AK321" s="136"/>
      <c r="AL321" s="105">
        <f t="shared" si="130"/>
        <v>0</v>
      </c>
      <c r="AM321" s="143"/>
      <c r="AN321" s="143"/>
      <c r="AO321" s="143"/>
      <c r="AP321" s="143"/>
      <c r="AQ321" s="146"/>
      <c r="AR321" s="224">
        <f t="shared" si="131"/>
        <v>0</v>
      </c>
      <c r="AS321" s="274"/>
      <c r="AT321" s="126"/>
      <c r="AU321" s="126"/>
      <c r="AV321" s="126"/>
      <c r="AW321" s="126"/>
      <c r="AX321" s="126"/>
      <c r="AY321" s="275"/>
      <c r="AZ321" s="274"/>
      <c r="BA321" s="274"/>
      <c r="BB321" s="274"/>
      <c r="BC321" s="222">
        <f t="shared" si="132"/>
        <v>0</v>
      </c>
      <c r="BD321" s="140">
        <f t="shared" si="133"/>
        <v>0</v>
      </c>
      <c r="BE321" s="132"/>
      <c r="BF321" s="140">
        <f t="shared" si="134"/>
        <v>0</v>
      </c>
      <c r="BG321" s="126"/>
      <c r="BH321" s="126"/>
      <c r="BI321" s="931"/>
      <c r="BJ321" s="126"/>
      <c r="BK321" s="126"/>
      <c r="BL321" s="126"/>
      <c r="BM321" s="126"/>
      <c r="BN321" s="126"/>
      <c r="BO321" s="126"/>
      <c r="BP321" s="126"/>
      <c r="BQ321" s="126"/>
      <c r="BR321" s="126"/>
      <c r="BS321" s="141"/>
      <c r="BT321" s="130">
        <f t="shared" si="135"/>
        <v>0</v>
      </c>
      <c r="BU321" s="132"/>
    </row>
    <row r="322" ht="14.25" customHeight="1">
      <c r="A322" s="132"/>
      <c r="B322" s="512">
        <v>46310</v>
      </c>
      <c r="C322" s="136"/>
      <c r="D322" s="136"/>
      <c r="E322" s="135"/>
      <c r="F322" s="135"/>
      <c r="G322" s="147">
        <f t="shared" si="12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28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03">
        <f t="shared" si="129"/>
        <v>0</v>
      </c>
      <c r="AI322" s="136"/>
      <c r="AJ322" s="136"/>
      <c r="AK322" s="136"/>
      <c r="AL322" s="105">
        <f t="shared" si="130"/>
        <v>0</v>
      </c>
      <c r="AM322" s="143"/>
      <c r="AN322" s="143"/>
      <c r="AO322" s="143"/>
      <c r="AP322" s="143"/>
      <c r="AQ322" s="146"/>
      <c r="AR322" s="224">
        <f t="shared" si="131"/>
        <v>0</v>
      </c>
      <c r="AS322" s="274"/>
      <c r="AT322" s="126"/>
      <c r="AU322" s="126"/>
      <c r="AV322" s="126"/>
      <c r="AW322" s="126"/>
      <c r="AX322" s="126"/>
      <c r="AY322" s="275"/>
      <c r="AZ322" s="274"/>
      <c r="BA322" s="274"/>
      <c r="BB322" s="274"/>
      <c r="BC322" s="222">
        <f t="shared" si="132"/>
        <v>0</v>
      </c>
      <c r="BD322" s="140">
        <f t="shared" si="133"/>
        <v>0</v>
      </c>
      <c r="BE322" s="132"/>
      <c r="BF322" s="140">
        <f t="shared" si="134"/>
        <v>0</v>
      </c>
      <c r="BG322" s="126"/>
      <c r="BH322" s="126"/>
      <c r="BI322" s="126"/>
      <c r="BJ322" s="126"/>
      <c r="BK322" s="126"/>
      <c r="BL322" s="126"/>
      <c r="BM322" s="126"/>
      <c r="BN322" s="126"/>
      <c r="BO322" s="126"/>
      <c r="BP322" s="126"/>
      <c r="BQ322" s="126"/>
      <c r="BR322" s="126"/>
      <c r="BS322" s="141"/>
      <c r="BT322" s="130">
        <f t="shared" si="135"/>
        <v>0</v>
      </c>
      <c r="BU322" s="132"/>
    </row>
    <row r="323" ht="14.25" customHeight="1">
      <c r="A323" s="132"/>
      <c r="B323" s="512">
        <v>46311</v>
      </c>
      <c r="C323" s="136"/>
      <c r="D323" s="136"/>
      <c r="E323" s="135"/>
      <c r="F323" s="135"/>
      <c r="G323" s="147">
        <f t="shared" si="12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28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03">
        <f t="shared" si="129"/>
        <v>0</v>
      </c>
      <c r="AI323" s="136"/>
      <c r="AJ323" s="136"/>
      <c r="AK323" s="136"/>
      <c r="AL323" s="105">
        <f t="shared" si="130"/>
        <v>0</v>
      </c>
      <c r="AM323" s="143"/>
      <c r="AN323" s="143"/>
      <c r="AO323" s="143"/>
      <c r="AP323" s="143"/>
      <c r="AQ323" s="146"/>
      <c r="AR323" s="224">
        <f t="shared" si="131"/>
        <v>0</v>
      </c>
      <c r="AS323" s="274"/>
      <c r="AT323" s="126"/>
      <c r="AU323" s="126"/>
      <c r="AV323" s="126"/>
      <c r="AW323" s="126"/>
      <c r="AX323" s="126"/>
      <c r="AY323" s="275"/>
      <c r="AZ323" s="274"/>
      <c r="BA323" s="274"/>
      <c r="BB323" s="274"/>
      <c r="BC323" s="222">
        <f t="shared" si="132"/>
        <v>0</v>
      </c>
      <c r="BD323" s="140">
        <f t="shared" si="133"/>
        <v>0</v>
      </c>
      <c r="BE323" s="132"/>
      <c r="BF323" s="140">
        <f t="shared" si="134"/>
        <v>0</v>
      </c>
      <c r="BG323" s="126"/>
      <c r="BH323" s="126"/>
      <c r="BI323" s="126"/>
      <c r="BJ323" s="126"/>
      <c r="BK323" s="126"/>
      <c r="BL323" s="126"/>
      <c r="BM323" s="126"/>
      <c r="BN323" s="126"/>
      <c r="BO323" s="126"/>
      <c r="BP323" s="126"/>
      <c r="BQ323" s="126"/>
      <c r="BR323" s="126"/>
      <c r="BS323" s="141"/>
      <c r="BT323" s="130">
        <f t="shared" si="135"/>
        <v>0</v>
      </c>
      <c r="BU323" s="132"/>
    </row>
    <row r="324" ht="14.25" customHeight="1">
      <c r="A324" s="132"/>
      <c r="B324" s="512">
        <v>46312</v>
      </c>
      <c r="C324" s="136"/>
      <c r="D324" s="136"/>
      <c r="E324" s="135"/>
      <c r="F324" s="135"/>
      <c r="G324" s="147">
        <f t="shared" si="12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28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03">
        <f t="shared" si="129"/>
        <v>0</v>
      </c>
      <c r="AI324" s="136"/>
      <c r="AJ324" s="136"/>
      <c r="AK324" s="136"/>
      <c r="AL324" s="105">
        <f t="shared" si="130"/>
        <v>0</v>
      </c>
      <c r="AM324" s="143"/>
      <c r="AN324" s="143"/>
      <c r="AO324" s="143"/>
      <c r="AP324" s="143"/>
      <c r="AQ324" s="146"/>
      <c r="AR324" s="224">
        <f t="shared" si="131"/>
        <v>0</v>
      </c>
      <c r="AS324" s="274"/>
      <c r="AT324" s="126"/>
      <c r="AU324" s="126"/>
      <c r="AV324" s="126"/>
      <c r="AW324" s="126"/>
      <c r="AX324" s="126"/>
      <c r="AY324" s="275"/>
      <c r="AZ324" s="274"/>
      <c r="BA324" s="274"/>
      <c r="BB324" s="274"/>
      <c r="BC324" s="222">
        <f t="shared" si="132"/>
        <v>0</v>
      </c>
      <c r="BD324" s="140">
        <f t="shared" si="133"/>
        <v>0</v>
      </c>
      <c r="BE324" s="132"/>
      <c r="BF324" s="140">
        <f t="shared" si="134"/>
        <v>0</v>
      </c>
      <c r="BG324" s="126"/>
      <c r="BH324" s="126"/>
      <c r="BI324" s="126"/>
      <c r="BJ324" s="126"/>
      <c r="BK324" s="126"/>
      <c r="BL324" s="126"/>
      <c r="BM324" s="126"/>
      <c r="BN324" s="126"/>
      <c r="BO324" s="126"/>
      <c r="BP324" s="126"/>
      <c r="BQ324" s="126"/>
      <c r="BR324" s="126"/>
      <c r="BS324" s="141"/>
      <c r="BT324" s="130">
        <f t="shared" si="135"/>
        <v>0</v>
      </c>
      <c r="BU324" s="132"/>
    </row>
    <row r="325" ht="14.25" customHeight="1">
      <c r="A325" s="132"/>
      <c r="B325" s="512">
        <v>46313</v>
      </c>
      <c r="C325" s="136"/>
      <c r="D325" s="136"/>
      <c r="E325" s="135"/>
      <c r="F325" s="135"/>
      <c r="G325" s="147">
        <f t="shared" si="12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28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03">
        <f t="shared" si="129"/>
        <v>0</v>
      </c>
      <c r="AI325" s="136"/>
      <c r="AJ325" s="136"/>
      <c r="AK325" s="136"/>
      <c r="AL325" s="105">
        <f t="shared" si="130"/>
        <v>0</v>
      </c>
      <c r="AM325" s="143"/>
      <c r="AN325" s="143"/>
      <c r="AO325" s="143"/>
      <c r="AP325" s="143"/>
      <c r="AQ325" s="146"/>
      <c r="AR325" s="224">
        <f t="shared" si="131"/>
        <v>0</v>
      </c>
      <c r="AS325" s="274"/>
      <c r="AT325" s="126"/>
      <c r="AU325" s="126"/>
      <c r="AV325" s="126"/>
      <c r="AW325" s="126"/>
      <c r="AX325" s="126"/>
      <c r="AY325" s="275"/>
      <c r="AZ325" s="274"/>
      <c r="BA325" s="274"/>
      <c r="BB325" s="274"/>
      <c r="BC325" s="222">
        <f t="shared" si="132"/>
        <v>0</v>
      </c>
      <c r="BD325" s="140">
        <f t="shared" si="133"/>
        <v>0</v>
      </c>
      <c r="BE325" s="132"/>
      <c r="BF325" s="140">
        <f t="shared" si="134"/>
        <v>0</v>
      </c>
      <c r="BG325" s="126"/>
      <c r="BH325" s="126"/>
      <c r="BI325" s="126"/>
      <c r="BJ325" s="126"/>
      <c r="BK325" s="126"/>
      <c r="BL325" s="126"/>
      <c r="BM325" s="126"/>
      <c r="BN325" s="126"/>
      <c r="BO325" s="126"/>
      <c r="BP325" s="126"/>
      <c r="BQ325" s="126"/>
      <c r="BR325" s="126"/>
      <c r="BS325" s="141"/>
      <c r="BT325" s="130">
        <f t="shared" si="135"/>
        <v>0</v>
      </c>
      <c r="BU325" s="132"/>
    </row>
    <row r="326" ht="14.25" customHeight="1">
      <c r="A326" s="132"/>
      <c r="B326" s="512">
        <v>46314</v>
      </c>
      <c r="C326" s="136"/>
      <c r="D326" s="136"/>
      <c r="E326" s="135"/>
      <c r="F326" s="135"/>
      <c r="G326" s="147">
        <f t="shared" si="12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28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03">
        <f t="shared" si="129"/>
        <v>0</v>
      </c>
      <c r="AI326" s="136"/>
      <c r="AJ326" s="136"/>
      <c r="AK326" s="136"/>
      <c r="AL326" s="105">
        <f t="shared" si="130"/>
        <v>0</v>
      </c>
      <c r="AM326" s="143"/>
      <c r="AN326" s="143"/>
      <c r="AO326" s="143"/>
      <c r="AP326" s="143"/>
      <c r="AQ326" s="146"/>
      <c r="AR326" s="224">
        <f t="shared" si="131"/>
        <v>0</v>
      </c>
      <c r="AS326" s="274"/>
      <c r="AT326" s="126"/>
      <c r="AU326" s="126"/>
      <c r="AV326" s="126"/>
      <c r="AW326" s="126"/>
      <c r="AX326" s="126"/>
      <c r="AY326" s="275"/>
      <c r="AZ326" s="274"/>
      <c r="BA326" s="274"/>
      <c r="BB326" s="274"/>
      <c r="BC326" s="222">
        <f t="shared" si="132"/>
        <v>0</v>
      </c>
      <c r="BD326" s="140">
        <f t="shared" si="133"/>
        <v>0</v>
      </c>
      <c r="BE326" s="132"/>
      <c r="BF326" s="140">
        <f t="shared" si="134"/>
        <v>0</v>
      </c>
      <c r="BG326" s="126"/>
      <c r="BH326" s="126"/>
      <c r="BI326" s="126"/>
      <c r="BJ326" s="126"/>
      <c r="BK326" s="126"/>
      <c r="BL326" s="126"/>
      <c r="BM326" s="126"/>
      <c r="BN326" s="126"/>
      <c r="BO326" s="126"/>
      <c r="BP326" s="126"/>
      <c r="BQ326" s="126"/>
      <c r="BR326" s="126"/>
      <c r="BS326" s="141"/>
      <c r="BT326" s="130">
        <f t="shared" si="135"/>
        <v>0</v>
      </c>
      <c r="BU326" s="132"/>
    </row>
    <row r="327" ht="14.25" customHeight="1">
      <c r="A327" s="132"/>
      <c r="B327" s="512">
        <v>46315</v>
      </c>
      <c r="C327" s="136"/>
      <c r="D327" s="136"/>
      <c r="E327" s="135"/>
      <c r="F327" s="135"/>
      <c r="G327" s="147">
        <f t="shared" si="12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28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03">
        <f t="shared" si="129"/>
        <v>0</v>
      </c>
      <c r="AI327" s="136"/>
      <c r="AJ327" s="136"/>
      <c r="AK327" s="136"/>
      <c r="AL327" s="105">
        <f t="shared" si="130"/>
        <v>0</v>
      </c>
      <c r="AM327" s="143"/>
      <c r="AN327" s="143"/>
      <c r="AO327" s="143"/>
      <c r="AP327" s="143"/>
      <c r="AQ327" s="146"/>
      <c r="AR327" s="224">
        <f t="shared" si="131"/>
        <v>0</v>
      </c>
      <c r="AS327" s="274"/>
      <c r="AT327" s="126"/>
      <c r="AU327" s="126"/>
      <c r="AV327" s="126"/>
      <c r="AW327" s="126"/>
      <c r="AX327" s="126"/>
      <c r="AY327" s="275"/>
      <c r="AZ327" s="274"/>
      <c r="BA327" s="274"/>
      <c r="BB327" s="274"/>
      <c r="BC327" s="222">
        <f t="shared" si="132"/>
        <v>0</v>
      </c>
      <c r="BD327" s="140">
        <f t="shared" si="133"/>
        <v>0</v>
      </c>
      <c r="BE327" s="132"/>
      <c r="BF327" s="140">
        <f t="shared" si="134"/>
        <v>0</v>
      </c>
      <c r="BG327" s="126"/>
      <c r="BH327" s="126"/>
      <c r="BI327" s="126"/>
      <c r="BJ327" s="126"/>
      <c r="BK327" s="126"/>
      <c r="BL327" s="126"/>
      <c r="BM327" s="126"/>
      <c r="BN327" s="126"/>
      <c r="BO327" s="126"/>
      <c r="BP327" s="126"/>
      <c r="BQ327" s="126"/>
      <c r="BR327" s="126"/>
      <c r="BS327" s="141"/>
      <c r="BT327" s="130">
        <f t="shared" si="135"/>
        <v>0</v>
      </c>
      <c r="BU327" s="132"/>
    </row>
    <row r="328" ht="14.25" customHeight="1">
      <c r="A328" s="132"/>
      <c r="B328" s="512">
        <v>46316</v>
      </c>
      <c r="C328" s="133"/>
      <c r="D328" s="136"/>
      <c r="E328" s="965"/>
      <c r="F328" s="966"/>
      <c r="G328" s="147">
        <f t="shared" si="12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28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03">
        <f t="shared" si="129"/>
        <v>0</v>
      </c>
      <c r="AI328" s="136"/>
      <c r="AJ328" s="136"/>
      <c r="AK328" s="136"/>
      <c r="AL328" s="105">
        <f t="shared" si="130"/>
        <v>0</v>
      </c>
      <c r="AM328" s="143"/>
      <c r="AN328" s="143"/>
      <c r="AO328" s="143"/>
      <c r="AP328" s="143"/>
      <c r="AQ328" s="146"/>
      <c r="AR328" s="224">
        <f t="shared" si="131"/>
        <v>0</v>
      </c>
      <c r="AS328" s="274"/>
      <c r="AT328" s="126"/>
      <c r="AU328" s="126"/>
      <c r="AV328" s="126"/>
      <c r="AW328" s="126"/>
      <c r="AX328" s="126"/>
      <c r="AY328" s="275"/>
      <c r="AZ328" s="274"/>
      <c r="BA328" s="274"/>
      <c r="BB328" s="274"/>
      <c r="BC328" s="222">
        <f t="shared" si="132"/>
        <v>0</v>
      </c>
      <c r="BD328" s="140">
        <f t="shared" si="133"/>
        <v>0</v>
      </c>
      <c r="BE328" s="132"/>
      <c r="BF328" s="140">
        <f t="shared" si="134"/>
        <v>0</v>
      </c>
      <c r="BG328" s="126"/>
      <c r="BH328" s="126"/>
      <c r="BI328" s="126"/>
      <c r="BJ328" s="126"/>
      <c r="BK328" s="126"/>
      <c r="BL328" s="126"/>
      <c r="BM328" s="126"/>
      <c r="BN328" s="126"/>
      <c r="BO328" s="126"/>
      <c r="BP328" s="126"/>
      <c r="BQ328" s="126"/>
      <c r="BR328" s="126"/>
      <c r="BS328" s="141"/>
      <c r="BT328" s="130">
        <f t="shared" si="135"/>
        <v>0</v>
      </c>
      <c r="BU328" s="132"/>
    </row>
    <row r="329" ht="14.25" customHeight="1">
      <c r="A329" s="132"/>
      <c r="B329" s="512">
        <v>46317</v>
      </c>
      <c r="C329" s="136"/>
      <c r="D329" s="136"/>
      <c r="E329" s="135"/>
      <c r="F329" s="135"/>
      <c r="G329" s="147">
        <f t="shared" si="12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28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03">
        <f t="shared" si="129"/>
        <v>0</v>
      </c>
      <c r="AI329" s="136"/>
      <c r="AJ329" s="136"/>
      <c r="AK329" s="136"/>
      <c r="AL329" s="105">
        <f t="shared" si="130"/>
        <v>0</v>
      </c>
      <c r="AM329" s="143"/>
      <c r="AN329" s="143"/>
      <c r="AO329" s="143"/>
      <c r="AP329" s="143"/>
      <c r="AQ329" s="146"/>
      <c r="AR329" s="224">
        <f t="shared" si="131"/>
        <v>0</v>
      </c>
      <c r="AS329" s="274"/>
      <c r="AT329" s="126"/>
      <c r="AU329" s="126"/>
      <c r="AV329" s="126"/>
      <c r="AW329" s="126"/>
      <c r="AX329" s="126"/>
      <c r="AY329" s="275"/>
      <c r="AZ329" s="274"/>
      <c r="BA329" s="274"/>
      <c r="BB329" s="274"/>
      <c r="BC329" s="222">
        <f t="shared" si="132"/>
        <v>0</v>
      </c>
      <c r="BD329" s="140">
        <f t="shared" si="133"/>
        <v>0</v>
      </c>
      <c r="BE329" s="132"/>
      <c r="BF329" s="140">
        <f t="shared" si="134"/>
        <v>0</v>
      </c>
      <c r="BG329" s="126"/>
      <c r="BH329" s="126"/>
      <c r="BI329" s="126"/>
      <c r="BJ329" s="126"/>
      <c r="BK329" s="126"/>
      <c r="BL329" s="126"/>
      <c r="BM329" s="126"/>
      <c r="BN329" s="126"/>
      <c r="BO329" s="126"/>
      <c r="BP329" s="126"/>
      <c r="BQ329" s="126"/>
      <c r="BR329" s="126"/>
      <c r="BS329" s="141"/>
      <c r="BT329" s="130">
        <f t="shared" si="135"/>
        <v>0</v>
      </c>
      <c r="BU329" s="132"/>
    </row>
    <row r="330" ht="14.25" customHeight="1">
      <c r="A330" s="132"/>
      <c r="B330" s="512">
        <v>46318</v>
      </c>
      <c r="C330" s="136"/>
      <c r="D330" s="136"/>
      <c r="E330" s="135"/>
      <c r="F330" s="135"/>
      <c r="G330" s="147">
        <f t="shared" si="12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28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03">
        <f t="shared" si="129"/>
        <v>0</v>
      </c>
      <c r="AI330" s="136"/>
      <c r="AJ330" s="136"/>
      <c r="AK330" s="136"/>
      <c r="AL330" s="105">
        <f t="shared" si="130"/>
        <v>0</v>
      </c>
      <c r="AM330" s="143"/>
      <c r="AN330" s="143"/>
      <c r="AO330" s="143"/>
      <c r="AP330" s="143"/>
      <c r="AQ330" s="146"/>
      <c r="AR330" s="224">
        <f t="shared" si="131"/>
        <v>0</v>
      </c>
      <c r="AS330" s="274"/>
      <c r="AT330" s="126"/>
      <c r="AU330" s="126"/>
      <c r="AV330" s="126"/>
      <c r="AW330" s="126"/>
      <c r="AX330" s="126"/>
      <c r="AY330" s="275"/>
      <c r="AZ330" s="274"/>
      <c r="BA330" s="274"/>
      <c r="BB330" s="274"/>
      <c r="BC330" s="222">
        <f t="shared" si="132"/>
        <v>0</v>
      </c>
      <c r="BD330" s="140">
        <f t="shared" si="133"/>
        <v>0</v>
      </c>
      <c r="BE330" s="132"/>
      <c r="BF330" s="140">
        <f t="shared" si="134"/>
        <v>0</v>
      </c>
      <c r="BG330" s="126"/>
      <c r="BH330" s="126"/>
      <c r="BI330" s="931"/>
      <c r="BJ330" s="126"/>
      <c r="BK330" s="126"/>
      <c r="BL330" s="126"/>
      <c r="BM330" s="126"/>
      <c r="BN330" s="126"/>
      <c r="BO330" s="126"/>
      <c r="BP330" s="126"/>
      <c r="BQ330" s="126"/>
      <c r="BR330" s="126"/>
      <c r="BS330" s="141"/>
      <c r="BT330" s="130">
        <f t="shared" si="135"/>
        <v>0</v>
      </c>
      <c r="BU330" s="132"/>
    </row>
    <row r="331" ht="14.25" customHeight="1">
      <c r="A331" s="132"/>
      <c r="B331" s="512">
        <v>46319</v>
      </c>
      <c r="C331" s="136"/>
      <c r="D331" s="136"/>
      <c r="E331" s="135"/>
      <c r="F331" s="135"/>
      <c r="G331" s="147">
        <f t="shared" si="127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28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03">
        <f t="shared" si="129"/>
        <v>0</v>
      </c>
      <c r="AI331" s="136"/>
      <c r="AJ331" s="136"/>
      <c r="AK331" s="136"/>
      <c r="AL331" s="105">
        <f t="shared" si="130"/>
        <v>0</v>
      </c>
      <c r="AM331" s="143"/>
      <c r="AN331" s="143"/>
      <c r="AO331" s="143"/>
      <c r="AP331" s="143"/>
      <c r="AQ331" s="146"/>
      <c r="AR331" s="224">
        <f t="shared" si="131"/>
        <v>0</v>
      </c>
      <c r="AS331" s="274"/>
      <c r="AT331" s="126"/>
      <c r="AU331" s="126"/>
      <c r="AV331" s="126"/>
      <c r="AW331" s="126"/>
      <c r="AX331" s="126"/>
      <c r="AY331" s="275"/>
      <c r="AZ331" s="274"/>
      <c r="BA331" s="274"/>
      <c r="BB331" s="274"/>
      <c r="BC331" s="222">
        <f t="shared" si="132"/>
        <v>0</v>
      </c>
      <c r="BD331" s="140">
        <f t="shared" si="133"/>
        <v>0</v>
      </c>
      <c r="BE331" s="132"/>
      <c r="BF331" s="140">
        <f t="shared" si="134"/>
        <v>0</v>
      </c>
      <c r="BG331" s="126"/>
      <c r="BH331" s="126"/>
      <c r="BI331" s="126"/>
      <c r="BJ331" s="126"/>
      <c r="BK331" s="126"/>
      <c r="BL331" s="126"/>
      <c r="BM331" s="126"/>
      <c r="BN331" s="126"/>
      <c r="BO331" s="126"/>
      <c r="BP331" s="126"/>
      <c r="BQ331" s="126"/>
      <c r="BR331" s="126"/>
      <c r="BS331" s="141"/>
      <c r="BT331" s="130">
        <f t="shared" si="135"/>
        <v>0</v>
      </c>
      <c r="BU331" s="132"/>
    </row>
    <row r="332" ht="14.25" customHeight="1">
      <c r="A332" s="132"/>
      <c r="B332" s="512">
        <v>46320</v>
      </c>
      <c r="C332" s="136"/>
      <c r="D332" s="136"/>
      <c r="E332" s="135"/>
      <c r="F332" s="135"/>
      <c r="G332" s="147">
        <f t="shared" si="12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28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03">
        <f t="shared" si="129"/>
        <v>0</v>
      </c>
      <c r="AI332" s="136"/>
      <c r="AJ332" s="136"/>
      <c r="AK332" s="136"/>
      <c r="AL332" s="105">
        <f t="shared" si="130"/>
        <v>0</v>
      </c>
      <c r="AM332" s="143"/>
      <c r="AN332" s="143"/>
      <c r="AO332" s="143"/>
      <c r="AP332" s="143"/>
      <c r="AQ332" s="146"/>
      <c r="AR332" s="224">
        <f t="shared" si="131"/>
        <v>0</v>
      </c>
      <c r="AS332" s="274"/>
      <c r="AT332" s="126"/>
      <c r="AU332" s="126"/>
      <c r="AV332" s="126"/>
      <c r="AW332" s="126"/>
      <c r="AX332" s="126"/>
      <c r="AY332" s="275"/>
      <c r="AZ332" s="274"/>
      <c r="BA332" s="274"/>
      <c r="BB332" s="274"/>
      <c r="BC332" s="222">
        <f t="shared" si="132"/>
        <v>0</v>
      </c>
      <c r="BD332" s="140">
        <f t="shared" si="133"/>
        <v>0</v>
      </c>
      <c r="BE332" s="132"/>
      <c r="BF332" s="140">
        <f t="shared" si="134"/>
        <v>0</v>
      </c>
      <c r="BG332" s="126"/>
      <c r="BH332" s="126"/>
      <c r="BI332" s="126"/>
      <c r="BJ332" s="126"/>
      <c r="BK332" s="126"/>
      <c r="BL332" s="126"/>
      <c r="BM332" s="126"/>
      <c r="BN332" s="126"/>
      <c r="BO332" s="126"/>
      <c r="BP332" s="126"/>
      <c r="BQ332" s="126"/>
      <c r="BR332" s="126"/>
      <c r="BS332" s="141"/>
      <c r="BT332" s="130">
        <f t="shared" si="135"/>
        <v>0</v>
      </c>
      <c r="BU332" s="132"/>
    </row>
    <row r="333" ht="14.25" customHeight="1">
      <c r="A333" s="132"/>
      <c r="B333" s="512">
        <v>46321</v>
      </c>
      <c r="C333" s="136"/>
      <c r="D333" s="136"/>
      <c r="E333" s="135"/>
      <c r="F333" s="135"/>
      <c r="G333" s="147">
        <f t="shared" si="127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43"/>
      <c r="U333" s="103">
        <f t="shared" si="128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03">
        <f t="shared" si="129"/>
        <v>0</v>
      </c>
      <c r="AI333" s="136"/>
      <c r="AJ333" s="136"/>
      <c r="AK333" s="136"/>
      <c r="AL333" s="105">
        <f t="shared" si="130"/>
        <v>0</v>
      </c>
      <c r="AM333" s="143"/>
      <c r="AN333" s="143"/>
      <c r="AO333" s="143"/>
      <c r="AP333" s="143"/>
      <c r="AQ333" s="146"/>
      <c r="AR333" s="224">
        <f t="shared" si="131"/>
        <v>0</v>
      </c>
      <c r="AS333" s="274"/>
      <c r="AT333" s="126"/>
      <c r="AU333" s="126"/>
      <c r="AV333" s="126"/>
      <c r="AW333" s="126"/>
      <c r="AX333" s="126"/>
      <c r="AY333" s="275"/>
      <c r="AZ333" s="274"/>
      <c r="BA333" s="274"/>
      <c r="BB333" s="274"/>
      <c r="BC333" s="222">
        <f t="shared" si="132"/>
        <v>0</v>
      </c>
      <c r="BD333" s="140">
        <f t="shared" si="133"/>
        <v>0</v>
      </c>
      <c r="BE333" s="132"/>
      <c r="BF333" s="140">
        <f t="shared" si="134"/>
        <v>0</v>
      </c>
      <c r="BG333" s="126"/>
      <c r="BH333" s="126"/>
      <c r="BI333" s="126"/>
      <c r="BJ333" s="126"/>
      <c r="BK333" s="126"/>
      <c r="BL333" s="126"/>
      <c r="BM333" s="126"/>
      <c r="BN333" s="126"/>
      <c r="BO333" s="126"/>
      <c r="BP333" s="126"/>
      <c r="BQ333" s="126"/>
      <c r="BR333" s="126"/>
      <c r="BS333" s="141"/>
      <c r="BT333" s="130">
        <f t="shared" si="135"/>
        <v>0</v>
      </c>
      <c r="BU333" s="132"/>
    </row>
    <row r="334" ht="14.25" customHeight="1">
      <c r="A334" s="132"/>
      <c r="B334" s="512">
        <v>46322</v>
      </c>
      <c r="C334" s="136"/>
      <c r="D334" s="136"/>
      <c r="E334" s="135"/>
      <c r="F334" s="135"/>
      <c r="G334" s="147">
        <f t="shared" si="127"/>
        <v>0</v>
      </c>
      <c r="H334" s="144"/>
      <c r="I334" s="143"/>
      <c r="J334" s="146"/>
      <c r="K334" s="967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28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03">
        <f t="shared" si="129"/>
        <v>0</v>
      </c>
      <c r="AI334" s="136"/>
      <c r="AJ334" s="136"/>
      <c r="AK334" s="136"/>
      <c r="AL334" s="105">
        <f t="shared" si="130"/>
        <v>0</v>
      </c>
      <c r="AM334" s="143"/>
      <c r="AN334" s="143"/>
      <c r="AO334" s="143"/>
      <c r="AP334" s="143"/>
      <c r="AQ334" s="146"/>
      <c r="AR334" s="224">
        <f t="shared" si="131"/>
        <v>0</v>
      </c>
      <c r="AS334" s="274"/>
      <c r="AT334" s="126"/>
      <c r="AU334" s="126"/>
      <c r="AV334" s="126"/>
      <c r="AW334" s="126"/>
      <c r="AX334" s="126"/>
      <c r="AY334" s="275"/>
      <c r="AZ334" s="274"/>
      <c r="BA334" s="274"/>
      <c r="BB334" s="274"/>
      <c r="BC334" s="222">
        <f t="shared" si="132"/>
        <v>0</v>
      </c>
      <c r="BD334" s="140">
        <f t="shared" si="133"/>
        <v>0</v>
      </c>
      <c r="BE334" s="132"/>
      <c r="BF334" s="140">
        <f t="shared" si="134"/>
        <v>0</v>
      </c>
      <c r="BG334" s="126"/>
      <c r="BH334" s="126"/>
      <c r="BI334" s="126"/>
      <c r="BJ334" s="126"/>
      <c r="BK334" s="126"/>
      <c r="BL334" s="126"/>
      <c r="BM334" s="126"/>
      <c r="BN334" s="126"/>
      <c r="BO334" s="126"/>
      <c r="BP334" s="126"/>
      <c r="BQ334" s="126"/>
      <c r="BR334" s="126"/>
      <c r="BS334" s="141"/>
      <c r="BT334" s="130">
        <f t="shared" si="135"/>
        <v>0</v>
      </c>
      <c r="BU334" s="132"/>
    </row>
    <row r="335" ht="14.25" customHeight="1">
      <c r="A335" s="132"/>
      <c r="B335" s="512">
        <v>46323</v>
      </c>
      <c r="C335" s="136"/>
      <c r="D335" s="136"/>
      <c r="E335" s="135"/>
      <c r="F335" s="135"/>
      <c r="G335" s="147">
        <f t="shared" si="127"/>
        <v>0</v>
      </c>
      <c r="H335" s="144"/>
      <c r="I335" s="143"/>
      <c r="J335" s="146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28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03">
        <f t="shared" si="129"/>
        <v>0</v>
      </c>
      <c r="AI335" s="136"/>
      <c r="AJ335" s="136"/>
      <c r="AK335" s="136"/>
      <c r="AL335" s="105">
        <f t="shared" si="130"/>
        <v>0</v>
      </c>
      <c r="AM335" s="968"/>
      <c r="AN335" s="969"/>
      <c r="AO335" s="143"/>
      <c r="AP335" s="143"/>
      <c r="AQ335" s="146"/>
      <c r="AR335" s="224">
        <f t="shared" si="131"/>
        <v>0</v>
      </c>
      <c r="AS335" s="274"/>
      <c r="AT335" s="126"/>
      <c r="AU335" s="126"/>
      <c r="AV335" s="126"/>
      <c r="AW335" s="126"/>
      <c r="AX335" s="126"/>
      <c r="AY335" s="275"/>
      <c r="AZ335" s="274"/>
      <c r="BA335" s="274"/>
      <c r="BB335" s="274"/>
      <c r="BC335" s="222">
        <f t="shared" si="132"/>
        <v>0</v>
      </c>
      <c r="BD335" s="140">
        <f t="shared" si="133"/>
        <v>0</v>
      </c>
      <c r="BE335" s="132"/>
      <c r="BF335" s="140">
        <f t="shared" si="134"/>
        <v>0</v>
      </c>
      <c r="BG335" s="126"/>
      <c r="BH335" s="126"/>
      <c r="BI335" s="931"/>
      <c r="BJ335" s="126"/>
      <c r="BK335" s="126"/>
      <c r="BL335" s="126"/>
      <c r="BM335" s="126"/>
      <c r="BN335" s="126"/>
      <c r="BO335" s="126"/>
      <c r="BP335" s="126"/>
      <c r="BQ335" s="126"/>
      <c r="BR335" s="126"/>
      <c r="BS335" s="141"/>
      <c r="BT335" s="130">
        <f t="shared" si="135"/>
        <v>0</v>
      </c>
      <c r="BU335" s="132"/>
    </row>
    <row r="336" ht="14.25" customHeight="1">
      <c r="A336" s="132"/>
      <c r="B336" s="512">
        <v>46324</v>
      </c>
      <c r="C336" s="136"/>
      <c r="D336" s="136"/>
      <c r="E336" s="135"/>
      <c r="F336" s="135"/>
      <c r="G336" s="147">
        <f t="shared" si="127"/>
        <v>0</v>
      </c>
      <c r="H336" s="144"/>
      <c r="I336" s="143"/>
      <c r="J336" s="146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28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03">
        <f t="shared" si="129"/>
        <v>0</v>
      </c>
      <c r="AI336" s="136"/>
      <c r="AJ336" s="136"/>
      <c r="AK336" s="136"/>
      <c r="AL336" s="105">
        <f t="shared" si="130"/>
        <v>0</v>
      </c>
      <c r="AM336" s="143"/>
      <c r="AN336" s="143"/>
      <c r="AO336" s="143"/>
      <c r="AP336" s="143"/>
      <c r="AQ336" s="146"/>
      <c r="AR336" s="224">
        <f t="shared" si="131"/>
        <v>0</v>
      </c>
      <c r="AS336" s="274"/>
      <c r="AT336" s="126"/>
      <c r="AU336" s="126"/>
      <c r="AV336" s="126"/>
      <c r="AW336" s="126"/>
      <c r="AX336" s="126"/>
      <c r="AY336" s="275"/>
      <c r="AZ336" s="274"/>
      <c r="BA336" s="274"/>
      <c r="BB336" s="274"/>
      <c r="BC336" s="222">
        <f t="shared" si="132"/>
        <v>0</v>
      </c>
      <c r="BD336" s="140">
        <f t="shared" si="133"/>
        <v>0</v>
      </c>
      <c r="BE336" s="132"/>
      <c r="BF336" s="140">
        <f t="shared" si="134"/>
        <v>0</v>
      </c>
      <c r="BG336" s="126"/>
      <c r="BH336" s="126"/>
      <c r="BI336" s="126"/>
      <c r="BJ336" s="126"/>
      <c r="BK336" s="126"/>
      <c r="BL336" s="126"/>
      <c r="BM336" s="126"/>
      <c r="BN336" s="126"/>
      <c r="BO336" s="126"/>
      <c r="BP336" s="126"/>
      <c r="BQ336" s="126"/>
      <c r="BR336" s="126"/>
      <c r="BS336" s="141"/>
      <c r="BT336" s="130">
        <f t="shared" si="135"/>
        <v>0</v>
      </c>
      <c r="BU336" s="132"/>
    </row>
    <row r="337" ht="14.25" customHeight="1">
      <c r="A337" s="132"/>
      <c r="B337" s="512">
        <v>46325</v>
      </c>
      <c r="C337" s="136"/>
      <c r="D337" s="136"/>
      <c r="E337" s="135"/>
      <c r="F337" s="135"/>
      <c r="G337" s="147">
        <f t="shared" si="127"/>
        <v>0</v>
      </c>
      <c r="H337" s="144"/>
      <c r="I337" s="143"/>
      <c r="J337" s="146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28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03">
        <f t="shared" si="129"/>
        <v>0</v>
      </c>
      <c r="AI337" s="136"/>
      <c r="AJ337" s="136"/>
      <c r="AK337" s="136"/>
      <c r="AL337" s="105">
        <f t="shared" si="130"/>
        <v>0</v>
      </c>
      <c r="AM337" s="143"/>
      <c r="AN337" s="143"/>
      <c r="AO337" s="143"/>
      <c r="AP337" s="143"/>
      <c r="AQ337" s="146"/>
      <c r="AR337" s="224">
        <f t="shared" si="131"/>
        <v>0</v>
      </c>
      <c r="AS337" s="274"/>
      <c r="AT337" s="126"/>
      <c r="AU337" s="126"/>
      <c r="AV337" s="126"/>
      <c r="AW337" s="126"/>
      <c r="AX337" s="126"/>
      <c r="AY337" s="275"/>
      <c r="AZ337" s="274"/>
      <c r="BA337" s="274"/>
      <c r="BB337" s="274"/>
      <c r="BC337" s="222">
        <f t="shared" si="132"/>
        <v>0</v>
      </c>
      <c r="BD337" s="140">
        <f t="shared" si="133"/>
        <v>0</v>
      </c>
      <c r="BE337" s="132"/>
      <c r="BF337" s="140">
        <f t="shared" si="134"/>
        <v>0</v>
      </c>
      <c r="BG337" s="126"/>
      <c r="BH337" s="126"/>
      <c r="BI337" s="126"/>
      <c r="BJ337" s="126"/>
      <c r="BK337" s="126"/>
      <c r="BL337" s="126"/>
      <c r="BM337" s="126"/>
      <c r="BN337" s="126"/>
      <c r="BO337" s="126"/>
      <c r="BP337" s="126"/>
      <c r="BQ337" s="126"/>
      <c r="BR337" s="126"/>
      <c r="BS337" s="141"/>
      <c r="BT337" s="130">
        <f t="shared" si="135"/>
        <v>0</v>
      </c>
      <c r="BU337" s="132"/>
    </row>
    <row r="338" ht="14.25" customHeight="1">
      <c r="A338" s="132"/>
      <c r="B338" s="512">
        <v>46326</v>
      </c>
      <c r="C338" s="159"/>
      <c r="D338" s="159"/>
      <c r="E338" s="156"/>
      <c r="F338" s="156"/>
      <c r="G338" s="147">
        <f t="shared" si="127"/>
        <v>0</v>
      </c>
      <c r="H338" s="612"/>
      <c r="I338" s="157"/>
      <c r="J338" s="160"/>
      <c r="K338" s="970"/>
      <c r="L338" s="157"/>
      <c r="M338" s="157"/>
      <c r="N338" s="157"/>
      <c r="O338" s="157"/>
      <c r="P338" s="157"/>
      <c r="Q338" s="157"/>
      <c r="R338" s="157"/>
      <c r="S338" s="157"/>
      <c r="T338" s="157"/>
      <c r="U338" s="103">
        <f t="shared" si="128"/>
        <v>0</v>
      </c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03">
        <f t="shared" si="129"/>
        <v>0</v>
      </c>
      <c r="AI338" s="159"/>
      <c r="AJ338" s="159"/>
      <c r="AK338" s="159"/>
      <c r="AL338" s="105">
        <f t="shared" si="130"/>
        <v>0</v>
      </c>
      <c r="AM338" s="971"/>
      <c r="AN338" s="971"/>
      <c r="AO338" s="157"/>
      <c r="AP338" s="157"/>
      <c r="AQ338" s="160"/>
      <c r="AR338" s="224">
        <f t="shared" si="131"/>
        <v>0</v>
      </c>
      <c r="AS338" s="296"/>
      <c r="AT338" s="138"/>
      <c r="AU338" s="138"/>
      <c r="AV338" s="138"/>
      <c r="AW338" s="138"/>
      <c r="AX338" s="138"/>
      <c r="AY338" s="297"/>
      <c r="AZ338" s="296"/>
      <c r="BA338" s="296"/>
      <c r="BB338" s="296"/>
      <c r="BC338" s="222">
        <f t="shared" si="132"/>
        <v>0</v>
      </c>
      <c r="BD338" s="162">
        <f t="shared" si="133"/>
        <v>0</v>
      </c>
      <c r="BE338" s="132"/>
      <c r="BF338" s="162">
        <f t="shared" si="134"/>
        <v>0</v>
      </c>
      <c r="BG338" s="138"/>
      <c r="BH338" s="138"/>
      <c r="BI338" s="972"/>
      <c r="BJ338" s="138"/>
      <c r="BK338" s="138"/>
      <c r="BL338" s="138"/>
      <c r="BM338" s="138"/>
      <c r="BN338" s="138"/>
      <c r="BO338" s="138"/>
      <c r="BP338" s="138"/>
      <c r="BQ338" s="138"/>
      <c r="BR338" s="138"/>
      <c r="BS338" s="163"/>
      <c r="BT338" s="164">
        <f t="shared" si="135"/>
        <v>0</v>
      </c>
      <c r="BU338" s="132"/>
    </row>
    <row r="339" ht="14.25" customHeight="1">
      <c r="A339" s="3"/>
      <c r="B339" s="2"/>
      <c r="C339" s="166">
        <f ref="C339:U339" t="shared" si="136">SUM(C308:C338)</f>
        <v>0</v>
      </c>
      <c r="D339" s="166">
        <f t="shared" si="136"/>
        <v>0</v>
      </c>
      <c r="E339" s="166">
        <f t="shared" si="136"/>
        <v>0</v>
      </c>
      <c r="F339" s="166">
        <f t="shared" si="136"/>
        <v>0</v>
      </c>
      <c r="G339" s="166">
        <f t="shared" si="136"/>
        <v>0</v>
      </c>
      <c r="H339" s="166">
        <f t="shared" si="136"/>
        <v>0</v>
      </c>
      <c r="I339" s="166">
        <f t="shared" si="136"/>
        <v>0</v>
      </c>
      <c r="J339" s="166">
        <f t="shared" si="136"/>
        <v>0</v>
      </c>
      <c r="K339" s="166">
        <f t="shared" si="136"/>
        <v>0</v>
      </c>
      <c r="L339" s="166">
        <f t="shared" si="136"/>
        <v>0</v>
      </c>
      <c r="M339" s="166">
        <f t="shared" si="136"/>
        <v>0</v>
      </c>
      <c r="N339" s="166">
        <f t="shared" si="136"/>
        <v>0</v>
      </c>
      <c r="O339" s="166">
        <f t="shared" si="136"/>
        <v>0</v>
      </c>
      <c r="P339" s="166">
        <f t="shared" si="136"/>
        <v>0</v>
      </c>
      <c r="Q339" s="166">
        <f t="shared" si="136"/>
        <v>0</v>
      </c>
      <c r="R339" s="166">
        <f t="shared" si="136"/>
        <v>0</v>
      </c>
      <c r="S339" s="166">
        <f t="shared" si="136"/>
        <v>0</v>
      </c>
      <c r="T339" s="166">
        <f t="shared" si="136"/>
        <v>0</v>
      </c>
      <c r="U339" s="166">
        <f t="shared" si="136"/>
        <v>0</v>
      </c>
      <c r="V339" s="166"/>
      <c r="W339" s="166"/>
      <c r="X339" s="166">
        <f ref="X339:AX339" t="shared" si="137">SUM(X308:X338)</f>
        <v>0</v>
      </c>
      <c r="Y339" s="166">
        <f t="shared" si="137"/>
        <v>0</v>
      </c>
      <c r="Z339" s="166">
        <f t="shared" si="137"/>
        <v>0</v>
      </c>
      <c r="AA339" s="166">
        <f t="shared" si="137"/>
        <v>0</v>
      </c>
      <c r="AB339" s="166">
        <f t="shared" si="137"/>
        <v>0</v>
      </c>
      <c r="AC339" s="166">
        <f t="shared" si="137"/>
        <v>0</v>
      </c>
      <c r="AD339" s="166">
        <f t="shared" si="137"/>
        <v>0</v>
      </c>
      <c r="AE339" s="166">
        <f t="shared" si="137"/>
        <v>0</v>
      </c>
      <c r="AF339" s="166">
        <f t="shared" si="137"/>
        <v>0</v>
      </c>
      <c r="AG339" s="166">
        <f t="shared" si="137"/>
        <v>0</v>
      </c>
      <c r="AH339" s="166">
        <f t="shared" si="137"/>
        <v>0</v>
      </c>
      <c r="AI339" s="166">
        <f t="shared" si="137"/>
        <v>0</v>
      </c>
      <c r="AJ339" s="166">
        <f t="shared" si="137"/>
        <v>0</v>
      </c>
      <c r="AK339" s="166">
        <f t="shared" si="137"/>
        <v>0</v>
      </c>
      <c r="AL339" s="166">
        <f t="shared" si="137"/>
        <v>0</v>
      </c>
      <c r="AM339" s="166">
        <f t="shared" si="137"/>
        <v>0</v>
      </c>
      <c r="AN339" s="166">
        <f t="shared" si="137"/>
        <v>0</v>
      </c>
      <c r="AO339" s="166">
        <f t="shared" si="137"/>
        <v>0</v>
      </c>
      <c r="AP339" s="166">
        <f t="shared" si="137"/>
        <v>0</v>
      </c>
      <c r="AQ339" s="166">
        <f t="shared" si="137"/>
        <v>0</v>
      </c>
      <c r="AR339" s="166">
        <f t="shared" si="137"/>
        <v>0</v>
      </c>
      <c r="AS339" s="165">
        <f t="shared" si="137"/>
        <v>0</v>
      </c>
      <c r="AT339" s="165">
        <f t="shared" si="137"/>
        <v>0</v>
      </c>
      <c r="AU339" s="165">
        <f t="shared" si="137"/>
        <v>0</v>
      </c>
      <c r="AV339" s="165">
        <f t="shared" si="137"/>
        <v>0</v>
      </c>
      <c r="AW339" s="165">
        <f t="shared" si="137"/>
        <v>0</v>
      </c>
      <c r="AX339" s="165">
        <f t="shared" si="137"/>
        <v>0</v>
      </c>
      <c r="AY339" s="165"/>
      <c r="AZ339" s="166"/>
      <c r="BA339" s="166"/>
      <c r="BB339" s="166"/>
      <c r="BC339" s="166">
        <f ref="BC339:BD339" t="shared" si="138">SUM(BC308:BC338)</f>
        <v>0</v>
      </c>
      <c r="BD339" s="166">
        <f t="shared" si="138"/>
        <v>0</v>
      </c>
      <c r="BE339" s="3"/>
      <c r="BF339" s="172">
        <f ref="BF339:BT339" t="shared" si="139">SUM(BF308:BF338)</f>
        <v>0</v>
      </c>
      <c r="BG339" s="172">
        <f t="shared" si="139"/>
        <v>0</v>
      </c>
      <c r="BH339" s="172">
        <f t="shared" si="139"/>
        <v>0</v>
      </c>
      <c r="BI339" s="172">
        <f t="shared" si="139"/>
        <v>0</v>
      </c>
      <c r="BJ339" s="172">
        <f t="shared" si="139"/>
        <v>0</v>
      </c>
      <c r="BK339" s="172">
        <f t="shared" si="139"/>
        <v>0</v>
      </c>
      <c r="BL339" s="172">
        <f t="shared" si="139"/>
        <v>0</v>
      </c>
      <c r="BM339" s="172">
        <f t="shared" si="139"/>
        <v>0</v>
      </c>
      <c r="BN339" s="172">
        <f t="shared" si="139"/>
        <v>0</v>
      </c>
      <c r="BO339" s="172">
        <f t="shared" si="139"/>
        <v>0</v>
      </c>
      <c r="BP339" s="172">
        <f t="shared" si="139"/>
        <v>0</v>
      </c>
      <c r="BQ339" s="172">
        <f t="shared" si="139"/>
        <v>0</v>
      </c>
      <c r="BR339" s="172">
        <f t="shared" si="139"/>
        <v>0</v>
      </c>
      <c r="BS339" s="172">
        <f t="shared" si="139"/>
        <v>0</v>
      </c>
      <c r="BT339" s="172">
        <f t="shared" si="139"/>
        <v>0</v>
      </c>
      <c r="BU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4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4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</row>
    <row r="341" ht="14.25" customHeight="1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176"/>
      <c r="AI341" s="3"/>
      <c r="AJ341" s="3"/>
      <c r="AK341" s="3"/>
      <c r="AL341" s="4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05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ht="14.25" customHeight="1">
      <c r="A342" s="3"/>
      <c r="B342" s="512">
        <v>46327</v>
      </c>
      <c r="C342" s="104"/>
      <c r="D342" s="104"/>
      <c r="E342" s="97"/>
      <c r="F342" s="97"/>
      <c r="G342" s="265">
        <f ref="G342:G371" t="shared" si="140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86"/>
      <c r="U342" s="189">
        <f ref="U342:U371" t="shared" si="141">SUM(H342:T342)</f>
        <v>0</v>
      </c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03">
        <f ref="AH342:AH371" t="shared" si="142">SUM(V342:AG342)</f>
        <v>0</v>
      </c>
      <c r="AI342" s="104"/>
      <c r="AJ342" s="104"/>
      <c r="AK342" s="104"/>
      <c r="AL342" s="191">
        <f ref="AL342:AL371" t="shared" si="143">SUM(AI342:AK342)</f>
        <v>0</v>
      </c>
      <c r="AM342" s="186"/>
      <c r="AN342" s="186"/>
      <c r="AO342" s="186"/>
      <c r="AP342" s="186"/>
      <c r="AQ342" s="193"/>
      <c r="AR342" s="219">
        <f ref="AR342:AR371" t="shared" si="144">+G342-U342-AH342-AL342-AM342-AO342-AP342-AQ342</f>
        <v>0</v>
      </c>
      <c r="AS342" s="269"/>
      <c r="AT342" s="109"/>
      <c r="AU342" s="109"/>
      <c r="AV342" s="109"/>
      <c r="AW342" s="109"/>
      <c r="AX342" s="109"/>
      <c r="AY342" s="109"/>
      <c r="AZ342" s="269"/>
      <c r="BA342" s="269"/>
      <c r="BB342" s="269"/>
      <c r="BC342" s="222">
        <f ref="BC342:BC371" t="shared" si="145">SUM(AS342:BB342)-BA342</f>
        <v>0</v>
      </c>
      <c r="BD342" s="114">
        <f ref="BD342:BD371" t="shared" si="146">+AR342-BC342</f>
        <v>0</v>
      </c>
      <c r="BE342" s="3"/>
      <c r="BF342" s="114">
        <f ref="BF342:BF371" t="shared" si="147">SUM(BG342:BS342)</f>
        <v>0</v>
      </c>
      <c r="BG342" s="220"/>
      <c r="BH342" s="220"/>
      <c r="BI342" s="220"/>
      <c r="BJ342" s="220"/>
      <c r="BK342" s="220"/>
      <c r="BL342" s="220"/>
      <c r="BM342" s="220"/>
      <c r="BN342" s="220"/>
      <c r="BO342" s="220"/>
      <c r="BP342" s="220"/>
      <c r="BQ342" s="220"/>
      <c r="BR342" s="220"/>
      <c r="BS342" s="115"/>
      <c r="BT342" s="116">
        <f ref="BT342:BT371" t="shared" si="148">+BD342-BF342</f>
        <v>0</v>
      </c>
      <c r="BU342" s="3"/>
    </row>
    <row r="343" ht="14.25" customHeight="1">
      <c r="A343" s="3"/>
      <c r="B343" s="512">
        <v>46328</v>
      </c>
      <c r="C343" s="123"/>
      <c r="D343" s="123"/>
      <c r="E343" s="120"/>
      <c r="F343" s="120"/>
      <c r="G343" s="147">
        <f t="shared" si="140"/>
        <v>0</v>
      </c>
      <c r="H343" s="97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41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03">
        <f t="shared" si="142"/>
        <v>0</v>
      </c>
      <c r="AI343" s="123"/>
      <c r="AJ343" s="123"/>
      <c r="AK343" s="123"/>
      <c r="AL343" s="105">
        <f t="shared" si="143"/>
        <v>0</v>
      </c>
      <c r="AM343" s="143"/>
      <c r="AN343" s="143"/>
      <c r="AO343" s="143"/>
      <c r="AP343" s="143"/>
      <c r="AQ343" s="146"/>
      <c r="AR343" s="224">
        <f t="shared" si="144"/>
        <v>0</v>
      </c>
      <c r="AS343" s="274"/>
      <c r="AT343" s="126"/>
      <c r="AU343" s="126"/>
      <c r="AV343" s="126"/>
      <c r="AW343" s="126"/>
      <c r="AX343" s="126"/>
      <c r="AY343" s="126"/>
      <c r="AZ343" s="274"/>
      <c r="BA343" s="274"/>
      <c r="BB343" s="274"/>
      <c r="BC343" s="222">
        <f t="shared" si="145"/>
        <v>0</v>
      </c>
      <c r="BD343" s="113">
        <f t="shared" si="146"/>
        <v>0</v>
      </c>
      <c r="BE343" s="3"/>
      <c r="BF343" s="113">
        <f t="shared" si="147"/>
        <v>0</v>
      </c>
      <c r="BG343" s="225"/>
      <c r="BH343" s="225"/>
      <c r="BI343" s="225"/>
      <c r="BJ343" s="225"/>
      <c r="BK343" s="225"/>
      <c r="BL343" s="225"/>
      <c r="BM343" s="225"/>
      <c r="BN343" s="225"/>
      <c r="BO343" s="225"/>
      <c r="BP343" s="225"/>
      <c r="BQ343" s="225"/>
      <c r="BR343" s="225"/>
      <c r="BS343" s="129"/>
      <c r="BT343" s="130">
        <f t="shared" si="148"/>
        <v>0</v>
      </c>
      <c r="BU343" s="3"/>
    </row>
    <row r="344" ht="14.25" customHeight="1">
      <c r="A344" s="3"/>
      <c r="B344" s="512">
        <v>46329</v>
      </c>
      <c r="C344" s="123"/>
      <c r="D344" s="123"/>
      <c r="E344" s="120"/>
      <c r="F344" s="120"/>
      <c r="G344" s="147">
        <f t="shared" si="140"/>
        <v>0</v>
      </c>
      <c r="H344" s="97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41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03">
        <f t="shared" si="142"/>
        <v>0</v>
      </c>
      <c r="AI344" s="123"/>
      <c r="AJ344" s="123"/>
      <c r="AK344" s="123"/>
      <c r="AL344" s="105">
        <f t="shared" si="143"/>
        <v>0</v>
      </c>
      <c r="AM344" s="143"/>
      <c r="AN344" s="143"/>
      <c r="AO344" s="143"/>
      <c r="AP344" s="143"/>
      <c r="AQ344" s="146"/>
      <c r="AR344" s="224">
        <f t="shared" si="144"/>
        <v>0</v>
      </c>
      <c r="AS344" s="274"/>
      <c r="AT344" s="126"/>
      <c r="AU344" s="126"/>
      <c r="AV344" s="126"/>
      <c r="AW344" s="126"/>
      <c r="AX344" s="126"/>
      <c r="AY344" s="126"/>
      <c r="AZ344" s="274"/>
      <c r="BA344" s="274"/>
      <c r="BB344" s="274"/>
      <c r="BC344" s="222">
        <f t="shared" si="145"/>
        <v>0</v>
      </c>
      <c r="BD344" s="113">
        <f t="shared" si="146"/>
        <v>0</v>
      </c>
      <c r="BE344" s="3"/>
      <c r="BF344" s="113">
        <f t="shared" si="147"/>
        <v>0</v>
      </c>
      <c r="BG344" s="225"/>
      <c r="BH344" s="225"/>
      <c r="BI344" s="225"/>
      <c r="BJ344" s="225"/>
      <c r="BK344" s="225"/>
      <c r="BL344" s="225"/>
      <c r="BM344" s="225"/>
      <c r="BN344" s="225"/>
      <c r="BO344" s="225"/>
      <c r="BP344" s="225"/>
      <c r="BQ344" s="225"/>
      <c r="BR344" s="225"/>
      <c r="BS344" s="129"/>
      <c r="BT344" s="130">
        <f t="shared" si="148"/>
        <v>0</v>
      </c>
      <c r="BU344" s="3"/>
    </row>
    <row r="345" ht="14.25" customHeight="1">
      <c r="A345" s="132"/>
      <c r="B345" s="512">
        <v>46330</v>
      </c>
      <c r="C345" s="136"/>
      <c r="D345" s="136"/>
      <c r="E345" s="135"/>
      <c r="F345" s="135"/>
      <c r="G345" s="147">
        <f t="shared" si="140"/>
        <v>0</v>
      </c>
      <c r="H345" s="144"/>
      <c r="I345" s="143"/>
      <c r="J345" s="143"/>
      <c r="K345" s="93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41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03">
        <f t="shared" si="142"/>
        <v>0</v>
      </c>
      <c r="AI345" s="136"/>
      <c r="AJ345" s="136"/>
      <c r="AK345" s="136"/>
      <c r="AL345" s="105">
        <f t="shared" si="143"/>
        <v>0</v>
      </c>
      <c r="AM345" s="143"/>
      <c r="AN345" s="143"/>
      <c r="AO345" s="143"/>
      <c r="AP345" s="143"/>
      <c r="AQ345" s="146"/>
      <c r="AR345" s="224">
        <f t="shared" si="144"/>
        <v>0</v>
      </c>
      <c r="AS345" s="274"/>
      <c r="AT345" s="126"/>
      <c r="AU345" s="126"/>
      <c r="AV345" s="126"/>
      <c r="AW345" s="126"/>
      <c r="AX345" s="126"/>
      <c r="AY345" s="126"/>
      <c r="AZ345" s="274"/>
      <c r="BA345" s="274"/>
      <c r="BB345" s="274"/>
      <c r="BC345" s="222">
        <f t="shared" si="145"/>
        <v>0</v>
      </c>
      <c r="BD345" s="140">
        <f t="shared" si="146"/>
        <v>0</v>
      </c>
      <c r="BE345" s="132"/>
      <c r="BF345" s="140">
        <f t="shared" si="147"/>
        <v>0</v>
      </c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26"/>
      <c r="BR345" s="126"/>
      <c r="BS345" s="141"/>
      <c r="BT345" s="130">
        <f t="shared" si="148"/>
        <v>0</v>
      </c>
      <c r="BU345" s="132"/>
    </row>
    <row r="346" ht="14.25" customHeight="1">
      <c r="A346" s="132"/>
      <c r="B346" s="512">
        <v>46331</v>
      </c>
      <c r="C346" s="136"/>
      <c r="D346" s="136"/>
      <c r="E346" s="135"/>
      <c r="F346" s="135"/>
      <c r="G346" s="147">
        <f t="shared" si="140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41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03">
        <f t="shared" si="142"/>
        <v>0</v>
      </c>
      <c r="AI346" s="136"/>
      <c r="AJ346" s="136"/>
      <c r="AK346" s="136"/>
      <c r="AL346" s="105">
        <f t="shared" si="143"/>
        <v>0</v>
      </c>
      <c r="AM346" s="143"/>
      <c r="AN346" s="143"/>
      <c r="AO346" s="143"/>
      <c r="AP346" s="143"/>
      <c r="AQ346" s="146"/>
      <c r="AR346" s="224">
        <f t="shared" si="144"/>
        <v>0</v>
      </c>
      <c r="AS346" s="274"/>
      <c r="AT346" s="126"/>
      <c r="AU346" s="126"/>
      <c r="AV346" s="126"/>
      <c r="AW346" s="126"/>
      <c r="AX346" s="126"/>
      <c r="AY346" s="126"/>
      <c r="AZ346" s="274"/>
      <c r="BA346" s="274"/>
      <c r="BB346" s="274"/>
      <c r="BC346" s="222">
        <f t="shared" si="145"/>
        <v>0</v>
      </c>
      <c r="BD346" s="140">
        <f t="shared" si="146"/>
        <v>0</v>
      </c>
      <c r="BE346" s="132"/>
      <c r="BF346" s="140">
        <f t="shared" si="147"/>
        <v>0</v>
      </c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26"/>
      <c r="BR346" s="126"/>
      <c r="BS346" s="141"/>
      <c r="BT346" s="130">
        <f t="shared" si="148"/>
        <v>0</v>
      </c>
      <c r="BU346" s="132"/>
    </row>
    <row r="347" ht="14.25" customHeight="1">
      <c r="A347" s="132"/>
      <c r="B347" s="512">
        <v>46332</v>
      </c>
      <c r="C347" s="136"/>
      <c r="D347" s="136"/>
      <c r="E347" s="135"/>
      <c r="F347" s="135"/>
      <c r="G347" s="147">
        <f t="shared" si="140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41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03">
        <f t="shared" si="142"/>
        <v>0</v>
      </c>
      <c r="AI347" s="136"/>
      <c r="AJ347" s="136"/>
      <c r="AK347" s="136"/>
      <c r="AL347" s="105">
        <f t="shared" si="143"/>
        <v>0</v>
      </c>
      <c r="AM347" s="143"/>
      <c r="AN347" s="143"/>
      <c r="AO347" s="143"/>
      <c r="AP347" s="143"/>
      <c r="AQ347" s="146"/>
      <c r="AR347" s="224">
        <f t="shared" si="144"/>
        <v>0</v>
      </c>
      <c r="AS347" s="274"/>
      <c r="AT347" s="126"/>
      <c r="AU347" s="126"/>
      <c r="AV347" s="126"/>
      <c r="AW347" s="126"/>
      <c r="AX347" s="126"/>
      <c r="AY347" s="126"/>
      <c r="AZ347" s="274"/>
      <c r="BA347" s="274"/>
      <c r="BB347" s="274"/>
      <c r="BC347" s="222">
        <f t="shared" si="145"/>
        <v>0</v>
      </c>
      <c r="BD347" s="140">
        <f t="shared" si="146"/>
        <v>0</v>
      </c>
      <c r="BE347" s="132"/>
      <c r="BF347" s="140">
        <f t="shared" si="147"/>
        <v>0</v>
      </c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26"/>
      <c r="BR347" s="126"/>
      <c r="BS347" s="141"/>
      <c r="BT347" s="130">
        <f t="shared" si="148"/>
        <v>0</v>
      </c>
      <c r="BU347" s="132"/>
    </row>
    <row r="348" ht="14.25" customHeight="1">
      <c r="A348" s="132"/>
      <c r="B348" s="512">
        <v>46333</v>
      </c>
      <c r="C348" s="136"/>
      <c r="D348" s="136"/>
      <c r="E348" s="135"/>
      <c r="F348" s="135"/>
      <c r="G348" s="147">
        <f t="shared" si="140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41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03">
        <f t="shared" si="142"/>
        <v>0</v>
      </c>
      <c r="AI348" s="136"/>
      <c r="AJ348" s="136"/>
      <c r="AK348" s="136"/>
      <c r="AL348" s="105">
        <f t="shared" si="143"/>
        <v>0</v>
      </c>
      <c r="AM348" s="143"/>
      <c r="AN348" s="143"/>
      <c r="AO348" s="143"/>
      <c r="AP348" s="143"/>
      <c r="AQ348" s="146"/>
      <c r="AR348" s="224">
        <f t="shared" si="144"/>
        <v>0</v>
      </c>
      <c r="AS348" s="274"/>
      <c r="AT348" s="126"/>
      <c r="AU348" s="126"/>
      <c r="AV348" s="126"/>
      <c r="AW348" s="126"/>
      <c r="AX348" s="126"/>
      <c r="AY348" s="126"/>
      <c r="AZ348" s="274"/>
      <c r="BA348" s="274"/>
      <c r="BB348" s="274"/>
      <c r="BC348" s="222">
        <f t="shared" si="145"/>
        <v>0</v>
      </c>
      <c r="BD348" s="140">
        <f t="shared" si="146"/>
        <v>0</v>
      </c>
      <c r="BE348" s="132"/>
      <c r="BF348" s="140">
        <f t="shared" si="147"/>
        <v>0</v>
      </c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26"/>
      <c r="BR348" s="126"/>
      <c r="BS348" s="141"/>
      <c r="BT348" s="130">
        <f t="shared" si="148"/>
        <v>0</v>
      </c>
      <c r="BU348" s="132"/>
    </row>
    <row r="349" ht="14.25" customHeight="1">
      <c r="A349" s="132"/>
      <c r="B349" s="512">
        <v>46334</v>
      </c>
      <c r="C349" s="136"/>
      <c r="D349" s="136"/>
      <c r="E349" s="135"/>
      <c r="F349" s="135"/>
      <c r="G349" s="147">
        <f t="shared" si="140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41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03">
        <f t="shared" si="142"/>
        <v>0</v>
      </c>
      <c r="AI349" s="136"/>
      <c r="AJ349" s="136"/>
      <c r="AK349" s="136"/>
      <c r="AL349" s="105">
        <f t="shared" si="143"/>
        <v>0</v>
      </c>
      <c r="AM349" s="143"/>
      <c r="AN349" s="143"/>
      <c r="AO349" s="143"/>
      <c r="AP349" s="143"/>
      <c r="AQ349" s="146"/>
      <c r="AR349" s="224">
        <f t="shared" si="144"/>
        <v>0</v>
      </c>
      <c r="AS349" s="274"/>
      <c r="AT349" s="126"/>
      <c r="AU349" s="126"/>
      <c r="AV349" s="126"/>
      <c r="AW349" s="126"/>
      <c r="AX349" s="126"/>
      <c r="AY349" s="126"/>
      <c r="AZ349" s="274"/>
      <c r="BA349" s="274"/>
      <c r="BB349" s="274"/>
      <c r="BC349" s="222">
        <f t="shared" si="145"/>
        <v>0</v>
      </c>
      <c r="BD349" s="140">
        <f t="shared" si="146"/>
        <v>0</v>
      </c>
      <c r="BE349" s="132"/>
      <c r="BF349" s="140">
        <f t="shared" si="147"/>
        <v>0</v>
      </c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26"/>
      <c r="BR349" s="126"/>
      <c r="BS349" s="141"/>
      <c r="BT349" s="130">
        <f t="shared" si="148"/>
        <v>0</v>
      </c>
      <c r="BU349" s="132"/>
    </row>
    <row r="350" ht="14.25" customHeight="1">
      <c r="A350" s="132"/>
      <c r="B350" s="512">
        <v>46335</v>
      </c>
      <c r="C350" s="136"/>
      <c r="D350" s="136"/>
      <c r="E350" s="135"/>
      <c r="F350" s="135"/>
      <c r="G350" s="147">
        <f t="shared" si="140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41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03">
        <f t="shared" si="142"/>
        <v>0</v>
      </c>
      <c r="AI350" s="136"/>
      <c r="AJ350" s="136"/>
      <c r="AK350" s="136"/>
      <c r="AL350" s="105">
        <f t="shared" si="143"/>
        <v>0</v>
      </c>
      <c r="AM350" s="143"/>
      <c r="AN350" s="143"/>
      <c r="AO350" s="143"/>
      <c r="AP350" s="143"/>
      <c r="AQ350" s="146"/>
      <c r="AR350" s="224">
        <f t="shared" si="144"/>
        <v>0</v>
      </c>
      <c r="AS350" s="274"/>
      <c r="AT350" s="126"/>
      <c r="AU350" s="126"/>
      <c r="AV350" s="126"/>
      <c r="AW350" s="126"/>
      <c r="AX350" s="126"/>
      <c r="AY350" s="126"/>
      <c r="AZ350" s="274"/>
      <c r="BA350" s="274"/>
      <c r="BB350" s="274"/>
      <c r="BC350" s="222">
        <f t="shared" si="145"/>
        <v>0</v>
      </c>
      <c r="BD350" s="140">
        <f t="shared" si="146"/>
        <v>0</v>
      </c>
      <c r="BE350" s="132"/>
      <c r="BF350" s="140">
        <f t="shared" si="147"/>
        <v>0</v>
      </c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26"/>
      <c r="BR350" s="126"/>
      <c r="BS350" s="141"/>
      <c r="BT350" s="130">
        <f t="shared" si="148"/>
        <v>0</v>
      </c>
      <c r="BU350" s="132"/>
    </row>
    <row r="351" ht="14.25" customHeight="1">
      <c r="A351" s="132"/>
      <c r="B351" s="512">
        <v>46336</v>
      </c>
      <c r="C351" s="136"/>
      <c r="D351" s="136"/>
      <c r="E351" s="135"/>
      <c r="F351" s="135"/>
      <c r="G351" s="147">
        <f t="shared" si="140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41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03">
        <f t="shared" si="142"/>
        <v>0</v>
      </c>
      <c r="AI351" s="136"/>
      <c r="AJ351" s="136"/>
      <c r="AK351" s="136"/>
      <c r="AL351" s="105">
        <f t="shared" si="143"/>
        <v>0</v>
      </c>
      <c r="AM351" s="143"/>
      <c r="AN351" s="143"/>
      <c r="AO351" s="143"/>
      <c r="AP351" s="143"/>
      <c r="AQ351" s="146"/>
      <c r="AR351" s="224">
        <f t="shared" si="144"/>
        <v>0</v>
      </c>
      <c r="AS351" s="274"/>
      <c r="AT351" s="126"/>
      <c r="AU351" s="126"/>
      <c r="AV351" s="126"/>
      <c r="AW351" s="126"/>
      <c r="AX351" s="126"/>
      <c r="AY351" s="126"/>
      <c r="AZ351" s="274"/>
      <c r="BA351" s="274"/>
      <c r="BB351" s="274"/>
      <c r="BC351" s="222">
        <f t="shared" si="145"/>
        <v>0</v>
      </c>
      <c r="BD351" s="140">
        <f t="shared" si="146"/>
        <v>0</v>
      </c>
      <c r="BE351" s="132"/>
      <c r="BF351" s="140">
        <f t="shared" si="147"/>
        <v>0</v>
      </c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26"/>
      <c r="BR351" s="126"/>
      <c r="BS351" s="141"/>
      <c r="BT351" s="130">
        <f t="shared" si="148"/>
        <v>0</v>
      </c>
      <c r="BU351" s="132"/>
    </row>
    <row r="352" ht="14.25" customHeight="1">
      <c r="A352" s="132"/>
      <c r="B352" s="512">
        <v>46337</v>
      </c>
      <c r="C352" s="136"/>
      <c r="D352" s="136"/>
      <c r="E352" s="135"/>
      <c r="F352" s="135"/>
      <c r="G352" s="147">
        <f t="shared" si="140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41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03">
        <f t="shared" si="142"/>
        <v>0</v>
      </c>
      <c r="AI352" s="136"/>
      <c r="AJ352" s="136"/>
      <c r="AK352" s="136"/>
      <c r="AL352" s="105">
        <f t="shared" si="143"/>
        <v>0</v>
      </c>
      <c r="AM352" s="143"/>
      <c r="AN352" s="143"/>
      <c r="AO352" s="143"/>
      <c r="AP352" s="143"/>
      <c r="AQ352" s="146"/>
      <c r="AR352" s="224">
        <f t="shared" si="144"/>
        <v>0</v>
      </c>
      <c r="AS352" s="274"/>
      <c r="AT352" s="126"/>
      <c r="AU352" s="126"/>
      <c r="AV352" s="126"/>
      <c r="AW352" s="126"/>
      <c r="AX352" s="126"/>
      <c r="AY352" s="126"/>
      <c r="AZ352" s="274"/>
      <c r="BA352" s="274"/>
      <c r="BB352" s="274"/>
      <c r="BC352" s="222">
        <f t="shared" si="145"/>
        <v>0</v>
      </c>
      <c r="BD352" s="140">
        <f t="shared" si="146"/>
        <v>0</v>
      </c>
      <c r="BE352" s="132"/>
      <c r="BF352" s="140">
        <f t="shared" si="147"/>
        <v>0</v>
      </c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26"/>
      <c r="BR352" s="126"/>
      <c r="BS352" s="141"/>
      <c r="BT352" s="130">
        <f t="shared" si="148"/>
        <v>0</v>
      </c>
      <c r="BU352" s="132"/>
    </row>
    <row r="353" ht="14.25" customHeight="1">
      <c r="A353" s="132"/>
      <c r="B353" s="512">
        <v>46338</v>
      </c>
      <c r="C353" s="136"/>
      <c r="D353" s="136"/>
      <c r="E353" s="135"/>
      <c r="F353" s="135"/>
      <c r="G353" s="147">
        <f t="shared" si="140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41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03">
        <f t="shared" si="142"/>
        <v>0</v>
      </c>
      <c r="AI353" s="136"/>
      <c r="AJ353" s="136"/>
      <c r="AK353" s="136"/>
      <c r="AL353" s="105">
        <f t="shared" si="143"/>
        <v>0</v>
      </c>
      <c r="AM353" s="143"/>
      <c r="AN353" s="143"/>
      <c r="AO353" s="143"/>
      <c r="AP353" s="143"/>
      <c r="AQ353" s="146"/>
      <c r="AR353" s="224">
        <f t="shared" si="144"/>
        <v>0</v>
      </c>
      <c r="AS353" s="274"/>
      <c r="AT353" s="126"/>
      <c r="AU353" s="126"/>
      <c r="AV353" s="126"/>
      <c r="AW353" s="126"/>
      <c r="AX353" s="126"/>
      <c r="AY353" s="126"/>
      <c r="AZ353" s="274"/>
      <c r="BA353" s="274"/>
      <c r="BB353" s="274"/>
      <c r="BC353" s="222">
        <f t="shared" si="145"/>
        <v>0</v>
      </c>
      <c r="BD353" s="140">
        <f t="shared" si="146"/>
        <v>0</v>
      </c>
      <c r="BE353" s="132"/>
      <c r="BF353" s="140">
        <f t="shared" si="147"/>
        <v>0</v>
      </c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26"/>
      <c r="BR353" s="126"/>
      <c r="BS353" s="141"/>
      <c r="BT353" s="130">
        <f t="shared" si="148"/>
        <v>0</v>
      </c>
      <c r="BU353" s="132"/>
    </row>
    <row r="354" ht="14.25" customHeight="1">
      <c r="A354" s="132"/>
      <c r="B354" s="512">
        <v>46339</v>
      </c>
      <c r="C354" s="136"/>
      <c r="D354" s="136"/>
      <c r="E354" s="135"/>
      <c r="F354" s="135"/>
      <c r="G354" s="147">
        <f t="shared" si="140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41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03">
        <f t="shared" si="142"/>
        <v>0</v>
      </c>
      <c r="AI354" s="136"/>
      <c r="AJ354" s="136"/>
      <c r="AK354" s="136"/>
      <c r="AL354" s="105">
        <f t="shared" si="143"/>
        <v>0</v>
      </c>
      <c r="AM354" s="143"/>
      <c r="AN354" s="143"/>
      <c r="AO354" s="143"/>
      <c r="AP354" s="143"/>
      <c r="AQ354" s="146"/>
      <c r="AR354" s="224">
        <f t="shared" si="144"/>
        <v>0</v>
      </c>
      <c r="AS354" s="274"/>
      <c r="AT354" s="126"/>
      <c r="AU354" s="126"/>
      <c r="AV354" s="126"/>
      <c r="AW354" s="126"/>
      <c r="AX354" s="126"/>
      <c r="AY354" s="126"/>
      <c r="AZ354" s="274"/>
      <c r="BA354" s="274"/>
      <c r="BB354" s="274"/>
      <c r="BC354" s="222">
        <f t="shared" si="145"/>
        <v>0</v>
      </c>
      <c r="BD354" s="140">
        <f t="shared" si="146"/>
        <v>0</v>
      </c>
      <c r="BE354" s="132"/>
      <c r="BF354" s="140">
        <f t="shared" si="147"/>
        <v>0</v>
      </c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26"/>
      <c r="BR354" s="126"/>
      <c r="BS354" s="141"/>
      <c r="BT354" s="130">
        <f t="shared" si="148"/>
        <v>0</v>
      </c>
      <c r="BU354" s="132"/>
    </row>
    <row r="355" ht="14.25" customHeight="1">
      <c r="A355" s="132"/>
      <c r="B355" s="512">
        <v>46340</v>
      </c>
      <c r="C355" s="136"/>
      <c r="D355" s="136"/>
      <c r="E355" s="135"/>
      <c r="F355" s="135"/>
      <c r="G355" s="147">
        <f t="shared" si="140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41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03">
        <f t="shared" si="142"/>
        <v>0</v>
      </c>
      <c r="AI355" s="136"/>
      <c r="AJ355" s="136"/>
      <c r="AK355" s="136"/>
      <c r="AL355" s="105">
        <f t="shared" si="143"/>
        <v>0</v>
      </c>
      <c r="AM355" s="143"/>
      <c r="AN355" s="143"/>
      <c r="AO355" s="143"/>
      <c r="AP355" s="143"/>
      <c r="AQ355" s="146"/>
      <c r="AR355" s="224">
        <f t="shared" si="144"/>
        <v>0</v>
      </c>
      <c r="AS355" s="274"/>
      <c r="AT355" s="126"/>
      <c r="AU355" s="126"/>
      <c r="AV355" s="126"/>
      <c r="AW355" s="126"/>
      <c r="AX355" s="126"/>
      <c r="AY355" s="126"/>
      <c r="AZ355" s="274"/>
      <c r="BA355" s="274"/>
      <c r="BB355" s="274"/>
      <c r="BC355" s="222">
        <f t="shared" si="145"/>
        <v>0</v>
      </c>
      <c r="BD355" s="140">
        <f t="shared" si="146"/>
        <v>0</v>
      </c>
      <c r="BE355" s="132"/>
      <c r="BF355" s="140">
        <f t="shared" si="147"/>
        <v>0</v>
      </c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26"/>
      <c r="BR355" s="126"/>
      <c r="BS355" s="141"/>
      <c r="BT355" s="130">
        <f t="shared" si="148"/>
        <v>0</v>
      </c>
      <c r="BU355" s="132"/>
    </row>
    <row r="356" ht="14.25" customHeight="1">
      <c r="A356" s="132"/>
      <c r="B356" s="512">
        <v>46341</v>
      </c>
      <c r="C356" s="136"/>
      <c r="D356" s="136"/>
      <c r="E356" s="135"/>
      <c r="F356" s="135"/>
      <c r="G356" s="147">
        <f t="shared" si="140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41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03">
        <f t="shared" si="142"/>
        <v>0</v>
      </c>
      <c r="AI356" s="136"/>
      <c r="AJ356" s="136"/>
      <c r="AK356" s="136"/>
      <c r="AL356" s="105">
        <f t="shared" si="143"/>
        <v>0</v>
      </c>
      <c r="AM356" s="143"/>
      <c r="AN356" s="143"/>
      <c r="AO356" s="143"/>
      <c r="AP356" s="143"/>
      <c r="AQ356" s="146"/>
      <c r="AR356" s="224">
        <f t="shared" si="144"/>
        <v>0</v>
      </c>
      <c r="AS356" s="274"/>
      <c r="AT356" s="126"/>
      <c r="AU356" s="126"/>
      <c r="AV356" s="126"/>
      <c r="AW356" s="126"/>
      <c r="AX356" s="126"/>
      <c r="AY356" s="126"/>
      <c r="AZ356" s="274"/>
      <c r="BA356" s="274"/>
      <c r="BB356" s="274"/>
      <c r="BC356" s="222">
        <f t="shared" si="145"/>
        <v>0</v>
      </c>
      <c r="BD356" s="140">
        <f t="shared" si="146"/>
        <v>0</v>
      </c>
      <c r="BE356" s="132"/>
      <c r="BF356" s="140">
        <f t="shared" si="147"/>
        <v>0</v>
      </c>
      <c r="BG356" s="126"/>
      <c r="BH356" s="126"/>
      <c r="BI356" s="931"/>
      <c r="BJ356" s="126"/>
      <c r="BK356" s="126"/>
      <c r="BL356" s="126"/>
      <c r="BM356" s="126"/>
      <c r="BN356" s="126"/>
      <c r="BO356" s="126"/>
      <c r="BP356" s="126"/>
      <c r="BQ356" s="126"/>
      <c r="BR356" s="126"/>
      <c r="BS356" s="141"/>
      <c r="BT356" s="130">
        <f t="shared" si="148"/>
        <v>0</v>
      </c>
      <c r="BU356" s="132"/>
    </row>
    <row r="357" ht="14.25" customHeight="1">
      <c r="A357" s="3"/>
      <c r="B357" s="512">
        <v>46342</v>
      </c>
      <c r="C357" s="123"/>
      <c r="D357" s="123"/>
      <c r="E357" s="120"/>
      <c r="F357" s="120"/>
      <c r="G357" s="147">
        <f t="shared" si="140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41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03">
        <f t="shared" si="142"/>
        <v>0</v>
      </c>
      <c r="AI357" s="123"/>
      <c r="AJ357" s="123"/>
      <c r="AK357" s="123"/>
      <c r="AL357" s="105">
        <f t="shared" si="143"/>
        <v>0</v>
      </c>
      <c r="AM357" s="143"/>
      <c r="AN357" s="143"/>
      <c r="AO357" s="143"/>
      <c r="AP357" s="143"/>
      <c r="AQ357" s="146"/>
      <c r="AR357" s="224">
        <f t="shared" si="144"/>
        <v>0</v>
      </c>
      <c r="AS357" s="274"/>
      <c r="AT357" s="126"/>
      <c r="AU357" s="126"/>
      <c r="AV357" s="126"/>
      <c r="AW357" s="126"/>
      <c r="AX357" s="126"/>
      <c r="AY357" s="126"/>
      <c r="AZ357" s="274"/>
      <c r="BA357" s="274"/>
      <c r="BB357" s="274"/>
      <c r="BC357" s="222">
        <f t="shared" si="145"/>
        <v>0</v>
      </c>
      <c r="BD357" s="113">
        <f t="shared" si="146"/>
        <v>0</v>
      </c>
      <c r="BE357" s="3"/>
      <c r="BF357" s="113">
        <f t="shared" si="147"/>
        <v>0</v>
      </c>
      <c r="BG357" s="225"/>
      <c r="BH357" s="225"/>
      <c r="BI357" s="225"/>
      <c r="BJ357" s="225"/>
      <c r="BK357" s="225"/>
      <c r="BL357" s="225"/>
      <c r="BM357" s="225"/>
      <c r="BN357" s="225"/>
      <c r="BO357" s="225"/>
      <c r="BP357" s="225"/>
      <c r="BQ357" s="225"/>
      <c r="BR357" s="126"/>
      <c r="BS357" s="129"/>
      <c r="BT357" s="130">
        <f t="shared" si="148"/>
        <v>0</v>
      </c>
      <c r="BU357" s="3"/>
    </row>
    <row r="358" ht="14.25" customHeight="1">
      <c r="A358" s="3"/>
      <c r="B358" s="512">
        <v>46343</v>
      </c>
      <c r="C358" s="123"/>
      <c r="D358" s="123"/>
      <c r="E358" s="120"/>
      <c r="F358" s="120"/>
      <c r="G358" s="147">
        <f t="shared" si="140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41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03">
        <f t="shared" si="142"/>
        <v>0</v>
      </c>
      <c r="AI358" s="123"/>
      <c r="AJ358" s="123"/>
      <c r="AK358" s="123"/>
      <c r="AL358" s="105">
        <f t="shared" si="143"/>
        <v>0</v>
      </c>
      <c r="AM358" s="143"/>
      <c r="AN358" s="143"/>
      <c r="AO358" s="143"/>
      <c r="AP358" s="143"/>
      <c r="AQ358" s="146"/>
      <c r="AR358" s="224">
        <f t="shared" si="144"/>
        <v>0</v>
      </c>
      <c r="AS358" s="274"/>
      <c r="AT358" s="126"/>
      <c r="AU358" s="126"/>
      <c r="AV358" s="126"/>
      <c r="AW358" s="126"/>
      <c r="AX358" s="126"/>
      <c r="AY358" s="126"/>
      <c r="AZ358" s="274"/>
      <c r="BA358" s="274"/>
      <c r="BB358" s="274"/>
      <c r="BC358" s="222">
        <f t="shared" si="145"/>
        <v>0</v>
      </c>
      <c r="BD358" s="113">
        <f t="shared" si="146"/>
        <v>0</v>
      </c>
      <c r="BE358" s="3"/>
      <c r="BF358" s="113">
        <f t="shared" si="147"/>
        <v>0</v>
      </c>
      <c r="BG358" s="225"/>
      <c r="BH358" s="225"/>
      <c r="BI358" s="225"/>
      <c r="BJ358" s="225"/>
      <c r="BK358" s="225"/>
      <c r="BL358" s="225"/>
      <c r="BM358" s="225"/>
      <c r="BN358" s="225"/>
      <c r="BO358" s="225"/>
      <c r="BP358" s="225"/>
      <c r="BQ358" s="225"/>
      <c r="BR358" s="126"/>
      <c r="BS358" s="129"/>
      <c r="BT358" s="130">
        <f t="shared" si="148"/>
        <v>0</v>
      </c>
      <c r="BU358" s="3"/>
    </row>
    <row r="359" ht="14.25" customHeight="1">
      <c r="A359" s="3"/>
      <c r="B359" s="512">
        <v>46344</v>
      </c>
      <c r="C359" s="123"/>
      <c r="D359" s="123"/>
      <c r="E359" s="120"/>
      <c r="F359" s="120"/>
      <c r="G359" s="147">
        <f t="shared" si="140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41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03">
        <f t="shared" si="142"/>
        <v>0</v>
      </c>
      <c r="AI359" s="123"/>
      <c r="AJ359" s="123"/>
      <c r="AK359" s="123"/>
      <c r="AL359" s="105">
        <f t="shared" si="143"/>
        <v>0</v>
      </c>
      <c r="AM359" s="143"/>
      <c r="AN359" s="143"/>
      <c r="AO359" s="143"/>
      <c r="AP359" s="143"/>
      <c r="AQ359" s="146"/>
      <c r="AR359" s="224">
        <f t="shared" si="144"/>
        <v>0</v>
      </c>
      <c r="AS359" s="274"/>
      <c r="AT359" s="126"/>
      <c r="AU359" s="126"/>
      <c r="AV359" s="126"/>
      <c r="AW359" s="126"/>
      <c r="AX359" s="126"/>
      <c r="AY359" s="126"/>
      <c r="AZ359" s="274"/>
      <c r="BA359" s="274"/>
      <c r="BB359" s="274"/>
      <c r="BC359" s="222">
        <f t="shared" si="145"/>
        <v>0</v>
      </c>
      <c r="BD359" s="113">
        <f t="shared" si="146"/>
        <v>0</v>
      </c>
      <c r="BE359" s="3"/>
      <c r="BF359" s="113">
        <f t="shared" si="147"/>
        <v>0</v>
      </c>
      <c r="BG359" s="225"/>
      <c r="BH359" s="225"/>
      <c r="BI359" s="225"/>
      <c r="BJ359" s="225"/>
      <c r="BK359" s="225"/>
      <c r="BL359" s="225"/>
      <c r="BM359" s="225"/>
      <c r="BN359" s="225"/>
      <c r="BO359" s="225"/>
      <c r="BP359" s="225"/>
      <c r="BQ359" s="225"/>
      <c r="BR359" s="126"/>
      <c r="BS359" s="129"/>
      <c r="BT359" s="130">
        <f t="shared" si="148"/>
        <v>0</v>
      </c>
      <c r="BU359" s="3"/>
    </row>
    <row r="360" ht="14.25" customHeight="1">
      <c r="A360" s="132"/>
      <c r="B360" s="512">
        <v>46345</v>
      </c>
      <c r="C360" s="136"/>
      <c r="D360" s="136"/>
      <c r="E360" s="135"/>
      <c r="F360" s="135"/>
      <c r="G360" s="147">
        <f t="shared" si="140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41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03">
        <f t="shared" si="142"/>
        <v>0</v>
      </c>
      <c r="AI360" s="136"/>
      <c r="AJ360" s="136"/>
      <c r="AK360" s="136"/>
      <c r="AL360" s="105">
        <f t="shared" si="143"/>
        <v>0</v>
      </c>
      <c r="AM360" s="143"/>
      <c r="AN360" s="143"/>
      <c r="AO360" s="143"/>
      <c r="AP360" s="143"/>
      <c r="AQ360" s="146"/>
      <c r="AR360" s="224">
        <f t="shared" si="144"/>
        <v>0</v>
      </c>
      <c r="AS360" s="274"/>
      <c r="AT360" s="126"/>
      <c r="AU360" s="126"/>
      <c r="AV360" s="126"/>
      <c r="AW360" s="126"/>
      <c r="AX360" s="126"/>
      <c r="AY360" s="126"/>
      <c r="AZ360" s="274"/>
      <c r="BA360" s="274"/>
      <c r="BB360" s="274"/>
      <c r="BC360" s="222">
        <f t="shared" si="145"/>
        <v>0</v>
      </c>
      <c r="BD360" s="140">
        <f t="shared" si="146"/>
        <v>0</v>
      </c>
      <c r="BE360" s="132"/>
      <c r="BF360" s="140">
        <f t="shared" si="147"/>
        <v>0</v>
      </c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26"/>
      <c r="BR360" s="126"/>
      <c r="BS360" s="141"/>
      <c r="BT360" s="130">
        <f t="shared" si="148"/>
        <v>0</v>
      </c>
      <c r="BU360" s="132"/>
    </row>
    <row r="361" ht="14.25" customHeight="1">
      <c r="A361" s="132"/>
      <c r="B361" s="512">
        <v>46346</v>
      </c>
      <c r="C361" s="136"/>
      <c r="D361" s="136"/>
      <c r="E361" s="135"/>
      <c r="F361" s="135"/>
      <c r="G361" s="147">
        <f t="shared" si="140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41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03">
        <f t="shared" si="142"/>
        <v>0</v>
      </c>
      <c r="AI361" s="136"/>
      <c r="AJ361" s="136"/>
      <c r="AK361" s="136"/>
      <c r="AL361" s="105">
        <f t="shared" si="143"/>
        <v>0</v>
      </c>
      <c r="AM361" s="143"/>
      <c r="AN361" s="143"/>
      <c r="AO361" s="143"/>
      <c r="AP361" s="143"/>
      <c r="AQ361" s="146"/>
      <c r="AR361" s="224">
        <f t="shared" si="144"/>
        <v>0</v>
      </c>
      <c r="AS361" s="274"/>
      <c r="AT361" s="126"/>
      <c r="AU361" s="126"/>
      <c r="AV361" s="126"/>
      <c r="AW361" s="126"/>
      <c r="AX361" s="126"/>
      <c r="AY361" s="126"/>
      <c r="AZ361" s="274"/>
      <c r="BA361" s="274"/>
      <c r="BB361" s="274"/>
      <c r="BC361" s="222">
        <f t="shared" si="145"/>
        <v>0</v>
      </c>
      <c r="BD361" s="140">
        <f t="shared" si="146"/>
        <v>0</v>
      </c>
      <c r="BE361" s="132"/>
      <c r="BF361" s="140">
        <f t="shared" si="147"/>
        <v>0</v>
      </c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26"/>
      <c r="BR361" s="126"/>
      <c r="BS361" s="141"/>
      <c r="BT361" s="130">
        <f t="shared" si="148"/>
        <v>0</v>
      </c>
      <c r="BU361" s="132"/>
    </row>
    <row r="362" ht="14.25" customHeight="1">
      <c r="A362" s="132"/>
      <c r="B362" s="512">
        <v>46347</v>
      </c>
      <c r="C362" s="136"/>
      <c r="D362" s="136"/>
      <c r="E362" s="135"/>
      <c r="F362" s="135"/>
      <c r="G362" s="147">
        <f t="shared" si="140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41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03">
        <f t="shared" si="142"/>
        <v>0</v>
      </c>
      <c r="AI362" s="136"/>
      <c r="AJ362" s="136"/>
      <c r="AK362" s="136"/>
      <c r="AL362" s="975">
        <f t="shared" si="143"/>
        <v>0</v>
      </c>
      <c r="AM362" s="976"/>
      <c r="AN362" s="977"/>
      <c r="AO362" s="144"/>
      <c r="AP362" s="143"/>
      <c r="AQ362" s="146"/>
      <c r="AR362" s="224">
        <f t="shared" si="144"/>
        <v>0</v>
      </c>
      <c r="AS362" s="274"/>
      <c r="AT362" s="126"/>
      <c r="AU362" s="126"/>
      <c r="AV362" s="126"/>
      <c r="AW362" s="126"/>
      <c r="AX362" s="126"/>
      <c r="AY362" s="126"/>
      <c r="AZ362" s="274"/>
      <c r="BA362" s="274"/>
      <c r="BB362" s="274"/>
      <c r="BC362" s="222">
        <f t="shared" si="145"/>
        <v>0</v>
      </c>
      <c r="BD362" s="140">
        <f t="shared" si="146"/>
        <v>0</v>
      </c>
      <c r="BE362" s="132"/>
      <c r="BF362" s="140">
        <f t="shared" si="147"/>
        <v>0</v>
      </c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26"/>
      <c r="BR362" s="126"/>
      <c r="BS362" s="141"/>
      <c r="BT362" s="130">
        <f t="shared" si="148"/>
        <v>0</v>
      </c>
      <c r="BU362" s="132"/>
    </row>
    <row r="363" ht="14.25" customHeight="1">
      <c r="A363" s="132"/>
      <c r="B363" s="512">
        <v>46348</v>
      </c>
      <c r="C363" s="136"/>
      <c r="D363" s="136"/>
      <c r="E363" s="135"/>
      <c r="F363" s="135"/>
      <c r="G363" s="147">
        <f t="shared" si="140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41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03">
        <f t="shared" si="142"/>
        <v>0</v>
      </c>
      <c r="AI363" s="136"/>
      <c r="AJ363" s="136"/>
      <c r="AK363" s="136"/>
      <c r="AL363" s="105">
        <f t="shared" si="143"/>
        <v>0</v>
      </c>
      <c r="AM363" s="143"/>
      <c r="AN363" s="143"/>
      <c r="AO363" s="143"/>
      <c r="AP363" s="143"/>
      <c r="AQ363" s="146"/>
      <c r="AR363" s="224">
        <f t="shared" si="144"/>
        <v>0</v>
      </c>
      <c r="AS363" s="274"/>
      <c r="AT363" s="126"/>
      <c r="AU363" s="126"/>
      <c r="AV363" s="126"/>
      <c r="AW363" s="126"/>
      <c r="AX363" s="126"/>
      <c r="AY363" s="126"/>
      <c r="AZ363" s="274"/>
      <c r="BA363" s="274"/>
      <c r="BB363" s="274"/>
      <c r="BC363" s="222">
        <f t="shared" si="145"/>
        <v>0</v>
      </c>
      <c r="BD363" s="140">
        <f t="shared" si="146"/>
        <v>0</v>
      </c>
      <c r="BE363" s="132"/>
      <c r="BF363" s="140">
        <f t="shared" si="147"/>
        <v>0</v>
      </c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26"/>
      <c r="BR363" s="126"/>
      <c r="BS363" s="141"/>
      <c r="BT363" s="130">
        <f t="shared" si="148"/>
        <v>0</v>
      </c>
      <c r="BU363" s="132"/>
    </row>
    <row r="364" ht="14.25" customHeight="1">
      <c r="A364" s="132"/>
      <c r="B364" s="512">
        <v>46349</v>
      </c>
      <c r="C364" s="136"/>
      <c r="D364" s="136"/>
      <c r="E364" s="135"/>
      <c r="F364" s="135"/>
      <c r="G364" s="147">
        <f t="shared" si="140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41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03">
        <f t="shared" si="142"/>
        <v>0</v>
      </c>
      <c r="AI364" s="136"/>
      <c r="AJ364" s="136"/>
      <c r="AK364" s="136"/>
      <c r="AL364" s="105">
        <f t="shared" si="143"/>
        <v>0</v>
      </c>
      <c r="AM364" s="143"/>
      <c r="AN364" s="143"/>
      <c r="AO364" s="143"/>
      <c r="AP364" s="143"/>
      <c r="AQ364" s="146"/>
      <c r="AR364" s="224">
        <f t="shared" si="144"/>
        <v>0</v>
      </c>
      <c r="AS364" s="274"/>
      <c r="AT364" s="126"/>
      <c r="AU364" s="126"/>
      <c r="AV364" s="126"/>
      <c r="AW364" s="126"/>
      <c r="AX364" s="126"/>
      <c r="AY364" s="126"/>
      <c r="AZ364" s="274"/>
      <c r="BA364" s="274"/>
      <c r="BB364" s="274"/>
      <c r="BC364" s="222">
        <f t="shared" si="145"/>
        <v>0</v>
      </c>
      <c r="BD364" s="140">
        <f t="shared" si="146"/>
        <v>0</v>
      </c>
      <c r="BE364" s="132"/>
      <c r="BF364" s="140">
        <f t="shared" si="147"/>
        <v>0</v>
      </c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26"/>
      <c r="BR364" s="126"/>
      <c r="BS364" s="141"/>
      <c r="BT364" s="130">
        <f t="shared" si="148"/>
        <v>0</v>
      </c>
      <c r="BU364" s="132"/>
    </row>
    <row r="365" ht="14.25" customHeight="1">
      <c r="A365" s="132"/>
      <c r="B365" s="512">
        <v>46350</v>
      </c>
      <c r="C365" s="136"/>
      <c r="D365" s="136"/>
      <c r="E365" s="135"/>
      <c r="F365" s="135"/>
      <c r="G365" s="147">
        <f t="shared" si="140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41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03">
        <f t="shared" si="142"/>
        <v>0</v>
      </c>
      <c r="AI365" s="136"/>
      <c r="AJ365" s="136"/>
      <c r="AK365" s="136"/>
      <c r="AL365" s="105">
        <f t="shared" si="143"/>
        <v>0</v>
      </c>
      <c r="AM365" s="143"/>
      <c r="AN365" s="143"/>
      <c r="AO365" s="143"/>
      <c r="AP365" s="143"/>
      <c r="AQ365" s="146"/>
      <c r="AR365" s="224">
        <f t="shared" si="144"/>
        <v>0</v>
      </c>
      <c r="AS365" s="274"/>
      <c r="AT365" s="126"/>
      <c r="AU365" s="126"/>
      <c r="AV365" s="126"/>
      <c r="AW365" s="126"/>
      <c r="AX365" s="126"/>
      <c r="AY365" s="126"/>
      <c r="AZ365" s="274"/>
      <c r="BA365" s="274"/>
      <c r="BB365" s="274"/>
      <c r="BC365" s="222">
        <f t="shared" si="145"/>
        <v>0</v>
      </c>
      <c r="BD365" s="140">
        <f t="shared" si="146"/>
        <v>0</v>
      </c>
      <c r="BE365" s="132"/>
      <c r="BF365" s="140">
        <f t="shared" si="147"/>
        <v>0</v>
      </c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26"/>
      <c r="BR365" s="126"/>
      <c r="BS365" s="141"/>
      <c r="BT365" s="130">
        <f t="shared" si="148"/>
        <v>0</v>
      </c>
      <c r="BU365" s="132"/>
    </row>
    <row r="366" ht="14.25" customHeight="1">
      <c r="A366" s="132"/>
      <c r="B366" s="512">
        <v>46351</v>
      </c>
      <c r="C366" s="136"/>
      <c r="D366" s="136"/>
      <c r="E366" s="135"/>
      <c r="F366" s="135"/>
      <c r="G366" s="147">
        <f t="shared" si="140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41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03">
        <f t="shared" si="142"/>
        <v>0</v>
      </c>
      <c r="AI366" s="136"/>
      <c r="AJ366" s="136"/>
      <c r="AK366" s="136"/>
      <c r="AL366" s="105">
        <f t="shared" si="143"/>
        <v>0</v>
      </c>
      <c r="AM366" s="143"/>
      <c r="AN366" s="143"/>
      <c r="AO366" s="143"/>
      <c r="AP366" s="143"/>
      <c r="AQ366" s="146"/>
      <c r="AR366" s="224">
        <f t="shared" si="144"/>
        <v>0</v>
      </c>
      <c r="AS366" s="274"/>
      <c r="AT366" s="126"/>
      <c r="AU366" s="126"/>
      <c r="AV366" s="126"/>
      <c r="AW366" s="126"/>
      <c r="AX366" s="126"/>
      <c r="AY366" s="126"/>
      <c r="AZ366" s="274"/>
      <c r="BA366" s="274"/>
      <c r="BB366" s="274"/>
      <c r="BC366" s="222">
        <f t="shared" si="145"/>
        <v>0</v>
      </c>
      <c r="BD366" s="140">
        <f t="shared" si="146"/>
        <v>0</v>
      </c>
      <c r="BE366" s="132"/>
      <c r="BF366" s="140">
        <f t="shared" si="147"/>
        <v>0</v>
      </c>
      <c r="BG366" s="126"/>
      <c r="BH366" s="126"/>
      <c r="BI366" s="931"/>
      <c r="BJ366" s="126"/>
      <c r="BK366" s="126"/>
      <c r="BL366" s="126"/>
      <c r="BM366" s="126"/>
      <c r="BN366" s="126"/>
      <c r="BO366" s="126"/>
      <c r="BP366" s="126"/>
      <c r="BQ366" s="126"/>
      <c r="BR366" s="126"/>
      <c r="BS366" s="141"/>
      <c r="BT366" s="130">
        <f t="shared" si="148"/>
        <v>0</v>
      </c>
      <c r="BU366" s="132"/>
    </row>
    <row r="367" ht="14.25" customHeight="1">
      <c r="A367" s="132"/>
      <c r="B367" s="512">
        <v>46352</v>
      </c>
      <c r="C367" s="136"/>
      <c r="D367" s="136"/>
      <c r="E367" s="135"/>
      <c r="F367" s="135"/>
      <c r="G367" s="147">
        <f t="shared" si="140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43"/>
      <c r="U367" s="103">
        <f t="shared" si="141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03">
        <f t="shared" si="142"/>
        <v>0</v>
      </c>
      <c r="AI367" s="136"/>
      <c r="AJ367" s="136"/>
      <c r="AK367" s="136"/>
      <c r="AL367" s="105">
        <f t="shared" si="143"/>
        <v>0</v>
      </c>
      <c r="AM367" s="143"/>
      <c r="AN367" s="143"/>
      <c r="AO367" s="143"/>
      <c r="AP367" s="143"/>
      <c r="AQ367" s="146"/>
      <c r="AR367" s="224">
        <f t="shared" si="144"/>
        <v>0</v>
      </c>
      <c r="AS367" s="274"/>
      <c r="AT367" s="126"/>
      <c r="AU367" s="126"/>
      <c r="AV367" s="126"/>
      <c r="AW367" s="126"/>
      <c r="AX367" s="126"/>
      <c r="AY367" s="126"/>
      <c r="AZ367" s="274"/>
      <c r="BA367" s="274"/>
      <c r="BB367" s="274"/>
      <c r="BC367" s="222">
        <f t="shared" si="145"/>
        <v>0</v>
      </c>
      <c r="BD367" s="140">
        <f t="shared" si="146"/>
        <v>0</v>
      </c>
      <c r="BE367" s="132"/>
      <c r="BF367" s="140">
        <f t="shared" si="147"/>
        <v>0</v>
      </c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26"/>
      <c r="BR367" s="126"/>
      <c r="BS367" s="141"/>
      <c r="BT367" s="130">
        <f t="shared" si="148"/>
        <v>0</v>
      </c>
      <c r="BU367" s="132"/>
    </row>
    <row r="368" ht="14.25" customHeight="1">
      <c r="A368" s="132"/>
      <c r="B368" s="512">
        <v>46353</v>
      </c>
      <c r="C368" s="136"/>
      <c r="D368" s="136"/>
      <c r="E368" s="135"/>
      <c r="F368" s="135"/>
      <c r="G368" s="147">
        <f t="shared" si="140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41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03">
        <f t="shared" si="142"/>
        <v>0</v>
      </c>
      <c r="AI368" s="136"/>
      <c r="AJ368" s="136"/>
      <c r="AK368" s="136"/>
      <c r="AL368" s="105">
        <f t="shared" si="143"/>
        <v>0</v>
      </c>
      <c r="AM368" s="143"/>
      <c r="AN368" s="143"/>
      <c r="AO368" s="143"/>
      <c r="AP368" s="143"/>
      <c r="AQ368" s="146"/>
      <c r="AR368" s="224">
        <f t="shared" si="144"/>
        <v>0</v>
      </c>
      <c r="AS368" s="274"/>
      <c r="AT368" s="126"/>
      <c r="AU368" s="126"/>
      <c r="AV368" s="126"/>
      <c r="AW368" s="126"/>
      <c r="AX368" s="126"/>
      <c r="AY368" s="126"/>
      <c r="AZ368" s="274"/>
      <c r="BA368" s="274"/>
      <c r="BB368" s="274"/>
      <c r="BC368" s="222">
        <f t="shared" si="145"/>
        <v>0</v>
      </c>
      <c r="BD368" s="140">
        <f t="shared" si="146"/>
        <v>0</v>
      </c>
      <c r="BE368" s="132"/>
      <c r="BF368" s="140">
        <f t="shared" si="147"/>
        <v>0</v>
      </c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26"/>
      <c r="BR368" s="126"/>
      <c r="BS368" s="141"/>
      <c r="BT368" s="130">
        <f t="shared" si="148"/>
        <v>0</v>
      </c>
      <c r="BU368" s="132"/>
    </row>
    <row r="369" ht="14.25" customHeight="1">
      <c r="A369" s="132"/>
      <c r="B369" s="512">
        <v>46354</v>
      </c>
      <c r="C369" s="136"/>
      <c r="D369" s="136"/>
      <c r="E369" s="135"/>
      <c r="F369" s="135"/>
      <c r="G369" s="147">
        <f t="shared" si="140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41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03">
        <f t="shared" si="142"/>
        <v>0</v>
      </c>
      <c r="AI369" s="136"/>
      <c r="AJ369" s="136"/>
      <c r="AK369" s="136"/>
      <c r="AL369" s="105">
        <f t="shared" si="143"/>
        <v>0</v>
      </c>
      <c r="AM369" s="143"/>
      <c r="AN369" s="143"/>
      <c r="AO369" s="143"/>
      <c r="AP369" s="143"/>
      <c r="AQ369" s="146"/>
      <c r="AR369" s="224">
        <f t="shared" si="144"/>
        <v>0</v>
      </c>
      <c r="AS369" s="274"/>
      <c r="AT369" s="126"/>
      <c r="AU369" s="126"/>
      <c r="AV369" s="126"/>
      <c r="AW369" s="126"/>
      <c r="AX369" s="126"/>
      <c r="AY369" s="126"/>
      <c r="AZ369" s="274"/>
      <c r="BA369" s="274"/>
      <c r="BB369" s="274"/>
      <c r="BC369" s="222">
        <f t="shared" si="145"/>
        <v>0</v>
      </c>
      <c r="BD369" s="140">
        <f t="shared" si="146"/>
        <v>0</v>
      </c>
      <c r="BE369" s="132"/>
      <c r="BF369" s="140">
        <f t="shared" si="147"/>
        <v>0</v>
      </c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26"/>
      <c r="BR369" s="126"/>
      <c r="BS369" s="141"/>
      <c r="BT369" s="130">
        <f t="shared" si="148"/>
        <v>0</v>
      </c>
      <c r="BU369" s="132"/>
    </row>
    <row r="370" ht="14.25" customHeight="1">
      <c r="A370" s="132"/>
      <c r="B370" s="512">
        <v>46355</v>
      </c>
      <c r="C370" s="136"/>
      <c r="D370" s="136"/>
      <c r="E370" s="135"/>
      <c r="F370" s="135"/>
      <c r="G370" s="147">
        <f t="shared" si="140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41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03">
        <f t="shared" si="142"/>
        <v>0</v>
      </c>
      <c r="AI370" s="136"/>
      <c r="AJ370" s="136"/>
      <c r="AK370" s="136"/>
      <c r="AL370" s="105">
        <f t="shared" si="143"/>
        <v>0</v>
      </c>
      <c r="AM370" s="143"/>
      <c r="AN370" s="143"/>
      <c r="AO370" s="143"/>
      <c r="AP370" s="143"/>
      <c r="AQ370" s="146"/>
      <c r="AR370" s="224">
        <f t="shared" si="144"/>
        <v>0</v>
      </c>
      <c r="AS370" s="274"/>
      <c r="AT370" s="126"/>
      <c r="AU370" s="126"/>
      <c r="AV370" s="126"/>
      <c r="AW370" s="126"/>
      <c r="AX370" s="126"/>
      <c r="AY370" s="126"/>
      <c r="AZ370" s="274"/>
      <c r="BA370" s="274"/>
      <c r="BB370" s="274"/>
      <c r="BC370" s="222">
        <f t="shared" si="145"/>
        <v>0</v>
      </c>
      <c r="BD370" s="140">
        <f t="shared" si="146"/>
        <v>0</v>
      </c>
      <c r="BE370" s="132"/>
      <c r="BF370" s="140">
        <f t="shared" si="147"/>
        <v>0</v>
      </c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26"/>
      <c r="BR370" s="126"/>
      <c r="BS370" s="141"/>
      <c r="BT370" s="130">
        <f t="shared" si="148"/>
        <v>0</v>
      </c>
      <c r="BU370" s="132"/>
    </row>
    <row r="371" ht="14.25" customHeight="1">
      <c r="A371" s="132"/>
      <c r="B371" s="512">
        <v>46356</v>
      </c>
      <c r="C371" s="136"/>
      <c r="D371" s="136"/>
      <c r="E371" s="135"/>
      <c r="F371" s="135"/>
      <c r="G371" s="147">
        <f t="shared" si="140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41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03">
        <f t="shared" si="142"/>
        <v>0</v>
      </c>
      <c r="AI371" s="136"/>
      <c r="AJ371" s="136"/>
      <c r="AK371" s="136"/>
      <c r="AL371" s="105">
        <f t="shared" si="143"/>
        <v>0</v>
      </c>
      <c r="AM371" s="143"/>
      <c r="AN371" s="143"/>
      <c r="AO371" s="143"/>
      <c r="AP371" s="143"/>
      <c r="AQ371" s="146"/>
      <c r="AR371" s="224">
        <f t="shared" si="144"/>
        <v>0</v>
      </c>
      <c r="AS371" s="274"/>
      <c r="AT371" s="126"/>
      <c r="AU371" s="126"/>
      <c r="AV371" s="126"/>
      <c r="AW371" s="126"/>
      <c r="AX371" s="126"/>
      <c r="AY371" s="126"/>
      <c r="AZ371" s="274"/>
      <c r="BA371" s="274"/>
      <c r="BB371" s="274"/>
      <c r="BC371" s="222">
        <f t="shared" si="145"/>
        <v>0</v>
      </c>
      <c r="BD371" s="140">
        <f t="shared" si="146"/>
        <v>0</v>
      </c>
      <c r="BE371" s="132"/>
      <c r="BF371" s="140">
        <f t="shared" si="147"/>
        <v>0</v>
      </c>
      <c r="BG371" s="126"/>
      <c r="BH371" s="126"/>
      <c r="BI371" s="931"/>
      <c r="BJ371" s="126"/>
      <c r="BK371" s="126"/>
      <c r="BL371" s="126"/>
      <c r="BM371" s="126"/>
      <c r="BN371" s="126"/>
      <c r="BO371" s="126"/>
      <c r="BP371" s="126"/>
      <c r="BQ371" s="126"/>
      <c r="BR371" s="126"/>
      <c r="BS371" s="141"/>
      <c r="BT371" s="130">
        <f t="shared" si="148"/>
        <v>0</v>
      </c>
      <c r="BU371" s="132"/>
    </row>
    <row r="372" ht="14.25" customHeight="1">
      <c r="A372" s="3"/>
      <c r="B372" s="2"/>
      <c r="C372" s="166">
        <f ref="C372:U372" t="shared" si="149">SUM(C342:C371)</f>
        <v>0</v>
      </c>
      <c r="D372" s="166">
        <f t="shared" si="149"/>
        <v>0</v>
      </c>
      <c r="E372" s="166">
        <f t="shared" si="149"/>
        <v>0</v>
      </c>
      <c r="F372" s="166">
        <f t="shared" si="149"/>
        <v>0</v>
      </c>
      <c r="G372" s="166">
        <f t="shared" si="149"/>
        <v>0</v>
      </c>
      <c r="H372" s="166">
        <f t="shared" si="149"/>
        <v>0</v>
      </c>
      <c r="I372" s="166">
        <f t="shared" si="149"/>
        <v>0</v>
      </c>
      <c r="J372" s="166">
        <f t="shared" si="149"/>
        <v>0</v>
      </c>
      <c r="K372" s="166">
        <f t="shared" si="149"/>
        <v>0</v>
      </c>
      <c r="L372" s="166">
        <f t="shared" si="149"/>
        <v>0</v>
      </c>
      <c r="M372" s="166">
        <f t="shared" si="149"/>
        <v>0</v>
      </c>
      <c r="N372" s="166">
        <f t="shared" si="149"/>
        <v>0</v>
      </c>
      <c r="O372" s="166">
        <f t="shared" si="149"/>
        <v>0</v>
      </c>
      <c r="P372" s="166">
        <f t="shared" si="149"/>
        <v>0</v>
      </c>
      <c r="Q372" s="166">
        <f t="shared" si="149"/>
        <v>0</v>
      </c>
      <c r="R372" s="166">
        <f t="shared" si="149"/>
        <v>0</v>
      </c>
      <c r="S372" s="166">
        <f t="shared" si="149"/>
        <v>0</v>
      </c>
      <c r="T372" s="166">
        <f t="shared" si="149"/>
        <v>0</v>
      </c>
      <c r="U372" s="166">
        <f t="shared" si="149"/>
        <v>0</v>
      </c>
      <c r="V372" s="166"/>
      <c r="W372" s="166"/>
      <c r="X372" s="166">
        <f ref="X372:AJ372" t="shared" si="150">SUM(X342:X371)</f>
        <v>0</v>
      </c>
      <c r="Y372" s="166">
        <f t="shared" si="150"/>
        <v>0</v>
      </c>
      <c r="Z372" s="166">
        <f t="shared" si="150"/>
        <v>0</v>
      </c>
      <c r="AA372" s="166">
        <f t="shared" si="150"/>
        <v>0</v>
      </c>
      <c r="AB372" s="166">
        <f t="shared" si="150"/>
        <v>0</v>
      </c>
      <c r="AC372" s="166">
        <f t="shared" si="150"/>
        <v>0</v>
      </c>
      <c r="AD372" s="166">
        <f t="shared" si="150"/>
        <v>0</v>
      </c>
      <c r="AE372" s="166">
        <f t="shared" si="150"/>
        <v>0</v>
      </c>
      <c r="AF372" s="166">
        <f t="shared" si="150"/>
        <v>0</v>
      </c>
      <c r="AG372" s="166">
        <f t="shared" si="150"/>
        <v>0</v>
      </c>
      <c r="AH372" s="166">
        <f t="shared" si="150"/>
        <v>0</v>
      </c>
      <c r="AI372" s="166">
        <f t="shared" si="150"/>
        <v>0</v>
      </c>
      <c r="AJ372" s="166">
        <f t="shared" si="150"/>
        <v>0</v>
      </c>
      <c r="AK372" s="166"/>
      <c r="AL372" s="166">
        <f ref="AL372:BI372" t="shared" si="151">SUM(AL342:AL371)</f>
        <v>0</v>
      </c>
      <c r="AM372" s="166">
        <f t="shared" si="151"/>
        <v>0</v>
      </c>
      <c r="AN372" s="166">
        <f t="shared" si="151"/>
        <v>0</v>
      </c>
      <c r="AO372" s="166">
        <f t="shared" si="151"/>
        <v>0</v>
      </c>
      <c r="AP372" s="166">
        <f t="shared" si="151"/>
        <v>0</v>
      </c>
      <c r="AQ372" s="166">
        <f t="shared" si="151"/>
        <v>0</v>
      </c>
      <c r="AR372" s="167">
        <f t="shared" si="151"/>
        <v>0</v>
      </c>
      <c r="AS372" s="167">
        <f t="shared" si="151"/>
        <v>0</v>
      </c>
      <c r="AT372" s="167">
        <f t="shared" si="151"/>
        <v>0</v>
      </c>
      <c r="AU372" s="167">
        <f t="shared" si="151"/>
        <v>0</v>
      </c>
      <c r="AV372" s="167">
        <f t="shared" si="151"/>
        <v>0</v>
      </c>
      <c r="AW372" s="167">
        <f t="shared" si="151"/>
        <v>0</v>
      </c>
      <c r="AX372" s="167">
        <f t="shared" si="151"/>
        <v>0</v>
      </c>
      <c r="AY372" s="167">
        <f t="shared" si="151"/>
        <v>0</v>
      </c>
      <c r="AZ372" s="167">
        <f t="shared" si="151"/>
        <v>0</v>
      </c>
      <c r="BA372" s="167">
        <f t="shared" si="151"/>
        <v>0</v>
      </c>
      <c r="BB372" s="167">
        <f t="shared" si="151"/>
        <v>0</v>
      </c>
      <c r="BC372" s="166">
        <f t="shared" si="151"/>
        <v>0</v>
      </c>
      <c r="BD372" s="166">
        <f t="shared" si="151"/>
        <v>0</v>
      </c>
      <c r="BE372" s="166">
        <f t="shared" si="151"/>
        <v>0</v>
      </c>
      <c r="BF372" s="166">
        <f t="shared" si="151"/>
        <v>0</v>
      </c>
      <c r="BG372" s="166">
        <f t="shared" si="151"/>
        <v>0</v>
      </c>
      <c r="BH372" s="166">
        <f t="shared" si="151"/>
        <v>0</v>
      </c>
      <c r="BI372" s="166">
        <f t="shared" si="151"/>
        <v>0</v>
      </c>
      <c r="BJ372" s="166"/>
      <c r="BK372" s="166"/>
      <c r="BL372" s="166"/>
      <c r="BM372" s="166"/>
      <c r="BN372" s="166"/>
      <c r="BO372" s="166"/>
      <c r="BP372" s="166">
        <f ref="BP372:BR372" t="shared" si="152">SUM(BP342:BP371)</f>
        <v>0</v>
      </c>
      <c r="BQ372" s="166">
        <f t="shared" si="152"/>
        <v>0</v>
      </c>
      <c r="BR372" s="166">
        <f t="shared" si="152"/>
        <v>0</v>
      </c>
      <c r="BS372" s="166"/>
      <c r="BT372" s="166">
        <f ref="BT372:BU372" t="shared" si="153">SUM(BT342:BT371)</f>
        <v>0</v>
      </c>
      <c r="BU372" s="166">
        <f t="shared" si="153"/>
        <v>0</v>
      </c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96"/>
      <c r="AJ373" s="3"/>
      <c r="AK373" s="3"/>
      <c r="AL373" s="4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132"/>
      <c r="BC373" s="4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</row>
    <row r="374" ht="14.25" customHeight="1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176"/>
      <c r="AI374" s="176"/>
      <c r="AJ374" s="3"/>
      <c r="AK374" s="3"/>
      <c r="AL374" s="4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132"/>
      <c r="BC374" s="4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ht="14.25" customHeight="1">
      <c r="A375" s="3"/>
      <c r="B375" s="512">
        <v>46357</v>
      </c>
      <c r="C375" s="104"/>
      <c r="D375" s="104"/>
      <c r="E375" s="97"/>
      <c r="F375" s="97"/>
      <c r="G375" s="265">
        <f ref="G375:G405" t="shared" si="154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86"/>
      <c r="U375" s="103">
        <f ref="U375:U405" t="shared" si="155">SUM(H375:T375)</f>
        <v>0</v>
      </c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86"/>
      <c r="AH375" s="103">
        <f ref="AH375:AH405" t="shared" si="156">SUM(V375:AG375)</f>
        <v>0</v>
      </c>
      <c r="AI375" s="104"/>
      <c r="AJ375" s="104"/>
      <c r="AK375" s="104"/>
      <c r="AL375" s="191">
        <f ref="AL375:AL405" t="shared" si="157">SUM(AI375:AK375)</f>
        <v>0</v>
      </c>
      <c r="AM375" s="186"/>
      <c r="AN375" s="186"/>
      <c r="AO375" s="186"/>
      <c r="AP375" s="186"/>
      <c r="AQ375" s="193"/>
      <c r="AR375" s="266">
        <f ref="AR375:AR405" t="shared" si="158">+G375-U375-AH375-AL375-AM375-AO375-AP375-AQ375</f>
        <v>0</v>
      </c>
      <c r="AS375" s="269"/>
      <c r="AT375" s="109"/>
      <c r="AU375" s="109"/>
      <c r="AV375" s="109"/>
      <c r="AW375" s="109"/>
      <c r="AX375" s="109"/>
      <c r="AY375" s="109"/>
      <c r="AZ375" s="269"/>
      <c r="BA375" s="269"/>
      <c r="BB375" s="269"/>
      <c r="BC375" s="292">
        <f ref="BC375:BC405" t="shared" si="159">SUM(AS375:BB375)-BA375</f>
        <v>0</v>
      </c>
      <c r="BD375" s="114">
        <f ref="BD375:BD405" t="shared" si="160">+AR375-BC375</f>
        <v>0</v>
      </c>
      <c r="BE375" s="3"/>
      <c r="BF375" s="114">
        <f ref="BF375:BF405" t="shared" si="161">SUM(BG375:BS375)</f>
        <v>0</v>
      </c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96"/>
      <c r="BS375" s="115"/>
      <c r="BT375" s="116">
        <f ref="BT375:BT405" t="shared" si="162">+BD375-BF375</f>
        <v>0</v>
      </c>
      <c r="BU375" s="3"/>
    </row>
    <row r="376" ht="14.25" customHeight="1">
      <c r="A376" s="3"/>
      <c r="B376" s="512">
        <v>46358</v>
      </c>
      <c r="C376" s="123"/>
      <c r="D376" s="123"/>
      <c r="E376" s="120"/>
      <c r="F376" s="120"/>
      <c r="G376" s="147">
        <f t="shared" si="154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55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03">
        <f t="shared" si="156"/>
        <v>0</v>
      </c>
      <c r="AI376" s="123"/>
      <c r="AJ376" s="123"/>
      <c r="AK376" s="123"/>
      <c r="AL376" s="105">
        <f t="shared" si="157"/>
        <v>0</v>
      </c>
      <c r="AM376" s="143"/>
      <c r="AN376" s="143"/>
      <c r="AO376" s="143"/>
      <c r="AP376" s="143"/>
      <c r="AQ376" s="146"/>
      <c r="AR376" s="224">
        <f t="shared" si="158"/>
        <v>0</v>
      </c>
      <c r="AS376" s="274"/>
      <c r="AT376" s="126"/>
      <c r="AU376" s="126"/>
      <c r="AV376" s="126"/>
      <c r="AW376" s="126"/>
      <c r="AX376" s="126"/>
      <c r="AY376" s="126"/>
      <c r="AZ376" s="274"/>
      <c r="BA376" s="274"/>
      <c r="BB376" s="274"/>
      <c r="BC376" s="222">
        <f t="shared" si="159"/>
        <v>0</v>
      </c>
      <c r="BD376" s="113">
        <f t="shared" si="160"/>
        <v>0</v>
      </c>
      <c r="BE376" s="3"/>
      <c r="BF376" s="113">
        <f t="shared" si="161"/>
        <v>0</v>
      </c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30">
        <f t="shared" si="162"/>
        <v>0</v>
      </c>
      <c r="BU376" s="3"/>
    </row>
    <row r="377" ht="14.25" customHeight="1">
      <c r="A377" s="3"/>
      <c r="B377" s="512">
        <v>46359</v>
      </c>
      <c r="C377" s="123"/>
      <c r="D377" s="123"/>
      <c r="E377" s="120"/>
      <c r="F377" s="120"/>
      <c r="G377" s="147">
        <f t="shared" si="154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55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03">
        <f t="shared" si="156"/>
        <v>0</v>
      </c>
      <c r="AI377" s="123"/>
      <c r="AJ377" s="123"/>
      <c r="AK377" s="123"/>
      <c r="AL377" s="105">
        <f t="shared" si="157"/>
        <v>0</v>
      </c>
      <c r="AM377" s="143"/>
      <c r="AN377" s="143"/>
      <c r="AO377" s="143"/>
      <c r="AP377" s="143"/>
      <c r="AQ377" s="146"/>
      <c r="AR377" s="224">
        <f t="shared" si="158"/>
        <v>0</v>
      </c>
      <c r="AS377" s="274"/>
      <c r="AT377" s="126"/>
      <c r="AU377" s="126"/>
      <c r="AV377" s="126"/>
      <c r="AW377" s="126"/>
      <c r="AX377" s="126"/>
      <c r="AY377" s="126"/>
      <c r="AZ377" s="274"/>
      <c r="BA377" s="274"/>
      <c r="BB377" s="274"/>
      <c r="BC377" s="222">
        <f t="shared" si="159"/>
        <v>0</v>
      </c>
      <c r="BD377" s="113">
        <f t="shared" si="160"/>
        <v>0</v>
      </c>
      <c r="BE377" s="3"/>
      <c r="BF377" s="113">
        <f t="shared" si="161"/>
        <v>0</v>
      </c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30">
        <f t="shared" si="162"/>
        <v>0</v>
      </c>
      <c r="BU377" s="3"/>
    </row>
    <row r="378" ht="14.25" customHeight="1">
      <c r="A378" s="3"/>
      <c r="B378" s="512">
        <v>46360</v>
      </c>
      <c r="C378" s="123"/>
      <c r="D378" s="123"/>
      <c r="E378" s="120"/>
      <c r="F378" s="120"/>
      <c r="G378" s="147">
        <f t="shared" si="154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55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03">
        <f t="shared" si="156"/>
        <v>0</v>
      </c>
      <c r="AI378" s="123"/>
      <c r="AJ378" s="123"/>
      <c r="AK378" s="123"/>
      <c r="AL378" s="105">
        <f t="shared" si="157"/>
        <v>0</v>
      </c>
      <c r="AM378" s="143"/>
      <c r="AN378" s="143"/>
      <c r="AO378" s="143"/>
      <c r="AP378" s="143"/>
      <c r="AQ378" s="146"/>
      <c r="AR378" s="224">
        <f t="shared" si="158"/>
        <v>0</v>
      </c>
      <c r="AS378" s="274"/>
      <c r="AT378" s="126"/>
      <c r="AU378" s="126"/>
      <c r="AV378" s="126"/>
      <c r="AW378" s="126"/>
      <c r="AX378" s="126"/>
      <c r="AY378" s="126"/>
      <c r="AZ378" s="274"/>
      <c r="BA378" s="274"/>
      <c r="BB378" s="274"/>
      <c r="BC378" s="222">
        <f t="shared" si="159"/>
        <v>0</v>
      </c>
      <c r="BD378" s="113">
        <f t="shared" si="160"/>
        <v>0</v>
      </c>
      <c r="BE378" s="3"/>
      <c r="BF378" s="113">
        <f t="shared" si="161"/>
        <v>0</v>
      </c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62"/>
        <v>0</v>
      </c>
      <c r="BU378" s="3"/>
    </row>
    <row r="379" ht="14.25" customHeight="1">
      <c r="A379" s="3"/>
      <c r="B379" s="512">
        <v>46361</v>
      </c>
      <c r="C379" s="123"/>
      <c r="D379" s="123"/>
      <c r="E379" s="120"/>
      <c r="F379" s="120"/>
      <c r="G379" s="147">
        <f t="shared" si="154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55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03">
        <f t="shared" si="156"/>
        <v>0</v>
      </c>
      <c r="AI379" s="123"/>
      <c r="AJ379" s="123"/>
      <c r="AK379" s="123"/>
      <c r="AL379" s="105">
        <f t="shared" si="157"/>
        <v>0</v>
      </c>
      <c r="AM379" s="143"/>
      <c r="AN379" s="143"/>
      <c r="AO379" s="143"/>
      <c r="AP379" s="143"/>
      <c r="AQ379" s="146"/>
      <c r="AR379" s="224">
        <f t="shared" si="158"/>
        <v>0</v>
      </c>
      <c r="AS379" s="274"/>
      <c r="AT379" s="126"/>
      <c r="AU379" s="126"/>
      <c r="AV379" s="126"/>
      <c r="AW379" s="126"/>
      <c r="AX379" s="126"/>
      <c r="AY379" s="126"/>
      <c r="AZ379" s="274"/>
      <c r="BA379" s="274"/>
      <c r="BB379" s="274"/>
      <c r="BC379" s="222">
        <f t="shared" si="159"/>
        <v>0</v>
      </c>
      <c r="BD379" s="113">
        <f t="shared" si="160"/>
        <v>0</v>
      </c>
      <c r="BE379" s="3"/>
      <c r="BF379" s="113">
        <f t="shared" si="161"/>
        <v>0</v>
      </c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30">
        <f t="shared" si="162"/>
        <v>0</v>
      </c>
      <c r="BU379" s="3"/>
    </row>
    <row r="380" ht="14.25" customHeight="1">
      <c r="A380" s="132"/>
      <c r="B380" s="512">
        <v>46362</v>
      </c>
      <c r="C380" s="136"/>
      <c r="D380" s="136"/>
      <c r="E380" s="135"/>
      <c r="F380" s="135"/>
      <c r="G380" s="147">
        <f t="shared" si="154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55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03">
        <f t="shared" si="156"/>
        <v>0</v>
      </c>
      <c r="AI380" s="136"/>
      <c r="AJ380" s="136"/>
      <c r="AK380" s="136"/>
      <c r="AL380" s="105">
        <f t="shared" si="157"/>
        <v>0</v>
      </c>
      <c r="AM380" s="143"/>
      <c r="AN380" s="143"/>
      <c r="AO380" s="143"/>
      <c r="AP380" s="143"/>
      <c r="AQ380" s="146"/>
      <c r="AR380" s="224">
        <f t="shared" si="158"/>
        <v>0</v>
      </c>
      <c r="AS380" s="274"/>
      <c r="AT380" s="126"/>
      <c r="AU380" s="126"/>
      <c r="AV380" s="126"/>
      <c r="AW380" s="126"/>
      <c r="AX380" s="126"/>
      <c r="AY380" s="126"/>
      <c r="AZ380" s="274"/>
      <c r="BA380" s="274"/>
      <c r="BB380" s="274"/>
      <c r="BC380" s="222">
        <f t="shared" si="159"/>
        <v>0</v>
      </c>
      <c r="BD380" s="140">
        <f t="shared" si="160"/>
        <v>0</v>
      </c>
      <c r="BE380" s="132"/>
      <c r="BF380" s="140">
        <f t="shared" si="161"/>
        <v>0</v>
      </c>
      <c r="BG380" s="141"/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30">
        <f t="shared" si="162"/>
        <v>0</v>
      </c>
      <c r="BU380" s="132"/>
    </row>
    <row r="381" ht="14.25" customHeight="1">
      <c r="A381" s="132"/>
      <c r="B381" s="512">
        <v>46363</v>
      </c>
      <c r="C381" s="136"/>
      <c r="D381" s="136"/>
      <c r="E381" s="135"/>
      <c r="F381" s="135"/>
      <c r="G381" s="147">
        <f t="shared" si="154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55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03">
        <f t="shared" si="156"/>
        <v>0</v>
      </c>
      <c r="AI381" s="136"/>
      <c r="AJ381" s="136"/>
      <c r="AK381" s="136"/>
      <c r="AL381" s="105">
        <f t="shared" si="157"/>
        <v>0</v>
      </c>
      <c r="AM381" s="143"/>
      <c r="AN381" s="143"/>
      <c r="AO381" s="143"/>
      <c r="AP381" s="143"/>
      <c r="AQ381" s="146"/>
      <c r="AR381" s="224">
        <f t="shared" si="158"/>
        <v>0</v>
      </c>
      <c r="AS381" s="274"/>
      <c r="AT381" s="126"/>
      <c r="AU381" s="126"/>
      <c r="AV381" s="126"/>
      <c r="AW381" s="126"/>
      <c r="AX381" s="126"/>
      <c r="AY381" s="126"/>
      <c r="AZ381" s="274"/>
      <c r="BA381" s="274"/>
      <c r="BB381" s="274"/>
      <c r="BC381" s="222">
        <f t="shared" si="159"/>
        <v>0</v>
      </c>
      <c r="BD381" s="140">
        <f t="shared" si="160"/>
        <v>0</v>
      </c>
      <c r="BE381" s="132"/>
      <c r="BF381" s="140">
        <f t="shared" si="161"/>
        <v>0</v>
      </c>
      <c r="BG381" s="141"/>
      <c r="BH381" s="141"/>
      <c r="BI381" s="913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30">
        <f t="shared" si="162"/>
        <v>0</v>
      </c>
      <c r="BU381" s="132"/>
    </row>
    <row r="382" ht="14.25" customHeight="1">
      <c r="A382" s="132"/>
      <c r="B382" s="512">
        <v>46364</v>
      </c>
      <c r="C382" s="136"/>
      <c r="D382" s="136"/>
      <c r="E382" s="135"/>
      <c r="F382" s="135"/>
      <c r="G382" s="147">
        <f t="shared" si="154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55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03">
        <f t="shared" si="156"/>
        <v>0</v>
      </c>
      <c r="AI382" s="136"/>
      <c r="AJ382" s="136"/>
      <c r="AK382" s="136"/>
      <c r="AL382" s="105">
        <f t="shared" si="157"/>
        <v>0</v>
      </c>
      <c r="AM382" s="143"/>
      <c r="AN382" s="143"/>
      <c r="AO382" s="143"/>
      <c r="AP382" s="143"/>
      <c r="AQ382" s="146"/>
      <c r="AR382" s="224">
        <f t="shared" si="158"/>
        <v>0</v>
      </c>
      <c r="AS382" s="274"/>
      <c r="AT382" s="126"/>
      <c r="AU382" s="126"/>
      <c r="AV382" s="126"/>
      <c r="AW382" s="126"/>
      <c r="AX382" s="126"/>
      <c r="AY382" s="126"/>
      <c r="AZ382" s="274"/>
      <c r="BA382" s="274"/>
      <c r="BB382" s="274"/>
      <c r="BC382" s="222">
        <f t="shared" si="159"/>
        <v>0</v>
      </c>
      <c r="BD382" s="140">
        <f t="shared" si="160"/>
        <v>0</v>
      </c>
      <c r="BE382" s="132"/>
      <c r="BF382" s="140">
        <f t="shared" si="161"/>
        <v>0</v>
      </c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62"/>
        <v>0</v>
      </c>
      <c r="BU382" s="132"/>
    </row>
    <row r="383" ht="14.25" customHeight="1">
      <c r="A383" s="132"/>
      <c r="B383" s="512">
        <v>46365</v>
      </c>
      <c r="C383" s="136"/>
      <c r="D383" s="136"/>
      <c r="E383" s="135"/>
      <c r="F383" s="135"/>
      <c r="G383" s="147">
        <f t="shared" si="154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55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03">
        <f t="shared" si="156"/>
        <v>0</v>
      </c>
      <c r="AI383" s="136"/>
      <c r="AJ383" s="136"/>
      <c r="AK383" s="136"/>
      <c r="AL383" s="105">
        <f t="shared" si="157"/>
        <v>0</v>
      </c>
      <c r="AM383" s="143"/>
      <c r="AN383" s="143"/>
      <c r="AO383" s="143"/>
      <c r="AP383" s="143"/>
      <c r="AQ383" s="146"/>
      <c r="AR383" s="224">
        <f t="shared" si="158"/>
        <v>0</v>
      </c>
      <c r="AS383" s="274"/>
      <c r="AT383" s="126"/>
      <c r="AU383" s="126"/>
      <c r="AV383" s="126"/>
      <c r="AW383" s="126"/>
      <c r="AX383" s="126"/>
      <c r="AY383" s="126"/>
      <c r="AZ383" s="274"/>
      <c r="BA383" s="274"/>
      <c r="BB383" s="274"/>
      <c r="BC383" s="222">
        <f t="shared" si="159"/>
        <v>0</v>
      </c>
      <c r="BD383" s="140">
        <f t="shared" si="160"/>
        <v>0</v>
      </c>
      <c r="BE383" s="132"/>
      <c r="BF383" s="140">
        <f t="shared" si="161"/>
        <v>0</v>
      </c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62"/>
        <v>0</v>
      </c>
      <c r="BU383" s="132"/>
    </row>
    <row r="384" ht="14.25" customHeight="1">
      <c r="A384" s="132"/>
      <c r="B384" s="512">
        <v>46366</v>
      </c>
      <c r="C384" s="136"/>
      <c r="D384" s="136"/>
      <c r="E384" s="135"/>
      <c r="F384" s="135"/>
      <c r="G384" s="147">
        <f t="shared" si="154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55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03">
        <f t="shared" si="156"/>
        <v>0</v>
      </c>
      <c r="AI384" s="136"/>
      <c r="AJ384" s="136"/>
      <c r="AK384" s="136"/>
      <c r="AL384" s="105">
        <f t="shared" si="157"/>
        <v>0</v>
      </c>
      <c r="AM384" s="143"/>
      <c r="AN384" s="143"/>
      <c r="AO384" s="143"/>
      <c r="AP384" s="143"/>
      <c r="AQ384" s="146"/>
      <c r="AR384" s="224">
        <f t="shared" si="158"/>
        <v>0</v>
      </c>
      <c r="AS384" s="274"/>
      <c r="AT384" s="126"/>
      <c r="AU384" s="126"/>
      <c r="AV384" s="126"/>
      <c r="AW384" s="126"/>
      <c r="AX384" s="126"/>
      <c r="AY384" s="126"/>
      <c r="AZ384" s="274"/>
      <c r="BA384" s="274"/>
      <c r="BB384" s="274"/>
      <c r="BC384" s="222">
        <f t="shared" si="159"/>
        <v>0</v>
      </c>
      <c r="BD384" s="140">
        <f t="shared" si="160"/>
        <v>0</v>
      </c>
      <c r="BE384" s="132"/>
      <c r="BF384" s="140">
        <f t="shared" si="161"/>
        <v>0</v>
      </c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62"/>
        <v>0</v>
      </c>
      <c r="BU384" s="132"/>
    </row>
    <row r="385" ht="14.25" customHeight="1">
      <c r="A385" s="132"/>
      <c r="B385" s="512">
        <v>46367</v>
      </c>
      <c r="C385" s="136"/>
      <c r="D385" s="136"/>
      <c r="E385" s="135"/>
      <c r="F385" s="135"/>
      <c r="G385" s="147">
        <f t="shared" si="154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55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03">
        <f t="shared" si="156"/>
        <v>0</v>
      </c>
      <c r="AI385" s="136"/>
      <c r="AJ385" s="136"/>
      <c r="AK385" s="136"/>
      <c r="AL385" s="105">
        <f t="shared" si="157"/>
        <v>0</v>
      </c>
      <c r="AM385" s="143"/>
      <c r="AN385" s="143"/>
      <c r="AO385" s="143"/>
      <c r="AP385" s="143"/>
      <c r="AQ385" s="146"/>
      <c r="AR385" s="224">
        <f t="shared" si="158"/>
        <v>0</v>
      </c>
      <c r="AS385" s="274"/>
      <c r="AT385" s="126"/>
      <c r="AU385" s="126"/>
      <c r="AV385" s="126"/>
      <c r="AW385" s="126"/>
      <c r="AX385" s="126"/>
      <c r="AY385" s="126"/>
      <c r="AZ385" s="274"/>
      <c r="BA385" s="274"/>
      <c r="BB385" s="274"/>
      <c r="BC385" s="222">
        <f t="shared" si="159"/>
        <v>0</v>
      </c>
      <c r="BD385" s="140">
        <f t="shared" si="160"/>
        <v>0</v>
      </c>
      <c r="BE385" s="132"/>
      <c r="BF385" s="140">
        <f t="shared" si="161"/>
        <v>0</v>
      </c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62"/>
        <v>0</v>
      </c>
      <c r="BU385" s="132"/>
    </row>
    <row r="386" ht="14.25" customHeight="1">
      <c r="A386" s="132"/>
      <c r="B386" s="512">
        <v>46368</v>
      </c>
      <c r="C386" s="136"/>
      <c r="D386" s="136"/>
      <c r="E386" s="135"/>
      <c r="F386" s="135"/>
      <c r="G386" s="147">
        <f t="shared" si="154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55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03">
        <f t="shared" si="156"/>
        <v>0</v>
      </c>
      <c r="AI386" s="136"/>
      <c r="AJ386" s="136"/>
      <c r="AK386" s="136"/>
      <c r="AL386" s="105">
        <f t="shared" si="157"/>
        <v>0</v>
      </c>
      <c r="AM386" s="143"/>
      <c r="AN386" s="143"/>
      <c r="AO386" s="143"/>
      <c r="AP386" s="143"/>
      <c r="AQ386" s="146"/>
      <c r="AR386" s="224">
        <f t="shared" si="158"/>
        <v>0</v>
      </c>
      <c r="AS386" s="274"/>
      <c r="AT386" s="126"/>
      <c r="AU386" s="126"/>
      <c r="AV386" s="126"/>
      <c r="AW386" s="126"/>
      <c r="AX386" s="126"/>
      <c r="AY386" s="126"/>
      <c r="AZ386" s="274"/>
      <c r="BA386" s="274"/>
      <c r="BB386" s="274"/>
      <c r="BC386" s="222">
        <f t="shared" si="159"/>
        <v>0</v>
      </c>
      <c r="BD386" s="140">
        <f t="shared" si="160"/>
        <v>0</v>
      </c>
      <c r="BE386" s="132"/>
      <c r="BF386" s="140">
        <f t="shared" si="161"/>
        <v>0</v>
      </c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62"/>
        <v>0</v>
      </c>
      <c r="BU386" s="132"/>
    </row>
    <row r="387" ht="14.25" customHeight="1">
      <c r="A387" s="132"/>
      <c r="B387" s="512">
        <v>46369</v>
      </c>
      <c r="C387" s="136"/>
      <c r="D387" s="136"/>
      <c r="E387" s="135"/>
      <c r="F387" s="135"/>
      <c r="G387" s="147">
        <f t="shared" si="154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55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03">
        <f t="shared" si="156"/>
        <v>0</v>
      </c>
      <c r="AI387" s="136"/>
      <c r="AJ387" s="136"/>
      <c r="AK387" s="136"/>
      <c r="AL387" s="105">
        <f t="shared" si="157"/>
        <v>0</v>
      </c>
      <c r="AM387" s="143"/>
      <c r="AN387" s="143"/>
      <c r="AO387" s="143"/>
      <c r="AP387" s="143"/>
      <c r="AQ387" s="146"/>
      <c r="AR387" s="224">
        <f t="shared" si="158"/>
        <v>0</v>
      </c>
      <c r="AS387" s="274"/>
      <c r="AT387" s="126"/>
      <c r="AU387" s="126"/>
      <c r="AV387" s="126"/>
      <c r="AW387" s="126"/>
      <c r="AX387" s="126"/>
      <c r="AY387" s="126"/>
      <c r="AZ387" s="274"/>
      <c r="BA387" s="274"/>
      <c r="BB387" s="274"/>
      <c r="BC387" s="222">
        <f t="shared" si="159"/>
        <v>0</v>
      </c>
      <c r="BD387" s="140">
        <f t="shared" si="160"/>
        <v>0</v>
      </c>
      <c r="BE387" s="132"/>
      <c r="BF387" s="140">
        <f t="shared" si="161"/>
        <v>0</v>
      </c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62"/>
        <v>0</v>
      </c>
      <c r="BU387" s="132"/>
    </row>
    <row r="388" ht="14.25" customHeight="1">
      <c r="A388" s="132"/>
      <c r="B388" s="512">
        <v>46370</v>
      </c>
      <c r="C388" s="136"/>
      <c r="D388" s="136"/>
      <c r="E388" s="135"/>
      <c r="F388" s="135"/>
      <c r="G388" s="147">
        <f t="shared" si="154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55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03">
        <f t="shared" si="156"/>
        <v>0</v>
      </c>
      <c r="AI388" s="136"/>
      <c r="AJ388" s="136"/>
      <c r="AK388" s="136"/>
      <c r="AL388" s="105">
        <f t="shared" si="157"/>
        <v>0</v>
      </c>
      <c r="AM388" s="143"/>
      <c r="AN388" s="143"/>
      <c r="AO388" s="143"/>
      <c r="AP388" s="143"/>
      <c r="AQ388" s="146"/>
      <c r="AR388" s="224">
        <f t="shared" si="158"/>
        <v>0</v>
      </c>
      <c r="AS388" s="274"/>
      <c r="AT388" s="126"/>
      <c r="AU388" s="126"/>
      <c r="AV388" s="126"/>
      <c r="AW388" s="126"/>
      <c r="AX388" s="126"/>
      <c r="AY388" s="126"/>
      <c r="AZ388" s="274"/>
      <c r="BA388" s="274"/>
      <c r="BB388" s="274"/>
      <c r="BC388" s="222">
        <f t="shared" si="159"/>
        <v>0</v>
      </c>
      <c r="BD388" s="140">
        <f t="shared" si="160"/>
        <v>0</v>
      </c>
      <c r="BE388" s="132"/>
      <c r="BF388" s="140">
        <f t="shared" si="161"/>
        <v>0</v>
      </c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62"/>
        <v>0</v>
      </c>
      <c r="BU388" s="132"/>
    </row>
    <row r="389" ht="14.25" customHeight="1">
      <c r="A389" s="132"/>
      <c r="B389" s="512">
        <v>46371</v>
      </c>
      <c r="C389" s="136"/>
      <c r="D389" s="136"/>
      <c r="E389" s="135"/>
      <c r="F389" s="135"/>
      <c r="G389" s="147">
        <f t="shared" si="154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55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03">
        <f t="shared" si="156"/>
        <v>0</v>
      </c>
      <c r="AI389" s="136"/>
      <c r="AJ389" s="136"/>
      <c r="AK389" s="136"/>
      <c r="AL389" s="105">
        <f t="shared" si="157"/>
        <v>0</v>
      </c>
      <c r="AM389" s="143"/>
      <c r="AN389" s="143"/>
      <c r="AO389" s="143"/>
      <c r="AP389" s="143"/>
      <c r="AQ389" s="146"/>
      <c r="AR389" s="224">
        <f t="shared" si="158"/>
        <v>0</v>
      </c>
      <c r="AS389" s="274"/>
      <c r="AT389" s="126"/>
      <c r="AU389" s="126"/>
      <c r="AV389" s="126"/>
      <c r="AW389" s="126"/>
      <c r="AX389" s="126"/>
      <c r="AY389" s="126"/>
      <c r="AZ389" s="274"/>
      <c r="BA389" s="274"/>
      <c r="BB389" s="274"/>
      <c r="BC389" s="222">
        <f t="shared" si="159"/>
        <v>0</v>
      </c>
      <c r="BD389" s="140">
        <f t="shared" si="160"/>
        <v>0</v>
      </c>
      <c r="BE389" s="132"/>
      <c r="BF389" s="140">
        <f t="shared" si="161"/>
        <v>0</v>
      </c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62"/>
        <v>0</v>
      </c>
      <c r="BU389" s="132"/>
    </row>
    <row r="390" ht="14.25" customHeight="1">
      <c r="A390" s="132"/>
      <c r="B390" s="512">
        <v>46372</v>
      </c>
      <c r="C390" s="136"/>
      <c r="D390" s="136"/>
      <c r="E390" s="135"/>
      <c r="F390" s="135"/>
      <c r="G390" s="147">
        <f t="shared" si="154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55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03">
        <f t="shared" si="156"/>
        <v>0</v>
      </c>
      <c r="AI390" s="136"/>
      <c r="AJ390" s="136"/>
      <c r="AK390" s="136"/>
      <c r="AL390" s="105">
        <f t="shared" si="157"/>
        <v>0</v>
      </c>
      <c r="AM390" s="143"/>
      <c r="AN390" s="143"/>
      <c r="AO390" s="143"/>
      <c r="AP390" s="143"/>
      <c r="AQ390" s="146"/>
      <c r="AR390" s="224">
        <f t="shared" si="158"/>
        <v>0</v>
      </c>
      <c r="AS390" s="274"/>
      <c r="AT390" s="126"/>
      <c r="AU390" s="126"/>
      <c r="AV390" s="126"/>
      <c r="AW390" s="126"/>
      <c r="AX390" s="126"/>
      <c r="AY390" s="126"/>
      <c r="AZ390" s="274"/>
      <c r="BA390" s="274"/>
      <c r="BB390" s="274"/>
      <c r="BC390" s="222">
        <f t="shared" si="159"/>
        <v>0</v>
      </c>
      <c r="BD390" s="140">
        <f t="shared" si="160"/>
        <v>0</v>
      </c>
      <c r="BE390" s="132"/>
      <c r="BF390" s="140">
        <f t="shared" si="161"/>
        <v>0</v>
      </c>
      <c r="BG390" s="141"/>
      <c r="BH390" s="141"/>
      <c r="BI390" s="913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62"/>
        <v>0</v>
      </c>
      <c r="BU390" s="132"/>
    </row>
    <row r="391" ht="14.25" customHeight="1">
      <c r="A391" s="132"/>
      <c r="B391" s="512">
        <v>46373</v>
      </c>
      <c r="C391" s="136"/>
      <c r="D391" s="136"/>
      <c r="E391" s="135"/>
      <c r="F391" s="135"/>
      <c r="G391" s="147">
        <f t="shared" si="154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55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03">
        <f t="shared" si="156"/>
        <v>0</v>
      </c>
      <c r="AI391" s="136"/>
      <c r="AJ391" s="136"/>
      <c r="AK391" s="136"/>
      <c r="AL391" s="105">
        <f t="shared" si="157"/>
        <v>0</v>
      </c>
      <c r="AM391" s="143"/>
      <c r="AN391" s="143"/>
      <c r="AO391" s="143"/>
      <c r="AP391" s="143"/>
      <c r="AQ391" s="146"/>
      <c r="AR391" s="224">
        <f t="shared" si="158"/>
        <v>0</v>
      </c>
      <c r="AS391" s="274"/>
      <c r="AT391" s="126"/>
      <c r="AU391" s="126"/>
      <c r="AV391" s="126"/>
      <c r="AW391" s="126"/>
      <c r="AX391" s="126"/>
      <c r="AY391" s="126"/>
      <c r="AZ391" s="274"/>
      <c r="BA391" s="274"/>
      <c r="BB391" s="274"/>
      <c r="BC391" s="222">
        <f t="shared" si="159"/>
        <v>0</v>
      </c>
      <c r="BD391" s="140">
        <f t="shared" si="160"/>
        <v>0</v>
      </c>
      <c r="BE391" s="132"/>
      <c r="BF391" s="140">
        <f t="shared" si="161"/>
        <v>0</v>
      </c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62"/>
        <v>0</v>
      </c>
      <c r="BU391" s="132"/>
    </row>
    <row r="392" ht="14.25" customHeight="1">
      <c r="A392" s="132"/>
      <c r="B392" s="512">
        <v>46374</v>
      </c>
      <c r="C392" s="136"/>
      <c r="D392" s="136"/>
      <c r="E392" s="135"/>
      <c r="F392" s="135"/>
      <c r="G392" s="147">
        <f t="shared" si="154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55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03">
        <f t="shared" si="156"/>
        <v>0</v>
      </c>
      <c r="AI392" s="136"/>
      <c r="AJ392" s="136"/>
      <c r="AK392" s="136"/>
      <c r="AL392" s="105">
        <f t="shared" si="157"/>
        <v>0</v>
      </c>
      <c r="AM392" s="143"/>
      <c r="AN392" s="143"/>
      <c r="AO392" s="143"/>
      <c r="AP392" s="143"/>
      <c r="AQ392" s="146"/>
      <c r="AR392" s="224">
        <f t="shared" si="158"/>
        <v>0</v>
      </c>
      <c r="AS392" s="274"/>
      <c r="AT392" s="126"/>
      <c r="AU392" s="126"/>
      <c r="AV392" s="126"/>
      <c r="AW392" s="126"/>
      <c r="AX392" s="126"/>
      <c r="AY392" s="126"/>
      <c r="AZ392" s="274"/>
      <c r="BA392" s="274"/>
      <c r="BB392" s="274"/>
      <c r="BC392" s="222">
        <f t="shared" si="159"/>
        <v>0</v>
      </c>
      <c r="BD392" s="140">
        <f t="shared" si="160"/>
        <v>0</v>
      </c>
      <c r="BE392" s="132"/>
      <c r="BF392" s="140">
        <f t="shared" si="161"/>
        <v>0</v>
      </c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62"/>
        <v>0</v>
      </c>
      <c r="BU392" s="132"/>
    </row>
    <row r="393" ht="14.25" customHeight="1">
      <c r="A393" s="132"/>
      <c r="B393" s="512">
        <v>46375</v>
      </c>
      <c r="C393" s="136"/>
      <c r="D393" s="136"/>
      <c r="E393" s="135"/>
      <c r="F393" s="135"/>
      <c r="G393" s="147">
        <f t="shared" si="154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55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03">
        <f t="shared" si="156"/>
        <v>0</v>
      </c>
      <c r="AI393" s="136"/>
      <c r="AJ393" s="136"/>
      <c r="AK393" s="136"/>
      <c r="AL393" s="105">
        <f t="shared" si="157"/>
        <v>0</v>
      </c>
      <c r="AM393" s="143"/>
      <c r="AN393" s="143"/>
      <c r="AO393" s="143"/>
      <c r="AP393" s="143"/>
      <c r="AQ393" s="146"/>
      <c r="AR393" s="224">
        <f t="shared" si="158"/>
        <v>0</v>
      </c>
      <c r="AS393" s="274"/>
      <c r="AT393" s="126"/>
      <c r="AU393" s="126"/>
      <c r="AV393" s="126"/>
      <c r="AW393" s="126"/>
      <c r="AX393" s="126"/>
      <c r="AY393" s="126"/>
      <c r="AZ393" s="274"/>
      <c r="BA393" s="274"/>
      <c r="BB393" s="274"/>
      <c r="BC393" s="222">
        <f t="shared" si="159"/>
        <v>0</v>
      </c>
      <c r="BD393" s="140">
        <f t="shared" si="160"/>
        <v>0</v>
      </c>
      <c r="BE393" s="132"/>
      <c r="BF393" s="140">
        <f t="shared" si="161"/>
        <v>0</v>
      </c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62"/>
        <v>0</v>
      </c>
      <c r="BU393" s="132"/>
    </row>
    <row r="394" ht="14.25" customHeight="1">
      <c r="A394" s="132"/>
      <c r="B394" s="512">
        <v>46376</v>
      </c>
      <c r="C394" s="136"/>
      <c r="D394" s="136"/>
      <c r="E394" s="135"/>
      <c r="F394" s="135"/>
      <c r="G394" s="147">
        <f t="shared" si="154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55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03">
        <f t="shared" si="156"/>
        <v>0</v>
      </c>
      <c r="AI394" s="136"/>
      <c r="AJ394" s="136"/>
      <c r="AK394" s="136"/>
      <c r="AL394" s="105">
        <f t="shared" si="157"/>
        <v>0</v>
      </c>
      <c r="AM394" s="143"/>
      <c r="AN394" s="143"/>
      <c r="AO394" s="143"/>
      <c r="AP394" s="143"/>
      <c r="AQ394" s="146"/>
      <c r="AR394" s="224">
        <f t="shared" si="158"/>
        <v>0</v>
      </c>
      <c r="AS394" s="274"/>
      <c r="AT394" s="126"/>
      <c r="AU394" s="126"/>
      <c r="AV394" s="126"/>
      <c r="AW394" s="126"/>
      <c r="AX394" s="126"/>
      <c r="AY394" s="126"/>
      <c r="AZ394" s="274"/>
      <c r="BA394" s="274"/>
      <c r="BB394" s="274"/>
      <c r="BC394" s="222">
        <f t="shared" si="159"/>
        <v>0</v>
      </c>
      <c r="BD394" s="140">
        <f t="shared" si="160"/>
        <v>0</v>
      </c>
      <c r="BE394" s="132"/>
      <c r="BF394" s="140">
        <f t="shared" si="161"/>
        <v>0</v>
      </c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62"/>
        <v>0</v>
      </c>
      <c r="BU394" s="132"/>
    </row>
    <row r="395" ht="14.25" customHeight="1">
      <c r="A395" s="132"/>
      <c r="B395" s="512">
        <v>46377</v>
      </c>
      <c r="C395" s="136"/>
      <c r="D395" s="136"/>
      <c r="E395" s="135"/>
      <c r="F395" s="135"/>
      <c r="G395" s="147">
        <f t="shared" si="154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55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03">
        <f t="shared" si="156"/>
        <v>0</v>
      </c>
      <c r="AI395" s="136"/>
      <c r="AJ395" s="136"/>
      <c r="AK395" s="136"/>
      <c r="AL395" s="105">
        <f t="shared" si="157"/>
        <v>0</v>
      </c>
      <c r="AM395" s="143"/>
      <c r="AN395" s="143"/>
      <c r="AO395" s="143"/>
      <c r="AP395" s="143"/>
      <c r="AQ395" s="146"/>
      <c r="AR395" s="224">
        <f t="shared" si="158"/>
        <v>0</v>
      </c>
      <c r="AS395" s="274"/>
      <c r="AT395" s="126"/>
      <c r="AU395" s="126"/>
      <c r="AV395" s="126"/>
      <c r="AW395" s="126"/>
      <c r="AX395" s="126"/>
      <c r="AY395" s="126"/>
      <c r="AZ395" s="274"/>
      <c r="BA395" s="274"/>
      <c r="BB395" s="274"/>
      <c r="BC395" s="222">
        <f t="shared" si="159"/>
        <v>0</v>
      </c>
      <c r="BD395" s="140">
        <f t="shared" si="160"/>
        <v>0</v>
      </c>
      <c r="BE395" s="132"/>
      <c r="BF395" s="140">
        <f t="shared" si="161"/>
        <v>0</v>
      </c>
      <c r="BG395" s="141"/>
      <c r="BH395" s="141"/>
      <c r="BI395" s="913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62"/>
        <v>0</v>
      </c>
      <c r="BU395" s="132"/>
    </row>
    <row r="396" ht="14.25" customHeight="1">
      <c r="A396" s="132"/>
      <c r="B396" s="512">
        <v>46378</v>
      </c>
      <c r="C396" s="136"/>
      <c r="D396" s="136"/>
      <c r="E396" s="135"/>
      <c r="F396" s="135"/>
      <c r="G396" s="147">
        <f t="shared" si="154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55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03">
        <f t="shared" si="156"/>
        <v>0</v>
      </c>
      <c r="AI396" s="136"/>
      <c r="AJ396" s="136"/>
      <c r="AK396" s="136"/>
      <c r="AL396" s="105">
        <f t="shared" si="157"/>
        <v>0</v>
      </c>
      <c r="AM396" s="143"/>
      <c r="AN396" s="143"/>
      <c r="AO396" s="143"/>
      <c r="AP396" s="143"/>
      <c r="AQ396" s="146"/>
      <c r="AR396" s="224">
        <f t="shared" si="158"/>
        <v>0</v>
      </c>
      <c r="AS396" s="274"/>
      <c r="AT396" s="126"/>
      <c r="AU396" s="126"/>
      <c r="AV396" s="126"/>
      <c r="AW396" s="126"/>
      <c r="AX396" s="126"/>
      <c r="AY396" s="126"/>
      <c r="AZ396" s="274"/>
      <c r="BA396" s="274"/>
      <c r="BB396" s="274"/>
      <c r="BC396" s="222">
        <f t="shared" si="159"/>
        <v>0</v>
      </c>
      <c r="BD396" s="140">
        <f t="shared" si="160"/>
        <v>0</v>
      </c>
      <c r="BE396" s="132"/>
      <c r="BF396" s="140">
        <f t="shared" si="161"/>
        <v>0</v>
      </c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62"/>
        <v>0</v>
      </c>
      <c r="BU396" s="132"/>
    </row>
    <row r="397" ht="14.25" customHeight="1">
      <c r="A397" s="132"/>
      <c r="B397" s="978" t="s">
        <v>188</v>
      </c>
      <c r="C397" s="136"/>
      <c r="D397" s="136"/>
      <c r="E397" s="135"/>
      <c r="F397" s="135"/>
      <c r="G397" s="147">
        <f t="shared" si="154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55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03">
        <f t="shared" si="156"/>
        <v>0</v>
      </c>
      <c r="AI397" s="136"/>
      <c r="AJ397" s="136"/>
      <c r="AK397" s="136"/>
      <c r="AL397" s="105">
        <f t="shared" si="157"/>
        <v>0</v>
      </c>
      <c r="AM397" s="143"/>
      <c r="AN397" s="143"/>
      <c r="AO397" s="143"/>
      <c r="AP397" s="143"/>
      <c r="AQ397" s="146"/>
      <c r="AR397" s="224">
        <f t="shared" si="158"/>
        <v>0</v>
      </c>
      <c r="AS397" s="274"/>
      <c r="AT397" s="126"/>
      <c r="AU397" s="126"/>
      <c r="AV397" s="126"/>
      <c r="AW397" s="126"/>
      <c r="AX397" s="126"/>
      <c r="AY397" s="126"/>
      <c r="AZ397" s="274"/>
      <c r="BA397" s="274"/>
      <c r="BB397" s="274"/>
      <c r="BC397" s="222">
        <f t="shared" si="159"/>
        <v>0</v>
      </c>
      <c r="BD397" s="140">
        <f t="shared" si="160"/>
        <v>0</v>
      </c>
      <c r="BE397" s="132"/>
      <c r="BF397" s="140">
        <f t="shared" si="161"/>
        <v>0</v>
      </c>
      <c r="BG397" s="141"/>
      <c r="BH397" s="141"/>
      <c r="BI397" s="913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62"/>
        <v>0</v>
      </c>
      <c r="BU397" s="132"/>
    </row>
    <row r="398" ht="14.25" customHeight="1">
      <c r="A398" s="132"/>
      <c r="B398" s="512">
        <v>46380</v>
      </c>
      <c r="C398" s="136"/>
      <c r="D398" s="136"/>
      <c r="E398" s="135"/>
      <c r="F398" s="135"/>
      <c r="G398" s="147">
        <f t="shared" si="154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55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03">
        <f t="shared" si="156"/>
        <v>0</v>
      </c>
      <c r="AI398" s="136"/>
      <c r="AJ398" s="136"/>
      <c r="AK398" s="136"/>
      <c r="AL398" s="105">
        <f t="shared" si="157"/>
        <v>0</v>
      </c>
      <c r="AM398" s="143"/>
      <c r="AN398" s="143"/>
      <c r="AO398" s="143"/>
      <c r="AP398" s="143"/>
      <c r="AQ398" s="146"/>
      <c r="AR398" s="224">
        <f t="shared" si="158"/>
        <v>0</v>
      </c>
      <c r="AS398" s="274"/>
      <c r="AT398" s="126"/>
      <c r="AU398" s="126"/>
      <c r="AV398" s="126"/>
      <c r="AW398" s="126"/>
      <c r="AX398" s="126"/>
      <c r="AY398" s="126"/>
      <c r="AZ398" s="274"/>
      <c r="BA398" s="274"/>
      <c r="BB398" s="274"/>
      <c r="BC398" s="222">
        <f t="shared" si="159"/>
        <v>0</v>
      </c>
      <c r="BD398" s="140">
        <f t="shared" si="160"/>
        <v>0</v>
      </c>
      <c r="BE398" s="132"/>
      <c r="BF398" s="140">
        <f t="shared" si="161"/>
        <v>0</v>
      </c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62"/>
        <v>0</v>
      </c>
      <c r="BU398" s="132"/>
    </row>
    <row r="399" ht="14.25" customHeight="1">
      <c r="A399" s="132"/>
      <c r="B399" s="512">
        <v>46381</v>
      </c>
      <c r="C399" s="136"/>
      <c r="D399" s="136"/>
      <c r="E399" s="135"/>
      <c r="F399" s="135"/>
      <c r="G399" s="147">
        <f t="shared" si="154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55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03">
        <f t="shared" si="156"/>
        <v>0</v>
      </c>
      <c r="AI399" s="136"/>
      <c r="AJ399" s="136"/>
      <c r="AK399" s="136"/>
      <c r="AL399" s="105">
        <f t="shared" si="157"/>
        <v>0</v>
      </c>
      <c r="AM399" s="143"/>
      <c r="AN399" s="143"/>
      <c r="AO399" s="143"/>
      <c r="AP399" s="143"/>
      <c r="AQ399" s="146"/>
      <c r="AR399" s="224">
        <f t="shared" si="158"/>
        <v>0</v>
      </c>
      <c r="AS399" s="274"/>
      <c r="AT399" s="126"/>
      <c r="AU399" s="126"/>
      <c r="AV399" s="126"/>
      <c r="AW399" s="126"/>
      <c r="AX399" s="126"/>
      <c r="AY399" s="126"/>
      <c r="AZ399" s="274"/>
      <c r="BA399" s="274"/>
      <c r="BB399" s="274"/>
      <c r="BC399" s="222">
        <f t="shared" si="159"/>
        <v>0</v>
      </c>
      <c r="BD399" s="140">
        <f t="shared" si="160"/>
        <v>0</v>
      </c>
      <c r="BE399" s="132"/>
      <c r="BF399" s="140">
        <f t="shared" si="161"/>
        <v>0</v>
      </c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62"/>
        <v>0</v>
      </c>
      <c r="BU399" s="132"/>
    </row>
    <row r="400" ht="14.25" customHeight="1">
      <c r="A400" s="132"/>
      <c r="B400" s="512">
        <v>46382</v>
      </c>
      <c r="C400" s="136"/>
      <c r="D400" s="136"/>
      <c r="E400" s="135"/>
      <c r="F400" s="135"/>
      <c r="G400" s="147">
        <f t="shared" si="154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43"/>
      <c r="U400" s="103">
        <f t="shared" si="155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03">
        <f t="shared" si="156"/>
        <v>0</v>
      </c>
      <c r="AI400" s="136"/>
      <c r="AJ400" s="136"/>
      <c r="AK400" s="136"/>
      <c r="AL400" s="105">
        <f t="shared" si="157"/>
        <v>0</v>
      </c>
      <c r="AM400" s="143"/>
      <c r="AN400" s="143"/>
      <c r="AO400" s="143"/>
      <c r="AP400" s="143"/>
      <c r="AQ400" s="146"/>
      <c r="AR400" s="224">
        <f t="shared" si="158"/>
        <v>0</v>
      </c>
      <c r="AS400" s="274"/>
      <c r="AT400" s="126"/>
      <c r="AU400" s="126"/>
      <c r="AV400" s="126"/>
      <c r="AW400" s="126"/>
      <c r="AX400" s="126"/>
      <c r="AY400" s="126"/>
      <c r="AZ400" s="274"/>
      <c r="BA400" s="274"/>
      <c r="BB400" s="274"/>
      <c r="BC400" s="222">
        <f t="shared" si="159"/>
        <v>0</v>
      </c>
      <c r="BD400" s="140">
        <f t="shared" si="160"/>
        <v>0</v>
      </c>
      <c r="BE400" s="132"/>
      <c r="BF400" s="140">
        <f t="shared" si="161"/>
        <v>0</v>
      </c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62"/>
        <v>0</v>
      </c>
      <c r="BU400" s="132"/>
    </row>
    <row r="401" ht="16.5" customHeight="1">
      <c r="A401" s="132"/>
      <c r="B401" s="512">
        <v>46383</v>
      </c>
      <c r="C401" s="136"/>
      <c r="D401" s="136"/>
      <c r="E401" s="135"/>
      <c r="F401" s="135"/>
      <c r="G401" s="147">
        <f t="shared" si="154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t="shared" si="155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03">
        <f t="shared" si="156"/>
        <v>0</v>
      </c>
      <c r="AI401" s="136"/>
      <c r="AJ401" s="136"/>
      <c r="AK401" s="136"/>
      <c r="AL401" s="105">
        <f t="shared" si="157"/>
        <v>0</v>
      </c>
      <c r="AM401" s="143"/>
      <c r="AN401" s="143"/>
      <c r="AO401" s="143"/>
      <c r="AP401" s="143"/>
      <c r="AQ401" s="146"/>
      <c r="AR401" s="224">
        <f t="shared" si="158"/>
        <v>0</v>
      </c>
      <c r="AS401" s="274"/>
      <c r="AT401" s="126"/>
      <c r="AU401" s="126"/>
      <c r="AV401" s="126"/>
      <c r="AW401" s="126"/>
      <c r="AX401" s="126"/>
      <c r="AY401" s="126"/>
      <c r="AZ401" s="274"/>
      <c r="BA401" s="274"/>
      <c r="BB401" s="274"/>
      <c r="BC401" s="222">
        <f t="shared" si="159"/>
        <v>0</v>
      </c>
      <c r="BD401" s="140">
        <f t="shared" si="160"/>
        <v>0</v>
      </c>
      <c r="BE401" s="132"/>
      <c r="BF401" s="140">
        <f t="shared" si="161"/>
        <v>0</v>
      </c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62"/>
        <v>0</v>
      </c>
      <c r="BU401" s="132"/>
    </row>
    <row r="402" ht="14.25" customHeight="1">
      <c r="A402" s="132"/>
      <c r="B402" s="512">
        <v>46384</v>
      </c>
      <c r="C402" s="136"/>
      <c r="D402" s="136"/>
      <c r="E402" s="135"/>
      <c r="F402" s="135"/>
      <c r="G402" s="147">
        <f t="shared" si="154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55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03">
        <f t="shared" si="156"/>
        <v>0</v>
      </c>
      <c r="AI402" s="136"/>
      <c r="AJ402" s="136"/>
      <c r="AK402" s="136"/>
      <c r="AL402" s="105">
        <f t="shared" si="157"/>
        <v>0</v>
      </c>
      <c r="AM402" s="143"/>
      <c r="AN402" s="143"/>
      <c r="AO402" s="143"/>
      <c r="AP402" s="143"/>
      <c r="AQ402" s="146"/>
      <c r="AR402" s="224">
        <f t="shared" si="158"/>
        <v>0</v>
      </c>
      <c r="AS402" s="274"/>
      <c r="AT402" s="126"/>
      <c r="AU402" s="126"/>
      <c r="AV402" s="126"/>
      <c r="AW402" s="126"/>
      <c r="AX402" s="126"/>
      <c r="AY402" s="126"/>
      <c r="AZ402" s="274"/>
      <c r="BA402" s="274"/>
      <c r="BB402" s="274"/>
      <c r="BC402" s="222">
        <f t="shared" si="159"/>
        <v>0</v>
      </c>
      <c r="BD402" s="140">
        <f t="shared" si="160"/>
        <v>0</v>
      </c>
      <c r="BE402" s="132"/>
      <c r="BF402" s="140">
        <f t="shared" si="161"/>
        <v>0</v>
      </c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62"/>
        <v>0</v>
      </c>
      <c r="BU402" s="132"/>
    </row>
    <row r="403" ht="14.25" customHeight="1">
      <c r="A403" s="132"/>
      <c r="B403" s="512">
        <v>46385</v>
      </c>
      <c r="C403" s="136"/>
      <c r="D403" s="136"/>
      <c r="E403" s="135"/>
      <c r="F403" s="135"/>
      <c r="G403" s="147">
        <f t="shared" si="154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55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03">
        <f t="shared" si="156"/>
        <v>0</v>
      </c>
      <c r="AI403" s="136"/>
      <c r="AJ403" s="136"/>
      <c r="AK403" s="136"/>
      <c r="AL403" s="105">
        <f t="shared" si="157"/>
        <v>0</v>
      </c>
      <c r="AM403" s="143"/>
      <c r="AN403" s="143"/>
      <c r="AO403" s="143"/>
      <c r="AP403" s="143"/>
      <c r="AQ403" s="146"/>
      <c r="AR403" s="224">
        <f t="shared" si="158"/>
        <v>0</v>
      </c>
      <c r="AS403" s="274"/>
      <c r="AT403" s="126"/>
      <c r="AU403" s="126"/>
      <c r="AV403" s="126"/>
      <c r="AW403" s="126"/>
      <c r="AX403" s="126"/>
      <c r="AY403" s="126"/>
      <c r="AZ403" s="274"/>
      <c r="BA403" s="274"/>
      <c r="BB403" s="274"/>
      <c r="BC403" s="222">
        <f t="shared" si="159"/>
        <v>0</v>
      </c>
      <c r="BD403" s="140">
        <f t="shared" si="160"/>
        <v>0</v>
      </c>
      <c r="BE403" s="132"/>
      <c r="BF403" s="140">
        <f t="shared" si="161"/>
        <v>0</v>
      </c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62"/>
        <v>0</v>
      </c>
      <c r="BU403" s="132"/>
    </row>
    <row r="404" ht="14.25" customHeight="1">
      <c r="A404" s="132"/>
      <c r="B404" s="512">
        <v>46386</v>
      </c>
      <c r="C404" s="136"/>
      <c r="D404" s="136"/>
      <c r="E404" s="135"/>
      <c r="F404" s="135"/>
      <c r="G404" s="147">
        <f t="shared" si="154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t="shared" si="155"/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03">
        <f t="shared" si="156"/>
        <v>0</v>
      </c>
      <c r="AI404" s="136"/>
      <c r="AJ404" s="136"/>
      <c r="AK404" s="136"/>
      <c r="AL404" s="105">
        <f t="shared" si="157"/>
        <v>0</v>
      </c>
      <c r="AM404" s="143"/>
      <c r="AN404" s="143"/>
      <c r="AO404" s="143"/>
      <c r="AP404" s="143"/>
      <c r="AQ404" s="146"/>
      <c r="AR404" s="224">
        <f t="shared" si="158"/>
        <v>0</v>
      </c>
      <c r="AS404" s="274"/>
      <c r="AT404" s="126"/>
      <c r="AU404" s="126"/>
      <c r="AV404" s="126"/>
      <c r="AW404" s="126"/>
      <c r="AX404" s="126"/>
      <c r="AY404" s="126"/>
      <c r="AZ404" s="274"/>
      <c r="BA404" s="274"/>
      <c r="BB404" s="274"/>
      <c r="BC404" s="222">
        <f t="shared" si="159"/>
        <v>0</v>
      </c>
      <c r="BD404" s="140">
        <f t="shared" si="160"/>
        <v>0</v>
      </c>
      <c r="BE404" s="132"/>
      <c r="BF404" s="140">
        <f t="shared" si="161"/>
        <v>0</v>
      </c>
      <c r="BG404" s="141"/>
      <c r="BH404" s="141"/>
      <c r="BI404" s="913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62"/>
        <v>0</v>
      </c>
      <c r="BU404" s="132"/>
    </row>
    <row r="405" ht="14.25" customHeight="1">
      <c r="A405" s="132"/>
      <c r="B405" s="512">
        <v>46387</v>
      </c>
      <c r="C405" s="159"/>
      <c r="D405" s="159"/>
      <c r="E405" s="156"/>
      <c r="F405" s="156"/>
      <c r="G405" s="147">
        <f t="shared" si="154"/>
        <v>0</v>
      </c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03">
        <f t="shared" si="155"/>
        <v>0</v>
      </c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03">
        <f t="shared" si="156"/>
        <v>0</v>
      </c>
      <c r="AI405" s="159"/>
      <c r="AJ405" s="159"/>
      <c r="AK405" s="159"/>
      <c r="AL405" s="105">
        <f t="shared" si="157"/>
        <v>0</v>
      </c>
      <c r="AM405" s="157"/>
      <c r="AN405" s="157"/>
      <c r="AO405" s="157"/>
      <c r="AP405" s="157"/>
      <c r="AQ405" s="160"/>
      <c r="AR405" s="224">
        <f t="shared" si="158"/>
        <v>0</v>
      </c>
      <c r="AS405" s="274"/>
      <c r="AT405" s="126"/>
      <c r="AU405" s="126"/>
      <c r="AV405" s="126"/>
      <c r="AW405" s="126"/>
      <c r="AX405" s="126"/>
      <c r="AY405" s="126"/>
      <c r="AZ405" s="296"/>
      <c r="BA405" s="296"/>
      <c r="BB405" s="296"/>
      <c r="BC405" s="222">
        <f t="shared" si="159"/>
        <v>0</v>
      </c>
      <c r="BD405" s="162">
        <f t="shared" si="160"/>
        <v>0</v>
      </c>
      <c r="BE405" s="132"/>
      <c r="BF405" s="162">
        <f t="shared" si="161"/>
        <v>0</v>
      </c>
      <c r="BG405" s="163"/>
      <c r="BH405" s="141"/>
      <c r="BI405" s="163"/>
      <c r="BJ405" s="163"/>
      <c r="BK405" s="163"/>
      <c r="BL405" s="163"/>
      <c r="BM405" s="163"/>
      <c r="BN405" s="163"/>
      <c r="BO405" s="163"/>
      <c r="BP405" s="141"/>
      <c r="BQ405" s="163"/>
      <c r="BR405" s="163"/>
      <c r="BS405" s="163"/>
      <c r="BT405" s="164">
        <f t="shared" si="162"/>
        <v>0</v>
      </c>
      <c r="BU405" s="132"/>
    </row>
    <row r="406" ht="14.25" customHeight="1">
      <c r="A406" s="3"/>
      <c r="B406" s="2"/>
      <c r="C406" s="166">
        <f ref="C406:BD406" t="shared" si="163">SUM(C375:C405)</f>
        <v>0</v>
      </c>
      <c r="D406" s="166">
        <f t="shared" si="163"/>
        <v>0</v>
      </c>
      <c r="E406" s="166">
        <f t="shared" si="163"/>
        <v>0</v>
      </c>
      <c r="F406" s="166">
        <f t="shared" si="163"/>
        <v>0</v>
      </c>
      <c r="G406" s="166">
        <f t="shared" si="163"/>
        <v>0</v>
      </c>
      <c r="H406" s="166">
        <f t="shared" si="163"/>
        <v>0</v>
      </c>
      <c r="I406" s="166">
        <f t="shared" si="163"/>
        <v>0</v>
      </c>
      <c r="J406" s="166">
        <f t="shared" si="163"/>
        <v>0</v>
      </c>
      <c r="K406" s="166">
        <f t="shared" si="163"/>
        <v>0</v>
      </c>
      <c r="L406" s="166">
        <f t="shared" si="163"/>
        <v>0</v>
      </c>
      <c r="M406" s="166">
        <f t="shared" si="163"/>
        <v>0</v>
      </c>
      <c r="N406" s="166">
        <f t="shared" si="163"/>
        <v>0</v>
      </c>
      <c r="O406" s="166">
        <f t="shared" si="163"/>
        <v>0</v>
      </c>
      <c r="P406" s="166">
        <f t="shared" si="163"/>
        <v>0</v>
      </c>
      <c r="Q406" s="166">
        <f t="shared" si="163"/>
        <v>0</v>
      </c>
      <c r="R406" s="166">
        <f t="shared" si="163"/>
        <v>0</v>
      </c>
      <c r="S406" s="166">
        <f t="shared" si="163"/>
        <v>0</v>
      </c>
      <c r="T406" s="166">
        <f t="shared" si="163"/>
        <v>0</v>
      </c>
      <c r="U406" s="166">
        <f t="shared" si="163"/>
        <v>0</v>
      </c>
      <c r="V406" s="166">
        <f t="shared" si="163"/>
        <v>0</v>
      </c>
      <c r="W406" s="166">
        <f t="shared" si="163"/>
        <v>0</v>
      </c>
      <c r="X406" s="166">
        <f t="shared" si="163"/>
        <v>0</v>
      </c>
      <c r="Y406" s="166">
        <f t="shared" si="163"/>
        <v>0</v>
      </c>
      <c r="Z406" s="166">
        <f t="shared" si="163"/>
        <v>0</v>
      </c>
      <c r="AA406" s="166">
        <f t="shared" si="163"/>
        <v>0</v>
      </c>
      <c r="AB406" s="166">
        <f t="shared" si="163"/>
        <v>0</v>
      </c>
      <c r="AC406" s="166">
        <f t="shared" si="163"/>
        <v>0</v>
      </c>
      <c r="AD406" s="166">
        <f t="shared" si="163"/>
        <v>0</v>
      </c>
      <c r="AE406" s="166">
        <f t="shared" si="163"/>
        <v>0</v>
      </c>
      <c r="AF406" s="166">
        <f t="shared" si="163"/>
        <v>0</v>
      </c>
      <c r="AG406" s="166">
        <f t="shared" si="163"/>
        <v>0</v>
      </c>
      <c r="AH406" s="166">
        <f t="shared" si="163"/>
        <v>0</v>
      </c>
      <c r="AI406" s="166">
        <f t="shared" si="163"/>
        <v>0</v>
      </c>
      <c r="AJ406" s="166">
        <f t="shared" si="163"/>
        <v>0</v>
      </c>
      <c r="AK406" s="166">
        <f t="shared" si="163"/>
        <v>0</v>
      </c>
      <c r="AL406" s="166">
        <f t="shared" si="163"/>
        <v>0</v>
      </c>
      <c r="AM406" s="166">
        <f t="shared" si="163"/>
        <v>0</v>
      </c>
      <c r="AN406" s="166">
        <f t="shared" si="163"/>
        <v>0</v>
      </c>
      <c r="AO406" s="166">
        <f t="shared" si="163"/>
        <v>0</v>
      </c>
      <c r="AP406" s="166">
        <f t="shared" si="163"/>
        <v>0</v>
      </c>
      <c r="AQ406" s="166">
        <f t="shared" si="163"/>
        <v>0</v>
      </c>
      <c r="AR406" s="166">
        <f t="shared" si="163"/>
        <v>0</v>
      </c>
      <c r="AS406" s="166">
        <f t="shared" si="163"/>
        <v>0</v>
      </c>
      <c r="AT406" s="166">
        <f t="shared" si="163"/>
        <v>0</v>
      </c>
      <c r="AU406" s="166">
        <f t="shared" si="163"/>
        <v>0</v>
      </c>
      <c r="AV406" s="166">
        <f t="shared" si="163"/>
        <v>0</v>
      </c>
      <c r="AW406" s="166">
        <f t="shared" si="163"/>
        <v>0</v>
      </c>
      <c r="AX406" s="166">
        <f t="shared" si="163"/>
        <v>0</v>
      </c>
      <c r="AY406" s="166">
        <f t="shared" si="163"/>
        <v>0</v>
      </c>
      <c r="AZ406" s="166">
        <f t="shared" si="163"/>
        <v>0</v>
      </c>
      <c r="BA406" s="166">
        <f t="shared" si="163"/>
        <v>0</v>
      </c>
      <c r="BB406" s="166">
        <f t="shared" si="163"/>
        <v>0</v>
      </c>
      <c r="BC406" s="166">
        <f t="shared" si="163"/>
        <v>0</v>
      </c>
      <c r="BD406" s="166">
        <f t="shared" si="163"/>
        <v>0</v>
      </c>
      <c r="BE406" s="235"/>
      <c r="BF406" s="166">
        <f ref="BF406:BT406" t="shared" si="164">SUM(BF375:BF405)</f>
        <v>0</v>
      </c>
      <c r="BG406" s="166">
        <f t="shared" si="164"/>
        <v>0</v>
      </c>
      <c r="BH406" s="166">
        <f t="shared" si="164"/>
        <v>0</v>
      </c>
      <c r="BI406" s="166">
        <f t="shared" si="164"/>
        <v>0</v>
      </c>
      <c r="BJ406" s="166">
        <f t="shared" si="164"/>
        <v>0</v>
      </c>
      <c r="BK406" s="166">
        <f t="shared" si="164"/>
        <v>0</v>
      </c>
      <c r="BL406" s="166">
        <f t="shared" si="164"/>
        <v>0</v>
      </c>
      <c r="BM406" s="166">
        <f t="shared" si="164"/>
        <v>0</v>
      </c>
      <c r="BN406" s="166">
        <f t="shared" si="164"/>
        <v>0</v>
      </c>
      <c r="BO406" s="166">
        <f t="shared" si="164"/>
        <v>0</v>
      </c>
      <c r="BP406" s="166">
        <f t="shared" si="164"/>
        <v>0</v>
      </c>
      <c r="BQ406" s="166">
        <f t="shared" si="164"/>
        <v>0</v>
      </c>
      <c r="BR406" s="166">
        <f t="shared" si="164"/>
        <v>0</v>
      </c>
      <c r="BS406" s="166">
        <f t="shared" si="164"/>
        <v>0</v>
      </c>
      <c r="BT406" s="166">
        <f t="shared" si="164"/>
        <v>0</v>
      </c>
      <c r="BU406" s="235"/>
    </row>
  </sheetData>
  <pageMargins left="0.7" right="0.7" top="0.75" bottom="0.75" header="0" footer="0"/>
  <pageSetup orientation="portrait"/>
  <headerFooter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623"/>
  </sheetPr>
  <dimension ref="A1:BR406"/>
  <sheetViews>
    <sheetView showGridLines="0" zoomScale="32" zoomScaleNormal="32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M141" sqref="BM141:BN147"/>
    </sheetView>
  </sheetViews>
  <sheetFormatPr baseColWidth="10" defaultColWidth="14.42578125" defaultRowHeight="15" customHeight="1" x14ac:dyDescent="0.25"/>
  <cols>
    <col min="1" max="1" width="2" customWidth="1"/>
    <col min="2" max="2" width="16.28515625" customWidth="1"/>
    <col min="3" max="4" width="13.42578125" customWidth="1"/>
    <col min="5" max="5" hidden="1" width="12.42578125" customWidth="1"/>
    <col min="6" max="6" hidden="1" width="13.85546875" customWidth="1"/>
    <col min="7" max="7" width="13.42578125" customWidth="1"/>
    <col min="8" max="8" width="17.140625" customWidth="1"/>
    <col min="9" max="10" width="13.7109375" customWidth="1"/>
    <col min="11" max="11" width="13" customWidth="1"/>
    <col min="12" max="12" hidden="1" width="13.7109375" customWidth="1"/>
    <col min="13" max="13" hidden="1" width="15.85546875" customWidth="1"/>
    <col min="14" max="16" hidden="1" width="13.7109375" customWidth="1"/>
    <col min="17" max="17" width="10.28515625" customWidth="1"/>
    <col min="18" max="18" width="16.42578125" customWidth="1"/>
    <col min="19" max="19" hidden="1" width="23.140625" customWidth="1"/>
    <col min="20" max="20" width="18" customWidth="1"/>
    <col min="21" max="21" width="23.28515625" customWidth="1"/>
    <col min="22" max="30" hidden="1" width="12.7109375" customWidth="1"/>
    <col min="31" max="31" hidden="1" width="16.85546875" customWidth="1"/>
    <col min="32" max="32" width="20.5703125" customWidth="1"/>
    <col min="33" max="33" width="12" customWidth="1"/>
    <col min="34" max="35" width="12.85546875" customWidth="1"/>
    <col min="36" max="36" hidden="1" width="12.85546875" customWidth="1"/>
    <col min="37" max="37" width="16.42578125" customWidth="1"/>
    <col min="38" max="39" width="13.42578125" customWidth="1"/>
    <col min="40" max="41" hidden="1" width="15.140625" customWidth="1"/>
    <col min="42" max="42" hidden="1" width="12.7109375" customWidth="1"/>
    <col min="43" max="43" width="13.140625" customWidth="1"/>
    <col min="44" max="44" width="11.85546875" customWidth="1"/>
    <col min="45" max="45" width="10.42578125" customWidth="1"/>
    <col min="46" max="46" width="9.42578125" customWidth="1"/>
    <col min="47" max="47" width="9.5703125" customWidth="1"/>
    <col min="48" max="49" hidden="1" width="11.85546875" customWidth="1"/>
    <col min="50" max="50" hidden="1" width="13.42578125" customWidth="1"/>
    <col min="51" max="51" width="12.85546875" customWidth="1"/>
    <col min="52" max="52" width="13" customWidth="1"/>
    <col min="53" max="53" width="16.42578125" customWidth="1"/>
    <col min="54" max="54" width="4" customWidth="1"/>
    <col min="55" max="55" width="11.42578125" customWidth="1"/>
    <col min="56" max="58" width="12.7109375" customWidth="1"/>
    <col min="59" max="61" hidden="1" width="12.7109375" customWidth="1"/>
    <col min="62" max="62" hidden="1" width="15" customWidth="1"/>
    <col min="63" max="64" hidden="1" width="14.42578125" customWidth="1"/>
    <col min="65" max="68" width="12.7109375" customWidth="1"/>
    <col min="69" max="69" width="11.42578125" customWidth="1"/>
    <col min="70" max="70" width="2.140625" customWidth="1"/>
  </cols>
  <sheetData>
    <row r="1" ht="4.5" customHeight="1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3"/>
      <c r="AM1" s="3"/>
      <c r="AN1" s="3"/>
      <c r="AO1" s="3"/>
      <c r="AP1" s="3"/>
      <c r="AQ1" s="4"/>
      <c r="AR1" s="132"/>
      <c r="AS1" s="132"/>
      <c r="AT1" s="132"/>
      <c r="AU1" s="132"/>
      <c r="AV1" s="132"/>
      <c r="AW1" s="132"/>
      <c r="AX1" s="132"/>
      <c r="AY1" s="132"/>
      <c r="AZ1" s="4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</row>
    <row r="2" ht="14.25" customHeight="1">
      <c r="A2" s="14"/>
      <c r="B2" s="20" t="s">
        <v>1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6"/>
      <c r="AL2" s="16"/>
      <c r="AM2" s="16"/>
      <c r="AN2" s="16"/>
      <c r="AO2" s="16"/>
      <c r="AP2" s="16"/>
      <c r="AQ2" s="16"/>
      <c r="AR2" s="14"/>
      <c r="AS2" s="14"/>
      <c r="AT2" s="14"/>
      <c r="AU2" s="14"/>
      <c r="AV2" s="14"/>
      <c r="AW2" s="14"/>
      <c r="AX2" s="14"/>
      <c r="AY2" s="14"/>
      <c r="AZ2" s="16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</row>
    <row r="3" ht="11.25" customHeight="1">
      <c r="A3" s="313"/>
      <c r="B3" s="314"/>
      <c r="C3" s="315" t="s">
        <v>189</v>
      </c>
      <c r="D3" s="313"/>
      <c r="E3" s="313"/>
      <c r="F3" s="313"/>
      <c r="G3" s="316"/>
      <c r="H3" s="316"/>
      <c r="I3" s="316"/>
      <c r="J3" s="313"/>
      <c r="K3" s="313"/>
      <c r="L3" s="313"/>
      <c r="M3" s="313"/>
      <c r="N3" s="313"/>
      <c r="O3" s="313"/>
      <c r="P3" s="316"/>
      <c r="Q3" s="316"/>
      <c r="R3" s="316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  <c r="AG3" s="313"/>
      <c r="AH3" s="313"/>
      <c r="AI3" s="313"/>
      <c r="AJ3" s="313"/>
      <c r="AK3" s="3"/>
      <c r="AL3" s="3"/>
      <c r="AM3" s="3"/>
      <c r="AN3" s="3"/>
      <c r="AO3" s="3"/>
      <c r="AP3" s="3"/>
      <c r="AQ3" s="3"/>
      <c r="AR3" s="3"/>
      <c r="AS3" s="3"/>
      <c r="AT3" s="3"/>
      <c r="AU3" s="313"/>
      <c r="AV3" s="313"/>
      <c r="AW3" s="313"/>
      <c r="AX3" s="313"/>
      <c r="AY3" s="313"/>
      <c r="AZ3" s="3"/>
      <c r="BA3" s="313"/>
      <c r="BB3" s="313"/>
      <c r="BC3" s="313" t="s">
        <v>3</v>
      </c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13"/>
      <c r="BO3" s="313"/>
      <c r="BP3" s="313"/>
      <c r="BQ3" s="313"/>
      <c r="BR3" s="313"/>
    </row>
    <row r="4" ht="9.75" customHeight="1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 t="s">
        <v>4</v>
      </c>
      <c r="AH4" s="22"/>
      <c r="AI4" s="22"/>
      <c r="AJ4" s="22"/>
      <c r="AK4" s="26" t="s">
        <v>5</v>
      </c>
      <c r="AL4" s="24"/>
      <c r="AM4" s="24"/>
      <c r="AN4" s="24"/>
      <c r="AO4" s="24"/>
      <c r="AP4" s="24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7"/>
      <c r="BR4" s="22"/>
    </row>
    <row r="5" ht="13.5" customHeight="1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574" t="s">
        <v>15</v>
      </c>
      <c r="AN5" s="575" t="s">
        <v>15</v>
      </c>
      <c r="AO5" s="575" t="s">
        <v>15</v>
      </c>
      <c r="AP5" s="576" t="s">
        <v>16</v>
      </c>
      <c r="AQ5" s="51" t="s">
        <v>4</v>
      </c>
      <c r="AR5" s="979" t="s">
        <v>17</v>
      </c>
      <c r="AS5" s="59" t="s">
        <v>17</v>
      </c>
      <c r="AT5" s="59" t="s">
        <v>20</v>
      </c>
      <c r="AU5" s="980" t="s">
        <v>20</v>
      </c>
      <c r="AV5" s="715" t="s">
        <v>20</v>
      </c>
      <c r="AW5" s="715" t="s">
        <v>21</v>
      </c>
      <c r="AX5" s="59" t="s">
        <v>22</v>
      </c>
      <c r="AY5" s="59" t="s">
        <v>24</v>
      </c>
      <c r="AZ5" s="577" t="s">
        <v>5</v>
      </c>
      <c r="BA5" s="58" t="s">
        <v>25</v>
      </c>
      <c r="BB5" s="33"/>
      <c r="BC5" s="58" t="s">
        <v>4</v>
      </c>
      <c r="BD5" s="59" t="s">
        <v>26</v>
      </c>
      <c r="BE5" s="59" t="s">
        <v>89</v>
      </c>
      <c r="BF5" s="59" t="s">
        <v>90</v>
      </c>
      <c r="BG5" s="59" t="s">
        <v>91</v>
      </c>
      <c r="BH5" s="59" t="s">
        <v>92</v>
      </c>
      <c r="BI5" s="59" t="s">
        <v>93</v>
      </c>
      <c r="BJ5" s="59" t="s">
        <v>94</v>
      </c>
      <c r="BK5" s="59" t="s">
        <v>95</v>
      </c>
      <c r="BL5" s="59" t="s">
        <v>95</v>
      </c>
      <c r="BM5" s="59" t="s">
        <v>27</v>
      </c>
      <c r="BN5" s="59" t="s">
        <v>28</v>
      </c>
      <c r="BO5" s="59" t="s">
        <v>28</v>
      </c>
      <c r="BP5" s="59" t="s">
        <v>28</v>
      </c>
      <c r="BQ5" s="60" t="s">
        <v>29</v>
      </c>
      <c r="BR5" s="33"/>
    </row>
    <row r="6" ht="19.5" customHeight="1">
      <c r="A6" s="33"/>
      <c r="B6" s="885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190</v>
      </c>
      <c r="I6" s="588" t="s">
        <v>147</v>
      </c>
      <c r="J6" s="588" t="s">
        <v>106</v>
      </c>
      <c r="K6" s="588" t="s">
        <v>191</v>
      </c>
      <c r="L6" s="588" t="s">
        <v>192</v>
      </c>
      <c r="M6" s="588" t="s">
        <v>183</v>
      </c>
      <c r="N6" s="588" t="s">
        <v>56</v>
      </c>
      <c r="O6" s="588" t="s">
        <v>57</v>
      </c>
      <c r="P6" s="588" t="s">
        <v>58</v>
      </c>
      <c r="Q6" s="588" t="s">
        <v>112</v>
      </c>
      <c r="R6" s="588" t="s">
        <v>179</v>
      </c>
      <c r="S6" s="588" t="s">
        <v>193</v>
      </c>
      <c r="T6" s="595" t="s">
        <v>48</v>
      </c>
      <c r="U6" s="733" t="s">
        <v>194</v>
      </c>
      <c r="V6" s="733" t="s">
        <v>75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195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1" t="s">
        <v>31</v>
      </c>
      <c r="AN6" s="602" t="s">
        <v>31</v>
      </c>
      <c r="AO6" s="602" t="s">
        <v>32</v>
      </c>
      <c r="AP6" s="603" t="s">
        <v>60</v>
      </c>
      <c r="AQ6" s="81" t="s">
        <v>61</v>
      </c>
      <c r="AR6" s="578" t="s">
        <v>62</v>
      </c>
      <c r="AS6" s="605" t="s">
        <v>64</v>
      </c>
      <c r="AT6" s="605" t="s">
        <v>158</v>
      </c>
      <c r="AU6" s="981" t="s">
        <v>31</v>
      </c>
      <c r="AV6" s="739" t="s">
        <v>32</v>
      </c>
      <c r="AW6" s="739" t="s">
        <v>32</v>
      </c>
      <c r="AX6" s="605"/>
      <c r="AY6" s="605" t="s">
        <v>69</v>
      </c>
      <c r="AZ6" s="610" t="s">
        <v>70</v>
      </c>
      <c r="BA6" s="89" t="s">
        <v>71</v>
      </c>
      <c r="BB6" s="33"/>
      <c r="BC6" s="89" t="s">
        <v>72</v>
      </c>
      <c r="BD6" s="90"/>
      <c r="BE6" s="90" t="s">
        <v>125</v>
      </c>
      <c r="BF6" s="90"/>
      <c r="BG6" s="90" t="s">
        <v>126</v>
      </c>
      <c r="BH6" s="90" t="s">
        <v>127</v>
      </c>
      <c r="BI6" s="90" t="s">
        <v>128</v>
      </c>
      <c r="BJ6" s="90" t="s">
        <v>129</v>
      </c>
      <c r="BK6" s="90" t="s">
        <v>130</v>
      </c>
      <c r="BL6" s="90" t="s">
        <v>131</v>
      </c>
      <c r="BM6" s="90" t="s">
        <v>73</v>
      </c>
      <c r="BN6" s="90" t="s">
        <v>74</v>
      </c>
      <c r="BO6" s="90" t="s">
        <v>75</v>
      </c>
      <c r="BP6" s="90" t="s">
        <v>52</v>
      </c>
      <c r="BQ6" s="91"/>
      <c r="BR6" s="33"/>
    </row>
    <row r="7" ht="14.25" customHeight="1">
      <c r="A7" s="3"/>
      <c r="B7" s="444">
        <v>46023</v>
      </c>
      <c r="C7" s="890">
        <f>7035.83-D7-0</f>
      </c>
      <c r="D7" s="897">
        <v>3009.18</v>
      </c>
      <c r="E7" s="97"/>
      <c r="F7" s="97"/>
      <c r="G7" s="147">
        <f ref="G7:G37" t="shared" si="0">+C7+D7+E7+F7</f>
        <v>0</v>
      </c>
      <c r="H7" s="187"/>
      <c r="I7" s="186"/>
      <c r="J7" s="186"/>
      <c r="K7" s="982">
        <v>1677.4</v>
      </c>
      <c r="L7" s="186"/>
      <c r="M7" s="186"/>
      <c r="N7" s="186"/>
      <c r="O7" s="186"/>
      <c r="P7" s="186"/>
      <c r="Q7" s="186"/>
      <c r="R7" s="186"/>
      <c r="S7" s="186"/>
      <c r="T7" s="103">
        <f ref="T7:T37" t="shared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ref="AG7:AG37" t="shared" si="2">SUM(U7:AF7)</f>
        <v>0</v>
      </c>
      <c r="AH7" s="983">
        <v>1224.52</v>
      </c>
      <c r="AI7" s="897">
        <v>1037.28</v>
      </c>
      <c r="AJ7" s="104"/>
      <c r="AK7" s="105">
        <f ref="AK7:AK37" t="shared" si="3">SUM(AH7:AJ7)</f>
        <v>0</v>
      </c>
      <c r="AL7" s="984">
        <v>54.42</v>
      </c>
      <c r="AM7" s="912"/>
      <c r="AN7" s="186"/>
      <c r="AO7" s="186"/>
      <c r="AP7" s="193"/>
      <c r="AQ7" s="219">
        <f ref="AQ7:AQ37" t="shared" si="4">+G7-T7-AG7-AK7-AL7-AN7-AO7-AP7</f>
        <v>0</v>
      </c>
      <c r="AR7" s="1759">
        <v>1070.8</v>
      </c>
      <c r="AS7" s="1777"/>
      <c r="AT7" s="1777"/>
      <c r="AU7" s="1760">
        <v>1971.6</v>
      </c>
      <c r="AV7" s="1548"/>
      <c r="AW7" s="1548"/>
      <c r="AX7" s="1548"/>
      <c r="AY7" s="1537"/>
      <c r="AZ7" s="222">
        <f ref="AZ7:AZ37" t="shared" si="5">SUM(AR7:AY7)-AX7</f>
        <v>0</v>
      </c>
      <c r="BA7" s="113">
        <f ref="BA7:BA37" t="shared" si="6">+AQ7-AZ7</f>
        <v>0</v>
      </c>
      <c r="BB7" s="3"/>
      <c r="BC7" s="114">
        <f ref="BC7:BC37" t="shared" si="7">SUM(BD7:BP7)</f>
        <v>0</v>
      </c>
      <c r="BD7" s="220"/>
      <c r="BE7" s="220"/>
      <c r="BF7" s="220"/>
      <c r="BG7" s="220"/>
      <c r="BH7" s="220"/>
      <c r="BI7" s="220"/>
      <c r="BJ7" s="220"/>
      <c r="BK7" s="220"/>
      <c r="BL7" s="220"/>
      <c r="BM7" s="220"/>
      <c r="BN7" s="985"/>
      <c r="BO7" s="986"/>
      <c r="BP7" s="220"/>
      <c r="BQ7" s="116">
        <f ref="BQ7:BQ37" t="shared" si="8">+BA7-BC7</f>
        <v>0</v>
      </c>
      <c r="BR7" s="3"/>
    </row>
    <row r="8" ht="14.25" customHeight="1">
      <c r="A8" s="3"/>
      <c r="B8" s="444">
        <v>46024</v>
      </c>
      <c r="C8" s="900">
        <f>12750.42-D8-0</f>
      </c>
      <c r="D8" s="901">
        <v>1934.93</v>
      </c>
      <c r="E8" s="120"/>
      <c r="F8" s="120"/>
      <c r="G8" s="147">
        <f t="shared" si="0"/>
        <v>0</v>
      </c>
      <c r="H8" s="144"/>
      <c r="I8" s="145">
        <v>205.32</v>
      </c>
      <c r="J8" s="143"/>
      <c r="K8" s="987">
        <v>7917.59</v>
      </c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11">
        <v>1076.65</v>
      </c>
      <c r="AI8" s="907">
        <v>483.01</v>
      </c>
      <c r="AJ8" s="123"/>
      <c r="AK8" s="105">
        <f t="shared" si="3"/>
        <v>0</v>
      </c>
      <c r="AL8" s="988">
        <v>50.87</v>
      </c>
      <c r="AM8" s="989">
        <v>0.61</v>
      </c>
      <c r="AN8" s="143"/>
      <c r="AO8" s="143"/>
      <c r="AP8" s="146"/>
      <c r="AQ8" s="224">
        <f t="shared" si="4"/>
        <v>0</v>
      </c>
      <c r="AR8" s="1760">
        <v>1565.1</v>
      </c>
      <c r="AS8" s="1778"/>
      <c r="AT8" s="1778"/>
      <c r="AU8" s="1760">
        <v>1451.4</v>
      </c>
      <c r="AV8" s="1548"/>
      <c r="AW8" s="1548"/>
      <c r="AX8" s="1548"/>
      <c r="AY8" s="1546"/>
      <c r="AZ8" s="222">
        <f t="shared" si="5"/>
        <v>0</v>
      </c>
      <c r="BA8" s="113">
        <f t="shared" si="6"/>
        <v>0</v>
      </c>
      <c r="BB8" s="3"/>
      <c r="BC8" s="113">
        <f t="shared" si="7"/>
        <v>0</v>
      </c>
      <c r="BD8" s="225"/>
      <c r="BE8" s="225"/>
      <c r="BF8" s="225"/>
      <c r="BG8" s="225"/>
      <c r="BH8" s="225"/>
      <c r="BI8" s="225"/>
      <c r="BJ8" s="225"/>
      <c r="BK8" s="225"/>
      <c r="BL8" s="225"/>
      <c r="BM8" s="225"/>
      <c r="BN8" s="990"/>
      <c r="BO8" s="991"/>
      <c r="BP8" s="225"/>
      <c r="BQ8" s="130">
        <f t="shared" si="8"/>
        <v>0</v>
      </c>
      <c r="BR8" s="3"/>
    </row>
    <row r="9" ht="14.25" customHeight="1">
      <c r="A9" s="3"/>
      <c r="B9" s="444">
        <v>46025</v>
      </c>
      <c r="C9" s="900">
        <f>11510.77-D9-0</f>
      </c>
      <c r="D9" s="901">
        <v>2382.53</v>
      </c>
      <c r="E9" s="120"/>
      <c r="F9" s="120"/>
      <c r="G9" s="147">
        <f t="shared" si="0"/>
        <v>0</v>
      </c>
      <c r="H9" s="144"/>
      <c r="I9" s="143"/>
      <c r="J9" s="143"/>
      <c r="K9" s="992">
        <v>5824.15</v>
      </c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1">
        <v>1300.25</v>
      </c>
      <c r="AI9" s="907">
        <v>988</v>
      </c>
      <c r="AJ9" s="123"/>
      <c r="AK9" s="105">
        <f t="shared" si="3"/>
        <v>0</v>
      </c>
      <c r="AL9" s="988">
        <v>105.94</v>
      </c>
      <c r="AM9" s="989">
        <v>1.27</v>
      </c>
      <c r="AN9" s="143"/>
      <c r="AO9" s="143"/>
      <c r="AP9" s="146"/>
      <c r="AQ9" s="224">
        <f t="shared" si="4"/>
        <v>0</v>
      </c>
      <c r="AR9" s="1760">
        <v>1898</v>
      </c>
      <c r="AS9" s="1778"/>
      <c r="AT9" s="1778"/>
      <c r="AU9" s="1760">
        <v>1393.8</v>
      </c>
      <c r="AV9" s="1548"/>
      <c r="AW9" s="1548"/>
      <c r="AX9" s="1548"/>
      <c r="AY9" s="1546"/>
      <c r="AZ9" s="222">
        <f t="shared" si="5"/>
        <v>0</v>
      </c>
      <c r="BA9" s="113">
        <f t="shared" si="6"/>
        <v>0</v>
      </c>
      <c r="BB9" s="3"/>
      <c r="BC9" s="113">
        <f t="shared" si="7"/>
        <v>0</v>
      </c>
      <c r="BD9" s="225"/>
      <c r="BE9" s="225"/>
      <c r="BF9" s="225"/>
      <c r="BG9" s="225"/>
      <c r="BH9" s="225"/>
      <c r="BI9" s="225"/>
      <c r="BJ9" s="225"/>
      <c r="BK9" s="225"/>
      <c r="BL9" s="225"/>
      <c r="BM9" s="225"/>
      <c r="BN9" s="990"/>
      <c r="BO9" s="991"/>
      <c r="BP9" s="225"/>
      <c r="BQ9" s="130">
        <f t="shared" si="8"/>
        <v>0</v>
      </c>
      <c r="BR9" s="3"/>
    </row>
    <row r="10" ht="14.25" customHeight="1">
      <c r="A10" s="3"/>
      <c r="B10" s="444">
        <v>46026</v>
      </c>
      <c r="C10" s="900">
        <f>12421.47-D10-0</f>
      </c>
      <c r="D10" s="901">
        <v>2332.56</v>
      </c>
      <c r="E10" s="120"/>
      <c r="F10" s="120"/>
      <c r="G10" s="147">
        <f t="shared" si="0"/>
        <v>0</v>
      </c>
      <c r="H10" s="144"/>
      <c r="I10" s="145">
        <v>129.6</v>
      </c>
      <c r="J10" s="143"/>
      <c r="K10" s="987">
        <v>6609.99</v>
      </c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>
        <v>872.01</v>
      </c>
      <c r="AI10" s="907">
        <v>719.07</v>
      </c>
      <c r="AJ10" s="123"/>
      <c r="AK10" s="105">
        <f t="shared" si="3"/>
        <v>0</v>
      </c>
      <c r="AL10" s="988">
        <v>98.36</v>
      </c>
      <c r="AM10" s="912"/>
      <c r="AN10" s="143"/>
      <c r="AO10" s="143"/>
      <c r="AP10" s="146"/>
      <c r="AQ10" s="224">
        <f t="shared" si="4"/>
        <v>0</v>
      </c>
      <c r="AR10" s="1760">
        <v>2379.1</v>
      </c>
      <c r="AS10" s="1778"/>
      <c r="AT10" s="1778"/>
      <c r="AU10" s="1760">
        <v>1613.5</v>
      </c>
      <c r="AV10" s="1548"/>
      <c r="AW10" s="1548"/>
      <c r="AX10" s="1548"/>
      <c r="AY10" s="1546"/>
      <c r="AZ10" s="222">
        <f t="shared" si="5"/>
        <v>0</v>
      </c>
      <c r="BA10" s="113">
        <f t="shared" si="6"/>
        <v>0</v>
      </c>
      <c r="BB10" s="3"/>
      <c r="BC10" s="113">
        <f t="shared" si="7"/>
        <v>0</v>
      </c>
      <c r="BD10" s="225"/>
      <c r="BE10" s="225"/>
      <c r="BF10" s="225"/>
      <c r="BG10" s="225"/>
      <c r="BH10" s="225"/>
      <c r="BI10" s="225"/>
      <c r="BJ10" s="225"/>
      <c r="BK10" s="225"/>
      <c r="BL10" s="225"/>
      <c r="BM10" s="225"/>
      <c r="BN10" s="990"/>
      <c r="BO10" s="993"/>
      <c r="BP10" s="225"/>
      <c r="BQ10" s="130">
        <f t="shared" si="8"/>
        <v>0</v>
      </c>
      <c r="BR10" s="3"/>
    </row>
    <row r="11" ht="14.25" customHeight="1">
      <c r="A11" s="132"/>
      <c r="B11" s="444">
        <v>46027</v>
      </c>
      <c r="C11" s="900">
        <f>17212.55-D11-0</f>
      </c>
      <c r="D11" s="907">
        <v>1723.85</v>
      </c>
      <c r="E11" s="135"/>
      <c r="F11" s="135"/>
      <c r="G11" s="147">
        <f t="shared" si="0"/>
        <v>0</v>
      </c>
      <c r="H11" s="144"/>
      <c r="I11" s="143"/>
      <c r="J11" s="143"/>
      <c r="K11" s="987">
        <v>12365.1</v>
      </c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06">
        <v>650.52</v>
      </c>
      <c r="AI11" s="907">
        <v>433.22</v>
      </c>
      <c r="AJ11" s="136"/>
      <c r="AK11" s="105">
        <f t="shared" si="3"/>
        <v>0</v>
      </c>
      <c r="AL11" s="988">
        <v>101.05</v>
      </c>
      <c r="AM11" s="989">
        <v>0.62</v>
      </c>
      <c r="AN11" s="143"/>
      <c r="AO11" s="143"/>
      <c r="AP11" s="146"/>
      <c r="AQ11" s="224">
        <f t="shared" si="4"/>
        <v>0</v>
      </c>
      <c r="AR11" s="1760">
        <v>2372.1</v>
      </c>
      <c r="AS11" s="1778"/>
      <c r="AT11" s="1778"/>
      <c r="AU11" s="1760">
        <v>1290</v>
      </c>
      <c r="AV11" s="1548"/>
      <c r="AW11" s="1548"/>
      <c r="AX11" s="1548"/>
      <c r="AY11" s="1546"/>
      <c r="AZ11" s="222">
        <f t="shared" si="5"/>
        <v>0</v>
      </c>
      <c r="BA11" s="140">
        <f t="shared" si="6"/>
        <v>0</v>
      </c>
      <c r="BB11" s="132"/>
      <c r="BC11" s="140">
        <f t="shared" si="7"/>
        <v>0</v>
      </c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990"/>
      <c r="BO11" s="991"/>
      <c r="BP11" s="126"/>
      <c r="BQ11" s="130">
        <f t="shared" si="8"/>
        <v>0</v>
      </c>
      <c r="BR11" s="132"/>
    </row>
    <row r="12" ht="14.25" customHeight="1">
      <c r="A12" s="132"/>
      <c r="B12" s="444">
        <v>46028</v>
      </c>
      <c r="C12" s="900">
        <f>14393.98-D12-0</f>
      </c>
      <c r="D12" s="901">
        <v>1890.87</v>
      </c>
      <c r="E12" s="135"/>
      <c r="F12" s="135"/>
      <c r="G12" s="147">
        <f t="shared" si="0"/>
        <v>0</v>
      </c>
      <c r="H12" s="144"/>
      <c r="I12" s="145">
        <v>385.51</v>
      </c>
      <c r="J12" s="143"/>
      <c r="K12" s="987">
        <v>8712.92</v>
      </c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1">
        <v>798.84</v>
      </c>
      <c r="AI12" s="907">
        <v>517.61</v>
      </c>
      <c r="AJ12" s="136"/>
      <c r="AK12" s="105">
        <f t="shared" si="3"/>
        <v>0</v>
      </c>
      <c r="AL12" s="988">
        <v>129.31</v>
      </c>
      <c r="AM12" s="989">
        <v>0.79</v>
      </c>
      <c r="AN12" s="143"/>
      <c r="AO12" s="143"/>
      <c r="AP12" s="146"/>
      <c r="AQ12" s="224">
        <f t="shared" si="4"/>
        <v>0</v>
      </c>
      <c r="AR12" s="1760">
        <v>2476.6</v>
      </c>
      <c r="AS12" s="1778"/>
      <c r="AT12" s="1778"/>
      <c r="AU12" s="1760">
        <v>1372.5</v>
      </c>
      <c r="AV12" s="1548"/>
      <c r="AW12" s="1548"/>
      <c r="AX12" s="1548"/>
      <c r="AY12" s="1546"/>
      <c r="AZ12" s="222">
        <f t="shared" si="5"/>
        <v>0</v>
      </c>
      <c r="BA12" s="140">
        <f t="shared" si="6"/>
        <v>0</v>
      </c>
      <c r="BB12" s="132"/>
      <c r="BC12" s="140">
        <f t="shared" si="7"/>
        <v>0</v>
      </c>
      <c r="BD12" s="126"/>
      <c r="BE12" s="126"/>
      <c r="BF12" s="126"/>
      <c r="BG12" s="126"/>
      <c r="BH12" s="126"/>
      <c r="BI12" s="126"/>
      <c r="BJ12" s="126"/>
      <c r="BK12" s="126"/>
      <c r="BL12" s="126"/>
      <c r="BM12" s="126"/>
      <c r="BN12" s="994"/>
      <c r="BO12" s="991"/>
      <c r="BP12" s="126"/>
      <c r="BQ12" s="130">
        <f t="shared" si="8"/>
        <v>0</v>
      </c>
      <c r="BR12" s="132"/>
    </row>
    <row r="13" ht="14.25" customHeight="1">
      <c r="A13" s="132"/>
      <c r="B13" s="444">
        <v>46029</v>
      </c>
      <c r="C13" s="900">
        <f>14592.96-D13-0</f>
      </c>
      <c r="D13" s="907">
        <v>1611.3</v>
      </c>
      <c r="E13" s="135"/>
      <c r="F13" s="135"/>
      <c r="G13" s="147">
        <f t="shared" si="0"/>
        <v>0</v>
      </c>
      <c r="H13" s="144"/>
      <c r="I13" s="145">
        <v>304.9</v>
      </c>
      <c r="J13" s="143"/>
      <c r="K13" s="992">
        <v>5152.34</v>
      </c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>
        <v>632.03</v>
      </c>
      <c r="AI13" s="907">
        <v>466.32</v>
      </c>
      <c r="AJ13" s="136"/>
      <c r="AK13" s="105">
        <f t="shared" si="3"/>
        <v>0</v>
      </c>
      <c r="AL13" s="988">
        <v>413.53</v>
      </c>
      <c r="AM13" s="989">
        <v>0.85</v>
      </c>
      <c r="AN13" s="143"/>
      <c r="AO13" s="143"/>
      <c r="AP13" s="146"/>
      <c r="AQ13" s="224">
        <f t="shared" si="4"/>
        <v>0</v>
      </c>
      <c r="AR13" s="1760">
        <v>3029</v>
      </c>
      <c r="AS13" s="1778">
        <v>3300</v>
      </c>
      <c r="AT13" s="1778"/>
      <c r="AU13" s="1760">
        <v>1144.1</v>
      </c>
      <c r="AV13" s="1548"/>
      <c r="AW13" s="1548"/>
      <c r="AX13" s="1548"/>
      <c r="AY13" s="1546"/>
      <c r="AZ13" s="222">
        <f t="shared" si="5"/>
        <v>0</v>
      </c>
      <c r="BA13" s="140">
        <f t="shared" si="6"/>
        <v>0</v>
      </c>
      <c r="BB13" s="132"/>
      <c r="BC13" s="140">
        <f t="shared" si="7"/>
        <v>0</v>
      </c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995"/>
      <c r="BO13" s="991">
        <v>150</v>
      </c>
      <c r="BP13" s="126"/>
      <c r="BQ13" s="130">
        <f t="shared" si="8"/>
        <v>0</v>
      </c>
      <c r="BR13" s="132"/>
    </row>
    <row r="14" ht="14.25" customHeight="1">
      <c r="A14" s="132"/>
      <c r="B14" s="444">
        <v>46030</v>
      </c>
      <c r="C14" s="900">
        <f>18603.70-D14-0</f>
      </c>
      <c r="D14" s="907">
        <v>1840.88</v>
      </c>
      <c r="E14" s="135"/>
      <c r="F14" s="135"/>
      <c r="G14" s="147">
        <f t="shared" si="0"/>
        <v>0</v>
      </c>
      <c r="H14" s="144"/>
      <c r="I14" s="143">
        <v>1038.35</v>
      </c>
      <c r="J14" s="143"/>
      <c r="K14" s="992">
        <v>12840.01</v>
      </c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06">
        <v>643.09</v>
      </c>
      <c r="AI14" s="907">
        <v>599.17</v>
      </c>
      <c r="AJ14" s="136"/>
      <c r="AK14" s="105">
        <f t="shared" si="3"/>
        <v>0</v>
      </c>
      <c r="AL14" s="988">
        <v>62.14</v>
      </c>
      <c r="AM14" s="989">
        <v>2.57</v>
      </c>
      <c r="AN14" s="143"/>
      <c r="AO14" s="143"/>
      <c r="AP14" s="146"/>
      <c r="AQ14" s="224">
        <f t="shared" si="4"/>
        <v>0</v>
      </c>
      <c r="AR14" s="1760">
        <v>2179.2</v>
      </c>
      <c r="AS14" s="1778"/>
      <c r="AT14" s="1778"/>
      <c r="AU14" s="1760">
        <v>1240.1</v>
      </c>
      <c r="AV14" s="1548"/>
      <c r="AW14" s="1548"/>
      <c r="AX14" s="1548"/>
      <c r="AY14" s="1546"/>
      <c r="AZ14" s="222">
        <f t="shared" si="5"/>
        <v>0</v>
      </c>
      <c r="BA14" s="140">
        <f t="shared" si="6"/>
        <v>0</v>
      </c>
      <c r="BB14" s="132"/>
      <c r="BC14" s="140">
        <f t="shared" si="7"/>
        <v>0</v>
      </c>
      <c r="BD14" s="126"/>
      <c r="BE14" s="126"/>
      <c r="BF14" s="126"/>
      <c r="BG14" s="126"/>
      <c r="BH14" s="126"/>
      <c r="BI14" s="126"/>
      <c r="BJ14" s="126"/>
      <c r="BK14" s="126"/>
      <c r="BL14" s="126"/>
      <c r="BM14" s="126"/>
      <c r="BN14" s="990"/>
      <c r="BO14" s="991"/>
      <c r="BP14" s="126"/>
      <c r="BQ14" s="130">
        <f t="shared" si="8"/>
        <v>0</v>
      </c>
      <c r="BR14" s="132"/>
    </row>
    <row r="15" ht="14.25" customHeight="1">
      <c r="A15" s="132"/>
      <c r="B15" s="444">
        <v>46031</v>
      </c>
      <c r="C15" s="900">
        <f>15480.62-D15-0</f>
      </c>
      <c r="D15" s="901">
        <v>1427.21</v>
      </c>
      <c r="E15" s="135"/>
      <c r="F15" s="135"/>
      <c r="G15" s="147">
        <f t="shared" si="0"/>
        <v>0</v>
      </c>
      <c r="H15" s="144"/>
      <c r="I15" s="143"/>
      <c r="J15" s="143"/>
      <c r="K15" s="988">
        <v>11355.39</v>
      </c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>
        <v>724.85</v>
      </c>
      <c r="AI15" s="907">
        <v>394.41</v>
      </c>
      <c r="AJ15" s="136"/>
      <c r="AK15" s="105">
        <f t="shared" si="3"/>
        <v>0</v>
      </c>
      <c r="AL15" s="988">
        <v>96.75</v>
      </c>
      <c r="AM15" s="989">
        <v>0.88</v>
      </c>
      <c r="AN15" s="143"/>
      <c r="AO15" s="143"/>
      <c r="AP15" s="146"/>
      <c r="AQ15" s="224">
        <f t="shared" si="4"/>
        <v>0</v>
      </c>
      <c r="AR15" s="1760">
        <v>1876.5</v>
      </c>
      <c r="AS15" s="1778"/>
      <c r="AT15" s="1778"/>
      <c r="AU15" s="1760">
        <v>1031.9</v>
      </c>
      <c r="AV15" s="1548"/>
      <c r="AW15" s="1548"/>
      <c r="AX15" s="1548"/>
      <c r="AY15" s="1546"/>
      <c r="AZ15" s="222">
        <f t="shared" si="5"/>
        <v>0</v>
      </c>
      <c r="BA15" s="140">
        <f t="shared" si="6"/>
        <v>0</v>
      </c>
      <c r="BB15" s="132"/>
      <c r="BC15" s="140">
        <f t="shared" si="7"/>
        <v>0</v>
      </c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990"/>
      <c r="BO15" s="991"/>
      <c r="BP15" s="126"/>
      <c r="BQ15" s="130">
        <f t="shared" si="8"/>
        <v>0</v>
      </c>
      <c r="BR15" s="132"/>
    </row>
    <row r="16" ht="14.25" customHeight="1">
      <c r="A16" s="132"/>
      <c r="B16" s="444">
        <v>46032</v>
      </c>
      <c r="C16" s="900">
        <f>14922.56-D16-0</f>
      </c>
      <c r="D16" s="901">
        <v>1899.04</v>
      </c>
      <c r="E16" s="135"/>
      <c r="F16" s="135"/>
      <c r="G16" s="147">
        <f t="shared" si="0"/>
        <v>0</v>
      </c>
      <c r="H16" s="144"/>
      <c r="I16" s="145">
        <v>146.66</v>
      </c>
      <c r="J16" s="143"/>
      <c r="K16" s="992">
        <v>8214.39</v>
      </c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1">
        <v>1982.35</v>
      </c>
      <c r="AI16" s="907">
        <v>424.06</v>
      </c>
      <c r="AJ16" s="136"/>
      <c r="AK16" s="105">
        <f t="shared" si="3"/>
        <v>0</v>
      </c>
      <c r="AL16" s="988">
        <v>147.64</v>
      </c>
      <c r="AM16" s="989"/>
      <c r="AN16" s="143"/>
      <c r="AO16" s="143"/>
      <c r="AP16" s="146"/>
      <c r="AQ16" s="224">
        <f t="shared" si="4"/>
        <v>0</v>
      </c>
      <c r="AR16" s="1760">
        <v>2532.6</v>
      </c>
      <c r="AS16" s="1778"/>
      <c r="AT16" s="1778"/>
      <c r="AU16" s="1760">
        <v>1475</v>
      </c>
      <c r="AV16" s="1548"/>
      <c r="AW16" s="1548"/>
      <c r="AX16" s="1548"/>
      <c r="AY16" s="1546"/>
      <c r="AZ16" s="222">
        <f t="shared" si="5"/>
        <v>0</v>
      </c>
      <c r="BA16" s="140">
        <f t="shared" si="6"/>
        <v>0</v>
      </c>
      <c r="BB16" s="132"/>
      <c r="BC16" s="140">
        <f t="shared" si="7"/>
        <v>0</v>
      </c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994"/>
      <c r="BO16" s="991"/>
      <c r="BP16" s="126"/>
      <c r="BQ16" s="130">
        <f t="shared" si="8"/>
        <v>0</v>
      </c>
      <c r="BR16" s="132"/>
    </row>
    <row r="17" ht="14.25" customHeight="1">
      <c r="A17" s="132"/>
      <c r="B17" s="444">
        <v>46033</v>
      </c>
      <c r="C17" s="900">
        <f>17993.92-D17-0</f>
      </c>
      <c r="D17" s="901">
        <v>1543.69</v>
      </c>
      <c r="E17" s="135"/>
      <c r="F17" s="135"/>
      <c r="G17" s="147">
        <f t="shared" si="0"/>
        <v>0</v>
      </c>
      <c r="H17" s="144"/>
      <c r="I17" s="145">
        <v>161.88</v>
      </c>
      <c r="J17" s="143"/>
      <c r="K17" s="992">
        <v>13483.94</v>
      </c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06">
        <v>953.83</v>
      </c>
      <c r="AI17" s="907">
        <v>399.73</v>
      </c>
      <c r="AJ17" s="136"/>
      <c r="AK17" s="105">
        <f t="shared" si="3"/>
        <v>0</v>
      </c>
      <c r="AL17" s="988">
        <v>92</v>
      </c>
      <c r="AM17" s="989"/>
      <c r="AN17" s="143"/>
      <c r="AO17" s="143"/>
      <c r="AP17" s="146"/>
      <c r="AQ17" s="224">
        <f t="shared" si="4"/>
        <v>0</v>
      </c>
      <c r="AR17" s="1760">
        <v>1768.7</v>
      </c>
      <c r="AS17" s="1778"/>
      <c r="AT17" s="1778"/>
      <c r="AU17" s="1760">
        <v>1134</v>
      </c>
      <c r="AV17" s="1548"/>
      <c r="AW17" s="1548"/>
      <c r="AX17" s="1548"/>
      <c r="AY17" s="1546"/>
      <c r="AZ17" s="222">
        <f t="shared" si="5"/>
        <v>0</v>
      </c>
      <c r="BA17" s="140">
        <f t="shared" si="6"/>
        <v>0</v>
      </c>
      <c r="BB17" s="132"/>
      <c r="BC17" s="140">
        <f t="shared" si="7"/>
        <v>0</v>
      </c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990"/>
      <c r="BO17" s="991"/>
      <c r="BP17" s="126"/>
      <c r="BQ17" s="130">
        <f t="shared" si="8"/>
        <v>0</v>
      </c>
      <c r="BR17" s="132"/>
    </row>
    <row r="18" ht="14.25" customHeight="1">
      <c r="A18" s="132"/>
      <c r="B18" s="444">
        <v>46034</v>
      </c>
      <c r="C18" s="900">
        <f>12729.89-D18-0</f>
      </c>
      <c r="D18" s="907">
        <v>1537.06</v>
      </c>
      <c r="E18" s="135"/>
      <c r="F18" s="135"/>
      <c r="G18" s="147">
        <f t="shared" si="0"/>
        <v>0</v>
      </c>
      <c r="H18" s="144"/>
      <c r="I18" s="145">
        <v>553.98</v>
      </c>
      <c r="J18" s="143"/>
      <c r="K18" s="992">
        <v>8806.61</v>
      </c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>
        <v>276.98</v>
      </c>
      <c r="AI18" s="907">
        <v>438.5</v>
      </c>
      <c r="AJ18" s="136"/>
      <c r="AK18" s="105">
        <f t="shared" si="3"/>
        <v>0</v>
      </c>
      <c r="AL18" s="988">
        <v>16.38</v>
      </c>
      <c r="AM18" s="989">
        <v>0.76</v>
      </c>
      <c r="AN18" s="143"/>
      <c r="AO18" s="143"/>
      <c r="AP18" s="146"/>
      <c r="AQ18" s="224">
        <f t="shared" si="4"/>
        <v>0</v>
      </c>
      <c r="AR18" s="1760">
        <v>1389</v>
      </c>
      <c r="AS18" s="1778"/>
      <c r="AT18" s="1778"/>
      <c r="AU18" s="1760">
        <v>1097.8</v>
      </c>
      <c r="AV18" s="1548"/>
      <c r="AW18" s="1548"/>
      <c r="AX18" s="1548"/>
      <c r="AY18" s="1546"/>
      <c r="AZ18" s="222">
        <f t="shared" si="5"/>
        <v>0</v>
      </c>
      <c r="BA18" s="140">
        <f t="shared" si="6"/>
        <v>0</v>
      </c>
      <c r="BB18" s="132"/>
      <c r="BC18" s="140">
        <f t="shared" si="7"/>
        <v>0</v>
      </c>
      <c r="BD18" s="126"/>
      <c r="BE18" s="126"/>
      <c r="BF18" s="126"/>
      <c r="BG18" s="126"/>
      <c r="BH18" s="126"/>
      <c r="BI18" s="126"/>
      <c r="BJ18" s="126"/>
      <c r="BK18" s="126"/>
      <c r="BL18" s="126"/>
      <c r="BM18" s="126"/>
      <c r="BN18" s="995"/>
      <c r="BO18" s="991">
        <v>150</v>
      </c>
      <c r="BP18" s="126"/>
      <c r="BQ18" s="130">
        <f t="shared" si="8"/>
        <v>0</v>
      </c>
      <c r="BR18" s="132"/>
    </row>
    <row r="19" ht="14.25" customHeight="1">
      <c r="A19" s="132"/>
      <c r="B19" s="444">
        <v>46035</v>
      </c>
      <c r="C19" s="900">
        <f>17890.63-D19-0</f>
      </c>
      <c r="D19" s="901">
        <v>1498.13</v>
      </c>
      <c r="E19" s="135"/>
      <c r="F19" s="135"/>
      <c r="G19" s="147">
        <f t="shared" si="0"/>
        <v>0</v>
      </c>
      <c r="H19" s="144"/>
      <c r="I19" s="143">
        <v>430</v>
      </c>
      <c r="J19" s="143"/>
      <c r="K19" s="992">
        <v>13494.27</v>
      </c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1">
        <v>470.3</v>
      </c>
      <c r="AI19" s="907">
        <v>479.08</v>
      </c>
      <c r="AJ19" s="136"/>
      <c r="AK19" s="105">
        <f t="shared" si="3"/>
        <v>0</v>
      </c>
      <c r="AL19" s="988">
        <v>51.9</v>
      </c>
      <c r="AM19" s="912"/>
      <c r="AN19" s="143"/>
      <c r="AO19" s="143"/>
      <c r="AP19" s="146"/>
      <c r="AQ19" s="224">
        <f t="shared" si="4"/>
        <v>0</v>
      </c>
      <c r="AR19" s="1760">
        <v>1946.1</v>
      </c>
      <c r="AS19" s="1778"/>
      <c r="AT19" s="1778"/>
      <c r="AU19" s="1760">
        <v>1019.1</v>
      </c>
      <c r="AV19" s="1548"/>
      <c r="AW19" s="1548"/>
      <c r="AX19" s="1548"/>
      <c r="AY19" s="1546"/>
      <c r="AZ19" s="222">
        <f t="shared" si="5"/>
        <v>0</v>
      </c>
      <c r="BA19" s="140">
        <f t="shared" si="6"/>
        <v>0</v>
      </c>
      <c r="BB19" s="132"/>
      <c r="BC19" s="140">
        <f t="shared" si="7"/>
        <v>0</v>
      </c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990"/>
      <c r="BO19" s="991"/>
      <c r="BP19" s="126"/>
      <c r="BQ19" s="130">
        <f t="shared" si="8"/>
        <v>0</v>
      </c>
      <c r="BR19" s="132"/>
    </row>
    <row r="20" ht="14.25" customHeight="1">
      <c r="A20" s="132"/>
      <c r="B20" s="444">
        <v>46036</v>
      </c>
      <c r="C20" s="900">
        <f>13754.22-D20-0</f>
      </c>
      <c r="D20" s="907">
        <v>1676.03</v>
      </c>
      <c r="E20" s="135"/>
      <c r="F20" s="135"/>
      <c r="G20" s="147">
        <f t="shared" si="0"/>
        <v>0</v>
      </c>
      <c r="H20" s="144"/>
      <c r="I20" s="145">
        <v>1170.13</v>
      </c>
      <c r="J20" s="143"/>
      <c r="K20" s="992">
        <v>9367.72</v>
      </c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>
        <v>432.25</v>
      </c>
      <c r="AI20" s="907">
        <v>479.6</v>
      </c>
      <c r="AJ20" s="136"/>
      <c r="AK20" s="105">
        <f t="shared" si="3"/>
        <v>0</v>
      </c>
      <c r="AL20" s="988">
        <v>35.98</v>
      </c>
      <c r="AM20" s="989">
        <v>0.53</v>
      </c>
      <c r="AN20" s="143"/>
      <c r="AO20" s="143"/>
      <c r="AP20" s="146"/>
      <c r="AQ20" s="224">
        <f t="shared" si="4"/>
        <v>0</v>
      </c>
      <c r="AR20" s="1779">
        <v>1072.2</v>
      </c>
      <c r="AS20" s="1778"/>
      <c r="AT20" s="1778"/>
      <c r="AU20" s="1760">
        <v>1195.9</v>
      </c>
      <c r="AV20" s="1548"/>
      <c r="AW20" s="1548"/>
      <c r="AX20" s="1548"/>
      <c r="AY20" s="1546"/>
      <c r="AZ20" s="222">
        <f t="shared" si="5"/>
        <v>0</v>
      </c>
      <c r="BA20" s="140">
        <f t="shared" si="6"/>
        <v>0</v>
      </c>
      <c r="BB20" s="132"/>
      <c r="BC20" s="140">
        <f t="shared" si="7"/>
        <v>0</v>
      </c>
      <c r="BD20" s="126"/>
      <c r="BE20" s="126"/>
      <c r="BF20" s="126"/>
      <c r="BG20" s="126"/>
      <c r="BH20" s="126"/>
      <c r="BI20" s="126"/>
      <c r="BJ20" s="126"/>
      <c r="BK20" s="126"/>
      <c r="BL20" s="126"/>
      <c r="BM20" s="126"/>
      <c r="BN20" s="990"/>
      <c r="BO20" s="991"/>
      <c r="BP20" s="126"/>
      <c r="BQ20" s="130">
        <f t="shared" si="8"/>
        <v>0</v>
      </c>
      <c r="BR20" s="132"/>
    </row>
    <row r="21" ht="14.25" customHeight="1">
      <c r="A21" s="132"/>
      <c r="B21" s="444">
        <v>46037</v>
      </c>
      <c r="C21" s="900">
        <f>10413.46-D21-0</f>
      </c>
      <c r="D21" s="907">
        <v>1847.01</v>
      </c>
      <c r="E21" s="135"/>
      <c r="F21" s="135"/>
      <c r="G21" s="147">
        <f t="shared" si="0"/>
        <v>0</v>
      </c>
      <c r="H21" s="144"/>
      <c r="I21" s="143"/>
      <c r="J21" s="143"/>
      <c r="K21" s="992">
        <v>6482.33</v>
      </c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06">
        <v>352.1</v>
      </c>
      <c r="AI21" s="907">
        <v>494.58</v>
      </c>
      <c r="AJ21" s="136"/>
      <c r="AK21" s="105">
        <f t="shared" si="3"/>
        <v>0</v>
      </c>
      <c r="AL21" s="988">
        <v>42.02</v>
      </c>
      <c r="AM21" s="989">
        <v>2.24</v>
      </c>
      <c r="AN21" s="143"/>
      <c r="AO21" s="143"/>
      <c r="AP21" s="146"/>
      <c r="AQ21" s="224">
        <f t="shared" si="4"/>
        <v>0</v>
      </c>
      <c r="AR21" s="1779">
        <v>1690.1</v>
      </c>
      <c r="AS21" s="1778"/>
      <c r="AT21" s="1778"/>
      <c r="AU21" s="1762">
        <v>1351.1</v>
      </c>
      <c r="AV21" s="1548"/>
      <c r="AW21" s="1548"/>
      <c r="AX21" s="1548"/>
      <c r="AY21" s="1546"/>
      <c r="AZ21" s="222">
        <f t="shared" si="5"/>
        <v>0</v>
      </c>
      <c r="BA21" s="140">
        <f t="shared" si="6"/>
        <v>0</v>
      </c>
      <c r="BB21" s="132"/>
      <c r="BC21" s="140">
        <f t="shared" si="7"/>
        <v>0</v>
      </c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990"/>
      <c r="BO21" s="991"/>
      <c r="BP21" s="126"/>
      <c r="BQ21" s="130">
        <f t="shared" si="8"/>
        <v>0</v>
      </c>
      <c r="BR21" s="132"/>
    </row>
    <row r="22" ht="14.25" customHeight="1">
      <c r="A22" s="132"/>
      <c r="B22" s="444">
        <v>46038</v>
      </c>
      <c r="C22" s="900">
        <f>12345.24-D22-0</f>
      </c>
      <c r="D22" s="907">
        <v>1808.14</v>
      </c>
      <c r="E22" s="135"/>
      <c r="F22" s="135"/>
      <c r="G22" s="147">
        <f t="shared" si="0"/>
        <v>0</v>
      </c>
      <c r="H22" s="144"/>
      <c r="I22" s="143"/>
      <c r="J22" s="143"/>
      <c r="K22" s="992">
        <v>6832.37</v>
      </c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>
        <v>892.1</v>
      </c>
      <c r="AI22" s="907">
        <v>458.64</v>
      </c>
      <c r="AJ22" s="136"/>
      <c r="AK22" s="105">
        <f t="shared" si="3"/>
        <v>0</v>
      </c>
      <c r="AL22" s="988">
        <v>95.56</v>
      </c>
      <c r="AM22" s="989">
        <v>0.54</v>
      </c>
      <c r="AN22" s="143"/>
      <c r="AO22" s="143"/>
      <c r="AP22" s="146"/>
      <c r="AQ22" s="224">
        <f t="shared" si="4"/>
        <v>0</v>
      </c>
      <c r="AR22" s="1779">
        <v>2417.2</v>
      </c>
      <c r="AS22" s="1778"/>
      <c r="AT22" s="1778"/>
      <c r="AU22" s="1762">
        <v>1349</v>
      </c>
      <c r="AV22" s="1548"/>
      <c r="AW22" s="1548"/>
      <c r="AX22" s="1548"/>
      <c r="AY22" s="1546"/>
      <c r="AZ22" s="222">
        <f t="shared" si="5"/>
        <v>0</v>
      </c>
      <c r="BA22" s="140">
        <f t="shared" si="6"/>
        <v>0</v>
      </c>
      <c r="BB22" s="132"/>
      <c r="BC22" s="140">
        <f t="shared" si="7"/>
        <v>0</v>
      </c>
      <c r="BD22" s="126"/>
      <c r="BE22" s="126"/>
      <c r="BF22" s="126"/>
      <c r="BG22" s="126"/>
      <c r="BH22" s="126"/>
      <c r="BI22" s="126"/>
      <c r="BJ22" s="126"/>
      <c r="BK22" s="126"/>
      <c r="BL22" s="126"/>
      <c r="BM22" s="126"/>
      <c r="BN22" s="990"/>
      <c r="BO22" s="996">
        <v>300</v>
      </c>
      <c r="BP22" s="126"/>
      <c r="BQ22" s="130">
        <f t="shared" si="8"/>
        <v>0</v>
      </c>
      <c r="BR22" s="132"/>
    </row>
    <row r="23" ht="14.25" customHeight="1">
      <c r="A23" s="132"/>
      <c r="B23" s="444">
        <v>46039</v>
      </c>
      <c r="C23" s="900">
        <f>15548.92-D23-0</f>
      </c>
      <c r="D23" s="907">
        <v>2492.92</v>
      </c>
      <c r="E23" s="135"/>
      <c r="F23" s="135"/>
      <c r="G23" s="147">
        <f t="shared" si="0"/>
        <v>0</v>
      </c>
      <c r="H23" s="144"/>
      <c r="I23" s="145">
        <v>108.81</v>
      </c>
      <c r="J23" s="143"/>
      <c r="K23" s="987">
        <v>10428.25</v>
      </c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11">
        <v>1312.93</v>
      </c>
      <c r="AI23" s="907">
        <v>722.03</v>
      </c>
      <c r="AJ23" s="136"/>
      <c r="AK23" s="105">
        <f t="shared" si="3"/>
        <v>0</v>
      </c>
      <c r="AL23" s="988">
        <v>46.92</v>
      </c>
      <c r="AM23" s="989">
        <v>0.86</v>
      </c>
      <c r="AN23" s="143"/>
      <c r="AO23" s="143"/>
      <c r="AP23" s="146"/>
      <c r="AQ23" s="224">
        <f t="shared" si="4"/>
        <v>0</v>
      </c>
      <c r="AR23" s="1779">
        <v>1169.1</v>
      </c>
      <c r="AS23" s="1778"/>
      <c r="AT23" s="1778"/>
      <c r="AU23" s="1762">
        <v>1760.5</v>
      </c>
      <c r="AV23" s="1548"/>
      <c r="AW23" s="1548"/>
      <c r="AX23" s="1548"/>
      <c r="AY23" s="1546"/>
      <c r="AZ23" s="222">
        <f t="shared" si="5"/>
        <v>0</v>
      </c>
      <c r="BA23" s="140">
        <f t="shared" si="6"/>
        <v>0</v>
      </c>
      <c r="BB23" s="132"/>
      <c r="BC23" s="140">
        <f t="shared" si="7"/>
        <v>0</v>
      </c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990"/>
      <c r="BO23" s="991"/>
      <c r="BP23" s="126"/>
      <c r="BQ23" s="130">
        <f t="shared" si="8"/>
        <v>0</v>
      </c>
      <c r="BR23" s="132"/>
    </row>
    <row r="24" ht="14.25" customHeight="1">
      <c r="A24" s="132"/>
      <c r="B24" s="444">
        <v>46040</v>
      </c>
      <c r="C24" s="900">
        <f>10535.00-D24-0</f>
      </c>
      <c r="D24" s="901">
        <v>2020.1</v>
      </c>
      <c r="E24" s="135"/>
      <c r="F24" s="135"/>
      <c r="G24" s="147">
        <f t="shared" si="0"/>
        <v>0</v>
      </c>
      <c r="H24" s="144"/>
      <c r="I24" s="145">
        <v>124.05</v>
      </c>
      <c r="J24" s="143"/>
      <c r="K24" s="987">
        <v>5563.05</v>
      </c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06">
        <v>1002.58</v>
      </c>
      <c r="AI24" s="907">
        <v>691.26</v>
      </c>
      <c r="AJ24" s="136"/>
      <c r="AK24" s="105">
        <f t="shared" si="3"/>
        <v>0</v>
      </c>
      <c r="AL24" s="988">
        <v>84.95</v>
      </c>
      <c r="AM24" s="989">
        <v>1.4</v>
      </c>
      <c r="AN24" s="143"/>
      <c r="AO24" s="143"/>
      <c r="AP24" s="146"/>
      <c r="AQ24" s="224">
        <f t="shared" si="4"/>
        <v>0</v>
      </c>
      <c r="AR24" s="1779">
        <v>1740.4</v>
      </c>
      <c r="AS24" s="1778"/>
      <c r="AT24" s="1778"/>
      <c r="AU24" s="1762">
        <v>1328</v>
      </c>
      <c r="AV24" s="1548"/>
      <c r="AW24" s="1548"/>
      <c r="AX24" s="1548"/>
      <c r="AY24" s="1546"/>
      <c r="AZ24" s="222">
        <f t="shared" si="5"/>
        <v>0</v>
      </c>
      <c r="BA24" s="140">
        <f t="shared" si="6"/>
        <v>0</v>
      </c>
      <c r="BB24" s="132"/>
      <c r="BC24" s="140">
        <f t="shared" si="7"/>
        <v>0</v>
      </c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990"/>
      <c r="BO24" s="991"/>
      <c r="BP24" s="126"/>
      <c r="BQ24" s="130">
        <f t="shared" si="8"/>
        <v>0</v>
      </c>
      <c r="BR24" s="132"/>
    </row>
    <row r="25" ht="14.25" customHeight="1">
      <c r="A25" s="132"/>
      <c r="B25" s="444">
        <v>46041</v>
      </c>
      <c r="C25" s="900">
        <f>14625.37-D25-0</f>
      </c>
      <c r="D25" s="907">
        <v>2511.03</v>
      </c>
      <c r="E25" s="135"/>
      <c r="F25" s="135"/>
      <c r="G25" s="147">
        <f t="shared" si="0"/>
        <v>0</v>
      </c>
      <c r="H25" s="144"/>
      <c r="I25" s="145">
        <v>535.3</v>
      </c>
      <c r="J25" s="143"/>
      <c r="K25" s="987">
        <v>9262.45</v>
      </c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>
        <v>659.76</v>
      </c>
      <c r="AI25" s="907">
        <v>724.68</v>
      </c>
      <c r="AJ25" s="136"/>
      <c r="AK25" s="105">
        <f t="shared" si="3"/>
        <v>0</v>
      </c>
      <c r="AL25" s="988">
        <v>49.01</v>
      </c>
      <c r="AM25" s="989">
        <v>4</v>
      </c>
      <c r="AN25" s="143"/>
      <c r="AO25" s="143"/>
      <c r="AP25" s="146"/>
      <c r="AQ25" s="224">
        <f t="shared" si="4"/>
        <v>0</v>
      </c>
      <c r="AR25" s="1779">
        <v>1683.8</v>
      </c>
      <c r="AS25" s="1778"/>
      <c r="AT25" s="1778"/>
      <c r="AU25" s="1762">
        <v>1706.7</v>
      </c>
      <c r="AV25" s="1548"/>
      <c r="AW25" s="1548"/>
      <c r="AX25" s="1548"/>
      <c r="AY25" s="1546"/>
      <c r="AZ25" s="222">
        <f t="shared" si="5"/>
        <v>0</v>
      </c>
      <c r="BA25" s="140">
        <f t="shared" si="6"/>
        <v>0</v>
      </c>
      <c r="BB25" s="132"/>
      <c r="BC25" s="140">
        <f t="shared" si="7"/>
        <v>0</v>
      </c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990"/>
      <c r="BO25" s="991"/>
      <c r="BP25" s="126"/>
      <c r="BQ25" s="130">
        <f t="shared" si="8"/>
        <v>0</v>
      </c>
      <c r="BR25" s="132"/>
    </row>
    <row r="26" ht="14.25" customHeight="1">
      <c r="A26" s="132"/>
      <c r="B26" s="444">
        <v>46042</v>
      </c>
      <c r="C26" s="900">
        <f>15937.36-D26-0</f>
      </c>
      <c r="D26" s="907">
        <v>2038.8</v>
      </c>
      <c r="E26" s="135"/>
      <c r="F26" s="135"/>
      <c r="G26" s="147">
        <f t="shared" si="0"/>
        <v>0</v>
      </c>
      <c r="H26" s="144"/>
      <c r="I26" s="145">
        <v>376.89</v>
      </c>
      <c r="J26" s="143"/>
      <c r="K26" s="987">
        <v>11634.39</v>
      </c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1">
        <v>513.3</v>
      </c>
      <c r="AI26" s="907">
        <v>448.02</v>
      </c>
      <c r="AJ26" s="136"/>
      <c r="AK26" s="105">
        <f t="shared" si="3"/>
        <v>0</v>
      </c>
      <c r="AL26" s="988">
        <v>14.3</v>
      </c>
      <c r="AM26" s="989">
        <v>2.69</v>
      </c>
      <c r="AN26" s="143"/>
      <c r="AO26" s="143"/>
      <c r="AP26" s="146"/>
      <c r="AQ26" s="224">
        <f t="shared" si="4"/>
        <v>0</v>
      </c>
      <c r="AR26" s="1779">
        <v>1359.7</v>
      </c>
      <c r="AS26" s="1778"/>
      <c r="AT26" s="1778"/>
      <c r="AU26" s="1762">
        <v>1588.2</v>
      </c>
      <c r="AV26" s="1548"/>
      <c r="AW26" s="1548"/>
      <c r="AX26" s="1548"/>
      <c r="AY26" s="1546"/>
      <c r="AZ26" s="222">
        <f t="shared" si="5"/>
        <v>0</v>
      </c>
      <c r="BA26" s="140">
        <f t="shared" si="6"/>
        <v>0</v>
      </c>
      <c r="BB26" s="132"/>
      <c r="BC26" s="140">
        <f t="shared" si="7"/>
        <v>0</v>
      </c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994"/>
      <c r="BO26" s="991"/>
      <c r="BP26" s="126"/>
      <c r="BQ26" s="130">
        <f t="shared" si="8"/>
        <v>0</v>
      </c>
      <c r="BR26" s="132"/>
    </row>
    <row r="27" ht="14.25" customHeight="1">
      <c r="A27" s="132"/>
      <c r="B27" s="444">
        <v>46043</v>
      </c>
      <c r="C27" s="900">
        <f>13450.87-D27-0</f>
      </c>
      <c r="D27" s="907">
        <v>2142.15</v>
      </c>
      <c r="E27" s="135"/>
      <c r="F27" s="135"/>
      <c r="G27" s="147">
        <f t="shared" si="0"/>
        <v>0</v>
      </c>
      <c r="H27" s="144"/>
      <c r="I27" s="145">
        <v>474.05</v>
      </c>
      <c r="J27" s="143"/>
      <c r="K27" s="987">
        <v>8213.5</v>
      </c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>
        <v>884.66</v>
      </c>
      <c r="AI27" s="907">
        <v>685.17</v>
      </c>
      <c r="AJ27" s="136"/>
      <c r="AK27" s="105">
        <f t="shared" si="3"/>
        <v>0</v>
      </c>
      <c r="AL27" s="988">
        <v>18.75</v>
      </c>
      <c r="AM27" s="989">
        <v>1.24</v>
      </c>
      <c r="AN27" s="143"/>
      <c r="AO27" s="143"/>
      <c r="AP27" s="146"/>
      <c r="AQ27" s="224">
        <f t="shared" si="4"/>
        <v>0</v>
      </c>
      <c r="AR27" s="1779">
        <v>1717.8</v>
      </c>
      <c r="AS27" s="1778"/>
      <c r="AT27" s="1778"/>
      <c r="AU27" s="1762">
        <v>1455.8</v>
      </c>
      <c r="AV27" s="1548"/>
      <c r="AW27" s="1548"/>
      <c r="AX27" s="1548"/>
      <c r="AY27" s="1546"/>
      <c r="AZ27" s="222">
        <f t="shared" si="5"/>
        <v>0</v>
      </c>
      <c r="BA27" s="140">
        <f t="shared" si="6"/>
        <v>0</v>
      </c>
      <c r="BB27" s="132"/>
      <c r="BC27" s="140">
        <f t="shared" si="7"/>
        <v>0</v>
      </c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994"/>
      <c r="BO27" s="991"/>
      <c r="BP27" s="126"/>
      <c r="BQ27" s="130">
        <f t="shared" si="8"/>
        <v>0</v>
      </c>
      <c r="BR27" s="132"/>
    </row>
    <row r="28" ht="14.25" customHeight="1">
      <c r="A28" s="132"/>
      <c r="B28" s="444">
        <v>46044</v>
      </c>
      <c r="C28" s="900">
        <f>14380.18-D28-0</f>
      </c>
      <c r="D28" s="907">
        <v>2032.58</v>
      </c>
      <c r="E28" s="135"/>
      <c r="F28" s="135"/>
      <c r="G28" s="147">
        <f t="shared" si="0"/>
        <v>0</v>
      </c>
      <c r="H28" s="144"/>
      <c r="I28" s="145">
        <v>419.92</v>
      </c>
      <c r="J28" s="143"/>
      <c r="K28" s="987">
        <v>9568.9</v>
      </c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>
        <v>714.94</v>
      </c>
      <c r="AI28" s="907">
        <v>698.84</v>
      </c>
      <c r="AJ28" s="136"/>
      <c r="AK28" s="105">
        <f t="shared" si="3"/>
        <v>0</v>
      </c>
      <c r="AL28" s="988">
        <v>71.93</v>
      </c>
      <c r="AM28" s="989">
        <v>1.01</v>
      </c>
      <c r="AN28" s="143"/>
      <c r="AO28" s="143"/>
      <c r="AP28" s="146"/>
      <c r="AQ28" s="224">
        <f t="shared" si="4"/>
        <v>0</v>
      </c>
      <c r="AR28" s="1779">
        <v>1572</v>
      </c>
      <c r="AS28" s="1778"/>
      <c r="AT28" s="1778"/>
      <c r="AU28" s="1762">
        <v>1332.7</v>
      </c>
      <c r="AV28" s="1548"/>
      <c r="AW28" s="1548"/>
      <c r="AX28" s="1548"/>
      <c r="AY28" s="1546"/>
      <c r="AZ28" s="222">
        <f t="shared" si="5"/>
        <v>0</v>
      </c>
      <c r="BA28" s="140">
        <f t="shared" si="6"/>
        <v>0</v>
      </c>
      <c r="BB28" s="132"/>
      <c r="BC28" s="140">
        <f t="shared" si="7"/>
        <v>0</v>
      </c>
      <c r="BD28" s="126"/>
      <c r="BE28" s="126"/>
      <c r="BF28" s="126"/>
      <c r="BG28" s="126"/>
      <c r="BH28" s="126"/>
      <c r="BI28" s="126"/>
      <c r="BJ28" s="126"/>
      <c r="BK28" s="126"/>
      <c r="BL28" s="126"/>
      <c r="BM28" s="126"/>
      <c r="BN28" s="990"/>
      <c r="BO28" s="991"/>
      <c r="BP28" s="126"/>
      <c r="BQ28" s="130">
        <f t="shared" si="8"/>
        <v>0</v>
      </c>
      <c r="BR28" s="132"/>
    </row>
    <row r="29" ht="14.25" customHeight="1">
      <c r="A29" s="132"/>
      <c r="B29" s="444">
        <v>46045</v>
      </c>
      <c r="C29" s="900">
        <f>15737.05-D29-0</f>
      </c>
      <c r="D29" s="907">
        <v>1770.72</v>
      </c>
      <c r="E29" s="135"/>
      <c r="F29" s="135"/>
      <c r="G29" s="147">
        <f t="shared" si="0"/>
        <v>0</v>
      </c>
      <c r="H29" s="144"/>
      <c r="I29" s="145">
        <v>164.13</v>
      </c>
      <c r="J29" s="143"/>
      <c r="K29" s="987">
        <v>11057.66</v>
      </c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>
        <v>1501.13</v>
      </c>
      <c r="AI29" s="907">
        <v>426.5</v>
      </c>
      <c r="AJ29" s="136"/>
      <c r="AK29" s="105">
        <f t="shared" si="3"/>
        <v>0</v>
      </c>
      <c r="AL29" s="988">
        <v>85.19</v>
      </c>
      <c r="AM29" s="989">
        <v>2.4</v>
      </c>
      <c r="AN29" s="143"/>
      <c r="AO29" s="143"/>
      <c r="AP29" s="146"/>
      <c r="AQ29" s="224">
        <f t="shared" si="4"/>
        <v>0</v>
      </c>
      <c r="AR29" s="1779">
        <v>1158.3</v>
      </c>
      <c r="AS29" s="1778"/>
      <c r="AT29" s="1778"/>
      <c r="AU29" s="1762">
        <v>1341.8</v>
      </c>
      <c r="AV29" s="1548"/>
      <c r="AW29" s="1548"/>
      <c r="AX29" s="1548"/>
      <c r="AY29" s="1546"/>
      <c r="AZ29" s="222">
        <f t="shared" si="5"/>
        <v>0</v>
      </c>
      <c r="BA29" s="140">
        <f t="shared" si="6"/>
        <v>0</v>
      </c>
      <c r="BB29" s="132"/>
      <c r="BC29" s="140">
        <f t="shared" si="7"/>
        <v>0</v>
      </c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990"/>
      <c r="BO29" s="991"/>
      <c r="BP29" s="126"/>
      <c r="BQ29" s="130">
        <f t="shared" si="8"/>
        <v>0</v>
      </c>
      <c r="BR29" s="132"/>
    </row>
    <row r="30" ht="14.25" customHeight="1">
      <c r="A30" s="132"/>
      <c r="B30" s="444">
        <v>46046</v>
      </c>
      <c r="C30" s="900">
        <f>10329.77-D30-0</f>
      </c>
      <c r="D30" s="907">
        <v>2242.68</v>
      </c>
      <c r="E30" s="135"/>
      <c r="F30" s="135"/>
      <c r="G30" s="147">
        <f t="shared" si="0"/>
        <v>0</v>
      </c>
      <c r="H30" s="144"/>
      <c r="I30" s="145">
        <v>159.13</v>
      </c>
      <c r="J30" s="143"/>
      <c r="K30" s="992">
        <v>4259.19</v>
      </c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5">
        <v>1027.22</v>
      </c>
      <c r="AI30" s="916">
        <v>774.31</v>
      </c>
      <c r="AJ30" s="136"/>
      <c r="AK30" s="105">
        <f t="shared" si="3"/>
        <v>0</v>
      </c>
      <c r="AL30" s="992">
        <v>95.01</v>
      </c>
      <c r="AM30" s="997">
        <v>0.45</v>
      </c>
      <c r="AN30" s="143"/>
      <c r="AO30" s="143"/>
      <c r="AP30" s="146"/>
      <c r="AQ30" s="224">
        <f t="shared" si="4"/>
        <v>0</v>
      </c>
      <c r="AR30" s="1779">
        <v>2546.6</v>
      </c>
      <c r="AS30" s="1778"/>
      <c r="AT30" s="1778"/>
      <c r="AU30" s="1762">
        <v>1468</v>
      </c>
      <c r="AV30" s="1548"/>
      <c r="AW30" s="1548"/>
      <c r="AX30" s="1548"/>
      <c r="AY30" s="1546"/>
      <c r="AZ30" s="222">
        <f t="shared" si="5"/>
        <v>0</v>
      </c>
      <c r="BA30" s="140">
        <f t="shared" si="6"/>
        <v>0</v>
      </c>
      <c r="BB30" s="132"/>
      <c r="BC30" s="140">
        <f t="shared" si="7"/>
        <v>0</v>
      </c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990"/>
      <c r="BO30" s="991"/>
      <c r="BP30" s="126"/>
      <c r="BQ30" s="130">
        <f t="shared" si="8"/>
        <v>0</v>
      </c>
      <c r="BR30" s="132"/>
    </row>
    <row r="31" ht="14.25" customHeight="1">
      <c r="A31" s="132"/>
      <c r="B31" s="444">
        <v>46047</v>
      </c>
      <c r="C31" s="900">
        <f>11000.04-D31-0</f>
      </c>
      <c r="D31" s="907">
        <v>1997.98</v>
      </c>
      <c r="E31" s="135"/>
      <c r="F31" s="135"/>
      <c r="G31" s="147">
        <f t="shared" si="0"/>
        <v>0</v>
      </c>
      <c r="H31" s="144"/>
      <c r="I31" s="143"/>
      <c r="J31" s="143"/>
      <c r="K31" s="992">
        <v>6136.57</v>
      </c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>
        <v>496.47</v>
      </c>
      <c r="AI31" s="907">
        <v>471.37</v>
      </c>
      <c r="AJ31" s="136"/>
      <c r="AK31" s="105">
        <f t="shared" si="3"/>
        <v>0</v>
      </c>
      <c r="AL31" s="992">
        <v>97.55</v>
      </c>
      <c r="AM31" s="997">
        <v>0.83</v>
      </c>
      <c r="AN31" s="143"/>
      <c r="AO31" s="143"/>
      <c r="AP31" s="146"/>
      <c r="AQ31" s="224">
        <f t="shared" si="4"/>
        <v>0</v>
      </c>
      <c r="AR31" s="1779">
        <v>2271.6</v>
      </c>
      <c r="AS31" s="1778"/>
      <c r="AT31" s="1778"/>
      <c r="AU31" s="1762">
        <v>1525.8</v>
      </c>
      <c r="AV31" s="1548"/>
      <c r="AW31" s="1548"/>
      <c r="AX31" s="1548"/>
      <c r="AY31" s="1546"/>
      <c r="AZ31" s="222">
        <f t="shared" si="5"/>
        <v>0</v>
      </c>
      <c r="BA31" s="140">
        <f t="shared" si="6"/>
        <v>0</v>
      </c>
      <c r="BB31" s="132"/>
      <c r="BC31" s="140">
        <f t="shared" si="7"/>
        <v>0</v>
      </c>
      <c r="BD31" s="126"/>
      <c r="BE31" s="126"/>
      <c r="BF31" s="126"/>
      <c r="BG31" s="126"/>
      <c r="BH31" s="126"/>
      <c r="BI31" s="126"/>
      <c r="BJ31" s="126"/>
      <c r="BK31" s="126"/>
      <c r="BL31" s="126"/>
      <c r="BM31" s="126"/>
      <c r="BN31" s="994"/>
      <c r="BO31" s="991"/>
      <c r="BP31" s="126"/>
      <c r="BQ31" s="130">
        <f t="shared" si="8"/>
        <v>0</v>
      </c>
      <c r="BR31" s="132"/>
    </row>
    <row r="32" ht="14.25" customHeight="1">
      <c r="A32" s="132"/>
      <c r="B32" s="444">
        <v>46048</v>
      </c>
      <c r="C32" s="998">
        <f>18357.79-D32-0</f>
      </c>
      <c r="D32" s="907">
        <v>2365.14</v>
      </c>
      <c r="E32" s="135"/>
      <c r="F32" s="135"/>
      <c r="G32" s="147">
        <f t="shared" si="0"/>
        <v>0</v>
      </c>
      <c r="H32" s="144"/>
      <c r="I32" s="145">
        <v>747.09</v>
      </c>
      <c r="J32" s="143"/>
      <c r="K32" s="905">
        <v>12653.99</v>
      </c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15">
        <v>666.47</v>
      </c>
      <c r="AI32" s="916">
        <v>659.13</v>
      </c>
      <c r="AJ32" s="136"/>
      <c r="AK32" s="105">
        <f t="shared" si="3"/>
        <v>0</v>
      </c>
      <c r="AL32" s="992">
        <v>46.87</v>
      </c>
      <c r="AM32" s="997">
        <v>2.13</v>
      </c>
      <c r="AN32" s="143"/>
      <c r="AO32" s="143"/>
      <c r="AP32" s="146"/>
      <c r="AQ32" s="224">
        <f t="shared" si="4"/>
        <v>0</v>
      </c>
      <c r="AR32" s="1779">
        <v>1878.3</v>
      </c>
      <c r="AS32" s="1778"/>
      <c r="AT32" s="1778"/>
      <c r="AU32" s="1762">
        <v>1703.9</v>
      </c>
      <c r="AV32" s="1548"/>
      <c r="AW32" s="1548"/>
      <c r="AX32" s="1548"/>
      <c r="AY32" s="1546"/>
      <c r="AZ32" s="222">
        <f t="shared" si="5"/>
        <v>0</v>
      </c>
      <c r="BA32" s="140">
        <f t="shared" si="6"/>
        <v>0</v>
      </c>
      <c r="BB32" s="132"/>
      <c r="BC32" s="140">
        <f t="shared" si="7"/>
        <v>0</v>
      </c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990"/>
      <c r="BO32" s="991"/>
      <c r="BP32" s="126"/>
      <c r="BQ32" s="130">
        <f t="shared" si="8"/>
        <v>0</v>
      </c>
      <c r="BR32" s="132"/>
    </row>
    <row r="33" ht="13.5" customHeight="1">
      <c r="A33" s="132"/>
      <c r="B33" s="444">
        <v>46049</v>
      </c>
      <c r="C33" s="998">
        <f>12988.14-D33-0</f>
      </c>
      <c r="D33" s="907">
        <v>1795.33</v>
      </c>
      <c r="E33" s="135"/>
      <c r="F33" s="135"/>
      <c r="G33" s="147">
        <f t="shared" si="0"/>
        <v>0</v>
      </c>
      <c r="H33" s="144"/>
      <c r="I33" s="145">
        <v>201.58</v>
      </c>
      <c r="J33" s="143"/>
      <c r="K33" s="992">
        <v>7582.31</v>
      </c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5">
        <v>966.62</v>
      </c>
      <c r="AI33" s="916">
        <v>451.81</v>
      </c>
      <c r="AJ33" s="136"/>
      <c r="AK33" s="105">
        <f t="shared" si="3"/>
        <v>0</v>
      </c>
      <c r="AL33" s="992">
        <v>89.62</v>
      </c>
      <c r="AM33" s="997">
        <v>1.77</v>
      </c>
      <c r="AN33" s="143"/>
      <c r="AO33" s="143"/>
      <c r="AP33" s="146"/>
      <c r="AQ33" s="224">
        <f t="shared" si="4"/>
        <v>0</v>
      </c>
      <c r="AR33" s="1779">
        <v>2352.8</v>
      </c>
      <c r="AS33" s="1778"/>
      <c r="AT33" s="1778"/>
      <c r="AU33" s="1762">
        <v>1341.8</v>
      </c>
      <c r="AV33" s="1548"/>
      <c r="AW33" s="1548"/>
      <c r="AX33" s="1548"/>
      <c r="AY33" s="1546"/>
      <c r="AZ33" s="222">
        <f t="shared" si="5"/>
        <v>0</v>
      </c>
      <c r="BA33" s="140">
        <f t="shared" si="6"/>
        <v>0</v>
      </c>
      <c r="BB33" s="132"/>
      <c r="BC33" s="140">
        <f t="shared" si="7"/>
        <v>0</v>
      </c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990"/>
      <c r="BO33" s="991"/>
      <c r="BP33" s="126"/>
      <c r="BQ33" s="130">
        <f t="shared" si="8"/>
        <v>0</v>
      </c>
      <c r="BR33" s="132"/>
    </row>
    <row r="34" ht="14.25" customHeight="1">
      <c r="A34" s="132"/>
      <c r="B34" s="444">
        <v>46050</v>
      </c>
      <c r="C34" s="998">
        <f>16586.34-D34-0</f>
      </c>
      <c r="D34" s="907">
        <v>1627.77</v>
      </c>
      <c r="E34" s="135"/>
      <c r="F34" s="135"/>
      <c r="G34" s="147">
        <f t="shared" si="0"/>
        <v>0</v>
      </c>
      <c r="H34" s="144"/>
      <c r="I34" s="145">
        <v>269.14</v>
      </c>
      <c r="J34" s="143"/>
      <c r="K34" s="992">
        <v>12515.44</v>
      </c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5">
        <v>722.09</v>
      </c>
      <c r="AI34" s="916">
        <v>344.73</v>
      </c>
      <c r="AJ34" s="136"/>
      <c r="AK34" s="105">
        <f t="shared" si="3"/>
        <v>0</v>
      </c>
      <c r="AL34" s="992">
        <v>24.41</v>
      </c>
      <c r="AM34" s="997">
        <v>2.5</v>
      </c>
      <c r="AN34" s="143"/>
      <c r="AO34" s="143"/>
      <c r="AP34" s="146"/>
      <c r="AQ34" s="224">
        <f t="shared" si="4"/>
        <v>0</v>
      </c>
      <c r="AR34" s="1779">
        <v>1427.2</v>
      </c>
      <c r="AS34" s="1778"/>
      <c r="AT34" s="1778"/>
      <c r="AU34" s="1762">
        <v>1281.2</v>
      </c>
      <c r="AV34" s="1548"/>
      <c r="AW34" s="1548"/>
      <c r="AX34" s="1548"/>
      <c r="AY34" s="1546"/>
      <c r="AZ34" s="222">
        <f t="shared" si="5"/>
        <v>0</v>
      </c>
      <c r="BA34" s="140">
        <f t="shared" si="6"/>
        <v>0</v>
      </c>
      <c r="BB34" s="132"/>
      <c r="BC34" s="140">
        <f t="shared" si="7"/>
        <v>0</v>
      </c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990"/>
      <c r="BO34" s="991"/>
      <c r="BP34" s="126"/>
      <c r="BQ34" s="130">
        <f t="shared" si="8"/>
        <v>0</v>
      </c>
      <c r="BR34" s="132"/>
    </row>
    <row r="35" ht="14.25" customHeight="1">
      <c r="A35" s="132"/>
      <c r="B35" s="444">
        <v>46051</v>
      </c>
      <c r="C35" s="900">
        <f>13304.36-D35-0</f>
      </c>
      <c r="D35" s="907">
        <v>2130.38</v>
      </c>
      <c r="E35" s="135"/>
      <c r="F35" s="135"/>
      <c r="G35" s="147">
        <f t="shared" si="0"/>
        <v>0</v>
      </c>
      <c r="H35" s="144"/>
      <c r="I35" s="145">
        <v>139.03</v>
      </c>
      <c r="J35" s="143"/>
      <c r="K35" s="992">
        <v>8458.76</v>
      </c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>
        <v>554.09</v>
      </c>
      <c r="AI35" s="907">
        <v>628.49</v>
      </c>
      <c r="AJ35" s="136"/>
      <c r="AK35" s="105">
        <f t="shared" si="3"/>
        <v>0</v>
      </c>
      <c r="AL35" s="988">
        <v>88.22</v>
      </c>
      <c r="AM35" s="989">
        <v>0.77</v>
      </c>
      <c r="AN35" s="143"/>
      <c r="AO35" s="143"/>
      <c r="AP35" s="146"/>
      <c r="AQ35" s="224">
        <f t="shared" si="4"/>
        <v>0</v>
      </c>
      <c r="AR35" s="1779">
        <v>1934.1</v>
      </c>
      <c r="AS35" s="1778"/>
      <c r="AT35" s="1778"/>
      <c r="AU35" s="1762">
        <v>1501</v>
      </c>
      <c r="AV35" s="1548"/>
      <c r="AW35" s="1548"/>
      <c r="AX35" s="1548"/>
      <c r="AY35" s="1546"/>
      <c r="AZ35" s="222">
        <f t="shared" si="5"/>
        <v>0</v>
      </c>
      <c r="BA35" s="140">
        <f t="shared" si="6"/>
        <v>0</v>
      </c>
      <c r="BB35" s="132"/>
      <c r="BC35" s="140">
        <f t="shared" si="7"/>
        <v>0</v>
      </c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994"/>
      <c r="BO35" s="991"/>
      <c r="BP35" s="126"/>
      <c r="BQ35" s="130">
        <f t="shared" si="8"/>
        <v>0</v>
      </c>
      <c r="BR35" s="132"/>
    </row>
    <row r="36" ht="14.25" customHeight="1">
      <c r="A36" s="132"/>
      <c r="B36" s="444">
        <v>46052</v>
      </c>
      <c r="C36" s="900">
        <f>11127.92-D36-0</f>
      </c>
      <c r="D36" s="907">
        <v>2470.84</v>
      </c>
      <c r="E36" s="135"/>
      <c r="F36" s="135"/>
      <c r="G36" s="147">
        <f t="shared" si="0"/>
        <v>0</v>
      </c>
      <c r="H36" s="144"/>
      <c r="I36" s="145">
        <v>613.32</v>
      </c>
      <c r="J36" s="143"/>
      <c r="K36" s="999">
        <v>5392.54</v>
      </c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>
        <v>942.76</v>
      </c>
      <c r="AI36" s="907">
        <v>479.27</v>
      </c>
      <c r="AJ36" s="136"/>
      <c r="AK36" s="105">
        <f t="shared" si="3"/>
        <v>0</v>
      </c>
      <c r="AL36" s="992">
        <v>55.95</v>
      </c>
      <c r="AM36" s="997">
        <v>1.21</v>
      </c>
      <c r="AN36" s="143"/>
      <c r="AO36" s="143"/>
      <c r="AP36" s="146"/>
      <c r="AQ36" s="224">
        <f t="shared" si="4"/>
        <v>0</v>
      </c>
      <c r="AR36" s="1779">
        <v>1652.6</v>
      </c>
      <c r="AS36" s="1778"/>
      <c r="AT36" s="1778"/>
      <c r="AU36" s="1762">
        <v>1990.4</v>
      </c>
      <c r="AV36" s="1548"/>
      <c r="AW36" s="1548"/>
      <c r="AX36" s="1548"/>
      <c r="AY36" s="1546"/>
      <c r="AZ36" s="222">
        <f t="shared" si="5"/>
        <v>0</v>
      </c>
      <c r="BA36" s="140">
        <f t="shared" si="6"/>
        <v>0</v>
      </c>
      <c r="BB36" s="132"/>
      <c r="BC36" s="140">
        <f t="shared" si="7"/>
        <v>0</v>
      </c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990"/>
      <c r="BO36" s="991"/>
      <c r="BP36" s="126"/>
      <c r="BQ36" s="130">
        <f t="shared" si="8"/>
        <v>0</v>
      </c>
      <c r="BR36" s="132"/>
    </row>
    <row r="37" ht="14.25" customHeight="1">
      <c r="A37" s="132"/>
      <c r="B37" s="444">
        <v>46053</v>
      </c>
      <c r="C37" s="918">
        <f>17807.04-D37-0</f>
      </c>
      <c r="D37" s="919">
        <v>2132.97</v>
      </c>
      <c r="E37" s="156"/>
      <c r="F37" s="156"/>
      <c r="G37" s="147">
        <f t="shared" si="0"/>
        <v>0</v>
      </c>
      <c r="H37" s="612"/>
      <c r="I37" s="158">
        <v>526.07</v>
      </c>
      <c r="J37" s="157"/>
      <c r="K37" s="1000">
        <v>12450.71</v>
      </c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>
        <v>1285.8</v>
      </c>
      <c r="AI37" s="925">
        <v>611.01</v>
      </c>
      <c r="AJ37" s="159"/>
      <c r="AK37" s="105">
        <f t="shared" si="3"/>
        <v>0</v>
      </c>
      <c r="AL37" s="1002">
        <v>54.1</v>
      </c>
      <c r="AM37" s="997"/>
      <c r="AN37" s="157"/>
      <c r="AO37" s="157"/>
      <c r="AP37" s="160"/>
      <c r="AQ37" s="224">
        <f t="shared" si="4"/>
        <v>0</v>
      </c>
      <c r="AR37" s="1780">
        <v>837.5</v>
      </c>
      <c r="AS37" s="1781"/>
      <c r="AT37" s="1781"/>
      <c r="AU37" s="1762">
        <v>1522</v>
      </c>
      <c r="AV37" s="1548"/>
      <c r="AW37" s="1548"/>
      <c r="AX37" s="1548"/>
      <c r="AY37" s="1557"/>
      <c r="AZ37" s="222">
        <f t="shared" si="5"/>
        <v>0</v>
      </c>
      <c r="BA37" s="162">
        <f t="shared" si="6"/>
        <v>0</v>
      </c>
      <c r="BB37" s="132"/>
      <c r="BC37" s="162">
        <f t="shared" si="7"/>
        <v>0</v>
      </c>
      <c r="BD37" s="138"/>
      <c r="BE37" s="138"/>
      <c r="BF37" s="138"/>
      <c r="BG37" s="138"/>
      <c r="BH37" s="138"/>
      <c r="BI37" s="138"/>
      <c r="BJ37" s="138"/>
      <c r="BK37" s="138"/>
      <c r="BL37" s="138"/>
      <c r="BM37" s="126"/>
      <c r="BN37" s="1003"/>
      <c r="BO37" s="1004">
        <v>520</v>
      </c>
      <c r="BP37" s="138"/>
      <c r="BQ37" s="164">
        <f t="shared" si="8"/>
        <v>0</v>
      </c>
      <c r="BR37" s="132"/>
    </row>
    <row r="38" ht="14.25" customHeight="1">
      <c r="A38" s="3"/>
      <c r="B38" s="2" t="s">
        <v>196</v>
      </c>
      <c r="C38" s="166">
        <f ref="C38:BA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5">
        <f t="shared" si="9"/>
        <v>0</v>
      </c>
      <c r="AS38" s="165">
        <f t="shared" si="9"/>
        <v>0</v>
      </c>
      <c r="AT38" s="165">
        <f t="shared" si="9"/>
        <v>0</v>
      </c>
      <c r="AU38" s="165">
        <f t="shared" si="9"/>
        <v>0</v>
      </c>
      <c r="AV38" s="165">
        <f t="shared" si="9"/>
        <v>0</v>
      </c>
      <c r="AW38" s="165">
        <f t="shared" si="9"/>
        <v>0</v>
      </c>
      <c r="AX38" s="165">
        <f t="shared" si="9"/>
        <v>0</v>
      </c>
      <c r="AY38" s="165">
        <f t="shared" si="9"/>
        <v>0</v>
      </c>
      <c r="AZ38" s="166">
        <f t="shared" si="9"/>
        <v>0</v>
      </c>
      <c r="BA38" s="166">
        <f t="shared" si="9"/>
        <v>0</v>
      </c>
      <c r="BB38" s="132"/>
      <c r="BC38" s="166">
        <f ref="BC38:BQ38" t="shared" si="10">SUM(BC7:BC37)</f>
        <v>0</v>
      </c>
      <c r="BD38" s="166">
        <f t="shared" si="10"/>
        <v>0</v>
      </c>
      <c r="BE38" s="166">
        <f t="shared" si="10"/>
        <v>0</v>
      </c>
      <c r="BF38" s="166">
        <f t="shared" si="10"/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3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4"/>
      <c r="AL39" s="3"/>
      <c r="AM39" s="3"/>
      <c r="AN39" s="3"/>
      <c r="AO39" s="3"/>
      <c r="AP39" s="3"/>
      <c r="AQ39" s="4"/>
      <c r="AR39" s="132"/>
      <c r="AS39" s="132"/>
      <c r="AT39" s="132"/>
      <c r="AU39" s="132"/>
      <c r="AV39" s="132"/>
      <c r="AW39" s="132"/>
      <c r="AX39" s="132"/>
      <c r="AY39" s="132"/>
      <c r="AZ39" s="4"/>
      <c r="BA39" s="3"/>
      <c r="BB39" s="3"/>
      <c r="BC39" s="17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173"/>
      <c r="BR39" s="3"/>
    </row>
    <row r="40" ht="14.25" customHeight="1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4"/>
      <c r="AL40" s="3"/>
      <c r="AM40" s="3"/>
      <c r="AN40" s="3"/>
      <c r="AO40" s="3"/>
      <c r="AP40" s="3"/>
      <c r="AQ40" s="4"/>
      <c r="AR40" s="132"/>
      <c r="AS40" s="132"/>
      <c r="AT40" s="132"/>
      <c r="AU40" s="132"/>
      <c r="AV40" s="132"/>
      <c r="AW40" s="132"/>
      <c r="AX40" s="132"/>
      <c r="AY40" s="132"/>
      <c r="AZ40" s="177"/>
      <c r="BA40" s="3"/>
      <c r="BB40" s="3"/>
      <c r="BC40" s="178"/>
      <c r="BD40" s="176"/>
      <c r="BE40" s="176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8"/>
      <c r="BR40" s="3"/>
    </row>
    <row r="41" ht="14.25" customHeight="1">
      <c r="A41" s="3"/>
      <c r="B41" s="179">
        <v>46054</v>
      </c>
      <c r="C41" s="94">
        <f>15347.76-D41-0</f>
      </c>
      <c r="D41" s="95">
        <v>2018.85</v>
      </c>
      <c r="E41" s="97"/>
      <c r="F41" s="97"/>
      <c r="G41" s="216">
        <f ref="G41:G69" t="shared" si="11">+C41+D41+E41+F41</f>
        <v>0</v>
      </c>
      <c r="H41" s="187"/>
      <c r="I41" s="188">
        <v>118.33</v>
      </c>
      <c r="J41" s="186"/>
      <c r="K41" s="188">
        <v>10084.67</v>
      </c>
      <c r="L41" s="186"/>
      <c r="M41" s="186"/>
      <c r="N41" s="186"/>
      <c r="O41" s="186"/>
      <c r="P41" s="186"/>
      <c r="Q41" s="186"/>
      <c r="R41" s="186"/>
      <c r="S41" s="186"/>
      <c r="T41" s="189">
        <f ref="T41:T69" t="shared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ref="AG41:AG69" t="shared" si="13">SUM(U41:AF41)</f>
        <v>0</v>
      </c>
      <c r="AH41" s="95">
        <v>1159.44</v>
      </c>
      <c r="AI41" s="95">
        <v>548.07</v>
      </c>
      <c r="AJ41" s="104"/>
      <c r="AK41" s="191">
        <f ref="AK41:AK69" t="shared" si="14">SUM(AH41:AJ41)</f>
        <v>0</v>
      </c>
      <c r="AL41" s="188">
        <v>89.97</v>
      </c>
      <c r="AM41" s="188">
        <v>1.96</v>
      </c>
      <c r="AN41" s="186"/>
      <c r="AO41" s="186"/>
      <c r="AP41" s="193"/>
      <c r="AQ41" s="620">
        <f ref="AQ41:AQ69" t="shared" si="15">+G41-T41-AG41-AK41-AL41-AN41-AO41-AP41</f>
        <v>0</v>
      </c>
      <c r="AR41" s="1729">
        <v>1876.6</v>
      </c>
      <c r="AS41" s="1537"/>
      <c r="AT41" s="1537"/>
      <c r="AU41" s="1721">
        <v>1468.8</v>
      </c>
      <c r="AV41" s="1548"/>
      <c r="AW41" s="1548"/>
      <c r="AX41" s="1548"/>
      <c r="AY41" s="1537"/>
      <c r="AZ41" s="222">
        <f ref="AZ41:AZ69" t="shared" si="16">SUM(AR41:AY41)-AX41</f>
        <v>0</v>
      </c>
      <c r="BA41" s="114">
        <f ref="BA41:BA69" t="shared" si="17">+AQ41-AZ41</f>
        <v>0</v>
      </c>
      <c r="BB41" s="3"/>
      <c r="BC41" s="114">
        <f ref="BC41:BC69" t="shared" si="18">SUM(BD41:BP41)</f>
        <v>0</v>
      </c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6">
        <f ref="BQ41:BQ69" t="shared" si="19">+BA41-BC41</f>
        <v>0</v>
      </c>
      <c r="BR41" s="3"/>
    </row>
    <row r="42" ht="14.25" customHeight="1">
      <c r="A42" s="3"/>
      <c r="B42" s="179">
        <v>46055</v>
      </c>
      <c r="C42" s="118">
        <f>14038.71-D42-0</f>
      </c>
      <c r="D42" s="119">
        <v>1753.89</v>
      </c>
      <c r="E42" s="120"/>
      <c r="F42" s="120"/>
      <c r="G42" s="147">
        <f t="shared" si="11"/>
        <v>0</v>
      </c>
      <c r="H42" s="144"/>
      <c r="I42" s="143"/>
      <c r="J42" s="143"/>
      <c r="K42" s="145">
        <v>9243.44</v>
      </c>
      <c r="L42" s="143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>
        <v>786.48</v>
      </c>
      <c r="AI42" s="119">
        <v>442.53</v>
      </c>
      <c r="AJ42" s="123"/>
      <c r="AK42" s="105">
        <f t="shared" si="14"/>
        <v>0</v>
      </c>
      <c r="AL42" s="145">
        <v>94.96</v>
      </c>
      <c r="AM42" s="145">
        <v>2.07</v>
      </c>
      <c r="AN42" s="143"/>
      <c r="AO42" s="143"/>
      <c r="AP42" s="146"/>
      <c r="AQ42" s="621">
        <f t="shared" si="15"/>
        <v>0</v>
      </c>
      <c r="AR42" s="1733">
        <v>2160.1</v>
      </c>
      <c r="AS42" s="1546"/>
      <c r="AT42" s="1546"/>
      <c r="AU42" s="1554">
        <v>1309.3</v>
      </c>
      <c r="AV42" s="1548"/>
      <c r="AW42" s="1548"/>
      <c r="AX42" s="1548"/>
      <c r="AY42" s="1546"/>
      <c r="AZ42" s="222">
        <f t="shared" si="16"/>
        <v>0</v>
      </c>
      <c r="BA42" s="113">
        <f t="shared" si="17"/>
        <v>0</v>
      </c>
      <c r="BB42" s="3"/>
      <c r="BC42" s="113">
        <f t="shared" si="18"/>
        <v>0</v>
      </c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30">
        <f t="shared" si="19"/>
        <v>0</v>
      </c>
      <c r="BR42" s="3"/>
    </row>
    <row r="43" ht="14.25" customHeight="1">
      <c r="A43" s="3"/>
      <c r="B43" s="179">
        <v>46056</v>
      </c>
      <c r="C43" s="118">
        <f>17928.75-D43-0</f>
      </c>
      <c r="D43" s="119">
        <v>1989.91</v>
      </c>
      <c r="E43" s="120"/>
      <c r="F43" s="120"/>
      <c r="G43" s="147">
        <f t="shared" si="11"/>
        <v>0</v>
      </c>
      <c r="H43" s="144"/>
      <c r="I43" s="145">
        <v>1025.34</v>
      </c>
      <c r="J43" s="143"/>
      <c r="K43" s="145">
        <v>12169.75</v>
      </c>
      <c r="L43" s="143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>
        <v>727.82</v>
      </c>
      <c r="AI43" s="119">
        <v>537.59</v>
      </c>
      <c r="AJ43" s="123"/>
      <c r="AK43" s="105">
        <f t="shared" si="14"/>
        <v>0</v>
      </c>
      <c r="AL43" s="145">
        <v>80.73</v>
      </c>
      <c r="AM43" s="145">
        <v>1.25</v>
      </c>
      <c r="AN43" s="143"/>
      <c r="AO43" s="143"/>
      <c r="AP43" s="146"/>
      <c r="AQ43" s="621">
        <f t="shared" si="15"/>
        <v>0</v>
      </c>
      <c r="AR43" s="1733">
        <v>1930.3</v>
      </c>
      <c r="AS43" s="1546"/>
      <c r="AT43" s="1546"/>
      <c r="AU43" s="1554">
        <v>1456.1</v>
      </c>
      <c r="AV43" s="1548"/>
      <c r="AW43" s="1548"/>
      <c r="AX43" s="1548"/>
      <c r="AY43" s="1546"/>
      <c r="AZ43" s="222">
        <f t="shared" si="16"/>
        <v>0</v>
      </c>
      <c r="BA43" s="113">
        <f t="shared" si="17"/>
        <v>0</v>
      </c>
      <c r="BB43" s="3"/>
      <c r="BC43" s="113">
        <f t="shared" si="18"/>
        <v>0</v>
      </c>
      <c r="BD43" s="129"/>
      <c r="BE43" s="129"/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30">
        <f t="shared" si="19"/>
        <v>0</v>
      </c>
      <c r="BR43" s="3"/>
    </row>
    <row r="44" ht="14.25" customHeight="1">
      <c r="A44" s="3"/>
      <c r="B44" s="179">
        <v>46057</v>
      </c>
      <c r="C44" s="118">
        <f>27096.26-D44-0</f>
      </c>
      <c r="D44" s="119">
        <v>2110.01</v>
      </c>
      <c r="E44" s="120"/>
      <c r="F44" s="120"/>
      <c r="G44" s="147">
        <f t="shared" si="11"/>
        <v>0</v>
      </c>
      <c r="H44" s="144"/>
      <c r="I44" s="145">
        <v>860.82</v>
      </c>
      <c r="J44" s="143"/>
      <c r="K44" s="145">
        <v>9093.72</v>
      </c>
      <c r="L44" s="143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19">
        <v>694.07</v>
      </c>
      <c r="AI44" s="119">
        <v>730.93</v>
      </c>
      <c r="AJ44" s="123"/>
      <c r="AK44" s="105">
        <f t="shared" si="14"/>
        <v>0</v>
      </c>
      <c r="AL44" s="145">
        <v>1255.95</v>
      </c>
      <c r="AM44" s="145">
        <v>1.2</v>
      </c>
      <c r="AN44" s="143"/>
      <c r="AO44" s="143"/>
      <c r="AP44" s="146"/>
      <c r="AQ44" s="621">
        <f t="shared" si="15"/>
        <v>0</v>
      </c>
      <c r="AR44" s="1733">
        <v>11781.8</v>
      </c>
      <c r="AS44" s="1546"/>
      <c r="AT44" s="1546"/>
      <c r="AU44" s="1554">
        <v>1377.9</v>
      </c>
      <c r="AV44" s="1548"/>
      <c r="AW44" s="1548"/>
      <c r="AX44" s="1548"/>
      <c r="AY44" s="1546"/>
      <c r="AZ44" s="222">
        <f t="shared" si="16"/>
        <v>0</v>
      </c>
      <c r="BA44" s="113">
        <f t="shared" si="17"/>
        <v>0</v>
      </c>
      <c r="BB44" s="3"/>
      <c r="BC44" s="113">
        <f t="shared" si="18"/>
        <v>0</v>
      </c>
      <c r="BD44" s="129"/>
      <c r="BE44" s="129"/>
      <c r="BF44" s="129"/>
      <c r="BG44" s="129"/>
      <c r="BH44" s="129"/>
      <c r="BI44" s="129"/>
      <c r="BJ44" s="129"/>
      <c r="BK44" s="129"/>
      <c r="BL44" s="129"/>
      <c r="BM44" s="129"/>
      <c r="BN44" s="131"/>
      <c r="BO44" s="129">
        <v>1300</v>
      </c>
      <c r="BP44" s="129"/>
      <c r="BQ44" s="130">
        <f t="shared" si="19"/>
        <v>0</v>
      </c>
      <c r="BR44" s="3"/>
    </row>
    <row r="45" ht="14.25" customHeight="1">
      <c r="A45" s="3"/>
      <c r="B45" s="179">
        <v>46058</v>
      </c>
      <c r="C45" s="118">
        <f>19327.30-D45-0</f>
      </c>
      <c r="D45" s="119">
        <v>2138.96</v>
      </c>
      <c r="E45" s="120"/>
      <c r="F45" s="120"/>
      <c r="G45" s="147">
        <f t="shared" si="11"/>
        <v>0</v>
      </c>
      <c r="H45" s="144"/>
      <c r="I45" s="145">
        <v>285.95</v>
      </c>
      <c r="J45" s="143"/>
      <c r="K45" s="145">
        <v>13491.78</v>
      </c>
      <c r="L45" s="143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19">
        <v>1771.78</v>
      </c>
      <c r="AI45" s="119">
        <v>466.96</v>
      </c>
      <c r="AJ45" s="123"/>
      <c r="AK45" s="105">
        <f t="shared" si="14"/>
        <v>0</v>
      </c>
      <c r="AL45" s="145">
        <v>105.54</v>
      </c>
      <c r="AM45" s="145">
        <v>3.13</v>
      </c>
      <c r="AN45" s="143"/>
      <c r="AO45" s="143"/>
      <c r="AP45" s="146"/>
      <c r="AQ45" s="621">
        <f t="shared" si="15"/>
        <v>0</v>
      </c>
      <c r="AR45" s="1733">
        <v>1533.4</v>
      </c>
      <c r="AS45" s="1546"/>
      <c r="AT45" s="1546"/>
      <c r="AU45" s="1554">
        <v>1668.8</v>
      </c>
      <c r="AV45" s="1548"/>
      <c r="AW45" s="1548"/>
      <c r="AX45" s="1548"/>
      <c r="AY45" s="1546"/>
      <c r="AZ45" s="222">
        <f t="shared" si="16"/>
        <v>0</v>
      </c>
      <c r="BA45" s="113">
        <f t="shared" si="17"/>
        <v>0</v>
      </c>
      <c r="BB45" s="3"/>
      <c r="BC45" s="113">
        <f t="shared" si="18"/>
        <v>0</v>
      </c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0">
        <f t="shared" si="19"/>
        <v>0</v>
      </c>
      <c r="BR45" s="3"/>
    </row>
    <row r="46" ht="14.25" customHeight="1">
      <c r="A46" s="3"/>
      <c r="B46" s="179">
        <v>46059</v>
      </c>
      <c r="C46" s="118">
        <f>8814.49-D46-0</f>
      </c>
      <c r="D46" s="119">
        <v>2192.82</v>
      </c>
      <c r="E46" s="120"/>
      <c r="F46" s="120"/>
      <c r="G46" s="147">
        <f t="shared" si="11"/>
        <v>0</v>
      </c>
      <c r="H46" s="144"/>
      <c r="I46" s="145">
        <v>323.49</v>
      </c>
      <c r="J46" s="143"/>
      <c r="K46" s="145">
        <v>2513.58</v>
      </c>
      <c r="L46" s="143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19">
        <v>1327.89</v>
      </c>
      <c r="AI46" s="119">
        <v>708.22</v>
      </c>
      <c r="AJ46" s="123"/>
      <c r="AK46" s="105">
        <f t="shared" si="14"/>
        <v>0</v>
      </c>
      <c r="AL46" s="145">
        <v>120.3</v>
      </c>
      <c r="AM46" s="145">
        <v>2.68</v>
      </c>
      <c r="AN46" s="143"/>
      <c r="AO46" s="143"/>
      <c r="AP46" s="146"/>
      <c r="AQ46" s="621">
        <f t="shared" si="15"/>
        <v>0</v>
      </c>
      <c r="AR46" s="1733">
        <v>2081.6</v>
      </c>
      <c r="AS46" s="1546"/>
      <c r="AT46" s="1546"/>
      <c r="AU46" s="1554">
        <v>1481.9</v>
      </c>
      <c r="AV46" s="1548"/>
      <c r="AW46" s="1548"/>
      <c r="AX46" s="1548"/>
      <c r="AY46" s="1546"/>
      <c r="AZ46" s="222">
        <f t="shared" si="16"/>
        <v>0</v>
      </c>
      <c r="BA46" s="113">
        <f t="shared" si="17"/>
        <v>0</v>
      </c>
      <c r="BB46" s="3"/>
      <c r="BC46" s="113">
        <f t="shared" si="18"/>
        <v>0</v>
      </c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31"/>
      <c r="BO46" s="129">
        <v>255</v>
      </c>
      <c r="BP46" s="129"/>
      <c r="BQ46" s="130">
        <f t="shared" si="19"/>
        <v>0</v>
      </c>
      <c r="BR46" s="3"/>
    </row>
    <row r="47" ht="14.25" customHeight="1">
      <c r="A47" s="132"/>
      <c r="B47" s="179">
        <v>46060</v>
      </c>
      <c r="C47" s="133">
        <f>14902.58-D47-0</f>
      </c>
      <c r="D47" s="134">
        <v>2176.08</v>
      </c>
      <c r="E47" s="135"/>
      <c r="F47" s="135"/>
      <c r="G47" s="147">
        <f t="shared" si="11"/>
        <v>0</v>
      </c>
      <c r="H47" s="144"/>
      <c r="I47" s="145">
        <v>145</v>
      </c>
      <c r="J47" s="143"/>
      <c r="K47" s="145">
        <v>9066.55</v>
      </c>
      <c r="L47" s="143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>
        <v>1222.29</v>
      </c>
      <c r="AI47" s="134">
        <v>575.11</v>
      </c>
      <c r="AJ47" s="136"/>
      <c r="AK47" s="105">
        <f t="shared" si="14"/>
        <v>0</v>
      </c>
      <c r="AL47" s="145">
        <v>80.96</v>
      </c>
      <c r="AM47" s="145">
        <v>2.54</v>
      </c>
      <c r="AN47" s="143"/>
      <c r="AO47" s="143"/>
      <c r="AP47" s="146"/>
      <c r="AQ47" s="621">
        <f t="shared" si="15"/>
        <v>0</v>
      </c>
      <c r="AR47" s="1733">
        <v>2211.8</v>
      </c>
      <c r="AS47" s="1546"/>
      <c r="AT47" s="1546"/>
      <c r="AU47" s="1554">
        <v>1598.5</v>
      </c>
      <c r="AV47" s="1548"/>
      <c r="AW47" s="1548"/>
      <c r="AX47" s="1548"/>
      <c r="AY47" s="1546"/>
      <c r="AZ47" s="222">
        <f t="shared" si="16"/>
        <v>0</v>
      </c>
      <c r="BA47" s="140">
        <f t="shared" si="17"/>
        <v>0</v>
      </c>
      <c r="BB47" s="132"/>
      <c r="BC47" s="140">
        <f t="shared" si="18"/>
        <v>0</v>
      </c>
      <c r="BD47" s="141"/>
      <c r="BE47" s="141"/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30">
        <f t="shared" si="19"/>
        <v>0</v>
      </c>
      <c r="BR47" s="132"/>
    </row>
    <row r="48" ht="14.25" customHeight="1">
      <c r="A48" s="132"/>
      <c r="B48" s="179">
        <v>46061</v>
      </c>
      <c r="C48" s="133">
        <f>13327.59-D48-0</f>
      </c>
      <c r="D48" s="134">
        <v>1900.21</v>
      </c>
      <c r="E48" s="135"/>
      <c r="F48" s="135"/>
      <c r="G48" s="147">
        <f t="shared" si="11"/>
        <v>0</v>
      </c>
      <c r="H48" s="144"/>
      <c r="I48" s="143"/>
      <c r="J48" s="143"/>
      <c r="K48" s="145">
        <v>7959.77</v>
      </c>
      <c r="L48" s="143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>
        <v>1524.7</v>
      </c>
      <c r="AI48" s="134">
        <v>687.32</v>
      </c>
      <c r="AJ48" s="136"/>
      <c r="AK48" s="105">
        <f t="shared" si="14"/>
        <v>0</v>
      </c>
      <c r="AL48" s="145">
        <v>117.55</v>
      </c>
      <c r="AM48" s="145">
        <v>1.79</v>
      </c>
      <c r="AN48" s="143"/>
      <c r="AO48" s="143"/>
      <c r="AP48" s="146"/>
      <c r="AQ48" s="621">
        <f t="shared" si="15"/>
        <v>0</v>
      </c>
      <c r="AR48" s="1733">
        <v>1825.4</v>
      </c>
      <c r="AS48" s="1546"/>
      <c r="AT48" s="1546"/>
      <c r="AU48" s="1554">
        <v>1211.2</v>
      </c>
      <c r="AV48" s="1548"/>
      <c r="AW48" s="1548"/>
      <c r="AX48" s="1548"/>
      <c r="AY48" s="1546"/>
      <c r="AZ48" s="222">
        <f t="shared" si="16"/>
        <v>0</v>
      </c>
      <c r="BA48" s="140">
        <f t="shared" si="17"/>
        <v>0</v>
      </c>
      <c r="BB48" s="132"/>
      <c r="BC48" s="140">
        <f t="shared" si="18"/>
        <v>0</v>
      </c>
      <c r="BD48" s="141"/>
      <c r="BE48" s="141"/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30">
        <f t="shared" si="19"/>
        <v>0</v>
      </c>
      <c r="BR48" s="132"/>
    </row>
    <row r="49" ht="14.25" customHeight="1">
      <c r="A49" s="132"/>
      <c r="B49" s="179">
        <v>46062</v>
      </c>
      <c r="C49" s="133">
        <f>11144.33-D49-0</f>
      </c>
      <c r="D49" s="134">
        <v>811.87</v>
      </c>
      <c r="E49" s="135"/>
      <c r="F49" s="135"/>
      <c r="G49" s="147">
        <f t="shared" si="11"/>
        <v>0</v>
      </c>
      <c r="H49" s="144"/>
      <c r="I49" s="145">
        <v>782.8</v>
      </c>
      <c r="J49" s="143"/>
      <c r="K49" s="145">
        <v>5763.53</v>
      </c>
      <c r="L49" s="143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>
        <v>1604.2</v>
      </c>
      <c r="AI49" s="134">
        <v>435.65</v>
      </c>
      <c r="AJ49" s="136"/>
      <c r="AK49" s="105">
        <f t="shared" si="14"/>
        <v>0</v>
      </c>
      <c r="AL49" s="145">
        <v>169.02</v>
      </c>
      <c r="AM49" s="143"/>
      <c r="AN49" s="143"/>
      <c r="AO49" s="143"/>
      <c r="AP49" s="146"/>
      <c r="AQ49" s="621">
        <f t="shared" si="15"/>
        <v>0</v>
      </c>
      <c r="AR49" s="1733">
        <v>1863</v>
      </c>
      <c r="AS49" s="1546"/>
      <c r="AT49" s="1546"/>
      <c r="AU49" s="1554">
        <v>376.2</v>
      </c>
      <c r="AV49" s="1548"/>
      <c r="AW49" s="1548"/>
      <c r="AX49" s="1548"/>
      <c r="AY49" s="1546"/>
      <c r="AZ49" s="222">
        <f t="shared" si="16"/>
        <v>0</v>
      </c>
      <c r="BA49" s="140">
        <f t="shared" si="17"/>
        <v>0</v>
      </c>
      <c r="BB49" s="132"/>
      <c r="BC49" s="140">
        <f t="shared" si="18"/>
        <v>0</v>
      </c>
      <c r="BD49" s="141"/>
      <c r="BE49" s="141"/>
      <c r="BF49" s="141"/>
      <c r="BG49" s="141"/>
      <c r="BH49" s="141"/>
      <c r="BI49" s="141"/>
      <c r="BJ49" s="141"/>
      <c r="BK49" s="141"/>
      <c r="BL49" s="141"/>
      <c r="BM49" s="141"/>
      <c r="BN49" s="150"/>
      <c r="BO49" s="141">
        <v>150</v>
      </c>
      <c r="BP49" s="141"/>
      <c r="BQ49" s="130">
        <f t="shared" si="19"/>
        <v>0</v>
      </c>
      <c r="BR49" s="132"/>
    </row>
    <row r="50" ht="14.25" customHeight="1">
      <c r="A50" s="132"/>
      <c r="B50" s="179">
        <v>46063</v>
      </c>
      <c r="C50" s="133">
        <f>18687.84-D50-0</f>
      </c>
      <c r="D50" s="134">
        <v>2130.54</v>
      </c>
      <c r="E50" s="135"/>
      <c r="F50" s="135"/>
      <c r="G50" s="147">
        <f t="shared" si="11"/>
        <v>0</v>
      </c>
      <c r="H50" s="144"/>
      <c r="I50" s="143"/>
      <c r="J50" s="143"/>
      <c r="K50" s="145">
        <v>13095.93</v>
      </c>
      <c r="L50" s="143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>
        <v>482.57</v>
      </c>
      <c r="AI50" s="134">
        <v>664.52</v>
      </c>
      <c r="AJ50" s="136"/>
      <c r="AK50" s="105">
        <f t="shared" si="14"/>
        <v>0</v>
      </c>
      <c r="AL50" s="145">
        <v>120.84</v>
      </c>
      <c r="AM50" s="145">
        <v>3.26</v>
      </c>
      <c r="AN50" s="143"/>
      <c r="AO50" s="143"/>
      <c r="AP50" s="146"/>
      <c r="AQ50" s="621">
        <f t="shared" si="15"/>
        <v>0</v>
      </c>
      <c r="AR50" s="1733">
        <v>2858</v>
      </c>
      <c r="AS50" s="1546"/>
      <c r="AT50" s="1546"/>
      <c r="AU50" s="1554">
        <v>1462.8</v>
      </c>
      <c r="AV50" s="1548"/>
      <c r="AW50" s="1548"/>
      <c r="AX50" s="1548"/>
      <c r="AY50" s="1546"/>
      <c r="AZ50" s="222">
        <f t="shared" si="16"/>
        <v>0</v>
      </c>
      <c r="BA50" s="140">
        <f t="shared" si="17"/>
        <v>0</v>
      </c>
      <c r="BB50" s="132"/>
      <c r="BC50" s="140">
        <f t="shared" si="18"/>
        <v>0</v>
      </c>
      <c r="BD50" s="141"/>
      <c r="BE50" s="141"/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30">
        <f t="shared" si="19"/>
        <v>0</v>
      </c>
      <c r="BR50" s="132"/>
    </row>
    <row r="51" ht="14.25" customHeight="1">
      <c r="A51" s="132"/>
      <c r="B51" s="179">
        <v>46064</v>
      </c>
      <c r="C51" s="133">
        <f>15054.24-D51-0</f>
      </c>
      <c r="D51" s="134">
        <v>1916.44</v>
      </c>
      <c r="E51" s="135"/>
      <c r="F51" s="135"/>
      <c r="G51" s="147">
        <f t="shared" si="11"/>
        <v>0</v>
      </c>
      <c r="H51" s="144"/>
      <c r="I51" s="145">
        <v>298.55</v>
      </c>
      <c r="J51" s="143"/>
      <c r="K51" s="145">
        <v>9914.5</v>
      </c>
      <c r="L51" s="143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>
        <v>1179.82</v>
      </c>
      <c r="AI51" s="134">
        <v>579.65</v>
      </c>
      <c r="AJ51" s="136"/>
      <c r="AK51" s="105">
        <f t="shared" si="14"/>
        <v>0</v>
      </c>
      <c r="AL51" s="145">
        <v>62.12</v>
      </c>
      <c r="AM51" s="145">
        <v>2.02</v>
      </c>
      <c r="AN51" s="143"/>
      <c r="AO51" s="143"/>
      <c r="AP51" s="146"/>
      <c r="AQ51" s="621">
        <f t="shared" si="15"/>
        <v>0</v>
      </c>
      <c r="AR51" s="1733">
        <v>1682.9</v>
      </c>
      <c r="AS51" s="1546"/>
      <c r="AT51" s="1546"/>
      <c r="AU51" s="1554">
        <v>1334.7</v>
      </c>
      <c r="AV51" s="1548"/>
      <c r="AW51" s="1548"/>
      <c r="AX51" s="1548"/>
      <c r="AY51" s="1546"/>
      <c r="AZ51" s="222">
        <f t="shared" si="16"/>
        <v>0</v>
      </c>
      <c r="BA51" s="140">
        <f t="shared" si="17"/>
        <v>0</v>
      </c>
      <c r="BB51" s="132"/>
      <c r="BC51" s="140">
        <f t="shared" si="18"/>
        <v>0</v>
      </c>
      <c r="BD51" s="141"/>
      <c r="BE51" s="141"/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30">
        <f t="shared" si="19"/>
        <v>0</v>
      </c>
      <c r="BR51" s="132"/>
    </row>
    <row r="52" ht="14.25" customHeight="1">
      <c r="A52" s="132"/>
      <c r="B52" s="179">
        <v>46065</v>
      </c>
      <c r="C52" s="133">
        <f>14054.53-D52-0</f>
      </c>
      <c r="D52" s="134">
        <v>2486.66</v>
      </c>
      <c r="E52" s="135"/>
      <c r="F52" s="135"/>
      <c r="G52" s="147">
        <f t="shared" si="11"/>
        <v>0</v>
      </c>
      <c r="H52" s="144"/>
      <c r="I52" s="143">
        <v>723.97</v>
      </c>
      <c r="J52" s="143"/>
      <c r="K52" s="145">
        <v>9271.48</v>
      </c>
      <c r="L52" s="143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>
        <v>291.26</v>
      </c>
      <c r="AI52" s="134">
        <v>693.33</v>
      </c>
      <c r="AJ52" s="136"/>
      <c r="AK52" s="105">
        <f t="shared" si="14"/>
        <v>0</v>
      </c>
      <c r="AL52" s="145"/>
      <c r="AM52" s="143">
        <v>2.85</v>
      </c>
      <c r="AN52" s="143"/>
      <c r="AO52" s="143"/>
      <c r="AP52" s="146"/>
      <c r="AQ52" s="621">
        <f t="shared" si="15"/>
        <v>0</v>
      </c>
      <c r="AR52" s="1733">
        <v>1281.1</v>
      </c>
      <c r="AS52" s="1546"/>
      <c r="AT52" s="1546"/>
      <c r="AU52" s="1554">
        <v>1791.2</v>
      </c>
      <c r="AV52" s="1548"/>
      <c r="AW52" s="1548"/>
      <c r="AX52" s="1548"/>
      <c r="AY52" s="1546"/>
      <c r="AZ52" s="222">
        <f t="shared" si="16"/>
        <v>0</v>
      </c>
      <c r="BA52" s="140">
        <f t="shared" si="17"/>
        <v>0</v>
      </c>
      <c r="BB52" s="132"/>
      <c r="BC52" s="140">
        <f t="shared" si="18"/>
        <v>0</v>
      </c>
      <c r="BD52" s="141"/>
      <c r="BE52" s="141"/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30">
        <f t="shared" si="19"/>
        <v>0</v>
      </c>
      <c r="BR52" s="132"/>
    </row>
    <row r="53" ht="14.25" customHeight="1">
      <c r="A53" s="132"/>
      <c r="B53" s="179">
        <v>46066</v>
      </c>
      <c r="C53" s="133">
        <f>13499.93-D53-0</f>
      </c>
      <c r="D53" s="134">
        <v>2276.22</v>
      </c>
      <c r="E53" s="135"/>
      <c r="F53" s="135"/>
      <c r="G53" s="147">
        <f t="shared" si="11"/>
        <v>0</v>
      </c>
      <c r="H53" s="144"/>
      <c r="I53" s="143"/>
      <c r="J53" s="143"/>
      <c r="K53" s="145">
        <v>4449.41</v>
      </c>
      <c r="L53" s="143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>
        <v>1149.44</v>
      </c>
      <c r="AI53" s="134">
        <v>610.34</v>
      </c>
      <c r="AJ53" s="136"/>
      <c r="AK53" s="105">
        <f t="shared" si="14"/>
        <v>0</v>
      </c>
      <c r="AL53" s="145">
        <v>297.11</v>
      </c>
      <c r="AM53" s="145">
        <v>3.13</v>
      </c>
      <c r="AN53" s="143"/>
      <c r="AO53" s="143"/>
      <c r="AP53" s="146"/>
      <c r="AQ53" s="621">
        <f t="shared" si="15"/>
        <v>0</v>
      </c>
      <c r="AR53" s="1733">
        <v>1965.4</v>
      </c>
      <c r="AS53" s="1626">
        <v>3362.5</v>
      </c>
      <c r="AT53" s="1546"/>
      <c r="AU53" s="1554">
        <v>1662.7</v>
      </c>
      <c r="AV53" s="1548"/>
      <c r="AW53" s="1548"/>
      <c r="AX53" s="1548"/>
      <c r="AY53" s="1546"/>
      <c r="AZ53" s="222">
        <f t="shared" si="16"/>
        <v>0</v>
      </c>
      <c r="BA53" s="140">
        <f t="shared" si="17"/>
        <v>0</v>
      </c>
      <c r="BB53" s="132"/>
      <c r="BC53" s="140">
        <f t="shared" si="18"/>
        <v>0</v>
      </c>
      <c r="BD53" s="141"/>
      <c r="BE53" s="141"/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30">
        <f t="shared" si="19"/>
        <v>0</v>
      </c>
      <c r="BR53" s="132"/>
    </row>
    <row r="54" ht="14.25" customHeight="1">
      <c r="A54" s="132"/>
      <c r="B54" s="179">
        <v>46067</v>
      </c>
      <c r="C54" s="133">
        <f>17951.03-D54-0</f>
      </c>
      <c r="D54" s="134">
        <v>2807.02</v>
      </c>
      <c r="E54" s="135"/>
      <c r="F54" s="135"/>
      <c r="G54" s="147">
        <f t="shared" si="11"/>
        <v>0</v>
      </c>
      <c r="H54" s="144"/>
      <c r="I54" s="143"/>
      <c r="J54" s="143"/>
      <c r="K54" s="145">
        <v>10612.26</v>
      </c>
      <c r="L54" s="140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>
        <v>2507.44</v>
      </c>
      <c r="AI54" s="134">
        <v>967.2</v>
      </c>
      <c r="AJ54" s="136"/>
      <c r="AK54" s="105">
        <f t="shared" si="14"/>
        <v>0</v>
      </c>
      <c r="AL54" s="145">
        <v>181.38</v>
      </c>
      <c r="AM54" s="145">
        <v>1.78</v>
      </c>
      <c r="AN54" s="143"/>
      <c r="AO54" s="143"/>
      <c r="AP54" s="146"/>
      <c r="AQ54" s="621">
        <f t="shared" si="15"/>
        <v>0</v>
      </c>
      <c r="AR54" s="1733">
        <v>1843.1</v>
      </c>
      <c r="AS54" s="1546"/>
      <c r="AT54" s="1546"/>
      <c r="AU54" s="1554">
        <v>1838</v>
      </c>
      <c r="AV54" s="1548"/>
      <c r="AW54" s="1548"/>
      <c r="AX54" s="1548"/>
      <c r="AY54" s="1546"/>
      <c r="AZ54" s="222">
        <f t="shared" si="16"/>
        <v>0</v>
      </c>
      <c r="BA54" s="140">
        <f t="shared" si="17"/>
        <v>0</v>
      </c>
      <c r="BB54" s="132"/>
      <c r="BC54" s="140">
        <f t="shared" si="18"/>
        <v>0</v>
      </c>
      <c r="BD54" s="141"/>
      <c r="BE54" s="141"/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30">
        <f t="shared" si="19"/>
        <v>0</v>
      </c>
      <c r="BR54" s="132"/>
    </row>
    <row r="55" ht="14.25" customHeight="1">
      <c r="A55" s="132"/>
      <c r="B55" s="179">
        <v>46068</v>
      </c>
      <c r="C55" s="133">
        <f>20926.17-D55-0</f>
      </c>
      <c r="D55" s="134">
        <v>2323.14</v>
      </c>
      <c r="E55" s="135"/>
      <c r="F55" s="135"/>
      <c r="G55" s="147">
        <f t="shared" si="11"/>
        <v>0</v>
      </c>
      <c r="H55" s="144"/>
      <c r="I55" s="143"/>
      <c r="J55" s="143"/>
      <c r="K55" s="145">
        <v>13387.4</v>
      </c>
      <c r="L55" s="140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>
        <v>1399.21</v>
      </c>
      <c r="AI55" s="134">
        <v>809.42</v>
      </c>
      <c r="AJ55" s="136"/>
      <c r="AK55" s="105">
        <f t="shared" si="14"/>
        <v>0</v>
      </c>
      <c r="AL55" s="145">
        <v>223.63</v>
      </c>
      <c r="AM55" s="145">
        <v>1.93</v>
      </c>
      <c r="AN55" s="143"/>
      <c r="AO55" s="143"/>
      <c r="AP55" s="146"/>
      <c r="AQ55" s="621">
        <f t="shared" si="15"/>
        <v>0</v>
      </c>
      <c r="AR55" s="1733">
        <v>3592.9</v>
      </c>
      <c r="AS55" s="1546"/>
      <c r="AT55" s="1546"/>
      <c r="AU55" s="1554">
        <v>1511.8</v>
      </c>
      <c r="AV55" s="1548"/>
      <c r="AW55" s="1548"/>
      <c r="AX55" s="1548"/>
      <c r="AY55" s="1546"/>
      <c r="AZ55" s="222">
        <f t="shared" si="16"/>
        <v>0</v>
      </c>
      <c r="BA55" s="140">
        <f t="shared" si="17"/>
        <v>0</v>
      </c>
      <c r="BB55" s="132"/>
      <c r="BC55" s="140">
        <f t="shared" si="18"/>
        <v>0</v>
      </c>
      <c r="BD55" s="141"/>
      <c r="BE55" s="141"/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30">
        <f t="shared" si="19"/>
        <v>0</v>
      </c>
      <c r="BR55" s="132"/>
    </row>
    <row r="56" ht="14.25" customHeight="1">
      <c r="A56" s="132"/>
      <c r="B56" s="179">
        <v>46069</v>
      </c>
      <c r="C56" s="133">
        <f>15502.86-D56-0</f>
      </c>
      <c r="D56" s="134">
        <v>2066.66</v>
      </c>
      <c r="E56" s="135"/>
      <c r="F56" s="135"/>
      <c r="G56" s="147">
        <f t="shared" si="11"/>
        <v>0</v>
      </c>
      <c r="H56" s="144"/>
      <c r="I56" s="145">
        <v>244.34</v>
      </c>
      <c r="J56" s="143"/>
      <c r="K56" s="145">
        <v>9211.52</v>
      </c>
      <c r="L56" s="140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>
        <v>1319.59</v>
      </c>
      <c r="AI56" s="134">
        <v>779.61</v>
      </c>
      <c r="AJ56" s="136"/>
      <c r="AK56" s="105">
        <f t="shared" si="14"/>
        <v>0</v>
      </c>
      <c r="AL56" s="145">
        <v>172.09</v>
      </c>
      <c r="AM56" s="145">
        <v>1.78</v>
      </c>
      <c r="AN56" s="143"/>
      <c r="AO56" s="143"/>
      <c r="AP56" s="146"/>
      <c r="AQ56" s="621">
        <f t="shared" si="15"/>
        <v>0</v>
      </c>
      <c r="AR56" s="1733">
        <v>2488.9</v>
      </c>
      <c r="AS56" s="1546"/>
      <c r="AT56" s="1546"/>
      <c r="AU56" s="1554">
        <v>1285.1</v>
      </c>
      <c r="AV56" s="1548"/>
      <c r="AW56" s="1548"/>
      <c r="AX56" s="1548"/>
      <c r="AY56" s="1546"/>
      <c r="AZ56" s="222">
        <f t="shared" si="16"/>
        <v>0</v>
      </c>
      <c r="BA56" s="140">
        <f t="shared" si="17"/>
        <v>0</v>
      </c>
      <c r="BB56" s="132"/>
      <c r="BC56" s="140">
        <f t="shared" si="18"/>
        <v>0</v>
      </c>
      <c r="BD56" s="141"/>
      <c r="BE56" s="141"/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30">
        <f t="shared" si="19"/>
        <v>0</v>
      </c>
      <c r="BR56" s="132"/>
    </row>
    <row r="57" ht="14.25" customHeight="1">
      <c r="A57" s="132"/>
      <c r="B57" s="179">
        <v>46070</v>
      </c>
      <c r="C57" s="133">
        <f>17041.81-D57-0</f>
      </c>
      <c r="D57" s="134">
        <v>2434.96</v>
      </c>
      <c r="E57" s="135"/>
      <c r="F57" s="135"/>
      <c r="G57" s="147">
        <f t="shared" si="11"/>
        <v>0</v>
      </c>
      <c r="H57" s="144"/>
      <c r="I57" s="145">
        <v>260.33</v>
      </c>
      <c r="J57" s="143"/>
      <c r="K57" s="145">
        <v>10071.59</v>
      </c>
      <c r="L57" s="140"/>
      <c r="M57" s="143"/>
      <c r="N57" s="143"/>
      <c r="O57" s="143"/>
      <c r="P57" s="143"/>
      <c r="Q57" s="145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>
        <v>950.27</v>
      </c>
      <c r="AI57" s="134">
        <v>753.75</v>
      </c>
      <c r="AJ57" s="136"/>
      <c r="AK57" s="105">
        <f t="shared" si="14"/>
        <v>0</v>
      </c>
      <c r="AL57" s="145">
        <v>159.87</v>
      </c>
      <c r="AM57" s="145">
        <v>1.24</v>
      </c>
      <c r="AN57" s="143"/>
      <c r="AO57" s="143"/>
      <c r="AP57" s="146"/>
      <c r="AQ57" s="621">
        <f t="shared" si="15"/>
        <v>0</v>
      </c>
      <c r="AR57" s="1733">
        <v>3090</v>
      </c>
      <c r="AS57" s="1626"/>
      <c r="AT57" s="1546"/>
      <c r="AU57" s="1554">
        <v>1680</v>
      </c>
      <c r="AV57" s="1548"/>
      <c r="AW57" s="1548"/>
      <c r="AX57" s="1548"/>
      <c r="AY57" s="1546"/>
      <c r="AZ57" s="222">
        <f t="shared" si="16"/>
        <v>0</v>
      </c>
      <c r="BA57" s="140">
        <f t="shared" si="17"/>
        <v>0</v>
      </c>
      <c r="BB57" s="132"/>
      <c r="BC57" s="140">
        <f t="shared" si="18"/>
        <v>0</v>
      </c>
      <c r="BD57" s="141"/>
      <c r="BE57" s="141"/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30">
        <f t="shared" si="19"/>
        <v>0</v>
      </c>
      <c r="BR57" s="132"/>
    </row>
    <row r="58" ht="14.25" customHeight="1">
      <c r="A58" s="132"/>
      <c r="B58" s="179">
        <v>46071</v>
      </c>
      <c r="C58" s="133">
        <f>20634.78-D58-0</f>
      </c>
      <c r="D58" s="134">
        <v>2653.81</v>
      </c>
      <c r="E58" s="135"/>
      <c r="F58" s="135"/>
      <c r="G58" s="147">
        <f t="shared" si="11"/>
        <v>0</v>
      </c>
      <c r="H58" s="144"/>
      <c r="I58" s="145">
        <v>111.89</v>
      </c>
      <c r="J58" s="143"/>
      <c r="K58" s="145">
        <v>13748.95</v>
      </c>
      <c r="L58" s="140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>
        <v>1016.09</v>
      </c>
      <c r="AI58" s="134">
        <v>759.26</v>
      </c>
      <c r="AJ58" s="136"/>
      <c r="AK58" s="105">
        <f t="shared" si="14"/>
        <v>0</v>
      </c>
      <c r="AL58" s="145">
        <v>202.28</v>
      </c>
      <c r="AM58" s="145">
        <v>2.84</v>
      </c>
      <c r="AN58" s="143"/>
      <c r="AO58" s="143"/>
      <c r="AP58" s="146"/>
      <c r="AQ58" s="621">
        <f t="shared" si="15"/>
        <v>0</v>
      </c>
      <c r="AR58" s="1733">
        <v>2901.8</v>
      </c>
      <c r="AS58" s="1546"/>
      <c r="AT58" s="1546"/>
      <c r="AU58" s="1554">
        <v>1891.8</v>
      </c>
      <c r="AV58" s="1548"/>
      <c r="AW58" s="1548"/>
      <c r="AX58" s="1548"/>
      <c r="AY58" s="1546"/>
      <c r="AZ58" s="222">
        <f t="shared" si="16"/>
        <v>0</v>
      </c>
      <c r="BA58" s="140">
        <f t="shared" si="17"/>
        <v>0</v>
      </c>
      <c r="BB58" s="132"/>
      <c r="BC58" s="140">
        <f t="shared" si="18"/>
        <v>0</v>
      </c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30">
        <f t="shared" si="19"/>
        <v>0</v>
      </c>
      <c r="BR58" s="132"/>
    </row>
    <row r="59" ht="14.25" customHeight="1">
      <c r="A59" s="132"/>
      <c r="B59" s="179">
        <v>46072</v>
      </c>
      <c r="C59" s="133">
        <f>15834.92-D59-0</f>
      </c>
      <c r="D59" s="134">
        <v>2308.33</v>
      </c>
      <c r="E59" s="135"/>
      <c r="F59" s="135"/>
      <c r="G59" s="147">
        <f t="shared" si="11"/>
        <v>0</v>
      </c>
      <c r="H59" s="144"/>
      <c r="I59" s="145">
        <v>162.2</v>
      </c>
      <c r="J59" s="143"/>
      <c r="K59" s="143">
        <v>10099.97</v>
      </c>
      <c r="L59" s="140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>
        <v>1418.2</v>
      </c>
      <c r="AI59" s="134">
        <v>876.74</v>
      </c>
      <c r="AJ59" s="136"/>
      <c r="AK59" s="105">
        <f t="shared" si="14"/>
        <v>0</v>
      </c>
      <c r="AL59" s="143">
        <v>115.89</v>
      </c>
      <c r="AM59" s="145">
        <v>1.56</v>
      </c>
      <c r="AN59" s="143"/>
      <c r="AO59" s="143"/>
      <c r="AP59" s="146"/>
      <c r="AQ59" s="621">
        <f t="shared" si="15"/>
        <v>0</v>
      </c>
      <c r="AR59" s="1782">
        <v>1530.4</v>
      </c>
      <c r="AS59" s="1546"/>
      <c r="AT59" s="1546"/>
      <c r="AU59" s="1563">
        <v>1430</v>
      </c>
      <c r="AV59" s="1548"/>
      <c r="AW59" s="1548"/>
      <c r="AX59" s="1548"/>
      <c r="AY59" s="1546"/>
      <c r="AZ59" s="222">
        <f t="shared" si="16"/>
        <v>0</v>
      </c>
      <c r="BA59" s="140">
        <f t="shared" si="17"/>
        <v>0</v>
      </c>
      <c r="BB59" s="132"/>
      <c r="BC59" s="140">
        <f t="shared" si="18"/>
        <v>0</v>
      </c>
      <c r="BD59" s="141"/>
      <c r="BE59" s="141"/>
      <c r="BF59" s="141"/>
      <c r="BG59" s="141"/>
      <c r="BH59" s="141"/>
      <c r="BI59" s="141"/>
      <c r="BJ59" s="141"/>
      <c r="BK59" s="141"/>
      <c r="BL59" s="141"/>
      <c r="BM59" s="141"/>
      <c r="BN59" s="150"/>
      <c r="BO59" s="141">
        <v>200</v>
      </c>
      <c r="BP59" s="141"/>
      <c r="BQ59" s="130">
        <f t="shared" si="19"/>
        <v>0</v>
      </c>
      <c r="BR59" s="132"/>
    </row>
    <row r="60" ht="14.25" customHeight="1">
      <c r="A60" s="132"/>
      <c r="B60" s="179">
        <v>46073</v>
      </c>
      <c r="C60" s="133">
        <f>12947.68-D60-0</f>
      </c>
      <c r="D60" s="134">
        <v>2516.65</v>
      </c>
      <c r="E60" s="135"/>
      <c r="F60" s="135"/>
      <c r="G60" s="147">
        <f t="shared" si="11"/>
        <v>0</v>
      </c>
      <c r="H60" s="144"/>
      <c r="I60" s="143"/>
      <c r="J60" s="143"/>
      <c r="K60" s="145">
        <v>7241.66</v>
      </c>
      <c r="L60" s="140"/>
      <c r="M60" s="143"/>
      <c r="N60" s="143"/>
      <c r="O60" s="143"/>
      <c r="P60" s="143"/>
      <c r="Q60" s="145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>
        <v>702.23</v>
      </c>
      <c r="AI60" s="134">
        <v>926.31</v>
      </c>
      <c r="AJ60" s="136"/>
      <c r="AK60" s="105">
        <f t="shared" si="14"/>
        <v>0</v>
      </c>
      <c r="AL60" s="145">
        <v>91.89</v>
      </c>
      <c r="AM60" s="145">
        <v>1.78</v>
      </c>
      <c r="AN60" s="143"/>
      <c r="AO60" s="143"/>
      <c r="AP60" s="146"/>
      <c r="AQ60" s="621">
        <f t="shared" si="15"/>
        <v>0</v>
      </c>
      <c r="AR60" s="1782">
        <v>2100.8</v>
      </c>
      <c r="AS60" s="1546"/>
      <c r="AT60" s="1546"/>
      <c r="AU60" s="1563">
        <v>1589</v>
      </c>
      <c r="AV60" s="1548"/>
      <c r="AW60" s="1548"/>
      <c r="AX60" s="1548"/>
      <c r="AY60" s="1546"/>
      <c r="AZ60" s="222">
        <f t="shared" si="16"/>
        <v>0</v>
      </c>
      <c r="BA60" s="140">
        <f t="shared" si="17"/>
        <v>0</v>
      </c>
      <c r="BB60" s="132"/>
      <c r="BC60" s="140">
        <f t="shared" si="18"/>
        <v>0</v>
      </c>
      <c r="BD60" s="141"/>
      <c r="BE60" s="141"/>
      <c r="BF60" s="141"/>
      <c r="BG60" s="141"/>
      <c r="BH60" s="141"/>
      <c r="BI60" s="141"/>
      <c r="BJ60" s="141"/>
      <c r="BK60" s="141"/>
      <c r="BL60" s="141"/>
      <c r="BM60" s="141"/>
      <c r="BN60" s="150"/>
      <c r="BO60" s="141">
        <v>200</v>
      </c>
      <c r="BP60" s="141"/>
      <c r="BQ60" s="130">
        <f t="shared" si="19"/>
        <v>0</v>
      </c>
      <c r="BR60" s="132"/>
    </row>
    <row r="61" ht="14.25" customHeight="1">
      <c r="A61" s="132"/>
      <c r="B61" s="179">
        <v>46074</v>
      </c>
      <c r="C61" s="133">
        <f>28107.29-D61-0</f>
      </c>
      <c r="D61" s="134">
        <v>2184.69</v>
      </c>
      <c r="E61" s="135"/>
      <c r="F61" s="135"/>
      <c r="G61" s="147">
        <f t="shared" si="11"/>
        <v>0</v>
      </c>
      <c r="H61" s="144"/>
      <c r="I61" s="143"/>
      <c r="J61" s="143"/>
      <c r="K61" s="145">
        <v>20457</v>
      </c>
      <c r="L61" s="140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>
        <v>2976.61</v>
      </c>
      <c r="AI61" s="134">
        <v>631.85</v>
      </c>
      <c r="AJ61" s="136"/>
      <c r="AK61" s="105">
        <f t="shared" si="14"/>
        <v>0</v>
      </c>
      <c r="AL61" s="145">
        <v>189.55</v>
      </c>
      <c r="AM61" s="145">
        <v>2.51</v>
      </c>
      <c r="AN61" s="143"/>
      <c r="AO61" s="143"/>
      <c r="AP61" s="146"/>
      <c r="AQ61" s="621">
        <f t="shared" si="15"/>
        <v>0</v>
      </c>
      <c r="AR61" s="1782">
        <v>2299.5</v>
      </c>
      <c r="AS61" s="1546"/>
      <c r="AT61" s="1546"/>
      <c r="AU61" s="1563">
        <v>1550.4</v>
      </c>
      <c r="AV61" s="1548"/>
      <c r="AW61" s="1548"/>
      <c r="AX61" s="1548"/>
      <c r="AY61" s="1546"/>
      <c r="AZ61" s="222">
        <f t="shared" si="16"/>
        <v>0</v>
      </c>
      <c r="BA61" s="140">
        <f t="shared" si="17"/>
        <v>0</v>
      </c>
      <c r="BB61" s="132"/>
      <c r="BC61" s="140">
        <f t="shared" si="18"/>
        <v>0</v>
      </c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30">
        <f t="shared" si="19"/>
        <v>0</v>
      </c>
      <c r="BR61" s="132"/>
    </row>
    <row r="62" ht="14.25" customHeight="1">
      <c r="A62" s="132"/>
      <c r="B62" s="179">
        <v>46075</v>
      </c>
      <c r="C62" s="133">
        <f>11349.11-D62-0</f>
      </c>
      <c r="D62" s="134">
        <v>1883.64</v>
      </c>
      <c r="E62" s="135"/>
      <c r="F62" s="135"/>
      <c r="G62" s="147">
        <f t="shared" si="11"/>
        <v>0</v>
      </c>
      <c r="H62" s="144"/>
      <c r="I62" s="145"/>
      <c r="J62" s="143"/>
      <c r="K62" s="145">
        <v>5462.59</v>
      </c>
      <c r="L62" s="140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>
        <v>1582.86</v>
      </c>
      <c r="AI62" s="134">
        <v>618.12</v>
      </c>
      <c r="AJ62" s="136"/>
      <c r="AK62" s="105">
        <f t="shared" si="14"/>
        <v>0</v>
      </c>
      <c r="AL62" s="145">
        <v>189.66</v>
      </c>
      <c r="AM62" s="145">
        <v>1.18</v>
      </c>
      <c r="AN62" s="143"/>
      <c r="AO62" s="143"/>
      <c r="AP62" s="146"/>
      <c r="AQ62" s="621">
        <f t="shared" si="15"/>
        <v>0</v>
      </c>
      <c r="AR62" s="1782">
        <v>2230.4</v>
      </c>
      <c r="AS62" s="1546"/>
      <c r="AT62" s="1546"/>
      <c r="AU62" s="1563">
        <v>1264.4</v>
      </c>
      <c r="AV62" s="1548"/>
      <c r="AW62" s="1548"/>
      <c r="AX62" s="1548"/>
      <c r="AY62" s="1546"/>
      <c r="AZ62" s="222">
        <f t="shared" si="16"/>
        <v>0</v>
      </c>
      <c r="BA62" s="140">
        <f t="shared" si="17"/>
        <v>0</v>
      </c>
      <c r="BB62" s="132"/>
      <c r="BC62" s="140">
        <f t="shared" si="18"/>
        <v>0</v>
      </c>
      <c r="BD62" s="141"/>
      <c r="BE62" s="141"/>
      <c r="BF62" s="141"/>
      <c r="BG62" s="141"/>
      <c r="BH62" s="141"/>
      <c r="BI62" s="141"/>
      <c r="BJ62" s="141"/>
      <c r="BK62" s="141"/>
      <c r="BL62" s="141"/>
      <c r="BM62" s="141"/>
      <c r="BN62" s="150"/>
      <c r="BO62" s="141"/>
      <c r="BP62" s="141"/>
      <c r="BQ62" s="130">
        <f t="shared" si="19"/>
        <v>0</v>
      </c>
      <c r="BR62" s="132"/>
    </row>
    <row r="63" ht="14.25" customHeight="1">
      <c r="A63" s="132"/>
      <c r="B63" s="179">
        <v>46076</v>
      </c>
      <c r="C63" s="133">
        <f>14256.26-D63-0</f>
      </c>
      <c r="D63" s="134">
        <v>2143.43</v>
      </c>
      <c r="E63" s="135"/>
      <c r="F63" s="135"/>
      <c r="G63" s="147">
        <f t="shared" si="11"/>
        <v>0</v>
      </c>
      <c r="H63" s="144"/>
      <c r="I63" s="145">
        <v>308.3</v>
      </c>
      <c r="J63" s="143"/>
      <c r="K63" s="145">
        <v>8443.33</v>
      </c>
      <c r="L63" s="140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>
        <v>792.8</v>
      </c>
      <c r="AI63" s="134">
        <v>649.46</v>
      </c>
      <c r="AJ63" s="136"/>
      <c r="AK63" s="105">
        <f t="shared" si="14"/>
        <v>0</v>
      </c>
      <c r="AL63" s="145">
        <v>130.69</v>
      </c>
      <c r="AM63" s="145">
        <v>3.11</v>
      </c>
      <c r="AN63" s="143"/>
      <c r="AO63" s="143"/>
      <c r="AP63" s="146"/>
      <c r="AQ63" s="621">
        <f t="shared" si="15"/>
        <v>0</v>
      </c>
      <c r="AR63" s="1782">
        <v>2437.9</v>
      </c>
      <c r="AS63" s="1546"/>
      <c r="AT63" s="1546"/>
      <c r="AU63" s="1563">
        <v>1490.8</v>
      </c>
      <c r="AV63" s="1548"/>
      <c r="AW63" s="1548"/>
      <c r="AX63" s="1548"/>
      <c r="AY63" s="1546"/>
      <c r="AZ63" s="222">
        <f t="shared" si="16"/>
        <v>0</v>
      </c>
      <c r="BA63" s="140">
        <f t="shared" si="17"/>
        <v>0</v>
      </c>
      <c r="BB63" s="132"/>
      <c r="BC63" s="140">
        <f t="shared" si="18"/>
        <v>0</v>
      </c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30">
        <f t="shared" si="19"/>
        <v>0</v>
      </c>
      <c r="BR63" s="132"/>
    </row>
    <row r="64" ht="14.25" customHeight="1">
      <c r="A64" s="132"/>
      <c r="B64" s="179">
        <v>46077</v>
      </c>
      <c r="C64" s="133">
        <f>17342.14-D64-0</f>
      </c>
      <c r="D64" s="134">
        <v>1640.36</v>
      </c>
      <c r="E64" s="135"/>
      <c r="F64" s="135"/>
      <c r="G64" s="147">
        <f t="shared" si="11"/>
        <v>0</v>
      </c>
      <c r="H64" s="144"/>
      <c r="I64" s="145">
        <v>415.31</v>
      </c>
      <c r="J64" s="143"/>
      <c r="K64" s="145">
        <v>11115.25</v>
      </c>
      <c r="L64" s="143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>
        <v>1493.19</v>
      </c>
      <c r="AI64" s="134">
        <v>392.33</v>
      </c>
      <c r="AJ64" s="136"/>
      <c r="AK64" s="105">
        <f t="shared" si="14"/>
        <v>0</v>
      </c>
      <c r="AL64" s="145">
        <v>207.81</v>
      </c>
      <c r="AM64" s="143"/>
      <c r="AN64" s="143"/>
      <c r="AO64" s="143"/>
      <c r="AP64" s="146"/>
      <c r="AQ64" s="621">
        <f t="shared" si="15"/>
        <v>0</v>
      </c>
      <c r="AR64" s="1782">
        <v>2470.2</v>
      </c>
      <c r="AS64" s="1546"/>
      <c r="AT64" s="1546"/>
      <c r="AU64" s="1563">
        <v>1248.2</v>
      </c>
      <c r="AV64" s="1548"/>
      <c r="AW64" s="1548"/>
      <c r="AX64" s="1548"/>
      <c r="AY64" s="1546"/>
      <c r="AZ64" s="222">
        <f t="shared" si="16"/>
        <v>0</v>
      </c>
      <c r="BA64" s="140">
        <f t="shared" si="17"/>
        <v>0</v>
      </c>
      <c r="BB64" s="132"/>
      <c r="BC64" s="140">
        <f t="shared" si="18"/>
        <v>0</v>
      </c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30">
        <f t="shared" si="19"/>
        <v>0</v>
      </c>
      <c r="BR64" s="132"/>
    </row>
    <row r="65" ht="14.25" customHeight="1">
      <c r="A65" s="132"/>
      <c r="B65" s="179">
        <v>46078</v>
      </c>
      <c r="C65" s="133">
        <f>13559.42-D65-0</f>
      </c>
      <c r="D65" s="134">
        <v>2126.17</v>
      </c>
      <c r="E65" s="135"/>
      <c r="F65" s="135"/>
      <c r="G65" s="147">
        <f t="shared" si="11"/>
        <v>0</v>
      </c>
      <c r="H65" s="144"/>
      <c r="I65" s="143"/>
      <c r="J65" s="143"/>
      <c r="K65" s="145">
        <v>7859.55</v>
      </c>
      <c r="L65" s="143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>
        <v>870.12</v>
      </c>
      <c r="AI65" s="134">
        <v>463.8</v>
      </c>
      <c r="AJ65" s="136"/>
      <c r="AK65" s="105">
        <f t="shared" si="14"/>
        <v>0</v>
      </c>
      <c r="AL65" s="145">
        <v>168.15</v>
      </c>
      <c r="AM65" s="145">
        <v>1.81</v>
      </c>
      <c r="AN65" s="143"/>
      <c r="AO65" s="143"/>
      <c r="AP65" s="146"/>
      <c r="AQ65" s="621">
        <f t="shared" si="15"/>
        <v>0</v>
      </c>
      <c r="AR65" s="1782">
        <v>2535.6</v>
      </c>
      <c r="AS65" s="1546"/>
      <c r="AT65" s="1546"/>
      <c r="AU65" s="1563">
        <v>1660.5</v>
      </c>
      <c r="AV65" s="1548"/>
      <c r="AW65" s="1548"/>
      <c r="AX65" s="1548"/>
      <c r="AY65" s="1546"/>
      <c r="AZ65" s="222">
        <f t="shared" si="16"/>
        <v>0</v>
      </c>
      <c r="BA65" s="140">
        <f t="shared" si="17"/>
        <v>0</v>
      </c>
      <c r="BB65" s="132"/>
      <c r="BC65" s="140">
        <f t="shared" si="18"/>
        <v>0</v>
      </c>
      <c r="BD65" s="141"/>
      <c r="BE65" s="141"/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30">
        <f t="shared" si="19"/>
        <v>0</v>
      </c>
      <c r="BR65" s="132"/>
    </row>
    <row r="66" ht="14.25" customHeight="1">
      <c r="A66" s="132"/>
      <c r="B66" s="179">
        <v>46079</v>
      </c>
      <c r="C66" s="133">
        <f>15887.12-D66-0</f>
      </c>
      <c r="D66" s="200">
        <v>1957.73</v>
      </c>
      <c r="E66" s="135"/>
      <c r="F66" s="135"/>
      <c r="G66" s="147">
        <f t="shared" si="11"/>
        <v>0</v>
      </c>
      <c r="H66" s="144"/>
      <c r="I66" s="143"/>
      <c r="J66" s="143"/>
      <c r="K66" s="145">
        <v>11032.31</v>
      </c>
      <c r="L66" s="143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>
        <v>1098.32</v>
      </c>
      <c r="AI66" s="134">
        <v>693.16</v>
      </c>
      <c r="AJ66" s="136"/>
      <c r="AK66" s="105">
        <f t="shared" si="14"/>
        <v>0</v>
      </c>
      <c r="AL66" s="145">
        <v>116.5</v>
      </c>
      <c r="AM66" s="143"/>
      <c r="AN66" s="143"/>
      <c r="AO66" s="143"/>
      <c r="AP66" s="146"/>
      <c r="AQ66" s="621">
        <f t="shared" si="15"/>
        <v>0</v>
      </c>
      <c r="AR66" s="1782">
        <v>1682.3</v>
      </c>
      <c r="AS66" s="1546"/>
      <c r="AT66" s="1546"/>
      <c r="AU66" s="1563">
        <v>1264.6</v>
      </c>
      <c r="AV66" s="1548"/>
      <c r="AW66" s="1548"/>
      <c r="AX66" s="1548"/>
      <c r="AY66" s="1546"/>
      <c r="AZ66" s="222">
        <f t="shared" si="16"/>
        <v>0</v>
      </c>
      <c r="BA66" s="140">
        <f t="shared" si="17"/>
        <v>0</v>
      </c>
      <c r="BB66" s="132"/>
      <c r="BC66" s="140">
        <f t="shared" si="18"/>
        <v>0</v>
      </c>
      <c r="BD66" s="141"/>
      <c r="BE66" s="141"/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30">
        <f t="shared" si="19"/>
        <v>0</v>
      </c>
      <c r="BR66" s="132"/>
    </row>
    <row r="67" ht="14.25" customHeight="1">
      <c r="A67" s="132"/>
      <c r="B67" s="179">
        <v>46080</v>
      </c>
      <c r="C67" s="133">
        <f>11457.86-D67-0</f>
      </c>
      <c r="D67" s="200">
        <v>2418.12</v>
      </c>
      <c r="E67" s="135"/>
      <c r="F67" s="135"/>
      <c r="G67" s="147">
        <f t="shared" si="11"/>
        <v>0</v>
      </c>
      <c r="H67" s="144"/>
      <c r="I67" s="143"/>
      <c r="J67" s="143"/>
      <c r="K67" s="145">
        <v>4151.98</v>
      </c>
      <c r="L67" s="143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>
        <v>1809.57</v>
      </c>
      <c r="AI67" s="134">
        <v>512.58</v>
      </c>
      <c r="AJ67" s="136"/>
      <c r="AK67" s="105">
        <f t="shared" si="14"/>
        <v>0</v>
      </c>
      <c r="AL67" s="145">
        <v>190.69</v>
      </c>
      <c r="AM67" s="145">
        <v>3.22</v>
      </c>
      <c r="AN67" s="143"/>
      <c r="AO67" s="143"/>
      <c r="AP67" s="146"/>
      <c r="AQ67" s="621">
        <f t="shared" si="15"/>
        <v>0</v>
      </c>
      <c r="AR67" s="1782">
        <v>2887.6</v>
      </c>
      <c r="AS67" s="1546"/>
      <c r="AT67" s="1546"/>
      <c r="AU67" s="1563">
        <v>1902.3</v>
      </c>
      <c r="AV67" s="1548"/>
      <c r="AW67" s="1548"/>
      <c r="AX67" s="1548"/>
      <c r="AY67" s="1546"/>
      <c r="AZ67" s="222">
        <f t="shared" si="16"/>
        <v>0</v>
      </c>
      <c r="BA67" s="140">
        <f t="shared" si="17"/>
        <v>0</v>
      </c>
      <c r="BB67" s="132"/>
      <c r="BC67" s="140">
        <f t="shared" si="18"/>
        <v>0</v>
      </c>
      <c r="BD67" s="141"/>
      <c r="BE67" s="141"/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30">
        <f t="shared" si="19"/>
        <v>0</v>
      </c>
      <c r="BR67" s="132"/>
    </row>
    <row r="68" ht="14.25" customHeight="1">
      <c r="A68" s="132"/>
      <c r="B68" s="179">
        <v>46081</v>
      </c>
      <c r="C68" s="133">
        <f>15691.12-D68-0</f>
      </c>
      <c r="D68" s="134">
        <v>2404.77</v>
      </c>
      <c r="E68" s="135"/>
      <c r="F68" s="135"/>
      <c r="G68" s="147">
        <f t="shared" si="11"/>
        <v>0</v>
      </c>
      <c r="H68" s="144"/>
      <c r="I68" s="143"/>
      <c r="J68" s="143"/>
      <c r="K68" s="145">
        <v>7769.96</v>
      </c>
      <c r="L68" s="143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>
        <v>2118.33</v>
      </c>
      <c r="AI68" s="134">
        <v>728.73</v>
      </c>
      <c r="AJ68" s="136"/>
      <c r="AK68" s="105">
        <f t="shared" si="14"/>
        <v>0</v>
      </c>
      <c r="AL68" s="145">
        <v>197.89</v>
      </c>
      <c r="AM68" s="145">
        <v>1.73</v>
      </c>
      <c r="AN68" s="143"/>
      <c r="AO68" s="143"/>
      <c r="AP68" s="146"/>
      <c r="AQ68" s="621">
        <f t="shared" si="15"/>
        <v>0</v>
      </c>
      <c r="AR68" s="1782">
        <v>3200.2</v>
      </c>
      <c r="AS68" s="1546"/>
      <c r="AT68" s="1546"/>
      <c r="AU68" s="1563">
        <v>1674.3</v>
      </c>
      <c r="AV68" s="1548"/>
      <c r="AW68" s="1548"/>
      <c r="AX68" s="1548"/>
      <c r="AY68" s="1546"/>
      <c r="AZ68" s="222">
        <f t="shared" si="16"/>
        <v>0</v>
      </c>
      <c r="BA68" s="140">
        <f t="shared" si="17"/>
        <v>0</v>
      </c>
      <c r="BB68" s="132"/>
      <c r="BC68" s="140">
        <f t="shared" si="18"/>
        <v>0</v>
      </c>
      <c r="BD68" s="141"/>
      <c r="BE68" s="141"/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30">
        <f t="shared" si="19"/>
        <v>0</v>
      </c>
      <c r="BR68" s="132"/>
    </row>
    <row r="69" ht="14.25" customHeight="1">
      <c r="A69" s="132"/>
      <c r="B69" s="179"/>
      <c r="C69" s="133"/>
      <c r="D69" s="136"/>
      <c r="E69" s="135"/>
      <c r="F69" s="135"/>
      <c r="G69" s="147">
        <f t="shared" si="11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3"/>
      <c r="AP69" s="146"/>
      <c r="AQ69" s="621">
        <f t="shared" si="15"/>
        <v>0</v>
      </c>
      <c r="AR69" s="1783"/>
      <c r="AS69" s="1557"/>
      <c r="AT69" s="1557"/>
      <c r="AU69" s="1557"/>
      <c r="AV69" s="1548"/>
      <c r="AW69" s="1548"/>
      <c r="AX69" s="1548"/>
      <c r="AY69" s="1557"/>
      <c r="AZ69" s="222">
        <f t="shared" si="16"/>
        <v>0</v>
      </c>
      <c r="BA69" s="140">
        <f t="shared" si="17"/>
        <v>0</v>
      </c>
      <c r="BB69" s="132"/>
      <c r="BC69" s="140">
        <f t="shared" si="18"/>
        <v>0</v>
      </c>
      <c r="BD69" s="141"/>
      <c r="BE69" s="141"/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30">
        <f t="shared" si="19"/>
        <v>0</v>
      </c>
      <c r="BR69" s="132"/>
    </row>
    <row r="70" ht="14.25" customHeight="1">
      <c r="A70" s="3"/>
      <c r="B70" s="2"/>
      <c r="C70" s="166">
        <f ref="C70:D70" t="shared" si="20">SUM(C41:C69)</f>
        <v>0</v>
      </c>
      <c r="D70" s="166">
        <f t="shared" si="20"/>
        <v>0</v>
      </c>
      <c r="E70" s="166">
        <f ref="E70:AG70" t="shared" si="21">SUM(E41:E68)</f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 t="shared" si="21"/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>
        <f t="shared" si="21"/>
        <v>0</v>
      </c>
      <c r="T70" s="166">
        <f t="shared" si="21"/>
        <v>0</v>
      </c>
      <c r="U70" s="166">
        <f t="shared" si="21"/>
        <v>0</v>
      </c>
      <c r="V70" s="166">
        <f t="shared" si="21"/>
        <v>0</v>
      </c>
      <c r="W70" s="166">
        <f t="shared" si="21"/>
        <v>0</v>
      </c>
      <c r="X70" s="166">
        <f t="shared" si="21"/>
        <v>0</v>
      </c>
      <c r="Y70" s="166">
        <f t="shared" si="21"/>
        <v>0</v>
      </c>
      <c r="Z70" s="166">
        <f t="shared" si="21"/>
        <v>0</v>
      </c>
      <c r="AA70" s="166">
        <f t="shared" si="21"/>
        <v>0</v>
      </c>
      <c r="AB70" s="166">
        <f t="shared" si="21"/>
        <v>0</v>
      </c>
      <c r="AC70" s="166">
        <f t="shared" si="21"/>
        <v>0</v>
      </c>
      <c r="AD70" s="166">
        <f t="shared" si="21"/>
        <v>0</v>
      </c>
      <c r="AE70" s="166">
        <f t="shared" si="21"/>
        <v>0</v>
      </c>
      <c r="AF70" s="166">
        <f t="shared" si="21"/>
        <v>0</v>
      </c>
      <c r="AG70" s="166">
        <f t="shared" si="21"/>
        <v>0</v>
      </c>
      <c r="AH70" s="166">
        <f ref="AH70:AI70" t="shared" si="22">SUM(AH41:AH69)</f>
        <v>0</v>
      </c>
      <c r="AI70" s="166">
        <f t="shared" si="22"/>
        <v>0</v>
      </c>
      <c r="AJ70" s="166">
        <f ref="AJ70:AK70" t="shared" si="23">SUM(AJ41:AJ68)</f>
        <v>0</v>
      </c>
      <c r="AK70" s="166">
        <f t="shared" si="23"/>
        <v>0</v>
      </c>
      <c r="AL70" s="166">
        <f ref="AL70:AM70" t="shared" si="24">SUM(AL41:AL69)</f>
        <v>0</v>
      </c>
      <c r="AM70" s="166">
        <f t="shared" si="24"/>
        <v>0</v>
      </c>
      <c r="AN70" s="166">
        <f ref="AN70:AQ70" t="shared" si="25">SUM(AN41:AN68)</f>
        <v>0</v>
      </c>
      <c r="AO70" s="166">
        <f t="shared" si="25"/>
        <v>0</v>
      </c>
      <c r="AP70" s="166">
        <f t="shared" si="25"/>
        <v>0</v>
      </c>
      <c r="AQ70" s="166">
        <f t="shared" si="25"/>
        <v>0</v>
      </c>
      <c r="AR70" s="165">
        <f>SUM(AR41:AR69)</f>
        <v>0</v>
      </c>
      <c r="AS70" s="165">
        <f ref="AS70:AT70" t="shared" si="26">SUM(AS41:AS68)</f>
        <v>0</v>
      </c>
      <c r="AT70" s="165">
        <f t="shared" si="26"/>
        <v>0</v>
      </c>
      <c r="AU70" s="165">
        <f>SUM(AU41:AU69)</f>
        <v>0</v>
      </c>
      <c r="AV70" s="165">
        <f ref="AV70:BA70" t="shared" si="27">SUM(AV41:AV68)</f>
        <v>0</v>
      </c>
      <c r="AW70" s="165">
        <f t="shared" si="27"/>
        <v>0</v>
      </c>
      <c r="AX70" s="165">
        <f t="shared" si="27"/>
        <v>0</v>
      </c>
      <c r="AY70" s="165">
        <f t="shared" si="27"/>
        <v>0</v>
      </c>
      <c r="AZ70" s="166">
        <f t="shared" si="27"/>
        <v>0</v>
      </c>
      <c r="BA70" s="166">
        <f t="shared" si="27"/>
        <v>0</v>
      </c>
      <c r="BB70" s="235"/>
      <c r="BC70" s="166">
        <f ref="BC70:BQ70" t="shared" si="28">SUM(BC41:BC68)</f>
        <v>0</v>
      </c>
      <c r="BD70" s="166">
        <f t="shared" si="28"/>
        <v>0</v>
      </c>
      <c r="BE70" s="166">
        <f t="shared" si="28"/>
        <v>0</v>
      </c>
      <c r="BF70" s="166">
        <f t="shared" si="28"/>
        <v>0</v>
      </c>
      <c r="BG70" s="166">
        <f t="shared" si="28"/>
        <v>0</v>
      </c>
      <c r="BH70" s="166">
        <f t="shared" si="28"/>
        <v>0</v>
      </c>
      <c r="BI70" s="166">
        <f t="shared" si="28"/>
        <v>0</v>
      </c>
      <c r="BJ70" s="166">
        <f t="shared" si="28"/>
        <v>0</v>
      </c>
      <c r="BK70" s="166">
        <f t="shared" si="28"/>
        <v>0</v>
      </c>
      <c r="BL70" s="166">
        <f t="shared" si="28"/>
        <v>0</v>
      </c>
      <c r="BM70" s="166">
        <f t="shared" si="28"/>
        <v>0</v>
      </c>
      <c r="BN70" s="166">
        <f t="shared" si="28"/>
        <v>0</v>
      </c>
      <c r="BO70" s="166">
        <f t="shared" si="28"/>
        <v>0</v>
      </c>
      <c r="BP70" s="166">
        <f t="shared" si="28"/>
        <v>0</v>
      </c>
      <c r="BQ70" s="166">
        <f t="shared" si="28"/>
        <v>0</v>
      </c>
      <c r="BR70" s="235"/>
    </row>
    <row r="71" ht="14.25" customHeight="1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/>
      <c r="AL71" s="3"/>
      <c r="AM71" s="3"/>
      <c r="AN71" s="3"/>
      <c r="AO71" s="3"/>
      <c r="AP71" s="3"/>
      <c r="AQ71" s="4"/>
      <c r="AR71" s="132"/>
      <c r="AS71" s="132"/>
      <c r="AT71" s="132"/>
      <c r="AU71" s="132"/>
      <c r="AV71" s="132"/>
      <c r="AW71" s="132"/>
      <c r="AX71" s="132"/>
      <c r="AY71" s="132"/>
      <c r="AZ71" s="4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ht="14.25" customHeight="1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07"/>
      <c r="AQ72" s="210"/>
      <c r="AR72" s="777"/>
      <c r="AS72" s="777"/>
      <c r="AT72" s="777"/>
      <c r="AU72" s="777"/>
      <c r="AV72" s="316"/>
      <c r="AW72" s="316"/>
      <c r="AX72" s="316"/>
      <c r="AY72" s="316"/>
      <c r="AZ72" s="214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</row>
    <row r="73" ht="14.25" customHeight="1">
      <c r="A73" s="132"/>
      <c r="B73" s="215">
        <v>46082</v>
      </c>
      <c r="C73" s="180">
        <f>16955.60-D73-0</f>
      </c>
      <c r="D73" s="181">
        <v>2353.67</v>
      </c>
      <c r="E73" s="182"/>
      <c r="F73" s="182"/>
      <c r="G73" s="216">
        <f ref="G73:G103" t="shared" si="29">+C73+D73+E73+F73</f>
        <v>0</v>
      </c>
      <c r="H73" s="187"/>
      <c r="I73" s="186"/>
      <c r="J73" s="186"/>
      <c r="K73" s="188">
        <v>10534.27</v>
      </c>
      <c r="L73" s="186"/>
      <c r="M73" s="186"/>
      <c r="N73" s="186"/>
      <c r="O73" s="186"/>
      <c r="P73" s="186"/>
      <c r="Q73" s="186"/>
      <c r="R73" s="186"/>
      <c r="S73" s="186"/>
      <c r="T73" s="103">
        <f ref="T73:T103" t="shared" si="30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ref="AG73:AG103" t="shared" si="31">SUM(U73:AF73)</f>
        <v>0</v>
      </c>
      <c r="AH73" s="181">
        <v>1465.48</v>
      </c>
      <c r="AI73" s="181">
        <v>779.68</v>
      </c>
      <c r="AJ73" s="190"/>
      <c r="AK73" s="191">
        <f ref="AK73:AK103" t="shared" si="32">SUM(AH73:AJ73)</f>
        <v>0</v>
      </c>
      <c r="AL73" s="1741">
        <v>164.38</v>
      </c>
      <c r="AM73" s="1741">
        <v>1.43</v>
      </c>
      <c r="AN73" s="186"/>
      <c r="AO73" s="186"/>
      <c r="AP73" s="193"/>
      <c r="AQ73" s="219">
        <f ref="AQ73:AQ76" t="shared" si="33">+G73-T73-AG73-AK73-AL73-AN73-AO73-AP73-AM73</f>
        <v>0</v>
      </c>
      <c r="AR73" s="1721">
        <v>2437.8</v>
      </c>
      <c r="AS73" s="1537"/>
      <c r="AT73" s="1537"/>
      <c r="AU73" s="1721">
        <v>1572.6</v>
      </c>
      <c r="AV73" s="1548"/>
      <c r="AW73" s="1548"/>
      <c r="AX73" s="1548"/>
      <c r="AY73" s="1537"/>
      <c r="AZ73" s="222">
        <f ref="AZ73:AZ103" t="shared" si="34">SUM(AR73:AY73)-AX73</f>
        <v>0</v>
      </c>
      <c r="BA73" s="195">
        <f ref="BA73:BA103" t="shared" si="35">+AQ73-AZ73</f>
        <v>0</v>
      </c>
      <c r="BB73" s="132"/>
      <c r="BC73" s="195">
        <f ref="BC73:BC103" t="shared" si="36">SUM(BD73:BP73)</f>
        <v>0</v>
      </c>
      <c r="BD73" s="196"/>
      <c r="BE73" s="196"/>
      <c r="BF73" s="196"/>
      <c r="BG73" s="196"/>
      <c r="BH73" s="196"/>
      <c r="BI73" s="196"/>
      <c r="BJ73" s="196"/>
      <c r="BK73" s="196"/>
      <c r="BL73" s="196"/>
      <c r="BM73" s="196"/>
      <c r="BN73" s="196"/>
      <c r="BO73" s="196"/>
      <c r="BP73" s="196"/>
      <c r="BQ73" s="116">
        <f ref="BQ73:BQ103" t="shared" si="37">+BA73-BC73</f>
        <v>0</v>
      </c>
      <c r="BR73" s="132"/>
    </row>
    <row r="74" ht="14.25" customHeight="1">
      <c r="A74" s="3"/>
      <c r="B74" s="215">
        <v>46083</v>
      </c>
      <c r="C74" s="118">
        <f>16416.40-D74-0</f>
      </c>
      <c r="D74" s="119">
        <v>2273.01</v>
      </c>
      <c r="E74" s="120"/>
      <c r="F74" s="120"/>
      <c r="G74" s="147">
        <f t="shared" si="29"/>
        <v>0</v>
      </c>
      <c r="H74" s="144"/>
      <c r="I74" s="143"/>
      <c r="J74" s="143"/>
      <c r="K74" s="145">
        <v>9387.37</v>
      </c>
      <c r="L74" s="143"/>
      <c r="M74" s="143"/>
      <c r="N74" s="143"/>
      <c r="O74" s="143"/>
      <c r="P74" s="143"/>
      <c r="Q74" s="143"/>
      <c r="R74" s="143"/>
      <c r="S74" s="143"/>
      <c r="T74" s="103">
        <f t="shared" si="30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31"/>
        <v>0</v>
      </c>
      <c r="AH74" s="119">
        <v>1472.01</v>
      </c>
      <c r="AI74" s="119">
        <v>565.49</v>
      </c>
      <c r="AJ74" s="123"/>
      <c r="AK74" s="105">
        <f t="shared" si="32"/>
        <v>0</v>
      </c>
      <c r="AL74" s="1744">
        <v>212.97</v>
      </c>
      <c r="AM74" s="1744">
        <v>2.71</v>
      </c>
      <c r="AN74" s="143"/>
      <c r="AO74" s="143"/>
      <c r="AP74" s="146"/>
      <c r="AQ74" s="224">
        <f t="shared" si="33"/>
        <v>0</v>
      </c>
      <c r="AR74" s="1554">
        <v>3121.1</v>
      </c>
      <c r="AS74" s="1546"/>
      <c r="AT74" s="1546"/>
      <c r="AU74" s="1554">
        <v>1654.9</v>
      </c>
      <c r="AV74" s="1548"/>
      <c r="AW74" s="1548"/>
      <c r="AX74" s="1548"/>
      <c r="AY74" s="1546"/>
      <c r="AZ74" s="222">
        <f t="shared" si="34"/>
        <v>0</v>
      </c>
      <c r="BA74" s="113">
        <f t="shared" si="35"/>
        <v>0</v>
      </c>
      <c r="BB74" s="3"/>
      <c r="BC74" s="113">
        <f t="shared" si="36"/>
        <v>0</v>
      </c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30">
        <f t="shared" si="37"/>
        <v>0</v>
      </c>
      <c r="BR74" s="3"/>
    </row>
    <row r="75" ht="14.25" customHeight="1">
      <c r="A75" s="3"/>
      <c r="B75" s="215">
        <v>46084</v>
      </c>
      <c r="C75" s="118">
        <f>14958.03-D75-0</f>
      </c>
      <c r="D75" s="119">
        <v>2472.95</v>
      </c>
      <c r="E75" s="120"/>
      <c r="F75" s="120"/>
      <c r="G75" s="147">
        <f t="shared" si="29"/>
        <v>0</v>
      </c>
      <c r="H75" s="144"/>
      <c r="I75" s="145">
        <v>166.46</v>
      </c>
      <c r="J75" s="143"/>
      <c r="K75" s="149">
        <v>8695.79</v>
      </c>
      <c r="L75" s="1005"/>
      <c r="M75" s="144"/>
      <c r="N75" s="143"/>
      <c r="O75" s="143"/>
      <c r="P75" s="143"/>
      <c r="Q75" s="143"/>
      <c r="R75" s="143"/>
      <c r="S75" s="143"/>
      <c r="T75" s="103">
        <f t="shared" si="30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31"/>
        <v>0</v>
      </c>
      <c r="AH75" s="119">
        <v>1337.39</v>
      </c>
      <c r="AI75" s="119">
        <v>685.38</v>
      </c>
      <c r="AJ75" s="123"/>
      <c r="AK75" s="105">
        <f t="shared" si="32"/>
        <v>0</v>
      </c>
      <c r="AL75" s="1744">
        <v>156.21</v>
      </c>
      <c r="AM75" s="1744">
        <v>4.41</v>
      </c>
      <c r="AN75" s="143"/>
      <c r="AO75" s="143"/>
      <c r="AP75" s="146"/>
      <c r="AQ75" s="224">
        <f t="shared" si="33"/>
        <v>0</v>
      </c>
      <c r="AR75" s="1554">
        <v>2120</v>
      </c>
      <c r="AS75" s="1546"/>
      <c r="AT75" s="1546"/>
      <c r="AU75" s="1554">
        <v>1793.2</v>
      </c>
      <c r="AV75" s="1548"/>
      <c r="AW75" s="1548"/>
      <c r="AX75" s="1548"/>
      <c r="AY75" s="1546"/>
      <c r="AZ75" s="222">
        <f t="shared" si="34"/>
        <v>0</v>
      </c>
      <c r="BA75" s="113">
        <f t="shared" si="35"/>
        <v>0</v>
      </c>
      <c r="BB75" s="3"/>
      <c r="BC75" s="113">
        <f t="shared" si="36"/>
        <v>0</v>
      </c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30">
        <f t="shared" si="37"/>
        <v>0</v>
      </c>
      <c r="BR75" s="3"/>
    </row>
    <row r="76" ht="14.25" customHeight="1">
      <c r="A76" s="3"/>
      <c r="B76" s="215">
        <v>46085</v>
      </c>
      <c r="C76" s="118">
        <f>17074.22-D76-0</f>
      </c>
      <c r="D76" s="119">
        <v>4464.31</v>
      </c>
      <c r="E76" s="120"/>
      <c r="F76" s="120"/>
      <c r="G76" s="147">
        <f t="shared" si="29"/>
        <v>0</v>
      </c>
      <c r="H76" s="144"/>
      <c r="I76" s="145">
        <v>167.39</v>
      </c>
      <c r="J76" s="143"/>
      <c r="K76" s="143">
        <v>9911.37</v>
      </c>
      <c r="L76" s="143"/>
      <c r="M76" s="143"/>
      <c r="N76" s="143"/>
      <c r="O76" s="143"/>
      <c r="P76" s="143"/>
      <c r="Q76" s="143"/>
      <c r="R76" s="143"/>
      <c r="S76" s="143"/>
      <c r="T76" s="103">
        <f t="shared" si="30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31"/>
        <v>0</v>
      </c>
      <c r="AH76" s="119">
        <v>982.88</v>
      </c>
      <c r="AI76" s="119">
        <v>798.6</v>
      </c>
      <c r="AJ76" s="123"/>
      <c r="AK76" s="105">
        <f t="shared" si="32"/>
        <v>0</v>
      </c>
      <c r="AL76" s="1744">
        <v>37.62</v>
      </c>
      <c r="AM76" s="1744">
        <v>0.45</v>
      </c>
      <c r="AN76" s="143"/>
      <c r="AO76" s="143"/>
      <c r="AP76" s="146"/>
      <c r="AQ76" s="224">
        <f t="shared" si="33"/>
        <v>0</v>
      </c>
      <c r="AR76" s="1554">
        <v>1511.3</v>
      </c>
      <c r="AS76" s="1546"/>
      <c r="AT76" s="1546"/>
      <c r="AU76" s="1554">
        <v>3703.3</v>
      </c>
      <c r="AV76" s="1548"/>
      <c r="AW76" s="1548"/>
      <c r="AX76" s="1548"/>
      <c r="AY76" s="1546"/>
      <c r="AZ76" s="222">
        <f t="shared" si="34"/>
        <v>0</v>
      </c>
      <c r="BA76" s="113">
        <f t="shared" si="35"/>
        <v>0</v>
      </c>
      <c r="BB76" s="3"/>
      <c r="BC76" s="113">
        <f t="shared" si="36"/>
        <v>0</v>
      </c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30">
        <f t="shared" si="37"/>
        <v>0</v>
      </c>
      <c r="BR76" s="3"/>
    </row>
    <row r="77" ht="14.25" customHeight="1">
      <c r="A77" s="3"/>
      <c r="B77" s="215">
        <v>46086</v>
      </c>
      <c r="C77" s="118">
        <f>24492.93-D77-0</f>
      </c>
      <c r="D77" s="119">
        <v>7474.38</v>
      </c>
      <c r="E77" s="120"/>
      <c r="F77" s="120"/>
      <c r="G77" s="147">
        <f t="shared" si="29"/>
        <v>0</v>
      </c>
      <c r="H77" s="144"/>
      <c r="I77" s="143"/>
      <c r="J77" s="143"/>
      <c r="K77" s="145">
        <v>13200.63</v>
      </c>
      <c r="L77" s="143"/>
      <c r="M77" s="143"/>
      <c r="N77" s="143"/>
      <c r="O77" s="143"/>
      <c r="P77" s="143"/>
      <c r="Q77" s="143"/>
      <c r="R77" s="143"/>
      <c r="S77" s="143"/>
      <c r="T77" s="103">
        <f t="shared" si="30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31"/>
        <v>0</v>
      </c>
      <c r="AH77" s="119">
        <v>1019.01</v>
      </c>
      <c r="AI77" s="119">
        <v>1781.05</v>
      </c>
      <c r="AJ77" s="123"/>
      <c r="AK77" s="105">
        <f t="shared" si="32"/>
        <v>0</v>
      </c>
      <c r="AL77" s="1744">
        <v>44.54</v>
      </c>
      <c r="AM77" s="1744"/>
      <c r="AN77" s="143"/>
      <c r="AO77" s="143"/>
      <c r="AP77" s="146"/>
      <c r="AQ77" s="224">
        <f ref="AQ77:AQ103" t="shared" si="38">+G77-T77-AG77-AK77-AL77-AN77-AO77-AP77</f>
        <v>0</v>
      </c>
      <c r="AR77" s="1554">
        <v>2754.5</v>
      </c>
      <c r="AS77" s="1546"/>
      <c r="AT77" s="1546"/>
      <c r="AU77" s="1554">
        <v>5693.5</v>
      </c>
      <c r="AV77" s="1548"/>
      <c r="AW77" s="1548"/>
      <c r="AX77" s="1548"/>
      <c r="AY77" s="1546"/>
      <c r="AZ77" s="222">
        <f t="shared" si="34"/>
        <v>0</v>
      </c>
      <c r="BA77" s="113">
        <f t="shared" si="35"/>
        <v>0</v>
      </c>
      <c r="BB77" s="3"/>
      <c r="BC77" s="113">
        <f t="shared" si="36"/>
        <v>0</v>
      </c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30">
        <f t="shared" si="37"/>
        <v>0</v>
      </c>
      <c r="BR77" s="3"/>
    </row>
    <row r="78" ht="14.25" customHeight="1">
      <c r="A78" s="3"/>
      <c r="B78" s="215">
        <v>46087</v>
      </c>
      <c r="C78" s="118">
        <f>21547.68-D78-0</f>
      </c>
      <c r="D78" s="119">
        <v>1972.78</v>
      </c>
      <c r="E78" s="120"/>
      <c r="F78" s="120"/>
      <c r="G78" s="147">
        <f t="shared" si="29"/>
        <v>0</v>
      </c>
      <c r="H78" s="144"/>
      <c r="I78" s="143"/>
      <c r="J78" s="143"/>
      <c r="K78" s="145">
        <v>5870.88</v>
      </c>
      <c r="L78" s="143"/>
      <c r="M78" s="143"/>
      <c r="N78" s="143"/>
      <c r="O78" s="143"/>
      <c r="P78" s="143"/>
      <c r="Q78" s="143"/>
      <c r="R78" s="143"/>
      <c r="S78" s="143"/>
      <c r="T78" s="103">
        <f t="shared" si="30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31"/>
        <v>0</v>
      </c>
      <c r="AH78" s="119">
        <v>5794.82</v>
      </c>
      <c r="AI78" s="119">
        <v>540.61</v>
      </c>
      <c r="AJ78" s="123"/>
      <c r="AK78" s="105">
        <f t="shared" si="32"/>
        <v>0</v>
      </c>
      <c r="AL78" s="1745"/>
      <c r="AM78" s="1745"/>
      <c r="AN78" s="143"/>
      <c r="AO78" s="143"/>
      <c r="AP78" s="146"/>
      <c r="AQ78" s="224">
        <f t="shared" si="38"/>
        <v>0</v>
      </c>
      <c r="AR78" s="1554"/>
      <c r="AS78" s="1626"/>
      <c r="AT78" s="1546"/>
      <c r="AU78" s="1554"/>
      <c r="AV78" s="1548"/>
      <c r="AW78" s="1548"/>
      <c r="AX78" s="1548"/>
      <c r="AY78" s="1546"/>
      <c r="AZ78" s="222">
        <f t="shared" si="34"/>
        <v>0</v>
      </c>
      <c r="BA78" s="113">
        <f t="shared" si="35"/>
        <v>0</v>
      </c>
      <c r="BB78" s="3"/>
      <c r="BC78" s="113">
        <f t="shared" si="36"/>
        <v>0</v>
      </c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30">
        <f t="shared" si="37"/>
        <v>0</v>
      </c>
      <c r="BR78" s="3"/>
    </row>
    <row r="79" ht="14.25" customHeight="1">
      <c r="A79" s="3"/>
      <c r="B79" s="215">
        <v>46088</v>
      </c>
      <c r="C79" s="118">
        <f>16655.65-D79-0</f>
      </c>
      <c r="D79" s="119">
        <v>2681.03</v>
      </c>
      <c r="E79" s="120"/>
      <c r="F79" s="120"/>
      <c r="G79" s="147">
        <f t="shared" si="29"/>
        <v>0</v>
      </c>
      <c r="H79" s="144"/>
      <c r="I79" s="145">
        <v>338.53</v>
      </c>
      <c r="J79" s="143"/>
      <c r="K79" s="145">
        <v>9918.42</v>
      </c>
      <c r="L79" s="143"/>
      <c r="M79" s="143"/>
      <c r="N79" s="143"/>
      <c r="O79" s="143"/>
      <c r="P79" s="143"/>
      <c r="Q79" s="143"/>
      <c r="R79" s="143"/>
      <c r="S79" s="143"/>
      <c r="T79" s="103">
        <f t="shared" si="30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31"/>
        <v>0</v>
      </c>
      <c r="AH79" s="119">
        <v>2202.25</v>
      </c>
      <c r="AI79" s="119">
        <v>867.32</v>
      </c>
      <c r="AJ79" s="123"/>
      <c r="AK79" s="105">
        <f t="shared" si="32"/>
        <v>0</v>
      </c>
      <c r="AL79" s="1745"/>
      <c r="AM79" s="1745"/>
      <c r="AN79" s="143"/>
      <c r="AO79" s="143"/>
      <c r="AP79" s="146"/>
      <c r="AQ79" s="224">
        <f t="shared" si="38"/>
        <v>0</v>
      </c>
      <c r="AR79" s="1554">
        <v>1265.5</v>
      </c>
      <c r="AS79" s="1546"/>
      <c r="AT79" s="1546"/>
      <c r="AU79" s="1554">
        <v>1813.8</v>
      </c>
      <c r="AV79" s="1548"/>
      <c r="AW79" s="1548"/>
      <c r="AX79" s="1548"/>
      <c r="AY79" s="1546"/>
      <c r="AZ79" s="222">
        <f t="shared" si="34"/>
        <v>0</v>
      </c>
      <c r="BA79" s="113">
        <f t="shared" si="35"/>
        <v>0</v>
      </c>
      <c r="BB79" s="3"/>
      <c r="BC79" s="113">
        <f t="shared" si="36"/>
        <v>0</v>
      </c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31"/>
      <c r="BO79" s="129">
        <v>250</v>
      </c>
      <c r="BP79" s="129"/>
      <c r="BQ79" s="130">
        <f t="shared" si="37"/>
        <v>0</v>
      </c>
      <c r="BR79" s="3"/>
    </row>
    <row r="80" ht="14.25" customHeight="1">
      <c r="A80" s="3"/>
      <c r="B80" s="215">
        <v>46089</v>
      </c>
      <c r="C80" s="118">
        <f>27374.20-D80-0</f>
      </c>
      <c r="D80" s="119">
        <v>14903.14</v>
      </c>
      <c r="E80" s="120"/>
      <c r="F80" s="120"/>
      <c r="G80" s="147">
        <f t="shared" si="29"/>
        <v>0</v>
      </c>
      <c r="H80" s="144"/>
      <c r="I80" s="143"/>
      <c r="J80" s="143"/>
      <c r="K80" s="145">
        <v>11246.89</v>
      </c>
      <c r="L80" s="143"/>
      <c r="M80" s="143"/>
      <c r="N80" s="143"/>
      <c r="O80" s="143"/>
      <c r="P80" s="143"/>
      <c r="Q80" s="143"/>
      <c r="R80" s="143"/>
      <c r="S80" s="143"/>
      <c r="T80" s="103">
        <f t="shared" si="30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31"/>
        <v>0</v>
      </c>
      <c r="AH80" s="119">
        <v>594.22</v>
      </c>
      <c r="AI80" s="119">
        <v>4059.27</v>
      </c>
      <c r="AJ80" s="123"/>
      <c r="AK80" s="105">
        <f t="shared" si="32"/>
        <v>0</v>
      </c>
      <c r="AL80" s="1745"/>
      <c r="AM80" s="1745"/>
      <c r="AN80" s="143"/>
      <c r="AO80" s="143"/>
      <c r="AP80" s="146"/>
      <c r="AQ80" s="224">
        <f t="shared" si="38"/>
        <v>0</v>
      </c>
      <c r="AR80" s="1554">
        <v>630</v>
      </c>
      <c r="AS80" s="1546"/>
      <c r="AT80" s="1546"/>
      <c r="AU80" s="1554">
        <v>10843.9</v>
      </c>
      <c r="AV80" s="1548"/>
      <c r="AW80" s="1548"/>
      <c r="AX80" s="1548"/>
      <c r="AY80" s="1546"/>
      <c r="AZ80" s="222">
        <f t="shared" si="34"/>
        <v>0</v>
      </c>
      <c r="BA80" s="113">
        <f t="shared" si="35"/>
        <v>0</v>
      </c>
      <c r="BB80" s="3"/>
      <c r="BC80" s="113">
        <f t="shared" si="36"/>
        <v>0</v>
      </c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30">
        <f t="shared" si="37"/>
        <v>0</v>
      </c>
      <c r="BR80" s="3"/>
    </row>
    <row r="81" ht="14.25" customHeight="1">
      <c r="A81" s="3"/>
      <c r="B81" s="215">
        <v>46090</v>
      </c>
      <c r="C81" s="228">
        <f>22104.32-D81-0</f>
      </c>
      <c r="D81" s="119"/>
      <c r="E81" s="120"/>
      <c r="F81" s="120"/>
      <c r="G81" s="147">
        <f t="shared" si="29"/>
        <v>0</v>
      </c>
      <c r="H81" s="144"/>
      <c r="I81" s="143"/>
      <c r="J81" s="143"/>
      <c r="K81" s="145">
        <v>20640.27</v>
      </c>
      <c r="L81" s="143"/>
      <c r="M81" s="143"/>
      <c r="N81" s="143"/>
      <c r="O81" s="143"/>
      <c r="P81" s="143"/>
      <c r="Q81" s="143"/>
      <c r="R81" s="143"/>
      <c r="S81" s="143"/>
      <c r="T81" s="103">
        <f t="shared" si="30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31"/>
        <v>0</v>
      </c>
      <c r="AH81" s="119">
        <v>635.98</v>
      </c>
      <c r="AI81" s="119"/>
      <c r="AJ81" s="123"/>
      <c r="AK81" s="105">
        <f t="shared" si="32"/>
        <v>0</v>
      </c>
      <c r="AL81" s="1745"/>
      <c r="AM81" s="1745"/>
      <c r="AN81" s="143"/>
      <c r="AO81" s="143"/>
      <c r="AP81" s="146"/>
      <c r="AQ81" s="224">
        <f t="shared" si="38"/>
        <v>0</v>
      </c>
      <c r="AR81" s="1554">
        <v>828.1</v>
      </c>
      <c r="AS81" s="1546"/>
      <c r="AT81" s="1546"/>
      <c r="AU81" s="1626"/>
      <c r="AV81" s="1548"/>
      <c r="AW81" s="1548"/>
      <c r="AX81" s="1548"/>
      <c r="AY81" s="1546"/>
      <c r="AZ81" s="222">
        <f t="shared" si="34"/>
        <v>0</v>
      </c>
      <c r="BA81" s="113">
        <f t="shared" si="35"/>
        <v>0</v>
      </c>
      <c r="BB81" s="3"/>
      <c r="BC81" s="113">
        <f t="shared" si="36"/>
        <v>0</v>
      </c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30">
        <f t="shared" si="37"/>
        <v>0</v>
      </c>
      <c r="BR81" s="3"/>
    </row>
    <row r="82" ht="14.25" customHeight="1">
      <c r="A82" s="132"/>
      <c r="B82" s="215">
        <v>46091</v>
      </c>
      <c r="C82" s="230">
        <f>14124.71-D82-0</f>
      </c>
      <c r="D82" s="134"/>
      <c r="E82" s="135"/>
      <c r="F82" s="135"/>
      <c r="G82" s="147">
        <f t="shared" si="29"/>
        <v>0</v>
      </c>
      <c r="H82" s="144"/>
      <c r="I82" s="143"/>
      <c r="J82" s="143"/>
      <c r="K82" s="145">
        <v>11132.65</v>
      </c>
      <c r="L82" s="143"/>
      <c r="M82" s="143"/>
      <c r="N82" s="143"/>
      <c r="O82" s="143"/>
      <c r="P82" s="143"/>
      <c r="Q82" s="143"/>
      <c r="R82" s="143"/>
      <c r="S82" s="143"/>
      <c r="T82" s="103">
        <f t="shared" si="30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31"/>
        <v>0</v>
      </c>
      <c r="AH82" s="134">
        <v>639.37</v>
      </c>
      <c r="AI82" s="134"/>
      <c r="AJ82" s="136"/>
      <c r="AK82" s="105">
        <f t="shared" si="32"/>
        <v>0</v>
      </c>
      <c r="AL82" s="1745"/>
      <c r="AM82" s="1745"/>
      <c r="AN82" s="143"/>
      <c r="AO82" s="143"/>
      <c r="AP82" s="146"/>
      <c r="AQ82" s="224">
        <f t="shared" si="38"/>
        <v>0</v>
      </c>
      <c r="AR82" s="1554">
        <v>2352.8</v>
      </c>
      <c r="AS82" s="1546"/>
      <c r="AT82" s="1546"/>
      <c r="AU82" s="1626"/>
      <c r="AV82" s="1548"/>
      <c r="AW82" s="1548"/>
      <c r="AX82" s="1548"/>
      <c r="AY82" s="1546"/>
      <c r="AZ82" s="222">
        <f t="shared" si="34"/>
        <v>0</v>
      </c>
      <c r="BA82" s="140">
        <f t="shared" si="35"/>
        <v>0</v>
      </c>
      <c r="BB82" s="132"/>
      <c r="BC82" s="140">
        <f t="shared" si="36"/>
        <v>0</v>
      </c>
      <c r="BD82" s="141"/>
      <c r="BE82" s="141"/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30">
        <f t="shared" si="37"/>
        <v>0</v>
      </c>
      <c r="BR82" s="132"/>
    </row>
    <row r="83" ht="14.25" customHeight="1">
      <c r="A83" s="132"/>
      <c r="B83" s="215">
        <v>46092</v>
      </c>
      <c r="C83" s="230">
        <f>13343.68-D83-0</f>
      </c>
      <c r="D83" s="134"/>
      <c r="E83" s="135"/>
      <c r="F83" s="135"/>
      <c r="G83" s="147">
        <f t="shared" si="29"/>
        <v>0</v>
      </c>
      <c r="H83" s="144"/>
      <c r="I83" s="143"/>
      <c r="J83" s="143"/>
      <c r="K83" s="145">
        <v>11175.92</v>
      </c>
      <c r="L83" s="143"/>
      <c r="M83" s="143"/>
      <c r="N83" s="143"/>
      <c r="O83" s="143"/>
      <c r="P83" s="143"/>
      <c r="Q83" s="143"/>
      <c r="R83" s="143"/>
      <c r="S83" s="143"/>
      <c r="T83" s="103">
        <f t="shared" si="30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31"/>
        <v>0</v>
      </c>
      <c r="AH83" s="134">
        <v>385.79</v>
      </c>
      <c r="AI83" s="134"/>
      <c r="AJ83" s="136"/>
      <c r="AK83" s="105">
        <f t="shared" si="32"/>
        <v>0</v>
      </c>
      <c r="AL83" s="1745"/>
      <c r="AM83" s="1745"/>
      <c r="AN83" s="143"/>
      <c r="AO83" s="143"/>
      <c r="AP83" s="146"/>
      <c r="AQ83" s="224">
        <f t="shared" si="38"/>
        <v>0</v>
      </c>
      <c r="AR83" s="1554">
        <v>1782.1</v>
      </c>
      <c r="AS83" s="1546"/>
      <c r="AT83" s="1546"/>
      <c r="AU83" s="1626"/>
      <c r="AV83" s="1548"/>
      <c r="AW83" s="1548"/>
      <c r="AX83" s="1548"/>
      <c r="AY83" s="1546"/>
      <c r="AZ83" s="222">
        <f t="shared" si="34"/>
        <v>0</v>
      </c>
      <c r="BA83" s="140">
        <f t="shared" si="35"/>
        <v>0</v>
      </c>
      <c r="BB83" s="132"/>
      <c r="BC83" s="140">
        <f t="shared" si="36"/>
        <v>0</v>
      </c>
      <c r="BD83" s="141"/>
      <c r="BE83" s="141"/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30">
        <f t="shared" si="37"/>
        <v>0</v>
      </c>
      <c r="BR83" s="132"/>
    </row>
    <row r="84" ht="14.25" customHeight="1">
      <c r="A84" s="132"/>
      <c r="B84" s="215">
        <v>46093</v>
      </c>
      <c r="C84" s="230">
        <f>7176.89-D84-0</f>
      </c>
      <c r="D84" s="134"/>
      <c r="E84" s="135"/>
      <c r="F84" s="135"/>
      <c r="G84" s="147">
        <f t="shared" si="29"/>
        <v>0</v>
      </c>
      <c r="H84" s="144"/>
      <c r="I84" s="143"/>
      <c r="J84" s="143"/>
      <c r="K84" s="145">
        <v>5989.01</v>
      </c>
      <c r="L84" s="143"/>
      <c r="M84" s="143"/>
      <c r="N84" s="143"/>
      <c r="O84" s="143"/>
      <c r="P84" s="143"/>
      <c r="Q84" s="143"/>
      <c r="R84" s="143"/>
      <c r="S84" s="143"/>
      <c r="T84" s="103">
        <f t="shared" si="30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31"/>
        <v>0</v>
      </c>
      <c r="AH84" s="134">
        <v>169.49</v>
      </c>
      <c r="AI84" s="134"/>
      <c r="AJ84" s="136"/>
      <c r="AK84" s="105">
        <f t="shared" si="32"/>
        <v>0</v>
      </c>
      <c r="AL84" s="1745"/>
      <c r="AM84" s="1745"/>
      <c r="AN84" s="143"/>
      <c r="AO84" s="143"/>
      <c r="AP84" s="146"/>
      <c r="AQ84" s="224">
        <f t="shared" si="38"/>
        <v>0</v>
      </c>
      <c r="AR84" s="1554">
        <v>1019</v>
      </c>
      <c r="AS84" s="1546"/>
      <c r="AT84" s="1546"/>
      <c r="AU84" s="1626"/>
      <c r="AV84" s="1548"/>
      <c r="AW84" s="1548"/>
      <c r="AX84" s="1548"/>
      <c r="AY84" s="1546"/>
      <c r="AZ84" s="222">
        <f t="shared" si="34"/>
        <v>0</v>
      </c>
      <c r="BA84" s="140">
        <f t="shared" si="35"/>
        <v>0</v>
      </c>
      <c r="BB84" s="132"/>
      <c r="BC84" s="140">
        <f t="shared" si="36"/>
        <v>0</v>
      </c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30">
        <f t="shared" si="37"/>
        <v>0</v>
      </c>
      <c r="BR84" s="132"/>
    </row>
    <row r="85" ht="14.25" customHeight="1">
      <c r="A85" s="132"/>
      <c r="B85" s="215">
        <v>46094</v>
      </c>
      <c r="C85" s="230">
        <f>20506.97-D85-0</f>
      </c>
      <c r="D85" s="134"/>
      <c r="E85" s="135"/>
      <c r="F85" s="135"/>
      <c r="G85" s="147">
        <f t="shared" si="29"/>
        <v>0</v>
      </c>
      <c r="H85" s="144"/>
      <c r="I85" s="145">
        <v>338.87</v>
      </c>
      <c r="J85" s="143"/>
      <c r="K85" s="145">
        <v>18461.84</v>
      </c>
      <c r="L85" s="143"/>
      <c r="M85" s="143"/>
      <c r="N85" s="143"/>
      <c r="O85" s="143"/>
      <c r="P85" s="143"/>
      <c r="Q85" s="143"/>
      <c r="R85" s="143"/>
      <c r="S85" s="143"/>
      <c r="T85" s="103">
        <f t="shared" si="30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31"/>
        <v>0</v>
      </c>
      <c r="AH85" s="134">
        <v>671.85</v>
      </c>
      <c r="AI85" s="134"/>
      <c r="AJ85" s="136"/>
      <c r="AK85" s="105">
        <f t="shared" si="32"/>
        <v>0</v>
      </c>
      <c r="AL85" s="1745"/>
      <c r="AM85" s="1745"/>
      <c r="AN85" s="143"/>
      <c r="AO85" s="143"/>
      <c r="AP85" s="146"/>
      <c r="AQ85" s="224">
        <f t="shared" si="38"/>
        <v>0</v>
      </c>
      <c r="AR85" s="1554">
        <v>1034.6</v>
      </c>
      <c r="AS85" s="1546"/>
      <c r="AT85" s="1546"/>
      <c r="AU85" s="1626"/>
      <c r="AV85" s="1548"/>
      <c r="AW85" s="1548"/>
      <c r="AX85" s="1548"/>
      <c r="AY85" s="1546"/>
      <c r="AZ85" s="222">
        <f t="shared" si="34"/>
        <v>0</v>
      </c>
      <c r="BA85" s="140">
        <f t="shared" si="35"/>
        <v>0</v>
      </c>
      <c r="BB85" s="132"/>
      <c r="BC85" s="140">
        <f t="shared" si="36"/>
        <v>0</v>
      </c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30">
        <f t="shared" si="37"/>
        <v>0</v>
      </c>
      <c r="BR85" s="132"/>
    </row>
    <row r="86" ht="14.25" customHeight="1">
      <c r="A86" s="132"/>
      <c r="B86" s="215">
        <v>46095</v>
      </c>
      <c r="C86" s="230">
        <f>23348.22-D86-0</f>
      </c>
      <c r="D86" s="134"/>
      <c r="E86" s="135"/>
      <c r="F86" s="135"/>
      <c r="G86" s="147">
        <f t="shared" si="29"/>
        <v>0</v>
      </c>
      <c r="H86" s="144"/>
      <c r="I86" s="143"/>
      <c r="J86" s="143"/>
      <c r="K86" s="145">
        <v>9794.79</v>
      </c>
      <c r="L86" s="143"/>
      <c r="M86" s="143"/>
      <c r="N86" s="143"/>
      <c r="O86" s="143"/>
      <c r="P86" s="143"/>
      <c r="Q86" s="143"/>
      <c r="R86" s="143"/>
      <c r="S86" s="143"/>
      <c r="T86" s="103">
        <f t="shared" si="30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31"/>
        <v>0</v>
      </c>
      <c r="AH86" s="134">
        <v>822.62</v>
      </c>
      <c r="AI86" s="134"/>
      <c r="AJ86" s="136"/>
      <c r="AK86" s="105">
        <f t="shared" si="32"/>
        <v>0</v>
      </c>
      <c r="AL86" s="1744">
        <v>766.4</v>
      </c>
      <c r="AM86" s="1745"/>
      <c r="AN86" s="143"/>
      <c r="AO86" s="143"/>
      <c r="AP86" s="146"/>
      <c r="AQ86" s="224">
        <f t="shared" si="38"/>
        <v>0</v>
      </c>
      <c r="AR86" s="1554"/>
      <c r="AS86" s="1626"/>
      <c r="AT86" s="1546"/>
      <c r="AU86" s="1626"/>
      <c r="AV86" s="1548"/>
      <c r="AW86" s="1548"/>
      <c r="AX86" s="1548"/>
      <c r="AY86" s="1546"/>
      <c r="AZ86" s="222">
        <f t="shared" si="34"/>
        <v>0</v>
      </c>
      <c r="BA86" s="140">
        <f t="shared" si="35"/>
        <v>0</v>
      </c>
      <c r="BB86" s="132"/>
      <c r="BC86" s="140">
        <f t="shared" si="36"/>
        <v>0</v>
      </c>
      <c r="BD86" s="141"/>
      <c r="BE86" s="141"/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30">
        <f t="shared" si="37"/>
        <v>0</v>
      </c>
      <c r="BR86" s="132"/>
    </row>
    <row r="87" ht="14.25" customHeight="1">
      <c r="A87" s="132"/>
      <c r="B87" s="215">
        <v>46096</v>
      </c>
      <c r="C87" s="230">
        <f>22856.02-D87-0</f>
      </c>
      <c r="D87" s="134"/>
      <c r="E87" s="135"/>
      <c r="F87" s="135"/>
      <c r="G87" s="147">
        <f t="shared" si="29"/>
        <v>0</v>
      </c>
      <c r="H87" s="144"/>
      <c r="I87" s="143"/>
      <c r="J87" s="143"/>
      <c r="K87" s="145">
        <v>16885.4</v>
      </c>
      <c r="L87" s="143"/>
      <c r="M87" s="143"/>
      <c r="N87" s="143"/>
      <c r="O87" s="143"/>
      <c r="P87" s="143"/>
      <c r="Q87" s="143"/>
      <c r="R87" s="143"/>
      <c r="S87" s="143"/>
      <c r="T87" s="103">
        <f t="shared" si="30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31"/>
        <v>0</v>
      </c>
      <c r="AH87" s="134">
        <v>2739.03</v>
      </c>
      <c r="AI87" s="134"/>
      <c r="AJ87" s="136"/>
      <c r="AK87" s="105">
        <f t="shared" si="32"/>
        <v>0</v>
      </c>
      <c r="AL87" s="1744">
        <v>491.14</v>
      </c>
      <c r="AM87" s="1745"/>
      <c r="AN87" s="143"/>
      <c r="AO87" s="143"/>
      <c r="AP87" s="146"/>
      <c r="AQ87" s="224">
        <f t="shared" si="38"/>
        <v>0</v>
      </c>
      <c r="AR87" s="1554">
        <v>2740.5</v>
      </c>
      <c r="AS87" s="1546"/>
      <c r="AT87" s="1546"/>
      <c r="AU87" s="1626"/>
      <c r="AV87" s="1548"/>
      <c r="AW87" s="1548"/>
      <c r="AX87" s="1548"/>
      <c r="AY87" s="1546"/>
      <c r="AZ87" s="222">
        <f t="shared" si="34"/>
        <v>0</v>
      </c>
      <c r="BA87" s="140">
        <f t="shared" si="35"/>
        <v>0</v>
      </c>
      <c r="BB87" s="132"/>
      <c r="BC87" s="140">
        <f t="shared" si="36"/>
        <v>0</v>
      </c>
      <c r="BD87" s="141"/>
      <c r="BE87" s="141"/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30">
        <f t="shared" si="37"/>
        <v>0</v>
      </c>
      <c r="BR87" s="132"/>
    </row>
    <row r="88" ht="14.25" customHeight="1">
      <c r="A88" s="132"/>
      <c r="B88" s="215">
        <v>46097</v>
      </c>
      <c r="C88" s="133">
        <f>23990.39-D88-0</f>
      </c>
      <c r="D88" s="134">
        <v>1441.53</v>
      </c>
      <c r="E88" s="135"/>
      <c r="F88" s="135"/>
      <c r="G88" s="147">
        <f t="shared" si="29"/>
        <v>0</v>
      </c>
      <c r="H88" s="144"/>
      <c r="I88" s="143"/>
      <c r="J88" s="143"/>
      <c r="K88" s="145">
        <v>18501.04</v>
      </c>
      <c r="L88" s="143"/>
      <c r="M88" s="143"/>
      <c r="N88" s="143"/>
      <c r="O88" s="143"/>
      <c r="P88" s="143"/>
      <c r="Q88" s="143"/>
      <c r="R88" s="143"/>
      <c r="S88" s="143"/>
      <c r="T88" s="103">
        <f t="shared" si="30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31"/>
        <v>0</v>
      </c>
      <c r="AH88" s="134">
        <v>656.28</v>
      </c>
      <c r="AI88" s="134">
        <v>487.6</v>
      </c>
      <c r="AJ88" s="136"/>
      <c r="AK88" s="105">
        <f t="shared" si="32"/>
        <v>0</v>
      </c>
      <c r="AL88" s="1744">
        <v>300.15</v>
      </c>
      <c r="AM88" s="1745"/>
      <c r="AN88" s="143"/>
      <c r="AO88" s="143"/>
      <c r="AP88" s="146"/>
      <c r="AQ88" s="224">
        <f t="shared" si="38"/>
        <v>0</v>
      </c>
      <c r="AR88" s="1554">
        <v>2901.5</v>
      </c>
      <c r="AS88" s="1546"/>
      <c r="AT88" s="1546"/>
      <c r="AU88" s="1554">
        <v>954</v>
      </c>
      <c r="AV88" s="1548"/>
      <c r="AW88" s="1548"/>
      <c r="AX88" s="1548"/>
      <c r="AY88" s="1546"/>
      <c r="AZ88" s="222">
        <f t="shared" si="34"/>
        <v>0</v>
      </c>
      <c r="BA88" s="140">
        <f t="shared" si="35"/>
        <v>0</v>
      </c>
      <c r="BB88" s="132"/>
      <c r="BC88" s="140">
        <f t="shared" si="36"/>
        <v>0</v>
      </c>
      <c r="BD88" s="141"/>
      <c r="BE88" s="141"/>
      <c r="BF88" s="141"/>
      <c r="BG88" s="141"/>
      <c r="BH88" s="141"/>
      <c r="BI88" s="141"/>
      <c r="BJ88" s="141"/>
      <c r="BK88" s="141"/>
      <c r="BL88" s="141"/>
      <c r="BM88" s="141"/>
      <c r="BN88" s="150"/>
      <c r="BO88" s="141">
        <v>190</v>
      </c>
      <c r="BP88" s="141"/>
      <c r="BQ88" s="130">
        <f t="shared" si="37"/>
        <v>0</v>
      </c>
      <c r="BR88" s="132"/>
    </row>
    <row r="89" ht="15" customHeight="1">
      <c r="A89" s="132"/>
      <c r="B89" s="215">
        <v>46098</v>
      </c>
      <c r="C89" s="133">
        <f>27983.38-D89-0</f>
      </c>
      <c r="D89" s="134">
        <v>2531.8</v>
      </c>
      <c r="E89" s="135"/>
      <c r="F89" s="135"/>
      <c r="G89" s="147">
        <f t="shared" si="29"/>
        <v>0</v>
      </c>
      <c r="H89" s="144"/>
      <c r="I89" s="143"/>
      <c r="J89" s="143"/>
      <c r="K89" s="145">
        <v>7982.85</v>
      </c>
      <c r="L89" s="143"/>
      <c r="M89" s="143"/>
      <c r="N89" s="143"/>
      <c r="O89" s="143"/>
      <c r="P89" s="143"/>
      <c r="Q89" s="143"/>
      <c r="R89" s="143"/>
      <c r="S89" s="143"/>
      <c r="T89" s="103">
        <f t="shared" si="30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31"/>
        <v>0</v>
      </c>
      <c r="AH89" s="134">
        <v>3629.96</v>
      </c>
      <c r="AI89" s="134">
        <v>718.9</v>
      </c>
      <c r="AJ89" s="136"/>
      <c r="AK89" s="105">
        <f t="shared" si="32"/>
        <v>0</v>
      </c>
      <c r="AL89" s="1744">
        <v>652.63</v>
      </c>
      <c r="AM89" s="1745"/>
      <c r="AN89" s="143"/>
      <c r="AO89" s="143"/>
      <c r="AP89" s="146"/>
      <c r="AQ89" s="224">
        <f t="shared" si="38"/>
        <v>0</v>
      </c>
      <c r="AR89" s="1554">
        <v>4441.3</v>
      </c>
      <c r="AS89" s="1626">
        <v>8745</v>
      </c>
      <c r="AT89" s="1546"/>
      <c r="AU89" s="1554">
        <v>1813</v>
      </c>
      <c r="AV89" s="1548"/>
      <c r="AW89" s="1548"/>
      <c r="AX89" s="1548"/>
      <c r="AY89" s="1546"/>
      <c r="AZ89" s="222">
        <f t="shared" si="34"/>
        <v>0</v>
      </c>
      <c r="BA89" s="140">
        <f t="shared" si="35"/>
        <v>0</v>
      </c>
      <c r="BB89" s="132"/>
      <c r="BC89" s="140">
        <f t="shared" si="36"/>
        <v>0</v>
      </c>
      <c r="BD89" s="141"/>
      <c r="BE89" s="141"/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30">
        <f t="shared" si="37"/>
        <v>0</v>
      </c>
      <c r="BR89" s="132"/>
    </row>
    <row r="90" ht="14.25" customHeight="1">
      <c r="A90" s="132"/>
      <c r="B90" s="215">
        <v>46099</v>
      </c>
      <c r="C90" s="133">
        <f>23214.63-D90-0</f>
      </c>
      <c r="D90" s="134">
        <v>1956.54</v>
      </c>
      <c r="E90" s="135"/>
      <c r="F90" s="135"/>
      <c r="G90" s="147">
        <f t="shared" si="29"/>
        <v>0</v>
      </c>
      <c r="H90" s="144"/>
      <c r="I90" s="143"/>
      <c r="J90" s="143"/>
      <c r="K90" s="145">
        <v>13600.9</v>
      </c>
      <c r="L90" s="143"/>
      <c r="M90" s="143"/>
      <c r="N90" s="143"/>
      <c r="O90" s="143"/>
      <c r="P90" s="143"/>
      <c r="Q90" s="143"/>
      <c r="R90" s="143"/>
      <c r="S90" s="143"/>
      <c r="T90" s="103">
        <f t="shared" si="30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31"/>
        <v>0</v>
      </c>
      <c r="AH90" s="134">
        <v>2596.97</v>
      </c>
      <c r="AI90" s="134">
        <v>721.17</v>
      </c>
      <c r="AJ90" s="136"/>
      <c r="AK90" s="105">
        <f t="shared" si="32"/>
        <v>0</v>
      </c>
      <c r="AL90" s="1744">
        <v>371.21</v>
      </c>
      <c r="AM90" s="1745"/>
      <c r="AN90" s="143"/>
      <c r="AO90" s="143"/>
      <c r="AP90" s="146"/>
      <c r="AQ90" s="224">
        <f t="shared" si="38"/>
        <v>0</v>
      </c>
      <c r="AR90" s="1554">
        <v>4489.2</v>
      </c>
      <c r="AS90" s="1546"/>
      <c r="AT90" s="1546"/>
      <c r="AU90" s="1554">
        <v>1235.4</v>
      </c>
      <c r="AV90" s="1548"/>
      <c r="AW90" s="1548"/>
      <c r="AX90" s="1548"/>
      <c r="AY90" s="1546"/>
      <c r="AZ90" s="222">
        <f t="shared" si="34"/>
        <v>0</v>
      </c>
      <c r="BA90" s="140">
        <f t="shared" si="35"/>
        <v>0</v>
      </c>
      <c r="BB90" s="132"/>
      <c r="BC90" s="140">
        <f t="shared" si="36"/>
        <v>0</v>
      </c>
      <c r="BD90" s="141"/>
      <c r="BE90" s="141"/>
      <c r="BF90" s="141"/>
      <c r="BG90" s="141"/>
      <c r="BH90" s="141"/>
      <c r="BI90" s="141"/>
      <c r="BJ90" s="141"/>
      <c r="BK90" s="141"/>
      <c r="BL90" s="141"/>
      <c r="BM90" s="141"/>
      <c r="BN90" s="150"/>
      <c r="BO90" s="141">
        <v>200</v>
      </c>
      <c r="BP90" s="141"/>
      <c r="BQ90" s="130">
        <f t="shared" si="37"/>
        <v>0</v>
      </c>
      <c r="BR90" s="132"/>
    </row>
    <row r="91" ht="14.25" customHeight="1">
      <c r="A91" s="132"/>
      <c r="B91" s="215">
        <v>46100</v>
      </c>
      <c r="C91" s="133">
        <f>28301.23-D91-0</f>
      </c>
      <c r="D91" s="134">
        <v>1931.59</v>
      </c>
      <c r="E91" s="135"/>
      <c r="F91" s="135"/>
      <c r="G91" s="147">
        <f t="shared" si="29"/>
        <v>0</v>
      </c>
      <c r="H91" s="144"/>
      <c r="I91" s="145">
        <v>207.74</v>
      </c>
      <c r="J91" s="143"/>
      <c r="K91" s="145">
        <v>17399.36</v>
      </c>
      <c r="L91" s="143"/>
      <c r="M91" s="143"/>
      <c r="N91" s="143"/>
      <c r="O91" s="143"/>
      <c r="P91" s="143"/>
      <c r="Q91" s="145"/>
      <c r="R91" s="143"/>
      <c r="S91" s="143"/>
      <c r="T91" s="103">
        <f t="shared" si="30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31"/>
        <v>0</v>
      </c>
      <c r="AH91" s="134">
        <v>2292.6</v>
      </c>
      <c r="AI91" s="134">
        <v>710.65</v>
      </c>
      <c r="AJ91" s="136"/>
      <c r="AK91" s="105">
        <f t="shared" si="32"/>
        <v>0</v>
      </c>
      <c r="AL91" s="1744">
        <v>354.65</v>
      </c>
      <c r="AM91" s="1745"/>
      <c r="AN91" s="143"/>
      <c r="AO91" s="143"/>
      <c r="AP91" s="146"/>
      <c r="AQ91" s="224">
        <f t="shared" si="38"/>
        <v>0</v>
      </c>
      <c r="AR91" s="1554">
        <v>5698.9</v>
      </c>
      <c r="AS91" s="1626"/>
      <c r="AT91" s="1546"/>
      <c r="AU91" s="1554">
        <v>1221</v>
      </c>
      <c r="AV91" s="1548"/>
      <c r="AW91" s="1548"/>
      <c r="AX91" s="1548"/>
      <c r="AY91" s="1546"/>
      <c r="AZ91" s="222">
        <f t="shared" si="34"/>
        <v>0</v>
      </c>
      <c r="BA91" s="140">
        <f t="shared" si="35"/>
        <v>0</v>
      </c>
      <c r="BB91" s="132"/>
      <c r="BC91" s="140">
        <f t="shared" si="36"/>
        <v>0</v>
      </c>
      <c r="BD91" s="141"/>
      <c r="BE91" s="141"/>
      <c r="BF91" s="141"/>
      <c r="BG91" s="141"/>
      <c r="BH91" s="141"/>
      <c r="BI91" s="141"/>
      <c r="BJ91" s="141"/>
      <c r="BK91" s="385"/>
      <c r="BL91" s="141"/>
      <c r="BM91" s="141"/>
      <c r="BN91" s="141"/>
      <c r="BO91" s="141"/>
      <c r="BP91" s="141"/>
      <c r="BQ91" s="130">
        <f t="shared" si="37"/>
        <v>0</v>
      </c>
      <c r="BR91" s="132"/>
    </row>
    <row r="92" ht="14.25" customHeight="1">
      <c r="A92" s="132"/>
      <c r="B92" s="215">
        <v>46101</v>
      </c>
      <c r="C92" s="133">
        <f>36759.56-D92-0</f>
      </c>
      <c r="D92" s="134">
        <v>6677.5</v>
      </c>
      <c r="E92" s="135"/>
      <c r="F92" s="135"/>
      <c r="G92" s="147">
        <f t="shared" si="29"/>
        <v>0</v>
      </c>
      <c r="H92" s="144"/>
      <c r="I92" s="143"/>
      <c r="J92" s="143"/>
      <c r="K92" s="145">
        <v>18258.17</v>
      </c>
      <c r="L92" s="143"/>
      <c r="M92" s="143"/>
      <c r="N92" s="143"/>
      <c r="O92" s="143"/>
      <c r="P92" s="143"/>
      <c r="Q92" s="143"/>
      <c r="R92" s="143"/>
      <c r="S92" s="143"/>
      <c r="T92" s="103">
        <f t="shared" si="30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31"/>
        <v>0</v>
      </c>
      <c r="AH92" s="134">
        <v>4331.46</v>
      </c>
      <c r="AI92" s="134">
        <v>1783.4</v>
      </c>
      <c r="AJ92" s="136"/>
      <c r="AK92" s="105">
        <f t="shared" si="32"/>
        <v>0</v>
      </c>
      <c r="AL92" s="1744">
        <v>417.36</v>
      </c>
      <c r="AM92" s="1745"/>
      <c r="AN92" s="143"/>
      <c r="AO92" s="143"/>
      <c r="AP92" s="146"/>
      <c r="AQ92" s="224">
        <f t="shared" si="38"/>
        <v>0</v>
      </c>
      <c r="AR92" s="1554">
        <v>7085.6</v>
      </c>
      <c r="AS92" s="1546"/>
      <c r="AT92" s="1546"/>
      <c r="AU92" s="1554">
        <v>4794.4</v>
      </c>
      <c r="AV92" s="1548"/>
      <c r="AW92" s="1548"/>
      <c r="AX92" s="1548"/>
      <c r="AY92" s="1546"/>
      <c r="AZ92" s="222">
        <f t="shared" si="34"/>
        <v>0</v>
      </c>
      <c r="BA92" s="140">
        <f t="shared" si="35"/>
        <v>0</v>
      </c>
      <c r="BB92" s="132"/>
      <c r="BC92" s="140">
        <f t="shared" si="36"/>
        <v>0</v>
      </c>
      <c r="BD92" s="141"/>
      <c r="BE92" s="141"/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30">
        <f t="shared" si="37"/>
        <v>0</v>
      </c>
      <c r="BR92" s="132"/>
    </row>
    <row r="93" ht="14.25" customHeight="1">
      <c r="A93" s="132"/>
      <c r="B93" s="215">
        <v>46102</v>
      </c>
      <c r="C93" s="133">
        <f>29144.49-D93-0</f>
      </c>
      <c r="D93" s="134">
        <v>2657.27</v>
      </c>
      <c r="E93" s="135"/>
      <c r="F93" s="135"/>
      <c r="G93" s="147">
        <f t="shared" si="29"/>
        <v>0</v>
      </c>
      <c r="H93" s="144"/>
      <c r="I93" s="143"/>
      <c r="J93" s="143"/>
      <c r="K93" s="145">
        <v>14657.28</v>
      </c>
      <c r="L93" s="143"/>
      <c r="M93" s="143"/>
      <c r="N93" s="143"/>
      <c r="O93" s="143"/>
      <c r="P93" s="143"/>
      <c r="Q93" s="143"/>
      <c r="R93" s="143"/>
      <c r="S93" s="143"/>
      <c r="T93" s="103">
        <f t="shared" si="30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31"/>
        <v>0</v>
      </c>
      <c r="AH93" s="134">
        <v>5039.76</v>
      </c>
      <c r="AI93" s="134">
        <v>877.96</v>
      </c>
      <c r="AJ93" s="136"/>
      <c r="AK93" s="105">
        <f t="shared" si="32"/>
        <v>0</v>
      </c>
      <c r="AL93" s="1744">
        <v>485.16</v>
      </c>
      <c r="AM93" s="1745"/>
      <c r="AN93" s="143"/>
      <c r="AO93" s="143"/>
      <c r="AP93" s="146"/>
      <c r="AQ93" s="224">
        <f t="shared" si="38"/>
        <v>0</v>
      </c>
      <c r="AR93" s="1554">
        <v>6305.2</v>
      </c>
      <c r="AS93" s="1546"/>
      <c r="AT93" s="1546"/>
      <c r="AU93" s="1554">
        <v>1779.3</v>
      </c>
      <c r="AV93" s="1548"/>
      <c r="AW93" s="1548"/>
      <c r="AX93" s="1548"/>
      <c r="AY93" s="1546"/>
      <c r="AZ93" s="222">
        <f t="shared" si="34"/>
        <v>0</v>
      </c>
      <c r="BA93" s="140">
        <f t="shared" si="35"/>
        <v>0</v>
      </c>
      <c r="BB93" s="132"/>
      <c r="BC93" s="140">
        <f t="shared" si="36"/>
        <v>0</v>
      </c>
      <c r="BD93" s="141"/>
      <c r="BE93" s="141"/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30">
        <f t="shared" si="37"/>
        <v>0</v>
      </c>
      <c r="BR93" s="132"/>
    </row>
    <row r="94" ht="14.25" customHeight="1">
      <c r="A94" s="132"/>
      <c r="B94" s="215">
        <v>46103</v>
      </c>
      <c r="C94" s="133">
        <f>18042.10-D94-0</f>
      </c>
      <c r="D94" s="134">
        <v>2279.51</v>
      </c>
      <c r="E94" s="135"/>
      <c r="F94" s="135"/>
      <c r="G94" s="147">
        <f t="shared" si="29"/>
        <v>0</v>
      </c>
      <c r="H94" s="144"/>
      <c r="I94" s="143"/>
      <c r="J94" s="143"/>
      <c r="K94" s="145">
        <v>4297.56</v>
      </c>
      <c r="L94" s="143"/>
      <c r="M94" s="143"/>
      <c r="N94" s="143"/>
      <c r="O94" s="143"/>
      <c r="P94" s="143"/>
      <c r="Q94" s="143"/>
      <c r="R94" s="143"/>
      <c r="S94" s="143"/>
      <c r="T94" s="103">
        <f t="shared" si="30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31"/>
        <v>0</v>
      </c>
      <c r="AH94" s="134">
        <v>4797.81</v>
      </c>
      <c r="AI94" s="134">
        <v>943.97</v>
      </c>
      <c r="AJ94" s="136"/>
      <c r="AK94" s="105">
        <f t="shared" si="32"/>
        <v>0</v>
      </c>
      <c r="AL94" s="1744">
        <v>488</v>
      </c>
      <c r="AM94" s="1745"/>
      <c r="AN94" s="143"/>
      <c r="AO94" s="143"/>
      <c r="AP94" s="146"/>
      <c r="AQ94" s="224">
        <f t="shared" si="38"/>
        <v>0</v>
      </c>
      <c r="AR94" s="1554">
        <v>6179.3</v>
      </c>
      <c r="AS94" s="1546"/>
      <c r="AT94" s="1546"/>
      <c r="AU94" s="1554">
        <v>1335.6</v>
      </c>
      <c r="AV94" s="1548"/>
      <c r="AW94" s="1548"/>
      <c r="AX94" s="1548"/>
      <c r="AY94" s="1546"/>
      <c r="AZ94" s="222">
        <f t="shared" si="34"/>
        <v>0</v>
      </c>
      <c r="BA94" s="140">
        <f t="shared" si="35"/>
        <v>0</v>
      </c>
      <c r="BB94" s="132"/>
      <c r="BC94" s="140">
        <f t="shared" si="36"/>
        <v>0</v>
      </c>
      <c r="BD94" s="141"/>
      <c r="BE94" s="141"/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30">
        <f t="shared" si="37"/>
        <v>0</v>
      </c>
      <c r="BR94" s="132"/>
    </row>
    <row r="95" ht="14.25" customHeight="1">
      <c r="A95" s="132"/>
      <c r="B95" s="215">
        <v>46104</v>
      </c>
      <c r="C95" s="133">
        <f>21034.30-D95-0</f>
      </c>
      <c r="D95" s="134">
        <v>2254.56</v>
      </c>
      <c r="E95" s="135"/>
      <c r="F95" s="135"/>
      <c r="G95" s="147">
        <f t="shared" si="29"/>
        <v>0</v>
      </c>
      <c r="H95" s="144"/>
      <c r="I95" s="145">
        <v>201.88</v>
      </c>
      <c r="J95" s="143"/>
      <c r="K95" s="145">
        <v>9749.28</v>
      </c>
      <c r="L95" s="143"/>
      <c r="M95" s="143"/>
      <c r="N95" s="143"/>
      <c r="O95" s="143"/>
      <c r="P95" s="143"/>
      <c r="Q95" s="143"/>
      <c r="R95" s="143"/>
      <c r="S95" s="143"/>
      <c r="T95" s="103">
        <f t="shared" si="30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31"/>
        <v>0</v>
      </c>
      <c r="AH95" s="134">
        <v>3829.69</v>
      </c>
      <c r="AI95" s="134">
        <v>865.05</v>
      </c>
      <c r="AJ95" s="136"/>
      <c r="AK95" s="105">
        <f t="shared" si="32"/>
        <v>0</v>
      </c>
      <c r="AL95" s="1744">
        <v>387.56</v>
      </c>
      <c r="AM95" s="1745"/>
      <c r="AN95" s="143"/>
      <c r="AO95" s="143"/>
      <c r="AP95" s="146"/>
      <c r="AQ95" s="224">
        <f t="shared" si="38"/>
        <v>0</v>
      </c>
      <c r="AR95" s="1554">
        <v>4611.4</v>
      </c>
      <c r="AS95" s="1546"/>
      <c r="AT95" s="1546"/>
      <c r="AU95" s="1554">
        <v>1389.6</v>
      </c>
      <c r="AV95" s="1548"/>
      <c r="AW95" s="1548"/>
      <c r="AX95" s="1548"/>
      <c r="AY95" s="1546"/>
      <c r="AZ95" s="222">
        <f t="shared" si="34"/>
        <v>0</v>
      </c>
      <c r="BA95" s="140">
        <f t="shared" si="35"/>
        <v>0</v>
      </c>
      <c r="BB95" s="132"/>
      <c r="BC95" s="140">
        <f t="shared" si="36"/>
        <v>0</v>
      </c>
      <c r="BD95" s="141"/>
      <c r="BE95" s="141"/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30">
        <f t="shared" si="37"/>
        <v>0</v>
      </c>
      <c r="BR95" s="132"/>
    </row>
    <row r="96" ht="16.5" customHeight="1">
      <c r="A96" s="132"/>
      <c r="B96" s="215">
        <v>46105</v>
      </c>
      <c r="C96" s="133">
        <f>21391.67-D96-0</f>
      </c>
      <c r="D96" s="134">
        <v>1986.25</v>
      </c>
      <c r="E96" s="135"/>
      <c r="F96" s="135"/>
      <c r="G96" s="147">
        <f t="shared" si="29"/>
        <v>0</v>
      </c>
      <c r="H96" s="144"/>
      <c r="I96" s="143"/>
      <c r="J96" s="143"/>
      <c r="K96" s="145">
        <v>9637.03</v>
      </c>
      <c r="L96" s="143"/>
      <c r="M96" s="143"/>
      <c r="N96" s="143"/>
      <c r="O96" s="143"/>
      <c r="P96" s="143"/>
      <c r="Q96" s="143"/>
      <c r="R96" s="143"/>
      <c r="S96" s="143"/>
      <c r="T96" s="103">
        <f t="shared" si="30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31"/>
        <v>0</v>
      </c>
      <c r="AH96" s="134">
        <v>4738.15</v>
      </c>
      <c r="AI96" s="134">
        <v>638.63</v>
      </c>
      <c r="AJ96" s="136"/>
      <c r="AK96" s="105">
        <f t="shared" si="32"/>
        <v>0</v>
      </c>
      <c r="AL96" s="1744">
        <v>303.64</v>
      </c>
      <c r="AM96" s="1745"/>
      <c r="AN96" s="143"/>
      <c r="AO96" s="143"/>
      <c r="AP96" s="146"/>
      <c r="AQ96" s="224">
        <f t="shared" si="38"/>
        <v>0</v>
      </c>
      <c r="AR96" s="1554">
        <v>4726.6</v>
      </c>
      <c r="AS96" s="1546"/>
      <c r="AT96" s="1546"/>
      <c r="AU96" s="1554">
        <v>1347.7</v>
      </c>
      <c r="AV96" s="1548"/>
      <c r="AW96" s="1548"/>
      <c r="AX96" s="1548"/>
      <c r="AY96" s="1546"/>
      <c r="AZ96" s="222">
        <f t="shared" si="34"/>
        <v>0</v>
      </c>
      <c r="BA96" s="140">
        <f t="shared" si="35"/>
        <v>0</v>
      </c>
      <c r="BB96" s="132"/>
      <c r="BC96" s="140">
        <f t="shared" si="36"/>
        <v>0</v>
      </c>
      <c r="BD96" s="141"/>
      <c r="BE96" s="141"/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30">
        <f t="shared" si="37"/>
        <v>0</v>
      </c>
      <c r="BR96" s="132"/>
    </row>
    <row r="97" ht="14.25" customHeight="1">
      <c r="A97" s="132"/>
      <c r="B97" s="215">
        <v>46106</v>
      </c>
      <c r="C97" s="133">
        <f>23113.63-D97-0</f>
      </c>
      <c r="D97" s="134">
        <v>1225.97</v>
      </c>
      <c r="E97" s="135"/>
      <c r="F97" s="135"/>
      <c r="G97" s="147">
        <f t="shared" si="29"/>
        <v>0</v>
      </c>
      <c r="H97" s="144"/>
      <c r="I97" s="143"/>
      <c r="J97" s="143"/>
      <c r="K97" s="145">
        <v>15176.7</v>
      </c>
      <c r="L97" s="143"/>
      <c r="M97" s="143"/>
      <c r="N97" s="143"/>
      <c r="O97" s="143"/>
      <c r="P97" s="143"/>
      <c r="Q97" s="143"/>
      <c r="R97" s="143"/>
      <c r="S97" s="143"/>
      <c r="T97" s="103">
        <f t="shared" si="30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31"/>
        <v>0</v>
      </c>
      <c r="AH97" s="134">
        <v>1728.03</v>
      </c>
      <c r="AI97" s="134">
        <v>338.15</v>
      </c>
      <c r="AJ97" s="136"/>
      <c r="AK97" s="105">
        <f t="shared" si="32"/>
        <v>0</v>
      </c>
      <c r="AL97" s="1744">
        <v>660.84</v>
      </c>
      <c r="AM97" s="1745"/>
      <c r="AN97" s="143"/>
      <c r="AO97" s="143"/>
      <c r="AP97" s="146"/>
      <c r="AQ97" s="224">
        <f t="shared" si="38"/>
        <v>0</v>
      </c>
      <c r="AR97" s="1554">
        <v>4322.2</v>
      </c>
      <c r="AS97" s="1546"/>
      <c r="AT97" s="1546"/>
      <c r="AU97" s="1554">
        <v>887.8</v>
      </c>
      <c r="AV97" s="1548"/>
      <c r="AW97" s="1548"/>
      <c r="AX97" s="1548"/>
      <c r="AY97" s="1546"/>
      <c r="AZ97" s="222">
        <f t="shared" si="34"/>
        <v>0</v>
      </c>
      <c r="BA97" s="140">
        <f t="shared" si="35"/>
        <v>0</v>
      </c>
      <c r="BB97" s="132"/>
      <c r="BC97" s="140">
        <f t="shared" si="36"/>
        <v>0</v>
      </c>
      <c r="BD97" s="141"/>
      <c r="BE97" s="141"/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30">
        <f t="shared" si="37"/>
        <v>0</v>
      </c>
      <c r="BR97" s="132"/>
    </row>
    <row r="98" ht="14.25" customHeight="1">
      <c r="A98" s="132"/>
      <c r="B98" s="215">
        <v>46107</v>
      </c>
      <c r="C98" s="133">
        <f>17652.34-D98-0</f>
      </c>
      <c r="D98" s="134">
        <v>721.29</v>
      </c>
      <c r="E98" s="135"/>
      <c r="F98" s="135"/>
      <c r="G98" s="147">
        <f t="shared" si="29"/>
        <v>0</v>
      </c>
      <c r="H98" s="144"/>
      <c r="I98" s="144"/>
      <c r="J98" s="143"/>
      <c r="K98" s="145">
        <v>280.27</v>
      </c>
      <c r="L98" s="143"/>
      <c r="M98" s="143"/>
      <c r="N98" s="99"/>
      <c r="O98" s="143"/>
      <c r="P98" s="143"/>
      <c r="Q98" s="143"/>
      <c r="R98" s="143"/>
      <c r="S98" s="143"/>
      <c r="T98" s="103">
        <f t="shared" si="30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31"/>
        <v>0</v>
      </c>
      <c r="AH98" s="134">
        <v>2734.83</v>
      </c>
      <c r="AI98" s="134">
        <v>211.51</v>
      </c>
      <c r="AJ98" s="136"/>
      <c r="AK98" s="105">
        <f t="shared" si="32"/>
        <v>0</v>
      </c>
      <c r="AL98" s="1744">
        <v>381.77</v>
      </c>
      <c r="AM98" s="1745"/>
      <c r="AN98" s="143"/>
      <c r="AO98" s="143"/>
      <c r="AP98" s="146"/>
      <c r="AQ98" s="224">
        <f t="shared" si="38"/>
        <v>0</v>
      </c>
      <c r="AR98" s="1554"/>
      <c r="AS98" s="1626"/>
      <c r="AT98" s="1626"/>
      <c r="AU98" s="1554"/>
      <c r="AV98" s="1548"/>
      <c r="AW98" s="1548"/>
      <c r="AX98" s="1548"/>
      <c r="AY98" s="1546"/>
      <c r="AZ98" s="222">
        <f t="shared" si="34"/>
        <v>0</v>
      </c>
      <c r="BA98" s="140">
        <f t="shared" si="35"/>
        <v>0</v>
      </c>
      <c r="BB98" s="132"/>
      <c r="BC98" s="140">
        <f t="shared" si="36"/>
        <v>0</v>
      </c>
      <c r="BD98" s="141"/>
      <c r="BE98" s="141"/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30">
        <f t="shared" si="37"/>
        <v>0</v>
      </c>
      <c r="BR98" s="132"/>
    </row>
    <row r="99" ht="14.25" customHeight="1">
      <c r="A99" s="132"/>
      <c r="B99" s="215">
        <v>46108</v>
      </c>
      <c r="C99" s="133">
        <f>31434.14-D99-0</f>
      </c>
      <c r="D99" s="134">
        <v>836.42</v>
      </c>
      <c r="E99" s="135"/>
      <c r="F99" s="135"/>
      <c r="G99" s="147">
        <f t="shared" si="29"/>
        <v>0</v>
      </c>
      <c r="H99" s="144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03">
        <f t="shared" si="30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31"/>
        <v>0</v>
      </c>
      <c r="AH99" s="134">
        <v>4457.05</v>
      </c>
      <c r="AI99" s="134">
        <v>315.79</v>
      </c>
      <c r="AJ99" s="136"/>
      <c r="AK99" s="105">
        <f t="shared" si="32"/>
        <v>0</v>
      </c>
      <c r="AL99" s="1744">
        <v>676.22</v>
      </c>
      <c r="AM99" s="1745"/>
      <c r="AN99" s="143"/>
      <c r="AO99" s="143"/>
      <c r="AP99" s="146"/>
      <c r="AQ99" s="224">
        <f t="shared" si="38"/>
        <v>0</v>
      </c>
      <c r="AR99" s="1554"/>
      <c r="AS99" s="1626"/>
      <c r="AT99" s="1626"/>
      <c r="AU99" s="1554"/>
      <c r="AV99" s="1548"/>
      <c r="AW99" s="1548"/>
      <c r="AX99" s="1548"/>
      <c r="AY99" s="1546"/>
      <c r="AZ99" s="222">
        <f t="shared" si="34"/>
        <v>0</v>
      </c>
      <c r="BA99" s="140">
        <f t="shared" si="35"/>
        <v>0</v>
      </c>
      <c r="BB99" s="132"/>
      <c r="BC99" s="140">
        <f t="shared" si="36"/>
        <v>0</v>
      </c>
      <c r="BD99" s="141"/>
      <c r="BE99" s="141"/>
      <c r="BF99" s="141"/>
      <c r="BG99" s="141"/>
      <c r="BH99" s="141"/>
      <c r="BI99" s="141"/>
      <c r="BJ99" s="141"/>
      <c r="BK99" s="141"/>
      <c r="BL99" s="141"/>
      <c r="BM99" s="141"/>
      <c r="BN99" s="150"/>
      <c r="BO99" s="141">
        <v>200</v>
      </c>
      <c r="BP99" s="141"/>
      <c r="BQ99" s="130">
        <f t="shared" si="37"/>
        <v>0</v>
      </c>
      <c r="BR99" s="132"/>
    </row>
    <row r="100" ht="14.25" customHeight="1">
      <c r="A100" s="132"/>
      <c r="B100" s="215">
        <v>46109</v>
      </c>
      <c r="C100" s="133">
        <f>17899.39-D100-0</f>
      </c>
      <c r="D100" s="134">
        <v>1694.13</v>
      </c>
      <c r="E100" s="135"/>
      <c r="F100" s="135"/>
      <c r="G100" s="147">
        <f t="shared" si="29"/>
        <v>0</v>
      </c>
      <c r="H100" s="144"/>
      <c r="I100" s="145">
        <v>366.59</v>
      </c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03">
        <f t="shared" si="30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31"/>
        <v>0</v>
      </c>
      <c r="AH100" s="134">
        <v>3871.8</v>
      </c>
      <c r="AI100" s="134">
        <v>387.35</v>
      </c>
      <c r="AJ100" s="136"/>
      <c r="AK100" s="105">
        <f t="shared" si="32"/>
        <v>0</v>
      </c>
      <c r="AL100" s="1744">
        <v>588.43</v>
      </c>
      <c r="AM100" s="1745"/>
      <c r="AN100" s="143"/>
      <c r="AO100" s="143"/>
      <c r="AP100" s="146"/>
      <c r="AQ100" s="224">
        <f t="shared" si="38"/>
        <v>0</v>
      </c>
      <c r="AR100" s="1554"/>
      <c r="AS100" s="1546"/>
      <c r="AT100" s="1626"/>
      <c r="AU100" s="1554"/>
      <c r="AV100" s="1548"/>
      <c r="AW100" s="1548"/>
      <c r="AX100" s="1548"/>
      <c r="AY100" s="1546"/>
      <c r="AZ100" s="222">
        <f t="shared" si="34"/>
        <v>0</v>
      </c>
      <c r="BA100" s="140">
        <f t="shared" si="35"/>
        <v>0</v>
      </c>
      <c r="BB100" s="132"/>
      <c r="BC100" s="140">
        <f t="shared" si="36"/>
        <v>0</v>
      </c>
      <c r="BD100" s="141"/>
      <c r="BE100" s="141"/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30">
        <f t="shared" si="37"/>
        <v>0</v>
      </c>
      <c r="BR100" s="132"/>
    </row>
    <row r="101" ht="14.25" customHeight="1">
      <c r="A101" s="132"/>
      <c r="B101" s="215">
        <v>46110</v>
      </c>
      <c r="C101" s="133">
        <f>21564.41-D101-0</f>
      </c>
      <c r="D101" s="134">
        <v>1877.52</v>
      </c>
      <c r="E101" s="135"/>
      <c r="F101" s="135"/>
      <c r="G101" s="147">
        <f t="shared" si="29"/>
        <v>0</v>
      </c>
      <c r="H101" s="144"/>
      <c r="I101" s="143"/>
      <c r="J101" s="143"/>
      <c r="K101" s="145">
        <v>202.41</v>
      </c>
      <c r="L101" s="143"/>
      <c r="M101" s="143"/>
      <c r="N101" s="143"/>
      <c r="O101" s="143"/>
      <c r="P101" s="143"/>
      <c r="Q101" s="143"/>
      <c r="R101" s="143"/>
      <c r="S101" s="143"/>
      <c r="T101" s="103">
        <f t="shared" si="30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31"/>
        <v>0</v>
      </c>
      <c r="AH101" s="134">
        <v>3947.51</v>
      </c>
      <c r="AI101" s="134">
        <v>608.69</v>
      </c>
      <c r="AJ101" s="136"/>
      <c r="AK101" s="105">
        <f t="shared" si="32"/>
        <v>0</v>
      </c>
      <c r="AL101" s="1744">
        <v>700.03</v>
      </c>
      <c r="AM101" s="1745"/>
      <c r="AN101" s="143"/>
      <c r="AO101" s="143"/>
      <c r="AP101" s="146"/>
      <c r="AQ101" s="224">
        <f t="shared" si="38"/>
        <v>0</v>
      </c>
      <c r="AR101" s="1554">
        <v>4838.2</v>
      </c>
      <c r="AS101" s="1626"/>
      <c r="AT101" s="1626"/>
      <c r="AU101" s="1554">
        <v>1268.9</v>
      </c>
      <c r="AV101" s="1548"/>
      <c r="AW101" s="1548"/>
      <c r="AX101" s="1548"/>
      <c r="AY101" s="1546"/>
      <c r="AZ101" s="222">
        <f t="shared" si="34"/>
        <v>0</v>
      </c>
      <c r="BA101" s="140">
        <f t="shared" si="35"/>
        <v>0</v>
      </c>
      <c r="BB101" s="132"/>
      <c r="BC101" s="140">
        <f t="shared" si="36"/>
        <v>0</v>
      </c>
      <c r="BD101" s="141"/>
      <c r="BE101" s="141"/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30">
        <f t="shared" si="37"/>
        <v>0</v>
      </c>
      <c r="BR101" s="132"/>
    </row>
    <row r="102" ht="14.25" customHeight="1">
      <c r="A102" s="132"/>
      <c r="B102" s="215">
        <v>46111</v>
      </c>
      <c r="C102" s="133">
        <f>24027.82-D102-0</f>
      </c>
      <c r="D102" s="134">
        <v>1792.04</v>
      </c>
      <c r="E102" s="135"/>
      <c r="F102" s="135"/>
      <c r="G102" s="147">
        <f t="shared" si="29"/>
        <v>0</v>
      </c>
      <c r="H102" s="14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03">
        <f t="shared" si="30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31"/>
        <v>0</v>
      </c>
      <c r="AH102" s="134">
        <v>2814.56</v>
      </c>
      <c r="AI102" s="134">
        <v>672.27</v>
      </c>
      <c r="AJ102" s="136"/>
      <c r="AK102" s="105">
        <f t="shared" si="32"/>
        <v>0</v>
      </c>
      <c r="AL102" s="1744">
        <v>677.77</v>
      </c>
      <c r="AM102" s="1745"/>
      <c r="AN102" s="143"/>
      <c r="AO102" s="143"/>
      <c r="AP102" s="146"/>
      <c r="AQ102" s="224">
        <f t="shared" si="38"/>
        <v>0</v>
      </c>
      <c r="AR102" s="1554">
        <v>5234.2</v>
      </c>
      <c r="AS102" s="1626"/>
      <c r="AT102" s="1626"/>
      <c r="AU102" s="1554">
        <v>1119.8</v>
      </c>
      <c r="AV102" s="1548"/>
      <c r="AW102" s="1548"/>
      <c r="AX102" s="1548"/>
      <c r="AY102" s="1546"/>
      <c r="AZ102" s="222">
        <f t="shared" si="34"/>
        <v>0</v>
      </c>
      <c r="BA102" s="140">
        <f t="shared" si="35"/>
        <v>0</v>
      </c>
      <c r="BB102" s="132"/>
      <c r="BC102" s="140">
        <f t="shared" si="36"/>
        <v>0</v>
      </c>
      <c r="BD102" s="141"/>
      <c r="BE102" s="141"/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30">
        <f t="shared" si="37"/>
        <v>0</v>
      </c>
      <c r="BR102" s="132"/>
    </row>
    <row r="103" ht="14.25" customHeight="1">
      <c r="A103" s="132"/>
      <c r="B103" s="215">
        <v>46112</v>
      </c>
      <c r="C103" s="153">
        <f>11434.26-D103-0</f>
      </c>
      <c r="D103" s="154">
        <v>1566.52</v>
      </c>
      <c r="E103" s="156"/>
      <c r="F103" s="156"/>
      <c r="G103" s="147">
        <f t="shared" si="29"/>
        <v>0</v>
      </c>
      <c r="H103" s="612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03">
        <f t="shared" si="30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31"/>
        <v>0</v>
      </c>
      <c r="AH103" s="154">
        <v>3557.04</v>
      </c>
      <c r="AI103" s="154">
        <v>618.36</v>
      </c>
      <c r="AJ103" s="159"/>
      <c r="AK103" s="105">
        <f t="shared" si="32"/>
        <v>0</v>
      </c>
      <c r="AL103" s="1748">
        <v>745.45</v>
      </c>
      <c r="AM103" s="1749"/>
      <c r="AN103" s="157"/>
      <c r="AO103" s="157"/>
      <c r="AP103" s="160"/>
      <c r="AQ103" s="232">
        <f t="shared" si="38"/>
        <v>0</v>
      </c>
      <c r="AR103" s="1642">
        <v>5565.4</v>
      </c>
      <c r="AS103" s="1557"/>
      <c r="AT103" s="1557"/>
      <c r="AU103" s="1642">
        <v>948.1</v>
      </c>
      <c r="AV103" s="1548"/>
      <c r="AW103" s="1548"/>
      <c r="AX103" s="1548"/>
      <c r="AY103" s="1557"/>
      <c r="AZ103" s="222">
        <f t="shared" si="34"/>
        <v>0</v>
      </c>
      <c r="BA103" s="162">
        <f t="shared" si="35"/>
        <v>0</v>
      </c>
      <c r="BB103" s="132"/>
      <c r="BC103" s="162">
        <f t="shared" si="36"/>
        <v>0</v>
      </c>
      <c r="BD103" s="163"/>
      <c r="BE103" s="163"/>
      <c r="BF103" s="163"/>
      <c r="BG103" s="163"/>
      <c r="BH103" s="163"/>
      <c r="BI103" s="163"/>
      <c r="BJ103" s="163"/>
      <c r="BK103" s="163"/>
      <c r="BL103" s="163"/>
      <c r="BM103" s="141"/>
      <c r="BN103" s="163"/>
      <c r="BO103" s="163"/>
      <c r="BP103" s="163"/>
      <c r="BQ103" s="164">
        <f t="shared" si="37"/>
        <v>0</v>
      </c>
      <c r="BR103" s="132"/>
    </row>
    <row r="104" ht="14.25" customHeight="1">
      <c r="A104" s="3"/>
      <c r="B104" s="2"/>
      <c r="C104" s="166">
        <f ref="C104:BA104" t="shared" si="39">SUM(C73:C103)</f>
        <v>0</v>
      </c>
      <c r="D104" s="166">
        <f t="shared" si="39"/>
        <v>0</v>
      </c>
      <c r="E104" s="166">
        <f t="shared" si="39"/>
        <v>0</v>
      </c>
      <c r="F104" s="166">
        <f t="shared" si="39"/>
        <v>0</v>
      </c>
      <c r="G104" s="166">
        <f t="shared" si="39"/>
        <v>0</v>
      </c>
      <c r="H104" s="166">
        <f t="shared" si="39"/>
        <v>0</v>
      </c>
      <c r="I104" s="166">
        <f t="shared" si="39"/>
        <v>0</v>
      </c>
      <c r="J104" s="166">
        <f t="shared" si="39"/>
        <v>0</v>
      </c>
      <c r="K104" s="166">
        <f t="shared" si="39"/>
        <v>0</v>
      </c>
      <c r="L104" s="166">
        <f t="shared" si="39"/>
        <v>0</v>
      </c>
      <c r="M104" s="166">
        <f t="shared" si="39"/>
        <v>0</v>
      </c>
      <c r="N104" s="166">
        <f t="shared" si="39"/>
        <v>0</v>
      </c>
      <c r="O104" s="166">
        <f t="shared" si="39"/>
        <v>0</v>
      </c>
      <c r="P104" s="166">
        <f t="shared" si="39"/>
        <v>0</v>
      </c>
      <c r="Q104" s="166">
        <f t="shared" si="39"/>
        <v>0</v>
      </c>
      <c r="R104" s="166">
        <f t="shared" si="39"/>
        <v>0</v>
      </c>
      <c r="S104" s="166">
        <f t="shared" si="39"/>
        <v>0</v>
      </c>
      <c r="T104" s="166">
        <f t="shared" si="39"/>
        <v>0</v>
      </c>
      <c r="U104" s="166">
        <f t="shared" si="39"/>
        <v>0</v>
      </c>
      <c r="V104" s="166">
        <f t="shared" si="39"/>
        <v>0</v>
      </c>
      <c r="W104" s="166">
        <f t="shared" si="39"/>
        <v>0</v>
      </c>
      <c r="X104" s="166">
        <f t="shared" si="39"/>
        <v>0</v>
      </c>
      <c r="Y104" s="166">
        <f t="shared" si="39"/>
        <v>0</v>
      </c>
      <c r="Z104" s="166">
        <f t="shared" si="39"/>
        <v>0</v>
      </c>
      <c r="AA104" s="166">
        <f t="shared" si="39"/>
        <v>0</v>
      </c>
      <c r="AB104" s="166">
        <f t="shared" si="39"/>
        <v>0</v>
      </c>
      <c r="AC104" s="166">
        <f t="shared" si="39"/>
        <v>0</v>
      </c>
      <c r="AD104" s="166">
        <f t="shared" si="39"/>
        <v>0</v>
      </c>
      <c r="AE104" s="166">
        <f t="shared" si="39"/>
        <v>0</v>
      </c>
      <c r="AF104" s="166">
        <f t="shared" si="39"/>
        <v>0</v>
      </c>
      <c r="AG104" s="166">
        <f t="shared" si="39"/>
        <v>0</v>
      </c>
      <c r="AH104" s="166">
        <f t="shared" si="39"/>
        <v>0</v>
      </c>
      <c r="AI104" s="166">
        <f t="shared" si="39"/>
        <v>0</v>
      </c>
      <c r="AJ104" s="166">
        <f t="shared" si="39"/>
        <v>0</v>
      </c>
      <c r="AK104" s="166">
        <f t="shared" si="39"/>
        <v>0</v>
      </c>
      <c r="AL104" s="166">
        <f t="shared" si="39"/>
        <v>0</v>
      </c>
      <c r="AM104" s="166">
        <f t="shared" si="39"/>
        <v>0</v>
      </c>
      <c r="AN104" s="166">
        <f t="shared" si="39"/>
        <v>0</v>
      </c>
      <c r="AO104" s="166">
        <f t="shared" si="39"/>
        <v>0</v>
      </c>
      <c r="AP104" s="166">
        <f t="shared" si="39"/>
        <v>0</v>
      </c>
      <c r="AQ104" s="166">
        <f t="shared" si="39"/>
        <v>0</v>
      </c>
      <c r="AR104" s="165">
        <f t="shared" si="39"/>
        <v>0</v>
      </c>
      <c r="AS104" s="165">
        <f t="shared" si="39"/>
        <v>0</v>
      </c>
      <c r="AT104" s="165">
        <f t="shared" si="39"/>
        <v>0</v>
      </c>
      <c r="AU104" s="165">
        <f t="shared" si="39"/>
        <v>0</v>
      </c>
      <c r="AV104" s="165">
        <f t="shared" si="39"/>
        <v>0</v>
      </c>
      <c r="AW104" s="165">
        <f t="shared" si="39"/>
        <v>0</v>
      </c>
      <c r="AX104" s="165">
        <f t="shared" si="39"/>
        <v>0</v>
      </c>
      <c r="AY104" s="165">
        <f t="shared" si="39"/>
        <v>0</v>
      </c>
      <c r="AZ104" s="166">
        <f t="shared" si="39"/>
        <v>0</v>
      </c>
      <c r="BA104" s="166">
        <f t="shared" si="39"/>
        <v>0</v>
      </c>
      <c r="BB104" s="3"/>
      <c r="BC104" s="172">
        <f>SUM(BC73:BC103)</f>
        <v>0</v>
      </c>
      <c r="BD104" s="165"/>
      <c r="BE104" s="165"/>
      <c r="BF104" s="165"/>
      <c r="BG104" s="165"/>
      <c r="BH104" s="165"/>
      <c r="BI104" s="165"/>
      <c r="BJ104" s="165"/>
      <c r="BK104" s="165"/>
      <c r="BL104" s="165"/>
      <c r="BM104" s="165">
        <f ref="BM104:BQ104" t="shared" si="40">SUM(BM73:BM103)</f>
        <v>0</v>
      </c>
      <c r="BN104" s="165">
        <f t="shared" si="40"/>
        <v>0</v>
      </c>
      <c r="BO104" s="165">
        <f t="shared" si="40"/>
        <v>0</v>
      </c>
      <c r="BP104" s="165">
        <f t="shared" si="40"/>
        <v>0</v>
      </c>
      <c r="BQ104" s="165">
        <f t="shared" si="40"/>
        <v>0</v>
      </c>
      <c r="BR104" s="3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4"/>
      <c r="AL105" s="3"/>
      <c r="AM105" s="3"/>
      <c r="AN105" s="3"/>
      <c r="AO105" s="3"/>
      <c r="AP105" s="3"/>
      <c r="AQ105" s="4"/>
      <c r="AR105" s="132"/>
      <c r="AS105" s="132"/>
      <c r="AT105" s="132"/>
      <c r="AU105" s="135"/>
      <c r="AV105" s="132"/>
      <c r="AW105" s="132"/>
      <c r="AX105" s="132"/>
      <c r="AY105" s="132"/>
      <c r="AZ105" s="4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ht="14.25" customHeight="1">
      <c r="A106" s="1"/>
      <c r="B106" s="236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4"/>
      <c r="AL106" s="3"/>
      <c r="AM106" s="3"/>
      <c r="AN106" s="3"/>
      <c r="AO106" s="3"/>
      <c r="AP106" s="3"/>
      <c r="AQ106" s="4"/>
      <c r="AR106" s="4"/>
      <c r="AS106" s="4"/>
      <c r="AT106" s="4"/>
      <c r="AU106" s="843"/>
      <c r="AV106" s="4"/>
      <c r="AW106" s="4"/>
      <c r="AX106" s="132"/>
      <c r="AY106" s="132"/>
      <c r="AZ106" s="4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ht="14.25" customHeight="1">
      <c r="A107" s="3"/>
      <c r="B107" s="306">
        <v>46113</v>
      </c>
      <c r="C107" s="1006">
        <f>11163.12-D107-0</f>
      </c>
      <c r="D107" s="1007">
        <v>1364.78</v>
      </c>
      <c r="E107" s="1008"/>
      <c r="F107" s="1008"/>
      <c r="G107" s="216">
        <f ref="G107:G136" t="shared" si="41">+C107+D107+E107+F107</f>
        <v>0</v>
      </c>
      <c r="H107" s="1009"/>
      <c r="I107" s="1010"/>
      <c r="J107" s="1010"/>
      <c r="K107" s="1011">
        <v>428.48</v>
      </c>
      <c r="L107" s="1010"/>
      <c r="M107" s="1010"/>
      <c r="N107" s="1010"/>
      <c r="O107" s="1010"/>
      <c r="P107" s="1010"/>
      <c r="Q107" s="1010"/>
      <c r="R107" s="1010"/>
      <c r="S107" s="1010"/>
      <c r="T107" s="1012">
        <f ref="T107:T136" t="shared" si="42">SUM(H107:S107)</f>
        <v>0</v>
      </c>
      <c r="U107" s="1010"/>
      <c r="V107" s="1010"/>
      <c r="W107" s="1010"/>
      <c r="X107" s="1010"/>
      <c r="Y107" s="1010"/>
      <c r="Z107" s="1010"/>
      <c r="AA107" s="1010"/>
      <c r="AB107" s="1010"/>
      <c r="AC107" s="1010"/>
      <c r="AD107" s="1010"/>
      <c r="AE107" s="1010"/>
      <c r="AF107" s="1010"/>
      <c r="AG107" s="1012">
        <f ref="AG107:AG136" t="shared" si="43">SUM(U107:AF107)</f>
        <v>0</v>
      </c>
      <c r="AH107" s="1007">
        <v>3924.14</v>
      </c>
      <c r="AI107" s="1007">
        <v>519.38</v>
      </c>
      <c r="AJ107" s="1013"/>
      <c r="AK107" s="1014">
        <f ref="AK107:AK136" t="shared" si="44">SUM(AH107:AJ107)</f>
        <v>0</v>
      </c>
      <c r="AL107" s="1011">
        <v>711.4</v>
      </c>
      <c r="AM107" s="1010"/>
      <c r="AN107" s="1010"/>
      <c r="AO107" s="1010"/>
      <c r="AP107" s="1015"/>
      <c r="AQ107" s="219">
        <f ref="AQ107:AQ121" t="shared" si="45">+G107-T107-AG107-AK107-AL107-AN107-AO107-AP107</f>
        <v>0</v>
      </c>
      <c r="AR107" s="1721">
        <v>4734.4</v>
      </c>
      <c r="AS107" s="1537"/>
      <c r="AT107" s="1537"/>
      <c r="AU107" s="1702">
        <v>845.5</v>
      </c>
      <c r="AV107" s="1548"/>
      <c r="AW107" s="1548"/>
      <c r="AX107" s="1548"/>
      <c r="AY107" s="1537"/>
      <c r="AZ107" s="678">
        <f ref="AZ107:AZ136" t="shared" si="46">SUM(AR107:AY107)-AX107</f>
        <v>0</v>
      </c>
      <c r="BA107" s="1016">
        <f ref="BA107:BA136" t="shared" si="47">+AQ107-AZ107</f>
        <v>0</v>
      </c>
      <c r="BB107" s="3"/>
      <c r="BC107" s="114">
        <f ref="BC107:BC136" t="shared" si="48">SUM(BD107:BP107)</f>
        <v>0</v>
      </c>
      <c r="BD107" s="220"/>
      <c r="BE107" s="220"/>
      <c r="BF107" s="220"/>
      <c r="BG107" s="220"/>
      <c r="BH107" s="220"/>
      <c r="BI107" s="220"/>
      <c r="BJ107" s="220"/>
      <c r="BK107" s="220"/>
      <c r="BL107" s="220"/>
      <c r="BM107" s="220"/>
      <c r="BN107" s="220"/>
      <c r="BO107" s="220"/>
      <c r="BP107" s="220"/>
      <c r="BQ107" s="116">
        <f ref="BQ107:BQ136" t="shared" si="49">+BA107-BC107</f>
        <v>0</v>
      </c>
      <c r="BR107" s="3"/>
    </row>
    <row r="108" ht="14.25" customHeight="1">
      <c r="A108" s="3"/>
      <c r="B108" s="306">
        <v>46114</v>
      </c>
      <c r="C108" s="118">
        <f>13711.96-D108-0</f>
      </c>
      <c r="D108" s="119">
        <v>1692.39</v>
      </c>
      <c r="E108" s="120"/>
      <c r="F108" s="120"/>
      <c r="G108" s="147">
        <f t="shared" si="41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42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43"/>
        <v>0</v>
      </c>
      <c r="AH108" s="119">
        <v>7777.78</v>
      </c>
      <c r="AI108" s="119">
        <v>571.87</v>
      </c>
      <c r="AJ108" s="123"/>
      <c r="AK108" s="105">
        <f t="shared" si="44"/>
        <v>0</v>
      </c>
      <c r="AL108" s="145">
        <v>499.58</v>
      </c>
      <c r="AM108" s="143"/>
      <c r="AN108" s="143"/>
      <c r="AO108" s="143"/>
      <c r="AP108" s="146"/>
      <c r="AQ108" s="224">
        <f t="shared" si="45"/>
        <v>0</v>
      </c>
      <c r="AR108" s="1554">
        <v>3742.4</v>
      </c>
      <c r="AS108" s="1546"/>
      <c r="AT108" s="1546"/>
      <c r="AU108" s="1637">
        <v>1120.5</v>
      </c>
      <c r="AV108" s="1548"/>
      <c r="AW108" s="1548"/>
      <c r="AX108" s="1548"/>
      <c r="AY108" s="1546"/>
      <c r="AZ108" s="222">
        <f t="shared" si="46"/>
        <v>0</v>
      </c>
      <c r="BA108" s="1017">
        <f t="shared" si="47"/>
        <v>0</v>
      </c>
      <c r="BB108" s="3"/>
      <c r="BC108" s="113">
        <f t="shared" si="48"/>
        <v>0</v>
      </c>
      <c r="BD108" s="225"/>
      <c r="BE108" s="225"/>
      <c r="BF108" s="225"/>
      <c r="BG108" s="225"/>
      <c r="BH108" s="225"/>
      <c r="BI108" s="225"/>
      <c r="BJ108" s="225"/>
      <c r="BK108" s="225"/>
      <c r="BL108" s="225"/>
      <c r="BM108" s="225"/>
      <c r="BN108" s="225"/>
      <c r="BO108" s="225"/>
      <c r="BP108" s="225"/>
      <c r="BQ108" s="130">
        <f t="shared" si="49"/>
        <v>0</v>
      </c>
      <c r="BR108" s="3"/>
    </row>
    <row r="109" ht="14.25" customHeight="1">
      <c r="A109" s="3"/>
      <c r="B109" s="306">
        <v>46115</v>
      </c>
      <c r="C109" s="118">
        <f>10533.21-D109-0</f>
      </c>
      <c r="D109" s="119">
        <v>1488.46</v>
      </c>
      <c r="E109" s="120"/>
      <c r="F109" s="120"/>
      <c r="G109" s="147">
        <f t="shared" si="41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42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43"/>
        <v>0</v>
      </c>
      <c r="AH109" s="119">
        <v>4625.16</v>
      </c>
      <c r="AI109" s="119">
        <v>595.95</v>
      </c>
      <c r="AJ109" s="123"/>
      <c r="AK109" s="105">
        <f t="shared" si="44"/>
        <v>0</v>
      </c>
      <c r="AL109" s="145">
        <v>382.05</v>
      </c>
      <c r="AM109" s="143"/>
      <c r="AN109" s="143"/>
      <c r="AO109" s="143"/>
      <c r="AP109" s="146"/>
      <c r="AQ109" s="224">
        <f t="shared" si="45"/>
        <v>0</v>
      </c>
      <c r="AR109" s="1554">
        <v>4037.5</v>
      </c>
      <c r="AS109" s="1546"/>
      <c r="AT109" s="1546"/>
      <c r="AU109" s="1637">
        <v>892.6</v>
      </c>
      <c r="AV109" s="1548"/>
      <c r="AW109" s="1548"/>
      <c r="AX109" s="1548"/>
      <c r="AY109" s="1546"/>
      <c r="AZ109" s="222">
        <f t="shared" si="46"/>
        <v>0</v>
      </c>
      <c r="BA109" s="1017">
        <f t="shared" si="47"/>
        <v>0</v>
      </c>
      <c r="BB109" s="3"/>
      <c r="BC109" s="113">
        <f t="shared" si="48"/>
        <v>0</v>
      </c>
      <c r="BD109" s="225"/>
      <c r="BE109" s="225"/>
      <c r="BF109" s="225"/>
      <c r="BG109" s="225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130">
        <f t="shared" si="49"/>
        <v>0</v>
      </c>
      <c r="BR109" s="3"/>
    </row>
    <row r="110" ht="14.25" customHeight="1">
      <c r="A110" s="132"/>
      <c r="B110" s="306">
        <v>46116</v>
      </c>
      <c r="C110" s="133">
        <f>13279.32-D110-0</f>
      </c>
      <c r="D110" s="134">
        <v>1274.52</v>
      </c>
      <c r="E110" s="135"/>
      <c r="F110" s="135"/>
      <c r="G110" s="147">
        <f t="shared" si="41"/>
        <v>0</v>
      </c>
      <c r="H110" s="231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42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43"/>
        <v>0</v>
      </c>
      <c r="AH110" s="134">
        <v>5855.17</v>
      </c>
      <c r="AI110" s="134">
        <v>393.52</v>
      </c>
      <c r="AJ110" s="136"/>
      <c r="AK110" s="105">
        <f t="shared" si="44"/>
        <v>0</v>
      </c>
      <c r="AL110" s="145">
        <v>480.16</v>
      </c>
      <c r="AM110" s="143"/>
      <c r="AN110" s="143"/>
      <c r="AO110" s="143"/>
      <c r="AP110" s="146"/>
      <c r="AQ110" s="224">
        <f t="shared" si="45"/>
        <v>0</v>
      </c>
      <c r="AR110" s="1554">
        <v>5669.5</v>
      </c>
      <c r="AS110" s="1546"/>
      <c r="AT110" s="1546"/>
      <c r="AU110" s="1637">
        <v>881.1</v>
      </c>
      <c r="AV110" s="1548"/>
      <c r="AW110" s="1548"/>
      <c r="AX110" s="1548"/>
      <c r="AY110" s="1546"/>
      <c r="AZ110" s="222">
        <f t="shared" si="46"/>
        <v>0</v>
      </c>
      <c r="BA110" s="1018">
        <f t="shared" si="47"/>
        <v>0</v>
      </c>
      <c r="BB110" s="132"/>
      <c r="BC110" s="140">
        <f t="shared" si="48"/>
        <v>0</v>
      </c>
      <c r="BD110" s="126"/>
      <c r="BE110" s="126"/>
      <c r="BF110" s="126"/>
      <c r="BG110" s="126"/>
      <c r="BH110" s="126"/>
      <c r="BI110" s="126"/>
      <c r="BJ110" s="126"/>
      <c r="BK110" s="126"/>
      <c r="BL110" s="126"/>
      <c r="BM110" s="126"/>
      <c r="BN110" s="126"/>
      <c r="BO110" s="126"/>
      <c r="BP110" s="126"/>
      <c r="BQ110" s="130">
        <f t="shared" si="49"/>
        <v>0</v>
      </c>
      <c r="BR110" s="132"/>
    </row>
    <row r="111" ht="14.25" customHeight="1">
      <c r="A111" s="132"/>
      <c r="B111" s="306">
        <v>46117</v>
      </c>
      <c r="C111" s="133">
        <f>16443.94-D111-0</f>
      </c>
      <c r="D111" s="134">
        <v>1406.03</v>
      </c>
      <c r="E111" s="135"/>
      <c r="F111" s="135"/>
      <c r="G111" s="147">
        <f t="shared" si="41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42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43"/>
        <v>0</v>
      </c>
      <c r="AH111" s="134">
        <v>7590.93</v>
      </c>
      <c r="AI111" s="134">
        <v>542.37</v>
      </c>
      <c r="AJ111" s="136"/>
      <c r="AK111" s="105">
        <f t="shared" si="44"/>
        <v>0</v>
      </c>
      <c r="AL111" s="145">
        <v>617.34</v>
      </c>
      <c r="AM111" s="143"/>
      <c r="AN111" s="143"/>
      <c r="AO111" s="143"/>
      <c r="AP111" s="146"/>
      <c r="AQ111" s="224">
        <f t="shared" si="45"/>
        <v>0</v>
      </c>
      <c r="AR111" s="1554">
        <v>6829.8</v>
      </c>
      <c r="AS111" s="1546"/>
      <c r="AT111" s="1546"/>
      <c r="AU111" s="1637">
        <v>863.8</v>
      </c>
      <c r="AV111" s="1548"/>
      <c r="AW111" s="1548"/>
      <c r="AX111" s="1548"/>
      <c r="AY111" s="1546"/>
      <c r="AZ111" s="222">
        <f t="shared" si="46"/>
        <v>0</v>
      </c>
      <c r="BA111" s="1018">
        <f t="shared" si="47"/>
        <v>0</v>
      </c>
      <c r="BB111" s="132"/>
      <c r="BC111" s="140">
        <f t="shared" si="48"/>
        <v>0</v>
      </c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30">
        <f t="shared" si="49"/>
        <v>0</v>
      </c>
      <c r="BR111" s="132"/>
    </row>
    <row r="112" ht="14.25" customHeight="1">
      <c r="A112" s="132"/>
      <c r="B112" s="306">
        <v>46118</v>
      </c>
      <c r="C112" s="133">
        <f>12704.83-D112-0</f>
      </c>
      <c r="D112" s="134">
        <v>1226.49</v>
      </c>
      <c r="E112" s="135"/>
      <c r="F112" s="135"/>
      <c r="G112" s="147">
        <f t="shared" si="41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42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43"/>
        <v>0</v>
      </c>
      <c r="AH112" s="134">
        <v>5075.07</v>
      </c>
      <c r="AI112" s="134">
        <v>359.36</v>
      </c>
      <c r="AJ112" s="136"/>
      <c r="AK112" s="105">
        <f t="shared" si="44"/>
        <v>0</v>
      </c>
      <c r="AL112" s="145">
        <v>474.97</v>
      </c>
      <c r="AM112" s="143"/>
      <c r="AN112" s="143"/>
      <c r="AO112" s="143"/>
      <c r="AP112" s="146"/>
      <c r="AQ112" s="224">
        <f t="shared" si="45"/>
        <v>0</v>
      </c>
      <c r="AR112" s="1554">
        <v>5928.4</v>
      </c>
      <c r="AS112" s="1546"/>
      <c r="AT112" s="1546"/>
      <c r="AU112" s="1637">
        <v>867.1</v>
      </c>
      <c r="AV112" s="1548"/>
      <c r="AW112" s="1548"/>
      <c r="AX112" s="1548"/>
      <c r="AY112" s="1546"/>
      <c r="AZ112" s="222">
        <f t="shared" si="46"/>
        <v>0</v>
      </c>
      <c r="BA112" s="1018">
        <f t="shared" si="47"/>
        <v>0</v>
      </c>
      <c r="BB112" s="132"/>
      <c r="BC112" s="140">
        <f t="shared" si="48"/>
        <v>0</v>
      </c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30">
        <f t="shared" si="49"/>
        <v>0</v>
      </c>
      <c r="BR112" s="132"/>
    </row>
    <row r="113" ht="14.25" customHeight="1">
      <c r="A113" s="132"/>
      <c r="B113" s="306">
        <v>46119</v>
      </c>
      <c r="C113" s="133">
        <f>8479.67-D113-0</f>
      </c>
      <c r="D113" s="134">
        <v>1243.92</v>
      </c>
      <c r="E113" s="135"/>
      <c r="F113" s="135"/>
      <c r="G113" s="147">
        <f t="shared" si="41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42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43"/>
        <v>0</v>
      </c>
      <c r="AH113" s="134">
        <v>3388.79</v>
      </c>
      <c r="AI113" s="134">
        <v>395.29</v>
      </c>
      <c r="AJ113" s="136"/>
      <c r="AK113" s="105">
        <f t="shared" si="44"/>
        <v>0</v>
      </c>
      <c r="AL113" s="145">
        <v>263.48</v>
      </c>
      <c r="AM113" s="143"/>
      <c r="AN113" s="143"/>
      <c r="AO113" s="143"/>
      <c r="AP113" s="146"/>
      <c r="AQ113" s="224">
        <f t="shared" si="45"/>
        <v>0</v>
      </c>
      <c r="AR113" s="1554">
        <v>3583.6</v>
      </c>
      <c r="AS113" s="1546"/>
      <c r="AT113" s="1546"/>
      <c r="AU113" s="1637">
        <v>848.7</v>
      </c>
      <c r="AV113" s="1548"/>
      <c r="AW113" s="1548"/>
      <c r="AX113" s="1548"/>
      <c r="AY113" s="1546"/>
      <c r="AZ113" s="222">
        <f t="shared" si="46"/>
        <v>0</v>
      </c>
      <c r="BA113" s="1018">
        <f t="shared" si="47"/>
        <v>0</v>
      </c>
      <c r="BB113" s="132"/>
      <c r="BC113" s="140">
        <f t="shared" si="48"/>
        <v>0</v>
      </c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30">
        <f t="shared" si="49"/>
        <v>0</v>
      </c>
      <c r="BR113" s="132"/>
    </row>
    <row r="114" ht="14.25" customHeight="1">
      <c r="A114" s="132"/>
      <c r="B114" s="306">
        <v>46120</v>
      </c>
      <c r="C114" s="133">
        <f>12406.71-D114-0</f>
      </c>
      <c r="D114" s="134">
        <v>1029.8</v>
      </c>
      <c r="E114" s="135"/>
      <c r="F114" s="135"/>
      <c r="G114" s="147">
        <f t="shared" si="41"/>
        <v>0</v>
      </c>
      <c r="H114" s="144"/>
      <c r="I114" s="145">
        <v>88.69</v>
      </c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42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43"/>
        <v>0</v>
      </c>
      <c r="AH114" s="134">
        <v>5680.84</v>
      </c>
      <c r="AI114" s="134">
        <v>387.41</v>
      </c>
      <c r="AJ114" s="136"/>
      <c r="AK114" s="105">
        <f t="shared" si="44"/>
        <v>0</v>
      </c>
      <c r="AL114" s="145">
        <v>456.95</v>
      </c>
      <c r="AM114" s="143"/>
      <c r="AN114" s="143"/>
      <c r="AO114" s="143"/>
      <c r="AP114" s="146"/>
      <c r="AQ114" s="224">
        <f t="shared" si="45"/>
        <v>0</v>
      </c>
      <c r="AR114" s="1554">
        <v>5150.5</v>
      </c>
      <c r="AS114" s="1546"/>
      <c r="AT114" s="1546"/>
      <c r="AU114" s="1637">
        <v>642.4</v>
      </c>
      <c r="AV114" s="1548"/>
      <c r="AW114" s="1548"/>
      <c r="AX114" s="1548"/>
      <c r="AY114" s="1546"/>
      <c r="AZ114" s="222">
        <f t="shared" si="46"/>
        <v>0</v>
      </c>
      <c r="BA114" s="1018">
        <f t="shared" si="47"/>
        <v>0</v>
      </c>
      <c r="BB114" s="132"/>
      <c r="BC114" s="140">
        <f t="shared" si="48"/>
        <v>0</v>
      </c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30">
        <f t="shared" si="49"/>
        <v>0</v>
      </c>
      <c r="BR114" s="132"/>
    </row>
    <row r="115" ht="14.25" customHeight="1">
      <c r="A115" s="132"/>
      <c r="B115" s="306">
        <v>46121</v>
      </c>
      <c r="C115" s="133">
        <f>15249.05-D115-0</f>
      </c>
      <c r="D115" s="134">
        <v>1163.61</v>
      </c>
      <c r="E115" s="135"/>
      <c r="F115" s="135"/>
      <c r="G115" s="147">
        <f t="shared" si="41"/>
        <v>0</v>
      </c>
      <c r="H115" s="231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42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43"/>
        <v>0</v>
      </c>
      <c r="AH115" s="134">
        <v>5090.2</v>
      </c>
      <c r="AI115" s="134">
        <v>383.99</v>
      </c>
      <c r="AJ115" s="136"/>
      <c r="AK115" s="105">
        <f t="shared" si="44"/>
        <v>0</v>
      </c>
      <c r="AL115" s="145">
        <v>643.84</v>
      </c>
      <c r="AM115" s="143"/>
      <c r="AN115" s="143"/>
      <c r="AO115" s="143"/>
      <c r="AP115" s="146"/>
      <c r="AQ115" s="224">
        <f t="shared" si="45"/>
        <v>0</v>
      </c>
      <c r="AR115" s="1554">
        <v>8351.5</v>
      </c>
      <c r="AS115" s="1546"/>
      <c r="AT115" s="1546"/>
      <c r="AU115" s="1637">
        <v>779.6</v>
      </c>
      <c r="AV115" s="1548"/>
      <c r="AW115" s="1548"/>
      <c r="AX115" s="1548"/>
      <c r="AY115" s="1546"/>
      <c r="AZ115" s="222">
        <f t="shared" si="46"/>
        <v>0</v>
      </c>
      <c r="BA115" s="1018">
        <f t="shared" si="47"/>
        <v>0</v>
      </c>
      <c r="BB115" s="132"/>
      <c r="BC115" s="140">
        <f t="shared" si="48"/>
        <v>0</v>
      </c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30">
        <f t="shared" si="49"/>
        <v>0</v>
      </c>
      <c r="BR115" s="132"/>
    </row>
    <row r="116" ht="14.25" customHeight="1">
      <c r="A116" s="132"/>
      <c r="B116" s="306">
        <v>46122</v>
      </c>
      <c r="C116" s="133">
        <f>24664.41-D116-0</f>
      </c>
      <c r="D116" s="134">
        <v>1595.11</v>
      </c>
      <c r="E116" s="135"/>
      <c r="F116" s="135"/>
      <c r="G116" s="147">
        <f t="shared" si="41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42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43"/>
        <v>0</v>
      </c>
      <c r="AH116" s="134">
        <v>8058.39</v>
      </c>
      <c r="AI116" s="134">
        <v>640.69</v>
      </c>
      <c r="AJ116" s="136"/>
      <c r="AK116" s="105">
        <f t="shared" si="44"/>
        <v>0</v>
      </c>
      <c r="AL116" s="145">
        <v>1395.95</v>
      </c>
      <c r="AM116" s="143"/>
      <c r="AN116" s="143"/>
      <c r="AO116" s="143"/>
      <c r="AP116" s="146"/>
      <c r="AQ116" s="224">
        <f t="shared" si="45"/>
        <v>0</v>
      </c>
      <c r="AR116" s="1554">
        <v>13615.1</v>
      </c>
      <c r="AS116" s="1546"/>
      <c r="AT116" s="1546"/>
      <c r="AU116" s="1637">
        <v>954.4</v>
      </c>
      <c r="AV116" s="1548"/>
      <c r="AW116" s="1548"/>
      <c r="AX116" s="1548"/>
      <c r="AY116" s="1546"/>
      <c r="AZ116" s="222">
        <f t="shared" si="46"/>
        <v>0</v>
      </c>
      <c r="BA116" s="1018">
        <f t="shared" si="47"/>
        <v>0</v>
      </c>
      <c r="BB116" s="132"/>
      <c r="BC116" s="140">
        <f t="shared" si="48"/>
        <v>0</v>
      </c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30">
        <f t="shared" si="49"/>
        <v>0</v>
      </c>
      <c r="BR116" s="132"/>
    </row>
    <row r="117" ht="14.25" customHeight="1">
      <c r="A117" s="132"/>
      <c r="B117" s="306">
        <v>46123</v>
      </c>
      <c r="C117" s="133">
        <f>32405.35-D117-0</f>
      </c>
      <c r="D117" s="134">
        <v>2047.59</v>
      </c>
      <c r="E117" s="135"/>
      <c r="F117" s="135"/>
      <c r="G117" s="147">
        <f t="shared" si="41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42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43"/>
        <v>0</v>
      </c>
      <c r="AH117" s="134">
        <v>13458.52</v>
      </c>
      <c r="AI117" s="134">
        <v>663.53</v>
      </c>
      <c r="AJ117" s="136"/>
      <c r="AK117" s="105">
        <f t="shared" si="44"/>
        <v>0</v>
      </c>
      <c r="AL117" s="145">
        <v>2085.32</v>
      </c>
      <c r="AM117" s="143"/>
      <c r="AN117" s="143"/>
      <c r="AO117" s="143"/>
      <c r="AP117" s="146"/>
      <c r="AQ117" s="224">
        <f t="shared" si="45"/>
        <v>0</v>
      </c>
      <c r="AR117" s="1554">
        <v>14814.1</v>
      </c>
      <c r="AS117" s="1546"/>
      <c r="AT117" s="1546"/>
      <c r="AU117" s="1637">
        <v>1384</v>
      </c>
      <c r="AV117" s="1548"/>
      <c r="AW117" s="1548"/>
      <c r="AX117" s="1548"/>
      <c r="AY117" s="1546"/>
      <c r="AZ117" s="222">
        <f t="shared" si="46"/>
        <v>0</v>
      </c>
      <c r="BA117" s="1018">
        <f t="shared" si="47"/>
        <v>0</v>
      </c>
      <c r="BB117" s="132"/>
      <c r="BC117" s="140">
        <f t="shared" si="48"/>
        <v>0</v>
      </c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30">
        <f t="shared" si="49"/>
        <v>0</v>
      </c>
      <c r="BR117" s="132"/>
    </row>
    <row r="118" ht="14.25" customHeight="1">
      <c r="A118" s="132"/>
      <c r="B118" s="306">
        <v>46124</v>
      </c>
      <c r="C118" s="133">
        <f>24709.14-D118-0</f>
      </c>
      <c r="D118" s="134">
        <v>2064.86</v>
      </c>
      <c r="E118" s="135"/>
      <c r="F118" s="135"/>
      <c r="G118" s="147">
        <f t="shared" si="41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42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43"/>
        <v>0</v>
      </c>
      <c r="AH118" s="134">
        <v>9302.01</v>
      </c>
      <c r="AI118" s="134">
        <v>790.75</v>
      </c>
      <c r="AJ118" s="136"/>
      <c r="AK118" s="105">
        <f t="shared" si="44"/>
        <v>0</v>
      </c>
      <c r="AL118" s="145">
        <v>1408.2</v>
      </c>
      <c r="AM118" s="143"/>
      <c r="AN118" s="143"/>
      <c r="AO118" s="143"/>
      <c r="AP118" s="146"/>
      <c r="AQ118" s="224">
        <f t="shared" si="45"/>
        <v>0</v>
      </c>
      <c r="AR118" s="1554">
        <v>11934.1</v>
      </c>
      <c r="AS118" s="1546"/>
      <c r="AT118" s="1546"/>
      <c r="AU118" s="1784">
        <v>1274.2</v>
      </c>
      <c r="AV118" s="1785"/>
      <c r="AW118" s="1548"/>
      <c r="AX118" s="1548"/>
      <c r="AY118" s="1546"/>
      <c r="AZ118" s="222">
        <f t="shared" si="46"/>
        <v>0</v>
      </c>
      <c r="BA118" s="1018">
        <f t="shared" si="47"/>
        <v>0</v>
      </c>
      <c r="BB118" s="132"/>
      <c r="BC118" s="140">
        <f t="shared" si="48"/>
        <v>0</v>
      </c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30">
        <f t="shared" si="49"/>
        <v>0</v>
      </c>
      <c r="BR118" s="132"/>
    </row>
    <row r="119" ht="14.25" customHeight="1">
      <c r="A119" s="132"/>
      <c r="B119" s="306">
        <v>46125</v>
      </c>
      <c r="C119" s="133">
        <f>27156.49-D119-0</f>
      </c>
      <c r="D119" s="134">
        <v>3866.68</v>
      </c>
      <c r="E119" s="135"/>
      <c r="F119" s="135"/>
      <c r="G119" s="147">
        <f t="shared" si="41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42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43"/>
        <v>0</v>
      </c>
      <c r="AH119" s="134">
        <v>8986.87</v>
      </c>
      <c r="AI119" s="134">
        <v>1244.38</v>
      </c>
      <c r="AJ119" s="136"/>
      <c r="AK119" s="105">
        <f t="shared" si="44"/>
        <v>0</v>
      </c>
      <c r="AL119" s="145">
        <v>1670.76</v>
      </c>
      <c r="AM119" s="143"/>
      <c r="AN119" s="143"/>
      <c r="AO119" s="143"/>
      <c r="AP119" s="146"/>
      <c r="AQ119" s="224">
        <f t="shared" si="45"/>
        <v>0</v>
      </c>
      <c r="AR119" s="1554">
        <v>12632.2</v>
      </c>
      <c r="AS119" s="1546"/>
      <c r="AT119" s="1546"/>
      <c r="AU119" s="1637">
        <v>2622.4</v>
      </c>
      <c r="AV119" s="1548"/>
      <c r="AW119" s="1548"/>
      <c r="AX119" s="1548"/>
      <c r="AY119" s="1546"/>
      <c r="AZ119" s="222">
        <f t="shared" si="46"/>
        <v>0</v>
      </c>
      <c r="BA119" s="1018">
        <f t="shared" si="47"/>
        <v>0</v>
      </c>
      <c r="BB119" s="132"/>
      <c r="BC119" s="140">
        <f t="shared" si="48"/>
        <v>0</v>
      </c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30">
        <f t="shared" si="49"/>
        <v>0</v>
      </c>
      <c r="BR119" s="132"/>
    </row>
    <row r="120" ht="14.25" customHeight="1">
      <c r="A120" s="132"/>
      <c r="B120" s="306">
        <v>46126</v>
      </c>
      <c r="C120" s="133">
        <f>18106.99-D120-0</f>
      </c>
      <c r="D120" s="134">
        <v>3113.71</v>
      </c>
      <c r="E120" s="135"/>
      <c r="F120" s="135"/>
      <c r="G120" s="147">
        <f t="shared" si="41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42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43"/>
        <v>0</v>
      </c>
      <c r="AH120" s="134">
        <v>5234.59</v>
      </c>
      <c r="AI120" s="134">
        <v>1036.52</v>
      </c>
      <c r="AJ120" s="136"/>
      <c r="AK120" s="105">
        <f t="shared" si="44"/>
        <v>0</v>
      </c>
      <c r="AL120" s="145">
        <v>1138.38</v>
      </c>
      <c r="AM120" s="143"/>
      <c r="AN120" s="143"/>
      <c r="AO120" s="143"/>
      <c r="AP120" s="146"/>
      <c r="AQ120" s="224">
        <f t="shared" si="45"/>
        <v>0</v>
      </c>
      <c r="AR120" s="1554"/>
      <c r="AS120" s="1626"/>
      <c r="AT120" s="1546"/>
      <c r="AU120" s="1637"/>
      <c r="AV120" s="1548"/>
      <c r="AW120" s="1548"/>
      <c r="AX120" s="1548"/>
      <c r="AY120" s="1546"/>
      <c r="AZ120" s="222">
        <f t="shared" si="46"/>
        <v>0</v>
      </c>
      <c r="BA120" s="1018">
        <f t="shared" si="47"/>
        <v>0</v>
      </c>
      <c r="BB120" s="132"/>
      <c r="BC120" s="140">
        <f t="shared" si="48"/>
        <v>0</v>
      </c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30">
        <f t="shared" si="49"/>
        <v>0</v>
      </c>
      <c r="BR120" s="132"/>
    </row>
    <row r="121" ht="14.25" customHeight="1">
      <c r="A121" s="132"/>
      <c r="B121" s="306">
        <v>46127</v>
      </c>
      <c r="C121" s="133">
        <f>11611.13-D121-0</f>
      </c>
      <c r="D121" s="134">
        <v>3276.27</v>
      </c>
      <c r="E121" s="135"/>
      <c r="F121" s="135"/>
      <c r="G121" s="147">
        <f t="shared" si="41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42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43"/>
        <v>0</v>
      </c>
      <c r="AH121" s="134">
        <v>2961.93</v>
      </c>
      <c r="AI121" s="134">
        <v>1012.11</v>
      </c>
      <c r="AJ121" s="136"/>
      <c r="AK121" s="105">
        <f t="shared" si="44"/>
        <v>0</v>
      </c>
      <c r="AL121" s="145">
        <v>619.64</v>
      </c>
      <c r="AM121" s="145">
        <v>0.61</v>
      </c>
      <c r="AN121" s="143"/>
      <c r="AO121" s="143"/>
      <c r="AP121" s="146"/>
      <c r="AQ121" s="224">
        <f t="shared" si="45"/>
        <v>0</v>
      </c>
      <c r="AR121" s="1554">
        <v>4752.7</v>
      </c>
      <c r="AS121" s="1626"/>
      <c r="AT121" s="1546"/>
      <c r="AU121" s="1637">
        <v>2264.3</v>
      </c>
      <c r="AV121" s="1548"/>
      <c r="AW121" s="1548"/>
      <c r="AX121" s="1548"/>
      <c r="AY121" s="1546"/>
      <c r="AZ121" s="222">
        <f t="shared" si="46"/>
        <v>0</v>
      </c>
      <c r="BA121" s="1018">
        <f t="shared" si="47"/>
        <v>0</v>
      </c>
      <c r="BB121" s="132"/>
      <c r="BC121" s="140">
        <f t="shared" si="48"/>
        <v>0</v>
      </c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30">
        <f t="shared" si="49"/>
        <v>0</v>
      </c>
      <c r="BR121" s="132"/>
    </row>
    <row r="122" ht="14.25" customHeight="1">
      <c r="A122" s="132"/>
      <c r="B122" s="306">
        <v>46128</v>
      </c>
      <c r="C122" s="133">
        <f>13147.86-D122-0</f>
      </c>
      <c r="D122" s="134">
        <v>2317.38</v>
      </c>
      <c r="E122" s="135"/>
      <c r="F122" s="135"/>
      <c r="G122" s="147">
        <f t="shared" si="41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42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43"/>
        <v>0</v>
      </c>
      <c r="AH122" s="134">
        <v>4137.2</v>
      </c>
      <c r="AI122" s="134">
        <v>689.74</v>
      </c>
      <c r="AJ122" s="136"/>
      <c r="AK122" s="105">
        <f t="shared" si="44"/>
        <v>0</v>
      </c>
      <c r="AL122" s="145">
        <v>872.01</v>
      </c>
      <c r="AM122" s="143"/>
      <c r="AN122" s="143"/>
      <c r="AO122" s="143"/>
      <c r="AP122" s="146"/>
      <c r="AQ122" s="224">
        <f ref="AQ122:AQ136" t="shared" si="50">+G122-T122-AG122-AK122-AL122-AN122-AO122-AP122-AM122</f>
        <v>0</v>
      </c>
      <c r="AR122" s="1554">
        <v>5821.3</v>
      </c>
      <c r="AS122" s="1546"/>
      <c r="AT122" s="1546"/>
      <c r="AU122" s="1637">
        <v>1627.8</v>
      </c>
      <c r="AV122" s="1548"/>
      <c r="AW122" s="1548"/>
      <c r="AX122" s="1548"/>
      <c r="AY122" s="1546"/>
      <c r="AZ122" s="222">
        <f t="shared" si="46"/>
        <v>0</v>
      </c>
      <c r="BA122" s="1018">
        <f t="shared" si="47"/>
        <v>0</v>
      </c>
      <c r="BB122" s="132"/>
      <c r="BC122" s="140">
        <f t="shared" si="48"/>
        <v>0</v>
      </c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30">
        <f t="shared" si="49"/>
        <v>0</v>
      </c>
      <c r="BR122" s="132"/>
    </row>
    <row r="123" ht="14.25" customHeight="1">
      <c r="A123" s="132"/>
      <c r="B123" s="306">
        <v>46129</v>
      </c>
      <c r="C123" s="133">
        <f>17762.29-D123-0</f>
      </c>
      <c r="D123" s="134">
        <v>2240</v>
      </c>
      <c r="E123" s="135"/>
      <c r="F123" s="135"/>
      <c r="G123" s="147">
        <f t="shared" si="41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42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43"/>
        <v>0</v>
      </c>
      <c r="AH123" s="134">
        <v>5169.69</v>
      </c>
      <c r="AI123" s="134">
        <v>750.69</v>
      </c>
      <c r="AJ123" s="136"/>
      <c r="AK123" s="105">
        <f t="shared" si="44"/>
        <v>0</v>
      </c>
      <c r="AL123" s="145">
        <v>1310.99</v>
      </c>
      <c r="AM123" s="143"/>
      <c r="AN123" s="143"/>
      <c r="AO123" s="143"/>
      <c r="AP123" s="146"/>
      <c r="AQ123" s="224">
        <f t="shared" si="50"/>
        <v>0</v>
      </c>
      <c r="AR123" s="1554">
        <v>8841.7</v>
      </c>
      <c r="AS123" s="1546"/>
      <c r="AT123" s="1546"/>
      <c r="AU123" s="1637">
        <v>1489.4</v>
      </c>
      <c r="AV123" s="1548"/>
      <c r="AW123" s="1548"/>
      <c r="AX123" s="1548"/>
      <c r="AY123" s="1546"/>
      <c r="AZ123" s="222">
        <f t="shared" si="46"/>
        <v>0</v>
      </c>
      <c r="BA123" s="1018">
        <f t="shared" si="47"/>
        <v>0</v>
      </c>
      <c r="BB123" s="132"/>
      <c r="BC123" s="140">
        <f t="shared" si="48"/>
        <v>0</v>
      </c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229"/>
      <c r="BO123" s="126">
        <v>200</v>
      </c>
      <c r="BP123" s="126"/>
      <c r="BQ123" s="130">
        <f t="shared" si="49"/>
        <v>0</v>
      </c>
      <c r="BR123" s="132"/>
    </row>
    <row r="124" ht="14.25" customHeight="1">
      <c r="A124" s="132"/>
      <c r="B124" s="306">
        <v>46130</v>
      </c>
      <c r="C124" s="133">
        <f>24907.02-D124-0</f>
      </c>
      <c r="D124" s="134">
        <v>1982.87</v>
      </c>
      <c r="E124" s="135"/>
      <c r="F124" s="135"/>
      <c r="G124" s="147">
        <f t="shared" si="41"/>
        <v>0</v>
      </c>
      <c r="H124" s="144"/>
      <c r="I124" s="143"/>
      <c r="J124" s="143"/>
      <c r="K124" s="145">
        <v>313.11</v>
      </c>
      <c r="L124" s="143"/>
      <c r="M124" s="143"/>
      <c r="N124" s="143"/>
      <c r="O124" s="143"/>
      <c r="P124" s="143"/>
      <c r="Q124" s="143"/>
      <c r="R124" s="143"/>
      <c r="S124" s="143"/>
      <c r="T124" s="103">
        <f t="shared" si="42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43"/>
        <v>0</v>
      </c>
      <c r="AH124" s="134">
        <v>8554.36</v>
      </c>
      <c r="AI124" s="134">
        <v>836.86</v>
      </c>
      <c r="AJ124" s="136"/>
      <c r="AK124" s="105">
        <f t="shared" si="44"/>
        <v>0</v>
      </c>
      <c r="AL124" s="145">
        <v>1928.02</v>
      </c>
      <c r="AM124" s="143"/>
      <c r="AN124" s="143"/>
      <c r="AO124" s="143"/>
      <c r="AP124" s="146"/>
      <c r="AQ124" s="224">
        <f t="shared" si="50"/>
        <v>0</v>
      </c>
      <c r="AR124" s="1554">
        <v>12128.8</v>
      </c>
      <c r="AS124" s="1546"/>
      <c r="AT124" s="1546"/>
      <c r="AU124" s="1637">
        <v>1146</v>
      </c>
      <c r="AV124" s="1548"/>
      <c r="AW124" s="1548"/>
      <c r="AX124" s="1548"/>
      <c r="AY124" s="1546"/>
      <c r="AZ124" s="222">
        <f t="shared" si="46"/>
        <v>0</v>
      </c>
      <c r="BA124" s="1018">
        <f t="shared" si="47"/>
        <v>0</v>
      </c>
      <c r="BB124" s="132"/>
      <c r="BC124" s="140">
        <f t="shared" si="48"/>
        <v>0</v>
      </c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30">
        <f t="shared" si="49"/>
        <v>0</v>
      </c>
      <c r="BR124" s="132"/>
    </row>
    <row r="125" ht="14.25" customHeight="1">
      <c r="A125" s="132"/>
      <c r="B125" s="306">
        <v>46131</v>
      </c>
      <c r="C125" s="133">
        <f>19443.75-D125-0</f>
      </c>
      <c r="D125" s="134">
        <v>1904.43</v>
      </c>
      <c r="E125" s="135"/>
      <c r="F125" s="135"/>
      <c r="G125" s="147">
        <f t="shared" si="41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42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43"/>
        <v>0</v>
      </c>
      <c r="AH125" s="134">
        <v>4461.93</v>
      </c>
      <c r="AI125" s="134">
        <v>722.31</v>
      </c>
      <c r="AJ125" s="136"/>
      <c r="AK125" s="105">
        <f t="shared" si="44"/>
        <v>0</v>
      </c>
      <c r="AL125" s="145">
        <v>1562.01</v>
      </c>
      <c r="AM125" s="143"/>
      <c r="AN125" s="143"/>
      <c r="AO125" s="143"/>
      <c r="AP125" s="146"/>
      <c r="AQ125" s="224">
        <f t="shared" si="50"/>
        <v>0</v>
      </c>
      <c r="AR125" s="1554">
        <v>11515.5</v>
      </c>
      <c r="AS125" s="1546"/>
      <c r="AT125" s="1546"/>
      <c r="AU125" s="1637">
        <v>1182.1</v>
      </c>
      <c r="AV125" s="1548"/>
      <c r="AW125" s="1548"/>
      <c r="AX125" s="1548"/>
      <c r="AY125" s="1546"/>
      <c r="AZ125" s="222">
        <f t="shared" si="46"/>
        <v>0</v>
      </c>
      <c r="BA125" s="1018">
        <f t="shared" si="47"/>
        <v>0</v>
      </c>
      <c r="BB125" s="132"/>
      <c r="BC125" s="140">
        <f t="shared" si="48"/>
        <v>0</v>
      </c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30">
        <f t="shared" si="49"/>
        <v>0</v>
      </c>
      <c r="BR125" s="132"/>
    </row>
    <row r="126" ht="14.25" customHeight="1">
      <c r="A126" s="132"/>
      <c r="B126" s="306">
        <v>46132</v>
      </c>
      <c r="C126" s="133">
        <f>20575.82-D126-0</f>
      </c>
      <c r="D126" s="134">
        <v>2378.01</v>
      </c>
      <c r="E126" s="135"/>
      <c r="F126" s="135"/>
      <c r="G126" s="147">
        <f t="shared" si="41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03">
        <f t="shared" si="42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43"/>
        <v>0</v>
      </c>
      <c r="AH126" s="134">
        <v>5593.97</v>
      </c>
      <c r="AI126" s="134">
        <v>762.35</v>
      </c>
      <c r="AJ126" s="136"/>
      <c r="AK126" s="105">
        <f t="shared" si="44"/>
        <v>0</v>
      </c>
      <c r="AL126" s="145">
        <v>1617.93</v>
      </c>
      <c r="AM126" s="143"/>
      <c r="AN126" s="143"/>
      <c r="AO126" s="143"/>
      <c r="AP126" s="146"/>
      <c r="AQ126" s="224">
        <f t="shared" si="50"/>
        <v>0</v>
      </c>
      <c r="AR126" s="1554">
        <v>10986.1</v>
      </c>
      <c r="AS126" s="1546"/>
      <c r="AT126" s="1546"/>
      <c r="AU126" s="1637">
        <v>1615.7</v>
      </c>
      <c r="AV126" s="1548"/>
      <c r="AW126" s="1548"/>
      <c r="AX126" s="1548"/>
      <c r="AY126" s="1546"/>
      <c r="AZ126" s="222">
        <f t="shared" si="46"/>
        <v>0</v>
      </c>
      <c r="BA126" s="1018">
        <f t="shared" si="47"/>
        <v>0</v>
      </c>
      <c r="BB126" s="132"/>
      <c r="BC126" s="140">
        <f t="shared" si="48"/>
        <v>0</v>
      </c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30">
        <f t="shared" si="49"/>
        <v>0</v>
      </c>
      <c r="BR126" s="132"/>
    </row>
    <row r="127" ht="14.25" customHeight="1">
      <c r="A127" s="132"/>
      <c r="B127" s="306">
        <v>46133</v>
      </c>
      <c r="C127" s="133">
        <f>16648.94-D127-0</f>
      </c>
      <c r="D127" s="134">
        <v>2773.76</v>
      </c>
      <c r="E127" s="135"/>
      <c r="F127" s="135"/>
      <c r="G127" s="147">
        <f t="shared" si="41"/>
        <v>0</v>
      </c>
      <c r="H127" s="144"/>
      <c r="I127" s="143"/>
      <c r="J127" s="143"/>
      <c r="K127" s="145">
        <v>402.59</v>
      </c>
      <c r="L127" s="143"/>
      <c r="M127" s="143"/>
      <c r="N127" s="143"/>
      <c r="O127" s="143"/>
      <c r="P127" s="143"/>
      <c r="Q127" s="143"/>
      <c r="R127" s="143"/>
      <c r="S127" s="143"/>
      <c r="T127" s="103">
        <f t="shared" si="42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43"/>
        <v>0</v>
      </c>
      <c r="AH127" s="134">
        <v>5423.95</v>
      </c>
      <c r="AI127" s="134">
        <v>989.62</v>
      </c>
      <c r="AJ127" s="136"/>
      <c r="AK127" s="105">
        <f t="shared" si="44"/>
        <v>0</v>
      </c>
      <c r="AL127" s="145">
        <v>1075.6</v>
      </c>
      <c r="AM127" s="143"/>
      <c r="AN127" s="143"/>
      <c r="AO127" s="143"/>
      <c r="AP127" s="146"/>
      <c r="AQ127" s="224">
        <f t="shared" si="50"/>
        <v>0</v>
      </c>
      <c r="AR127" s="1554">
        <v>6973.1</v>
      </c>
      <c r="AS127" s="1546"/>
      <c r="AT127" s="1546"/>
      <c r="AU127" s="1723">
        <v>1784.2</v>
      </c>
      <c r="AV127" s="1548"/>
      <c r="AW127" s="1548"/>
      <c r="AX127" s="1548"/>
      <c r="AY127" s="1546"/>
      <c r="AZ127" s="222">
        <f t="shared" si="46"/>
        <v>0</v>
      </c>
      <c r="BA127" s="1018">
        <f t="shared" si="47"/>
        <v>0</v>
      </c>
      <c r="BB127" s="132"/>
      <c r="BC127" s="140">
        <f t="shared" si="48"/>
        <v>0</v>
      </c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30">
        <f t="shared" si="49"/>
        <v>0</v>
      </c>
      <c r="BR127" s="132"/>
    </row>
    <row r="128" ht="14.25" customHeight="1">
      <c r="A128" s="132"/>
      <c r="B128" s="306">
        <v>46134</v>
      </c>
      <c r="C128" s="133">
        <f>13051.12-D128-0</f>
      </c>
      <c r="D128" s="134">
        <v>2727</v>
      </c>
      <c r="E128" s="135"/>
      <c r="F128" s="135"/>
      <c r="G128" s="147">
        <f t="shared" si="41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42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43"/>
        <v>0</v>
      </c>
      <c r="AH128" s="134">
        <v>2632.06</v>
      </c>
      <c r="AI128" s="134">
        <v>906.09</v>
      </c>
      <c r="AJ128" s="136"/>
      <c r="AK128" s="105">
        <f t="shared" si="44"/>
        <v>0</v>
      </c>
      <c r="AL128" s="145">
        <v>905.8</v>
      </c>
      <c r="AM128" s="143"/>
      <c r="AN128" s="143"/>
      <c r="AO128" s="143"/>
      <c r="AP128" s="146"/>
      <c r="AQ128" s="224">
        <f t="shared" si="50"/>
        <v>0</v>
      </c>
      <c r="AR128" s="1554">
        <v>6786.3</v>
      </c>
      <c r="AS128" s="1546"/>
      <c r="AT128" s="1546"/>
      <c r="AU128" s="1723">
        <v>1821</v>
      </c>
      <c r="AV128" s="1548"/>
      <c r="AW128" s="1548"/>
      <c r="AX128" s="1548"/>
      <c r="AY128" s="1546"/>
      <c r="AZ128" s="222">
        <f t="shared" si="46"/>
        <v>0</v>
      </c>
      <c r="BA128" s="1018">
        <f t="shared" si="47"/>
        <v>0</v>
      </c>
      <c r="BB128" s="132"/>
      <c r="BC128" s="140">
        <f t="shared" si="48"/>
        <v>0</v>
      </c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30">
        <f t="shared" si="49"/>
        <v>0</v>
      </c>
      <c r="BR128" s="132"/>
    </row>
    <row r="129" ht="14.25" customHeight="1">
      <c r="A129" s="5"/>
      <c r="B129" s="306">
        <v>46135</v>
      </c>
      <c r="C129" s="133">
        <f>9407.81-D129-0</f>
      </c>
      <c r="D129" s="134">
        <v>1831.86</v>
      </c>
      <c r="E129" s="135"/>
      <c r="F129" s="135"/>
      <c r="G129" s="147">
        <f t="shared" si="41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42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43"/>
        <v>0</v>
      </c>
      <c r="AH129" s="134">
        <v>2730.77</v>
      </c>
      <c r="AI129" s="134">
        <v>536.75</v>
      </c>
      <c r="AJ129" s="136"/>
      <c r="AK129" s="105">
        <f t="shared" si="44"/>
        <v>0</v>
      </c>
      <c r="AL129" s="145">
        <v>735.85</v>
      </c>
      <c r="AM129" s="143"/>
      <c r="AN129" s="143"/>
      <c r="AO129" s="143"/>
      <c r="AP129" s="146"/>
      <c r="AQ129" s="224">
        <f t="shared" si="50"/>
        <v>0</v>
      </c>
      <c r="AR129" s="1554">
        <v>4110.9</v>
      </c>
      <c r="AS129" s="1626"/>
      <c r="AT129" s="1546"/>
      <c r="AU129" s="1723">
        <v>1293.7</v>
      </c>
      <c r="AV129" s="1548"/>
      <c r="AW129" s="1548"/>
      <c r="AX129" s="1548"/>
      <c r="AY129" s="1546"/>
      <c r="AZ129" s="222">
        <f t="shared" si="46"/>
        <v>0</v>
      </c>
      <c r="BA129" s="1018">
        <f t="shared" si="47"/>
        <v>0</v>
      </c>
      <c r="BB129" s="132"/>
      <c r="BC129" s="140">
        <f t="shared" si="48"/>
        <v>0</v>
      </c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30">
        <f t="shared" si="49"/>
        <v>0</v>
      </c>
      <c r="BR129" s="132"/>
    </row>
    <row r="130" ht="14.25" customHeight="1">
      <c r="A130" s="132"/>
      <c r="B130" s="306">
        <v>46136</v>
      </c>
      <c r="C130" s="133">
        <f>11277.07-D130-0</f>
      </c>
      <c r="D130" s="134">
        <v>2084.2</v>
      </c>
      <c r="E130" s="135"/>
      <c r="F130" s="135"/>
      <c r="G130" s="147">
        <f t="shared" si="41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42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43"/>
        <v>0</v>
      </c>
      <c r="AH130" s="134">
        <v>3053.24</v>
      </c>
      <c r="AI130" s="134">
        <v>770.62</v>
      </c>
      <c r="AJ130" s="136"/>
      <c r="AK130" s="105">
        <f t="shared" si="44"/>
        <v>0</v>
      </c>
      <c r="AL130" s="145">
        <v>718.09</v>
      </c>
      <c r="AM130" s="143"/>
      <c r="AN130" s="143"/>
      <c r="AO130" s="143"/>
      <c r="AP130" s="146"/>
      <c r="AQ130" s="224">
        <f t="shared" si="50"/>
        <v>0</v>
      </c>
      <c r="AR130" s="1554">
        <v>5421.7</v>
      </c>
      <c r="AS130" s="1546"/>
      <c r="AT130" s="1546"/>
      <c r="AU130" s="1723">
        <v>1313.6</v>
      </c>
      <c r="AV130" s="1548"/>
      <c r="AW130" s="1548"/>
      <c r="AX130" s="1548"/>
      <c r="AY130" s="1546"/>
      <c r="AZ130" s="222">
        <f t="shared" si="46"/>
        <v>0</v>
      </c>
      <c r="BA130" s="1018">
        <f t="shared" si="47"/>
        <v>0</v>
      </c>
      <c r="BB130" s="132"/>
      <c r="BC130" s="140">
        <f t="shared" si="48"/>
        <v>0</v>
      </c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30">
        <f t="shared" si="49"/>
        <v>0</v>
      </c>
      <c r="BR130" s="132"/>
    </row>
    <row r="131" ht="14.25" customHeight="1">
      <c r="A131" s="132"/>
      <c r="B131" s="306">
        <v>46137</v>
      </c>
      <c r="C131" s="133">
        <f>19411.18-D131-0</f>
      </c>
      <c r="D131" s="134">
        <v>2012.75</v>
      </c>
      <c r="E131" s="135"/>
      <c r="F131" s="135"/>
      <c r="G131" s="147">
        <f t="shared" si="41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42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43"/>
        <v>0</v>
      </c>
      <c r="AH131" s="134">
        <v>6386.71</v>
      </c>
      <c r="AI131" s="134">
        <v>669.84</v>
      </c>
      <c r="AJ131" s="136"/>
      <c r="AK131" s="105">
        <f t="shared" si="44"/>
        <v>0</v>
      </c>
      <c r="AL131" s="145">
        <v>1296.26</v>
      </c>
      <c r="AM131" s="143"/>
      <c r="AN131" s="143"/>
      <c r="AO131" s="143"/>
      <c r="AP131" s="146"/>
      <c r="AQ131" s="224">
        <f t="shared" si="50"/>
        <v>0</v>
      </c>
      <c r="AR131" s="1554">
        <v>9665.5</v>
      </c>
      <c r="AS131" s="1546"/>
      <c r="AT131" s="1546"/>
      <c r="AU131" s="1723">
        <v>1342.9</v>
      </c>
      <c r="AV131" s="1548"/>
      <c r="AW131" s="1548"/>
      <c r="AX131" s="1548"/>
      <c r="AY131" s="1546"/>
      <c r="AZ131" s="222">
        <f t="shared" si="46"/>
        <v>0</v>
      </c>
      <c r="BA131" s="1018">
        <f t="shared" si="47"/>
        <v>0</v>
      </c>
      <c r="BB131" s="132"/>
      <c r="BC131" s="140">
        <f t="shared" si="48"/>
        <v>0</v>
      </c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30">
        <f t="shared" si="49"/>
        <v>0</v>
      </c>
      <c r="BR131" s="132"/>
    </row>
    <row r="132" ht="14.25" customHeight="1">
      <c r="A132" s="132"/>
      <c r="B132" s="306">
        <v>46138</v>
      </c>
      <c r="C132" s="133">
        <f>17484.23-D132-0</f>
      </c>
      <c r="D132" s="134">
        <v>1651.82</v>
      </c>
      <c r="E132" s="135"/>
      <c r="F132" s="135"/>
      <c r="G132" s="147">
        <f t="shared" si="41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42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43"/>
        <v>0</v>
      </c>
      <c r="AH132" s="134">
        <v>4978.54</v>
      </c>
      <c r="AI132" s="134">
        <v>498.7</v>
      </c>
      <c r="AJ132" s="136"/>
      <c r="AK132" s="105">
        <f t="shared" si="44"/>
        <v>0</v>
      </c>
      <c r="AL132" s="145">
        <v>1208.78</v>
      </c>
      <c r="AM132" s="143"/>
      <c r="AN132" s="143"/>
      <c r="AO132" s="143"/>
      <c r="AP132" s="146"/>
      <c r="AQ132" s="224">
        <f t="shared" si="50"/>
        <v>0</v>
      </c>
      <c r="AR132" s="1554">
        <v>9645.2</v>
      </c>
      <c r="AS132" s="1546"/>
      <c r="AT132" s="1546"/>
      <c r="AU132" s="1723">
        <v>1153.1</v>
      </c>
      <c r="AV132" s="1548"/>
      <c r="AW132" s="1548"/>
      <c r="AX132" s="1548"/>
      <c r="AY132" s="1546"/>
      <c r="AZ132" s="222">
        <f t="shared" si="46"/>
        <v>0</v>
      </c>
      <c r="BA132" s="1018">
        <f t="shared" si="47"/>
        <v>0</v>
      </c>
      <c r="BB132" s="132"/>
      <c r="BC132" s="140">
        <f t="shared" si="48"/>
        <v>0</v>
      </c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30">
        <f t="shared" si="49"/>
        <v>0</v>
      </c>
      <c r="BR132" s="132"/>
    </row>
    <row r="133" ht="14.25" customHeight="1">
      <c r="A133" s="132"/>
      <c r="B133" s="306">
        <v>46139</v>
      </c>
      <c r="C133" s="133">
        <f>17920.04-D133-0</f>
      </c>
      <c r="D133" s="134">
        <v>1366.72</v>
      </c>
      <c r="E133" s="135"/>
      <c r="F133" s="135"/>
      <c r="G133" s="147">
        <f t="shared" si="41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42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43"/>
        <v>0</v>
      </c>
      <c r="AH133" s="134">
        <v>5116.1</v>
      </c>
      <c r="AI133" s="134">
        <v>411.27</v>
      </c>
      <c r="AJ133" s="136"/>
      <c r="AK133" s="105">
        <f t="shared" si="44"/>
        <v>0</v>
      </c>
      <c r="AL133" s="145">
        <v>1260.12</v>
      </c>
      <c r="AM133" s="143"/>
      <c r="AN133" s="143"/>
      <c r="AO133" s="143"/>
      <c r="AP133" s="146"/>
      <c r="AQ133" s="224">
        <f t="shared" si="50"/>
        <v>0</v>
      </c>
      <c r="AR133" s="1554">
        <v>10177.3</v>
      </c>
      <c r="AS133" s="1546"/>
      <c r="AT133" s="1546"/>
      <c r="AU133" s="1723">
        <v>955.5</v>
      </c>
      <c r="AV133" s="1548"/>
      <c r="AW133" s="1548"/>
      <c r="AX133" s="1548"/>
      <c r="AY133" s="1546"/>
      <c r="AZ133" s="222">
        <f t="shared" si="46"/>
        <v>0</v>
      </c>
      <c r="BA133" s="1018">
        <f t="shared" si="47"/>
        <v>0</v>
      </c>
      <c r="BB133" s="132"/>
      <c r="BC133" s="140">
        <f t="shared" si="48"/>
        <v>0</v>
      </c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30">
        <f t="shared" si="49"/>
        <v>0</v>
      </c>
      <c r="BR133" s="132"/>
    </row>
    <row r="134" ht="14.25" customHeight="1">
      <c r="A134" s="132"/>
      <c r="B134" s="306">
        <v>46140</v>
      </c>
      <c r="C134" s="133">
        <f>16002.06-D134-0</f>
      </c>
      <c r="D134" s="134">
        <v>1521.25</v>
      </c>
      <c r="E134" s="135"/>
      <c r="F134" s="135"/>
      <c r="G134" s="147">
        <f t="shared" si="41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42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43"/>
        <v>0</v>
      </c>
      <c r="AH134" s="134">
        <v>2272.49</v>
      </c>
      <c r="AI134" s="134">
        <v>417.77</v>
      </c>
      <c r="AJ134" s="136"/>
      <c r="AK134" s="105">
        <f t="shared" si="44"/>
        <v>0</v>
      </c>
      <c r="AL134" s="145">
        <v>1242.22</v>
      </c>
      <c r="AM134" s="145">
        <v>0.58</v>
      </c>
      <c r="AN134" s="143"/>
      <c r="AO134" s="143"/>
      <c r="AP134" s="146"/>
      <c r="AQ134" s="224">
        <f t="shared" si="50"/>
        <v>0</v>
      </c>
      <c r="AR134" s="1554">
        <v>10873.4</v>
      </c>
      <c r="AS134" s="1546"/>
      <c r="AT134" s="1546"/>
      <c r="AU134" s="1723">
        <v>1102.9</v>
      </c>
      <c r="AV134" s="1548"/>
      <c r="AW134" s="1548"/>
      <c r="AX134" s="1548"/>
      <c r="AY134" s="1546"/>
      <c r="AZ134" s="222">
        <f t="shared" si="46"/>
        <v>0</v>
      </c>
      <c r="BA134" s="1018">
        <f t="shared" si="47"/>
        <v>0</v>
      </c>
      <c r="BB134" s="132"/>
      <c r="BC134" s="140">
        <f t="shared" si="48"/>
        <v>0</v>
      </c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229"/>
      <c r="BO134" s="126">
        <v>92.9</v>
      </c>
      <c r="BP134" s="126"/>
      <c r="BQ134" s="130">
        <f t="shared" si="49"/>
        <v>0</v>
      </c>
      <c r="BR134" s="132"/>
    </row>
    <row r="135" ht="14.25" customHeight="1">
      <c r="A135" s="132"/>
      <c r="B135" s="306">
        <v>46141</v>
      </c>
      <c r="C135" s="133">
        <f>12101.16-D135-0</f>
      </c>
      <c r="D135" s="134">
        <v>1791.6</v>
      </c>
      <c r="E135" s="135"/>
      <c r="F135" s="135"/>
      <c r="G135" s="147">
        <f t="shared" si="41"/>
        <v>0</v>
      </c>
      <c r="H135" s="144"/>
      <c r="I135" s="145">
        <v>398</v>
      </c>
      <c r="J135" s="143"/>
      <c r="K135" s="145">
        <v>200</v>
      </c>
      <c r="L135" s="143"/>
      <c r="M135" s="143"/>
      <c r="N135" s="143"/>
      <c r="O135" s="143"/>
      <c r="P135" s="143"/>
      <c r="Q135" s="143"/>
      <c r="R135" s="143"/>
      <c r="S135" s="143"/>
      <c r="T135" s="103">
        <f t="shared" si="42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43"/>
        <v>0</v>
      </c>
      <c r="AH135" s="134">
        <v>2556.95</v>
      </c>
      <c r="AI135" s="134">
        <v>554.13</v>
      </c>
      <c r="AJ135" s="136"/>
      <c r="AK135" s="105">
        <f t="shared" si="44"/>
        <v>0</v>
      </c>
      <c r="AL135" s="145">
        <v>769.67</v>
      </c>
      <c r="AM135" s="143"/>
      <c r="AN135" s="143"/>
      <c r="AO135" s="143"/>
      <c r="AP135" s="146"/>
      <c r="AQ135" s="224">
        <f t="shared" si="50"/>
        <v>0</v>
      </c>
      <c r="AR135" s="1554">
        <v>6385</v>
      </c>
      <c r="AS135" s="1546"/>
      <c r="AT135" s="1546"/>
      <c r="AU135" s="1723">
        <v>1237.5</v>
      </c>
      <c r="AV135" s="1548"/>
      <c r="AW135" s="1548"/>
      <c r="AX135" s="1548"/>
      <c r="AY135" s="1546"/>
      <c r="AZ135" s="222">
        <f t="shared" si="46"/>
        <v>0</v>
      </c>
      <c r="BA135" s="1018">
        <f t="shared" si="47"/>
        <v>0</v>
      </c>
      <c r="BB135" s="132"/>
      <c r="BC135" s="140">
        <f t="shared" si="48"/>
        <v>0</v>
      </c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30">
        <f t="shared" si="49"/>
        <v>0</v>
      </c>
      <c r="BR135" s="132"/>
    </row>
    <row r="136" ht="14.25" customHeight="1">
      <c r="A136" s="132"/>
      <c r="B136" s="306">
        <v>46142</v>
      </c>
      <c r="C136" s="133">
        <f>20973.48-D136-0</f>
      </c>
      <c r="D136" s="134">
        <v>2769.62</v>
      </c>
      <c r="E136" s="135"/>
      <c r="F136" s="135"/>
      <c r="G136" s="147">
        <f t="shared" si="41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42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43"/>
        <v>0</v>
      </c>
      <c r="AH136" s="134">
        <v>6168.67</v>
      </c>
      <c r="AI136" s="134">
        <v>985.13</v>
      </c>
      <c r="AJ136" s="136"/>
      <c r="AK136" s="105">
        <f t="shared" si="44"/>
        <v>0</v>
      </c>
      <c r="AL136" s="145">
        <v>1671.18</v>
      </c>
      <c r="AM136" s="145">
        <v>1.03</v>
      </c>
      <c r="AN136" s="143"/>
      <c r="AO136" s="143"/>
      <c r="AP136" s="146"/>
      <c r="AQ136" s="224">
        <f t="shared" si="50"/>
        <v>0</v>
      </c>
      <c r="AR136" s="1642">
        <v>10364.1</v>
      </c>
      <c r="AS136" s="1557"/>
      <c r="AT136" s="1557"/>
      <c r="AU136" s="1725">
        <v>1783.5</v>
      </c>
      <c r="AV136" s="1548"/>
      <c r="AW136" s="1548"/>
      <c r="AX136" s="1548"/>
      <c r="AY136" s="1557"/>
      <c r="AZ136" s="222">
        <f t="shared" si="46"/>
        <v>0</v>
      </c>
      <c r="BA136" s="1018">
        <f t="shared" si="47"/>
        <v>0</v>
      </c>
      <c r="BB136" s="132"/>
      <c r="BC136" s="140">
        <f t="shared" si="48"/>
        <v>0</v>
      </c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30">
        <f t="shared" si="49"/>
        <v>0</v>
      </c>
      <c r="BR136" s="132"/>
    </row>
    <row r="137" ht="14.25" customHeight="1">
      <c r="A137" s="22"/>
      <c r="B137" s="1019" t="s">
        <v>78</v>
      </c>
      <c r="C137" s="1020">
        <f ref="C137:G137" t="shared" si="51">SUM(C107:C136)</f>
        <v>0</v>
      </c>
      <c r="D137" s="1020">
        <f t="shared" si="51"/>
        <v>0</v>
      </c>
      <c r="E137" s="1020">
        <f t="shared" si="51"/>
        <v>0</v>
      </c>
      <c r="F137" s="1020">
        <f t="shared" si="51"/>
        <v>0</v>
      </c>
      <c r="G137" s="1020">
        <f t="shared" si="51"/>
        <v>0</v>
      </c>
      <c r="H137" s="1021">
        <f>SUMIF(H107:H136,"&gt;0")</f>
        <v>0</v>
      </c>
      <c r="I137" s="1021">
        <f ref="I137:BA137" t="shared" si="52">SUM(I107:I136)</f>
        <v>0</v>
      </c>
      <c r="J137" s="1021">
        <f t="shared" si="52"/>
        <v>0</v>
      </c>
      <c r="K137" s="1021">
        <f t="shared" si="52"/>
        <v>0</v>
      </c>
      <c r="L137" s="1021">
        <f t="shared" si="52"/>
        <v>0</v>
      </c>
      <c r="M137" s="1021">
        <f t="shared" si="52"/>
        <v>0</v>
      </c>
      <c r="N137" s="1021">
        <f t="shared" si="52"/>
        <v>0</v>
      </c>
      <c r="O137" s="1021">
        <f t="shared" si="52"/>
        <v>0</v>
      </c>
      <c r="P137" s="1021">
        <f t="shared" si="52"/>
        <v>0</v>
      </c>
      <c r="Q137" s="1021">
        <f t="shared" si="52"/>
        <v>0</v>
      </c>
      <c r="R137" s="1021">
        <f t="shared" si="52"/>
        <v>0</v>
      </c>
      <c r="S137" s="1020">
        <f t="shared" si="52"/>
        <v>0</v>
      </c>
      <c r="T137" s="1020">
        <f t="shared" si="52"/>
        <v>0</v>
      </c>
      <c r="U137" s="1020">
        <f t="shared" si="52"/>
        <v>0</v>
      </c>
      <c r="V137" s="1020">
        <f t="shared" si="52"/>
        <v>0</v>
      </c>
      <c r="W137" s="1020">
        <f t="shared" si="52"/>
        <v>0</v>
      </c>
      <c r="X137" s="1020">
        <f t="shared" si="52"/>
        <v>0</v>
      </c>
      <c r="Y137" s="1020">
        <f t="shared" si="52"/>
        <v>0</v>
      </c>
      <c r="Z137" s="1020">
        <f t="shared" si="52"/>
        <v>0</v>
      </c>
      <c r="AA137" s="1020">
        <f t="shared" si="52"/>
        <v>0</v>
      </c>
      <c r="AB137" s="1020">
        <f t="shared" si="52"/>
        <v>0</v>
      </c>
      <c r="AC137" s="1020">
        <f t="shared" si="52"/>
        <v>0</v>
      </c>
      <c r="AD137" s="1020">
        <f t="shared" si="52"/>
        <v>0</v>
      </c>
      <c r="AE137" s="1020">
        <f t="shared" si="52"/>
        <v>0</v>
      </c>
      <c r="AF137" s="1020">
        <f t="shared" si="52"/>
        <v>0</v>
      </c>
      <c r="AG137" s="1020">
        <f t="shared" si="52"/>
        <v>0</v>
      </c>
      <c r="AH137" s="1020">
        <f t="shared" si="52"/>
        <v>0</v>
      </c>
      <c r="AI137" s="1020">
        <f t="shared" si="52"/>
        <v>0</v>
      </c>
      <c r="AJ137" s="1020">
        <f t="shared" si="52"/>
        <v>0</v>
      </c>
      <c r="AK137" s="1020">
        <f t="shared" si="52"/>
        <v>0</v>
      </c>
      <c r="AL137" s="1020">
        <f t="shared" si="52"/>
        <v>0</v>
      </c>
      <c r="AM137" s="1020">
        <f t="shared" si="52"/>
        <v>0</v>
      </c>
      <c r="AN137" s="1020">
        <f t="shared" si="52"/>
        <v>0</v>
      </c>
      <c r="AO137" s="1020">
        <f t="shared" si="52"/>
        <v>0</v>
      </c>
      <c r="AP137" s="1020">
        <f t="shared" si="52"/>
        <v>0</v>
      </c>
      <c r="AQ137" s="1020">
        <f t="shared" si="52"/>
        <v>0</v>
      </c>
      <c r="AR137" s="810">
        <f t="shared" si="52"/>
        <v>0</v>
      </c>
      <c r="AS137" s="810">
        <f t="shared" si="52"/>
        <v>0</v>
      </c>
      <c r="AT137" s="810">
        <f t="shared" si="52"/>
        <v>0</v>
      </c>
      <c r="AU137" s="810">
        <f t="shared" si="52"/>
        <v>0</v>
      </c>
      <c r="AV137" s="810">
        <f t="shared" si="52"/>
        <v>0</v>
      </c>
      <c r="AW137" s="810">
        <f t="shared" si="52"/>
        <v>0</v>
      </c>
      <c r="AX137" s="810">
        <f t="shared" si="52"/>
        <v>0</v>
      </c>
      <c r="AY137" s="810">
        <f t="shared" si="52"/>
        <v>0</v>
      </c>
      <c r="AZ137" s="1020">
        <f t="shared" si="52"/>
        <v>0</v>
      </c>
      <c r="BA137" s="1020">
        <f t="shared" si="52"/>
        <v>0</v>
      </c>
      <c r="BB137" s="132"/>
      <c r="BC137" s="1020">
        <f ref="BC137:BQ137" t="shared" si="53">SUM(BC107:BC136)</f>
        <v>0</v>
      </c>
      <c r="BD137" s="1020">
        <f t="shared" si="53"/>
        <v>0</v>
      </c>
      <c r="BE137" s="1020">
        <f t="shared" si="53"/>
        <v>0</v>
      </c>
      <c r="BF137" s="1020">
        <f t="shared" si="53"/>
        <v>0</v>
      </c>
      <c r="BG137" s="1020">
        <f t="shared" si="53"/>
        <v>0</v>
      </c>
      <c r="BH137" s="1020">
        <f t="shared" si="53"/>
        <v>0</v>
      </c>
      <c r="BI137" s="1020">
        <f t="shared" si="53"/>
        <v>0</v>
      </c>
      <c r="BJ137" s="1020">
        <f t="shared" si="53"/>
        <v>0</v>
      </c>
      <c r="BK137" s="1020">
        <f t="shared" si="53"/>
        <v>0</v>
      </c>
      <c r="BL137" s="1020">
        <f t="shared" si="53"/>
        <v>0</v>
      </c>
      <c r="BM137" s="1020">
        <f t="shared" si="53"/>
        <v>0</v>
      </c>
      <c r="BN137" s="1020">
        <f t="shared" si="53"/>
        <v>0</v>
      </c>
      <c r="BO137" s="1020">
        <f t="shared" si="53"/>
        <v>0</v>
      </c>
      <c r="BP137" s="1020">
        <f t="shared" si="53"/>
        <v>0</v>
      </c>
      <c r="BQ137" s="1020">
        <f t="shared" si="53"/>
        <v>0</v>
      </c>
      <c r="BR137" s="132"/>
    </row>
    <row r="138" ht="14.25" customHeight="1">
      <c r="A138" s="1022"/>
      <c r="B138" s="1023" t="s">
        <v>11</v>
      </c>
      <c r="C138" s="3"/>
      <c r="D138" s="3"/>
      <c r="E138" s="3"/>
      <c r="F138" s="3"/>
      <c r="G138" s="4"/>
      <c r="H138" s="517">
        <f ref="H138:R138" t="shared" si="54">SUMIF(H107:H136,"&lt;0")</f>
        <v>0</v>
      </c>
      <c r="I138" s="517">
        <f t="shared" si="54"/>
        <v>0</v>
      </c>
      <c r="J138" s="517">
        <f t="shared" si="54"/>
        <v>0</v>
      </c>
      <c r="K138" s="517">
        <f t="shared" si="54"/>
        <v>0</v>
      </c>
      <c r="L138" s="517">
        <f t="shared" si="54"/>
        <v>0</v>
      </c>
      <c r="M138" s="517">
        <f t="shared" si="54"/>
        <v>0</v>
      </c>
      <c r="N138" s="517">
        <f t="shared" si="54"/>
        <v>0</v>
      </c>
      <c r="O138" s="517">
        <f t="shared" si="54"/>
        <v>0</v>
      </c>
      <c r="P138" s="517">
        <f t="shared" si="54"/>
        <v>0</v>
      </c>
      <c r="Q138" s="517">
        <f t="shared" si="54"/>
        <v>0</v>
      </c>
      <c r="R138" s="517">
        <f t="shared" si="54"/>
        <v>0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ht="14.25" customHeight="1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ht="14.25" customHeight="1">
      <c r="A140" s="132"/>
      <c r="B140" s="791">
        <v>46143</v>
      </c>
      <c r="C140" s="1024"/>
      <c r="D140" s="1025"/>
      <c r="E140" s="182"/>
      <c r="F140" s="182"/>
      <c r="G140" s="216">
        <f ref="G140:G170" t="shared" si="55">+C140+D140+E140+F140</f>
        <v>0</v>
      </c>
      <c r="H140" s="1009"/>
      <c r="I140" s="1010"/>
      <c r="J140" s="1010"/>
      <c r="K140" s="1010"/>
      <c r="L140" s="1010"/>
      <c r="M140" s="1010"/>
      <c r="N140" s="1010"/>
      <c r="O140" s="1010"/>
      <c r="P140" s="1010"/>
      <c r="Q140" s="1010"/>
      <c r="R140" s="1010"/>
      <c r="S140" s="1010"/>
      <c r="T140" s="1012">
        <f ref="T140:T170" t="shared" si="56">SUM(H140:S140)</f>
        <v>0</v>
      </c>
      <c r="U140" s="1010"/>
      <c r="V140" s="1010"/>
      <c r="W140" s="1010"/>
      <c r="X140" s="1010"/>
      <c r="Y140" s="1010"/>
      <c r="Z140" s="1010"/>
      <c r="AA140" s="1010"/>
      <c r="AB140" s="1010"/>
      <c r="AC140" s="1010"/>
      <c r="AD140" s="1010"/>
      <c r="AE140" s="1010"/>
      <c r="AF140" s="1010"/>
      <c r="AG140" s="1012">
        <f ref="AG140:AG170" t="shared" si="57">SUM(U140:AF140)</f>
        <v>0</v>
      </c>
      <c r="AH140" s="1025"/>
      <c r="AI140" s="1025"/>
      <c r="AJ140" s="1026"/>
      <c r="AK140" s="1014">
        <f ref="AK140:AK170" t="shared" si="58">SUM(AH140:AJ140)</f>
        <v>0</v>
      </c>
      <c r="AL140" s="1011"/>
      <c r="AM140" s="1010"/>
      <c r="AN140" s="1010"/>
      <c r="AO140" s="1010"/>
      <c r="AP140" s="1015"/>
      <c r="AQ140" s="219">
        <f ref="AQ140:AQ170" t="shared" si="59">+G140-T140-AG140-AK140-AL140-AN140-AO140-AP140-AM140</f>
        <v>0</v>
      </c>
      <c r="AR140" s="938"/>
      <c r="AS140" s="639"/>
      <c r="AT140" s="639"/>
      <c r="AU140" s="938"/>
      <c r="AV140" s="639"/>
      <c r="AW140" s="639"/>
      <c r="AX140" s="639"/>
      <c r="AY140" s="639"/>
      <c r="AZ140" s="678">
        <f ref="AZ140:AZ170" t="shared" si="60">SUM(AR140:AY140)-AX140</f>
        <v>0</v>
      </c>
      <c r="BA140" s="679">
        <f ref="BA140:BA170" t="shared" si="61">+AQ140-AZ140</f>
        <v>0</v>
      </c>
      <c r="BB140" s="132"/>
      <c r="BC140" s="195">
        <f ref="BC140:BC170" t="shared" si="62">SUM(BD140:BP140)</f>
        <v>0</v>
      </c>
      <c r="BD140" s="196"/>
      <c r="BE140" s="196"/>
      <c r="BF140" s="196"/>
      <c r="BG140" s="196"/>
      <c r="BH140" s="196"/>
      <c r="BI140" s="196"/>
      <c r="BJ140" s="196"/>
      <c r="BK140" s="196"/>
      <c r="BL140" s="196"/>
      <c r="BM140" s="196"/>
      <c r="BN140" s="196"/>
      <c r="BO140" s="196"/>
      <c r="BP140" s="196"/>
      <c r="BQ140" s="116">
        <f ref="BQ140:BQ170" t="shared" si="63">+BA140-BC140</f>
        <v>0</v>
      </c>
      <c r="BR140" s="132"/>
    </row>
    <row r="141" ht="14.25" customHeight="1">
      <c r="A141" s="132"/>
      <c r="B141" s="791">
        <v>46144</v>
      </c>
      <c r="C141" s="133"/>
      <c r="D141" s="134"/>
      <c r="E141" s="135"/>
      <c r="F141" s="135"/>
      <c r="G141" s="147">
        <f t="shared" si="55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56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57"/>
        <v>0</v>
      </c>
      <c r="AH141" s="134"/>
      <c r="AI141" s="134"/>
      <c r="AJ141" s="136"/>
      <c r="AK141" s="105">
        <f t="shared" si="58"/>
        <v>0</v>
      </c>
      <c r="AL141" s="145"/>
      <c r="AM141" s="145"/>
      <c r="AN141" s="143"/>
      <c r="AO141" s="143"/>
      <c r="AP141" s="146"/>
      <c r="AQ141" s="219">
        <f t="shared" si="59"/>
        <v>0</v>
      </c>
      <c r="AR141" s="939"/>
      <c r="AS141" s="496"/>
      <c r="AT141" s="274"/>
      <c r="AU141" s="939"/>
      <c r="AV141" s="274"/>
      <c r="AW141" s="274"/>
      <c r="AX141" s="274"/>
      <c r="AY141" s="274"/>
      <c r="AZ141" s="222">
        <f t="shared" si="60"/>
        <v>0</v>
      </c>
      <c r="BA141" s="140">
        <f t="shared" si="61"/>
        <v>0</v>
      </c>
      <c r="BB141" s="132"/>
      <c r="BC141" s="140">
        <f t="shared" si="62"/>
        <v>0</v>
      </c>
      <c r="BD141" s="141"/>
      <c r="BE141" s="141"/>
      <c r="BF141" s="141"/>
      <c r="BG141" s="141"/>
      <c r="BH141" s="141"/>
      <c r="BI141" s="141"/>
      <c r="BJ141" s="141"/>
      <c r="BK141" s="141"/>
      <c r="BL141" s="141"/>
      <c r="BM141" s="141"/>
      <c r="BN141" s="150"/>
      <c r="BO141" s="141"/>
      <c r="BP141" s="141"/>
      <c r="BQ141" s="130">
        <f t="shared" si="63"/>
        <v>0</v>
      </c>
      <c r="BR141" s="132"/>
    </row>
    <row r="142" ht="14.25" customHeight="1">
      <c r="A142" s="132"/>
      <c r="B142" s="791">
        <v>46145</v>
      </c>
      <c r="C142" s="133"/>
      <c r="D142" s="134"/>
      <c r="E142" s="135"/>
      <c r="F142" s="135"/>
      <c r="G142" s="147">
        <f t="shared" si="55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56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57"/>
        <v>0</v>
      </c>
      <c r="AH142" s="134"/>
      <c r="AI142" s="134"/>
      <c r="AJ142" s="136"/>
      <c r="AK142" s="105">
        <f t="shared" si="58"/>
        <v>0</v>
      </c>
      <c r="AL142" s="145"/>
      <c r="AM142" s="143"/>
      <c r="AN142" s="143"/>
      <c r="AO142" s="143"/>
      <c r="AP142" s="146"/>
      <c r="AQ142" s="219">
        <f t="shared" si="59"/>
        <v>0</v>
      </c>
      <c r="AR142" s="939"/>
      <c r="AS142" s="274"/>
      <c r="AT142" s="274"/>
      <c r="AU142" s="939"/>
      <c r="AV142" s="274"/>
      <c r="AW142" s="274"/>
      <c r="AX142" s="274"/>
      <c r="AY142" s="274"/>
      <c r="AZ142" s="222">
        <f t="shared" si="60"/>
        <v>0</v>
      </c>
      <c r="BA142" s="140">
        <f t="shared" si="61"/>
        <v>0</v>
      </c>
      <c r="BB142" s="132"/>
      <c r="BC142" s="140">
        <f t="shared" si="62"/>
        <v>0</v>
      </c>
      <c r="BD142" s="141"/>
      <c r="BE142" s="141"/>
      <c r="BF142" s="141"/>
      <c r="BG142" s="141"/>
      <c r="BH142" s="141"/>
      <c r="BI142" s="141"/>
      <c r="BJ142" s="141"/>
      <c r="BK142" s="141"/>
      <c r="BL142" s="141"/>
      <c r="BM142" s="141"/>
      <c r="BN142" s="141"/>
      <c r="BO142" s="141"/>
      <c r="BP142" s="141"/>
      <c r="BQ142" s="130">
        <f t="shared" si="63"/>
        <v>0</v>
      </c>
      <c r="BR142" s="132"/>
    </row>
    <row r="143" ht="14.25" customHeight="1">
      <c r="A143" s="132"/>
      <c r="B143" s="791">
        <v>46146</v>
      </c>
      <c r="C143" s="136"/>
      <c r="D143" s="134"/>
      <c r="E143" s="135"/>
      <c r="F143" s="135"/>
      <c r="G143" s="147">
        <f t="shared" si="55"/>
        <v>0</v>
      </c>
      <c r="H143" s="144"/>
      <c r="I143" s="143"/>
      <c r="J143" s="143"/>
      <c r="K143" s="145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56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57"/>
        <v>0</v>
      </c>
      <c r="AH143" s="134"/>
      <c r="AI143" s="134"/>
      <c r="AJ143" s="136"/>
      <c r="AK143" s="105">
        <f t="shared" si="58"/>
        <v>0</v>
      </c>
      <c r="AL143" s="145"/>
      <c r="AM143" s="145"/>
      <c r="AN143" s="143"/>
      <c r="AO143" s="143"/>
      <c r="AP143" s="146"/>
      <c r="AQ143" s="219">
        <f t="shared" si="59"/>
        <v>0</v>
      </c>
      <c r="AR143" s="939"/>
      <c r="AS143" s="274"/>
      <c r="AT143" s="274"/>
      <c r="AU143" s="939"/>
      <c r="AV143" s="274"/>
      <c r="AW143" s="274"/>
      <c r="AX143" s="274"/>
      <c r="AY143" s="274"/>
      <c r="AZ143" s="222">
        <f t="shared" si="60"/>
        <v>0</v>
      </c>
      <c r="BA143" s="140">
        <f t="shared" si="61"/>
        <v>0</v>
      </c>
      <c r="BB143" s="132"/>
      <c r="BC143" s="140">
        <f t="shared" si="62"/>
        <v>0</v>
      </c>
      <c r="BD143" s="141"/>
      <c r="BE143" s="141"/>
      <c r="BF143" s="141"/>
      <c r="BG143" s="141"/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30">
        <f t="shared" si="63"/>
        <v>0</v>
      </c>
      <c r="BR143" s="132"/>
    </row>
    <row r="144" ht="14.25" customHeight="1">
      <c r="A144" s="132"/>
      <c r="B144" s="791">
        <v>46147</v>
      </c>
      <c r="C144" s="133"/>
      <c r="D144" s="134"/>
      <c r="E144" s="135"/>
      <c r="F144" s="135"/>
      <c r="G144" s="147">
        <f t="shared" si="55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56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57"/>
        <v>0</v>
      </c>
      <c r="AH144" s="134"/>
      <c r="AI144" s="134"/>
      <c r="AJ144" s="136"/>
      <c r="AK144" s="105">
        <f t="shared" si="58"/>
        <v>0</v>
      </c>
      <c r="AL144" s="145"/>
      <c r="AM144" s="143"/>
      <c r="AN144" s="143"/>
      <c r="AO144" s="143"/>
      <c r="AP144" s="146"/>
      <c r="AQ144" s="219">
        <f t="shared" si="59"/>
        <v>0</v>
      </c>
      <c r="AR144" s="939"/>
      <c r="AS144" s="274"/>
      <c r="AT144" s="274"/>
      <c r="AU144" s="939"/>
      <c r="AV144" s="274"/>
      <c r="AW144" s="274"/>
      <c r="AX144" s="274"/>
      <c r="AY144" s="274"/>
      <c r="AZ144" s="222">
        <f t="shared" si="60"/>
        <v>0</v>
      </c>
      <c r="BA144" s="140">
        <f t="shared" si="61"/>
        <v>0</v>
      </c>
      <c r="BB144" s="132"/>
      <c r="BC144" s="140">
        <f t="shared" si="62"/>
        <v>0</v>
      </c>
      <c r="BD144" s="141"/>
      <c r="BE144" s="141"/>
      <c r="BF144" s="141"/>
      <c r="BG144" s="141"/>
      <c r="BH144" s="141"/>
      <c r="BI144" s="141"/>
      <c r="BJ144" s="141"/>
      <c r="BK144" s="141"/>
      <c r="BL144" s="141"/>
      <c r="BM144" s="141"/>
      <c r="BN144" s="150"/>
      <c r="BO144" s="141"/>
      <c r="BP144" s="141"/>
      <c r="BQ144" s="130">
        <f t="shared" si="63"/>
        <v>0</v>
      </c>
      <c r="BR144" s="132"/>
    </row>
    <row r="145" ht="14.25" customHeight="1">
      <c r="A145" s="132"/>
      <c r="B145" s="791">
        <v>46148</v>
      </c>
      <c r="C145" s="133"/>
      <c r="D145" s="134"/>
      <c r="E145" s="135"/>
      <c r="F145" s="135"/>
      <c r="G145" s="147">
        <f t="shared" si="55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56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57"/>
        <v>0</v>
      </c>
      <c r="AH145" s="134"/>
      <c r="AI145" s="134"/>
      <c r="AJ145" s="136"/>
      <c r="AK145" s="105">
        <f t="shared" si="58"/>
        <v>0</v>
      </c>
      <c r="AL145" s="145"/>
      <c r="AM145" s="145"/>
      <c r="AN145" s="143"/>
      <c r="AO145" s="143"/>
      <c r="AP145" s="146"/>
      <c r="AQ145" s="219">
        <f t="shared" si="59"/>
        <v>0</v>
      </c>
      <c r="AR145" s="939"/>
      <c r="AS145" s="274"/>
      <c r="AT145" s="274"/>
      <c r="AU145" s="939"/>
      <c r="AV145" s="274"/>
      <c r="AW145" s="274"/>
      <c r="AX145" s="274"/>
      <c r="AY145" s="274"/>
      <c r="AZ145" s="222">
        <f t="shared" si="60"/>
        <v>0</v>
      </c>
      <c r="BA145" s="140">
        <f t="shared" si="61"/>
        <v>0</v>
      </c>
      <c r="BB145" s="132"/>
      <c r="BC145" s="140">
        <f t="shared" si="62"/>
        <v>0</v>
      </c>
      <c r="BD145" s="141"/>
      <c r="BE145" s="141"/>
      <c r="BF145" s="141"/>
      <c r="BG145" s="141"/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30">
        <f t="shared" si="63"/>
        <v>0</v>
      </c>
      <c r="BR145" s="132"/>
    </row>
    <row r="146" ht="14.25" customHeight="1">
      <c r="A146" s="132"/>
      <c r="B146" s="791">
        <v>46149</v>
      </c>
      <c r="C146" s="133"/>
      <c r="D146" s="136"/>
      <c r="E146" s="135"/>
      <c r="F146" s="135"/>
      <c r="G146" s="147">
        <f t="shared" si="55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56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57"/>
        <v>0</v>
      </c>
      <c r="AH146" s="136"/>
      <c r="AI146" s="136"/>
      <c r="AJ146" s="136"/>
      <c r="AK146" s="105">
        <f t="shared" si="58"/>
        <v>0</v>
      </c>
      <c r="AL146" s="143"/>
      <c r="AM146" s="143"/>
      <c r="AN146" s="143"/>
      <c r="AO146" s="143"/>
      <c r="AP146" s="146"/>
      <c r="AQ146" s="219">
        <f t="shared" si="59"/>
        <v>0</v>
      </c>
      <c r="AR146" s="863"/>
      <c r="AS146" s="274"/>
      <c r="AT146" s="274"/>
      <c r="AU146" s="863"/>
      <c r="AV146" s="274"/>
      <c r="AW146" s="274"/>
      <c r="AX146" s="274"/>
      <c r="AY146" s="274"/>
      <c r="AZ146" s="222">
        <f t="shared" si="60"/>
        <v>0</v>
      </c>
      <c r="BA146" s="140">
        <f t="shared" si="61"/>
        <v>0</v>
      </c>
      <c r="BB146" s="132"/>
      <c r="BC146" s="140">
        <f t="shared" si="62"/>
        <v>0</v>
      </c>
      <c r="BD146" s="141"/>
      <c r="BE146" s="141"/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30">
        <f t="shared" si="63"/>
        <v>0</v>
      </c>
      <c r="BR146" s="132"/>
    </row>
    <row r="147" ht="14.25" customHeight="1">
      <c r="A147" s="132"/>
      <c r="B147" s="791">
        <v>46150</v>
      </c>
      <c r="C147" s="133"/>
      <c r="D147" s="136"/>
      <c r="E147" s="135"/>
      <c r="F147" s="135"/>
      <c r="G147" s="147">
        <f t="shared" si="55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56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57"/>
        <v>0</v>
      </c>
      <c r="AH147" s="136"/>
      <c r="AI147" s="136"/>
      <c r="AJ147" s="136"/>
      <c r="AK147" s="105">
        <f t="shared" si="58"/>
        <v>0</v>
      </c>
      <c r="AL147" s="143"/>
      <c r="AM147" s="143"/>
      <c r="AN147" s="143"/>
      <c r="AO147" s="143"/>
      <c r="AP147" s="146"/>
      <c r="AQ147" s="219">
        <f t="shared" si="59"/>
        <v>0</v>
      </c>
      <c r="AR147" s="863"/>
      <c r="AS147" s="274"/>
      <c r="AT147" s="274"/>
      <c r="AU147" s="863"/>
      <c r="AV147" s="274"/>
      <c r="AW147" s="274"/>
      <c r="AX147" s="274"/>
      <c r="AY147" s="274"/>
      <c r="AZ147" s="222">
        <f t="shared" si="60"/>
        <v>0</v>
      </c>
      <c r="BA147" s="140">
        <f t="shared" si="61"/>
        <v>0</v>
      </c>
      <c r="BB147" s="132"/>
      <c r="BC147" s="140">
        <f t="shared" si="62"/>
        <v>0</v>
      </c>
      <c r="BD147" s="141"/>
      <c r="BE147" s="141"/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30">
        <f t="shared" si="63"/>
        <v>0</v>
      </c>
      <c r="BR147" s="132"/>
    </row>
    <row r="148" ht="14.25" customHeight="1">
      <c r="A148" s="132"/>
      <c r="B148" s="791">
        <v>46151</v>
      </c>
      <c r="C148" s="133"/>
      <c r="D148" s="136"/>
      <c r="E148" s="135"/>
      <c r="F148" s="135"/>
      <c r="G148" s="147">
        <f t="shared" si="55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56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57"/>
        <v>0</v>
      </c>
      <c r="AH148" s="136"/>
      <c r="AI148" s="136"/>
      <c r="AJ148" s="136"/>
      <c r="AK148" s="105">
        <f t="shared" si="58"/>
        <v>0</v>
      </c>
      <c r="AL148" s="143"/>
      <c r="AM148" s="143"/>
      <c r="AN148" s="143"/>
      <c r="AO148" s="143"/>
      <c r="AP148" s="146"/>
      <c r="AQ148" s="219">
        <f t="shared" si="59"/>
        <v>0</v>
      </c>
      <c r="AR148" s="863"/>
      <c r="AS148" s="274"/>
      <c r="AT148" s="274"/>
      <c r="AU148" s="863"/>
      <c r="AV148" s="274"/>
      <c r="AW148" s="274"/>
      <c r="AX148" s="274"/>
      <c r="AY148" s="274"/>
      <c r="AZ148" s="222">
        <f t="shared" si="60"/>
        <v>0</v>
      </c>
      <c r="BA148" s="140">
        <f t="shared" si="61"/>
        <v>0</v>
      </c>
      <c r="BB148" s="132"/>
      <c r="BC148" s="140">
        <f t="shared" si="62"/>
        <v>0</v>
      </c>
      <c r="BD148" s="141"/>
      <c r="BE148" s="141"/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30">
        <f t="shared" si="63"/>
        <v>0</v>
      </c>
      <c r="BR148" s="132"/>
    </row>
    <row r="149" ht="14.25" customHeight="1">
      <c r="A149" s="132"/>
      <c r="B149" s="791">
        <v>46152</v>
      </c>
      <c r="C149" s="133"/>
      <c r="D149" s="136"/>
      <c r="E149" s="135"/>
      <c r="F149" s="135"/>
      <c r="G149" s="147">
        <f t="shared" si="55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56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57"/>
        <v>0</v>
      </c>
      <c r="AH149" s="136"/>
      <c r="AI149" s="136"/>
      <c r="AJ149" s="136"/>
      <c r="AK149" s="105">
        <f t="shared" si="58"/>
        <v>0</v>
      </c>
      <c r="AL149" s="143"/>
      <c r="AM149" s="143"/>
      <c r="AN149" s="143"/>
      <c r="AO149" s="143"/>
      <c r="AP149" s="146"/>
      <c r="AQ149" s="219">
        <f t="shared" si="59"/>
        <v>0</v>
      </c>
      <c r="AR149" s="863"/>
      <c r="AS149" s="274"/>
      <c r="AT149" s="274"/>
      <c r="AU149" s="863"/>
      <c r="AV149" s="274"/>
      <c r="AW149" s="274"/>
      <c r="AX149" s="274"/>
      <c r="AY149" s="274"/>
      <c r="AZ149" s="222">
        <f t="shared" si="60"/>
        <v>0</v>
      </c>
      <c r="BA149" s="140">
        <f t="shared" si="61"/>
        <v>0</v>
      </c>
      <c r="BB149" s="132"/>
      <c r="BC149" s="140">
        <f t="shared" si="62"/>
        <v>0</v>
      </c>
      <c r="BD149" s="141"/>
      <c r="BE149" s="141"/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30">
        <f t="shared" si="63"/>
        <v>0</v>
      </c>
      <c r="BR149" s="132"/>
    </row>
    <row r="150" ht="14.25" customHeight="1">
      <c r="A150" s="132"/>
      <c r="B150" s="791">
        <v>46153</v>
      </c>
      <c r="C150" s="133"/>
      <c r="D150" s="136"/>
      <c r="E150" s="135"/>
      <c r="F150" s="135"/>
      <c r="G150" s="147">
        <f t="shared" si="55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56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57"/>
        <v>0</v>
      </c>
      <c r="AH150" s="136"/>
      <c r="AI150" s="136"/>
      <c r="AJ150" s="136"/>
      <c r="AK150" s="105">
        <f t="shared" si="58"/>
        <v>0</v>
      </c>
      <c r="AL150" s="143"/>
      <c r="AM150" s="143"/>
      <c r="AN150" s="143"/>
      <c r="AO150" s="143"/>
      <c r="AP150" s="146"/>
      <c r="AQ150" s="219">
        <f t="shared" si="59"/>
        <v>0</v>
      </c>
      <c r="AR150" s="863"/>
      <c r="AS150" s="274"/>
      <c r="AT150" s="274"/>
      <c r="AU150" s="863"/>
      <c r="AV150" s="274"/>
      <c r="AW150" s="274"/>
      <c r="AX150" s="274"/>
      <c r="AY150" s="274"/>
      <c r="AZ150" s="222">
        <f t="shared" si="60"/>
        <v>0</v>
      </c>
      <c r="BA150" s="140">
        <f t="shared" si="61"/>
        <v>0</v>
      </c>
      <c r="BB150" s="132"/>
      <c r="BC150" s="140">
        <f t="shared" si="62"/>
        <v>0</v>
      </c>
      <c r="BD150" s="141"/>
      <c r="BE150" s="141"/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30">
        <f t="shared" si="63"/>
        <v>0</v>
      </c>
      <c r="BR150" s="132"/>
    </row>
    <row r="151" ht="14.25" customHeight="1">
      <c r="A151" s="132"/>
      <c r="B151" s="791">
        <v>46154</v>
      </c>
      <c r="C151" s="133"/>
      <c r="D151" s="136"/>
      <c r="E151" s="135"/>
      <c r="F151" s="135"/>
      <c r="G151" s="147">
        <f t="shared" si="55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56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57"/>
        <v>0</v>
      </c>
      <c r="AH151" s="136"/>
      <c r="AI151" s="136"/>
      <c r="AJ151" s="136"/>
      <c r="AK151" s="105">
        <f t="shared" si="58"/>
        <v>0</v>
      </c>
      <c r="AL151" s="143"/>
      <c r="AM151" s="143"/>
      <c r="AN151" s="143"/>
      <c r="AO151" s="143"/>
      <c r="AP151" s="146"/>
      <c r="AQ151" s="219">
        <f t="shared" si="59"/>
        <v>0</v>
      </c>
      <c r="AR151" s="863"/>
      <c r="AS151" s="274"/>
      <c r="AT151" s="274"/>
      <c r="AU151" s="863"/>
      <c r="AV151" s="274"/>
      <c r="AW151" s="274"/>
      <c r="AX151" s="274"/>
      <c r="AY151" s="274"/>
      <c r="AZ151" s="222">
        <f t="shared" si="60"/>
        <v>0</v>
      </c>
      <c r="BA151" s="140">
        <f t="shared" si="61"/>
        <v>0</v>
      </c>
      <c r="BB151" s="132"/>
      <c r="BC151" s="140">
        <f t="shared" si="62"/>
        <v>0</v>
      </c>
      <c r="BD151" s="141"/>
      <c r="BE151" s="141"/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30">
        <f t="shared" si="63"/>
        <v>0</v>
      </c>
      <c r="BR151" s="132"/>
    </row>
    <row r="152" ht="14.25" customHeight="1">
      <c r="A152" s="132"/>
      <c r="B152" s="791">
        <v>46155</v>
      </c>
      <c r="C152" s="133"/>
      <c r="D152" s="136"/>
      <c r="E152" s="135"/>
      <c r="F152" s="135"/>
      <c r="G152" s="147">
        <f t="shared" si="55"/>
        <v>0</v>
      </c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56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57"/>
        <v>0</v>
      </c>
      <c r="AH152" s="136"/>
      <c r="AI152" s="136"/>
      <c r="AJ152" s="136"/>
      <c r="AK152" s="105">
        <f t="shared" si="58"/>
        <v>0</v>
      </c>
      <c r="AL152" s="143"/>
      <c r="AM152" s="143"/>
      <c r="AN152" s="143"/>
      <c r="AO152" s="143"/>
      <c r="AP152" s="146"/>
      <c r="AQ152" s="219">
        <f t="shared" si="59"/>
        <v>0</v>
      </c>
      <c r="AR152" s="863"/>
      <c r="AS152" s="274"/>
      <c r="AT152" s="274"/>
      <c r="AU152" s="863"/>
      <c r="AV152" s="274"/>
      <c r="AW152" s="274"/>
      <c r="AX152" s="274"/>
      <c r="AY152" s="274"/>
      <c r="AZ152" s="222">
        <f t="shared" si="60"/>
        <v>0</v>
      </c>
      <c r="BA152" s="140">
        <f t="shared" si="61"/>
        <v>0</v>
      </c>
      <c r="BB152" s="132"/>
      <c r="BC152" s="140">
        <f t="shared" si="62"/>
        <v>0</v>
      </c>
      <c r="BD152" s="141"/>
      <c r="BE152" s="141"/>
      <c r="BF152" s="141"/>
      <c r="BG152" s="141"/>
      <c r="BH152" s="141"/>
      <c r="BI152" s="141"/>
      <c r="BJ152" s="141"/>
      <c r="BK152" s="141"/>
      <c r="BL152" s="141"/>
      <c r="BM152" s="141"/>
      <c r="BN152" s="385"/>
      <c r="BO152" s="141"/>
      <c r="BP152" s="141"/>
      <c r="BQ152" s="130">
        <f t="shared" si="63"/>
        <v>0</v>
      </c>
      <c r="BR152" s="132"/>
    </row>
    <row r="153" ht="14.25" customHeight="1">
      <c r="A153" s="132"/>
      <c r="B153" s="791">
        <v>46156</v>
      </c>
      <c r="C153" s="133"/>
      <c r="D153" s="136"/>
      <c r="E153" s="135"/>
      <c r="F153" s="135"/>
      <c r="G153" s="147">
        <f t="shared" si="55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56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57"/>
        <v>0</v>
      </c>
      <c r="AH153" s="136"/>
      <c r="AI153" s="136"/>
      <c r="AJ153" s="136"/>
      <c r="AK153" s="105">
        <f t="shared" si="58"/>
        <v>0</v>
      </c>
      <c r="AL153" s="143"/>
      <c r="AM153" s="143"/>
      <c r="AN153" s="143"/>
      <c r="AO153" s="143"/>
      <c r="AP153" s="146"/>
      <c r="AQ153" s="219">
        <f t="shared" si="59"/>
        <v>0</v>
      </c>
      <c r="AR153" s="863"/>
      <c r="AS153" s="274"/>
      <c r="AT153" s="274"/>
      <c r="AU153" s="863"/>
      <c r="AV153" s="274"/>
      <c r="AW153" s="274"/>
      <c r="AX153" s="274"/>
      <c r="AY153" s="274"/>
      <c r="AZ153" s="222">
        <f t="shared" si="60"/>
        <v>0</v>
      </c>
      <c r="BA153" s="140">
        <f t="shared" si="61"/>
        <v>0</v>
      </c>
      <c r="BB153" s="132"/>
      <c r="BC153" s="140">
        <f t="shared" si="62"/>
        <v>0</v>
      </c>
      <c r="BD153" s="141"/>
      <c r="BE153" s="141"/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30">
        <f t="shared" si="63"/>
        <v>0</v>
      </c>
      <c r="BR153" s="132"/>
    </row>
    <row r="154" ht="14.25" customHeight="1">
      <c r="A154" s="132"/>
      <c r="B154" s="791">
        <v>46157</v>
      </c>
      <c r="C154" s="133"/>
      <c r="D154" s="136"/>
      <c r="E154" s="135"/>
      <c r="F154" s="135"/>
      <c r="G154" s="147">
        <f t="shared" si="55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56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57"/>
        <v>0</v>
      </c>
      <c r="AH154" s="136"/>
      <c r="AI154" s="136"/>
      <c r="AJ154" s="136"/>
      <c r="AK154" s="105">
        <f t="shared" si="58"/>
        <v>0</v>
      </c>
      <c r="AL154" s="143"/>
      <c r="AM154" s="143"/>
      <c r="AN154" s="143"/>
      <c r="AO154" s="143"/>
      <c r="AP154" s="146"/>
      <c r="AQ154" s="219">
        <f t="shared" si="59"/>
        <v>0</v>
      </c>
      <c r="AR154" s="863"/>
      <c r="AS154" s="274"/>
      <c r="AT154" s="274"/>
      <c r="AU154" s="863"/>
      <c r="AV154" s="274"/>
      <c r="AW154" s="274"/>
      <c r="AX154" s="274"/>
      <c r="AY154" s="274"/>
      <c r="AZ154" s="222">
        <f t="shared" si="60"/>
        <v>0</v>
      </c>
      <c r="BA154" s="140">
        <f t="shared" si="61"/>
        <v>0</v>
      </c>
      <c r="BB154" s="132"/>
      <c r="BC154" s="140">
        <f t="shared" si="62"/>
        <v>0</v>
      </c>
      <c r="BD154" s="141"/>
      <c r="BE154" s="141"/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30">
        <f t="shared" si="63"/>
        <v>0</v>
      </c>
      <c r="BR154" s="132"/>
    </row>
    <row r="155" ht="14.25" customHeight="1">
      <c r="A155" s="132"/>
      <c r="B155" s="791">
        <v>46158</v>
      </c>
      <c r="C155" s="133"/>
      <c r="D155" s="136"/>
      <c r="E155" s="135"/>
      <c r="F155" s="135"/>
      <c r="G155" s="147">
        <f t="shared" si="55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56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57"/>
        <v>0</v>
      </c>
      <c r="AH155" s="136"/>
      <c r="AI155" s="136"/>
      <c r="AJ155" s="136"/>
      <c r="AK155" s="105">
        <f t="shared" si="58"/>
        <v>0</v>
      </c>
      <c r="AL155" s="143"/>
      <c r="AM155" s="143"/>
      <c r="AN155" s="143"/>
      <c r="AO155" s="143"/>
      <c r="AP155" s="146"/>
      <c r="AQ155" s="219">
        <f t="shared" si="59"/>
        <v>0</v>
      </c>
      <c r="AR155" s="863"/>
      <c r="AS155" s="274"/>
      <c r="AT155" s="274"/>
      <c r="AU155" s="863"/>
      <c r="AV155" s="274"/>
      <c r="AW155" s="274"/>
      <c r="AX155" s="274"/>
      <c r="AY155" s="274"/>
      <c r="AZ155" s="222">
        <f t="shared" si="60"/>
        <v>0</v>
      </c>
      <c r="BA155" s="140">
        <f t="shared" si="61"/>
        <v>0</v>
      </c>
      <c r="BB155" s="132"/>
      <c r="BC155" s="140">
        <f t="shared" si="62"/>
        <v>0</v>
      </c>
      <c r="BD155" s="141"/>
      <c r="BE155" s="141"/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30">
        <f t="shared" si="63"/>
        <v>0</v>
      </c>
      <c r="BR155" s="132"/>
    </row>
    <row r="156" ht="14.25" customHeight="1">
      <c r="A156" s="132"/>
      <c r="B156" s="791">
        <v>46159</v>
      </c>
      <c r="C156" s="133"/>
      <c r="D156" s="136"/>
      <c r="E156" s="135"/>
      <c r="F156" s="135"/>
      <c r="G156" s="147">
        <f t="shared" si="55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56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57"/>
        <v>0</v>
      </c>
      <c r="AH156" s="136"/>
      <c r="AI156" s="136"/>
      <c r="AJ156" s="136"/>
      <c r="AK156" s="105">
        <f t="shared" si="58"/>
        <v>0</v>
      </c>
      <c r="AL156" s="143"/>
      <c r="AM156" s="143"/>
      <c r="AN156" s="143"/>
      <c r="AO156" s="143"/>
      <c r="AP156" s="146"/>
      <c r="AQ156" s="219">
        <f t="shared" si="59"/>
        <v>0</v>
      </c>
      <c r="AR156" s="863"/>
      <c r="AS156" s="274"/>
      <c r="AT156" s="274"/>
      <c r="AU156" s="863"/>
      <c r="AV156" s="274"/>
      <c r="AW156" s="274"/>
      <c r="AX156" s="274"/>
      <c r="AY156" s="274"/>
      <c r="AZ156" s="222">
        <f t="shared" si="60"/>
        <v>0</v>
      </c>
      <c r="BA156" s="140">
        <f t="shared" si="61"/>
        <v>0</v>
      </c>
      <c r="BB156" s="132"/>
      <c r="BC156" s="140">
        <f t="shared" si="62"/>
        <v>0</v>
      </c>
      <c r="BD156" s="141"/>
      <c r="BE156" s="141"/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30">
        <f t="shared" si="63"/>
        <v>0</v>
      </c>
      <c r="BR156" s="132"/>
    </row>
    <row r="157" ht="14.25" customHeight="1">
      <c r="A157" s="132"/>
      <c r="B157" s="791">
        <v>46160</v>
      </c>
      <c r="C157" s="133"/>
      <c r="D157" s="136"/>
      <c r="E157" s="135"/>
      <c r="F157" s="135"/>
      <c r="G157" s="147">
        <f t="shared" si="55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56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57"/>
        <v>0</v>
      </c>
      <c r="AH157" s="136"/>
      <c r="AI157" s="136"/>
      <c r="AJ157" s="136"/>
      <c r="AK157" s="105">
        <f t="shared" si="58"/>
        <v>0</v>
      </c>
      <c r="AL157" s="143"/>
      <c r="AM157" s="143"/>
      <c r="AN157" s="143"/>
      <c r="AO157" s="143"/>
      <c r="AP157" s="146"/>
      <c r="AQ157" s="219">
        <f t="shared" si="59"/>
        <v>0</v>
      </c>
      <c r="AR157" s="863"/>
      <c r="AS157" s="274"/>
      <c r="AT157" s="274"/>
      <c r="AU157" s="863"/>
      <c r="AV157" s="274"/>
      <c r="AW157" s="274"/>
      <c r="AX157" s="274"/>
      <c r="AY157" s="274"/>
      <c r="AZ157" s="222">
        <f t="shared" si="60"/>
        <v>0</v>
      </c>
      <c r="BA157" s="140">
        <f t="shared" si="61"/>
        <v>0</v>
      </c>
      <c r="BB157" s="132"/>
      <c r="BC157" s="140">
        <f t="shared" si="62"/>
        <v>0</v>
      </c>
      <c r="BD157" s="141"/>
      <c r="BE157" s="141"/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30">
        <f t="shared" si="63"/>
        <v>0</v>
      </c>
      <c r="BR157" s="132"/>
    </row>
    <row r="158" ht="14.25" customHeight="1">
      <c r="A158" s="132"/>
      <c r="B158" s="791">
        <v>46161</v>
      </c>
      <c r="C158" s="133"/>
      <c r="D158" s="136"/>
      <c r="E158" s="135"/>
      <c r="F158" s="135"/>
      <c r="G158" s="147">
        <f t="shared" si="55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56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57"/>
        <v>0</v>
      </c>
      <c r="AH158" s="136"/>
      <c r="AI158" s="136"/>
      <c r="AJ158" s="136"/>
      <c r="AK158" s="105">
        <f t="shared" si="58"/>
        <v>0</v>
      </c>
      <c r="AL158" s="143"/>
      <c r="AM158" s="143"/>
      <c r="AN158" s="143"/>
      <c r="AO158" s="143"/>
      <c r="AP158" s="146"/>
      <c r="AQ158" s="219">
        <f t="shared" si="59"/>
        <v>0</v>
      </c>
      <c r="AR158" s="863"/>
      <c r="AS158" s="274"/>
      <c r="AT158" s="274"/>
      <c r="AU158" s="863"/>
      <c r="AV158" s="274"/>
      <c r="AW158" s="274"/>
      <c r="AX158" s="274"/>
      <c r="AY158" s="274"/>
      <c r="AZ158" s="222">
        <f t="shared" si="60"/>
        <v>0</v>
      </c>
      <c r="BA158" s="140">
        <f t="shared" si="61"/>
        <v>0</v>
      </c>
      <c r="BB158" s="132"/>
      <c r="BC158" s="140">
        <f t="shared" si="62"/>
        <v>0</v>
      </c>
      <c r="BD158" s="141"/>
      <c r="BE158" s="141"/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30">
        <f t="shared" si="63"/>
        <v>0</v>
      </c>
      <c r="BR158" s="132"/>
    </row>
    <row r="159" ht="14.25" customHeight="1">
      <c r="A159" s="132"/>
      <c r="B159" s="791">
        <v>46162</v>
      </c>
      <c r="C159" s="133"/>
      <c r="D159" s="136"/>
      <c r="E159" s="135"/>
      <c r="F159" s="135"/>
      <c r="G159" s="147">
        <f t="shared" si="55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56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57"/>
        <v>0</v>
      </c>
      <c r="AH159" s="136"/>
      <c r="AI159" s="136"/>
      <c r="AJ159" s="136"/>
      <c r="AK159" s="105">
        <f t="shared" si="58"/>
        <v>0</v>
      </c>
      <c r="AL159" s="143"/>
      <c r="AM159" s="143"/>
      <c r="AN159" s="143"/>
      <c r="AO159" s="143"/>
      <c r="AP159" s="146"/>
      <c r="AQ159" s="219">
        <f t="shared" si="59"/>
        <v>0</v>
      </c>
      <c r="AR159" s="863"/>
      <c r="AS159" s="274"/>
      <c r="AT159" s="274"/>
      <c r="AU159" s="863"/>
      <c r="AV159" s="274"/>
      <c r="AW159" s="274"/>
      <c r="AX159" s="274"/>
      <c r="AY159" s="274"/>
      <c r="AZ159" s="222">
        <f t="shared" si="60"/>
        <v>0</v>
      </c>
      <c r="BA159" s="140">
        <f t="shared" si="61"/>
        <v>0</v>
      </c>
      <c r="BB159" s="132"/>
      <c r="BC159" s="140">
        <f t="shared" si="62"/>
        <v>0</v>
      </c>
      <c r="BD159" s="141"/>
      <c r="BE159" s="141"/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30">
        <f t="shared" si="63"/>
        <v>0</v>
      </c>
      <c r="BR159" s="132"/>
    </row>
    <row r="160" ht="14.25" customHeight="1">
      <c r="A160" s="132"/>
      <c r="B160" s="791">
        <v>46163</v>
      </c>
      <c r="C160" s="133"/>
      <c r="D160" s="136"/>
      <c r="E160" s="135"/>
      <c r="F160" s="135"/>
      <c r="G160" s="147">
        <f t="shared" si="55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56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57"/>
        <v>0</v>
      </c>
      <c r="AH160" s="136"/>
      <c r="AI160" s="136"/>
      <c r="AJ160" s="136"/>
      <c r="AK160" s="105">
        <f t="shared" si="58"/>
        <v>0</v>
      </c>
      <c r="AL160" s="143"/>
      <c r="AM160" s="143"/>
      <c r="AN160" s="143"/>
      <c r="AO160" s="143"/>
      <c r="AP160" s="146"/>
      <c r="AQ160" s="219">
        <f t="shared" si="59"/>
        <v>0</v>
      </c>
      <c r="AR160" s="863"/>
      <c r="AS160" s="274"/>
      <c r="AT160" s="274"/>
      <c r="AU160" s="863"/>
      <c r="AV160" s="274"/>
      <c r="AW160" s="274"/>
      <c r="AX160" s="274"/>
      <c r="AY160" s="274"/>
      <c r="AZ160" s="222">
        <f t="shared" si="60"/>
        <v>0</v>
      </c>
      <c r="BA160" s="140">
        <f t="shared" si="61"/>
        <v>0</v>
      </c>
      <c r="BB160" s="132"/>
      <c r="BC160" s="140">
        <f t="shared" si="62"/>
        <v>0</v>
      </c>
      <c r="BD160" s="141"/>
      <c r="BE160" s="141"/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30">
        <f t="shared" si="63"/>
        <v>0</v>
      </c>
      <c r="BR160" s="132"/>
    </row>
    <row r="161" ht="14.25" customHeight="1">
      <c r="A161" s="132"/>
      <c r="B161" s="791">
        <v>46164</v>
      </c>
      <c r="C161" s="133"/>
      <c r="D161" s="136"/>
      <c r="E161" s="135"/>
      <c r="F161" s="135"/>
      <c r="G161" s="147">
        <f t="shared" si="55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56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57"/>
        <v>0</v>
      </c>
      <c r="AH161" s="136"/>
      <c r="AI161" s="136"/>
      <c r="AJ161" s="136"/>
      <c r="AK161" s="105">
        <f t="shared" si="58"/>
        <v>0</v>
      </c>
      <c r="AL161" s="143"/>
      <c r="AM161" s="143"/>
      <c r="AN161" s="143"/>
      <c r="AO161" s="143"/>
      <c r="AP161" s="146"/>
      <c r="AQ161" s="219">
        <f t="shared" si="59"/>
        <v>0</v>
      </c>
      <c r="AR161" s="863"/>
      <c r="AS161" s="274"/>
      <c r="AT161" s="274"/>
      <c r="AU161" s="863"/>
      <c r="AV161" s="274"/>
      <c r="AW161" s="274"/>
      <c r="AX161" s="274"/>
      <c r="AY161" s="274"/>
      <c r="AZ161" s="222">
        <f t="shared" si="60"/>
        <v>0</v>
      </c>
      <c r="BA161" s="140">
        <f t="shared" si="61"/>
        <v>0</v>
      </c>
      <c r="BB161" s="132"/>
      <c r="BC161" s="140">
        <f t="shared" si="62"/>
        <v>0</v>
      </c>
      <c r="BD161" s="141"/>
      <c r="BE161" s="141"/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30">
        <f t="shared" si="63"/>
        <v>0</v>
      </c>
      <c r="BR161" s="132"/>
    </row>
    <row r="162" ht="14.25" customHeight="1">
      <c r="A162" s="132"/>
      <c r="B162" s="791">
        <v>46165</v>
      </c>
      <c r="C162" s="133"/>
      <c r="D162" s="136"/>
      <c r="E162" s="135"/>
      <c r="F162" s="135"/>
      <c r="G162" s="147">
        <f t="shared" si="55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56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57"/>
        <v>0</v>
      </c>
      <c r="AH162" s="136"/>
      <c r="AI162" s="136"/>
      <c r="AJ162" s="136"/>
      <c r="AK162" s="105">
        <f t="shared" si="58"/>
        <v>0</v>
      </c>
      <c r="AL162" s="143"/>
      <c r="AM162" s="143"/>
      <c r="AN162" s="143"/>
      <c r="AO162" s="143"/>
      <c r="AP162" s="146"/>
      <c r="AQ162" s="219">
        <f t="shared" si="59"/>
        <v>0</v>
      </c>
      <c r="AR162" s="863"/>
      <c r="AS162" s="274"/>
      <c r="AT162" s="274"/>
      <c r="AU162" s="863"/>
      <c r="AV162" s="274"/>
      <c r="AW162" s="274"/>
      <c r="AX162" s="274"/>
      <c r="AY162" s="274"/>
      <c r="AZ162" s="222">
        <f t="shared" si="60"/>
        <v>0</v>
      </c>
      <c r="BA162" s="140">
        <f t="shared" si="61"/>
        <v>0</v>
      </c>
      <c r="BB162" s="132"/>
      <c r="BC162" s="140">
        <f t="shared" si="62"/>
        <v>0</v>
      </c>
      <c r="BD162" s="141"/>
      <c r="BE162" s="141"/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30">
        <f t="shared" si="63"/>
        <v>0</v>
      </c>
      <c r="BR162" s="132"/>
    </row>
    <row r="163" ht="14.25" customHeight="1">
      <c r="A163" s="132"/>
      <c r="B163" s="791">
        <v>46166</v>
      </c>
      <c r="C163" s="133"/>
      <c r="D163" s="136"/>
      <c r="E163" s="135"/>
      <c r="F163" s="135"/>
      <c r="G163" s="147">
        <f t="shared" si="55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56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57"/>
        <v>0</v>
      </c>
      <c r="AH163" s="136"/>
      <c r="AI163" s="136"/>
      <c r="AJ163" s="136"/>
      <c r="AK163" s="105">
        <f t="shared" si="58"/>
        <v>0</v>
      </c>
      <c r="AL163" s="136"/>
      <c r="AM163" s="136"/>
      <c r="AN163" s="143"/>
      <c r="AO163" s="143"/>
      <c r="AP163" s="146"/>
      <c r="AQ163" s="219">
        <f t="shared" si="59"/>
        <v>0</v>
      </c>
      <c r="AR163" s="863"/>
      <c r="AS163" s="274"/>
      <c r="AT163" s="126"/>
      <c r="AU163" s="863"/>
      <c r="AV163" s="274"/>
      <c r="AW163" s="274"/>
      <c r="AX163" s="274"/>
      <c r="AY163" s="274"/>
      <c r="AZ163" s="222">
        <f t="shared" si="60"/>
        <v>0</v>
      </c>
      <c r="BA163" s="140">
        <f t="shared" si="61"/>
        <v>0</v>
      </c>
      <c r="BB163" s="132"/>
      <c r="BC163" s="140">
        <f t="shared" si="62"/>
        <v>0</v>
      </c>
      <c r="BD163" s="141"/>
      <c r="BE163" s="141"/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30">
        <f t="shared" si="63"/>
        <v>0</v>
      </c>
      <c r="BR163" s="132"/>
    </row>
    <row r="164" ht="14.25" customHeight="1">
      <c r="A164" s="132"/>
      <c r="B164" s="791">
        <v>46167</v>
      </c>
      <c r="C164" s="133"/>
      <c r="D164" s="136"/>
      <c r="E164" s="135"/>
      <c r="F164" s="135"/>
      <c r="G164" s="147">
        <f t="shared" si="55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56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57"/>
        <v>0</v>
      </c>
      <c r="AH164" s="136"/>
      <c r="AI164" s="136"/>
      <c r="AJ164" s="136"/>
      <c r="AK164" s="105">
        <f t="shared" si="58"/>
        <v>0</v>
      </c>
      <c r="AL164" s="143"/>
      <c r="AM164" s="143"/>
      <c r="AN164" s="143"/>
      <c r="AO164" s="143"/>
      <c r="AP164" s="146"/>
      <c r="AQ164" s="219">
        <f t="shared" si="59"/>
        <v>0</v>
      </c>
      <c r="AR164" s="863"/>
      <c r="AS164" s="274"/>
      <c r="AT164" s="274"/>
      <c r="AU164" s="863"/>
      <c r="AV164" s="274"/>
      <c r="AW164" s="274"/>
      <c r="AX164" s="274"/>
      <c r="AY164" s="274"/>
      <c r="AZ164" s="222">
        <f t="shared" si="60"/>
        <v>0</v>
      </c>
      <c r="BA164" s="140">
        <f t="shared" si="61"/>
        <v>0</v>
      </c>
      <c r="BB164" s="132"/>
      <c r="BC164" s="140">
        <f t="shared" si="62"/>
        <v>0</v>
      </c>
      <c r="BD164" s="141"/>
      <c r="BE164" s="141"/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30">
        <f t="shared" si="63"/>
        <v>0</v>
      </c>
      <c r="BR164" s="132"/>
    </row>
    <row r="165" ht="14.25" customHeight="1">
      <c r="A165" s="132"/>
      <c r="B165" s="791">
        <v>46168</v>
      </c>
      <c r="C165" s="133"/>
      <c r="D165" s="136"/>
      <c r="E165" s="135"/>
      <c r="F165" s="135"/>
      <c r="G165" s="147">
        <f t="shared" si="55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56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57"/>
        <v>0</v>
      </c>
      <c r="AH165" s="136"/>
      <c r="AI165" s="136"/>
      <c r="AJ165" s="136"/>
      <c r="AK165" s="105">
        <f t="shared" si="58"/>
        <v>0</v>
      </c>
      <c r="AL165" s="143"/>
      <c r="AM165" s="143"/>
      <c r="AN165" s="143"/>
      <c r="AO165" s="143"/>
      <c r="AP165" s="146"/>
      <c r="AQ165" s="219">
        <f t="shared" si="59"/>
        <v>0</v>
      </c>
      <c r="AR165" s="863"/>
      <c r="AS165" s="274"/>
      <c r="AT165" s="274"/>
      <c r="AU165" s="863"/>
      <c r="AV165" s="274"/>
      <c r="AW165" s="274"/>
      <c r="AX165" s="274"/>
      <c r="AY165" s="274"/>
      <c r="AZ165" s="222">
        <f t="shared" si="60"/>
        <v>0</v>
      </c>
      <c r="BA165" s="140">
        <f t="shared" si="61"/>
        <v>0</v>
      </c>
      <c r="BB165" s="132"/>
      <c r="BC165" s="140">
        <f t="shared" si="62"/>
        <v>0</v>
      </c>
      <c r="BD165" s="141"/>
      <c r="BE165" s="141"/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30">
        <f t="shared" si="63"/>
        <v>0</v>
      </c>
      <c r="BR165" s="132"/>
    </row>
    <row r="166" ht="14.25" customHeight="1">
      <c r="A166" s="132"/>
      <c r="B166" s="791">
        <v>46169</v>
      </c>
      <c r="C166" s="133"/>
      <c r="D166" s="136"/>
      <c r="E166" s="135"/>
      <c r="F166" s="135"/>
      <c r="G166" s="147">
        <f t="shared" si="55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56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57"/>
        <v>0</v>
      </c>
      <c r="AH166" s="136"/>
      <c r="AI166" s="136"/>
      <c r="AJ166" s="136"/>
      <c r="AK166" s="105">
        <f t="shared" si="58"/>
        <v>0</v>
      </c>
      <c r="AL166" s="143"/>
      <c r="AM166" s="143"/>
      <c r="AN166" s="143"/>
      <c r="AO166" s="143"/>
      <c r="AP166" s="146"/>
      <c r="AQ166" s="219">
        <f t="shared" si="59"/>
        <v>0</v>
      </c>
      <c r="AR166" s="863"/>
      <c r="AS166" s="274"/>
      <c r="AT166" s="274"/>
      <c r="AU166" s="863"/>
      <c r="AV166" s="274"/>
      <c r="AW166" s="274"/>
      <c r="AX166" s="274"/>
      <c r="AY166" s="274"/>
      <c r="AZ166" s="222">
        <f t="shared" si="60"/>
        <v>0</v>
      </c>
      <c r="BA166" s="140">
        <f t="shared" si="61"/>
        <v>0</v>
      </c>
      <c r="BB166" s="132"/>
      <c r="BC166" s="140">
        <f t="shared" si="62"/>
        <v>0</v>
      </c>
      <c r="BD166" s="141"/>
      <c r="BE166" s="141"/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30">
        <f t="shared" si="63"/>
        <v>0</v>
      </c>
      <c r="BR166" s="132"/>
    </row>
    <row r="167" ht="14.25" customHeight="1">
      <c r="A167" s="132"/>
      <c r="B167" s="791">
        <v>46170</v>
      </c>
      <c r="C167" s="133"/>
      <c r="D167" s="136"/>
      <c r="E167" s="135"/>
      <c r="F167" s="135"/>
      <c r="G167" s="147">
        <f t="shared" si="55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56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57"/>
        <v>0</v>
      </c>
      <c r="AH167" s="136"/>
      <c r="AI167" s="136"/>
      <c r="AJ167" s="136"/>
      <c r="AK167" s="105">
        <f t="shared" si="58"/>
        <v>0</v>
      </c>
      <c r="AL167" s="143"/>
      <c r="AM167" s="143"/>
      <c r="AN167" s="143"/>
      <c r="AO167" s="143"/>
      <c r="AP167" s="146"/>
      <c r="AQ167" s="219">
        <f t="shared" si="59"/>
        <v>0</v>
      </c>
      <c r="AR167" s="863"/>
      <c r="AS167" s="274"/>
      <c r="AT167" s="274"/>
      <c r="AU167" s="863"/>
      <c r="AV167" s="274"/>
      <c r="AW167" s="274"/>
      <c r="AX167" s="274"/>
      <c r="AY167" s="274"/>
      <c r="AZ167" s="222">
        <f t="shared" si="60"/>
        <v>0</v>
      </c>
      <c r="BA167" s="140">
        <f t="shared" si="61"/>
        <v>0</v>
      </c>
      <c r="BB167" s="132"/>
      <c r="BC167" s="140">
        <f t="shared" si="62"/>
        <v>0</v>
      </c>
      <c r="BD167" s="141"/>
      <c r="BE167" s="141"/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30">
        <f t="shared" si="63"/>
        <v>0</v>
      </c>
      <c r="BR167" s="132"/>
    </row>
    <row r="168" ht="14.25" customHeight="1">
      <c r="A168" s="132"/>
      <c r="B168" s="791">
        <v>46171</v>
      </c>
      <c r="C168" s="133"/>
      <c r="D168" s="136"/>
      <c r="E168" s="135"/>
      <c r="F168" s="135"/>
      <c r="G168" s="147">
        <f t="shared" si="55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56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57"/>
        <v>0</v>
      </c>
      <c r="AH168" s="136"/>
      <c r="AI168" s="136"/>
      <c r="AJ168" s="136"/>
      <c r="AK168" s="105">
        <f t="shared" si="58"/>
        <v>0</v>
      </c>
      <c r="AL168" s="143"/>
      <c r="AM168" s="143"/>
      <c r="AN168" s="143"/>
      <c r="AO168" s="143"/>
      <c r="AP168" s="146"/>
      <c r="AQ168" s="219">
        <f t="shared" si="59"/>
        <v>0</v>
      </c>
      <c r="AR168" s="863"/>
      <c r="AS168" s="274"/>
      <c r="AT168" s="274"/>
      <c r="AU168" s="863"/>
      <c r="AV168" s="274"/>
      <c r="AW168" s="274"/>
      <c r="AX168" s="274"/>
      <c r="AY168" s="274"/>
      <c r="AZ168" s="222">
        <f t="shared" si="60"/>
        <v>0</v>
      </c>
      <c r="BA168" s="140">
        <f t="shared" si="61"/>
        <v>0</v>
      </c>
      <c r="BB168" s="132"/>
      <c r="BC168" s="140">
        <f t="shared" si="62"/>
        <v>0</v>
      </c>
      <c r="BD168" s="141"/>
      <c r="BE168" s="141"/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30">
        <f t="shared" si="63"/>
        <v>0</v>
      </c>
      <c r="BR168" s="132"/>
    </row>
    <row r="169" ht="14.25" customHeight="1">
      <c r="A169" s="3"/>
      <c r="B169" s="791">
        <v>46172</v>
      </c>
      <c r="C169" s="118"/>
      <c r="D169" s="123"/>
      <c r="E169" s="120"/>
      <c r="F169" s="120"/>
      <c r="G169" s="147">
        <f t="shared" si="55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56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57"/>
        <v>0</v>
      </c>
      <c r="AH169" s="123"/>
      <c r="AI169" s="123"/>
      <c r="AJ169" s="123"/>
      <c r="AK169" s="105">
        <f t="shared" si="58"/>
        <v>0</v>
      </c>
      <c r="AL169" s="143"/>
      <c r="AM169" s="143"/>
      <c r="AN169" s="143"/>
      <c r="AO169" s="143"/>
      <c r="AP169" s="146"/>
      <c r="AQ169" s="219">
        <f t="shared" si="59"/>
        <v>0</v>
      </c>
      <c r="AR169" s="863"/>
      <c r="AS169" s="274"/>
      <c r="AT169" s="274"/>
      <c r="AU169" s="863"/>
      <c r="AV169" s="274"/>
      <c r="AW169" s="274"/>
      <c r="AX169" s="274"/>
      <c r="AY169" s="274"/>
      <c r="AZ169" s="222">
        <f t="shared" si="60"/>
        <v>0</v>
      </c>
      <c r="BA169" s="113">
        <f t="shared" si="61"/>
        <v>0</v>
      </c>
      <c r="BB169" s="3"/>
      <c r="BC169" s="113">
        <f t="shared" si="62"/>
        <v>0</v>
      </c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30">
        <f t="shared" si="63"/>
        <v>0</v>
      </c>
      <c r="BR169" s="3"/>
    </row>
    <row r="170" ht="14.25" customHeight="1">
      <c r="A170" s="3"/>
      <c r="B170" s="791">
        <v>46173</v>
      </c>
      <c r="C170" s="118"/>
      <c r="D170" s="123"/>
      <c r="E170" s="279"/>
      <c r="F170" s="279"/>
      <c r="G170" s="147">
        <f t="shared" si="55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56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57"/>
        <v>0</v>
      </c>
      <c r="AH170" s="278"/>
      <c r="AI170" s="278"/>
      <c r="AJ170" s="278"/>
      <c r="AK170" s="105">
        <f t="shared" si="58"/>
        <v>0</v>
      </c>
      <c r="AL170" s="157"/>
      <c r="AM170" s="157"/>
      <c r="AN170" s="157"/>
      <c r="AO170" s="157"/>
      <c r="AP170" s="160"/>
      <c r="AQ170" s="219">
        <f t="shared" si="59"/>
        <v>0</v>
      </c>
      <c r="AR170" s="944"/>
      <c r="AS170" s="296"/>
      <c r="AT170" s="296"/>
      <c r="AU170" s="944"/>
      <c r="AV170" s="296"/>
      <c r="AW170" s="296"/>
      <c r="AX170" s="296"/>
      <c r="AY170" s="296"/>
      <c r="AZ170" s="222">
        <f t="shared" si="60"/>
        <v>0</v>
      </c>
      <c r="BA170" s="281">
        <f t="shared" si="61"/>
        <v>0</v>
      </c>
      <c r="BB170" s="3"/>
      <c r="BC170" s="281">
        <f t="shared" si="62"/>
        <v>0</v>
      </c>
      <c r="BD170" s="282"/>
      <c r="BE170" s="282"/>
      <c r="BF170" s="282"/>
      <c r="BG170" s="282"/>
      <c r="BH170" s="282"/>
      <c r="BI170" s="282"/>
      <c r="BJ170" s="282"/>
      <c r="BK170" s="282"/>
      <c r="BL170" s="282"/>
      <c r="BM170" s="129"/>
      <c r="BN170" s="282"/>
      <c r="BO170" s="282"/>
      <c r="BP170" s="282"/>
      <c r="BQ170" s="164">
        <f t="shared" si="63"/>
        <v>0</v>
      </c>
      <c r="BR170" s="3"/>
    </row>
    <row r="171" ht="14.25" customHeight="1">
      <c r="A171" s="3"/>
      <c r="B171" s="2"/>
      <c r="C171" s="166">
        <f ref="C171:BA171" t="shared" si="64">SUM(C140:C170)</f>
        <v>0</v>
      </c>
      <c r="D171" s="166">
        <f t="shared" si="64"/>
        <v>0</v>
      </c>
      <c r="E171" s="166">
        <f t="shared" si="64"/>
        <v>0</v>
      </c>
      <c r="F171" s="166">
        <f t="shared" si="64"/>
        <v>0</v>
      </c>
      <c r="G171" s="166">
        <f t="shared" si="64"/>
        <v>0</v>
      </c>
      <c r="H171" s="166">
        <f t="shared" si="64"/>
        <v>0</v>
      </c>
      <c r="I171" s="166">
        <f t="shared" si="64"/>
        <v>0</v>
      </c>
      <c r="J171" s="166">
        <f t="shared" si="64"/>
        <v>0</v>
      </c>
      <c r="K171" s="166">
        <f t="shared" si="64"/>
        <v>0</v>
      </c>
      <c r="L171" s="166">
        <f t="shared" si="64"/>
        <v>0</v>
      </c>
      <c r="M171" s="166">
        <f t="shared" si="64"/>
        <v>0</v>
      </c>
      <c r="N171" s="166">
        <f t="shared" si="64"/>
        <v>0</v>
      </c>
      <c r="O171" s="166">
        <f t="shared" si="64"/>
        <v>0</v>
      </c>
      <c r="P171" s="166">
        <f t="shared" si="64"/>
        <v>0</v>
      </c>
      <c r="Q171" s="166">
        <f t="shared" si="64"/>
        <v>0</v>
      </c>
      <c r="R171" s="166">
        <f t="shared" si="64"/>
        <v>0</v>
      </c>
      <c r="S171" s="166">
        <f t="shared" si="64"/>
        <v>0</v>
      </c>
      <c r="T171" s="166">
        <f t="shared" si="64"/>
        <v>0</v>
      </c>
      <c r="U171" s="166">
        <f t="shared" si="64"/>
        <v>0</v>
      </c>
      <c r="V171" s="166">
        <f t="shared" si="64"/>
        <v>0</v>
      </c>
      <c r="W171" s="166">
        <f t="shared" si="64"/>
        <v>0</v>
      </c>
      <c r="X171" s="166">
        <f t="shared" si="64"/>
        <v>0</v>
      </c>
      <c r="Y171" s="166">
        <f t="shared" si="64"/>
        <v>0</v>
      </c>
      <c r="Z171" s="166">
        <f t="shared" si="64"/>
        <v>0</v>
      </c>
      <c r="AA171" s="166">
        <f t="shared" si="64"/>
        <v>0</v>
      </c>
      <c r="AB171" s="166">
        <f t="shared" si="64"/>
        <v>0</v>
      </c>
      <c r="AC171" s="166">
        <f t="shared" si="64"/>
        <v>0</v>
      </c>
      <c r="AD171" s="166">
        <f t="shared" si="64"/>
        <v>0</v>
      </c>
      <c r="AE171" s="166">
        <f t="shared" si="64"/>
        <v>0</v>
      </c>
      <c r="AF171" s="166">
        <f t="shared" si="64"/>
        <v>0</v>
      </c>
      <c r="AG171" s="166">
        <f t="shared" si="64"/>
        <v>0</v>
      </c>
      <c r="AH171" s="166">
        <f t="shared" si="64"/>
        <v>0</v>
      </c>
      <c r="AI171" s="166">
        <f t="shared" si="64"/>
        <v>0</v>
      </c>
      <c r="AJ171" s="166">
        <f t="shared" si="64"/>
        <v>0</v>
      </c>
      <c r="AK171" s="166">
        <f t="shared" si="64"/>
        <v>0</v>
      </c>
      <c r="AL171" s="166">
        <f t="shared" si="64"/>
        <v>0</v>
      </c>
      <c r="AM171" s="166">
        <f t="shared" si="64"/>
        <v>0</v>
      </c>
      <c r="AN171" s="166">
        <f t="shared" si="64"/>
        <v>0</v>
      </c>
      <c r="AO171" s="166">
        <f t="shared" si="64"/>
        <v>0</v>
      </c>
      <c r="AP171" s="166">
        <f t="shared" si="64"/>
        <v>0</v>
      </c>
      <c r="AQ171" s="166">
        <f t="shared" si="64"/>
        <v>0</v>
      </c>
      <c r="AR171" s="165">
        <f t="shared" si="64"/>
        <v>0</v>
      </c>
      <c r="AS171" s="166">
        <f t="shared" si="64"/>
        <v>0</v>
      </c>
      <c r="AT171" s="166">
        <f t="shared" si="64"/>
        <v>0</v>
      </c>
      <c r="AU171" s="165">
        <f t="shared" si="64"/>
        <v>0</v>
      </c>
      <c r="AV171" s="166">
        <f t="shared" si="64"/>
        <v>0</v>
      </c>
      <c r="AW171" s="166">
        <f t="shared" si="64"/>
        <v>0</v>
      </c>
      <c r="AX171" s="166">
        <f t="shared" si="64"/>
        <v>0</v>
      </c>
      <c r="AY171" s="166">
        <f t="shared" si="64"/>
        <v>0</v>
      </c>
      <c r="AZ171" s="166">
        <f t="shared" si="64"/>
        <v>0</v>
      </c>
      <c r="BA171" s="166">
        <f t="shared" si="64"/>
        <v>0</v>
      </c>
      <c r="BB171" s="3"/>
      <c r="BC171" s="166">
        <f ref="BC171:BQ171" t="shared" si="65">SUM(BC140:BC170)</f>
        <v>0</v>
      </c>
      <c r="BD171" s="166">
        <f t="shared" si="65"/>
        <v>0</v>
      </c>
      <c r="BE171" s="166">
        <f t="shared" si="65"/>
        <v>0</v>
      </c>
      <c r="BF171" s="166">
        <f t="shared" si="65"/>
        <v>0</v>
      </c>
      <c r="BG171" s="166">
        <f t="shared" si="65"/>
        <v>0</v>
      </c>
      <c r="BH171" s="166">
        <f t="shared" si="65"/>
        <v>0</v>
      </c>
      <c r="BI171" s="166">
        <f t="shared" si="65"/>
        <v>0</v>
      </c>
      <c r="BJ171" s="166">
        <f t="shared" si="65"/>
        <v>0</v>
      </c>
      <c r="BK171" s="166">
        <f t="shared" si="65"/>
        <v>0</v>
      </c>
      <c r="BL171" s="166">
        <f t="shared" si="65"/>
        <v>0</v>
      </c>
      <c r="BM171" s="166">
        <f t="shared" si="65"/>
        <v>0</v>
      </c>
      <c r="BN171" s="166">
        <f t="shared" si="65"/>
        <v>0</v>
      </c>
      <c r="BO171" s="166">
        <f t="shared" si="65"/>
        <v>0</v>
      </c>
      <c r="BP171" s="166">
        <f t="shared" si="65"/>
        <v>0</v>
      </c>
      <c r="BQ171" s="166">
        <f t="shared" si="65"/>
        <v>0</v>
      </c>
      <c r="BR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4"/>
      <c r="AL172" s="3"/>
      <c r="AM172" s="3"/>
      <c r="AN172" s="3"/>
      <c r="AO172" s="3"/>
      <c r="AP172" s="3"/>
      <c r="AQ172" s="4"/>
      <c r="AR172" s="132"/>
      <c r="AS172" s="132"/>
      <c r="AT172" s="132"/>
      <c r="AU172" s="132"/>
      <c r="AV172" s="132"/>
      <c r="AW172" s="132"/>
      <c r="AX172" s="132"/>
      <c r="AY172" s="132"/>
      <c r="AZ172" s="4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ht="14.25" customHeight="1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4"/>
      <c r="AL173" s="3"/>
      <c r="AM173" s="3"/>
      <c r="AN173" s="3"/>
      <c r="AO173" s="3"/>
      <c r="AP173" s="3"/>
      <c r="AQ173" s="177"/>
      <c r="AR173" s="4"/>
      <c r="AS173" s="4"/>
      <c r="AT173" s="4"/>
      <c r="AU173" s="4"/>
      <c r="AV173" s="4"/>
      <c r="AW173" s="4"/>
      <c r="AX173" s="4"/>
      <c r="AY173" s="132"/>
      <c r="AZ173" s="177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ht="14.25" customHeight="1">
      <c r="A174" s="3"/>
      <c r="B174" s="512">
        <v>46174</v>
      </c>
      <c r="C174" s="1027"/>
      <c r="D174" s="1013"/>
      <c r="E174" s="97"/>
      <c r="F174" s="97"/>
      <c r="G174" s="216">
        <f ref="G174:G203" t="shared" si="66">+C174+D174+E174+F174</f>
        <v>0</v>
      </c>
      <c r="H174" s="1009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ref="T174:T203" t="shared" si="67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ref="AG174:AG203" t="shared" si="68">SUM(U174:AF174)</f>
        <v>0</v>
      </c>
      <c r="AH174" s="104"/>
      <c r="AI174" s="104"/>
      <c r="AJ174" s="104"/>
      <c r="AK174" s="191">
        <f ref="AK174:AK203" t="shared" si="69">SUM(AH174:AJ174)</f>
        <v>0</v>
      </c>
      <c r="AL174" s="104"/>
      <c r="AM174" s="104"/>
      <c r="AN174" s="186"/>
      <c r="AO174" s="186"/>
      <c r="AP174" s="193"/>
      <c r="AQ174" s="224">
        <f ref="AQ174:AQ180" t="shared" si="70">+G174-T174-AG174-AK174-AL174-AN174-AO174-AP174-AM174</f>
        <v>0</v>
      </c>
      <c r="AR174" s="109"/>
      <c r="AS174" s="109"/>
      <c r="AT174" s="109"/>
      <c r="AU174" s="109"/>
      <c r="AV174" s="127"/>
      <c r="AW174" s="127"/>
      <c r="AX174" s="127"/>
      <c r="AY174" s="109"/>
      <c r="AZ174" s="222">
        <f ref="AZ174:AZ203" t="shared" si="71">SUM(AR174:AY174)-AX174</f>
        <v>0</v>
      </c>
      <c r="BA174" s="114">
        <f ref="BA174:BA203" t="shared" si="72">+AQ174-AZ174</f>
        <v>0</v>
      </c>
      <c r="BB174" s="3"/>
      <c r="BC174" s="114">
        <f ref="BC174:BC203" t="shared" si="73">SUM(BD174:BP174)</f>
        <v>0</v>
      </c>
      <c r="BD174" s="220"/>
      <c r="BE174" s="220"/>
      <c r="BF174" s="220"/>
      <c r="BG174" s="220"/>
      <c r="BH174" s="220"/>
      <c r="BI174" s="220"/>
      <c r="BJ174" s="220"/>
      <c r="BK174" s="220"/>
      <c r="BL174" s="220"/>
      <c r="BM174" s="220"/>
      <c r="BN174" s="220"/>
      <c r="BO174" s="220"/>
      <c r="BP174" s="220"/>
      <c r="BQ174" s="116">
        <f ref="BQ174:BQ203" t="shared" si="74">+BA174-BC174</f>
        <v>0</v>
      </c>
      <c r="BR174" s="3"/>
    </row>
    <row r="175" ht="14.25" customHeight="1">
      <c r="A175" s="3"/>
      <c r="B175" s="512">
        <v>46175</v>
      </c>
      <c r="C175" s="118"/>
      <c r="D175" s="123"/>
      <c r="E175" s="120"/>
      <c r="F175" s="120"/>
      <c r="G175" s="147">
        <f t="shared" si="66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7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8"/>
        <v>0</v>
      </c>
      <c r="AH175" s="123"/>
      <c r="AI175" s="123"/>
      <c r="AJ175" s="123"/>
      <c r="AK175" s="105">
        <f t="shared" si="69"/>
        <v>0</v>
      </c>
      <c r="AL175" s="143"/>
      <c r="AM175" s="143"/>
      <c r="AN175" s="143"/>
      <c r="AO175" s="143"/>
      <c r="AP175" s="146"/>
      <c r="AQ175" s="224">
        <f t="shared" si="70"/>
        <v>0</v>
      </c>
      <c r="AR175" s="126"/>
      <c r="AS175" s="126"/>
      <c r="AT175" s="126"/>
      <c r="AU175" s="126"/>
      <c r="AV175" s="127"/>
      <c r="AW175" s="127"/>
      <c r="AX175" s="127"/>
      <c r="AY175" s="126"/>
      <c r="AZ175" s="222">
        <f t="shared" si="71"/>
        <v>0</v>
      </c>
      <c r="BA175" s="113">
        <f t="shared" si="72"/>
        <v>0</v>
      </c>
      <c r="BB175" s="3"/>
      <c r="BC175" s="113">
        <f t="shared" si="73"/>
        <v>0</v>
      </c>
      <c r="BD175" s="225"/>
      <c r="BE175" s="225"/>
      <c r="BF175" s="225"/>
      <c r="BG175" s="225"/>
      <c r="BH175" s="225"/>
      <c r="BI175" s="225"/>
      <c r="BJ175" s="225"/>
      <c r="BK175" s="225"/>
      <c r="BL175" s="225"/>
      <c r="BM175" s="225"/>
      <c r="BN175" s="225"/>
      <c r="BO175" s="225"/>
      <c r="BP175" s="225"/>
      <c r="BQ175" s="130">
        <f t="shared" si="74"/>
        <v>0</v>
      </c>
      <c r="BR175" s="3"/>
    </row>
    <row r="176" ht="14.25" customHeight="1">
      <c r="A176" s="3"/>
      <c r="B176" s="512">
        <v>46176</v>
      </c>
      <c r="C176" s="118"/>
      <c r="D176" s="123"/>
      <c r="E176" s="120"/>
      <c r="F176" s="120"/>
      <c r="G176" s="147">
        <f t="shared" si="66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03">
        <f t="shared" si="67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8"/>
        <v>0</v>
      </c>
      <c r="AH176" s="123"/>
      <c r="AI176" s="123"/>
      <c r="AJ176" s="123"/>
      <c r="AK176" s="105">
        <f t="shared" si="69"/>
        <v>0</v>
      </c>
      <c r="AL176" s="143"/>
      <c r="AM176" s="143"/>
      <c r="AN176" s="143"/>
      <c r="AO176" s="143"/>
      <c r="AP176" s="146"/>
      <c r="AQ176" s="224">
        <f t="shared" si="70"/>
        <v>0</v>
      </c>
      <c r="AR176" s="126"/>
      <c r="AS176" s="126"/>
      <c r="AT176" s="126"/>
      <c r="AU176" s="126"/>
      <c r="AV176" s="127"/>
      <c r="AW176" s="127"/>
      <c r="AX176" s="127"/>
      <c r="AY176" s="126"/>
      <c r="AZ176" s="222">
        <f t="shared" si="71"/>
        <v>0</v>
      </c>
      <c r="BA176" s="113">
        <f t="shared" si="72"/>
        <v>0</v>
      </c>
      <c r="BB176" s="3"/>
      <c r="BC176" s="113">
        <f t="shared" si="73"/>
        <v>0</v>
      </c>
      <c r="BD176" s="225"/>
      <c r="BE176" s="225"/>
      <c r="BF176" s="225"/>
      <c r="BG176" s="225"/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130">
        <f t="shared" si="74"/>
        <v>0</v>
      </c>
      <c r="BR176" s="3"/>
    </row>
    <row r="177" ht="14.25" customHeight="1">
      <c r="A177" s="3"/>
      <c r="B177" s="512">
        <v>46177</v>
      </c>
      <c r="C177" s="118"/>
      <c r="D177" s="123"/>
      <c r="E177" s="120"/>
      <c r="F177" s="120"/>
      <c r="G177" s="147">
        <f t="shared" si="66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7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8"/>
        <v>0</v>
      </c>
      <c r="AH177" s="123"/>
      <c r="AI177" s="123"/>
      <c r="AJ177" s="123"/>
      <c r="AK177" s="105">
        <f t="shared" si="69"/>
        <v>0</v>
      </c>
      <c r="AL177" s="143"/>
      <c r="AM177" s="143"/>
      <c r="AN177" s="143"/>
      <c r="AO177" s="143"/>
      <c r="AP177" s="146"/>
      <c r="AQ177" s="224">
        <f t="shared" si="70"/>
        <v>0</v>
      </c>
      <c r="AR177" s="126"/>
      <c r="AS177" s="126"/>
      <c r="AT177" s="126"/>
      <c r="AU177" s="126"/>
      <c r="AV177" s="127"/>
      <c r="AW177" s="127"/>
      <c r="AX177" s="127"/>
      <c r="AY177" s="126"/>
      <c r="AZ177" s="222">
        <f t="shared" si="71"/>
        <v>0</v>
      </c>
      <c r="BA177" s="113">
        <f t="shared" si="72"/>
        <v>0</v>
      </c>
      <c r="BB177" s="3"/>
      <c r="BC177" s="113">
        <f t="shared" si="73"/>
        <v>0</v>
      </c>
      <c r="BD177" s="225"/>
      <c r="BE177" s="225"/>
      <c r="BF177" s="225"/>
      <c r="BG177" s="225"/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130">
        <f t="shared" si="74"/>
        <v>0</v>
      </c>
      <c r="BR177" s="3"/>
    </row>
    <row r="178" ht="14.25" customHeight="1">
      <c r="A178" s="3"/>
      <c r="B178" s="512">
        <v>46178</v>
      </c>
      <c r="C178" s="118"/>
      <c r="D178" s="123"/>
      <c r="E178" s="120"/>
      <c r="F178" s="120"/>
      <c r="G178" s="147">
        <f t="shared" si="66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7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8"/>
        <v>0</v>
      </c>
      <c r="AH178" s="123"/>
      <c r="AI178" s="123"/>
      <c r="AJ178" s="123"/>
      <c r="AK178" s="105">
        <f t="shared" si="69"/>
        <v>0</v>
      </c>
      <c r="AL178" s="143"/>
      <c r="AM178" s="143"/>
      <c r="AN178" s="143"/>
      <c r="AO178" s="143"/>
      <c r="AP178" s="146"/>
      <c r="AQ178" s="224">
        <f t="shared" si="70"/>
        <v>0</v>
      </c>
      <c r="AR178" s="126"/>
      <c r="AS178" s="126"/>
      <c r="AT178" s="126"/>
      <c r="AU178" s="126"/>
      <c r="AV178" s="127"/>
      <c r="AW178" s="127"/>
      <c r="AX178" s="127"/>
      <c r="AY178" s="126"/>
      <c r="AZ178" s="222">
        <f t="shared" si="71"/>
        <v>0</v>
      </c>
      <c r="BA178" s="113">
        <f t="shared" si="72"/>
        <v>0</v>
      </c>
      <c r="BB178" s="3"/>
      <c r="BC178" s="113">
        <f t="shared" si="73"/>
        <v>0</v>
      </c>
      <c r="BD178" s="225"/>
      <c r="BE178" s="225"/>
      <c r="BF178" s="225"/>
      <c r="BG178" s="225"/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130">
        <f t="shared" si="74"/>
        <v>0</v>
      </c>
      <c r="BR178" s="3"/>
    </row>
    <row r="179" ht="14.25" customHeight="1">
      <c r="A179" s="3"/>
      <c r="B179" s="512">
        <v>46179</v>
      </c>
      <c r="C179" s="118"/>
      <c r="D179" s="123"/>
      <c r="E179" s="120"/>
      <c r="F179" s="120"/>
      <c r="G179" s="147">
        <f t="shared" si="66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7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8"/>
        <v>0</v>
      </c>
      <c r="AH179" s="123"/>
      <c r="AI179" s="123"/>
      <c r="AJ179" s="123"/>
      <c r="AK179" s="105">
        <f t="shared" si="69"/>
        <v>0</v>
      </c>
      <c r="AL179" s="143"/>
      <c r="AM179" s="143"/>
      <c r="AN179" s="143"/>
      <c r="AO179" s="143"/>
      <c r="AP179" s="146"/>
      <c r="AQ179" s="224">
        <f t="shared" si="70"/>
        <v>0</v>
      </c>
      <c r="AR179" s="126"/>
      <c r="AS179" s="126"/>
      <c r="AT179" s="126"/>
      <c r="AU179" s="126"/>
      <c r="AV179" s="127"/>
      <c r="AW179" s="127"/>
      <c r="AX179" s="127"/>
      <c r="AY179" s="126"/>
      <c r="AZ179" s="222">
        <f t="shared" si="71"/>
        <v>0</v>
      </c>
      <c r="BA179" s="113">
        <f t="shared" si="72"/>
        <v>0</v>
      </c>
      <c r="BB179" s="3"/>
      <c r="BC179" s="113">
        <f t="shared" si="73"/>
        <v>0</v>
      </c>
      <c r="BD179" s="225"/>
      <c r="BE179" s="225"/>
      <c r="BF179" s="225"/>
      <c r="BG179" s="225"/>
      <c r="BH179" s="225"/>
      <c r="BI179" s="225"/>
      <c r="BJ179" s="225"/>
      <c r="BK179" s="225"/>
      <c r="BL179" s="225"/>
      <c r="BM179" s="225"/>
      <c r="BN179" s="225"/>
      <c r="BO179" s="225"/>
      <c r="BP179" s="225"/>
      <c r="BQ179" s="130">
        <f t="shared" si="74"/>
        <v>0</v>
      </c>
      <c r="BR179" s="3"/>
    </row>
    <row r="180" ht="14.25" customHeight="1">
      <c r="A180" s="3"/>
      <c r="B180" s="512">
        <v>46180</v>
      </c>
      <c r="C180" s="118"/>
      <c r="D180" s="123"/>
      <c r="E180" s="120"/>
      <c r="F180" s="120"/>
      <c r="G180" s="147">
        <f t="shared" si="66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7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8"/>
        <v>0</v>
      </c>
      <c r="AH180" s="123"/>
      <c r="AI180" s="123"/>
      <c r="AJ180" s="123"/>
      <c r="AK180" s="105">
        <f t="shared" si="69"/>
        <v>0</v>
      </c>
      <c r="AL180" s="143"/>
      <c r="AM180" s="143"/>
      <c r="AN180" s="143"/>
      <c r="AO180" s="143"/>
      <c r="AP180" s="146"/>
      <c r="AQ180" s="224">
        <f t="shared" si="70"/>
        <v>0</v>
      </c>
      <c r="AR180" s="126"/>
      <c r="AS180" s="126"/>
      <c r="AT180" s="126"/>
      <c r="AU180" s="126"/>
      <c r="AV180" s="127"/>
      <c r="AW180" s="127"/>
      <c r="AX180" s="127"/>
      <c r="AY180" s="126"/>
      <c r="AZ180" s="222">
        <f t="shared" si="71"/>
        <v>0</v>
      </c>
      <c r="BA180" s="113">
        <f t="shared" si="72"/>
        <v>0</v>
      </c>
      <c r="BB180" s="3"/>
      <c r="BC180" s="113">
        <f t="shared" si="73"/>
        <v>0</v>
      </c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130">
        <f t="shared" si="74"/>
        <v>0</v>
      </c>
      <c r="BR180" s="3"/>
    </row>
    <row r="181" ht="14.25" customHeight="1">
      <c r="A181" s="3"/>
      <c r="B181" s="512">
        <v>46181</v>
      </c>
      <c r="C181" s="118"/>
      <c r="D181" s="123"/>
      <c r="E181" s="120"/>
      <c r="F181" s="120"/>
      <c r="G181" s="147">
        <f t="shared" si="66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7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8"/>
        <v>0</v>
      </c>
      <c r="AH181" s="123"/>
      <c r="AI181" s="123"/>
      <c r="AJ181" s="123"/>
      <c r="AK181" s="105">
        <f t="shared" si="69"/>
        <v>0</v>
      </c>
      <c r="AL181" s="143"/>
      <c r="AM181" s="143"/>
      <c r="AN181" s="143"/>
      <c r="AO181" s="143"/>
      <c r="AP181" s="146"/>
      <c r="AQ181" s="224">
        <f ref="AQ181:AQ182" t="shared" si="75">+G181-T181-AG181-AK181-AL181-AN181-AO181-AP181</f>
        <v>0</v>
      </c>
      <c r="AR181" s="126"/>
      <c r="AS181" s="126"/>
      <c r="AT181" s="126"/>
      <c r="AU181" s="126"/>
      <c r="AV181" s="127"/>
      <c r="AW181" s="127"/>
      <c r="AX181" s="127"/>
      <c r="AY181" s="126"/>
      <c r="AZ181" s="222">
        <f t="shared" si="71"/>
        <v>0</v>
      </c>
      <c r="BA181" s="113">
        <f t="shared" si="72"/>
        <v>0</v>
      </c>
      <c r="BB181" s="3"/>
      <c r="BC181" s="113">
        <f t="shared" si="73"/>
        <v>0</v>
      </c>
      <c r="BD181" s="225"/>
      <c r="BE181" s="225"/>
      <c r="BF181" s="225"/>
      <c r="BG181" s="225"/>
      <c r="BH181" s="225"/>
      <c r="BI181" s="225"/>
      <c r="BJ181" s="225"/>
      <c r="BK181" s="225"/>
      <c r="BL181" s="225"/>
      <c r="BM181" s="225"/>
      <c r="BN181" s="225"/>
      <c r="BO181" s="225"/>
      <c r="BP181" s="225"/>
      <c r="BQ181" s="130">
        <f t="shared" si="74"/>
        <v>0</v>
      </c>
      <c r="BR181" s="3"/>
    </row>
    <row r="182" ht="14.25" customHeight="1">
      <c r="A182" s="132"/>
      <c r="B182" s="512">
        <v>46182</v>
      </c>
      <c r="C182" s="133"/>
      <c r="D182" s="136"/>
      <c r="E182" s="135"/>
      <c r="F182" s="135"/>
      <c r="G182" s="147">
        <f t="shared" si="66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7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8"/>
        <v>0</v>
      </c>
      <c r="AH182" s="136"/>
      <c r="AI182" s="136"/>
      <c r="AJ182" s="136"/>
      <c r="AK182" s="105">
        <f t="shared" si="69"/>
        <v>0</v>
      </c>
      <c r="AL182" s="143"/>
      <c r="AM182" s="143"/>
      <c r="AN182" s="143"/>
      <c r="AO182" s="143"/>
      <c r="AP182" s="146"/>
      <c r="AQ182" s="224">
        <f t="shared" si="75"/>
        <v>0</v>
      </c>
      <c r="AR182" s="126"/>
      <c r="AS182" s="126"/>
      <c r="AT182" s="126"/>
      <c r="AU182" s="126"/>
      <c r="AV182" s="127"/>
      <c r="AW182" s="127"/>
      <c r="AX182" s="127"/>
      <c r="AY182" s="126"/>
      <c r="AZ182" s="222">
        <f t="shared" si="71"/>
        <v>0</v>
      </c>
      <c r="BA182" s="140">
        <f t="shared" si="72"/>
        <v>0</v>
      </c>
      <c r="BB182" s="132"/>
      <c r="BC182" s="140">
        <f t="shared" si="73"/>
        <v>0</v>
      </c>
      <c r="BD182" s="126"/>
      <c r="BE182" s="126"/>
      <c r="BF182" s="126"/>
      <c r="BG182" s="126"/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30">
        <f t="shared" si="74"/>
        <v>0</v>
      </c>
      <c r="BR182" s="132"/>
    </row>
    <row r="183" ht="14.25" customHeight="1">
      <c r="A183" s="132"/>
      <c r="B183" s="512">
        <v>46183</v>
      </c>
      <c r="C183" s="133"/>
      <c r="D183" s="136"/>
      <c r="E183" s="135"/>
      <c r="F183" s="135"/>
      <c r="G183" s="147">
        <f t="shared" si="66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7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8"/>
        <v>0</v>
      </c>
      <c r="AH183" s="136"/>
      <c r="AI183" s="136"/>
      <c r="AJ183" s="136"/>
      <c r="AK183" s="105">
        <f t="shared" si="69"/>
        <v>0</v>
      </c>
      <c r="AL183" s="143"/>
      <c r="AM183" s="143"/>
      <c r="AN183" s="143"/>
      <c r="AO183" s="143"/>
      <c r="AP183" s="146"/>
      <c r="AQ183" s="224">
        <f ref="AQ183:AQ203" t="shared" si="76">+G183-T183-AG183-AK183-AL183-AN183-AO183-AP183-AM183</f>
        <v>0</v>
      </c>
      <c r="AR183" s="126"/>
      <c r="AS183" s="126"/>
      <c r="AT183" s="126"/>
      <c r="AU183" s="126"/>
      <c r="AV183" s="127"/>
      <c r="AW183" s="127"/>
      <c r="AX183" s="127"/>
      <c r="AY183" s="126"/>
      <c r="AZ183" s="222">
        <f t="shared" si="71"/>
        <v>0</v>
      </c>
      <c r="BA183" s="140">
        <f t="shared" si="72"/>
        <v>0</v>
      </c>
      <c r="BB183" s="132"/>
      <c r="BC183" s="140">
        <f t="shared" si="73"/>
        <v>0</v>
      </c>
      <c r="BD183" s="126"/>
      <c r="BE183" s="126"/>
      <c r="BF183" s="126"/>
      <c r="BG183" s="126"/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30">
        <f t="shared" si="74"/>
        <v>0</v>
      </c>
      <c r="BR183" s="132"/>
    </row>
    <row r="184" ht="14.25" customHeight="1">
      <c r="A184" s="132"/>
      <c r="B184" s="512">
        <v>46184</v>
      </c>
      <c r="C184" s="133"/>
      <c r="D184" s="136"/>
      <c r="E184" s="135"/>
      <c r="F184" s="135"/>
      <c r="G184" s="147">
        <f t="shared" si="66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7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8"/>
        <v>0</v>
      </c>
      <c r="AH184" s="136"/>
      <c r="AI184" s="136"/>
      <c r="AJ184" s="136"/>
      <c r="AK184" s="105">
        <f t="shared" si="69"/>
        <v>0</v>
      </c>
      <c r="AL184" s="143"/>
      <c r="AM184" s="143"/>
      <c r="AN184" s="143"/>
      <c r="AO184" s="143"/>
      <c r="AP184" s="146"/>
      <c r="AQ184" s="224">
        <f t="shared" si="76"/>
        <v>0</v>
      </c>
      <c r="AR184" s="126"/>
      <c r="AS184" s="126"/>
      <c r="AT184" s="126"/>
      <c r="AU184" s="126"/>
      <c r="AV184" s="127"/>
      <c r="AW184" s="127"/>
      <c r="AX184" s="127"/>
      <c r="AY184" s="126"/>
      <c r="AZ184" s="222">
        <f t="shared" si="71"/>
        <v>0</v>
      </c>
      <c r="BA184" s="140">
        <f t="shared" si="72"/>
        <v>0</v>
      </c>
      <c r="BB184" s="132"/>
      <c r="BC184" s="140">
        <f t="shared" si="73"/>
        <v>0</v>
      </c>
      <c r="BD184" s="126"/>
      <c r="BE184" s="126"/>
      <c r="BF184" s="126"/>
      <c r="BG184" s="126"/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30">
        <f t="shared" si="74"/>
        <v>0</v>
      </c>
      <c r="BR184" s="132"/>
    </row>
    <row r="185" ht="14.25" customHeight="1">
      <c r="A185" s="132"/>
      <c r="B185" s="512">
        <v>46185</v>
      </c>
      <c r="C185" s="133"/>
      <c r="D185" s="136"/>
      <c r="E185" s="135"/>
      <c r="F185" s="135"/>
      <c r="G185" s="147">
        <f t="shared" si="66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7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8"/>
        <v>0</v>
      </c>
      <c r="AH185" s="136"/>
      <c r="AI185" s="136"/>
      <c r="AJ185" s="136"/>
      <c r="AK185" s="105">
        <f t="shared" si="69"/>
        <v>0</v>
      </c>
      <c r="AL185" s="143"/>
      <c r="AM185" s="143"/>
      <c r="AN185" s="143"/>
      <c r="AO185" s="143"/>
      <c r="AP185" s="146"/>
      <c r="AQ185" s="224">
        <f t="shared" si="76"/>
        <v>0</v>
      </c>
      <c r="AR185" s="126"/>
      <c r="AS185" s="126"/>
      <c r="AT185" s="126"/>
      <c r="AU185" s="126"/>
      <c r="AV185" s="127"/>
      <c r="AW185" s="127"/>
      <c r="AX185" s="127"/>
      <c r="AY185" s="126"/>
      <c r="AZ185" s="222">
        <f t="shared" si="71"/>
        <v>0</v>
      </c>
      <c r="BA185" s="140">
        <f t="shared" si="72"/>
        <v>0</v>
      </c>
      <c r="BB185" s="132"/>
      <c r="BC185" s="140">
        <f t="shared" si="73"/>
        <v>0</v>
      </c>
      <c r="BD185" s="126"/>
      <c r="BE185" s="126"/>
      <c r="BF185" s="126"/>
      <c r="BG185" s="126"/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30">
        <f t="shared" si="74"/>
        <v>0</v>
      </c>
      <c r="BR185" s="132"/>
    </row>
    <row r="186" ht="14.25" customHeight="1">
      <c r="A186" s="132"/>
      <c r="B186" s="512">
        <v>46186</v>
      </c>
      <c r="C186" s="133"/>
      <c r="D186" s="136"/>
      <c r="E186" s="135"/>
      <c r="F186" s="135"/>
      <c r="G186" s="147">
        <f t="shared" si="66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7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8"/>
        <v>0</v>
      </c>
      <c r="AH186" s="136"/>
      <c r="AI186" s="136"/>
      <c r="AJ186" s="136"/>
      <c r="AK186" s="105">
        <f t="shared" si="69"/>
        <v>0</v>
      </c>
      <c r="AL186" s="143"/>
      <c r="AM186" s="143"/>
      <c r="AN186" s="143"/>
      <c r="AO186" s="143"/>
      <c r="AP186" s="146"/>
      <c r="AQ186" s="224">
        <f t="shared" si="76"/>
        <v>0</v>
      </c>
      <c r="AR186" s="126"/>
      <c r="AS186" s="126"/>
      <c r="AT186" s="126"/>
      <c r="AU186" s="126"/>
      <c r="AV186" s="127"/>
      <c r="AW186" s="127"/>
      <c r="AX186" s="127"/>
      <c r="AY186" s="126"/>
      <c r="AZ186" s="222">
        <f t="shared" si="71"/>
        <v>0</v>
      </c>
      <c r="BA186" s="140">
        <f t="shared" si="72"/>
        <v>0</v>
      </c>
      <c r="BB186" s="132"/>
      <c r="BC186" s="140">
        <f t="shared" si="73"/>
        <v>0</v>
      </c>
      <c r="BD186" s="126"/>
      <c r="BE186" s="126"/>
      <c r="BF186" s="126"/>
      <c r="BG186" s="126"/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30">
        <f t="shared" si="74"/>
        <v>0</v>
      </c>
      <c r="BR186" s="132"/>
    </row>
    <row r="187" ht="14.25" customHeight="1">
      <c r="A187" s="3"/>
      <c r="B187" s="512">
        <v>46187</v>
      </c>
      <c r="C187" s="118"/>
      <c r="D187" s="123"/>
      <c r="E187" s="120"/>
      <c r="F187" s="120"/>
      <c r="G187" s="147">
        <f t="shared" si="66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7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8"/>
        <v>0</v>
      </c>
      <c r="AH187" s="123"/>
      <c r="AI187" s="123"/>
      <c r="AJ187" s="123"/>
      <c r="AK187" s="105">
        <f t="shared" si="69"/>
        <v>0</v>
      </c>
      <c r="AL187" s="143"/>
      <c r="AM187" s="143"/>
      <c r="AN187" s="143"/>
      <c r="AO187" s="143"/>
      <c r="AP187" s="146"/>
      <c r="AQ187" s="224">
        <f t="shared" si="76"/>
        <v>0</v>
      </c>
      <c r="AR187" s="126"/>
      <c r="AS187" s="126"/>
      <c r="AT187" s="126"/>
      <c r="AU187" s="126"/>
      <c r="AV187" s="127"/>
      <c r="AW187" s="127"/>
      <c r="AX187" s="127"/>
      <c r="AY187" s="126"/>
      <c r="AZ187" s="222">
        <f t="shared" si="71"/>
        <v>0</v>
      </c>
      <c r="BA187" s="113">
        <f t="shared" si="72"/>
        <v>0</v>
      </c>
      <c r="BB187" s="3"/>
      <c r="BC187" s="113">
        <f t="shared" si="73"/>
        <v>0</v>
      </c>
      <c r="BD187" s="225"/>
      <c r="BE187" s="225"/>
      <c r="BF187" s="225"/>
      <c r="BG187" s="225"/>
      <c r="BH187" s="225"/>
      <c r="BI187" s="225"/>
      <c r="BJ187" s="225"/>
      <c r="BK187" s="225"/>
      <c r="BL187" s="225"/>
      <c r="BM187" s="225"/>
      <c r="BN187" s="225"/>
      <c r="BO187" s="225"/>
      <c r="BP187" s="225"/>
      <c r="BQ187" s="130">
        <f t="shared" si="74"/>
        <v>0</v>
      </c>
      <c r="BR187" s="3"/>
    </row>
    <row r="188" ht="14.25" customHeight="1">
      <c r="A188" s="3"/>
      <c r="B188" s="512">
        <v>46188</v>
      </c>
      <c r="C188" s="118"/>
      <c r="D188" s="123"/>
      <c r="E188" s="120"/>
      <c r="F188" s="120"/>
      <c r="G188" s="147">
        <f t="shared" si="66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7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8"/>
        <v>0</v>
      </c>
      <c r="AH188" s="123"/>
      <c r="AI188" s="123"/>
      <c r="AJ188" s="123"/>
      <c r="AK188" s="105">
        <f t="shared" si="69"/>
        <v>0</v>
      </c>
      <c r="AL188" s="143"/>
      <c r="AM188" s="143"/>
      <c r="AN188" s="143"/>
      <c r="AO188" s="143"/>
      <c r="AP188" s="146"/>
      <c r="AQ188" s="224">
        <f t="shared" si="76"/>
        <v>0</v>
      </c>
      <c r="AR188" s="126"/>
      <c r="AS188" s="126"/>
      <c r="AT188" s="126"/>
      <c r="AU188" s="126"/>
      <c r="AV188" s="127"/>
      <c r="AW188" s="127"/>
      <c r="AX188" s="127"/>
      <c r="AY188" s="126"/>
      <c r="AZ188" s="222">
        <f t="shared" si="71"/>
        <v>0</v>
      </c>
      <c r="BA188" s="113">
        <f t="shared" si="72"/>
        <v>0</v>
      </c>
      <c r="BB188" s="3"/>
      <c r="BC188" s="113">
        <f t="shared" si="73"/>
        <v>0</v>
      </c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130">
        <f t="shared" si="74"/>
        <v>0</v>
      </c>
      <c r="BR188" s="3"/>
    </row>
    <row r="189" ht="14.25" customHeight="1">
      <c r="A189" s="132"/>
      <c r="B189" s="512">
        <v>46189</v>
      </c>
      <c r="C189" s="133"/>
      <c r="D189" s="136"/>
      <c r="E189" s="135"/>
      <c r="F189" s="135"/>
      <c r="G189" s="147">
        <f t="shared" si="66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7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8"/>
        <v>0</v>
      </c>
      <c r="AH189" s="136"/>
      <c r="AI189" s="136"/>
      <c r="AJ189" s="136"/>
      <c r="AK189" s="105">
        <f t="shared" si="69"/>
        <v>0</v>
      </c>
      <c r="AL189" s="143"/>
      <c r="AM189" s="143"/>
      <c r="AN189" s="143"/>
      <c r="AO189" s="143"/>
      <c r="AP189" s="146"/>
      <c r="AQ189" s="224">
        <f t="shared" si="76"/>
        <v>0</v>
      </c>
      <c r="AR189" s="126"/>
      <c r="AS189" s="126"/>
      <c r="AT189" s="126"/>
      <c r="AU189" s="126"/>
      <c r="AV189" s="127"/>
      <c r="AW189" s="127"/>
      <c r="AX189" s="127"/>
      <c r="AY189" s="126"/>
      <c r="AZ189" s="222">
        <f t="shared" si="71"/>
        <v>0</v>
      </c>
      <c r="BA189" s="140">
        <f t="shared" si="72"/>
        <v>0</v>
      </c>
      <c r="BB189" s="132"/>
      <c r="BC189" s="140">
        <f t="shared" si="73"/>
        <v>0</v>
      </c>
      <c r="BD189" s="126"/>
      <c r="BE189" s="126"/>
      <c r="BF189" s="126"/>
      <c r="BG189" s="126"/>
      <c r="BH189" s="126"/>
      <c r="BI189" s="126"/>
      <c r="BJ189" s="126"/>
      <c r="BK189" s="126"/>
      <c r="BL189" s="126"/>
      <c r="BM189" s="126"/>
      <c r="BN189" s="126"/>
      <c r="BO189" s="126"/>
      <c r="BP189" s="126"/>
      <c r="BQ189" s="130">
        <f t="shared" si="74"/>
        <v>0</v>
      </c>
      <c r="BR189" s="132"/>
    </row>
    <row r="190" ht="14.25" customHeight="1">
      <c r="A190" s="132"/>
      <c r="B190" s="512">
        <v>46190</v>
      </c>
      <c r="C190" s="133"/>
      <c r="D190" s="136"/>
      <c r="E190" s="135"/>
      <c r="F190" s="135"/>
      <c r="G190" s="147">
        <f t="shared" si="66"/>
        <v>0</v>
      </c>
      <c r="H190" s="144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7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8"/>
        <v>0</v>
      </c>
      <c r="AH190" s="136"/>
      <c r="AI190" s="136"/>
      <c r="AJ190" s="136"/>
      <c r="AK190" s="105">
        <f t="shared" si="69"/>
        <v>0</v>
      </c>
      <c r="AL190" s="143"/>
      <c r="AM190" s="143"/>
      <c r="AN190" s="143"/>
      <c r="AO190" s="143"/>
      <c r="AP190" s="146"/>
      <c r="AQ190" s="224">
        <f t="shared" si="76"/>
        <v>0</v>
      </c>
      <c r="AR190" s="126"/>
      <c r="AS190" s="126"/>
      <c r="AT190" s="126"/>
      <c r="AU190" s="126"/>
      <c r="AV190" s="127"/>
      <c r="AW190" s="127"/>
      <c r="AX190" s="127"/>
      <c r="AY190" s="126"/>
      <c r="AZ190" s="222">
        <f t="shared" si="71"/>
        <v>0</v>
      </c>
      <c r="BA190" s="140">
        <f t="shared" si="72"/>
        <v>0</v>
      </c>
      <c r="BB190" s="132"/>
      <c r="BC190" s="140">
        <f t="shared" si="73"/>
        <v>0</v>
      </c>
      <c r="BD190" s="126"/>
      <c r="BE190" s="126"/>
      <c r="BF190" s="126"/>
      <c r="BG190" s="126"/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30">
        <f t="shared" si="74"/>
        <v>0</v>
      </c>
      <c r="BR190" s="132"/>
    </row>
    <row r="191" ht="14.25" customHeight="1">
      <c r="A191" s="132"/>
      <c r="B191" s="512">
        <v>46191</v>
      </c>
      <c r="C191" s="133"/>
      <c r="D191" s="136"/>
      <c r="E191" s="135"/>
      <c r="F191" s="135"/>
      <c r="G191" s="147">
        <f t="shared" si="66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7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8"/>
        <v>0</v>
      </c>
      <c r="AH191" s="136"/>
      <c r="AI191" s="136"/>
      <c r="AJ191" s="136"/>
      <c r="AK191" s="105">
        <f t="shared" si="69"/>
        <v>0</v>
      </c>
      <c r="AL191" s="143"/>
      <c r="AM191" s="143"/>
      <c r="AN191" s="143"/>
      <c r="AO191" s="143"/>
      <c r="AP191" s="146"/>
      <c r="AQ191" s="224">
        <f t="shared" si="76"/>
        <v>0</v>
      </c>
      <c r="AR191" s="126"/>
      <c r="AS191" s="126"/>
      <c r="AT191" s="126"/>
      <c r="AU191" s="126"/>
      <c r="AV191" s="127"/>
      <c r="AW191" s="127"/>
      <c r="AX191" s="127"/>
      <c r="AY191" s="126"/>
      <c r="AZ191" s="222">
        <f t="shared" si="71"/>
        <v>0</v>
      </c>
      <c r="BA191" s="140">
        <f t="shared" si="72"/>
        <v>0</v>
      </c>
      <c r="BB191" s="132"/>
      <c r="BC191" s="140">
        <f t="shared" si="73"/>
        <v>0</v>
      </c>
      <c r="BD191" s="126"/>
      <c r="BE191" s="126"/>
      <c r="BF191" s="126"/>
      <c r="BG191" s="126"/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30">
        <f t="shared" si="74"/>
        <v>0</v>
      </c>
      <c r="BR191" s="132"/>
    </row>
    <row r="192" ht="14.25" customHeight="1">
      <c r="A192" s="132"/>
      <c r="B192" s="512">
        <v>46192</v>
      </c>
      <c r="C192" s="133"/>
      <c r="D192" s="136"/>
      <c r="E192" s="135"/>
      <c r="F192" s="135"/>
      <c r="G192" s="147">
        <f t="shared" si="66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7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8"/>
        <v>0</v>
      </c>
      <c r="AH192" s="136"/>
      <c r="AI192" s="136"/>
      <c r="AJ192" s="136"/>
      <c r="AK192" s="105">
        <f t="shared" si="69"/>
        <v>0</v>
      </c>
      <c r="AL192" s="143"/>
      <c r="AM192" s="143"/>
      <c r="AN192" s="143"/>
      <c r="AO192" s="143"/>
      <c r="AP192" s="146"/>
      <c r="AQ192" s="224">
        <f t="shared" si="76"/>
        <v>0</v>
      </c>
      <c r="AR192" s="126"/>
      <c r="AS192" s="126"/>
      <c r="AT192" s="126"/>
      <c r="AU192" s="126"/>
      <c r="AV192" s="127"/>
      <c r="AW192" s="127"/>
      <c r="AX192" s="127"/>
      <c r="AY192" s="126"/>
      <c r="AZ192" s="222">
        <f t="shared" si="71"/>
        <v>0</v>
      </c>
      <c r="BA192" s="140">
        <f t="shared" si="72"/>
        <v>0</v>
      </c>
      <c r="BB192" s="132"/>
      <c r="BC192" s="140">
        <f t="shared" si="73"/>
        <v>0</v>
      </c>
      <c r="BD192" s="126"/>
      <c r="BE192" s="126"/>
      <c r="BF192" s="126"/>
      <c r="BG192" s="126"/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30">
        <f t="shared" si="74"/>
        <v>0</v>
      </c>
      <c r="BR192" s="132"/>
    </row>
    <row r="193" ht="14.25" customHeight="1">
      <c r="A193" s="132"/>
      <c r="B193" s="512">
        <v>46193</v>
      </c>
      <c r="C193" s="133"/>
      <c r="D193" s="136"/>
      <c r="E193" s="135"/>
      <c r="F193" s="135"/>
      <c r="G193" s="147">
        <f t="shared" si="66"/>
        <v>0</v>
      </c>
      <c r="H193" s="1028"/>
      <c r="I193" s="144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7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8"/>
        <v>0</v>
      </c>
      <c r="AH193" s="136"/>
      <c r="AI193" s="136"/>
      <c r="AJ193" s="136"/>
      <c r="AK193" s="105">
        <f t="shared" si="69"/>
        <v>0</v>
      </c>
      <c r="AL193" s="143"/>
      <c r="AM193" s="143"/>
      <c r="AN193" s="143"/>
      <c r="AO193" s="143"/>
      <c r="AP193" s="146"/>
      <c r="AQ193" s="224">
        <f t="shared" si="76"/>
        <v>0</v>
      </c>
      <c r="AR193" s="126"/>
      <c r="AS193" s="126"/>
      <c r="AT193" s="126"/>
      <c r="AU193" s="126"/>
      <c r="AV193" s="127"/>
      <c r="AW193" s="127"/>
      <c r="AX193" s="127"/>
      <c r="AY193" s="126"/>
      <c r="AZ193" s="222">
        <f t="shared" si="71"/>
        <v>0</v>
      </c>
      <c r="BA193" s="140">
        <f t="shared" si="72"/>
        <v>0</v>
      </c>
      <c r="BB193" s="132"/>
      <c r="BC193" s="140">
        <f t="shared" si="73"/>
        <v>0</v>
      </c>
      <c r="BD193" s="126"/>
      <c r="BE193" s="126"/>
      <c r="BF193" s="126"/>
      <c r="BG193" s="126"/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30">
        <f t="shared" si="74"/>
        <v>0</v>
      </c>
      <c r="BR193" s="132"/>
    </row>
    <row r="194" ht="14.25" customHeight="1">
      <c r="A194" s="132"/>
      <c r="B194" s="512">
        <v>46194</v>
      </c>
      <c r="C194" s="133"/>
      <c r="D194" s="136"/>
      <c r="E194" s="135"/>
      <c r="F194" s="135"/>
      <c r="G194" s="147">
        <f t="shared" si="66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7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8"/>
        <v>0</v>
      </c>
      <c r="AH194" s="136"/>
      <c r="AI194" s="136"/>
      <c r="AJ194" s="136"/>
      <c r="AK194" s="105">
        <f t="shared" si="69"/>
        <v>0</v>
      </c>
      <c r="AL194" s="143"/>
      <c r="AM194" s="143"/>
      <c r="AN194" s="143"/>
      <c r="AO194" s="143"/>
      <c r="AP194" s="146"/>
      <c r="AQ194" s="224">
        <f t="shared" si="76"/>
        <v>0</v>
      </c>
      <c r="AR194" s="126"/>
      <c r="AS194" s="126"/>
      <c r="AT194" s="126"/>
      <c r="AU194" s="126"/>
      <c r="AV194" s="127"/>
      <c r="AW194" s="127"/>
      <c r="AX194" s="127"/>
      <c r="AY194" s="126"/>
      <c r="AZ194" s="222">
        <f t="shared" si="71"/>
        <v>0</v>
      </c>
      <c r="BA194" s="140">
        <f t="shared" si="72"/>
        <v>0</v>
      </c>
      <c r="BB194" s="132"/>
      <c r="BC194" s="140">
        <f t="shared" si="73"/>
        <v>0</v>
      </c>
      <c r="BD194" s="126"/>
      <c r="BE194" s="126"/>
      <c r="BF194" s="126"/>
      <c r="BG194" s="126"/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30">
        <f t="shared" si="74"/>
        <v>0</v>
      </c>
      <c r="BR194" s="132"/>
    </row>
    <row r="195" ht="13.5" customHeight="1">
      <c r="A195" s="132"/>
      <c r="B195" s="512">
        <v>46195</v>
      </c>
      <c r="C195" s="136"/>
      <c r="D195" s="136"/>
      <c r="E195" s="135"/>
      <c r="F195" s="135"/>
      <c r="G195" s="147">
        <f t="shared" si="66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7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8"/>
        <v>0</v>
      </c>
      <c r="AH195" s="136"/>
      <c r="AI195" s="136"/>
      <c r="AJ195" s="136"/>
      <c r="AK195" s="105">
        <f t="shared" si="69"/>
        <v>0</v>
      </c>
      <c r="AL195" s="143"/>
      <c r="AM195" s="143"/>
      <c r="AN195" s="143"/>
      <c r="AO195" s="143"/>
      <c r="AP195" s="146"/>
      <c r="AQ195" s="224">
        <f t="shared" si="76"/>
        <v>0</v>
      </c>
      <c r="AR195" s="126"/>
      <c r="AS195" s="126"/>
      <c r="AT195" s="126"/>
      <c r="AU195" s="126"/>
      <c r="AV195" s="127"/>
      <c r="AW195" s="127"/>
      <c r="AX195" s="127"/>
      <c r="AY195" s="126"/>
      <c r="AZ195" s="222">
        <f t="shared" si="71"/>
        <v>0</v>
      </c>
      <c r="BA195" s="140">
        <f t="shared" si="72"/>
        <v>0</v>
      </c>
      <c r="BB195" s="132"/>
      <c r="BC195" s="140">
        <f t="shared" si="73"/>
        <v>0</v>
      </c>
      <c r="BD195" s="126"/>
      <c r="BE195" s="126"/>
      <c r="BF195" s="126"/>
      <c r="BG195" s="126"/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30">
        <f t="shared" si="74"/>
        <v>0</v>
      </c>
      <c r="BR195" s="132"/>
    </row>
    <row r="196" ht="14.25" customHeight="1">
      <c r="A196" s="132"/>
      <c r="B196" s="512">
        <v>46196</v>
      </c>
      <c r="C196" s="136"/>
      <c r="D196" s="136"/>
      <c r="E196" s="135"/>
      <c r="F196" s="135"/>
      <c r="G196" s="147">
        <f t="shared" si="66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7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8"/>
        <v>0</v>
      </c>
      <c r="AH196" s="136"/>
      <c r="AI196" s="136"/>
      <c r="AJ196" s="136"/>
      <c r="AK196" s="105">
        <f t="shared" si="69"/>
        <v>0</v>
      </c>
      <c r="AL196" s="143"/>
      <c r="AM196" s="143"/>
      <c r="AN196" s="143"/>
      <c r="AO196" s="143"/>
      <c r="AP196" s="146"/>
      <c r="AQ196" s="224">
        <f t="shared" si="76"/>
        <v>0</v>
      </c>
      <c r="AR196" s="126"/>
      <c r="AS196" s="126"/>
      <c r="AT196" s="126"/>
      <c r="AU196" s="126"/>
      <c r="AV196" s="127"/>
      <c r="AW196" s="127"/>
      <c r="AX196" s="127"/>
      <c r="AY196" s="126"/>
      <c r="AZ196" s="222">
        <f t="shared" si="71"/>
        <v>0</v>
      </c>
      <c r="BA196" s="140">
        <f t="shared" si="72"/>
        <v>0</v>
      </c>
      <c r="BB196" s="132"/>
      <c r="BC196" s="140">
        <f t="shared" si="73"/>
        <v>0</v>
      </c>
      <c r="BD196" s="126"/>
      <c r="BE196" s="126"/>
      <c r="BF196" s="126"/>
      <c r="BG196" s="126"/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30">
        <f t="shared" si="74"/>
        <v>0</v>
      </c>
      <c r="BR196" s="132"/>
    </row>
    <row r="197" ht="14.25" customHeight="1">
      <c r="A197" s="132"/>
      <c r="B197" s="512">
        <v>46197</v>
      </c>
      <c r="C197" s="133"/>
      <c r="D197" s="136"/>
      <c r="E197" s="135"/>
      <c r="F197" s="135"/>
      <c r="G197" s="147">
        <f t="shared" si="66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7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8"/>
        <v>0</v>
      </c>
      <c r="AH197" s="136"/>
      <c r="AI197" s="136"/>
      <c r="AJ197" s="136"/>
      <c r="AK197" s="105">
        <f t="shared" si="69"/>
        <v>0</v>
      </c>
      <c r="AL197" s="143"/>
      <c r="AM197" s="143"/>
      <c r="AN197" s="143"/>
      <c r="AO197" s="143"/>
      <c r="AP197" s="146"/>
      <c r="AQ197" s="224">
        <f t="shared" si="76"/>
        <v>0</v>
      </c>
      <c r="AR197" s="126"/>
      <c r="AS197" s="126"/>
      <c r="AT197" s="126"/>
      <c r="AU197" s="126"/>
      <c r="AV197" s="127"/>
      <c r="AW197" s="127"/>
      <c r="AX197" s="127"/>
      <c r="AY197" s="126"/>
      <c r="AZ197" s="222">
        <f t="shared" si="71"/>
        <v>0</v>
      </c>
      <c r="BA197" s="140">
        <f t="shared" si="72"/>
        <v>0</v>
      </c>
      <c r="BB197" s="132"/>
      <c r="BC197" s="140">
        <f t="shared" si="73"/>
        <v>0</v>
      </c>
      <c r="BD197" s="126"/>
      <c r="BE197" s="126"/>
      <c r="BF197" s="126"/>
      <c r="BG197" s="126"/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30">
        <f t="shared" si="74"/>
        <v>0</v>
      </c>
      <c r="BR197" s="132"/>
    </row>
    <row r="198" ht="14.25" customHeight="1">
      <c r="A198" s="132"/>
      <c r="B198" s="512">
        <v>46198</v>
      </c>
      <c r="C198" s="133"/>
      <c r="D198" s="136"/>
      <c r="E198" s="135"/>
      <c r="F198" s="135"/>
      <c r="G198" s="147">
        <f t="shared" si="66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7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8"/>
        <v>0</v>
      </c>
      <c r="AH198" s="136"/>
      <c r="AI198" s="136"/>
      <c r="AJ198" s="136"/>
      <c r="AK198" s="105">
        <f t="shared" si="69"/>
        <v>0</v>
      </c>
      <c r="AL198" s="143"/>
      <c r="AM198" s="143"/>
      <c r="AN198" s="143"/>
      <c r="AO198" s="143"/>
      <c r="AP198" s="146"/>
      <c r="AQ198" s="224">
        <f t="shared" si="76"/>
        <v>0</v>
      </c>
      <c r="AR198" s="126"/>
      <c r="AS198" s="126"/>
      <c r="AT198" s="126"/>
      <c r="AU198" s="126"/>
      <c r="AV198" s="127"/>
      <c r="AW198" s="127"/>
      <c r="AX198" s="127"/>
      <c r="AY198" s="126"/>
      <c r="AZ198" s="222">
        <f t="shared" si="71"/>
        <v>0</v>
      </c>
      <c r="BA198" s="140">
        <f t="shared" si="72"/>
        <v>0</v>
      </c>
      <c r="BB198" s="132"/>
      <c r="BC198" s="140">
        <f t="shared" si="73"/>
        <v>0</v>
      </c>
      <c r="BD198" s="126"/>
      <c r="BE198" s="126"/>
      <c r="BF198" s="126"/>
      <c r="BG198" s="126"/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30">
        <f t="shared" si="74"/>
        <v>0</v>
      </c>
      <c r="BR198" s="132"/>
    </row>
    <row r="199" ht="14.25" customHeight="1">
      <c r="A199" s="132"/>
      <c r="B199" s="512">
        <v>46199</v>
      </c>
      <c r="C199" s="133"/>
      <c r="D199" s="136"/>
      <c r="E199" s="135"/>
      <c r="F199" s="135"/>
      <c r="G199" s="147">
        <f t="shared" si="66"/>
        <v>0</v>
      </c>
      <c r="H199" s="144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7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8"/>
        <v>0</v>
      </c>
      <c r="AH199" s="136"/>
      <c r="AI199" s="136"/>
      <c r="AJ199" s="136"/>
      <c r="AK199" s="105">
        <f t="shared" si="69"/>
        <v>0</v>
      </c>
      <c r="AL199" s="143"/>
      <c r="AM199" s="143"/>
      <c r="AN199" s="143"/>
      <c r="AO199" s="143"/>
      <c r="AP199" s="146"/>
      <c r="AQ199" s="224">
        <f t="shared" si="76"/>
        <v>0</v>
      </c>
      <c r="AR199" s="126"/>
      <c r="AS199" s="126"/>
      <c r="AT199" s="126"/>
      <c r="AU199" s="126"/>
      <c r="AV199" s="127"/>
      <c r="AW199" s="127"/>
      <c r="AX199" s="127"/>
      <c r="AY199" s="126"/>
      <c r="AZ199" s="222">
        <f t="shared" si="71"/>
        <v>0</v>
      </c>
      <c r="BA199" s="140">
        <f t="shared" si="72"/>
        <v>0</v>
      </c>
      <c r="BB199" s="132"/>
      <c r="BC199" s="140">
        <f t="shared" si="73"/>
        <v>0</v>
      </c>
      <c r="BD199" s="126"/>
      <c r="BE199" s="126"/>
      <c r="BF199" s="126"/>
      <c r="BG199" s="126"/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30">
        <f t="shared" si="74"/>
        <v>0</v>
      </c>
      <c r="BR199" s="132"/>
    </row>
    <row r="200" ht="14.25" customHeight="1">
      <c r="A200" s="132"/>
      <c r="B200" s="512">
        <v>46200</v>
      </c>
      <c r="C200" s="133"/>
      <c r="D200" s="136"/>
      <c r="E200" s="135"/>
      <c r="F200" s="135"/>
      <c r="G200" s="147">
        <f t="shared" si="66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7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8"/>
        <v>0</v>
      </c>
      <c r="AH200" s="136"/>
      <c r="AI200" s="136"/>
      <c r="AJ200" s="136"/>
      <c r="AK200" s="105">
        <f t="shared" si="69"/>
        <v>0</v>
      </c>
      <c r="AL200" s="143"/>
      <c r="AM200" s="143"/>
      <c r="AN200" s="143"/>
      <c r="AO200" s="143"/>
      <c r="AP200" s="146"/>
      <c r="AQ200" s="224">
        <f t="shared" si="76"/>
        <v>0</v>
      </c>
      <c r="AR200" s="126"/>
      <c r="AS200" s="126"/>
      <c r="AT200" s="126"/>
      <c r="AU200" s="126"/>
      <c r="AV200" s="127"/>
      <c r="AW200" s="127"/>
      <c r="AX200" s="127"/>
      <c r="AY200" s="126"/>
      <c r="AZ200" s="222">
        <f t="shared" si="71"/>
        <v>0</v>
      </c>
      <c r="BA200" s="140">
        <f t="shared" si="72"/>
        <v>0</v>
      </c>
      <c r="BB200" s="132"/>
      <c r="BC200" s="140">
        <f t="shared" si="73"/>
        <v>0</v>
      </c>
      <c r="BD200" s="126"/>
      <c r="BE200" s="126"/>
      <c r="BF200" s="126"/>
      <c r="BG200" s="126"/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30">
        <f t="shared" si="74"/>
        <v>0</v>
      </c>
      <c r="BR200" s="132"/>
    </row>
    <row r="201" ht="14.25" customHeight="1">
      <c r="A201" s="132"/>
      <c r="B201" s="512">
        <v>46201</v>
      </c>
      <c r="C201" s="133"/>
      <c r="D201" s="136"/>
      <c r="E201" s="135"/>
      <c r="F201" s="135"/>
      <c r="G201" s="147">
        <f t="shared" si="66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7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8"/>
        <v>0</v>
      </c>
      <c r="AH201" s="136"/>
      <c r="AI201" s="136"/>
      <c r="AJ201" s="136"/>
      <c r="AK201" s="105">
        <f t="shared" si="69"/>
        <v>0</v>
      </c>
      <c r="AL201" s="143"/>
      <c r="AM201" s="143"/>
      <c r="AN201" s="143"/>
      <c r="AO201" s="143"/>
      <c r="AP201" s="146"/>
      <c r="AQ201" s="224">
        <f t="shared" si="76"/>
        <v>0</v>
      </c>
      <c r="AR201" s="126"/>
      <c r="AS201" s="126"/>
      <c r="AT201" s="126"/>
      <c r="AU201" s="126"/>
      <c r="AV201" s="127"/>
      <c r="AW201" s="127"/>
      <c r="AX201" s="127"/>
      <c r="AY201" s="126"/>
      <c r="AZ201" s="222">
        <f t="shared" si="71"/>
        <v>0</v>
      </c>
      <c r="BA201" s="140">
        <f t="shared" si="72"/>
        <v>0</v>
      </c>
      <c r="BB201" s="132"/>
      <c r="BC201" s="140">
        <f t="shared" si="73"/>
        <v>0</v>
      </c>
      <c r="BD201" s="126"/>
      <c r="BE201" s="126"/>
      <c r="BF201" s="126"/>
      <c r="BG201" s="126"/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30">
        <f t="shared" si="74"/>
        <v>0</v>
      </c>
      <c r="BR201" s="132"/>
    </row>
    <row r="202" ht="14.25" customHeight="1">
      <c r="A202" s="132"/>
      <c r="B202" s="512">
        <v>46202</v>
      </c>
      <c r="C202" s="133"/>
      <c r="D202" s="136"/>
      <c r="E202" s="135"/>
      <c r="F202" s="135"/>
      <c r="G202" s="147">
        <f t="shared" si="66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7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8"/>
        <v>0</v>
      </c>
      <c r="AH202" s="136"/>
      <c r="AI202" s="136"/>
      <c r="AJ202" s="136"/>
      <c r="AK202" s="105">
        <f t="shared" si="69"/>
        <v>0</v>
      </c>
      <c r="AL202" s="143"/>
      <c r="AM202" s="143"/>
      <c r="AN202" s="143"/>
      <c r="AO202" s="143"/>
      <c r="AP202" s="146"/>
      <c r="AQ202" s="224">
        <f t="shared" si="76"/>
        <v>0</v>
      </c>
      <c r="AR202" s="126"/>
      <c r="AS202" s="126"/>
      <c r="AT202" s="126"/>
      <c r="AU202" s="126"/>
      <c r="AV202" s="127"/>
      <c r="AW202" s="127"/>
      <c r="AX202" s="127"/>
      <c r="AY202" s="126"/>
      <c r="AZ202" s="222">
        <f t="shared" si="71"/>
        <v>0</v>
      </c>
      <c r="BA202" s="140">
        <f t="shared" si="72"/>
        <v>0</v>
      </c>
      <c r="BB202" s="132"/>
      <c r="BC202" s="140">
        <f t="shared" si="73"/>
        <v>0</v>
      </c>
      <c r="BD202" s="126"/>
      <c r="BE202" s="126"/>
      <c r="BF202" s="126"/>
      <c r="BG202" s="126"/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30">
        <f t="shared" si="74"/>
        <v>0</v>
      </c>
      <c r="BR202" s="132"/>
    </row>
    <row r="203" ht="14.25" customHeight="1">
      <c r="A203" s="132"/>
      <c r="B203" s="512">
        <v>46203</v>
      </c>
      <c r="C203" s="136"/>
      <c r="D203" s="136"/>
      <c r="E203" s="135"/>
      <c r="F203" s="135"/>
      <c r="G203" s="147">
        <f t="shared" si="66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7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8"/>
        <v>0</v>
      </c>
      <c r="AH203" s="136"/>
      <c r="AI203" s="136"/>
      <c r="AJ203" s="136"/>
      <c r="AK203" s="105">
        <f t="shared" si="69"/>
        <v>0</v>
      </c>
      <c r="AL203" s="143"/>
      <c r="AM203" s="143"/>
      <c r="AN203" s="143"/>
      <c r="AO203" s="143"/>
      <c r="AP203" s="146"/>
      <c r="AQ203" s="224">
        <f t="shared" si="76"/>
        <v>0</v>
      </c>
      <c r="AR203" s="138"/>
      <c r="AS203" s="138"/>
      <c r="AT203" s="138"/>
      <c r="AU203" s="138"/>
      <c r="AV203" s="127"/>
      <c r="AW203" s="127"/>
      <c r="AX203" s="127"/>
      <c r="AY203" s="138"/>
      <c r="AZ203" s="222">
        <f t="shared" si="71"/>
        <v>0</v>
      </c>
      <c r="BA203" s="140">
        <f t="shared" si="72"/>
        <v>0</v>
      </c>
      <c r="BB203" s="132"/>
      <c r="BC203" s="140">
        <f t="shared" si="73"/>
        <v>0</v>
      </c>
      <c r="BD203" s="126"/>
      <c r="BE203" s="126"/>
      <c r="BF203" s="126"/>
      <c r="BG203" s="126"/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30">
        <f t="shared" si="74"/>
        <v>0</v>
      </c>
      <c r="BR203" s="132"/>
    </row>
    <row r="204" ht="14.25" customHeight="1">
      <c r="A204" s="3"/>
      <c r="B204" s="2"/>
      <c r="C204" s="166">
        <f ref="C204:K204" t="shared" si="77">SUM(C173:C203)</f>
        <v>0</v>
      </c>
      <c r="D204" s="166">
        <f t="shared" si="77"/>
        <v>0</v>
      </c>
      <c r="E204" s="166">
        <f t="shared" si="77"/>
        <v>0</v>
      </c>
      <c r="F204" s="166">
        <f t="shared" si="77"/>
        <v>0</v>
      </c>
      <c r="G204" s="166">
        <f t="shared" si="77"/>
        <v>0</v>
      </c>
      <c r="H204" s="166">
        <f t="shared" si="77"/>
        <v>0</v>
      </c>
      <c r="I204" s="166">
        <f t="shared" si="77"/>
        <v>0</v>
      </c>
      <c r="J204" s="166">
        <f t="shared" si="77"/>
        <v>0</v>
      </c>
      <c r="K204" s="166">
        <f t="shared" si="77"/>
        <v>0</v>
      </c>
      <c r="L204" s="166"/>
      <c r="M204" s="166"/>
      <c r="N204" s="166">
        <f ref="N204:T204" t="shared" si="78">SUM(N173:N203)</f>
        <v>0</v>
      </c>
      <c r="O204" s="166">
        <f t="shared" si="78"/>
        <v>0</v>
      </c>
      <c r="P204" s="166">
        <f t="shared" si="78"/>
        <v>0</v>
      </c>
      <c r="Q204" s="166">
        <f t="shared" si="78"/>
        <v>0</v>
      </c>
      <c r="R204" s="166">
        <f t="shared" si="78"/>
        <v>0</v>
      </c>
      <c r="S204" s="166">
        <f t="shared" si="78"/>
        <v>0</v>
      </c>
      <c r="T204" s="166">
        <f t="shared" si="78"/>
        <v>0</v>
      </c>
      <c r="U204" s="166"/>
      <c r="V204" s="166">
        <f ref="V204:AI204" t="shared" si="79">SUM(V173:V203)</f>
        <v>0</v>
      </c>
      <c r="W204" s="166">
        <f t="shared" si="79"/>
        <v>0</v>
      </c>
      <c r="X204" s="166">
        <f t="shared" si="79"/>
        <v>0</v>
      </c>
      <c r="Y204" s="166">
        <f t="shared" si="79"/>
        <v>0</v>
      </c>
      <c r="Z204" s="166">
        <f t="shared" si="79"/>
        <v>0</v>
      </c>
      <c r="AA204" s="166">
        <f t="shared" si="79"/>
        <v>0</v>
      </c>
      <c r="AB204" s="166">
        <f t="shared" si="79"/>
        <v>0</v>
      </c>
      <c r="AC204" s="166">
        <f t="shared" si="79"/>
        <v>0</v>
      </c>
      <c r="AD204" s="166">
        <f t="shared" si="79"/>
        <v>0</v>
      </c>
      <c r="AE204" s="166">
        <f t="shared" si="79"/>
        <v>0</v>
      </c>
      <c r="AF204" s="166">
        <f t="shared" si="79"/>
        <v>0</v>
      </c>
      <c r="AG204" s="166">
        <f t="shared" si="79"/>
        <v>0</v>
      </c>
      <c r="AH204" s="166">
        <f t="shared" si="79"/>
        <v>0</v>
      </c>
      <c r="AI204" s="166">
        <f t="shared" si="79"/>
        <v>0</v>
      </c>
      <c r="AJ204" s="166"/>
      <c r="AK204" s="166">
        <f ref="AK204:AM204" t="shared" si="80">SUM(AK173:AK203)</f>
        <v>0</v>
      </c>
      <c r="AL204" s="166">
        <f t="shared" si="80"/>
        <v>0</v>
      </c>
      <c r="AM204" s="166">
        <f t="shared" si="80"/>
        <v>0</v>
      </c>
      <c r="AN204" s="166"/>
      <c r="AO204" s="166"/>
      <c r="AP204" s="166"/>
      <c r="AQ204" s="166">
        <f ref="AQ204:BA204" t="shared" si="81">SUM(AQ173:AQ203)</f>
        <v>0</v>
      </c>
      <c r="AR204" s="165">
        <f t="shared" si="81"/>
        <v>0</v>
      </c>
      <c r="AS204" s="165">
        <f t="shared" si="81"/>
        <v>0</v>
      </c>
      <c r="AT204" s="165">
        <f t="shared" si="81"/>
        <v>0</v>
      </c>
      <c r="AU204" s="165">
        <f t="shared" si="81"/>
        <v>0</v>
      </c>
      <c r="AV204" s="165">
        <f t="shared" si="81"/>
        <v>0</v>
      </c>
      <c r="AW204" s="165">
        <f t="shared" si="81"/>
        <v>0</v>
      </c>
      <c r="AX204" s="165">
        <f t="shared" si="81"/>
        <v>0</v>
      </c>
      <c r="AY204" s="165">
        <f t="shared" si="81"/>
        <v>0</v>
      </c>
      <c r="AZ204" s="166">
        <f t="shared" si="81"/>
        <v>0</v>
      </c>
      <c r="BA204" s="166">
        <f t="shared" si="81"/>
        <v>0</v>
      </c>
      <c r="BB204" s="3"/>
      <c r="BC204" s="172">
        <f>SUM(BC173:BC203)</f>
        <v>0</v>
      </c>
      <c r="BD204" s="166"/>
      <c r="BE204" s="166"/>
      <c r="BF204" s="166"/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/>
      <c r="BQ204" s="166">
        <f>SUM(BQ173:BQ203)</f>
        <v>0</v>
      </c>
      <c r="BR204" s="3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ht="14.25" customHeight="1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ht="14.25" customHeight="1">
      <c r="A207" s="3"/>
      <c r="B207" s="512">
        <v>46204</v>
      </c>
      <c r="C207" s="285"/>
      <c r="D207" s="104"/>
      <c r="E207" s="97"/>
      <c r="F207" s="97"/>
      <c r="G207" s="265">
        <f ref="G207:G237" t="shared" si="82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ref="T207:T237" t="shared" si="83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ref="AG207:AG237" t="shared" si="84">SUM(U207:AF207)</f>
        <v>0</v>
      </c>
      <c r="AH207" s="104"/>
      <c r="AI207" s="104"/>
      <c r="AJ207" s="104"/>
      <c r="AK207" s="191">
        <f ref="AK207:AK237" t="shared" si="85">SUM(AH207:AJ207)</f>
        <v>0</v>
      </c>
      <c r="AL207" s="186"/>
      <c r="AM207" s="186"/>
      <c r="AN207" s="186"/>
      <c r="AO207" s="186"/>
      <c r="AP207" s="193"/>
      <c r="AQ207" s="266">
        <f ref="AQ207:AQ237" t="shared" si="86">+G207-T207-AG207-AK207-AL207-AN207-AO207-AP207-AM207</f>
        <v>0</v>
      </c>
      <c r="AR207" s="269"/>
      <c r="AS207" s="109"/>
      <c r="AT207" s="109"/>
      <c r="AU207" s="109"/>
      <c r="AV207" s="269"/>
      <c r="AW207" s="269"/>
      <c r="AX207" s="269"/>
      <c r="AY207" s="269"/>
      <c r="AZ207" s="272">
        <f ref="AZ207:AZ237" t="shared" si="87">SUM(AR207:AY207)-AX207</f>
        <v>0</v>
      </c>
      <c r="BA207" s="114">
        <f ref="BA207:BA237" t="shared" si="88">+AQ207-AZ207</f>
        <v>0</v>
      </c>
      <c r="BB207" s="3"/>
      <c r="BC207" s="114">
        <f ref="BC207:BC237" t="shared" si="89">SUM(BD207:BP207)</f>
        <v>0</v>
      </c>
      <c r="BD207" s="220"/>
      <c r="BE207" s="220"/>
      <c r="BF207" s="220"/>
      <c r="BG207" s="220"/>
      <c r="BH207" s="220"/>
      <c r="BI207" s="220"/>
      <c r="BJ207" s="220"/>
      <c r="BK207" s="220"/>
      <c r="BL207" s="220"/>
      <c r="BM207" s="220"/>
      <c r="BN207" s="220"/>
      <c r="BO207" s="220"/>
      <c r="BP207" s="220"/>
      <c r="BQ207" s="116">
        <f ref="BQ207:BQ237" t="shared" si="90">+BA207-BC207</f>
        <v>0</v>
      </c>
      <c r="BR207" s="3"/>
    </row>
    <row r="208" ht="14.25" customHeight="1">
      <c r="A208" s="3"/>
      <c r="B208" s="512">
        <v>46205</v>
      </c>
      <c r="C208" s="118"/>
      <c r="D208" s="3"/>
      <c r="E208" s="120"/>
      <c r="F208" s="120"/>
      <c r="G208" s="147">
        <f t="shared" si="82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83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84"/>
        <v>0</v>
      </c>
      <c r="AH208" s="123"/>
      <c r="AI208" s="123"/>
      <c r="AJ208" s="123"/>
      <c r="AK208" s="105">
        <f t="shared" si="85"/>
        <v>0</v>
      </c>
      <c r="AL208" s="143"/>
      <c r="AM208" s="143"/>
      <c r="AN208" s="143"/>
      <c r="AO208" s="143"/>
      <c r="AP208" s="146"/>
      <c r="AQ208" s="224">
        <f t="shared" si="86"/>
        <v>0</v>
      </c>
      <c r="AR208" s="274"/>
      <c r="AS208" s="126"/>
      <c r="AT208" s="126"/>
      <c r="AU208" s="126"/>
      <c r="AV208" s="274"/>
      <c r="AW208" s="274"/>
      <c r="AX208" s="274"/>
      <c r="AY208" s="274"/>
      <c r="AZ208" s="222">
        <f t="shared" si="87"/>
        <v>0</v>
      </c>
      <c r="BA208" s="113">
        <f t="shared" si="88"/>
        <v>0</v>
      </c>
      <c r="BB208" s="3"/>
      <c r="BC208" s="113">
        <f t="shared" si="89"/>
        <v>0</v>
      </c>
      <c r="BD208" s="225"/>
      <c r="BE208" s="225"/>
      <c r="BF208" s="225"/>
      <c r="BG208" s="225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130">
        <f t="shared" si="90"/>
        <v>0</v>
      </c>
      <c r="BR208" s="3"/>
    </row>
    <row r="209" ht="14.25" customHeight="1">
      <c r="A209" s="3"/>
      <c r="B209" s="512">
        <v>46206</v>
      </c>
      <c r="C209" s="118"/>
      <c r="D209" s="123"/>
      <c r="E209" s="120"/>
      <c r="F209" s="120"/>
      <c r="G209" s="147">
        <f t="shared" si="82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83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84"/>
        <v>0</v>
      </c>
      <c r="AH209" s="123"/>
      <c r="AI209" s="123"/>
      <c r="AJ209" s="123"/>
      <c r="AK209" s="105">
        <f t="shared" si="85"/>
        <v>0</v>
      </c>
      <c r="AL209" s="143"/>
      <c r="AM209" s="143"/>
      <c r="AN209" s="143"/>
      <c r="AO209" s="143"/>
      <c r="AP209" s="146"/>
      <c r="AQ209" s="224">
        <f t="shared" si="86"/>
        <v>0</v>
      </c>
      <c r="AR209" s="274"/>
      <c r="AS209" s="126"/>
      <c r="AT209" s="126"/>
      <c r="AU209" s="126"/>
      <c r="AV209" s="274"/>
      <c r="AW209" s="274"/>
      <c r="AX209" s="274"/>
      <c r="AY209" s="274"/>
      <c r="AZ209" s="222">
        <f t="shared" si="87"/>
        <v>0</v>
      </c>
      <c r="BA209" s="113">
        <f t="shared" si="88"/>
        <v>0</v>
      </c>
      <c r="BB209" s="3"/>
      <c r="BC209" s="113">
        <f t="shared" si="89"/>
        <v>0</v>
      </c>
      <c r="BD209" s="225"/>
      <c r="BE209" s="225"/>
      <c r="BF209" s="225"/>
      <c r="BG209" s="225"/>
      <c r="BH209" s="225"/>
      <c r="BI209" s="225"/>
      <c r="BJ209" s="225"/>
      <c r="BK209" s="225"/>
      <c r="BL209" s="225"/>
      <c r="BM209" s="225"/>
      <c r="BN209" s="225"/>
      <c r="BO209" s="225"/>
      <c r="BP209" s="225"/>
      <c r="BQ209" s="130">
        <f t="shared" si="90"/>
        <v>0</v>
      </c>
      <c r="BR209" s="3"/>
    </row>
    <row r="210" ht="14.25" customHeight="1">
      <c r="A210" s="132"/>
      <c r="B210" s="512">
        <v>46207</v>
      </c>
      <c r="C210" s="133"/>
      <c r="D210" s="136"/>
      <c r="E210" s="135"/>
      <c r="F210" s="135"/>
      <c r="G210" s="147">
        <f t="shared" si="82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83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84"/>
        <v>0</v>
      </c>
      <c r="AH210" s="136"/>
      <c r="AI210" s="136"/>
      <c r="AJ210" s="136"/>
      <c r="AK210" s="105">
        <f t="shared" si="85"/>
        <v>0</v>
      </c>
      <c r="AL210" s="143"/>
      <c r="AM210" s="143"/>
      <c r="AN210" s="143"/>
      <c r="AO210" s="143"/>
      <c r="AP210" s="146"/>
      <c r="AQ210" s="224">
        <f t="shared" si="86"/>
        <v>0</v>
      </c>
      <c r="AR210" s="274"/>
      <c r="AS210" s="126"/>
      <c r="AT210" s="126"/>
      <c r="AU210" s="126"/>
      <c r="AV210" s="274"/>
      <c r="AW210" s="274"/>
      <c r="AX210" s="274"/>
      <c r="AY210" s="274"/>
      <c r="AZ210" s="222">
        <f t="shared" si="87"/>
        <v>0</v>
      </c>
      <c r="BA210" s="140">
        <f t="shared" si="88"/>
        <v>0</v>
      </c>
      <c r="BB210" s="132"/>
      <c r="BC210" s="140">
        <f t="shared" si="89"/>
        <v>0</v>
      </c>
      <c r="BD210" s="126"/>
      <c r="BE210" s="126"/>
      <c r="BF210" s="126"/>
      <c r="BG210" s="126"/>
      <c r="BH210" s="126"/>
      <c r="BI210" s="126"/>
      <c r="BJ210" s="126"/>
      <c r="BK210" s="126"/>
      <c r="BL210" s="126"/>
      <c r="BM210" s="126"/>
      <c r="BN210" s="126"/>
      <c r="BO210" s="126"/>
      <c r="BP210" s="126"/>
      <c r="BQ210" s="130">
        <f t="shared" si="90"/>
        <v>0</v>
      </c>
      <c r="BR210" s="132"/>
    </row>
    <row r="211" ht="14.25" customHeight="1">
      <c r="A211" s="132"/>
      <c r="B211" s="512">
        <v>46208</v>
      </c>
      <c r="C211" s="133"/>
      <c r="D211" s="136"/>
      <c r="E211" s="135"/>
      <c r="F211" s="135"/>
      <c r="G211" s="147">
        <f t="shared" si="82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83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84"/>
        <v>0</v>
      </c>
      <c r="AH211" s="136"/>
      <c r="AI211" s="136"/>
      <c r="AJ211" s="136"/>
      <c r="AK211" s="105">
        <f t="shared" si="85"/>
        <v>0</v>
      </c>
      <c r="AL211" s="143"/>
      <c r="AM211" s="143"/>
      <c r="AN211" s="143"/>
      <c r="AO211" s="143"/>
      <c r="AP211" s="146"/>
      <c r="AQ211" s="224">
        <f t="shared" si="86"/>
        <v>0</v>
      </c>
      <c r="AR211" s="274"/>
      <c r="AS211" s="126"/>
      <c r="AT211" s="126"/>
      <c r="AU211" s="126"/>
      <c r="AV211" s="274"/>
      <c r="AW211" s="274"/>
      <c r="AX211" s="274"/>
      <c r="AY211" s="274"/>
      <c r="AZ211" s="222">
        <f t="shared" si="87"/>
        <v>0</v>
      </c>
      <c r="BA211" s="140">
        <f t="shared" si="88"/>
        <v>0</v>
      </c>
      <c r="BB211" s="132"/>
      <c r="BC211" s="140">
        <f t="shared" si="89"/>
        <v>0</v>
      </c>
      <c r="BD211" s="126"/>
      <c r="BE211" s="126"/>
      <c r="BF211" s="126"/>
      <c r="BG211" s="126"/>
      <c r="BH211" s="126"/>
      <c r="BI211" s="126"/>
      <c r="BJ211" s="126"/>
      <c r="BK211" s="126"/>
      <c r="BL211" s="126"/>
      <c r="BM211" s="126"/>
      <c r="BN211" s="126"/>
      <c r="BO211" s="126"/>
      <c r="BP211" s="126"/>
      <c r="BQ211" s="130">
        <f t="shared" si="90"/>
        <v>0</v>
      </c>
      <c r="BR211" s="132"/>
    </row>
    <row r="212" ht="14.25" customHeight="1">
      <c r="A212" s="132"/>
      <c r="B212" s="512">
        <v>46209</v>
      </c>
      <c r="C212" s="133"/>
      <c r="D212" s="136"/>
      <c r="E212" s="135"/>
      <c r="F212" s="135"/>
      <c r="G212" s="147">
        <f t="shared" si="82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83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84"/>
        <v>0</v>
      </c>
      <c r="AH212" s="136"/>
      <c r="AI212" s="136"/>
      <c r="AJ212" s="136"/>
      <c r="AK212" s="105">
        <f t="shared" si="85"/>
        <v>0</v>
      </c>
      <c r="AL212" s="143"/>
      <c r="AM212" s="143"/>
      <c r="AN212" s="143"/>
      <c r="AO212" s="143"/>
      <c r="AP212" s="146"/>
      <c r="AQ212" s="224">
        <f t="shared" si="86"/>
        <v>0</v>
      </c>
      <c r="AR212" s="274"/>
      <c r="AS212" s="126"/>
      <c r="AT212" s="126"/>
      <c r="AU212" s="126"/>
      <c r="AV212" s="274"/>
      <c r="AW212" s="274"/>
      <c r="AX212" s="274"/>
      <c r="AY212" s="274"/>
      <c r="AZ212" s="222">
        <f t="shared" si="87"/>
        <v>0</v>
      </c>
      <c r="BA212" s="140">
        <f t="shared" si="88"/>
        <v>0</v>
      </c>
      <c r="BB212" s="132"/>
      <c r="BC212" s="140">
        <f t="shared" si="89"/>
        <v>0</v>
      </c>
      <c r="BD212" s="126"/>
      <c r="BE212" s="126"/>
      <c r="BF212" s="126"/>
      <c r="BG212" s="126"/>
      <c r="BH212" s="126"/>
      <c r="BI212" s="126"/>
      <c r="BJ212" s="126"/>
      <c r="BK212" s="126"/>
      <c r="BL212" s="126"/>
      <c r="BM212" s="126"/>
      <c r="BN212" s="126"/>
      <c r="BO212" s="126"/>
      <c r="BP212" s="126"/>
      <c r="BQ212" s="130">
        <f t="shared" si="90"/>
        <v>0</v>
      </c>
      <c r="BR212" s="132"/>
    </row>
    <row r="213" ht="14.25" customHeight="1">
      <c r="A213" s="132"/>
      <c r="B213" s="512">
        <v>46210</v>
      </c>
      <c r="C213" s="133"/>
      <c r="D213" s="136"/>
      <c r="E213" s="135"/>
      <c r="F213" s="135"/>
      <c r="G213" s="147">
        <f t="shared" si="82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83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84"/>
        <v>0</v>
      </c>
      <c r="AH213" s="136"/>
      <c r="AI213" s="136"/>
      <c r="AJ213" s="136"/>
      <c r="AK213" s="105">
        <f t="shared" si="85"/>
        <v>0</v>
      </c>
      <c r="AL213" s="143"/>
      <c r="AM213" s="143"/>
      <c r="AN213" s="143"/>
      <c r="AO213" s="143"/>
      <c r="AP213" s="146"/>
      <c r="AQ213" s="224">
        <f t="shared" si="86"/>
        <v>0</v>
      </c>
      <c r="AR213" s="274"/>
      <c r="AS213" s="126"/>
      <c r="AT213" s="126"/>
      <c r="AU213" s="126"/>
      <c r="AV213" s="274"/>
      <c r="AW213" s="274"/>
      <c r="AX213" s="274"/>
      <c r="AY213" s="274"/>
      <c r="AZ213" s="222">
        <f t="shared" si="87"/>
        <v>0</v>
      </c>
      <c r="BA213" s="140">
        <f t="shared" si="88"/>
        <v>0</v>
      </c>
      <c r="BB213" s="132"/>
      <c r="BC213" s="140">
        <f t="shared" si="89"/>
        <v>0</v>
      </c>
      <c r="BD213" s="126"/>
      <c r="BE213" s="126"/>
      <c r="BF213" s="126"/>
      <c r="BG213" s="126"/>
      <c r="BH213" s="126"/>
      <c r="BI213" s="126"/>
      <c r="BJ213" s="126"/>
      <c r="BK213" s="126"/>
      <c r="BL213" s="126"/>
      <c r="BM213" s="126"/>
      <c r="BN213" s="126"/>
      <c r="BO213" s="126"/>
      <c r="BP213" s="126"/>
      <c r="BQ213" s="130">
        <f t="shared" si="90"/>
        <v>0</v>
      </c>
      <c r="BR213" s="132"/>
    </row>
    <row r="214" ht="14.25" customHeight="1">
      <c r="A214" s="132"/>
      <c r="B214" s="512">
        <v>46211</v>
      </c>
      <c r="C214" s="133"/>
      <c r="D214" s="136"/>
      <c r="E214" s="135"/>
      <c r="F214" s="135"/>
      <c r="G214" s="147">
        <f t="shared" si="82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83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84"/>
        <v>0</v>
      </c>
      <c r="AH214" s="136"/>
      <c r="AI214" s="136"/>
      <c r="AJ214" s="136"/>
      <c r="AK214" s="105">
        <f t="shared" si="85"/>
        <v>0</v>
      </c>
      <c r="AL214" s="143"/>
      <c r="AM214" s="143"/>
      <c r="AN214" s="143"/>
      <c r="AO214" s="143"/>
      <c r="AP214" s="146"/>
      <c r="AQ214" s="224">
        <f t="shared" si="86"/>
        <v>0</v>
      </c>
      <c r="AR214" s="274"/>
      <c r="AS214" s="126"/>
      <c r="AT214" s="126"/>
      <c r="AU214" s="126"/>
      <c r="AV214" s="274"/>
      <c r="AW214" s="274"/>
      <c r="AX214" s="274"/>
      <c r="AY214" s="274"/>
      <c r="AZ214" s="222">
        <f t="shared" si="87"/>
        <v>0</v>
      </c>
      <c r="BA214" s="140">
        <f t="shared" si="88"/>
        <v>0</v>
      </c>
      <c r="BB214" s="132"/>
      <c r="BC214" s="140">
        <f t="shared" si="89"/>
        <v>0</v>
      </c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30">
        <f t="shared" si="90"/>
        <v>0</v>
      </c>
      <c r="BR214" s="132"/>
    </row>
    <row r="215" ht="14.25" customHeight="1">
      <c r="A215" s="132"/>
      <c r="B215" s="512">
        <v>46212</v>
      </c>
      <c r="C215" s="133"/>
      <c r="D215" s="136"/>
      <c r="E215" s="135"/>
      <c r="F215" s="135"/>
      <c r="G215" s="147">
        <f t="shared" si="82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83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84"/>
        <v>0</v>
      </c>
      <c r="AH215" s="136"/>
      <c r="AI215" s="136"/>
      <c r="AJ215" s="136"/>
      <c r="AK215" s="105">
        <f t="shared" si="85"/>
        <v>0</v>
      </c>
      <c r="AL215" s="143"/>
      <c r="AM215" s="143"/>
      <c r="AN215" s="143"/>
      <c r="AO215" s="143"/>
      <c r="AP215" s="146"/>
      <c r="AQ215" s="224">
        <f t="shared" si="86"/>
        <v>0</v>
      </c>
      <c r="AR215" s="274"/>
      <c r="AS215" s="126"/>
      <c r="AT215" s="126"/>
      <c r="AU215" s="126"/>
      <c r="AV215" s="274"/>
      <c r="AW215" s="274"/>
      <c r="AX215" s="274"/>
      <c r="AY215" s="274"/>
      <c r="AZ215" s="222">
        <f t="shared" si="87"/>
        <v>0</v>
      </c>
      <c r="BA215" s="140">
        <f t="shared" si="88"/>
        <v>0</v>
      </c>
      <c r="BB215" s="132"/>
      <c r="BC215" s="140">
        <f t="shared" si="89"/>
        <v>0</v>
      </c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30">
        <f t="shared" si="90"/>
        <v>0</v>
      </c>
      <c r="BR215" s="132"/>
    </row>
    <row r="216" ht="14.25" customHeight="1">
      <c r="A216" s="132"/>
      <c r="B216" s="512">
        <v>46213</v>
      </c>
      <c r="C216" s="133"/>
      <c r="D216" s="136"/>
      <c r="E216" s="135"/>
      <c r="F216" s="135"/>
      <c r="G216" s="147">
        <f t="shared" si="82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83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84"/>
        <v>0</v>
      </c>
      <c r="AH216" s="136"/>
      <c r="AI216" s="136"/>
      <c r="AJ216" s="136"/>
      <c r="AK216" s="105">
        <f t="shared" si="85"/>
        <v>0</v>
      </c>
      <c r="AL216" s="143"/>
      <c r="AM216" s="143"/>
      <c r="AN216" s="143"/>
      <c r="AO216" s="143"/>
      <c r="AP216" s="146"/>
      <c r="AQ216" s="224">
        <f t="shared" si="86"/>
        <v>0</v>
      </c>
      <c r="AR216" s="274"/>
      <c r="AS216" s="126"/>
      <c r="AT216" s="126"/>
      <c r="AU216" s="126"/>
      <c r="AV216" s="274"/>
      <c r="AW216" s="274"/>
      <c r="AX216" s="274"/>
      <c r="AY216" s="274"/>
      <c r="AZ216" s="222">
        <f t="shared" si="87"/>
        <v>0</v>
      </c>
      <c r="BA216" s="140">
        <f t="shared" si="88"/>
        <v>0</v>
      </c>
      <c r="BB216" s="132"/>
      <c r="BC216" s="140">
        <f t="shared" si="89"/>
        <v>0</v>
      </c>
      <c r="BD216" s="126"/>
      <c r="BE216" s="126"/>
      <c r="BF216" s="126"/>
      <c r="BG216" s="126"/>
      <c r="BH216" s="126"/>
      <c r="BI216" s="126"/>
      <c r="BJ216" s="126"/>
      <c r="BK216" s="126"/>
      <c r="BL216" s="126"/>
      <c r="BM216" s="126"/>
      <c r="BN216" s="126"/>
      <c r="BO216" s="126"/>
      <c r="BP216" s="126"/>
      <c r="BQ216" s="130">
        <f t="shared" si="90"/>
        <v>0</v>
      </c>
      <c r="BR216" s="132"/>
    </row>
    <row r="217" ht="14.25" customHeight="1">
      <c r="A217" s="132"/>
      <c r="B217" s="512">
        <v>46214</v>
      </c>
      <c r="C217" s="133"/>
      <c r="D217" s="136"/>
      <c r="E217" s="135"/>
      <c r="F217" s="135"/>
      <c r="G217" s="147">
        <f t="shared" si="82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83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84"/>
        <v>0</v>
      </c>
      <c r="AH217" s="136"/>
      <c r="AI217" s="136"/>
      <c r="AJ217" s="136"/>
      <c r="AK217" s="105">
        <f t="shared" si="85"/>
        <v>0</v>
      </c>
      <c r="AL217" s="143"/>
      <c r="AM217" s="143"/>
      <c r="AN217" s="143"/>
      <c r="AO217" s="143"/>
      <c r="AP217" s="146"/>
      <c r="AQ217" s="224">
        <f t="shared" si="86"/>
        <v>0</v>
      </c>
      <c r="AR217" s="274"/>
      <c r="AS217" s="126"/>
      <c r="AT217" s="126"/>
      <c r="AU217" s="126"/>
      <c r="AV217" s="274"/>
      <c r="AW217" s="274"/>
      <c r="AX217" s="274"/>
      <c r="AY217" s="274"/>
      <c r="AZ217" s="222">
        <f t="shared" si="87"/>
        <v>0</v>
      </c>
      <c r="BA217" s="140">
        <f t="shared" si="88"/>
        <v>0</v>
      </c>
      <c r="BB217" s="132"/>
      <c r="BC217" s="140">
        <f t="shared" si="89"/>
        <v>0</v>
      </c>
      <c r="BD217" s="126"/>
      <c r="BE217" s="126"/>
      <c r="BF217" s="126"/>
      <c r="BG217" s="126"/>
      <c r="BH217" s="126"/>
      <c r="BI217" s="126"/>
      <c r="BJ217" s="126"/>
      <c r="BK217" s="126"/>
      <c r="BL217" s="126"/>
      <c r="BM217" s="126"/>
      <c r="BN217" s="126"/>
      <c r="BO217" s="126"/>
      <c r="BP217" s="126"/>
      <c r="BQ217" s="130">
        <f t="shared" si="90"/>
        <v>0</v>
      </c>
      <c r="BR217" s="132"/>
    </row>
    <row r="218" ht="14.25" customHeight="1">
      <c r="A218" s="132"/>
      <c r="B218" s="512">
        <v>46215</v>
      </c>
      <c r="C218" s="133"/>
      <c r="D218" s="136"/>
      <c r="E218" s="135"/>
      <c r="F218" s="135"/>
      <c r="G218" s="147">
        <f t="shared" si="82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83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84"/>
        <v>0</v>
      </c>
      <c r="AH218" s="136"/>
      <c r="AI218" s="136"/>
      <c r="AJ218" s="136"/>
      <c r="AK218" s="105">
        <f t="shared" si="85"/>
        <v>0</v>
      </c>
      <c r="AL218" s="143"/>
      <c r="AM218" s="143"/>
      <c r="AN218" s="143"/>
      <c r="AO218" s="143"/>
      <c r="AP218" s="146"/>
      <c r="AQ218" s="224">
        <f t="shared" si="86"/>
        <v>0</v>
      </c>
      <c r="AR218" s="274"/>
      <c r="AS218" s="126"/>
      <c r="AT218" s="126"/>
      <c r="AU218" s="126"/>
      <c r="AV218" s="274"/>
      <c r="AW218" s="274"/>
      <c r="AX218" s="274"/>
      <c r="AY218" s="274"/>
      <c r="AZ218" s="222">
        <f t="shared" si="87"/>
        <v>0</v>
      </c>
      <c r="BA218" s="140">
        <f t="shared" si="88"/>
        <v>0</v>
      </c>
      <c r="BB218" s="132"/>
      <c r="BC218" s="140">
        <f t="shared" si="89"/>
        <v>0</v>
      </c>
      <c r="BD218" s="126"/>
      <c r="BE218" s="126"/>
      <c r="BF218" s="126"/>
      <c r="BG218" s="126"/>
      <c r="BH218" s="126"/>
      <c r="BI218" s="126"/>
      <c r="BJ218" s="126"/>
      <c r="BK218" s="126"/>
      <c r="BL218" s="126"/>
      <c r="BM218" s="126"/>
      <c r="BN218" s="126"/>
      <c r="BO218" s="126"/>
      <c r="BP218" s="126"/>
      <c r="BQ218" s="130">
        <f t="shared" si="90"/>
        <v>0</v>
      </c>
      <c r="BR218" s="132"/>
    </row>
    <row r="219" ht="14.25" customHeight="1">
      <c r="A219" s="3"/>
      <c r="B219" s="512">
        <v>46216</v>
      </c>
      <c r="C219" s="118"/>
      <c r="D219" s="123"/>
      <c r="E219" s="120"/>
      <c r="F219" s="120"/>
      <c r="G219" s="147">
        <f t="shared" si="82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83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84"/>
        <v>0</v>
      </c>
      <c r="AH219" s="123"/>
      <c r="AI219" s="123"/>
      <c r="AJ219" s="123"/>
      <c r="AK219" s="105">
        <f t="shared" si="85"/>
        <v>0</v>
      </c>
      <c r="AL219" s="143"/>
      <c r="AM219" s="143"/>
      <c r="AN219" s="143"/>
      <c r="AO219" s="143"/>
      <c r="AP219" s="146"/>
      <c r="AQ219" s="224">
        <f t="shared" si="86"/>
        <v>0</v>
      </c>
      <c r="AR219" s="274"/>
      <c r="AS219" s="126"/>
      <c r="AT219" s="126"/>
      <c r="AU219" s="126"/>
      <c r="AV219" s="274"/>
      <c r="AW219" s="274"/>
      <c r="AX219" s="274"/>
      <c r="AY219" s="274"/>
      <c r="AZ219" s="222">
        <f t="shared" si="87"/>
        <v>0</v>
      </c>
      <c r="BA219" s="113">
        <f t="shared" si="88"/>
        <v>0</v>
      </c>
      <c r="BB219" s="3"/>
      <c r="BC219" s="113">
        <f t="shared" si="89"/>
        <v>0</v>
      </c>
      <c r="BD219" s="225"/>
      <c r="BE219" s="225"/>
      <c r="BF219" s="225"/>
      <c r="BG219" s="225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130">
        <f t="shared" si="90"/>
        <v>0</v>
      </c>
      <c r="BR219" s="3"/>
    </row>
    <row r="220" ht="14.25" customHeight="1">
      <c r="A220" s="132"/>
      <c r="B220" s="512">
        <v>46217</v>
      </c>
      <c r="C220" s="133"/>
      <c r="D220" s="136"/>
      <c r="E220" s="135"/>
      <c r="F220" s="135"/>
      <c r="G220" s="147">
        <f t="shared" si="82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83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84"/>
        <v>0</v>
      </c>
      <c r="AH220" s="136"/>
      <c r="AI220" s="136"/>
      <c r="AJ220" s="136"/>
      <c r="AK220" s="105">
        <f t="shared" si="85"/>
        <v>0</v>
      </c>
      <c r="AL220" s="143"/>
      <c r="AM220" s="143"/>
      <c r="AN220" s="143"/>
      <c r="AO220" s="143"/>
      <c r="AP220" s="146"/>
      <c r="AQ220" s="224">
        <f t="shared" si="86"/>
        <v>0</v>
      </c>
      <c r="AR220" s="274"/>
      <c r="AS220" s="126"/>
      <c r="AT220" s="126"/>
      <c r="AU220" s="126"/>
      <c r="AV220" s="274"/>
      <c r="AW220" s="274"/>
      <c r="AX220" s="274"/>
      <c r="AY220" s="274"/>
      <c r="AZ220" s="222">
        <f t="shared" si="87"/>
        <v>0</v>
      </c>
      <c r="BA220" s="140">
        <f t="shared" si="88"/>
        <v>0</v>
      </c>
      <c r="BB220" s="132"/>
      <c r="BC220" s="140">
        <f t="shared" si="89"/>
        <v>0</v>
      </c>
      <c r="BD220" s="126"/>
      <c r="BE220" s="126"/>
      <c r="BF220" s="126"/>
      <c r="BG220" s="126"/>
      <c r="BH220" s="126"/>
      <c r="BI220" s="126"/>
      <c r="BJ220" s="126"/>
      <c r="BK220" s="126"/>
      <c r="BL220" s="126"/>
      <c r="BM220" s="126"/>
      <c r="BN220" s="126"/>
      <c r="BO220" s="126"/>
      <c r="BP220" s="126"/>
      <c r="BQ220" s="130">
        <f t="shared" si="90"/>
        <v>0</v>
      </c>
      <c r="BR220" s="132"/>
    </row>
    <row r="221" ht="14.25" customHeight="1">
      <c r="A221" s="132"/>
      <c r="B221" s="512">
        <v>46218</v>
      </c>
      <c r="C221" s="133"/>
      <c r="D221" s="136"/>
      <c r="E221" s="135"/>
      <c r="F221" s="135"/>
      <c r="G221" s="147">
        <f t="shared" si="82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83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84"/>
        <v>0</v>
      </c>
      <c r="AH221" s="136"/>
      <c r="AI221" s="136"/>
      <c r="AJ221" s="136"/>
      <c r="AK221" s="105">
        <f t="shared" si="85"/>
        <v>0</v>
      </c>
      <c r="AL221" s="143"/>
      <c r="AM221" s="143"/>
      <c r="AN221" s="143"/>
      <c r="AO221" s="143"/>
      <c r="AP221" s="146"/>
      <c r="AQ221" s="224">
        <f t="shared" si="86"/>
        <v>0</v>
      </c>
      <c r="AR221" s="274"/>
      <c r="AS221" s="126"/>
      <c r="AT221" s="126"/>
      <c r="AU221" s="126"/>
      <c r="AV221" s="274"/>
      <c r="AW221" s="274"/>
      <c r="AX221" s="274"/>
      <c r="AY221" s="274"/>
      <c r="AZ221" s="222">
        <f t="shared" si="87"/>
        <v>0</v>
      </c>
      <c r="BA221" s="140">
        <f t="shared" si="88"/>
        <v>0</v>
      </c>
      <c r="BB221" s="132"/>
      <c r="BC221" s="140">
        <f t="shared" si="89"/>
        <v>0</v>
      </c>
      <c r="BD221" s="126"/>
      <c r="BE221" s="126"/>
      <c r="BF221" s="126"/>
      <c r="BG221" s="126"/>
      <c r="BH221" s="126"/>
      <c r="BI221" s="126"/>
      <c r="BJ221" s="126"/>
      <c r="BK221" s="126"/>
      <c r="BL221" s="126"/>
      <c r="BM221" s="126"/>
      <c r="BN221" s="126"/>
      <c r="BO221" s="126"/>
      <c r="BP221" s="126"/>
      <c r="BQ221" s="130">
        <f t="shared" si="90"/>
        <v>0</v>
      </c>
      <c r="BR221" s="132"/>
    </row>
    <row r="222" ht="14.25" customHeight="1">
      <c r="A222" s="132"/>
      <c r="B222" s="512">
        <v>46219</v>
      </c>
      <c r="C222" s="133"/>
      <c r="D222" s="136"/>
      <c r="E222" s="135"/>
      <c r="F222" s="135"/>
      <c r="G222" s="147">
        <f t="shared" si="82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83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84"/>
        <v>0</v>
      </c>
      <c r="AH222" s="136"/>
      <c r="AI222" s="136"/>
      <c r="AJ222" s="136"/>
      <c r="AK222" s="105">
        <f t="shared" si="85"/>
        <v>0</v>
      </c>
      <c r="AL222" s="143"/>
      <c r="AM222" s="143"/>
      <c r="AN222" s="143"/>
      <c r="AO222" s="143"/>
      <c r="AP222" s="146"/>
      <c r="AQ222" s="224">
        <f t="shared" si="86"/>
        <v>0</v>
      </c>
      <c r="AR222" s="274"/>
      <c r="AS222" s="126"/>
      <c r="AT222" s="126"/>
      <c r="AU222" s="126"/>
      <c r="AV222" s="274"/>
      <c r="AW222" s="274"/>
      <c r="AX222" s="274"/>
      <c r="AY222" s="274"/>
      <c r="AZ222" s="222">
        <f t="shared" si="87"/>
        <v>0</v>
      </c>
      <c r="BA222" s="140">
        <f t="shared" si="88"/>
        <v>0</v>
      </c>
      <c r="BB222" s="132"/>
      <c r="BC222" s="140">
        <f t="shared" si="89"/>
        <v>0</v>
      </c>
      <c r="BD222" s="126"/>
      <c r="BE222" s="126"/>
      <c r="BF222" s="126"/>
      <c r="BG222" s="126"/>
      <c r="BH222" s="126"/>
      <c r="BI222" s="126"/>
      <c r="BJ222" s="126"/>
      <c r="BK222" s="126"/>
      <c r="BL222" s="126"/>
      <c r="BM222" s="126"/>
      <c r="BN222" s="126"/>
      <c r="BO222" s="126"/>
      <c r="BP222" s="126"/>
      <c r="BQ222" s="130">
        <f t="shared" si="90"/>
        <v>0</v>
      </c>
      <c r="BR222" s="132"/>
    </row>
    <row r="223" ht="14.25" customHeight="1">
      <c r="A223" s="132"/>
      <c r="B223" s="512">
        <v>46220</v>
      </c>
      <c r="C223" s="133"/>
      <c r="D223" s="136"/>
      <c r="E223" s="135"/>
      <c r="F223" s="135"/>
      <c r="G223" s="147">
        <f t="shared" si="82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83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84"/>
        <v>0</v>
      </c>
      <c r="AH223" s="136"/>
      <c r="AI223" s="136"/>
      <c r="AJ223" s="136"/>
      <c r="AK223" s="105">
        <f t="shared" si="85"/>
        <v>0</v>
      </c>
      <c r="AL223" s="143"/>
      <c r="AM223" s="143"/>
      <c r="AN223" s="143"/>
      <c r="AO223" s="143"/>
      <c r="AP223" s="146"/>
      <c r="AQ223" s="224">
        <f t="shared" si="86"/>
        <v>0</v>
      </c>
      <c r="AR223" s="274"/>
      <c r="AS223" s="126"/>
      <c r="AT223" s="126"/>
      <c r="AU223" s="126"/>
      <c r="AV223" s="274"/>
      <c r="AW223" s="274"/>
      <c r="AX223" s="274"/>
      <c r="AY223" s="274"/>
      <c r="AZ223" s="222">
        <f t="shared" si="87"/>
        <v>0</v>
      </c>
      <c r="BA223" s="140">
        <f t="shared" si="88"/>
        <v>0</v>
      </c>
      <c r="BB223" s="132"/>
      <c r="BC223" s="140">
        <f t="shared" si="89"/>
        <v>0</v>
      </c>
      <c r="BD223" s="126"/>
      <c r="BE223" s="126"/>
      <c r="BF223" s="126"/>
      <c r="BG223" s="126"/>
      <c r="BH223" s="126"/>
      <c r="BI223" s="126"/>
      <c r="BJ223" s="126"/>
      <c r="BK223" s="126"/>
      <c r="BL223" s="126"/>
      <c r="BM223" s="126"/>
      <c r="BN223" s="126"/>
      <c r="BO223" s="126"/>
      <c r="BP223" s="126"/>
      <c r="BQ223" s="130">
        <f t="shared" si="90"/>
        <v>0</v>
      </c>
      <c r="BR223" s="132"/>
    </row>
    <row r="224" ht="14.25" customHeight="1">
      <c r="A224" s="132"/>
      <c r="B224" s="512">
        <v>46221</v>
      </c>
      <c r="C224" s="133"/>
      <c r="D224" s="136"/>
      <c r="E224" s="135"/>
      <c r="F224" s="135"/>
      <c r="G224" s="147">
        <f t="shared" si="82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83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84"/>
        <v>0</v>
      </c>
      <c r="AH224" s="136"/>
      <c r="AI224" s="136"/>
      <c r="AJ224" s="136"/>
      <c r="AK224" s="105">
        <f t="shared" si="85"/>
        <v>0</v>
      </c>
      <c r="AL224" s="143"/>
      <c r="AM224" s="143"/>
      <c r="AN224" s="143"/>
      <c r="AO224" s="143"/>
      <c r="AP224" s="146"/>
      <c r="AQ224" s="224">
        <f t="shared" si="86"/>
        <v>0</v>
      </c>
      <c r="AR224" s="274"/>
      <c r="AS224" s="126"/>
      <c r="AT224" s="126"/>
      <c r="AU224" s="126"/>
      <c r="AV224" s="274"/>
      <c r="AW224" s="274"/>
      <c r="AX224" s="274"/>
      <c r="AY224" s="274"/>
      <c r="AZ224" s="222">
        <f t="shared" si="87"/>
        <v>0</v>
      </c>
      <c r="BA224" s="140">
        <f t="shared" si="88"/>
        <v>0</v>
      </c>
      <c r="BB224" s="132"/>
      <c r="BC224" s="140">
        <f t="shared" si="89"/>
        <v>0</v>
      </c>
      <c r="BD224" s="126"/>
      <c r="BE224" s="126"/>
      <c r="BF224" s="126"/>
      <c r="BG224" s="126"/>
      <c r="BH224" s="126"/>
      <c r="BI224" s="126"/>
      <c r="BJ224" s="126"/>
      <c r="BK224" s="126"/>
      <c r="BL224" s="126"/>
      <c r="BM224" s="126"/>
      <c r="BN224" s="126"/>
      <c r="BO224" s="126"/>
      <c r="BP224" s="126"/>
      <c r="BQ224" s="130">
        <f t="shared" si="90"/>
        <v>0</v>
      </c>
      <c r="BR224" s="132"/>
    </row>
    <row r="225" ht="14.25" customHeight="1">
      <c r="A225" s="132"/>
      <c r="B225" s="512">
        <v>46222</v>
      </c>
      <c r="C225" s="133"/>
      <c r="D225" s="136"/>
      <c r="E225" s="135"/>
      <c r="F225" s="135"/>
      <c r="G225" s="147">
        <f t="shared" si="82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83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84"/>
        <v>0</v>
      </c>
      <c r="AH225" s="136"/>
      <c r="AI225" s="136"/>
      <c r="AJ225" s="136"/>
      <c r="AK225" s="105">
        <f t="shared" si="85"/>
        <v>0</v>
      </c>
      <c r="AL225" s="143"/>
      <c r="AM225" s="143"/>
      <c r="AN225" s="143"/>
      <c r="AO225" s="143"/>
      <c r="AP225" s="146"/>
      <c r="AQ225" s="224">
        <f t="shared" si="86"/>
        <v>0</v>
      </c>
      <c r="AR225" s="274"/>
      <c r="AS225" s="126"/>
      <c r="AT225" s="126"/>
      <c r="AU225" s="126"/>
      <c r="AV225" s="274"/>
      <c r="AW225" s="274"/>
      <c r="AX225" s="274"/>
      <c r="AY225" s="274"/>
      <c r="AZ225" s="222">
        <f t="shared" si="87"/>
        <v>0</v>
      </c>
      <c r="BA225" s="140">
        <f t="shared" si="88"/>
        <v>0</v>
      </c>
      <c r="BB225" s="132"/>
      <c r="BC225" s="140">
        <f t="shared" si="89"/>
        <v>0</v>
      </c>
      <c r="BD225" s="126"/>
      <c r="BE225" s="126"/>
      <c r="BF225" s="126"/>
      <c r="BG225" s="126"/>
      <c r="BH225" s="126"/>
      <c r="BI225" s="126"/>
      <c r="BJ225" s="126"/>
      <c r="BK225" s="126"/>
      <c r="BL225" s="126"/>
      <c r="BM225" s="126"/>
      <c r="BN225" s="126"/>
      <c r="BO225" s="126"/>
      <c r="BP225" s="126"/>
      <c r="BQ225" s="130">
        <f t="shared" si="90"/>
        <v>0</v>
      </c>
      <c r="BR225" s="132"/>
    </row>
    <row r="226" ht="13.5" customHeight="1">
      <c r="A226" s="132"/>
      <c r="B226" s="512">
        <v>46223</v>
      </c>
      <c r="C226" s="133"/>
      <c r="D226" s="136"/>
      <c r="E226" s="135"/>
      <c r="F226" s="135"/>
      <c r="G226" s="147">
        <f t="shared" si="82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83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84"/>
        <v>0</v>
      </c>
      <c r="AH226" s="136"/>
      <c r="AI226" s="136"/>
      <c r="AJ226" s="136"/>
      <c r="AK226" s="105">
        <f t="shared" si="85"/>
        <v>0</v>
      </c>
      <c r="AL226" s="143"/>
      <c r="AM226" s="143"/>
      <c r="AN226" s="143"/>
      <c r="AO226" s="143"/>
      <c r="AP226" s="146"/>
      <c r="AQ226" s="224">
        <f t="shared" si="86"/>
        <v>0</v>
      </c>
      <c r="AR226" s="274"/>
      <c r="AS226" s="126"/>
      <c r="AT226" s="126"/>
      <c r="AU226" s="126"/>
      <c r="AV226" s="274"/>
      <c r="AW226" s="274"/>
      <c r="AX226" s="274"/>
      <c r="AY226" s="274"/>
      <c r="AZ226" s="222">
        <f t="shared" si="87"/>
        <v>0</v>
      </c>
      <c r="BA226" s="140">
        <f t="shared" si="88"/>
        <v>0</v>
      </c>
      <c r="BB226" s="132"/>
      <c r="BC226" s="140">
        <f t="shared" si="89"/>
        <v>0</v>
      </c>
      <c r="BD226" s="126"/>
      <c r="BE226" s="126"/>
      <c r="BF226" s="126"/>
      <c r="BG226" s="126"/>
      <c r="BH226" s="126"/>
      <c r="BI226" s="126"/>
      <c r="BJ226" s="126"/>
      <c r="BK226" s="126"/>
      <c r="BL226" s="126"/>
      <c r="BM226" s="126"/>
      <c r="BN226" s="126"/>
      <c r="BO226" s="126"/>
      <c r="BP226" s="126"/>
      <c r="BQ226" s="130">
        <f t="shared" si="90"/>
        <v>0</v>
      </c>
      <c r="BR226" s="132"/>
    </row>
    <row r="227" ht="14.25" customHeight="1">
      <c r="A227" s="132"/>
      <c r="B227" s="512">
        <v>46224</v>
      </c>
      <c r="C227" s="133"/>
      <c r="D227" s="136"/>
      <c r="E227" s="135"/>
      <c r="F227" s="135"/>
      <c r="G227" s="147">
        <f t="shared" si="82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83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84"/>
        <v>0</v>
      </c>
      <c r="AH227" s="136"/>
      <c r="AI227" s="136"/>
      <c r="AJ227" s="136"/>
      <c r="AK227" s="105">
        <f t="shared" si="85"/>
        <v>0</v>
      </c>
      <c r="AL227" s="143"/>
      <c r="AM227" s="143"/>
      <c r="AN227" s="143"/>
      <c r="AO227" s="143"/>
      <c r="AP227" s="146"/>
      <c r="AQ227" s="224">
        <f t="shared" si="86"/>
        <v>0</v>
      </c>
      <c r="AR227" s="274"/>
      <c r="AS227" s="126"/>
      <c r="AT227" s="126"/>
      <c r="AU227" s="126"/>
      <c r="AV227" s="274"/>
      <c r="AW227" s="274"/>
      <c r="AX227" s="274"/>
      <c r="AY227" s="274"/>
      <c r="AZ227" s="222">
        <f t="shared" si="87"/>
        <v>0</v>
      </c>
      <c r="BA227" s="140">
        <f t="shared" si="88"/>
        <v>0</v>
      </c>
      <c r="BB227" s="132"/>
      <c r="BC227" s="140">
        <f t="shared" si="89"/>
        <v>0</v>
      </c>
      <c r="BD227" s="126"/>
      <c r="BE227" s="126"/>
      <c r="BF227" s="126"/>
      <c r="BG227" s="126"/>
      <c r="BH227" s="126"/>
      <c r="BI227" s="126"/>
      <c r="BJ227" s="126"/>
      <c r="BK227" s="126"/>
      <c r="BL227" s="126"/>
      <c r="BM227" s="126"/>
      <c r="BN227" s="126"/>
      <c r="BO227" s="126"/>
      <c r="BP227" s="126"/>
      <c r="BQ227" s="130">
        <f t="shared" si="90"/>
        <v>0</v>
      </c>
      <c r="BR227" s="132"/>
    </row>
    <row r="228" ht="14.25" customHeight="1">
      <c r="A228" s="132"/>
      <c r="B228" s="512">
        <v>46225</v>
      </c>
      <c r="C228" s="133"/>
      <c r="D228" s="136"/>
      <c r="E228" s="135"/>
      <c r="F228" s="135"/>
      <c r="G228" s="147">
        <f t="shared" si="82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83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84"/>
        <v>0</v>
      </c>
      <c r="AH228" s="136"/>
      <c r="AI228" s="136"/>
      <c r="AJ228" s="136"/>
      <c r="AK228" s="105">
        <f t="shared" si="85"/>
        <v>0</v>
      </c>
      <c r="AL228" s="143"/>
      <c r="AM228" s="143"/>
      <c r="AN228" s="143"/>
      <c r="AO228" s="143"/>
      <c r="AP228" s="146"/>
      <c r="AQ228" s="224">
        <f t="shared" si="86"/>
        <v>0</v>
      </c>
      <c r="AR228" s="274"/>
      <c r="AS228" s="126"/>
      <c r="AT228" s="126"/>
      <c r="AU228" s="126"/>
      <c r="AV228" s="274"/>
      <c r="AW228" s="274"/>
      <c r="AX228" s="274"/>
      <c r="AY228" s="274"/>
      <c r="AZ228" s="222">
        <f t="shared" si="87"/>
        <v>0</v>
      </c>
      <c r="BA228" s="140">
        <f t="shared" si="88"/>
        <v>0</v>
      </c>
      <c r="BB228" s="132"/>
      <c r="BC228" s="140">
        <f t="shared" si="89"/>
        <v>0</v>
      </c>
      <c r="BD228" s="126"/>
      <c r="BE228" s="126"/>
      <c r="BF228" s="126"/>
      <c r="BG228" s="126"/>
      <c r="BH228" s="126"/>
      <c r="BI228" s="126"/>
      <c r="BJ228" s="126"/>
      <c r="BK228" s="126"/>
      <c r="BL228" s="126"/>
      <c r="BM228" s="126"/>
      <c r="BN228" s="126"/>
      <c r="BO228" s="126"/>
      <c r="BP228" s="126"/>
      <c r="BQ228" s="130">
        <f t="shared" si="90"/>
        <v>0</v>
      </c>
      <c r="BR228" s="132"/>
    </row>
    <row r="229" ht="14.25" customHeight="1">
      <c r="A229" s="132"/>
      <c r="B229" s="512">
        <v>46226</v>
      </c>
      <c r="C229" s="133"/>
      <c r="D229" s="136"/>
      <c r="E229" s="135"/>
      <c r="F229" s="135"/>
      <c r="G229" s="147">
        <f t="shared" si="82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83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84"/>
        <v>0</v>
      </c>
      <c r="AH229" s="136"/>
      <c r="AI229" s="136"/>
      <c r="AJ229" s="136"/>
      <c r="AK229" s="105">
        <f t="shared" si="85"/>
        <v>0</v>
      </c>
      <c r="AL229" s="143"/>
      <c r="AM229" s="143"/>
      <c r="AN229" s="143"/>
      <c r="AO229" s="143"/>
      <c r="AP229" s="146"/>
      <c r="AQ229" s="224">
        <f t="shared" si="86"/>
        <v>0</v>
      </c>
      <c r="AR229" s="274"/>
      <c r="AS229" s="126"/>
      <c r="AT229" s="126"/>
      <c r="AU229" s="126"/>
      <c r="AV229" s="274"/>
      <c r="AW229" s="274"/>
      <c r="AX229" s="274"/>
      <c r="AY229" s="274"/>
      <c r="AZ229" s="222">
        <f t="shared" si="87"/>
        <v>0</v>
      </c>
      <c r="BA229" s="140">
        <f t="shared" si="88"/>
        <v>0</v>
      </c>
      <c r="BB229" s="132"/>
      <c r="BC229" s="140">
        <f t="shared" si="89"/>
        <v>0</v>
      </c>
      <c r="BD229" s="126"/>
      <c r="BE229" s="126"/>
      <c r="BF229" s="126"/>
      <c r="BG229" s="126"/>
      <c r="BH229" s="126"/>
      <c r="BI229" s="126"/>
      <c r="BJ229" s="126"/>
      <c r="BK229" s="126"/>
      <c r="BL229" s="126"/>
      <c r="BM229" s="126"/>
      <c r="BN229" s="126"/>
      <c r="BO229" s="126"/>
      <c r="BP229" s="126"/>
      <c r="BQ229" s="130">
        <f t="shared" si="90"/>
        <v>0</v>
      </c>
      <c r="BR229" s="132"/>
    </row>
    <row r="230" ht="14.25" customHeight="1">
      <c r="A230" s="132"/>
      <c r="B230" s="512">
        <v>46227</v>
      </c>
      <c r="C230" s="133"/>
      <c r="D230" s="136"/>
      <c r="E230" s="135"/>
      <c r="F230" s="135"/>
      <c r="G230" s="147">
        <f t="shared" si="82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83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84"/>
        <v>0</v>
      </c>
      <c r="AH230" s="136"/>
      <c r="AI230" s="136"/>
      <c r="AJ230" s="136"/>
      <c r="AK230" s="105">
        <f t="shared" si="85"/>
        <v>0</v>
      </c>
      <c r="AL230" s="143"/>
      <c r="AM230" s="143"/>
      <c r="AN230" s="143"/>
      <c r="AO230" s="143"/>
      <c r="AP230" s="146"/>
      <c r="AQ230" s="224">
        <f t="shared" si="86"/>
        <v>0</v>
      </c>
      <c r="AR230" s="274"/>
      <c r="AS230" s="126"/>
      <c r="AT230" s="126"/>
      <c r="AU230" s="126"/>
      <c r="AV230" s="274"/>
      <c r="AW230" s="274"/>
      <c r="AX230" s="274"/>
      <c r="AY230" s="274"/>
      <c r="AZ230" s="222">
        <f t="shared" si="87"/>
        <v>0</v>
      </c>
      <c r="BA230" s="140">
        <f t="shared" si="88"/>
        <v>0</v>
      </c>
      <c r="BB230" s="132"/>
      <c r="BC230" s="140">
        <f t="shared" si="89"/>
        <v>0</v>
      </c>
      <c r="BD230" s="126"/>
      <c r="BE230" s="126"/>
      <c r="BF230" s="126"/>
      <c r="BG230" s="126"/>
      <c r="BH230" s="126"/>
      <c r="BI230" s="126"/>
      <c r="BJ230" s="126"/>
      <c r="BK230" s="126"/>
      <c r="BL230" s="126"/>
      <c r="BM230" s="126"/>
      <c r="BN230" s="126"/>
      <c r="BO230" s="126"/>
      <c r="BP230" s="126"/>
      <c r="BQ230" s="130">
        <f t="shared" si="90"/>
        <v>0</v>
      </c>
      <c r="BR230" s="132"/>
    </row>
    <row r="231" ht="14.25" customHeight="1">
      <c r="A231" s="132"/>
      <c r="B231" s="512">
        <v>46228</v>
      </c>
      <c r="C231" s="133"/>
      <c r="D231" s="136"/>
      <c r="E231" s="135"/>
      <c r="F231" s="135"/>
      <c r="G231" s="147">
        <f t="shared" si="82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83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84"/>
        <v>0</v>
      </c>
      <c r="AH231" s="136"/>
      <c r="AI231" s="136"/>
      <c r="AJ231" s="136"/>
      <c r="AK231" s="105">
        <f t="shared" si="85"/>
        <v>0</v>
      </c>
      <c r="AL231" s="143"/>
      <c r="AM231" s="143"/>
      <c r="AN231" s="143"/>
      <c r="AO231" s="143"/>
      <c r="AP231" s="146"/>
      <c r="AQ231" s="224">
        <f t="shared" si="86"/>
        <v>0</v>
      </c>
      <c r="AR231" s="274"/>
      <c r="AS231" s="126"/>
      <c r="AT231" s="126"/>
      <c r="AU231" s="126"/>
      <c r="AV231" s="274"/>
      <c r="AW231" s="274"/>
      <c r="AX231" s="274"/>
      <c r="AY231" s="274"/>
      <c r="AZ231" s="222">
        <f t="shared" si="87"/>
        <v>0</v>
      </c>
      <c r="BA231" s="140">
        <f t="shared" si="88"/>
        <v>0</v>
      </c>
      <c r="BB231" s="132"/>
      <c r="BC231" s="140">
        <f t="shared" si="89"/>
        <v>0</v>
      </c>
      <c r="BD231" s="126"/>
      <c r="BE231" s="126"/>
      <c r="BF231" s="126"/>
      <c r="BG231" s="126"/>
      <c r="BH231" s="126"/>
      <c r="BI231" s="126"/>
      <c r="BJ231" s="126"/>
      <c r="BK231" s="126"/>
      <c r="BL231" s="126"/>
      <c r="BM231" s="126"/>
      <c r="BN231" s="126"/>
      <c r="BO231" s="126"/>
      <c r="BP231" s="126"/>
      <c r="BQ231" s="130">
        <f t="shared" si="90"/>
        <v>0</v>
      </c>
      <c r="BR231" s="132"/>
    </row>
    <row r="232" ht="14.25" customHeight="1">
      <c r="A232" s="132"/>
      <c r="B232" s="512">
        <v>46229</v>
      </c>
      <c r="C232" s="133"/>
      <c r="D232" s="136"/>
      <c r="E232" s="135"/>
      <c r="F232" s="135"/>
      <c r="G232" s="147">
        <f t="shared" si="82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83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84"/>
        <v>0</v>
      </c>
      <c r="AH232" s="136"/>
      <c r="AI232" s="136"/>
      <c r="AJ232" s="136"/>
      <c r="AK232" s="105">
        <f t="shared" si="85"/>
        <v>0</v>
      </c>
      <c r="AL232" s="143"/>
      <c r="AM232" s="143"/>
      <c r="AN232" s="143"/>
      <c r="AO232" s="143"/>
      <c r="AP232" s="146"/>
      <c r="AQ232" s="224">
        <f t="shared" si="86"/>
        <v>0</v>
      </c>
      <c r="AR232" s="274"/>
      <c r="AS232" s="126"/>
      <c r="AT232" s="126"/>
      <c r="AU232" s="126"/>
      <c r="AV232" s="274"/>
      <c r="AW232" s="274"/>
      <c r="AX232" s="274"/>
      <c r="AY232" s="274"/>
      <c r="AZ232" s="222">
        <f t="shared" si="87"/>
        <v>0</v>
      </c>
      <c r="BA232" s="140">
        <f t="shared" si="88"/>
        <v>0</v>
      </c>
      <c r="BB232" s="132"/>
      <c r="BC232" s="140">
        <f t="shared" si="89"/>
        <v>0</v>
      </c>
      <c r="BD232" s="126"/>
      <c r="BE232" s="126"/>
      <c r="BF232" s="126"/>
      <c r="BG232" s="126"/>
      <c r="BH232" s="126"/>
      <c r="BI232" s="126"/>
      <c r="BJ232" s="126"/>
      <c r="BK232" s="126"/>
      <c r="BL232" s="126"/>
      <c r="BM232" s="126"/>
      <c r="BN232" s="126"/>
      <c r="BO232" s="126"/>
      <c r="BP232" s="126"/>
      <c r="BQ232" s="130">
        <f t="shared" si="90"/>
        <v>0</v>
      </c>
      <c r="BR232" s="132"/>
    </row>
    <row r="233" ht="14.25" customHeight="1">
      <c r="A233" s="132"/>
      <c r="B233" s="512">
        <v>46230</v>
      </c>
      <c r="C233" s="133"/>
      <c r="D233" s="136"/>
      <c r="E233" s="135"/>
      <c r="F233" s="135"/>
      <c r="G233" s="147">
        <f t="shared" si="82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83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84"/>
        <v>0</v>
      </c>
      <c r="AH233" s="136"/>
      <c r="AI233" s="136"/>
      <c r="AJ233" s="136"/>
      <c r="AK233" s="105">
        <f t="shared" si="85"/>
        <v>0</v>
      </c>
      <c r="AL233" s="143"/>
      <c r="AM233" s="143"/>
      <c r="AN233" s="143"/>
      <c r="AO233" s="143"/>
      <c r="AP233" s="146"/>
      <c r="AQ233" s="224">
        <f t="shared" si="86"/>
        <v>0</v>
      </c>
      <c r="AR233" s="274"/>
      <c r="AS233" s="126"/>
      <c r="AT233" s="126"/>
      <c r="AU233" s="126"/>
      <c r="AV233" s="274"/>
      <c r="AW233" s="274"/>
      <c r="AX233" s="274"/>
      <c r="AY233" s="274"/>
      <c r="AZ233" s="222">
        <f t="shared" si="87"/>
        <v>0</v>
      </c>
      <c r="BA233" s="140">
        <f t="shared" si="88"/>
        <v>0</v>
      </c>
      <c r="BB233" s="132"/>
      <c r="BC233" s="140">
        <f t="shared" si="89"/>
        <v>0</v>
      </c>
      <c r="BD233" s="126"/>
      <c r="BE233" s="126"/>
      <c r="BF233" s="126"/>
      <c r="BG233" s="126"/>
      <c r="BH233" s="126"/>
      <c r="BI233" s="126"/>
      <c r="BJ233" s="126"/>
      <c r="BK233" s="126"/>
      <c r="BL233" s="126"/>
      <c r="BM233" s="126"/>
      <c r="BN233" s="126"/>
      <c r="BO233" s="126"/>
      <c r="BP233" s="126"/>
      <c r="BQ233" s="130">
        <f t="shared" si="90"/>
        <v>0</v>
      </c>
      <c r="BR233" s="132"/>
    </row>
    <row r="234" ht="14.25" customHeight="1">
      <c r="A234" s="132"/>
      <c r="B234" s="512">
        <v>46231</v>
      </c>
      <c r="C234" s="133"/>
      <c r="D234" s="136"/>
      <c r="E234" s="135"/>
      <c r="F234" s="135"/>
      <c r="G234" s="147">
        <f t="shared" si="82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83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84"/>
        <v>0</v>
      </c>
      <c r="AH234" s="136"/>
      <c r="AI234" s="136"/>
      <c r="AJ234" s="136"/>
      <c r="AK234" s="105">
        <f t="shared" si="85"/>
        <v>0</v>
      </c>
      <c r="AL234" s="143"/>
      <c r="AM234" s="143"/>
      <c r="AN234" s="143"/>
      <c r="AO234" s="143"/>
      <c r="AP234" s="146"/>
      <c r="AQ234" s="224">
        <f t="shared" si="86"/>
        <v>0</v>
      </c>
      <c r="AR234" s="274"/>
      <c r="AS234" s="126"/>
      <c r="AT234" s="126"/>
      <c r="AU234" s="126"/>
      <c r="AV234" s="274"/>
      <c r="AW234" s="274"/>
      <c r="AX234" s="274"/>
      <c r="AY234" s="274"/>
      <c r="AZ234" s="222">
        <f t="shared" si="87"/>
        <v>0</v>
      </c>
      <c r="BA234" s="140">
        <f t="shared" si="88"/>
        <v>0</v>
      </c>
      <c r="BB234" s="132"/>
      <c r="BC234" s="140">
        <f t="shared" si="89"/>
        <v>0</v>
      </c>
      <c r="BD234" s="126"/>
      <c r="BE234" s="126"/>
      <c r="BF234" s="126"/>
      <c r="BG234" s="126"/>
      <c r="BH234" s="126"/>
      <c r="BI234" s="126"/>
      <c r="BJ234" s="126"/>
      <c r="BK234" s="126"/>
      <c r="BL234" s="126"/>
      <c r="BM234" s="126"/>
      <c r="BN234" s="126"/>
      <c r="BO234" s="126"/>
      <c r="BP234" s="126"/>
      <c r="BQ234" s="130">
        <f t="shared" si="90"/>
        <v>0</v>
      </c>
      <c r="BR234" s="132"/>
    </row>
    <row r="235" ht="14.25" customHeight="1">
      <c r="A235" s="132"/>
      <c r="B235" s="512">
        <v>46232</v>
      </c>
      <c r="C235" s="133"/>
      <c r="D235" s="136"/>
      <c r="E235" s="135"/>
      <c r="F235" s="135"/>
      <c r="G235" s="147">
        <f t="shared" si="82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83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84"/>
        <v>0</v>
      </c>
      <c r="AH235" s="136"/>
      <c r="AI235" s="136"/>
      <c r="AJ235" s="136"/>
      <c r="AK235" s="105">
        <f t="shared" si="85"/>
        <v>0</v>
      </c>
      <c r="AL235" s="143"/>
      <c r="AM235" s="143"/>
      <c r="AN235" s="143"/>
      <c r="AO235" s="143"/>
      <c r="AP235" s="146"/>
      <c r="AQ235" s="224">
        <f t="shared" si="86"/>
        <v>0</v>
      </c>
      <c r="AR235" s="274"/>
      <c r="AS235" s="126"/>
      <c r="AT235" s="126"/>
      <c r="AU235" s="126"/>
      <c r="AV235" s="274"/>
      <c r="AW235" s="274"/>
      <c r="AX235" s="274"/>
      <c r="AY235" s="274"/>
      <c r="AZ235" s="222">
        <f t="shared" si="87"/>
        <v>0</v>
      </c>
      <c r="BA235" s="140">
        <f t="shared" si="88"/>
        <v>0</v>
      </c>
      <c r="BB235" s="132"/>
      <c r="BC235" s="140">
        <f t="shared" si="89"/>
        <v>0</v>
      </c>
      <c r="BD235" s="126"/>
      <c r="BE235" s="126"/>
      <c r="BF235" s="126"/>
      <c r="BG235" s="126"/>
      <c r="BH235" s="126"/>
      <c r="BI235" s="126"/>
      <c r="BJ235" s="126"/>
      <c r="BK235" s="126"/>
      <c r="BL235" s="126"/>
      <c r="BM235" s="126"/>
      <c r="BN235" s="126"/>
      <c r="BO235" s="126"/>
      <c r="BP235" s="126"/>
      <c r="BQ235" s="130">
        <f t="shared" si="90"/>
        <v>0</v>
      </c>
      <c r="BR235" s="132"/>
    </row>
    <row r="236" ht="14.25" customHeight="1">
      <c r="A236" s="132"/>
      <c r="B236" s="512">
        <v>46233</v>
      </c>
      <c r="C236" s="133"/>
      <c r="D236" s="136"/>
      <c r="E236" s="135"/>
      <c r="F236" s="135"/>
      <c r="G236" s="147">
        <f t="shared" si="82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83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84"/>
        <v>0</v>
      </c>
      <c r="AH236" s="136"/>
      <c r="AI236" s="136"/>
      <c r="AJ236" s="136"/>
      <c r="AK236" s="105">
        <f t="shared" si="85"/>
        <v>0</v>
      </c>
      <c r="AL236" s="143"/>
      <c r="AM236" s="143"/>
      <c r="AN236" s="143"/>
      <c r="AO236" s="143"/>
      <c r="AP236" s="146"/>
      <c r="AQ236" s="224">
        <f t="shared" si="86"/>
        <v>0</v>
      </c>
      <c r="AR236" s="274"/>
      <c r="AS236" s="126"/>
      <c r="AT236" s="126"/>
      <c r="AU236" s="126"/>
      <c r="AV236" s="274"/>
      <c r="AW236" s="274"/>
      <c r="AX236" s="274"/>
      <c r="AY236" s="274"/>
      <c r="AZ236" s="222">
        <f t="shared" si="87"/>
        <v>0</v>
      </c>
      <c r="BA236" s="140">
        <f t="shared" si="88"/>
        <v>0</v>
      </c>
      <c r="BB236" s="132"/>
      <c r="BC236" s="140">
        <f t="shared" si="89"/>
        <v>0</v>
      </c>
      <c r="BD236" s="126"/>
      <c r="BE236" s="126"/>
      <c r="BF236" s="126"/>
      <c r="BG236" s="126"/>
      <c r="BH236" s="126"/>
      <c r="BI236" s="126"/>
      <c r="BJ236" s="126"/>
      <c r="BK236" s="126"/>
      <c r="BL236" s="126"/>
      <c r="BM236" s="126"/>
      <c r="BN236" s="126"/>
      <c r="BO236" s="126"/>
      <c r="BP236" s="126"/>
      <c r="BQ236" s="130">
        <f t="shared" si="90"/>
        <v>0</v>
      </c>
      <c r="BR236" s="132"/>
    </row>
    <row r="237" ht="14.25" customHeight="1">
      <c r="A237" s="132"/>
      <c r="B237" s="512">
        <v>46234</v>
      </c>
      <c r="C237" s="153"/>
      <c r="D237" s="159"/>
      <c r="E237" s="156"/>
      <c r="F237" s="156"/>
      <c r="G237" s="147">
        <f t="shared" si="82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83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84"/>
        <v>0</v>
      </c>
      <c r="AH237" s="159"/>
      <c r="AI237" s="159"/>
      <c r="AJ237" s="159"/>
      <c r="AK237" s="105">
        <f t="shared" si="85"/>
        <v>0</v>
      </c>
      <c r="AL237" s="157"/>
      <c r="AM237" s="157"/>
      <c r="AN237" s="157"/>
      <c r="AO237" s="157"/>
      <c r="AP237" s="160"/>
      <c r="AQ237" s="224">
        <f t="shared" si="86"/>
        <v>0</v>
      </c>
      <c r="AR237" s="296"/>
      <c r="AS237" s="138"/>
      <c r="AT237" s="138"/>
      <c r="AU237" s="138"/>
      <c r="AV237" s="296"/>
      <c r="AW237" s="296"/>
      <c r="AX237" s="296"/>
      <c r="AY237" s="296"/>
      <c r="AZ237" s="222">
        <f t="shared" si="87"/>
        <v>0</v>
      </c>
      <c r="BA237" s="162">
        <f t="shared" si="88"/>
        <v>0</v>
      </c>
      <c r="BB237" s="132"/>
      <c r="BC237" s="162">
        <f t="shared" si="89"/>
        <v>0</v>
      </c>
      <c r="BD237" s="138"/>
      <c r="BE237" s="138"/>
      <c r="BF237" s="138"/>
      <c r="BG237" s="138"/>
      <c r="BH237" s="138"/>
      <c r="BI237" s="138"/>
      <c r="BJ237" s="138"/>
      <c r="BK237" s="138"/>
      <c r="BL237" s="138"/>
      <c r="BM237" s="126"/>
      <c r="BN237" s="138"/>
      <c r="BO237" s="138"/>
      <c r="BP237" s="138"/>
      <c r="BQ237" s="164">
        <f t="shared" si="90"/>
        <v>0</v>
      </c>
      <c r="BR237" s="132"/>
    </row>
    <row r="238" ht="14.25" customHeight="1">
      <c r="A238" s="3"/>
      <c r="B238" s="2"/>
      <c r="C238" s="166">
        <f ref="C238:AI238" t="shared" si="91">SUM(C207:C237)</f>
        <v>0</v>
      </c>
      <c r="D238" s="166">
        <f t="shared" si="91"/>
        <v>0</v>
      </c>
      <c r="E238" s="166">
        <f t="shared" si="91"/>
        <v>0</v>
      </c>
      <c r="F238" s="166">
        <f t="shared" si="91"/>
        <v>0</v>
      </c>
      <c r="G238" s="166">
        <f t="shared" si="91"/>
        <v>0</v>
      </c>
      <c r="H238" s="166">
        <f t="shared" si="91"/>
        <v>0</v>
      </c>
      <c r="I238" s="166">
        <f t="shared" si="91"/>
        <v>0</v>
      </c>
      <c r="J238" s="166">
        <f t="shared" si="91"/>
        <v>0</v>
      </c>
      <c r="K238" s="166">
        <f t="shared" si="91"/>
        <v>0</v>
      </c>
      <c r="L238" s="166">
        <f t="shared" si="91"/>
        <v>0</v>
      </c>
      <c r="M238" s="166">
        <f t="shared" si="91"/>
        <v>0</v>
      </c>
      <c r="N238" s="166">
        <f t="shared" si="91"/>
        <v>0</v>
      </c>
      <c r="O238" s="166">
        <f t="shared" si="91"/>
        <v>0</v>
      </c>
      <c r="P238" s="166">
        <f t="shared" si="91"/>
        <v>0</v>
      </c>
      <c r="Q238" s="166">
        <f t="shared" si="91"/>
        <v>0</v>
      </c>
      <c r="R238" s="166">
        <f t="shared" si="91"/>
        <v>0</v>
      </c>
      <c r="S238" s="166">
        <f t="shared" si="91"/>
        <v>0</v>
      </c>
      <c r="T238" s="166">
        <f t="shared" si="91"/>
        <v>0</v>
      </c>
      <c r="U238" s="166">
        <f t="shared" si="91"/>
        <v>0</v>
      </c>
      <c r="V238" s="166">
        <f t="shared" si="91"/>
        <v>0</v>
      </c>
      <c r="W238" s="166">
        <f t="shared" si="91"/>
        <v>0</v>
      </c>
      <c r="X238" s="166">
        <f t="shared" si="91"/>
        <v>0</v>
      </c>
      <c r="Y238" s="166">
        <f t="shared" si="91"/>
        <v>0</v>
      </c>
      <c r="Z238" s="166">
        <f t="shared" si="91"/>
        <v>0</v>
      </c>
      <c r="AA238" s="166">
        <f t="shared" si="91"/>
        <v>0</v>
      </c>
      <c r="AB238" s="166">
        <f t="shared" si="91"/>
        <v>0</v>
      </c>
      <c r="AC238" s="166">
        <f t="shared" si="91"/>
        <v>0</v>
      </c>
      <c r="AD238" s="166">
        <f t="shared" si="91"/>
        <v>0</v>
      </c>
      <c r="AE238" s="166">
        <f t="shared" si="91"/>
        <v>0</v>
      </c>
      <c r="AF238" s="166">
        <f t="shared" si="91"/>
        <v>0</v>
      </c>
      <c r="AG238" s="166">
        <f t="shared" si="91"/>
        <v>0</v>
      </c>
      <c r="AH238" s="166">
        <f t="shared" si="91"/>
        <v>0</v>
      </c>
      <c r="AI238" s="166">
        <f t="shared" si="91"/>
        <v>0</v>
      </c>
      <c r="AJ238" s="166"/>
      <c r="AK238" s="166">
        <f ref="AK238:AM238" t="shared" si="92">SUM(AK207:AK237)</f>
        <v>0</v>
      </c>
      <c r="AL238" s="166">
        <f t="shared" si="92"/>
        <v>0</v>
      </c>
      <c r="AM238" s="166">
        <f t="shared" si="92"/>
        <v>0</v>
      </c>
      <c r="AN238" s="166"/>
      <c r="AO238" s="166"/>
      <c r="AP238" s="166"/>
      <c r="AQ238" s="166">
        <f ref="AQ238:BA238" t="shared" si="93">SUM(AQ207:AQ237)</f>
        <v>0</v>
      </c>
      <c r="AR238" s="166">
        <f t="shared" si="93"/>
        <v>0</v>
      </c>
      <c r="AS238" s="166">
        <f t="shared" si="93"/>
        <v>0</v>
      </c>
      <c r="AT238" s="166">
        <f t="shared" si="93"/>
        <v>0</v>
      </c>
      <c r="AU238" s="166">
        <f t="shared" si="93"/>
        <v>0</v>
      </c>
      <c r="AV238" s="166">
        <f t="shared" si="93"/>
        <v>0</v>
      </c>
      <c r="AW238" s="166">
        <f t="shared" si="93"/>
        <v>0</v>
      </c>
      <c r="AX238" s="166">
        <f t="shared" si="93"/>
        <v>0</v>
      </c>
      <c r="AY238" s="166">
        <f t="shared" si="93"/>
        <v>0</v>
      </c>
      <c r="AZ238" s="166">
        <f t="shared" si="93"/>
        <v>0</v>
      </c>
      <c r="BA238" s="166">
        <f t="shared" si="93"/>
        <v>0</v>
      </c>
      <c r="BB238" s="3"/>
      <c r="BC238" s="172">
        <f>SUM(BC207:BC237)</f>
        <v>0</v>
      </c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>
        <f ref="BM238:BQ238" t="shared" si="94">SUM(BM207:BM237)</f>
        <v>0</v>
      </c>
      <c r="BN238" s="165">
        <f t="shared" si="94"/>
        <v>0</v>
      </c>
      <c r="BO238" s="165">
        <f t="shared" si="94"/>
        <v>0</v>
      </c>
      <c r="BP238" s="165">
        <f t="shared" si="94"/>
        <v>0</v>
      </c>
      <c r="BQ238" s="165">
        <f t="shared" si="94"/>
        <v>0</v>
      </c>
      <c r="BR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4"/>
      <c r="AL239" s="3"/>
      <c r="AM239" s="3"/>
      <c r="AN239" s="3"/>
      <c r="AO239" s="3"/>
      <c r="AP239" s="3"/>
      <c r="AQ239" s="4"/>
      <c r="AR239" s="132"/>
      <c r="AS239" s="132"/>
      <c r="AT239" s="132"/>
      <c r="AU239" s="132"/>
      <c r="AV239" s="132"/>
      <c r="AW239" s="132"/>
      <c r="AX239" s="132"/>
      <c r="AY239" s="132"/>
      <c r="AZ239" s="4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ht="14.25" customHeight="1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4"/>
      <c r="AL240" s="3"/>
      <c r="AM240" s="3"/>
      <c r="AN240" s="3"/>
      <c r="AO240" s="3"/>
      <c r="AP240" s="3"/>
      <c r="AQ240" s="177"/>
      <c r="AR240" s="132"/>
      <c r="AS240" s="132"/>
      <c r="AT240" s="132"/>
      <c r="AU240" s="132"/>
      <c r="AV240" s="132"/>
      <c r="AW240" s="132"/>
      <c r="AX240" s="132"/>
      <c r="AY240" s="132"/>
      <c r="AZ240" s="177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ht="14.25" customHeight="1">
      <c r="A241" s="3"/>
      <c r="B241" s="215">
        <v>46235</v>
      </c>
      <c r="C241" s="94"/>
      <c r="D241" s="104"/>
      <c r="E241" s="97"/>
      <c r="F241" s="97"/>
      <c r="G241" s="216">
        <f ref="G241:G271" t="shared" si="95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ref="T241:T271" t="shared" si="96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ref="AG241:AG271" t="shared" si="97">SUM(U241:AF241)</f>
        <v>0</v>
      </c>
      <c r="AH241" s="104"/>
      <c r="AI241" s="104"/>
      <c r="AJ241" s="104"/>
      <c r="AK241" s="191">
        <f ref="AK241:AK271" t="shared" si="98">SUM(AH241:AJ241)</f>
        <v>0</v>
      </c>
      <c r="AL241" s="186"/>
      <c r="AM241" s="186"/>
      <c r="AN241" s="186"/>
      <c r="AO241" s="186"/>
      <c r="AP241" s="193"/>
      <c r="AQ241" s="224">
        <f ref="AQ241:AQ245" t="shared" si="99">+G241-T241-AG241-AK241-AL241-AN241-AO241-AP241</f>
        <v>0</v>
      </c>
      <c r="AR241" s="269"/>
      <c r="AS241" s="109"/>
      <c r="AT241" s="109"/>
      <c r="AU241" s="109"/>
      <c r="AV241" s="269"/>
      <c r="AW241" s="269"/>
      <c r="AX241" s="269"/>
      <c r="AY241" s="269"/>
      <c r="AZ241" s="222">
        <f ref="AZ241:AZ271" t="shared" si="100">SUM(AR241:AY241)-AX241</f>
        <v>0</v>
      </c>
      <c r="BA241" s="114">
        <f ref="BA241:BA271" t="shared" si="101">+AQ241-AZ241</f>
        <v>0</v>
      </c>
      <c r="BB241" s="3"/>
      <c r="BC241" s="114">
        <f ref="BC241:BC271" t="shared" si="102">SUM(BD241:BP241)</f>
        <v>0</v>
      </c>
      <c r="BD241" s="115"/>
      <c r="BE241" s="115"/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6">
        <f ref="BQ241:BQ271" t="shared" si="103">+BA241-BC241</f>
        <v>0</v>
      </c>
      <c r="BR241" s="3"/>
    </row>
    <row r="242" ht="14.25" customHeight="1">
      <c r="A242" s="3"/>
      <c r="B242" s="215">
        <v>46236</v>
      </c>
      <c r="C242" s="118"/>
      <c r="D242" s="123"/>
      <c r="E242" s="120"/>
      <c r="F242" s="120"/>
      <c r="G242" s="147">
        <f t="shared" si="95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96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97"/>
        <v>0</v>
      </c>
      <c r="AH242" s="123"/>
      <c r="AI242" s="123"/>
      <c r="AJ242" s="123"/>
      <c r="AK242" s="105">
        <f t="shared" si="98"/>
        <v>0</v>
      </c>
      <c r="AL242" s="143"/>
      <c r="AM242" s="143"/>
      <c r="AN242" s="143"/>
      <c r="AO242" s="143"/>
      <c r="AP242" s="146"/>
      <c r="AQ242" s="224">
        <f t="shared" si="99"/>
        <v>0</v>
      </c>
      <c r="AR242" s="274"/>
      <c r="AS242" s="126"/>
      <c r="AT242" s="126"/>
      <c r="AU242" s="126"/>
      <c r="AV242" s="274"/>
      <c r="AW242" s="274"/>
      <c r="AX242" s="274"/>
      <c r="AY242" s="274"/>
      <c r="AZ242" s="222">
        <f t="shared" si="100"/>
        <v>0</v>
      </c>
      <c r="BA242" s="113">
        <f t="shared" si="101"/>
        <v>0</v>
      </c>
      <c r="BB242" s="3"/>
      <c r="BC242" s="113">
        <f t="shared" si="102"/>
        <v>0</v>
      </c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30">
        <f t="shared" si="103"/>
        <v>0</v>
      </c>
      <c r="BR242" s="3"/>
    </row>
    <row r="243" ht="14.25" customHeight="1">
      <c r="A243" s="3"/>
      <c r="B243" s="215">
        <v>46237</v>
      </c>
      <c r="C243" s="118"/>
      <c r="D243" s="123"/>
      <c r="E243" s="120"/>
      <c r="F243" s="120"/>
      <c r="G243" s="147">
        <f t="shared" si="95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96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97"/>
        <v>0</v>
      </c>
      <c r="AH243" s="123"/>
      <c r="AI243" s="123"/>
      <c r="AJ243" s="123"/>
      <c r="AK243" s="105">
        <f t="shared" si="98"/>
        <v>0</v>
      </c>
      <c r="AL243" s="143"/>
      <c r="AM243" s="143"/>
      <c r="AN243" s="143"/>
      <c r="AO243" s="143"/>
      <c r="AP243" s="146"/>
      <c r="AQ243" s="224">
        <f t="shared" si="99"/>
        <v>0</v>
      </c>
      <c r="AR243" s="274"/>
      <c r="AS243" s="126"/>
      <c r="AT243" s="126"/>
      <c r="AU243" s="126"/>
      <c r="AV243" s="274"/>
      <c r="AW243" s="274"/>
      <c r="AX243" s="274"/>
      <c r="AY243" s="274"/>
      <c r="AZ243" s="222">
        <f t="shared" si="100"/>
        <v>0</v>
      </c>
      <c r="BA243" s="113">
        <f t="shared" si="101"/>
        <v>0</v>
      </c>
      <c r="BB243" s="3"/>
      <c r="BC243" s="113">
        <f t="shared" si="102"/>
        <v>0</v>
      </c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30">
        <f t="shared" si="103"/>
        <v>0</v>
      </c>
      <c r="BR243" s="3"/>
    </row>
    <row r="244" ht="14.25" customHeight="1">
      <c r="A244" s="3"/>
      <c r="B244" s="215">
        <v>46238</v>
      </c>
      <c r="C244" s="118"/>
      <c r="D244" s="123"/>
      <c r="E244" s="120"/>
      <c r="F244" s="120"/>
      <c r="G244" s="147">
        <f t="shared" si="95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96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97"/>
        <v>0</v>
      </c>
      <c r="AH244" s="123"/>
      <c r="AI244" s="123"/>
      <c r="AJ244" s="123"/>
      <c r="AK244" s="105">
        <f t="shared" si="98"/>
        <v>0</v>
      </c>
      <c r="AL244" s="143"/>
      <c r="AM244" s="143"/>
      <c r="AN244" s="143"/>
      <c r="AO244" s="143"/>
      <c r="AP244" s="146"/>
      <c r="AQ244" s="224">
        <f t="shared" si="99"/>
        <v>0</v>
      </c>
      <c r="AR244" s="274"/>
      <c r="AS244" s="126"/>
      <c r="AT244" s="126"/>
      <c r="AU244" s="126"/>
      <c r="AV244" s="274"/>
      <c r="AW244" s="274"/>
      <c r="AX244" s="274"/>
      <c r="AY244" s="274"/>
      <c r="AZ244" s="222">
        <f t="shared" si="100"/>
        <v>0</v>
      </c>
      <c r="BA244" s="113">
        <f t="shared" si="101"/>
        <v>0</v>
      </c>
      <c r="BB244" s="3"/>
      <c r="BC244" s="113">
        <f t="shared" si="102"/>
        <v>0</v>
      </c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30">
        <f t="shared" si="103"/>
        <v>0</v>
      </c>
      <c r="BR244" s="3"/>
    </row>
    <row r="245" ht="14.25" customHeight="1">
      <c r="A245" s="3"/>
      <c r="B245" s="215">
        <v>46239</v>
      </c>
      <c r="C245" s="118"/>
      <c r="D245" s="123"/>
      <c r="E245" s="120"/>
      <c r="F245" s="120"/>
      <c r="G245" s="147">
        <f t="shared" si="95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96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97"/>
        <v>0</v>
      </c>
      <c r="AH245" s="123"/>
      <c r="AI245" s="123"/>
      <c r="AJ245" s="123"/>
      <c r="AK245" s="105">
        <f t="shared" si="98"/>
        <v>0</v>
      </c>
      <c r="AL245" s="143"/>
      <c r="AM245" s="143"/>
      <c r="AN245" s="143"/>
      <c r="AO245" s="143"/>
      <c r="AP245" s="146"/>
      <c r="AQ245" s="224">
        <f t="shared" si="99"/>
        <v>0</v>
      </c>
      <c r="AR245" s="126"/>
      <c r="AS245" s="126"/>
      <c r="AT245" s="126"/>
      <c r="AU245" s="274"/>
      <c r="AV245" s="274"/>
      <c r="AW245" s="274"/>
      <c r="AX245" s="274"/>
      <c r="AY245" s="274"/>
      <c r="AZ245" s="222">
        <f t="shared" si="100"/>
        <v>0</v>
      </c>
      <c r="BA245" s="113">
        <f t="shared" si="101"/>
        <v>0</v>
      </c>
      <c r="BB245" s="3"/>
      <c r="BC245" s="113">
        <f t="shared" si="102"/>
        <v>0</v>
      </c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30">
        <f t="shared" si="103"/>
        <v>0</v>
      </c>
      <c r="BR245" s="3"/>
    </row>
    <row r="246" ht="14.25" customHeight="1">
      <c r="A246" s="3"/>
      <c r="B246" s="215">
        <v>46240</v>
      </c>
      <c r="C246" s="118"/>
      <c r="D246" s="123"/>
      <c r="E246" s="120"/>
      <c r="F246" s="120"/>
      <c r="G246" s="147">
        <f t="shared" si="95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96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97"/>
        <v>0</v>
      </c>
      <c r="AH246" s="123"/>
      <c r="AI246" s="123"/>
      <c r="AJ246" s="123"/>
      <c r="AK246" s="105">
        <f t="shared" si="98"/>
        <v>0</v>
      </c>
      <c r="AL246" s="143"/>
      <c r="AM246" s="143"/>
      <c r="AN246" s="143"/>
      <c r="AO246" s="143"/>
      <c r="AP246" s="146"/>
      <c r="AQ246" s="224">
        <f ref="AQ246:AQ271" t="shared" si="104">+G246-T246-AG246-AK246-AL246-AN246-AO246-AP246-AM246</f>
        <v>0</v>
      </c>
      <c r="AR246" s="274"/>
      <c r="AS246" s="126"/>
      <c r="AT246" s="126"/>
      <c r="AU246" s="126"/>
      <c r="AV246" s="274"/>
      <c r="AW246" s="274"/>
      <c r="AX246" s="274"/>
      <c r="AY246" s="274"/>
      <c r="AZ246" s="222">
        <f t="shared" si="100"/>
        <v>0</v>
      </c>
      <c r="BA246" s="113">
        <f t="shared" si="101"/>
        <v>0</v>
      </c>
      <c r="BB246" s="3"/>
      <c r="BC246" s="113">
        <f t="shared" si="102"/>
        <v>0</v>
      </c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30">
        <f t="shared" si="103"/>
        <v>0</v>
      </c>
      <c r="BR246" s="3"/>
    </row>
    <row r="247" ht="14.25" customHeight="1">
      <c r="A247" s="3"/>
      <c r="B247" s="215">
        <v>46241</v>
      </c>
      <c r="C247" s="118"/>
      <c r="D247" s="123"/>
      <c r="E247" s="120"/>
      <c r="F247" s="120"/>
      <c r="G247" s="147">
        <f t="shared" si="95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96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97"/>
        <v>0</v>
      </c>
      <c r="AH247" s="123"/>
      <c r="AI247" s="123"/>
      <c r="AJ247" s="123"/>
      <c r="AK247" s="105">
        <f t="shared" si="98"/>
        <v>0</v>
      </c>
      <c r="AL247" s="143"/>
      <c r="AM247" s="143"/>
      <c r="AN247" s="143"/>
      <c r="AO247" s="143"/>
      <c r="AP247" s="146"/>
      <c r="AQ247" s="224">
        <f t="shared" si="104"/>
        <v>0</v>
      </c>
      <c r="AR247" s="274"/>
      <c r="AS247" s="126"/>
      <c r="AT247" s="126"/>
      <c r="AU247" s="126"/>
      <c r="AV247" s="274"/>
      <c r="AW247" s="274"/>
      <c r="AX247" s="274"/>
      <c r="AY247" s="274"/>
      <c r="AZ247" s="222">
        <f t="shared" si="100"/>
        <v>0</v>
      </c>
      <c r="BA247" s="113">
        <f t="shared" si="101"/>
        <v>0</v>
      </c>
      <c r="BB247" s="3"/>
      <c r="BC247" s="113">
        <f t="shared" si="102"/>
        <v>0</v>
      </c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30">
        <f t="shared" si="103"/>
        <v>0</v>
      </c>
      <c r="BR247" s="3"/>
    </row>
    <row r="248" ht="14.25" customHeight="1">
      <c r="A248" s="3"/>
      <c r="B248" s="215">
        <v>46242</v>
      </c>
      <c r="C248" s="118"/>
      <c r="D248" s="123"/>
      <c r="E248" s="120"/>
      <c r="F248" s="120"/>
      <c r="G248" s="147">
        <f t="shared" si="95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96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97"/>
        <v>0</v>
      </c>
      <c r="AH248" s="123"/>
      <c r="AI248" s="123"/>
      <c r="AJ248" s="123"/>
      <c r="AK248" s="105">
        <f t="shared" si="98"/>
        <v>0</v>
      </c>
      <c r="AL248" s="143"/>
      <c r="AM248" s="143"/>
      <c r="AN248" s="143"/>
      <c r="AO248" s="143"/>
      <c r="AP248" s="146"/>
      <c r="AQ248" s="224">
        <f t="shared" si="104"/>
        <v>0</v>
      </c>
      <c r="AR248" s="274"/>
      <c r="AS248" s="126"/>
      <c r="AT248" s="126"/>
      <c r="AU248" s="126"/>
      <c r="AV248" s="274"/>
      <c r="AW248" s="274"/>
      <c r="AX248" s="274"/>
      <c r="AY248" s="274"/>
      <c r="AZ248" s="222">
        <f t="shared" si="100"/>
        <v>0</v>
      </c>
      <c r="BA248" s="113">
        <f t="shared" si="101"/>
        <v>0</v>
      </c>
      <c r="BB248" s="3"/>
      <c r="BC248" s="113">
        <f t="shared" si="102"/>
        <v>0</v>
      </c>
      <c r="BD248" s="129"/>
      <c r="BE248" s="129"/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30">
        <f t="shared" si="103"/>
        <v>0</v>
      </c>
      <c r="BR248" s="3"/>
    </row>
    <row r="249" ht="14.25" customHeight="1">
      <c r="A249" s="3"/>
      <c r="B249" s="215">
        <v>46243</v>
      </c>
      <c r="C249" s="118"/>
      <c r="D249" s="123"/>
      <c r="E249" s="120"/>
      <c r="F249" s="120"/>
      <c r="G249" s="147">
        <f t="shared" si="95"/>
        <v>0</v>
      </c>
      <c r="H249" s="231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96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97"/>
        <v>0</v>
      </c>
      <c r="AH249" s="123"/>
      <c r="AI249" s="123"/>
      <c r="AJ249" s="123"/>
      <c r="AK249" s="105">
        <f t="shared" si="98"/>
        <v>0</v>
      </c>
      <c r="AL249" s="143"/>
      <c r="AM249" s="143"/>
      <c r="AN249" s="143"/>
      <c r="AO249" s="143"/>
      <c r="AP249" s="146"/>
      <c r="AQ249" s="224">
        <f t="shared" si="104"/>
        <v>0</v>
      </c>
      <c r="AR249" s="274"/>
      <c r="AS249" s="126"/>
      <c r="AT249" s="126"/>
      <c r="AU249" s="126"/>
      <c r="AV249" s="274"/>
      <c r="AW249" s="274"/>
      <c r="AX249" s="274"/>
      <c r="AY249" s="274"/>
      <c r="AZ249" s="222">
        <f t="shared" si="100"/>
        <v>0</v>
      </c>
      <c r="BA249" s="113">
        <f t="shared" si="101"/>
        <v>0</v>
      </c>
      <c r="BB249" s="3"/>
      <c r="BC249" s="113">
        <f t="shared" si="102"/>
        <v>0</v>
      </c>
      <c r="BD249" s="129"/>
      <c r="BE249" s="129"/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30">
        <f t="shared" si="103"/>
        <v>0</v>
      </c>
      <c r="BR249" s="3"/>
    </row>
    <row r="250" ht="14.25" customHeight="1">
      <c r="A250" s="3"/>
      <c r="B250" s="215">
        <v>46244</v>
      </c>
      <c r="C250" s="118"/>
      <c r="D250" s="123"/>
      <c r="E250" s="120"/>
      <c r="F250" s="120"/>
      <c r="G250" s="147">
        <f t="shared" si="95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96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97"/>
        <v>0</v>
      </c>
      <c r="AH250" s="123"/>
      <c r="AI250" s="123"/>
      <c r="AJ250" s="123"/>
      <c r="AK250" s="105">
        <f t="shared" si="98"/>
        <v>0</v>
      </c>
      <c r="AL250" s="143"/>
      <c r="AM250" s="143"/>
      <c r="AN250" s="143"/>
      <c r="AO250" s="143"/>
      <c r="AP250" s="146"/>
      <c r="AQ250" s="224">
        <f t="shared" si="104"/>
        <v>0</v>
      </c>
      <c r="AR250" s="274"/>
      <c r="AS250" s="126"/>
      <c r="AT250" s="126"/>
      <c r="AU250" s="126"/>
      <c r="AV250" s="274"/>
      <c r="AW250" s="274"/>
      <c r="AX250" s="274"/>
      <c r="AY250" s="274"/>
      <c r="AZ250" s="222">
        <f t="shared" si="100"/>
        <v>0</v>
      </c>
      <c r="BA250" s="113">
        <f t="shared" si="101"/>
        <v>0</v>
      </c>
      <c r="BB250" s="3"/>
      <c r="BC250" s="113">
        <f t="shared" si="102"/>
        <v>0</v>
      </c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30">
        <f t="shared" si="103"/>
        <v>0</v>
      </c>
      <c r="BR250" s="3"/>
    </row>
    <row r="251" ht="14.25" customHeight="1">
      <c r="A251" s="3"/>
      <c r="B251" s="215">
        <v>46245</v>
      </c>
      <c r="C251" s="118"/>
      <c r="D251" s="123"/>
      <c r="E251" s="120"/>
      <c r="F251" s="120"/>
      <c r="G251" s="147">
        <f t="shared" si="95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96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97"/>
        <v>0</v>
      </c>
      <c r="AH251" s="123"/>
      <c r="AI251" s="123"/>
      <c r="AJ251" s="123"/>
      <c r="AK251" s="105">
        <f t="shared" si="98"/>
        <v>0</v>
      </c>
      <c r="AL251" s="143"/>
      <c r="AM251" s="143"/>
      <c r="AN251" s="143"/>
      <c r="AO251" s="143"/>
      <c r="AP251" s="146"/>
      <c r="AQ251" s="224">
        <f t="shared" si="104"/>
        <v>0</v>
      </c>
      <c r="AR251" s="274"/>
      <c r="AS251" s="294"/>
      <c r="AT251" s="294"/>
      <c r="AU251" s="126"/>
      <c r="AV251" s="274"/>
      <c r="AW251" s="274"/>
      <c r="AX251" s="274"/>
      <c r="AY251" s="274"/>
      <c r="AZ251" s="222">
        <f t="shared" si="100"/>
        <v>0</v>
      </c>
      <c r="BA251" s="113">
        <f t="shared" si="101"/>
        <v>0</v>
      </c>
      <c r="BB251" s="3"/>
      <c r="BC251" s="113">
        <f t="shared" si="102"/>
        <v>0</v>
      </c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30">
        <f t="shared" si="103"/>
        <v>0</v>
      </c>
      <c r="BR251" s="3"/>
    </row>
    <row r="252" ht="14.25" customHeight="1">
      <c r="A252" s="132"/>
      <c r="B252" s="215">
        <v>46246</v>
      </c>
      <c r="C252" s="133"/>
      <c r="D252" s="136"/>
      <c r="E252" s="135"/>
      <c r="F252" s="135"/>
      <c r="G252" s="147">
        <f t="shared" si="95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96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97"/>
        <v>0</v>
      </c>
      <c r="AH252" s="136"/>
      <c r="AI252" s="136"/>
      <c r="AJ252" s="136"/>
      <c r="AK252" s="105">
        <f t="shared" si="98"/>
        <v>0</v>
      </c>
      <c r="AL252" s="143"/>
      <c r="AM252" s="143"/>
      <c r="AN252" s="143"/>
      <c r="AO252" s="143"/>
      <c r="AP252" s="146"/>
      <c r="AQ252" s="224">
        <f t="shared" si="104"/>
        <v>0</v>
      </c>
      <c r="AR252" s="274"/>
      <c r="AS252" s="126"/>
      <c r="AT252" s="126"/>
      <c r="AU252" s="126"/>
      <c r="AV252" s="274"/>
      <c r="AW252" s="274"/>
      <c r="AX252" s="274"/>
      <c r="AY252" s="274"/>
      <c r="AZ252" s="222">
        <f t="shared" si="100"/>
        <v>0</v>
      </c>
      <c r="BA252" s="140">
        <f t="shared" si="101"/>
        <v>0</v>
      </c>
      <c r="BB252" s="132"/>
      <c r="BC252" s="140">
        <f t="shared" si="102"/>
        <v>0</v>
      </c>
      <c r="BD252" s="141"/>
      <c r="BE252" s="141"/>
      <c r="BF252" s="141"/>
      <c r="BG252" s="141"/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30">
        <f t="shared" si="103"/>
        <v>0</v>
      </c>
      <c r="BR252" s="132"/>
    </row>
    <row r="253" ht="14.25" customHeight="1">
      <c r="A253" s="132"/>
      <c r="B253" s="215">
        <v>46247</v>
      </c>
      <c r="C253" s="133"/>
      <c r="D253" s="136"/>
      <c r="E253" s="135"/>
      <c r="F253" s="135"/>
      <c r="G253" s="147">
        <f t="shared" si="95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96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97"/>
        <v>0</v>
      </c>
      <c r="AH253" s="136"/>
      <c r="AI253" s="136"/>
      <c r="AJ253" s="136"/>
      <c r="AK253" s="105">
        <f t="shared" si="98"/>
        <v>0</v>
      </c>
      <c r="AL253" s="143"/>
      <c r="AM253" s="143"/>
      <c r="AN253" s="143"/>
      <c r="AO253" s="143"/>
      <c r="AP253" s="146"/>
      <c r="AQ253" s="224">
        <f t="shared" si="104"/>
        <v>0</v>
      </c>
      <c r="AR253" s="274"/>
      <c r="AS253" s="126"/>
      <c r="AT253" s="126"/>
      <c r="AU253" s="126"/>
      <c r="AV253" s="274"/>
      <c r="AW253" s="274"/>
      <c r="AX253" s="274"/>
      <c r="AY253" s="274"/>
      <c r="AZ253" s="222">
        <f t="shared" si="100"/>
        <v>0</v>
      </c>
      <c r="BA253" s="140">
        <f t="shared" si="101"/>
        <v>0</v>
      </c>
      <c r="BB253" s="132"/>
      <c r="BC253" s="140">
        <f t="shared" si="102"/>
        <v>0</v>
      </c>
      <c r="BD253" s="141"/>
      <c r="BE253" s="141"/>
      <c r="BF253" s="141"/>
      <c r="BG253" s="141"/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30">
        <f t="shared" si="103"/>
        <v>0</v>
      </c>
      <c r="BR253" s="132"/>
    </row>
    <row r="254" ht="14.25" customHeight="1">
      <c r="A254" s="132"/>
      <c r="B254" s="215">
        <v>46248</v>
      </c>
      <c r="C254" s="133"/>
      <c r="D254" s="136"/>
      <c r="E254" s="135"/>
      <c r="F254" s="135"/>
      <c r="G254" s="147">
        <f t="shared" si="95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96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97"/>
        <v>0</v>
      </c>
      <c r="AH254" s="136"/>
      <c r="AI254" s="136"/>
      <c r="AJ254" s="136"/>
      <c r="AK254" s="105">
        <f t="shared" si="98"/>
        <v>0</v>
      </c>
      <c r="AL254" s="143"/>
      <c r="AM254" s="143"/>
      <c r="AN254" s="143"/>
      <c r="AO254" s="143"/>
      <c r="AP254" s="146"/>
      <c r="AQ254" s="224">
        <f t="shared" si="104"/>
        <v>0</v>
      </c>
      <c r="AR254" s="274"/>
      <c r="AS254" s="126"/>
      <c r="AT254" s="126"/>
      <c r="AU254" s="126"/>
      <c r="AV254" s="274"/>
      <c r="AW254" s="274"/>
      <c r="AX254" s="274"/>
      <c r="AY254" s="274"/>
      <c r="AZ254" s="222">
        <f t="shared" si="100"/>
        <v>0</v>
      </c>
      <c r="BA254" s="140">
        <f t="shared" si="101"/>
        <v>0</v>
      </c>
      <c r="BB254" s="132"/>
      <c r="BC254" s="140">
        <f t="shared" si="102"/>
        <v>0</v>
      </c>
      <c r="BD254" s="141"/>
      <c r="BE254" s="141"/>
      <c r="BF254" s="141"/>
      <c r="BG254" s="141"/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30">
        <f t="shared" si="103"/>
        <v>0</v>
      </c>
      <c r="BR254" s="132"/>
    </row>
    <row r="255" ht="13.5" customHeight="1">
      <c r="A255" s="132"/>
      <c r="B255" s="215">
        <v>46249</v>
      </c>
      <c r="C255" s="133"/>
      <c r="D255" s="136"/>
      <c r="E255" s="135"/>
      <c r="F255" s="135"/>
      <c r="G255" s="147">
        <f t="shared" si="95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96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97"/>
        <v>0</v>
      </c>
      <c r="AH255" s="136"/>
      <c r="AI255" s="136"/>
      <c r="AJ255" s="136"/>
      <c r="AK255" s="105">
        <f t="shared" si="98"/>
        <v>0</v>
      </c>
      <c r="AL255" s="143"/>
      <c r="AM255" s="143"/>
      <c r="AN255" s="143"/>
      <c r="AO255" s="143"/>
      <c r="AP255" s="146"/>
      <c r="AQ255" s="224">
        <f t="shared" si="104"/>
        <v>0</v>
      </c>
      <c r="AR255" s="274"/>
      <c r="AS255" s="126"/>
      <c r="AT255" s="126"/>
      <c r="AU255" s="126"/>
      <c r="AV255" s="274"/>
      <c r="AW255" s="274"/>
      <c r="AX255" s="274"/>
      <c r="AY255" s="274"/>
      <c r="AZ255" s="222">
        <f t="shared" si="100"/>
        <v>0</v>
      </c>
      <c r="BA255" s="140">
        <f t="shared" si="101"/>
        <v>0</v>
      </c>
      <c r="BB255" s="132"/>
      <c r="BC255" s="140">
        <f t="shared" si="102"/>
        <v>0</v>
      </c>
      <c r="BD255" s="141"/>
      <c r="BE255" s="141"/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30">
        <f t="shared" si="103"/>
        <v>0</v>
      </c>
      <c r="BR255" s="132"/>
    </row>
    <row r="256" ht="14.25" customHeight="1">
      <c r="A256" s="132"/>
      <c r="B256" s="215">
        <v>46250</v>
      </c>
      <c r="C256" s="133"/>
      <c r="D256" s="136"/>
      <c r="E256" s="135"/>
      <c r="F256" s="135"/>
      <c r="G256" s="147">
        <f t="shared" si="95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96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97"/>
        <v>0</v>
      </c>
      <c r="AH256" s="136"/>
      <c r="AI256" s="136"/>
      <c r="AJ256" s="136"/>
      <c r="AK256" s="105">
        <f t="shared" si="98"/>
        <v>0</v>
      </c>
      <c r="AL256" s="143"/>
      <c r="AM256" s="143"/>
      <c r="AN256" s="143"/>
      <c r="AO256" s="146"/>
      <c r="AP256" s="146"/>
      <c r="AQ256" s="224">
        <f t="shared" si="104"/>
        <v>0</v>
      </c>
      <c r="AR256" s="274"/>
      <c r="AS256" s="126"/>
      <c r="AT256" s="126"/>
      <c r="AU256" s="126"/>
      <c r="AV256" s="274"/>
      <c r="AW256" s="274"/>
      <c r="AX256" s="274"/>
      <c r="AY256" s="274"/>
      <c r="AZ256" s="222">
        <f t="shared" si="100"/>
        <v>0</v>
      </c>
      <c r="BA256" s="140">
        <f t="shared" si="101"/>
        <v>0</v>
      </c>
      <c r="BB256" s="132"/>
      <c r="BC256" s="140">
        <f t="shared" si="102"/>
        <v>0</v>
      </c>
      <c r="BD256" s="141"/>
      <c r="BE256" s="141"/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30">
        <f t="shared" si="103"/>
        <v>0</v>
      </c>
      <c r="BR256" s="132"/>
    </row>
    <row r="257" ht="14.25" customHeight="1">
      <c r="A257" s="132"/>
      <c r="B257" s="215">
        <v>46251</v>
      </c>
      <c r="C257" s="133"/>
      <c r="D257" s="136"/>
      <c r="E257" s="135"/>
      <c r="F257" s="135"/>
      <c r="G257" s="147">
        <f t="shared" si="95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96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97"/>
        <v>0</v>
      </c>
      <c r="AH257" s="136"/>
      <c r="AI257" s="136"/>
      <c r="AJ257" s="136"/>
      <c r="AK257" s="105">
        <f t="shared" si="98"/>
        <v>0</v>
      </c>
      <c r="AL257" s="143"/>
      <c r="AM257" s="143"/>
      <c r="AN257" s="143"/>
      <c r="AO257" s="143"/>
      <c r="AP257" s="146"/>
      <c r="AQ257" s="224">
        <f t="shared" si="104"/>
        <v>0</v>
      </c>
      <c r="AR257" s="274"/>
      <c r="AS257" s="126"/>
      <c r="AT257" s="126"/>
      <c r="AU257" s="126"/>
      <c r="AV257" s="274"/>
      <c r="AW257" s="274"/>
      <c r="AX257" s="274"/>
      <c r="AY257" s="274"/>
      <c r="AZ257" s="222">
        <f t="shared" si="100"/>
        <v>0</v>
      </c>
      <c r="BA257" s="140">
        <f t="shared" si="101"/>
        <v>0</v>
      </c>
      <c r="BB257" s="132"/>
      <c r="BC257" s="140">
        <f t="shared" si="102"/>
        <v>0</v>
      </c>
      <c r="BD257" s="141"/>
      <c r="BE257" s="141"/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30">
        <f t="shared" si="103"/>
        <v>0</v>
      </c>
      <c r="BR257" s="132"/>
    </row>
    <row r="258" ht="14.25" customHeight="1">
      <c r="A258" s="132"/>
      <c r="B258" s="215">
        <v>46252</v>
      </c>
      <c r="C258" s="133"/>
      <c r="D258" s="136"/>
      <c r="E258" s="135"/>
      <c r="F258" s="135"/>
      <c r="G258" s="147">
        <f t="shared" si="95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96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97"/>
        <v>0</v>
      </c>
      <c r="AH258" s="136"/>
      <c r="AI258" s="136"/>
      <c r="AJ258" s="136"/>
      <c r="AK258" s="105">
        <f t="shared" si="98"/>
        <v>0</v>
      </c>
      <c r="AL258" s="143"/>
      <c r="AM258" s="143"/>
      <c r="AN258" s="143"/>
      <c r="AO258" s="143"/>
      <c r="AP258" s="146"/>
      <c r="AQ258" s="224">
        <f t="shared" si="104"/>
        <v>0</v>
      </c>
      <c r="AR258" s="274"/>
      <c r="AS258" s="126"/>
      <c r="AT258" s="126"/>
      <c r="AU258" s="126"/>
      <c r="AV258" s="274"/>
      <c r="AW258" s="274"/>
      <c r="AX258" s="274"/>
      <c r="AY258" s="274"/>
      <c r="AZ258" s="222">
        <f t="shared" si="100"/>
        <v>0</v>
      </c>
      <c r="BA258" s="140">
        <f t="shared" si="101"/>
        <v>0</v>
      </c>
      <c r="BB258" s="132"/>
      <c r="BC258" s="140">
        <f t="shared" si="102"/>
        <v>0</v>
      </c>
      <c r="BD258" s="141"/>
      <c r="BE258" s="141"/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30">
        <f t="shared" si="103"/>
        <v>0</v>
      </c>
      <c r="BR258" s="132"/>
    </row>
    <row r="259" ht="14.25" customHeight="1">
      <c r="A259" s="132"/>
      <c r="B259" s="215">
        <v>46253</v>
      </c>
      <c r="C259" s="133"/>
      <c r="D259" s="136"/>
      <c r="E259" s="135"/>
      <c r="F259" s="135"/>
      <c r="G259" s="147">
        <f t="shared" si="95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96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97"/>
        <v>0</v>
      </c>
      <c r="AH259" s="136"/>
      <c r="AI259" s="136"/>
      <c r="AJ259" s="136"/>
      <c r="AK259" s="105">
        <f t="shared" si="98"/>
        <v>0</v>
      </c>
      <c r="AL259" s="143"/>
      <c r="AM259" s="143"/>
      <c r="AN259" s="143"/>
      <c r="AO259" s="143"/>
      <c r="AP259" s="146"/>
      <c r="AQ259" s="224">
        <f t="shared" si="104"/>
        <v>0</v>
      </c>
      <c r="AR259" s="274"/>
      <c r="AS259" s="126"/>
      <c r="AT259" s="126"/>
      <c r="AU259" s="126"/>
      <c r="AV259" s="274"/>
      <c r="AW259" s="274"/>
      <c r="AX259" s="274"/>
      <c r="AY259" s="274"/>
      <c r="AZ259" s="222">
        <f t="shared" si="100"/>
        <v>0</v>
      </c>
      <c r="BA259" s="140">
        <f t="shared" si="101"/>
        <v>0</v>
      </c>
      <c r="BB259" s="132"/>
      <c r="BC259" s="140">
        <f t="shared" si="102"/>
        <v>0</v>
      </c>
      <c r="BD259" s="141"/>
      <c r="BE259" s="141"/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30">
        <f t="shared" si="103"/>
        <v>0</v>
      </c>
      <c r="BR259" s="132"/>
    </row>
    <row r="260" ht="14.25" customHeight="1">
      <c r="A260" s="132"/>
      <c r="B260" s="215">
        <v>46254</v>
      </c>
      <c r="C260" s="133"/>
      <c r="D260" s="136"/>
      <c r="E260" s="135"/>
      <c r="F260" s="135"/>
      <c r="G260" s="147">
        <f t="shared" si="95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96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97"/>
        <v>0</v>
      </c>
      <c r="AH260" s="136"/>
      <c r="AI260" s="136"/>
      <c r="AJ260" s="136"/>
      <c r="AK260" s="105">
        <f t="shared" si="98"/>
        <v>0</v>
      </c>
      <c r="AL260" s="143"/>
      <c r="AM260" s="143"/>
      <c r="AN260" s="143"/>
      <c r="AO260" s="143"/>
      <c r="AP260" s="146"/>
      <c r="AQ260" s="224">
        <f t="shared" si="104"/>
        <v>0</v>
      </c>
      <c r="AR260" s="274"/>
      <c r="AS260" s="126"/>
      <c r="AT260" s="126"/>
      <c r="AU260" s="126"/>
      <c r="AV260" s="274"/>
      <c r="AW260" s="274"/>
      <c r="AX260" s="274"/>
      <c r="AY260" s="274"/>
      <c r="AZ260" s="222">
        <f t="shared" si="100"/>
        <v>0</v>
      </c>
      <c r="BA260" s="140">
        <f t="shared" si="101"/>
        <v>0</v>
      </c>
      <c r="BB260" s="132"/>
      <c r="BC260" s="140">
        <f t="shared" si="102"/>
        <v>0</v>
      </c>
      <c r="BD260" s="141"/>
      <c r="BE260" s="141"/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30">
        <f t="shared" si="103"/>
        <v>0</v>
      </c>
      <c r="BR260" s="132"/>
    </row>
    <row r="261" ht="14.25" customHeight="1">
      <c r="A261" s="132"/>
      <c r="B261" s="215">
        <v>46255</v>
      </c>
      <c r="C261" s="133"/>
      <c r="D261" s="136"/>
      <c r="E261" s="135"/>
      <c r="F261" s="135"/>
      <c r="G261" s="147">
        <f t="shared" si="95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96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97"/>
        <v>0</v>
      </c>
      <c r="AH261" s="136"/>
      <c r="AI261" s="136"/>
      <c r="AJ261" s="136"/>
      <c r="AK261" s="105">
        <f t="shared" si="98"/>
        <v>0</v>
      </c>
      <c r="AL261" s="143"/>
      <c r="AM261" s="143"/>
      <c r="AN261" s="143"/>
      <c r="AO261" s="143"/>
      <c r="AP261" s="146"/>
      <c r="AQ261" s="224">
        <f t="shared" si="104"/>
        <v>0</v>
      </c>
      <c r="AR261" s="274"/>
      <c r="AS261" s="126"/>
      <c r="AT261" s="126"/>
      <c r="AU261" s="126"/>
      <c r="AV261" s="274"/>
      <c r="AW261" s="274"/>
      <c r="AX261" s="274"/>
      <c r="AY261" s="274"/>
      <c r="AZ261" s="222">
        <f t="shared" si="100"/>
        <v>0</v>
      </c>
      <c r="BA261" s="140">
        <f t="shared" si="101"/>
        <v>0</v>
      </c>
      <c r="BB261" s="132"/>
      <c r="BC261" s="140">
        <f t="shared" si="102"/>
        <v>0</v>
      </c>
      <c r="BD261" s="141"/>
      <c r="BE261" s="141"/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30">
        <f t="shared" si="103"/>
        <v>0</v>
      </c>
      <c r="BR261" s="132"/>
    </row>
    <row r="262" ht="14.25" customHeight="1">
      <c r="A262" s="132"/>
      <c r="B262" s="215">
        <v>46256</v>
      </c>
      <c r="C262" s="133"/>
      <c r="D262" s="136"/>
      <c r="E262" s="135"/>
      <c r="F262" s="135"/>
      <c r="G262" s="147">
        <f t="shared" si="95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96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97"/>
        <v>0</v>
      </c>
      <c r="AH262" s="136"/>
      <c r="AI262" s="136"/>
      <c r="AJ262" s="136"/>
      <c r="AK262" s="105">
        <f t="shared" si="98"/>
        <v>0</v>
      </c>
      <c r="AL262" s="143"/>
      <c r="AM262" s="143"/>
      <c r="AN262" s="143"/>
      <c r="AO262" s="143"/>
      <c r="AP262" s="146"/>
      <c r="AQ262" s="224">
        <f t="shared" si="104"/>
        <v>0</v>
      </c>
      <c r="AR262" s="274"/>
      <c r="AS262" s="126"/>
      <c r="AT262" s="126"/>
      <c r="AU262" s="126"/>
      <c r="AV262" s="274"/>
      <c r="AW262" s="274"/>
      <c r="AX262" s="274"/>
      <c r="AY262" s="274"/>
      <c r="AZ262" s="222">
        <f t="shared" si="100"/>
        <v>0</v>
      </c>
      <c r="BA262" s="140">
        <f t="shared" si="101"/>
        <v>0</v>
      </c>
      <c r="BB262" s="132"/>
      <c r="BC262" s="140">
        <f t="shared" si="102"/>
        <v>0</v>
      </c>
      <c r="BD262" s="141"/>
      <c r="BE262" s="141"/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30">
        <f t="shared" si="103"/>
        <v>0</v>
      </c>
      <c r="BR262" s="132"/>
    </row>
    <row r="263" ht="14.25" customHeight="1">
      <c r="A263" s="132"/>
      <c r="B263" s="215">
        <v>46257</v>
      </c>
      <c r="C263" s="133"/>
      <c r="D263" s="136"/>
      <c r="E263" s="135"/>
      <c r="F263" s="135"/>
      <c r="G263" s="147">
        <f t="shared" si="95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96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97"/>
        <v>0</v>
      </c>
      <c r="AH263" s="136"/>
      <c r="AI263" s="136"/>
      <c r="AJ263" s="136"/>
      <c r="AK263" s="105">
        <f t="shared" si="98"/>
        <v>0</v>
      </c>
      <c r="AL263" s="143"/>
      <c r="AM263" s="143"/>
      <c r="AN263" s="143"/>
      <c r="AO263" s="143"/>
      <c r="AP263" s="146"/>
      <c r="AQ263" s="224">
        <f t="shared" si="104"/>
        <v>0</v>
      </c>
      <c r="AR263" s="274"/>
      <c r="AS263" s="126"/>
      <c r="AT263" s="126"/>
      <c r="AU263" s="126"/>
      <c r="AV263" s="274"/>
      <c r="AW263" s="274"/>
      <c r="AX263" s="274"/>
      <c r="AY263" s="274"/>
      <c r="AZ263" s="222">
        <f t="shared" si="100"/>
        <v>0</v>
      </c>
      <c r="BA263" s="140">
        <f t="shared" si="101"/>
        <v>0</v>
      </c>
      <c r="BB263" s="132"/>
      <c r="BC263" s="140">
        <f t="shared" si="102"/>
        <v>0</v>
      </c>
      <c r="BD263" s="141"/>
      <c r="BE263" s="141"/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30">
        <f t="shared" si="103"/>
        <v>0</v>
      </c>
      <c r="BR263" s="132"/>
    </row>
    <row r="264" ht="14.25" customHeight="1">
      <c r="A264" s="132"/>
      <c r="B264" s="215">
        <v>46258</v>
      </c>
      <c r="C264" s="133"/>
      <c r="D264" s="136"/>
      <c r="E264" s="135"/>
      <c r="F264" s="135"/>
      <c r="G264" s="147">
        <f t="shared" si="95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96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97"/>
        <v>0</v>
      </c>
      <c r="AH264" s="136"/>
      <c r="AI264" s="136"/>
      <c r="AJ264" s="136"/>
      <c r="AK264" s="105">
        <f t="shared" si="98"/>
        <v>0</v>
      </c>
      <c r="AL264" s="143"/>
      <c r="AM264" s="143"/>
      <c r="AN264" s="143"/>
      <c r="AO264" s="143"/>
      <c r="AP264" s="146"/>
      <c r="AQ264" s="224">
        <f t="shared" si="104"/>
        <v>0</v>
      </c>
      <c r="AR264" s="274"/>
      <c r="AS264" s="126"/>
      <c r="AT264" s="126"/>
      <c r="AU264" s="126"/>
      <c r="AV264" s="274"/>
      <c r="AW264" s="274"/>
      <c r="AX264" s="274"/>
      <c r="AY264" s="274"/>
      <c r="AZ264" s="222">
        <f t="shared" si="100"/>
        <v>0</v>
      </c>
      <c r="BA264" s="140">
        <f t="shared" si="101"/>
        <v>0</v>
      </c>
      <c r="BB264" s="132"/>
      <c r="BC264" s="140">
        <f t="shared" si="102"/>
        <v>0</v>
      </c>
      <c r="BD264" s="141"/>
      <c r="BE264" s="141"/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30">
        <f t="shared" si="103"/>
        <v>0</v>
      </c>
      <c r="BR264" s="132"/>
    </row>
    <row r="265" ht="14.25" customHeight="1">
      <c r="A265" s="132"/>
      <c r="B265" s="215">
        <v>46259</v>
      </c>
      <c r="C265" s="133"/>
      <c r="D265" s="136"/>
      <c r="E265" s="135"/>
      <c r="F265" s="135"/>
      <c r="G265" s="147">
        <f t="shared" si="95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96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97"/>
        <v>0</v>
      </c>
      <c r="AH265" s="136"/>
      <c r="AI265" s="136"/>
      <c r="AJ265" s="136"/>
      <c r="AK265" s="105">
        <f t="shared" si="98"/>
        <v>0</v>
      </c>
      <c r="AL265" s="143"/>
      <c r="AM265" s="143"/>
      <c r="AN265" s="143"/>
      <c r="AO265" s="143"/>
      <c r="AP265" s="146"/>
      <c r="AQ265" s="224">
        <f t="shared" si="104"/>
        <v>0</v>
      </c>
      <c r="AR265" s="274"/>
      <c r="AS265" s="126"/>
      <c r="AT265" s="126"/>
      <c r="AU265" s="126"/>
      <c r="AV265" s="274"/>
      <c r="AW265" s="274"/>
      <c r="AX265" s="274"/>
      <c r="AY265" s="274"/>
      <c r="AZ265" s="222">
        <f t="shared" si="100"/>
        <v>0</v>
      </c>
      <c r="BA265" s="140">
        <f t="shared" si="101"/>
        <v>0</v>
      </c>
      <c r="BB265" s="132"/>
      <c r="BC265" s="140">
        <f t="shared" si="102"/>
        <v>0</v>
      </c>
      <c r="BD265" s="141"/>
      <c r="BE265" s="141"/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30">
        <f t="shared" si="103"/>
        <v>0</v>
      </c>
      <c r="BR265" s="132"/>
    </row>
    <row r="266" ht="14.25" customHeight="1">
      <c r="A266" s="132"/>
      <c r="B266" s="215">
        <v>46260</v>
      </c>
      <c r="C266" s="133"/>
      <c r="D266" s="136"/>
      <c r="E266" s="135"/>
      <c r="F266" s="135"/>
      <c r="G266" s="147">
        <f t="shared" si="95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96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97"/>
        <v>0</v>
      </c>
      <c r="AH266" s="136"/>
      <c r="AI266" s="136"/>
      <c r="AJ266" s="136"/>
      <c r="AK266" s="105">
        <f t="shared" si="98"/>
        <v>0</v>
      </c>
      <c r="AL266" s="143"/>
      <c r="AM266" s="143"/>
      <c r="AN266" s="143"/>
      <c r="AO266" s="143"/>
      <c r="AP266" s="146"/>
      <c r="AQ266" s="224">
        <f t="shared" si="104"/>
        <v>0</v>
      </c>
      <c r="AR266" s="274"/>
      <c r="AS266" s="126"/>
      <c r="AT266" s="126"/>
      <c r="AU266" s="126"/>
      <c r="AV266" s="274"/>
      <c r="AW266" s="274"/>
      <c r="AX266" s="274"/>
      <c r="AY266" s="274"/>
      <c r="AZ266" s="222">
        <f t="shared" si="100"/>
        <v>0</v>
      </c>
      <c r="BA266" s="140">
        <f t="shared" si="101"/>
        <v>0</v>
      </c>
      <c r="BB266" s="132"/>
      <c r="BC266" s="140">
        <f t="shared" si="102"/>
        <v>0</v>
      </c>
      <c r="BD266" s="141"/>
      <c r="BE266" s="141"/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30">
        <f t="shared" si="103"/>
        <v>0</v>
      </c>
      <c r="BR266" s="132"/>
    </row>
    <row r="267" ht="14.25" customHeight="1">
      <c r="A267" s="132"/>
      <c r="B267" s="215">
        <v>46261</v>
      </c>
      <c r="C267" s="133"/>
      <c r="D267" s="136"/>
      <c r="E267" s="135"/>
      <c r="F267" s="135"/>
      <c r="G267" s="147">
        <f t="shared" si="95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96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97"/>
        <v>0</v>
      </c>
      <c r="AH267" s="136"/>
      <c r="AI267" s="136"/>
      <c r="AJ267" s="136"/>
      <c r="AK267" s="105">
        <f t="shared" si="98"/>
        <v>0</v>
      </c>
      <c r="AL267" s="143"/>
      <c r="AM267" s="143"/>
      <c r="AN267" s="143"/>
      <c r="AO267" s="143"/>
      <c r="AP267" s="146"/>
      <c r="AQ267" s="224">
        <f t="shared" si="104"/>
        <v>0</v>
      </c>
      <c r="AR267" s="274"/>
      <c r="AS267" s="126"/>
      <c r="AT267" s="126"/>
      <c r="AU267" s="126"/>
      <c r="AV267" s="274"/>
      <c r="AW267" s="274"/>
      <c r="AX267" s="274"/>
      <c r="AY267" s="274"/>
      <c r="AZ267" s="222">
        <f t="shared" si="100"/>
        <v>0</v>
      </c>
      <c r="BA267" s="140">
        <f t="shared" si="101"/>
        <v>0</v>
      </c>
      <c r="BB267" s="132"/>
      <c r="BC267" s="140">
        <f t="shared" si="102"/>
        <v>0</v>
      </c>
      <c r="BD267" s="141"/>
      <c r="BE267" s="141"/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30">
        <f t="shared" si="103"/>
        <v>0</v>
      </c>
      <c r="BR267" s="132"/>
    </row>
    <row r="268" ht="14.25" customHeight="1">
      <c r="A268" s="132"/>
      <c r="B268" s="215">
        <v>46262</v>
      </c>
      <c r="C268" s="133"/>
      <c r="D268" s="136"/>
      <c r="E268" s="135"/>
      <c r="F268" s="135"/>
      <c r="G268" s="147">
        <f t="shared" si="95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96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97"/>
        <v>0</v>
      </c>
      <c r="AH268" s="136"/>
      <c r="AI268" s="136"/>
      <c r="AJ268" s="136"/>
      <c r="AK268" s="105">
        <f t="shared" si="98"/>
        <v>0</v>
      </c>
      <c r="AL268" s="143"/>
      <c r="AM268" s="143"/>
      <c r="AN268" s="143"/>
      <c r="AO268" s="143"/>
      <c r="AP268" s="146"/>
      <c r="AQ268" s="224">
        <f t="shared" si="104"/>
        <v>0</v>
      </c>
      <c r="AR268" s="274"/>
      <c r="AS268" s="126"/>
      <c r="AT268" s="126"/>
      <c r="AU268" s="126"/>
      <c r="AV268" s="274"/>
      <c r="AW268" s="274"/>
      <c r="AX268" s="274"/>
      <c r="AY268" s="274"/>
      <c r="AZ268" s="222">
        <f t="shared" si="100"/>
        <v>0</v>
      </c>
      <c r="BA268" s="140">
        <f t="shared" si="101"/>
        <v>0</v>
      </c>
      <c r="BB268" s="132"/>
      <c r="BC268" s="140">
        <f t="shared" si="102"/>
        <v>0</v>
      </c>
      <c r="BD268" s="141"/>
      <c r="BE268" s="141"/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30">
        <f t="shared" si="103"/>
        <v>0</v>
      </c>
      <c r="BR268" s="132"/>
    </row>
    <row r="269" ht="14.25" customHeight="1">
      <c r="A269" s="132"/>
      <c r="B269" s="215">
        <v>46263</v>
      </c>
      <c r="C269" s="133"/>
      <c r="D269" s="136"/>
      <c r="E269" s="135"/>
      <c r="F269" s="135"/>
      <c r="G269" s="147">
        <f t="shared" si="95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96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97"/>
        <v>0</v>
      </c>
      <c r="AH269" s="136"/>
      <c r="AI269" s="136"/>
      <c r="AJ269" s="136"/>
      <c r="AK269" s="105">
        <f t="shared" si="98"/>
        <v>0</v>
      </c>
      <c r="AL269" s="143"/>
      <c r="AM269" s="143"/>
      <c r="AN269" s="143"/>
      <c r="AO269" s="143"/>
      <c r="AP269" s="146"/>
      <c r="AQ269" s="224">
        <f t="shared" si="104"/>
        <v>0</v>
      </c>
      <c r="AR269" s="274"/>
      <c r="AS269" s="126"/>
      <c r="AT269" s="126"/>
      <c r="AU269" s="126"/>
      <c r="AV269" s="274"/>
      <c r="AW269" s="274"/>
      <c r="AX269" s="274"/>
      <c r="AY269" s="274"/>
      <c r="AZ269" s="222">
        <f t="shared" si="100"/>
        <v>0</v>
      </c>
      <c r="BA269" s="140">
        <f t="shared" si="101"/>
        <v>0</v>
      </c>
      <c r="BB269" s="132"/>
      <c r="BC269" s="140">
        <f t="shared" si="102"/>
        <v>0</v>
      </c>
      <c r="BD269" s="141"/>
      <c r="BE269" s="141"/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30">
        <f t="shared" si="103"/>
        <v>0</v>
      </c>
      <c r="BR269" s="132"/>
    </row>
    <row r="270" ht="14.25" customHeight="1">
      <c r="A270" s="132"/>
      <c r="B270" s="215">
        <v>46264</v>
      </c>
      <c r="C270" s="133"/>
      <c r="D270" s="136"/>
      <c r="E270" s="135"/>
      <c r="F270" s="135"/>
      <c r="G270" s="147">
        <f t="shared" si="95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96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97"/>
        <v>0</v>
      </c>
      <c r="AH270" s="136"/>
      <c r="AI270" s="136"/>
      <c r="AJ270" s="136"/>
      <c r="AK270" s="105">
        <f t="shared" si="98"/>
        <v>0</v>
      </c>
      <c r="AL270" s="143"/>
      <c r="AM270" s="143"/>
      <c r="AN270" s="143"/>
      <c r="AO270" s="143"/>
      <c r="AP270" s="146"/>
      <c r="AQ270" s="224">
        <f t="shared" si="104"/>
        <v>0</v>
      </c>
      <c r="AR270" s="274"/>
      <c r="AS270" s="126"/>
      <c r="AT270" s="126"/>
      <c r="AU270" s="126"/>
      <c r="AV270" s="274"/>
      <c r="AW270" s="274"/>
      <c r="AX270" s="274"/>
      <c r="AY270" s="274"/>
      <c r="AZ270" s="222">
        <f t="shared" si="100"/>
        <v>0</v>
      </c>
      <c r="BA270" s="140">
        <f t="shared" si="101"/>
        <v>0</v>
      </c>
      <c r="BB270" s="132"/>
      <c r="BC270" s="140">
        <f t="shared" si="102"/>
        <v>0</v>
      </c>
      <c r="BD270" s="141"/>
      <c r="BE270" s="141"/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30">
        <f t="shared" si="103"/>
        <v>0</v>
      </c>
      <c r="BR270" s="132"/>
    </row>
    <row r="271" ht="14.25" customHeight="1">
      <c r="A271" s="132"/>
      <c r="B271" s="215">
        <v>46265</v>
      </c>
      <c r="C271" s="153"/>
      <c r="D271" s="159"/>
      <c r="E271" s="156"/>
      <c r="F271" s="156"/>
      <c r="G271" s="147">
        <f t="shared" si="95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96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97"/>
        <v>0</v>
      </c>
      <c r="AH271" s="159"/>
      <c r="AI271" s="159"/>
      <c r="AJ271" s="159"/>
      <c r="AK271" s="105">
        <f t="shared" si="98"/>
        <v>0</v>
      </c>
      <c r="AL271" s="157"/>
      <c r="AM271" s="157"/>
      <c r="AN271" s="157"/>
      <c r="AO271" s="157"/>
      <c r="AP271" s="160"/>
      <c r="AQ271" s="224">
        <f t="shared" si="104"/>
        <v>0</v>
      </c>
      <c r="AR271" s="296"/>
      <c r="AS271" s="138"/>
      <c r="AT271" s="138"/>
      <c r="AU271" s="138"/>
      <c r="AV271" s="296"/>
      <c r="AW271" s="296"/>
      <c r="AX271" s="296"/>
      <c r="AY271" s="296"/>
      <c r="AZ271" s="222">
        <f t="shared" si="100"/>
        <v>0</v>
      </c>
      <c r="BA271" s="162">
        <f t="shared" si="101"/>
        <v>0</v>
      </c>
      <c r="BB271" s="132"/>
      <c r="BC271" s="162">
        <f t="shared" si="102"/>
        <v>0</v>
      </c>
      <c r="BD271" s="163"/>
      <c r="BE271" s="163"/>
      <c r="BF271" s="163"/>
      <c r="BG271" s="163"/>
      <c r="BH271" s="163"/>
      <c r="BI271" s="163"/>
      <c r="BJ271" s="163"/>
      <c r="BK271" s="163"/>
      <c r="BL271" s="163"/>
      <c r="BM271" s="141"/>
      <c r="BN271" s="163"/>
      <c r="BO271" s="163"/>
      <c r="BP271" s="163"/>
      <c r="BQ271" s="164">
        <f t="shared" si="103"/>
        <v>0</v>
      </c>
      <c r="BR271" s="132"/>
    </row>
    <row r="272" ht="14.25" customHeight="1">
      <c r="A272" s="3"/>
      <c r="B272" s="299"/>
      <c r="C272" s="166">
        <f ref="C272:T272" t="shared" si="105">SUM(C241:C271)</f>
        <v>0</v>
      </c>
      <c r="D272" s="166">
        <f t="shared" si="105"/>
        <v>0</v>
      </c>
      <c r="E272" s="166">
        <f t="shared" si="105"/>
        <v>0</v>
      </c>
      <c r="F272" s="166">
        <f t="shared" si="105"/>
        <v>0</v>
      </c>
      <c r="G272" s="166">
        <f t="shared" si="105"/>
        <v>0</v>
      </c>
      <c r="H272" s="166">
        <f t="shared" si="105"/>
        <v>0</v>
      </c>
      <c r="I272" s="166">
        <f t="shared" si="105"/>
        <v>0</v>
      </c>
      <c r="J272" s="166">
        <f t="shared" si="105"/>
        <v>0</v>
      </c>
      <c r="K272" s="166">
        <f t="shared" si="105"/>
        <v>0</v>
      </c>
      <c r="L272" s="166">
        <f t="shared" si="105"/>
        <v>0</v>
      </c>
      <c r="M272" s="166">
        <f t="shared" si="105"/>
        <v>0</v>
      </c>
      <c r="N272" s="166">
        <f t="shared" si="105"/>
        <v>0</v>
      </c>
      <c r="O272" s="166">
        <f t="shared" si="105"/>
        <v>0</v>
      </c>
      <c r="P272" s="166">
        <f t="shared" si="105"/>
        <v>0</v>
      </c>
      <c r="Q272" s="166">
        <f t="shared" si="105"/>
        <v>0</v>
      </c>
      <c r="R272" s="166">
        <f t="shared" si="105"/>
        <v>0</v>
      </c>
      <c r="S272" s="166">
        <f t="shared" si="105"/>
        <v>0</v>
      </c>
      <c r="T272" s="166">
        <f t="shared" si="105"/>
        <v>0</v>
      </c>
      <c r="U272" s="166"/>
      <c r="V272" s="166">
        <f ref="V272:AI272" t="shared" si="106">SUM(V241:V271)</f>
        <v>0</v>
      </c>
      <c r="W272" s="166">
        <f t="shared" si="106"/>
        <v>0</v>
      </c>
      <c r="X272" s="166">
        <f t="shared" si="106"/>
        <v>0</v>
      </c>
      <c r="Y272" s="166">
        <f t="shared" si="106"/>
        <v>0</v>
      </c>
      <c r="Z272" s="166">
        <f t="shared" si="106"/>
        <v>0</v>
      </c>
      <c r="AA272" s="166">
        <f t="shared" si="106"/>
        <v>0</v>
      </c>
      <c r="AB272" s="166">
        <f t="shared" si="106"/>
        <v>0</v>
      </c>
      <c r="AC272" s="166">
        <f t="shared" si="106"/>
        <v>0</v>
      </c>
      <c r="AD272" s="166">
        <f t="shared" si="106"/>
        <v>0</v>
      </c>
      <c r="AE272" s="166">
        <f t="shared" si="106"/>
        <v>0</v>
      </c>
      <c r="AF272" s="166">
        <f t="shared" si="106"/>
        <v>0</v>
      </c>
      <c r="AG272" s="166">
        <f t="shared" si="106"/>
        <v>0</v>
      </c>
      <c r="AH272" s="166">
        <f t="shared" si="106"/>
        <v>0</v>
      </c>
      <c r="AI272" s="166">
        <f t="shared" si="106"/>
        <v>0</v>
      </c>
      <c r="AJ272" s="166"/>
      <c r="AK272" s="166">
        <f ref="AK272:AM272" t="shared" si="107">SUM(AK241:AK271)</f>
        <v>0</v>
      </c>
      <c r="AL272" s="166">
        <f t="shared" si="107"/>
        <v>0</v>
      </c>
      <c r="AM272" s="166">
        <f t="shared" si="107"/>
        <v>0</v>
      </c>
      <c r="AN272" s="166"/>
      <c r="AO272" s="166"/>
      <c r="AP272" s="166"/>
      <c r="AQ272" s="166">
        <f ref="AQ272:BA272" t="shared" si="108">SUM(AQ241:AQ271)</f>
        <v>0</v>
      </c>
      <c r="AR272" s="166">
        <f t="shared" si="108"/>
        <v>0</v>
      </c>
      <c r="AS272" s="166">
        <f t="shared" si="108"/>
        <v>0</v>
      </c>
      <c r="AT272" s="166">
        <f t="shared" si="108"/>
        <v>0</v>
      </c>
      <c r="AU272" s="166">
        <f t="shared" si="108"/>
        <v>0</v>
      </c>
      <c r="AV272" s="166">
        <f t="shared" si="108"/>
        <v>0</v>
      </c>
      <c r="AW272" s="166">
        <f t="shared" si="108"/>
        <v>0</v>
      </c>
      <c r="AX272" s="166">
        <f t="shared" si="108"/>
        <v>0</v>
      </c>
      <c r="AY272" s="166">
        <f t="shared" si="108"/>
        <v>0</v>
      </c>
      <c r="AZ272" s="166">
        <f t="shared" si="108"/>
        <v>0</v>
      </c>
      <c r="BA272" s="166">
        <f t="shared" si="108"/>
        <v>0</v>
      </c>
      <c r="BB272" s="3"/>
      <c r="BC272" s="172">
        <f>SUM(BC241:BC271)</f>
        <v>0</v>
      </c>
      <c r="BD272" s="165"/>
      <c r="BE272" s="165"/>
      <c r="BF272" s="165"/>
      <c r="BG272" s="165"/>
      <c r="BH272" s="165"/>
      <c r="BI272" s="165"/>
      <c r="BJ272" s="165"/>
      <c r="BK272" s="165"/>
      <c r="BL272" s="165"/>
      <c r="BM272" s="165">
        <f ref="BM272:BQ272" t="shared" si="109">SUM(BM241:BM271)</f>
        <v>0</v>
      </c>
      <c r="BN272" s="165">
        <f t="shared" si="109"/>
        <v>0</v>
      </c>
      <c r="BO272" s="165">
        <f t="shared" si="109"/>
        <v>0</v>
      </c>
      <c r="BP272" s="165">
        <f t="shared" si="109"/>
        <v>0</v>
      </c>
      <c r="BQ272" s="165">
        <f t="shared" si="109"/>
        <v>0</v>
      </c>
      <c r="BR272" s="3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4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132"/>
      <c r="AZ273" s="4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ht="14.25" customHeight="1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4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132"/>
      <c r="AZ274" s="4"/>
      <c r="BA274" s="3"/>
      <c r="BB274" s="3"/>
      <c r="BC274" s="3"/>
      <c r="BD274" s="3"/>
      <c r="BE274" s="3"/>
      <c r="BF274" s="3"/>
      <c r="BG274" s="176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ht="14.25" customHeight="1">
      <c r="A275" s="3"/>
      <c r="B275" s="512">
        <v>46266</v>
      </c>
      <c r="C275" s="94"/>
      <c r="D275" s="104"/>
      <c r="E275" s="97"/>
      <c r="F275" s="97"/>
      <c r="G275" s="265">
        <f ref="G275:G304" t="shared" si="110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03">
        <f ref="T275:T304" t="shared" si="111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ref="AG275:AG304" t="shared" si="112">SUM(U275:AF275)</f>
        <v>0</v>
      </c>
      <c r="AH275" s="104"/>
      <c r="AI275" s="104"/>
      <c r="AJ275" s="104"/>
      <c r="AK275" s="191">
        <f ref="AK275:AK304" t="shared" si="113">SUM(AH275:AJ275)</f>
        <v>0</v>
      </c>
      <c r="AL275" s="186"/>
      <c r="AM275" s="186"/>
      <c r="AN275" s="186"/>
      <c r="AO275" s="186"/>
      <c r="AP275" s="193"/>
      <c r="AQ275" s="219">
        <f ref="AQ275:AQ286" t="shared" si="114">+G275-T275-AG275-AK275-AL275-AN275-AO275-AP275</f>
        <v>0</v>
      </c>
      <c r="AR275" s="286"/>
      <c r="AS275" s="220"/>
      <c r="AT275" s="109"/>
      <c r="AU275" s="109"/>
      <c r="AV275" s="639"/>
      <c r="AW275" s="639"/>
      <c r="AX275" s="639"/>
      <c r="AY275" s="639"/>
      <c r="AZ275" s="678">
        <f ref="AZ275:AZ298" t="shared" si="115">SUM(AR275:AY275)-AX275</f>
        <v>0</v>
      </c>
      <c r="BA275" s="1029">
        <f ref="BA275:BA304" t="shared" si="116">+AQ275-AZ275</f>
        <v>0</v>
      </c>
      <c r="BB275" s="3"/>
      <c r="BC275" s="114">
        <f ref="BC275:BC304" t="shared" si="117">SUM(BD275:BP275)</f>
        <v>0</v>
      </c>
      <c r="BD275" s="115"/>
      <c r="BE275" s="115"/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6">
        <f ref="BQ275:BQ304" t="shared" si="118">+BA275-BC275</f>
        <v>0</v>
      </c>
      <c r="BR275" s="3"/>
    </row>
    <row r="276" ht="14.25" customHeight="1">
      <c r="A276" s="3"/>
      <c r="B276" s="512">
        <v>46267</v>
      </c>
      <c r="C276" s="118"/>
      <c r="D276" s="123"/>
      <c r="E276" s="120"/>
      <c r="F276" s="120"/>
      <c r="G276" s="147">
        <f t="shared" si="110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11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12"/>
        <v>0</v>
      </c>
      <c r="AH276" s="123"/>
      <c r="AI276" s="123"/>
      <c r="AJ276" s="123"/>
      <c r="AK276" s="105">
        <f t="shared" si="113"/>
        <v>0</v>
      </c>
      <c r="AL276" s="143"/>
      <c r="AM276" s="143"/>
      <c r="AN276" s="143"/>
      <c r="AO276" s="143"/>
      <c r="AP276" s="146"/>
      <c r="AQ276" s="224">
        <f t="shared" si="114"/>
        <v>0</v>
      </c>
      <c r="AR276" s="276"/>
      <c r="AS276" s="225"/>
      <c r="AT276" s="126"/>
      <c r="AU276" s="126"/>
      <c r="AV276" s="274"/>
      <c r="AW276" s="274"/>
      <c r="AX276" s="274"/>
      <c r="AY276" s="274"/>
      <c r="AZ276" s="222">
        <f t="shared" si="115"/>
        <v>0</v>
      </c>
      <c r="BA276" s="113">
        <f t="shared" si="116"/>
        <v>0</v>
      </c>
      <c r="BB276" s="3"/>
      <c r="BC276" s="113">
        <f t="shared" si="117"/>
        <v>0</v>
      </c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30">
        <f t="shared" si="118"/>
        <v>0</v>
      </c>
      <c r="BR276" s="3"/>
    </row>
    <row r="277" ht="14.25" customHeight="1">
      <c r="A277" s="3"/>
      <c r="B277" s="512">
        <v>46268</v>
      </c>
      <c r="C277" s="118"/>
      <c r="D277" s="123"/>
      <c r="E277" s="120"/>
      <c r="F277" s="120"/>
      <c r="G277" s="147">
        <f t="shared" si="110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11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12"/>
        <v>0</v>
      </c>
      <c r="AH277" s="123"/>
      <c r="AI277" s="123"/>
      <c r="AJ277" s="123"/>
      <c r="AK277" s="105">
        <f t="shared" si="113"/>
        <v>0</v>
      </c>
      <c r="AL277" s="143"/>
      <c r="AM277" s="143"/>
      <c r="AN277" s="143"/>
      <c r="AO277" s="143"/>
      <c r="AP277" s="146"/>
      <c r="AQ277" s="224">
        <f t="shared" si="114"/>
        <v>0</v>
      </c>
      <c r="AR277" s="276"/>
      <c r="AS277" s="225"/>
      <c r="AT277" s="126"/>
      <c r="AU277" s="126"/>
      <c r="AV277" s="274"/>
      <c r="AW277" s="274"/>
      <c r="AX277" s="274"/>
      <c r="AY277" s="274"/>
      <c r="AZ277" s="222">
        <f t="shared" si="115"/>
        <v>0</v>
      </c>
      <c r="BA277" s="113">
        <f t="shared" si="116"/>
        <v>0</v>
      </c>
      <c r="BB277" s="3"/>
      <c r="BC277" s="113">
        <f t="shared" si="117"/>
        <v>0</v>
      </c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30">
        <f t="shared" si="118"/>
        <v>0</v>
      </c>
      <c r="BR277" s="3"/>
    </row>
    <row r="278" ht="14.25" customHeight="1">
      <c r="A278" s="3"/>
      <c r="B278" s="512">
        <v>46269</v>
      </c>
      <c r="C278" s="118"/>
      <c r="D278" s="123"/>
      <c r="E278" s="120"/>
      <c r="F278" s="120"/>
      <c r="G278" s="147">
        <f t="shared" si="110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11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12"/>
        <v>0</v>
      </c>
      <c r="AH278" s="123"/>
      <c r="AI278" s="123"/>
      <c r="AJ278" s="123"/>
      <c r="AK278" s="105">
        <f t="shared" si="113"/>
        <v>0</v>
      </c>
      <c r="AL278" s="143"/>
      <c r="AM278" s="143"/>
      <c r="AN278" s="143"/>
      <c r="AO278" s="143"/>
      <c r="AP278" s="146"/>
      <c r="AQ278" s="224">
        <f t="shared" si="114"/>
        <v>0</v>
      </c>
      <c r="AR278" s="276"/>
      <c r="AS278" s="225"/>
      <c r="AT278" s="126"/>
      <c r="AU278" s="126"/>
      <c r="AV278" s="274"/>
      <c r="AW278" s="274"/>
      <c r="AX278" s="274"/>
      <c r="AY278" s="274"/>
      <c r="AZ278" s="222">
        <f t="shared" si="115"/>
        <v>0</v>
      </c>
      <c r="BA278" s="113">
        <f t="shared" si="116"/>
        <v>0</v>
      </c>
      <c r="BB278" s="3"/>
      <c r="BC278" s="113">
        <f t="shared" si="117"/>
        <v>0</v>
      </c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30">
        <f t="shared" si="118"/>
        <v>0</v>
      </c>
      <c r="BR278" s="3"/>
    </row>
    <row r="279" ht="14.25" customHeight="1">
      <c r="A279" s="3"/>
      <c r="B279" s="512">
        <v>46270</v>
      </c>
      <c r="C279" s="118"/>
      <c r="D279" s="123"/>
      <c r="E279" s="120"/>
      <c r="F279" s="120"/>
      <c r="G279" s="147">
        <f t="shared" si="110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11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12"/>
        <v>0</v>
      </c>
      <c r="AH279" s="123"/>
      <c r="AI279" s="123"/>
      <c r="AJ279" s="123"/>
      <c r="AK279" s="105">
        <f t="shared" si="113"/>
        <v>0</v>
      </c>
      <c r="AL279" s="143"/>
      <c r="AM279" s="143"/>
      <c r="AN279" s="143"/>
      <c r="AO279" s="143"/>
      <c r="AP279" s="146"/>
      <c r="AQ279" s="224">
        <f t="shared" si="114"/>
        <v>0</v>
      </c>
      <c r="AR279" s="276"/>
      <c r="AS279" s="225"/>
      <c r="AT279" s="126"/>
      <c r="AU279" s="126"/>
      <c r="AV279" s="274"/>
      <c r="AW279" s="274"/>
      <c r="AX279" s="274"/>
      <c r="AY279" s="274"/>
      <c r="AZ279" s="222">
        <f t="shared" si="115"/>
        <v>0</v>
      </c>
      <c r="BA279" s="113">
        <f t="shared" si="116"/>
        <v>0</v>
      </c>
      <c r="BB279" s="3"/>
      <c r="BC279" s="113">
        <f t="shared" si="117"/>
        <v>0</v>
      </c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30">
        <f t="shared" si="118"/>
        <v>0</v>
      </c>
      <c r="BR279" s="3"/>
    </row>
    <row r="280" ht="14.25" customHeight="1">
      <c r="A280" s="3"/>
      <c r="B280" s="512">
        <v>46271</v>
      </c>
      <c r="C280" s="118"/>
      <c r="D280" s="123"/>
      <c r="E280" s="120"/>
      <c r="F280" s="120"/>
      <c r="G280" s="147">
        <f t="shared" si="110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11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12"/>
        <v>0</v>
      </c>
      <c r="AH280" s="123"/>
      <c r="AI280" s="123"/>
      <c r="AJ280" s="123"/>
      <c r="AK280" s="105">
        <f t="shared" si="113"/>
        <v>0</v>
      </c>
      <c r="AL280" s="143"/>
      <c r="AM280" s="143"/>
      <c r="AN280" s="143"/>
      <c r="AO280" s="143"/>
      <c r="AP280" s="146"/>
      <c r="AQ280" s="224">
        <f t="shared" si="114"/>
        <v>0</v>
      </c>
      <c r="AR280" s="276"/>
      <c r="AS280" s="225"/>
      <c r="AT280" s="126"/>
      <c r="AU280" s="126"/>
      <c r="AV280" s="274"/>
      <c r="AW280" s="274"/>
      <c r="AX280" s="274"/>
      <c r="AY280" s="274"/>
      <c r="AZ280" s="222">
        <f t="shared" si="115"/>
        <v>0</v>
      </c>
      <c r="BA280" s="113">
        <f t="shared" si="116"/>
        <v>0</v>
      </c>
      <c r="BB280" s="3"/>
      <c r="BC280" s="113">
        <f t="shared" si="117"/>
        <v>0</v>
      </c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30">
        <f t="shared" si="118"/>
        <v>0</v>
      </c>
      <c r="BR280" s="3"/>
    </row>
    <row r="281" ht="14.25" customHeight="1">
      <c r="A281" s="3"/>
      <c r="B281" s="512">
        <v>46272</v>
      </c>
      <c r="C281" s="118"/>
      <c r="D281" s="123"/>
      <c r="E281" s="120"/>
      <c r="F281" s="120"/>
      <c r="G281" s="147">
        <f t="shared" si="110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11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12"/>
        <v>0</v>
      </c>
      <c r="AH281" s="123"/>
      <c r="AI281" s="123"/>
      <c r="AJ281" s="123"/>
      <c r="AK281" s="105">
        <f t="shared" si="113"/>
        <v>0</v>
      </c>
      <c r="AL281" s="143"/>
      <c r="AM281" s="143"/>
      <c r="AN281" s="143"/>
      <c r="AO281" s="143"/>
      <c r="AP281" s="146"/>
      <c r="AQ281" s="224">
        <f t="shared" si="114"/>
        <v>0</v>
      </c>
      <c r="AR281" s="276"/>
      <c r="AS281" s="225"/>
      <c r="AT281" s="126"/>
      <c r="AU281" s="126"/>
      <c r="AV281" s="274"/>
      <c r="AW281" s="274"/>
      <c r="AX281" s="274"/>
      <c r="AY281" s="274"/>
      <c r="AZ281" s="222">
        <f t="shared" si="115"/>
        <v>0</v>
      </c>
      <c r="BA281" s="113">
        <f t="shared" si="116"/>
        <v>0</v>
      </c>
      <c r="BB281" s="3"/>
      <c r="BC281" s="113">
        <f t="shared" si="117"/>
        <v>0</v>
      </c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30">
        <f t="shared" si="118"/>
        <v>0</v>
      </c>
      <c r="BR281" s="3"/>
    </row>
    <row r="282" ht="14.25" customHeight="1">
      <c r="A282" s="3"/>
      <c r="B282" s="512">
        <v>46273</v>
      </c>
      <c r="C282" s="118"/>
      <c r="D282" s="123"/>
      <c r="E282" s="120"/>
      <c r="F282" s="120"/>
      <c r="G282" s="147">
        <f t="shared" si="110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11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12"/>
        <v>0</v>
      </c>
      <c r="AH282" s="123"/>
      <c r="AI282" s="123"/>
      <c r="AJ282" s="123"/>
      <c r="AK282" s="105">
        <f t="shared" si="113"/>
        <v>0</v>
      </c>
      <c r="AL282" s="143"/>
      <c r="AM282" s="143"/>
      <c r="AN282" s="143"/>
      <c r="AO282" s="143"/>
      <c r="AP282" s="146"/>
      <c r="AQ282" s="224">
        <f t="shared" si="114"/>
        <v>0</v>
      </c>
      <c r="AR282" s="1030"/>
      <c r="AS282" s="1031"/>
      <c r="AT282" s="126"/>
      <c r="AU282" s="126"/>
      <c r="AV282" s="274"/>
      <c r="AW282" s="274"/>
      <c r="AX282" s="274"/>
      <c r="AY282" s="274"/>
      <c r="AZ282" s="222">
        <f t="shared" si="115"/>
        <v>0</v>
      </c>
      <c r="BA282" s="113">
        <f t="shared" si="116"/>
        <v>0</v>
      </c>
      <c r="BB282" s="3"/>
      <c r="BC282" s="113">
        <f t="shared" si="117"/>
        <v>0</v>
      </c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30">
        <f t="shared" si="118"/>
        <v>0</v>
      </c>
      <c r="BR282" s="3"/>
    </row>
    <row r="283" ht="14.25" customHeight="1">
      <c r="A283" s="3"/>
      <c r="B283" s="512">
        <v>46274</v>
      </c>
      <c r="C283" s="118"/>
      <c r="D283" s="123"/>
      <c r="E283" s="120"/>
      <c r="F283" s="120"/>
      <c r="G283" s="147">
        <f t="shared" si="110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11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12"/>
        <v>0</v>
      </c>
      <c r="AH283" s="123"/>
      <c r="AI283" s="123"/>
      <c r="AJ283" s="123"/>
      <c r="AK283" s="105">
        <f t="shared" si="113"/>
        <v>0</v>
      </c>
      <c r="AL283" s="143"/>
      <c r="AM283" s="143"/>
      <c r="AN283" s="143"/>
      <c r="AO283" s="143"/>
      <c r="AP283" s="146"/>
      <c r="AQ283" s="224">
        <f t="shared" si="114"/>
        <v>0</v>
      </c>
      <c r="AR283" s="276"/>
      <c r="AS283" s="225"/>
      <c r="AT283" s="126"/>
      <c r="AU283" s="126"/>
      <c r="AV283" s="274"/>
      <c r="AW283" s="274"/>
      <c r="AX283" s="274"/>
      <c r="AY283" s="274"/>
      <c r="AZ283" s="222">
        <f t="shared" si="115"/>
        <v>0</v>
      </c>
      <c r="BA283" s="113">
        <f t="shared" si="116"/>
        <v>0</v>
      </c>
      <c r="BB283" s="3"/>
      <c r="BC283" s="113">
        <f t="shared" si="117"/>
        <v>0</v>
      </c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30">
        <f t="shared" si="118"/>
        <v>0</v>
      </c>
      <c r="BR283" s="3"/>
    </row>
    <row r="284" ht="14.25" customHeight="1">
      <c r="A284" s="3"/>
      <c r="B284" s="512">
        <v>46275</v>
      </c>
      <c r="C284" s="118"/>
      <c r="D284" s="123"/>
      <c r="E284" s="120"/>
      <c r="F284" s="120"/>
      <c r="G284" s="147">
        <f t="shared" si="110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11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12"/>
        <v>0</v>
      </c>
      <c r="AH284" s="123"/>
      <c r="AI284" s="123"/>
      <c r="AJ284" s="123"/>
      <c r="AK284" s="105">
        <f t="shared" si="113"/>
        <v>0</v>
      </c>
      <c r="AL284" s="143"/>
      <c r="AM284" s="143"/>
      <c r="AN284" s="143"/>
      <c r="AO284" s="143"/>
      <c r="AP284" s="146"/>
      <c r="AQ284" s="224">
        <f t="shared" si="114"/>
        <v>0</v>
      </c>
      <c r="AR284" s="276"/>
      <c r="AS284" s="225"/>
      <c r="AT284" s="126"/>
      <c r="AU284" s="126"/>
      <c r="AV284" s="274"/>
      <c r="AW284" s="274"/>
      <c r="AX284" s="274"/>
      <c r="AY284" s="274"/>
      <c r="AZ284" s="222">
        <f t="shared" si="115"/>
        <v>0</v>
      </c>
      <c r="BA284" s="113">
        <f t="shared" si="116"/>
        <v>0</v>
      </c>
      <c r="BB284" s="3"/>
      <c r="BC284" s="113">
        <f t="shared" si="117"/>
        <v>0</v>
      </c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30">
        <f t="shared" si="118"/>
        <v>0</v>
      </c>
      <c r="BR284" s="3"/>
    </row>
    <row r="285" ht="14.25" customHeight="1">
      <c r="A285" s="3"/>
      <c r="B285" s="512">
        <v>46276</v>
      </c>
      <c r="C285" s="118"/>
      <c r="D285" s="123"/>
      <c r="E285" s="120"/>
      <c r="F285" s="120"/>
      <c r="G285" s="147">
        <f t="shared" si="110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11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12"/>
        <v>0</v>
      </c>
      <c r="AH285" s="123"/>
      <c r="AI285" s="123"/>
      <c r="AJ285" s="123"/>
      <c r="AK285" s="105">
        <f t="shared" si="113"/>
        <v>0</v>
      </c>
      <c r="AL285" s="143"/>
      <c r="AM285" s="143"/>
      <c r="AN285" s="143"/>
      <c r="AO285" s="143"/>
      <c r="AP285" s="146"/>
      <c r="AQ285" s="224">
        <f t="shared" si="114"/>
        <v>0</v>
      </c>
      <c r="AR285" s="276"/>
      <c r="AS285" s="225"/>
      <c r="AT285" s="126"/>
      <c r="AU285" s="126"/>
      <c r="AV285" s="274"/>
      <c r="AW285" s="274"/>
      <c r="AX285" s="274"/>
      <c r="AY285" s="274"/>
      <c r="AZ285" s="222">
        <f t="shared" si="115"/>
        <v>0</v>
      </c>
      <c r="BA285" s="113">
        <f t="shared" si="116"/>
        <v>0</v>
      </c>
      <c r="BB285" s="3"/>
      <c r="BC285" s="113">
        <f t="shared" si="117"/>
        <v>0</v>
      </c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30">
        <f t="shared" si="118"/>
        <v>0</v>
      </c>
      <c r="BR285" s="3"/>
    </row>
    <row r="286" ht="14.25" customHeight="1">
      <c r="A286" s="132"/>
      <c r="B286" s="512">
        <v>46277</v>
      </c>
      <c r="C286" s="133"/>
      <c r="D286" s="136"/>
      <c r="E286" s="135"/>
      <c r="F286" s="135"/>
      <c r="G286" s="147">
        <f t="shared" si="110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11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12"/>
        <v>0</v>
      </c>
      <c r="AH286" s="136"/>
      <c r="AI286" s="136"/>
      <c r="AJ286" s="136"/>
      <c r="AK286" s="105">
        <f t="shared" si="113"/>
        <v>0</v>
      </c>
      <c r="AL286" s="143"/>
      <c r="AM286" s="143"/>
      <c r="AN286" s="143"/>
      <c r="AO286" s="143"/>
      <c r="AP286" s="146"/>
      <c r="AQ286" s="224">
        <f t="shared" si="114"/>
        <v>0</v>
      </c>
      <c r="AR286" s="276"/>
      <c r="AS286" s="225"/>
      <c r="AT286" s="126"/>
      <c r="AU286" s="126"/>
      <c r="AV286" s="274"/>
      <c r="AW286" s="274"/>
      <c r="AX286" s="274"/>
      <c r="AY286" s="274"/>
      <c r="AZ286" s="222">
        <f t="shared" si="115"/>
        <v>0</v>
      </c>
      <c r="BA286" s="140">
        <f t="shared" si="116"/>
        <v>0</v>
      </c>
      <c r="BB286" s="132"/>
      <c r="BC286" s="140">
        <f t="shared" si="117"/>
        <v>0</v>
      </c>
      <c r="BD286" s="141"/>
      <c r="BE286" s="141"/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30">
        <f t="shared" si="118"/>
        <v>0</v>
      </c>
      <c r="BR286" s="132"/>
    </row>
    <row r="287" ht="14.25" customHeight="1">
      <c r="A287" s="132"/>
      <c r="B287" s="512">
        <v>46278</v>
      </c>
      <c r="C287" s="133"/>
      <c r="D287" s="136"/>
      <c r="E287" s="135"/>
      <c r="F287" s="135"/>
      <c r="G287" s="147">
        <f t="shared" si="110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11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12"/>
        <v>0</v>
      </c>
      <c r="AH287" s="136"/>
      <c r="AI287" s="136"/>
      <c r="AJ287" s="136"/>
      <c r="AK287" s="105">
        <f t="shared" si="113"/>
        <v>0</v>
      </c>
      <c r="AL287" s="1032"/>
      <c r="AM287" s="1033"/>
      <c r="AN287" s="143"/>
      <c r="AO287" s="143"/>
      <c r="AP287" s="146"/>
      <c r="AQ287" s="224">
        <f>+G287-T287-AG287-AK287-AL287-AN287-AO287-AP287-AM287</f>
        <v>0</v>
      </c>
      <c r="AR287" s="276"/>
      <c r="AS287" s="225"/>
      <c r="AT287" s="126"/>
      <c r="AU287" s="126"/>
      <c r="AV287" s="274"/>
      <c r="AW287" s="274"/>
      <c r="AX287" s="274"/>
      <c r="AY287" s="274"/>
      <c r="AZ287" s="222">
        <f t="shared" si="115"/>
        <v>0</v>
      </c>
      <c r="BA287" s="140">
        <f t="shared" si="116"/>
        <v>0</v>
      </c>
      <c r="BB287" s="132"/>
      <c r="BC287" s="140">
        <f t="shared" si="117"/>
        <v>0</v>
      </c>
      <c r="BD287" s="141"/>
      <c r="BE287" s="141"/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30">
        <f t="shared" si="118"/>
        <v>0</v>
      </c>
      <c r="BR287" s="132"/>
    </row>
    <row r="288" ht="14.25" customHeight="1">
      <c r="A288" s="132"/>
      <c r="B288" s="512">
        <v>46279</v>
      </c>
      <c r="C288" s="133"/>
      <c r="D288" s="136"/>
      <c r="E288" s="135"/>
      <c r="F288" s="135"/>
      <c r="G288" s="147">
        <f t="shared" si="110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11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12"/>
        <v>0</v>
      </c>
      <c r="AH288" s="136"/>
      <c r="AI288" s="136"/>
      <c r="AJ288" s="136"/>
      <c r="AK288" s="105">
        <f t="shared" si="113"/>
        <v>0</v>
      </c>
      <c r="AL288" s="143"/>
      <c r="AM288" s="143"/>
      <c r="AN288" s="143"/>
      <c r="AO288" s="143"/>
      <c r="AP288" s="146"/>
      <c r="AQ288" s="224">
        <f ref="AQ288:AQ304" t="shared" si="119">+G288-T288-AG288-AK288-AL288-AN288-AO288-AP288</f>
        <v>0</v>
      </c>
      <c r="AR288" s="276"/>
      <c r="AS288" s="225"/>
      <c r="AT288" s="126"/>
      <c r="AU288" s="126"/>
      <c r="AV288" s="274"/>
      <c r="AW288" s="274"/>
      <c r="AX288" s="274"/>
      <c r="AY288" s="274"/>
      <c r="AZ288" s="222">
        <f t="shared" si="115"/>
        <v>0</v>
      </c>
      <c r="BA288" s="140">
        <f t="shared" si="116"/>
        <v>0</v>
      </c>
      <c r="BB288" s="132"/>
      <c r="BC288" s="140">
        <f t="shared" si="117"/>
        <v>0</v>
      </c>
      <c r="BD288" s="141"/>
      <c r="BE288" s="141"/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30">
        <f t="shared" si="118"/>
        <v>0</v>
      </c>
      <c r="BR288" s="132"/>
    </row>
    <row r="289" ht="14.25" customHeight="1">
      <c r="A289" s="132"/>
      <c r="B289" s="512">
        <v>46280</v>
      </c>
      <c r="C289" s="133"/>
      <c r="D289" s="136"/>
      <c r="E289" s="135"/>
      <c r="F289" s="135"/>
      <c r="G289" s="147">
        <f t="shared" si="110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11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12"/>
        <v>0</v>
      </c>
      <c r="AH289" s="136"/>
      <c r="AI289" s="136"/>
      <c r="AJ289" s="136"/>
      <c r="AK289" s="105">
        <f t="shared" si="113"/>
        <v>0</v>
      </c>
      <c r="AL289" s="143"/>
      <c r="AM289" s="143"/>
      <c r="AN289" s="143"/>
      <c r="AO289" s="143"/>
      <c r="AP289" s="146"/>
      <c r="AQ289" s="224">
        <f t="shared" si="119"/>
        <v>0</v>
      </c>
      <c r="AR289" s="276"/>
      <c r="AS289" s="225"/>
      <c r="AT289" s="126"/>
      <c r="AU289" s="126"/>
      <c r="AV289" s="274"/>
      <c r="AW289" s="274"/>
      <c r="AX289" s="274"/>
      <c r="AY289" s="274"/>
      <c r="AZ289" s="222">
        <f t="shared" si="115"/>
        <v>0</v>
      </c>
      <c r="BA289" s="140">
        <f t="shared" si="116"/>
        <v>0</v>
      </c>
      <c r="BB289" s="132"/>
      <c r="BC289" s="140">
        <f t="shared" si="117"/>
        <v>0</v>
      </c>
      <c r="BD289" s="141"/>
      <c r="BE289" s="141"/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30">
        <f t="shared" si="118"/>
        <v>0</v>
      </c>
      <c r="BR289" s="132"/>
    </row>
    <row r="290" ht="14.25" customHeight="1">
      <c r="A290" s="132"/>
      <c r="B290" s="512">
        <v>46281</v>
      </c>
      <c r="C290" s="133"/>
      <c r="D290" s="136"/>
      <c r="E290" s="135"/>
      <c r="F290" s="135"/>
      <c r="G290" s="147">
        <f t="shared" si="110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11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12"/>
        <v>0</v>
      </c>
      <c r="AH290" s="136"/>
      <c r="AI290" s="136"/>
      <c r="AJ290" s="136"/>
      <c r="AK290" s="105">
        <f t="shared" si="113"/>
        <v>0</v>
      </c>
      <c r="AL290" s="143"/>
      <c r="AM290" s="143"/>
      <c r="AN290" s="143"/>
      <c r="AO290" s="143"/>
      <c r="AP290" s="146"/>
      <c r="AQ290" s="224">
        <f t="shared" si="119"/>
        <v>0</v>
      </c>
      <c r="AR290" s="276"/>
      <c r="AS290" s="225"/>
      <c r="AT290" s="126"/>
      <c r="AU290" s="126"/>
      <c r="AV290" s="274"/>
      <c r="AW290" s="274"/>
      <c r="AX290" s="274"/>
      <c r="AY290" s="274"/>
      <c r="AZ290" s="222">
        <f t="shared" si="115"/>
        <v>0</v>
      </c>
      <c r="BA290" s="140">
        <f t="shared" si="116"/>
        <v>0</v>
      </c>
      <c r="BB290" s="132"/>
      <c r="BC290" s="140">
        <f t="shared" si="117"/>
        <v>0</v>
      </c>
      <c r="BD290" s="141"/>
      <c r="BE290" s="141"/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30">
        <f t="shared" si="118"/>
        <v>0</v>
      </c>
      <c r="BR290" s="132"/>
    </row>
    <row r="291" ht="14.25" customHeight="1">
      <c r="A291" s="132"/>
      <c r="B291" s="512">
        <v>46282</v>
      </c>
      <c r="C291" s="133"/>
      <c r="D291" s="136"/>
      <c r="E291" s="135"/>
      <c r="F291" s="135"/>
      <c r="G291" s="147">
        <f t="shared" si="110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11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12"/>
        <v>0</v>
      </c>
      <c r="AH291" s="136"/>
      <c r="AI291" s="136"/>
      <c r="AJ291" s="136"/>
      <c r="AK291" s="105">
        <f t="shared" si="113"/>
        <v>0</v>
      </c>
      <c r="AL291" s="143"/>
      <c r="AM291" s="143"/>
      <c r="AN291" s="143"/>
      <c r="AO291" s="143"/>
      <c r="AP291" s="146"/>
      <c r="AQ291" s="224">
        <f t="shared" si="119"/>
        <v>0</v>
      </c>
      <c r="AR291" s="274"/>
      <c r="AS291" s="126"/>
      <c r="AT291" s="126"/>
      <c r="AU291" s="126"/>
      <c r="AV291" s="274"/>
      <c r="AW291" s="274"/>
      <c r="AX291" s="274"/>
      <c r="AY291" s="274"/>
      <c r="AZ291" s="222">
        <f t="shared" si="115"/>
        <v>0</v>
      </c>
      <c r="BA291" s="140">
        <f t="shared" si="116"/>
        <v>0</v>
      </c>
      <c r="BB291" s="132"/>
      <c r="BC291" s="140">
        <f t="shared" si="117"/>
        <v>0</v>
      </c>
      <c r="BD291" s="141"/>
      <c r="BE291" s="141"/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30">
        <f t="shared" si="118"/>
        <v>0</v>
      </c>
      <c r="BR291" s="132"/>
    </row>
    <row r="292" ht="14.25" customHeight="1">
      <c r="A292" s="132"/>
      <c r="B292" s="512">
        <v>46283</v>
      </c>
      <c r="C292" s="133"/>
      <c r="D292" s="136"/>
      <c r="E292" s="135"/>
      <c r="F292" s="135"/>
      <c r="G292" s="147">
        <f t="shared" si="110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11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12"/>
        <v>0</v>
      </c>
      <c r="AH292" s="136"/>
      <c r="AI292" s="136"/>
      <c r="AJ292" s="136"/>
      <c r="AK292" s="105">
        <f t="shared" si="113"/>
        <v>0</v>
      </c>
      <c r="AL292" s="143"/>
      <c r="AM292" s="143"/>
      <c r="AN292" s="143"/>
      <c r="AO292" s="143"/>
      <c r="AP292" s="146"/>
      <c r="AQ292" s="224">
        <f t="shared" si="119"/>
        <v>0</v>
      </c>
      <c r="AR292" s="274"/>
      <c r="AS292" s="126"/>
      <c r="AT292" s="126"/>
      <c r="AU292" s="126"/>
      <c r="AV292" s="274"/>
      <c r="AW292" s="274"/>
      <c r="AX292" s="274"/>
      <c r="AY292" s="274"/>
      <c r="AZ292" s="222">
        <f t="shared" si="115"/>
        <v>0</v>
      </c>
      <c r="BA292" s="140">
        <f t="shared" si="116"/>
        <v>0</v>
      </c>
      <c r="BB292" s="132"/>
      <c r="BC292" s="140">
        <f t="shared" si="117"/>
        <v>0</v>
      </c>
      <c r="BD292" s="141"/>
      <c r="BE292" s="141"/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30">
        <f t="shared" si="118"/>
        <v>0</v>
      </c>
      <c r="BR292" s="132"/>
    </row>
    <row r="293" ht="14.25" customHeight="1">
      <c r="A293" s="132"/>
      <c r="B293" s="512">
        <v>46284</v>
      </c>
      <c r="C293" s="133"/>
      <c r="D293" s="136"/>
      <c r="E293" s="135"/>
      <c r="F293" s="135"/>
      <c r="G293" s="147">
        <f t="shared" si="110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11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12"/>
        <v>0</v>
      </c>
      <c r="AH293" s="136"/>
      <c r="AI293" s="136"/>
      <c r="AJ293" s="136"/>
      <c r="AK293" s="105">
        <f t="shared" si="113"/>
        <v>0</v>
      </c>
      <c r="AL293" s="143"/>
      <c r="AM293" s="143"/>
      <c r="AN293" s="143"/>
      <c r="AO293" s="143"/>
      <c r="AP293" s="146"/>
      <c r="AQ293" s="224">
        <f t="shared" si="119"/>
        <v>0</v>
      </c>
      <c r="AR293" s="274"/>
      <c r="AS293" s="126"/>
      <c r="AT293" s="126"/>
      <c r="AU293" s="126"/>
      <c r="AV293" s="274"/>
      <c r="AW293" s="274"/>
      <c r="AX293" s="274"/>
      <c r="AY293" s="274"/>
      <c r="AZ293" s="222">
        <f t="shared" si="115"/>
        <v>0</v>
      </c>
      <c r="BA293" s="140">
        <f t="shared" si="116"/>
        <v>0</v>
      </c>
      <c r="BB293" s="132"/>
      <c r="BC293" s="140">
        <f t="shared" si="117"/>
        <v>0</v>
      </c>
      <c r="BD293" s="141"/>
      <c r="BE293" s="141"/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30">
        <f t="shared" si="118"/>
        <v>0</v>
      </c>
      <c r="BR293" s="132"/>
    </row>
    <row r="294" ht="14.25" customHeight="1">
      <c r="A294" s="132"/>
      <c r="B294" s="512">
        <v>46285</v>
      </c>
      <c r="C294" s="133"/>
      <c r="D294" s="136"/>
      <c r="E294" s="135"/>
      <c r="F294" s="135"/>
      <c r="G294" s="147">
        <f t="shared" si="110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11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12"/>
        <v>0</v>
      </c>
      <c r="AH294" s="136"/>
      <c r="AI294" s="136"/>
      <c r="AJ294" s="136"/>
      <c r="AK294" s="105">
        <f t="shared" si="113"/>
        <v>0</v>
      </c>
      <c r="AL294" s="143"/>
      <c r="AM294" s="143"/>
      <c r="AN294" s="143"/>
      <c r="AO294" s="143"/>
      <c r="AP294" s="146"/>
      <c r="AQ294" s="224">
        <f t="shared" si="119"/>
        <v>0</v>
      </c>
      <c r="AR294" s="274"/>
      <c r="AS294" s="126"/>
      <c r="AT294" s="126"/>
      <c r="AU294" s="126"/>
      <c r="AV294" s="274"/>
      <c r="AW294" s="274"/>
      <c r="AX294" s="274"/>
      <c r="AY294" s="274"/>
      <c r="AZ294" s="222">
        <f t="shared" si="115"/>
        <v>0</v>
      </c>
      <c r="BA294" s="140">
        <f t="shared" si="116"/>
        <v>0</v>
      </c>
      <c r="BB294" s="132"/>
      <c r="BC294" s="140">
        <f t="shared" si="117"/>
        <v>0</v>
      </c>
      <c r="BD294" s="141"/>
      <c r="BE294" s="141"/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30">
        <f t="shared" si="118"/>
        <v>0</v>
      </c>
      <c r="BR294" s="132"/>
    </row>
    <row r="295" ht="14.25" customHeight="1">
      <c r="A295" s="132"/>
      <c r="B295" s="512">
        <v>46286</v>
      </c>
      <c r="C295" s="133"/>
      <c r="D295" s="136"/>
      <c r="E295" s="135"/>
      <c r="F295" s="135"/>
      <c r="G295" s="147">
        <f t="shared" si="110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11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12"/>
        <v>0</v>
      </c>
      <c r="AH295" s="136"/>
      <c r="AI295" s="136"/>
      <c r="AJ295" s="136"/>
      <c r="AK295" s="105">
        <f t="shared" si="113"/>
        <v>0</v>
      </c>
      <c r="AL295" s="143"/>
      <c r="AM295" s="143"/>
      <c r="AN295" s="143"/>
      <c r="AO295" s="143"/>
      <c r="AP295" s="146"/>
      <c r="AQ295" s="224">
        <f t="shared" si="119"/>
        <v>0</v>
      </c>
      <c r="AR295" s="274"/>
      <c r="AS295" s="126"/>
      <c r="AT295" s="126"/>
      <c r="AU295" s="126"/>
      <c r="AV295" s="274"/>
      <c r="AW295" s="274"/>
      <c r="AX295" s="274"/>
      <c r="AY295" s="274"/>
      <c r="AZ295" s="222">
        <f t="shared" si="115"/>
        <v>0</v>
      </c>
      <c r="BA295" s="140">
        <f t="shared" si="116"/>
        <v>0</v>
      </c>
      <c r="BB295" s="132"/>
      <c r="BC295" s="140">
        <f t="shared" si="117"/>
        <v>0</v>
      </c>
      <c r="BD295" s="141"/>
      <c r="BE295" s="141"/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30">
        <f t="shared" si="118"/>
        <v>0</v>
      </c>
      <c r="BR295" s="132"/>
    </row>
    <row r="296" ht="14.25" customHeight="1">
      <c r="A296" s="132"/>
      <c r="B296" s="512">
        <v>46287</v>
      </c>
      <c r="C296" s="133"/>
      <c r="D296" s="136"/>
      <c r="E296" s="135"/>
      <c r="F296" s="135"/>
      <c r="G296" s="147">
        <f t="shared" si="110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11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12"/>
        <v>0</v>
      </c>
      <c r="AH296" s="136"/>
      <c r="AI296" s="136"/>
      <c r="AJ296" s="136"/>
      <c r="AK296" s="105">
        <f t="shared" si="113"/>
        <v>0</v>
      </c>
      <c r="AL296" s="143"/>
      <c r="AM296" s="143"/>
      <c r="AN296" s="143"/>
      <c r="AO296" s="143"/>
      <c r="AP296" s="146"/>
      <c r="AQ296" s="224">
        <f t="shared" si="119"/>
        <v>0</v>
      </c>
      <c r="AR296" s="274"/>
      <c r="AS296" s="126"/>
      <c r="AT296" s="126"/>
      <c r="AU296" s="126"/>
      <c r="AV296" s="274"/>
      <c r="AW296" s="274"/>
      <c r="AX296" s="274"/>
      <c r="AY296" s="274"/>
      <c r="AZ296" s="222">
        <f t="shared" si="115"/>
        <v>0</v>
      </c>
      <c r="BA296" s="140">
        <f t="shared" si="116"/>
        <v>0</v>
      </c>
      <c r="BB296" s="132"/>
      <c r="BC296" s="140">
        <f t="shared" si="117"/>
        <v>0</v>
      </c>
      <c r="BD296" s="141"/>
      <c r="BE296" s="141"/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30">
        <f t="shared" si="118"/>
        <v>0</v>
      </c>
      <c r="BR296" s="132"/>
    </row>
    <row r="297" ht="14.25" customHeight="1">
      <c r="A297" s="132"/>
      <c r="B297" s="512">
        <v>46288</v>
      </c>
      <c r="C297" s="133"/>
      <c r="D297" s="136"/>
      <c r="E297" s="135"/>
      <c r="F297" s="135"/>
      <c r="G297" s="147">
        <f t="shared" si="110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11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12"/>
        <v>0</v>
      </c>
      <c r="AH297" s="136"/>
      <c r="AI297" s="136"/>
      <c r="AJ297" s="136"/>
      <c r="AK297" s="105">
        <f t="shared" si="113"/>
        <v>0</v>
      </c>
      <c r="AL297" s="143"/>
      <c r="AM297" s="143"/>
      <c r="AN297" s="143"/>
      <c r="AO297" s="143"/>
      <c r="AP297" s="146"/>
      <c r="AQ297" s="224">
        <f t="shared" si="119"/>
        <v>0</v>
      </c>
      <c r="AR297" s="274"/>
      <c r="AS297" s="126"/>
      <c r="AT297" s="126"/>
      <c r="AU297" s="126"/>
      <c r="AV297" s="274"/>
      <c r="AW297" s="274"/>
      <c r="AX297" s="274"/>
      <c r="AY297" s="274"/>
      <c r="AZ297" s="222">
        <f t="shared" si="115"/>
        <v>0</v>
      </c>
      <c r="BA297" s="140">
        <f t="shared" si="116"/>
        <v>0</v>
      </c>
      <c r="BB297" s="132"/>
      <c r="BC297" s="140">
        <f t="shared" si="117"/>
        <v>0</v>
      </c>
      <c r="BD297" s="141"/>
      <c r="BE297" s="141"/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30">
        <f t="shared" si="118"/>
        <v>0</v>
      </c>
      <c r="BR297" s="132"/>
    </row>
    <row r="298" ht="14.25" customHeight="1">
      <c r="A298" s="132"/>
      <c r="B298" s="512">
        <v>46289</v>
      </c>
      <c r="C298" s="133"/>
      <c r="D298" s="136"/>
      <c r="E298" s="135"/>
      <c r="F298" s="135"/>
      <c r="G298" s="147">
        <f t="shared" si="110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11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12"/>
        <v>0</v>
      </c>
      <c r="AH298" s="136"/>
      <c r="AI298" s="136"/>
      <c r="AJ298" s="136"/>
      <c r="AK298" s="105">
        <f t="shared" si="113"/>
        <v>0</v>
      </c>
      <c r="AL298" s="143"/>
      <c r="AM298" s="143"/>
      <c r="AN298" s="143"/>
      <c r="AO298" s="143"/>
      <c r="AP298" s="146"/>
      <c r="AQ298" s="224">
        <f t="shared" si="119"/>
        <v>0</v>
      </c>
      <c r="AR298" s="274"/>
      <c r="AS298" s="126"/>
      <c r="AT298" s="126"/>
      <c r="AU298" s="126"/>
      <c r="AV298" s="274"/>
      <c r="AW298" s="274"/>
      <c r="AX298" s="274"/>
      <c r="AY298" s="274"/>
      <c r="AZ298" s="222">
        <f t="shared" si="115"/>
        <v>0</v>
      </c>
      <c r="BA298" s="140">
        <f t="shared" si="116"/>
        <v>0</v>
      </c>
      <c r="BB298" s="132"/>
      <c r="BC298" s="140">
        <f t="shared" si="117"/>
        <v>0</v>
      </c>
      <c r="BD298" s="141"/>
      <c r="BE298" s="141"/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30">
        <f t="shared" si="118"/>
        <v>0</v>
      </c>
      <c r="BR298" s="132"/>
    </row>
    <row r="299" ht="14.25" customHeight="1">
      <c r="A299" s="132"/>
      <c r="B299" s="512">
        <v>46290</v>
      </c>
      <c r="C299" s="133"/>
      <c r="D299" s="136"/>
      <c r="E299" s="135"/>
      <c r="F299" s="135"/>
      <c r="G299" s="147">
        <f t="shared" si="110"/>
        <v>0</v>
      </c>
      <c r="H299" s="144"/>
      <c r="I299" s="143"/>
      <c r="J299" s="143"/>
      <c r="K299" s="144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11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12"/>
        <v>0</v>
      </c>
      <c r="AH299" s="136"/>
      <c r="AI299" s="136"/>
      <c r="AJ299" s="136"/>
      <c r="AK299" s="105">
        <f t="shared" si="113"/>
        <v>0</v>
      </c>
      <c r="AL299" s="143"/>
      <c r="AM299" s="143"/>
      <c r="AN299" s="143"/>
      <c r="AO299" s="143"/>
      <c r="AP299" s="146"/>
      <c r="AQ299" s="224">
        <f t="shared" si="119"/>
        <v>0</v>
      </c>
      <c r="AR299" s="274"/>
      <c r="AS299" s="126"/>
      <c r="AT299" s="126"/>
      <c r="AU299" s="126"/>
      <c r="AV299" s="274"/>
      <c r="AW299" s="274"/>
      <c r="AX299" s="274"/>
      <c r="AY299" s="274"/>
      <c r="AZ299" s="222">
        <f>SUM(AR299:AY299)</f>
        <v>0</v>
      </c>
      <c r="BA299" s="140">
        <f t="shared" si="116"/>
        <v>0</v>
      </c>
      <c r="BB299" s="132"/>
      <c r="BC299" s="140">
        <f t="shared" si="117"/>
        <v>0</v>
      </c>
      <c r="BD299" s="141"/>
      <c r="BE299" s="141"/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30">
        <f t="shared" si="118"/>
        <v>0</v>
      </c>
      <c r="BR299" s="132"/>
    </row>
    <row r="300" ht="14.25" customHeight="1">
      <c r="A300" s="132"/>
      <c r="B300" s="512">
        <v>46291</v>
      </c>
      <c r="C300" s="133"/>
      <c r="D300" s="136"/>
      <c r="E300" s="135"/>
      <c r="F300" s="135"/>
      <c r="G300" s="147">
        <f t="shared" si="110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11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12"/>
        <v>0</v>
      </c>
      <c r="AH300" s="136"/>
      <c r="AI300" s="136"/>
      <c r="AJ300" s="136"/>
      <c r="AK300" s="105">
        <f t="shared" si="113"/>
        <v>0</v>
      </c>
      <c r="AL300" s="143"/>
      <c r="AM300" s="143"/>
      <c r="AN300" s="143"/>
      <c r="AO300" s="143"/>
      <c r="AP300" s="146"/>
      <c r="AQ300" s="224">
        <f t="shared" si="119"/>
        <v>0</v>
      </c>
      <c r="AR300" s="274"/>
      <c r="AS300" s="126"/>
      <c r="AT300" s="126"/>
      <c r="AU300" s="126"/>
      <c r="AV300" s="274"/>
      <c r="AW300" s="274"/>
      <c r="AX300" s="274"/>
      <c r="AY300" s="274"/>
      <c r="AZ300" s="222">
        <f ref="AZ300:AZ304" t="shared" si="120">SUM(AR300:AY300)-AX300</f>
        <v>0</v>
      </c>
      <c r="BA300" s="140">
        <f t="shared" si="116"/>
        <v>0</v>
      </c>
      <c r="BB300" s="132"/>
      <c r="BC300" s="140">
        <f t="shared" si="117"/>
        <v>0</v>
      </c>
      <c r="BD300" s="141"/>
      <c r="BE300" s="141"/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30">
        <f t="shared" si="118"/>
        <v>0</v>
      </c>
      <c r="BR300" s="132"/>
    </row>
    <row r="301" ht="14.25" customHeight="1">
      <c r="A301" s="132"/>
      <c r="B301" s="512">
        <v>46292</v>
      </c>
      <c r="C301" s="133"/>
      <c r="D301" s="136"/>
      <c r="E301" s="135"/>
      <c r="F301" s="135"/>
      <c r="G301" s="147">
        <f t="shared" si="110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11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12"/>
        <v>0</v>
      </c>
      <c r="AH301" s="136"/>
      <c r="AI301" s="136"/>
      <c r="AJ301" s="136"/>
      <c r="AK301" s="105">
        <f t="shared" si="113"/>
        <v>0</v>
      </c>
      <c r="AL301" s="143"/>
      <c r="AM301" s="143"/>
      <c r="AN301" s="143"/>
      <c r="AO301" s="143"/>
      <c r="AP301" s="146"/>
      <c r="AQ301" s="224">
        <f t="shared" si="119"/>
        <v>0</v>
      </c>
      <c r="AR301" s="274"/>
      <c r="AS301" s="126"/>
      <c r="AT301" s="126"/>
      <c r="AU301" s="126"/>
      <c r="AV301" s="274"/>
      <c r="AW301" s="274"/>
      <c r="AX301" s="274"/>
      <c r="AY301" s="274"/>
      <c r="AZ301" s="222">
        <f t="shared" si="120"/>
        <v>0</v>
      </c>
      <c r="BA301" s="140">
        <f t="shared" si="116"/>
        <v>0</v>
      </c>
      <c r="BB301" s="132"/>
      <c r="BC301" s="140">
        <f t="shared" si="117"/>
        <v>0</v>
      </c>
      <c r="BD301" s="141"/>
      <c r="BE301" s="141"/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30">
        <f t="shared" si="118"/>
        <v>0</v>
      </c>
      <c r="BR301" s="132"/>
    </row>
    <row r="302" ht="14.25" customHeight="1">
      <c r="A302" s="132"/>
      <c r="B302" s="512">
        <v>46293</v>
      </c>
      <c r="C302" s="133"/>
      <c r="D302" s="136"/>
      <c r="E302" s="135"/>
      <c r="F302" s="135"/>
      <c r="G302" s="147">
        <f t="shared" si="110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11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12"/>
        <v>0</v>
      </c>
      <c r="AH302" s="136"/>
      <c r="AI302" s="136"/>
      <c r="AJ302" s="136"/>
      <c r="AK302" s="105">
        <f t="shared" si="113"/>
        <v>0</v>
      </c>
      <c r="AL302" s="143"/>
      <c r="AM302" s="143"/>
      <c r="AN302" s="143"/>
      <c r="AO302" s="143"/>
      <c r="AP302" s="146"/>
      <c r="AQ302" s="224">
        <f t="shared" si="119"/>
        <v>0</v>
      </c>
      <c r="AR302" s="274"/>
      <c r="AS302" s="126"/>
      <c r="AT302" s="126"/>
      <c r="AU302" s="126"/>
      <c r="AV302" s="274"/>
      <c r="AW302" s="274"/>
      <c r="AX302" s="274"/>
      <c r="AY302" s="274"/>
      <c r="AZ302" s="222">
        <f t="shared" si="120"/>
        <v>0</v>
      </c>
      <c r="BA302" s="140">
        <f t="shared" si="116"/>
        <v>0</v>
      </c>
      <c r="BB302" s="132"/>
      <c r="BC302" s="140">
        <f t="shared" si="117"/>
        <v>0</v>
      </c>
      <c r="BD302" s="141"/>
      <c r="BE302" s="141"/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30">
        <f t="shared" si="118"/>
        <v>0</v>
      </c>
      <c r="BR302" s="132"/>
    </row>
    <row r="303" ht="14.25" customHeight="1">
      <c r="A303" s="132"/>
      <c r="B303" s="512">
        <v>46294</v>
      </c>
      <c r="C303" s="133"/>
      <c r="D303" s="136"/>
      <c r="E303" s="135"/>
      <c r="F303" s="135"/>
      <c r="G303" s="147">
        <f t="shared" si="110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11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12"/>
        <v>0</v>
      </c>
      <c r="AH303" s="136"/>
      <c r="AI303" s="136"/>
      <c r="AJ303" s="136"/>
      <c r="AK303" s="105">
        <f t="shared" si="113"/>
        <v>0</v>
      </c>
      <c r="AL303" s="143"/>
      <c r="AM303" s="143"/>
      <c r="AN303" s="143"/>
      <c r="AO303" s="143"/>
      <c r="AP303" s="146"/>
      <c r="AQ303" s="224">
        <f t="shared" si="119"/>
        <v>0</v>
      </c>
      <c r="AR303" s="274"/>
      <c r="AS303" s="126"/>
      <c r="AT303" s="126"/>
      <c r="AU303" s="126"/>
      <c r="AV303" s="274"/>
      <c r="AW303" s="274"/>
      <c r="AX303" s="274"/>
      <c r="AY303" s="274"/>
      <c r="AZ303" s="222">
        <f t="shared" si="120"/>
        <v>0</v>
      </c>
      <c r="BA303" s="140">
        <f t="shared" si="116"/>
        <v>0</v>
      </c>
      <c r="BB303" s="132"/>
      <c r="BC303" s="140">
        <f t="shared" si="117"/>
        <v>0</v>
      </c>
      <c r="BD303" s="141"/>
      <c r="BE303" s="141"/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30">
        <f t="shared" si="118"/>
        <v>0</v>
      </c>
      <c r="BR303" s="132"/>
    </row>
    <row r="304" ht="14.25" customHeight="1">
      <c r="A304" s="132"/>
      <c r="B304" s="512">
        <v>46295</v>
      </c>
      <c r="C304" s="133"/>
      <c r="D304" s="136"/>
      <c r="E304" s="135"/>
      <c r="F304" s="135"/>
      <c r="G304" s="147">
        <f t="shared" si="110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11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12"/>
        <v>0</v>
      </c>
      <c r="AH304" s="136"/>
      <c r="AI304" s="136"/>
      <c r="AJ304" s="136"/>
      <c r="AK304" s="105">
        <f t="shared" si="113"/>
        <v>0</v>
      </c>
      <c r="AL304" s="143"/>
      <c r="AM304" s="143"/>
      <c r="AN304" s="143"/>
      <c r="AO304" s="143"/>
      <c r="AP304" s="146"/>
      <c r="AQ304" s="224">
        <f t="shared" si="119"/>
        <v>0</v>
      </c>
      <c r="AR304" s="296"/>
      <c r="AS304" s="138"/>
      <c r="AT304" s="138"/>
      <c r="AU304" s="138"/>
      <c r="AV304" s="274"/>
      <c r="AW304" s="274"/>
      <c r="AX304" s="274"/>
      <c r="AY304" s="274"/>
      <c r="AZ304" s="222">
        <f t="shared" si="120"/>
        <v>0</v>
      </c>
      <c r="BA304" s="140">
        <f t="shared" si="116"/>
        <v>0</v>
      </c>
      <c r="BB304" s="132"/>
      <c r="BC304" s="140">
        <f t="shared" si="117"/>
        <v>0</v>
      </c>
      <c r="BD304" s="141"/>
      <c r="BE304" s="141"/>
      <c r="BF304" s="1034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30">
        <f t="shared" si="118"/>
        <v>0</v>
      </c>
      <c r="BR304" s="132"/>
    </row>
    <row r="305" ht="14.25" customHeight="1">
      <c r="A305" s="3"/>
      <c r="B305" s="2"/>
      <c r="C305" s="166">
        <f ref="C305:J305" t="shared" si="121">SUM(C274:C304)</f>
        <v>0</v>
      </c>
      <c r="D305" s="166">
        <f t="shared" si="121"/>
        <v>0</v>
      </c>
      <c r="E305" s="166">
        <f t="shared" si="121"/>
        <v>0</v>
      </c>
      <c r="F305" s="166">
        <f t="shared" si="121"/>
        <v>0</v>
      </c>
      <c r="G305" s="166">
        <f t="shared" si="121"/>
        <v>0</v>
      </c>
      <c r="H305" s="166">
        <f t="shared" si="121"/>
        <v>0</v>
      </c>
      <c r="I305" s="166">
        <f t="shared" si="121"/>
        <v>0</v>
      </c>
      <c r="J305" s="166">
        <f t="shared" si="121"/>
        <v>0</v>
      </c>
      <c r="K305" s="166">
        <f>SUM(K275:K304)</f>
        <v>0</v>
      </c>
      <c r="L305" s="166"/>
      <c r="M305" s="166"/>
      <c r="N305" s="166">
        <f ref="N305:T305" t="shared" si="122">SUM(N274:N304)</f>
        <v>0</v>
      </c>
      <c r="O305" s="166">
        <f t="shared" si="122"/>
        <v>0</v>
      </c>
      <c r="P305" s="166">
        <f t="shared" si="122"/>
        <v>0</v>
      </c>
      <c r="Q305" s="166">
        <f t="shared" si="122"/>
        <v>0</v>
      </c>
      <c r="R305" s="166">
        <f t="shared" si="122"/>
        <v>0</v>
      </c>
      <c r="S305" s="166">
        <f t="shared" si="122"/>
        <v>0</v>
      </c>
      <c r="T305" s="166">
        <f t="shared" si="122"/>
        <v>0</v>
      </c>
      <c r="U305" s="166"/>
      <c r="V305" s="166">
        <f ref="V305:AI305" t="shared" si="123">SUM(V274:V304)</f>
        <v>0</v>
      </c>
      <c r="W305" s="166">
        <f t="shared" si="123"/>
        <v>0</v>
      </c>
      <c r="X305" s="166">
        <f t="shared" si="123"/>
        <v>0</v>
      </c>
      <c r="Y305" s="166">
        <f t="shared" si="123"/>
        <v>0</v>
      </c>
      <c r="Z305" s="166">
        <f t="shared" si="123"/>
        <v>0</v>
      </c>
      <c r="AA305" s="166">
        <f t="shared" si="123"/>
        <v>0</v>
      </c>
      <c r="AB305" s="166">
        <f t="shared" si="123"/>
        <v>0</v>
      </c>
      <c r="AC305" s="166">
        <f t="shared" si="123"/>
        <v>0</v>
      </c>
      <c r="AD305" s="166">
        <f t="shared" si="123"/>
        <v>0</v>
      </c>
      <c r="AE305" s="166">
        <f t="shared" si="123"/>
        <v>0</v>
      </c>
      <c r="AF305" s="166">
        <f t="shared" si="123"/>
        <v>0</v>
      </c>
      <c r="AG305" s="166">
        <f t="shared" si="123"/>
        <v>0</v>
      </c>
      <c r="AH305" s="166">
        <f t="shared" si="123"/>
        <v>0</v>
      </c>
      <c r="AI305" s="166">
        <f t="shared" si="123"/>
        <v>0</v>
      </c>
      <c r="AJ305" s="166"/>
      <c r="AK305" s="166">
        <f ref="AK305:AM305" t="shared" si="124">SUM(AK274:AK304)</f>
        <v>0</v>
      </c>
      <c r="AL305" s="166">
        <f t="shared" si="124"/>
        <v>0</v>
      </c>
      <c r="AM305" s="166">
        <f t="shared" si="124"/>
        <v>0</v>
      </c>
      <c r="AN305" s="166"/>
      <c r="AO305" s="166"/>
      <c r="AP305" s="166"/>
      <c r="AQ305" s="166">
        <f ref="AQ305:BA305" t="shared" si="125">SUM(AQ274:AQ304)</f>
        <v>0</v>
      </c>
      <c r="AR305" s="166">
        <f t="shared" si="125"/>
        <v>0</v>
      </c>
      <c r="AS305" s="166">
        <f t="shared" si="125"/>
        <v>0</v>
      </c>
      <c r="AT305" s="166">
        <f t="shared" si="125"/>
        <v>0</v>
      </c>
      <c r="AU305" s="166">
        <f t="shared" si="125"/>
        <v>0</v>
      </c>
      <c r="AV305" s="166">
        <f t="shared" si="125"/>
        <v>0</v>
      </c>
      <c r="AW305" s="166">
        <f t="shared" si="125"/>
        <v>0</v>
      </c>
      <c r="AX305" s="166">
        <f t="shared" si="125"/>
        <v>0</v>
      </c>
      <c r="AY305" s="166">
        <f t="shared" si="125"/>
        <v>0</v>
      </c>
      <c r="AZ305" s="166">
        <f t="shared" si="125"/>
        <v>0</v>
      </c>
      <c r="BA305" s="166">
        <f t="shared" si="125"/>
        <v>0</v>
      </c>
      <c r="BB305" s="3"/>
      <c r="BC305" s="172">
        <f>SUM(BC274:BC304)</f>
        <v>0</v>
      </c>
      <c r="BD305" s="166"/>
      <c r="BE305" s="166"/>
      <c r="BF305" s="166"/>
      <c r="BG305" s="166"/>
      <c r="BH305" s="166"/>
      <c r="BI305" s="166"/>
      <c r="BJ305" s="166"/>
      <c r="BK305" s="166"/>
      <c r="BL305" s="166"/>
      <c r="BM305" s="166">
        <f ref="BM305:BQ305" t="shared" si="126">SUM(BM274:BM304)</f>
        <v>0</v>
      </c>
      <c r="BN305" s="166">
        <f t="shared" si="126"/>
        <v>0</v>
      </c>
      <c r="BO305" s="166">
        <f t="shared" si="126"/>
        <v>0</v>
      </c>
      <c r="BP305" s="166">
        <f t="shared" si="126"/>
        <v>0</v>
      </c>
      <c r="BQ305" s="166">
        <f t="shared" si="126"/>
        <v>0</v>
      </c>
      <c r="BR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94"/>
      <c r="AH306" s="97"/>
      <c r="AI306" s="3"/>
      <c r="AJ306" s="3"/>
      <c r="AK306" s="4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ht="14.25" customHeight="1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277"/>
      <c r="AH307" s="279"/>
      <c r="AI307" s="3"/>
      <c r="AJ307" s="3"/>
      <c r="AK307" s="4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ht="14.25" customHeight="1">
      <c r="A308" s="3"/>
      <c r="B308" s="512">
        <v>46296</v>
      </c>
      <c r="C308" s="94"/>
      <c r="D308" s="104"/>
      <c r="E308" s="97"/>
      <c r="F308" s="97"/>
      <c r="G308" s="265">
        <f ref="G308:G338" t="shared" si="127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89">
        <f ref="T308:T338" t="shared" si="128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89">
        <f ref="AG308:AG338" t="shared" si="129">SUM(U308:AF308)</f>
        <v>0</v>
      </c>
      <c r="AH308" s="104"/>
      <c r="AI308" s="104"/>
      <c r="AJ308" s="104"/>
      <c r="AK308" s="191">
        <f ref="AK308:AK338" t="shared" si="130">SUM(AH308:AJ308)</f>
        <v>0</v>
      </c>
      <c r="AL308" s="186"/>
      <c r="AM308" s="186"/>
      <c r="AN308" s="186"/>
      <c r="AO308" s="186"/>
      <c r="AP308" s="193"/>
      <c r="AQ308" s="266">
        <f ref="AQ308:AQ338" t="shared" si="131">+G308-T308-AG308-AK308-AL308-AN308-AO308-AP308-AM308</f>
        <v>0</v>
      </c>
      <c r="AR308" s="269"/>
      <c r="AS308" s="109"/>
      <c r="AT308" s="109"/>
      <c r="AU308" s="109"/>
      <c r="AV308" s="269"/>
      <c r="AW308" s="269"/>
      <c r="AX308" s="269"/>
      <c r="AY308" s="269"/>
      <c r="AZ308" s="272">
        <f ref="AZ308:AZ338" t="shared" si="132">SUM(AR308:AY308)-AX308</f>
        <v>0</v>
      </c>
      <c r="BA308" s="114">
        <f ref="BA308:BA338" t="shared" si="133">+AQ308-AZ308</f>
        <v>0</v>
      </c>
      <c r="BB308" s="96"/>
      <c r="BC308" s="114">
        <f ref="BC308:BC338" t="shared" si="134">SUM(BD308:BP308)</f>
        <v>0</v>
      </c>
      <c r="BD308" s="115"/>
      <c r="BE308" s="115"/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6">
        <f ref="BQ308:BQ338" t="shared" si="135">+BA308-BC308</f>
        <v>0</v>
      </c>
      <c r="BR308" s="3"/>
    </row>
    <row r="309" ht="14.25" customHeight="1">
      <c r="A309" s="3"/>
      <c r="B309" s="512">
        <v>46297</v>
      </c>
      <c r="C309" s="123"/>
      <c r="D309" s="123"/>
      <c r="E309" s="120"/>
      <c r="F309" s="120"/>
      <c r="G309" s="147">
        <f t="shared" si="12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28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29"/>
        <v>0</v>
      </c>
      <c r="AH309" s="123"/>
      <c r="AI309" s="123"/>
      <c r="AJ309" s="123"/>
      <c r="AK309" s="105">
        <f t="shared" si="130"/>
        <v>0</v>
      </c>
      <c r="AL309" s="143"/>
      <c r="AM309" s="143"/>
      <c r="AN309" s="143"/>
      <c r="AO309" s="143"/>
      <c r="AP309" s="146"/>
      <c r="AQ309" s="266">
        <f t="shared" si="131"/>
        <v>0</v>
      </c>
      <c r="AR309" s="274"/>
      <c r="AS309" s="126"/>
      <c r="AT309" s="126"/>
      <c r="AU309" s="126"/>
      <c r="AV309" s="274"/>
      <c r="AW309" s="274"/>
      <c r="AX309" s="274"/>
      <c r="AY309" s="274"/>
      <c r="AZ309" s="222">
        <f t="shared" si="132"/>
        <v>0</v>
      </c>
      <c r="BA309" s="113">
        <f t="shared" si="133"/>
        <v>0</v>
      </c>
      <c r="BB309" s="3"/>
      <c r="BC309" s="113">
        <f t="shared" si="134"/>
        <v>0</v>
      </c>
      <c r="BD309" s="129"/>
      <c r="BE309" s="129"/>
      <c r="BF309" s="129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30">
        <f t="shared" si="135"/>
        <v>0</v>
      </c>
      <c r="BR309" s="3"/>
    </row>
    <row r="310" ht="14.25" customHeight="1">
      <c r="A310" s="3"/>
      <c r="B310" s="512">
        <v>46298</v>
      </c>
      <c r="C310" s="123"/>
      <c r="D310" s="123"/>
      <c r="E310" s="120"/>
      <c r="F310" s="120"/>
      <c r="G310" s="147">
        <f t="shared" si="127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28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29"/>
        <v>0</v>
      </c>
      <c r="AH310" s="123"/>
      <c r="AI310" s="123"/>
      <c r="AJ310" s="123"/>
      <c r="AK310" s="105">
        <f t="shared" si="130"/>
        <v>0</v>
      </c>
      <c r="AL310" s="143"/>
      <c r="AM310" s="143"/>
      <c r="AN310" s="143"/>
      <c r="AO310" s="143"/>
      <c r="AP310" s="146"/>
      <c r="AQ310" s="266">
        <f t="shared" si="131"/>
        <v>0</v>
      </c>
      <c r="AR310" s="274"/>
      <c r="AS310" s="126"/>
      <c r="AT310" s="126"/>
      <c r="AU310" s="126"/>
      <c r="AV310" s="274"/>
      <c r="AW310" s="274"/>
      <c r="AX310" s="274"/>
      <c r="AY310" s="274"/>
      <c r="AZ310" s="222">
        <f t="shared" si="132"/>
        <v>0</v>
      </c>
      <c r="BA310" s="113">
        <f t="shared" si="133"/>
        <v>0</v>
      </c>
      <c r="BB310" s="3"/>
      <c r="BC310" s="113">
        <f t="shared" si="134"/>
        <v>0</v>
      </c>
      <c r="BD310" s="129"/>
      <c r="BE310" s="129"/>
      <c r="BF310" s="129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30">
        <f t="shared" si="135"/>
        <v>0</v>
      </c>
      <c r="BR310" s="3"/>
    </row>
    <row r="311" ht="14.25" customHeight="1">
      <c r="A311" s="3"/>
      <c r="B311" s="512">
        <v>46299</v>
      </c>
      <c r="C311" s="123"/>
      <c r="D311" s="123"/>
      <c r="E311" s="120"/>
      <c r="F311" s="120"/>
      <c r="G311" s="147">
        <f t="shared" si="12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28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29"/>
        <v>0</v>
      </c>
      <c r="AH311" s="123"/>
      <c r="AI311" s="123"/>
      <c r="AJ311" s="123"/>
      <c r="AK311" s="105">
        <f t="shared" si="130"/>
        <v>0</v>
      </c>
      <c r="AL311" s="143"/>
      <c r="AM311" s="143"/>
      <c r="AN311" s="143"/>
      <c r="AO311" s="143"/>
      <c r="AP311" s="146"/>
      <c r="AQ311" s="266">
        <f t="shared" si="131"/>
        <v>0</v>
      </c>
      <c r="AR311" s="274"/>
      <c r="AS311" s="126"/>
      <c r="AT311" s="126"/>
      <c r="AU311" s="126"/>
      <c r="AV311" s="274"/>
      <c r="AW311" s="274"/>
      <c r="AX311" s="274"/>
      <c r="AY311" s="274"/>
      <c r="AZ311" s="222">
        <f t="shared" si="132"/>
        <v>0</v>
      </c>
      <c r="BA311" s="113">
        <f t="shared" si="133"/>
        <v>0</v>
      </c>
      <c r="BB311" s="3"/>
      <c r="BC311" s="113">
        <f t="shared" si="134"/>
        <v>0</v>
      </c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30">
        <f t="shared" si="135"/>
        <v>0</v>
      </c>
      <c r="BR311" s="3"/>
    </row>
    <row r="312" ht="14.25" customHeight="1">
      <c r="A312" s="3"/>
      <c r="B312" s="512">
        <v>46300</v>
      </c>
      <c r="C312" s="123"/>
      <c r="D312" s="123"/>
      <c r="E312" s="120"/>
      <c r="F312" s="120"/>
      <c r="G312" s="147">
        <f t="shared" si="12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28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29"/>
        <v>0</v>
      </c>
      <c r="AH312" s="123"/>
      <c r="AI312" s="123"/>
      <c r="AJ312" s="123"/>
      <c r="AK312" s="105">
        <f t="shared" si="130"/>
        <v>0</v>
      </c>
      <c r="AL312" s="143"/>
      <c r="AM312" s="143"/>
      <c r="AN312" s="143"/>
      <c r="AO312" s="143"/>
      <c r="AP312" s="146"/>
      <c r="AQ312" s="266">
        <f t="shared" si="131"/>
        <v>0</v>
      </c>
      <c r="AR312" s="274"/>
      <c r="AS312" s="126"/>
      <c r="AT312" s="126"/>
      <c r="AU312" s="126"/>
      <c r="AV312" s="274"/>
      <c r="AW312" s="274"/>
      <c r="AX312" s="274"/>
      <c r="AY312" s="274"/>
      <c r="AZ312" s="222">
        <f t="shared" si="132"/>
        <v>0</v>
      </c>
      <c r="BA312" s="113">
        <f t="shared" si="133"/>
        <v>0</v>
      </c>
      <c r="BB312" s="3"/>
      <c r="BC312" s="113">
        <f t="shared" si="134"/>
        <v>0</v>
      </c>
      <c r="BD312" s="129"/>
      <c r="BE312" s="129"/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30">
        <f t="shared" si="135"/>
        <v>0</v>
      </c>
      <c r="BR312" s="3"/>
    </row>
    <row r="313" ht="14.25" customHeight="1">
      <c r="A313" s="3"/>
      <c r="B313" s="512">
        <v>46301</v>
      </c>
      <c r="C313" s="123"/>
      <c r="D313" s="123"/>
      <c r="E313" s="120"/>
      <c r="F313" s="120"/>
      <c r="G313" s="147">
        <f t="shared" si="12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28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29"/>
        <v>0</v>
      </c>
      <c r="AH313" s="123"/>
      <c r="AI313" s="123"/>
      <c r="AJ313" s="123"/>
      <c r="AK313" s="105">
        <f t="shared" si="130"/>
        <v>0</v>
      </c>
      <c r="AL313" s="143"/>
      <c r="AM313" s="143"/>
      <c r="AN313" s="143"/>
      <c r="AO313" s="143"/>
      <c r="AP313" s="146"/>
      <c r="AQ313" s="266">
        <f t="shared" si="131"/>
        <v>0</v>
      </c>
      <c r="AR313" s="274"/>
      <c r="AS313" s="126"/>
      <c r="AT313" s="126"/>
      <c r="AU313" s="126"/>
      <c r="AV313" s="274"/>
      <c r="AW313" s="274"/>
      <c r="AX313" s="274"/>
      <c r="AY313" s="274"/>
      <c r="AZ313" s="222">
        <f t="shared" si="132"/>
        <v>0</v>
      </c>
      <c r="BA313" s="113">
        <f t="shared" si="133"/>
        <v>0</v>
      </c>
      <c r="BB313" s="3"/>
      <c r="BC313" s="113">
        <f t="shared" si="134"/>
        <v>0</v>
      </c>
      <c r="BD313" s="129"/>
      <c r="BE313" s="129"/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30">
        <f t="shared" si="135"/>
        <v>0</v>
      </c>
      <c r="BR313" s="3"/>
    </row>
    <row r="314" ht="14.25" customHeight="1">
      <c r="A314" s="3"/>
      <c r="B314" s="512">
        <v>46302</v>
      </c>
      <c r="C314" s="123"/>
      <c r="D314" s="123"/>
      <c r="E314" s="120"/>
      <c r="F314" s="120"/>
      <c r="G314" s="147">
        <f t="shared" si="12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28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29"/>
        <v>0</v>
      </c>
      <c r="AH314" s="123"/>
      <c r="AI314" s="123"/>
      <c r="AJ314" s="123"/>
      <c r="AK314" s="105">
        <f t="shared" si="130"/>
        <v>0</v>
      </c>
      <c r="AL314" s="143"/>
      <c r="AM314" s="143"/>
      <c r="AN314" s="143"/>
      <c r="AO314" s="143"/>
      <c r="AP314" s="146"/>
      <c r="AQ314" s="266">
        <f t="shared" si="131"/>
        <v>0</v>
      </c>
      <c r="AR314" s="274"/>
      <c r="AS314" s="126"/>
      <c r="AT314" s="126"/>
      <c r="AU314" s="126"/>
      <c r="AV314" s="274"/>
      <c r="AW314" s="274"/>
      <c r="AX314" s="274"/>
      <c r="AY314" s="274"/>
      <c r="AZ314" s="222">
        <f t="shared" si="132"/>
        <v>0</v>
      </c>
      <c r="BA314" s="113">
        <f t="shared" si="133"/>
        <v>0</v>
      </c>
      <c r="BB314" s="3"/>
      <c r="BC314" s="113">
        <f t="shared" si="134"/>
        <v>0</v>
      </c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30">
        <f t="shared" si="135"/>
        <v>0</v>
      </c>
      <c r="BR314" s="3"/>
    </row>
    <row r="315" ht="14.25" customHeight="1">
      <c r="A315" s="3"/>
      <c r="B315" s="512">
        <v>46303</v>
      </c>
      <c r="C315" s="123"/>
      <c r="D315" s="123"/>
      <c r="E315" s="120"/>
      <c r="F315" s="120"/>
      <c r="G315" s="147">
        <f t="shared" si="12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28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29"/>
        <v>0</v>
      </c>
      <c r="AH315" s="123"/>
      <c r="AI315" s="123"/>
      <c r="AJ315" s="123"/>
      <c r="AK315" s="105">
        <f t="shared" si="130"/>
        <v>0</v>
      </c>
      <c r="AL315" s="143"/>
      <c r="AM315" s="143"/>
      <c r="AN315" s="143"/>
      <c r="AO315" s="143"/>
      <c r="AP315" s="146"/>
      <c r="AQ315" s="266">
        <f t="shared" si="131"/>
        <v>0</v>
      </c>
      <c r="AR315" s="274"/>
      <c r="AS315" s="126"/>
      <c r="AT315" s="126"/>
      <c r="AU315" s="126"/>
      <c r="AV315" s="274"/>
      <c r="AW315" s="274"/>
      <c r="AX315" s="274"/>
      <c r="AY315" s="274"/>
      <c r="AZ315" s="222">
        <f t="shared" si="132"/>
        <v>0</v>
      </c>
      <c r="BA315" s="113">
        <f t="shared" si="133"/>
        <v>0</v>
      </c>
      <c r="BB315" s="3"/>
      <c r="BC315" s="113">
        <f t="shared" si="134"/>
        <v>0</v>
      </c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30">
        <f t="shared" si="135"/>
        <v>0</v>
      </c>
      <c r="BR315" s="3"/>
    </row>
    <row r="316" ht="14.25" customHeight="1">
      <c r="A316" s="3"/>
      <c r="B316" s="512">
        <v>46304</v>
      </c>
      <c r="C316" s="123"/>
      <c r="D316" s="123"/>
      <c r="E316" s="120"/>
      <c r="F316" s="120"/>
      <c r="G316" s="147">
        <f t="shared" si="12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28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29"/>
        <v>0</v>
      </c>
      <c r="AH316" s="123"/>
      <c r="AI316" s="123"/>
      <c r="AJ316" s="123"/>
      <c r="AK316" s="105">
        <f t="shared" si="130"/>
        <v>0</v>
      </c>
      <c r="AL316" s="143"/>
      <c r="AM316" s="143"/>
      <c r="AN316" s="143"/>
      <c r="AO316" s="143"/>
      <c r="AP316" s="146"/>
      <c r="AQ316" s="266">
        <f t="shared" si="131"/>
        <v>0</v>
      </c>
      <c r="AR316" s="274"/>
      <c r="AS316" s="126"/>
      <c r="AT316" s="126"/>
      <c r="AU316" s="126"/>
      <c r="AV316" s="274"/>
      <c r="AW316" s="274"/>
      <c r="AX316" s="274"/>
      <c r="AY316" s="274"/>
      <c r="AZ316" s="222">
        <f t="shared" si="132"/>
        <v>0</v>
      </c>
      <c r="BA316" s="113">
        <f t="shared" si="133"/>
        <v>0</v>
      </c>
      <c r="BB316" s="3"/>
      <c r="BC316" s="113">
        <f t="shared" si="134"/>
        <v>0</v>
      </c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30">
        <f t="shared" si="135"/>
        <v>0</v>
      </c>
      <c r="BR316" s="3"/>
    </row>
    <row r="317" ht="14.25" customHeight="1">
      <c r="A317" s="132"/>
      <c r="B317" s="512">
        <v>46305</v>
      </c>
      <c r="C317" s="136"/>
      <c r="D317" s="136"/>
      <c r="E317" s="135"/>
      <c r="F317" s="135"/>
      <c r="G317" s="147">
        <f t="shared" si="12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28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29"/>
        <v>0</v>
      </c>
      <c r="AH317" s="136"/>
      <c r="AI317" s="136"/>
      <c r="AJ317" s="136"/>
      <c r="AK317" s="105">
        <f t="shared" si="130"/>
        <v>0</v>
      </c>
      <c r="AL317" s="143"/>
      <c r="AM317" s="143"/>
      <c r="AN317" s="143"/>
      <c r="AO317" s="143"/>
      <c r="AP317" s="146"/>
      <c r="AQ317" s="266">
        <f t="shared" si="131"/>
        <v>0</v>
      </c>
      <c r="AR317" s="274"/>
      <c r="AS317" s="126"/>
      <c r="AT317" s="126"/>
      <c r="AU317" s="126"/>
      <c r="AV317" s="274"/>
      <c r="AW317" s="274"/>
      <c r="AX317" s="274"/>
      <c r="AY317" s="274"/>
      <c r="AZ317" s="222">
        <f t="shared" si="132"/>
        <v>0</v>
      </c>
      <c r="BA317" s="140">
        <f t="shared" si="133"/>
        <v>0</v>
      </c>
      <c r="BB317" s="132"/>
      <c r="BC317" s="140">
        <f t="shared" si="134"/>
        <v>0</v>
      </c>
      <c r="BD317" s="141"/>
      <c r="BE317" s="141"/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30">
        <f t="shared" si="135"/>
        <v>0</v>
      </c>
      <c r="BR317" s="132"/>
    </row>
    <row r="318" ht="14.25" customHeight="1">
      <c r="A318" s="132"/>
      <c r="B318" s="512">
        <v>46306</v>
      </c>
      <c r="C318" s="136"/>
      <c r="D318" s="136"/>
      <c r="E318" s="135"/>
      <c r="F318" s="135"/>
      <c r="G318" s="147">
        <f t="shared" si="12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28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29"/>
        <v>0</v>
      </c>
      <c r="AH318" s="136"/>
      <c r="AI318" s="136"/>
      <c r="AJ318" s="136"/>
      <c r="AK318" s="105">
        <f t="shared" si="130"/>
        <v>0</v>
      </c>
      <c r="AL318" s="143"/>
      <c r="AM318" s="143"/>
      <c r="AN318" s="143"/>
      <c r="AO318" s="143"/>
      <c r="AP318" s="146"/>
      <c r="AQ318" s="266">
        <f t="shared" si="131"/>
        <v>0</v>
      </c>
      <c r="AR318" s="274"/>
      <c r="AS318" s="126"/>
      <c r="AT318" s="126"/>
      <c r="AU318" s="126"/>
      <c r="AV318" s="274"/>
      <c r="AW318" s="274"/>
      <c r="AX318" s="274"/>
      <c r="AY318" s="274"/>
      <c r="AZ318" s="222">
        <f t="shared" si="132"/>
        <v>0</v>
      </c>
      <c r="BA318" s="140">
        <f t="shared" si="133"/>
        <v>0</v>
      </c>
      <c r="BB318" s="132"/>
      <c r="BC318" s="140">
        <f t="shared" si="134"/>
        <v>0</v>
      </c>
      <c r="BD318" s="141"/>
      <c r="BE318" s="141"/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30">
        <f t="shared" si="135"/>
        <v>0</v>
      </c>
      <c r="BR318" s="132"/>
    </row>
    <row r="319" ht="14.25" customHeight="1">
      <c r="A319" s="132"/>
      <c r="B319" s="512">
        <v>46307</v>
      </c>
      <c r="C319" s="136"/>
      <c r="D319" s="136"/>
      <c r="E319" s="135"/>
      <c r="F319" s="135"/>
      <c r="G319" s="147">
        <f t="shared" si="12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28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29"/>
        <v>0</v>
      </c>
      <c r="AH319" s="136"/>
      <c r="AI319" s="136"/>
      <c r="AJ319" s="136"/>
      <c r="AK319" s="105">
        <f t="shared" si="130"/>
        <v>0</v>
      </c>
      <c r="AL319" s="143"/>
      <c r="AM319" s="143"/>
      <c r="AN319" s="143"/>
      <c r="AO319" s="143"/>
      <c r="AP319" s="146"/>
      <c r="AQ319" s="266">
        <f t="shared" si="131"/>
        <v>0</v>
      </c>
      <c r="AR319" s="274"/>
      <c r="AS319" s="126"/>
      <c r="AT319" s="126"/>
      <c r="AU319" s="126"/>
      <c r="AV319" s="274"/>
      <c r="AW319" s="274"/>
      <c r="AX319" s="274"/>
      <c r="AY319" s="274"/>
      <c r="AZ319" s="222">
        <f t="shared" si="132"/>
        <v>0</v>
      </c>
      <c r="BA319" s="140">
        <f t="shared" si="133"/>
        <v>0</v>
      </c>
      <c r="BB319" s="132"/>
      <c r="BC319" s="140">
        <f t="shared" si="134"/>
        <v>0</v>
      </c>
      <c r="BD319" s="141"/>
      <c r="BE319" s="141"/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30">
        <f t="shared" si="135"/>
        <v>0</v>
      </c>
      <c r="BR319" s="132"/>
    </row>
    <row r="320" ht="14.25" customHeight="1">
      <c r="A320" s="132"/>
      <c r="B320" s="512">
        <v>46308</v>
      </c>
      <c r="C320" s="136"/>
      <c r="D320" s="136"/>
      <c r="E320" s="135"/>
      <c r="F320" s="135"/>
      <c r="G320" s="147">
        <f t="shared" si="12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28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29"/>
        <v>0</v>
      </c>
      <c r="AH320" s="136"/>
      <c r="AI320" s="136"/>
      <c r="AJ320" s="136"/>
      <c r="AK320" s="105">
        <f t="shared" si="130"/>
        <v>0</v>
      </c>
      <c r="AL320" s="143"/>
      <c r="AM320" s="143"/>
      <c r="AN320" s="143"/>
      <c r="AO320" s="143"/>
      <c r="AP320" s="146"/>
      <c r="AQ320" s="266">
        <f t="shared" si="131"/>
        <v>0</v>
      </c>
      <c r="AR320" s="274"/>
      <c r="AS320" s="126"/>
      <c r="AT320" s="126"/>
      <c r="AU320" s="126"/>
      <c r="AV320" s="274"/>
      <c r="AW320" s="274"/>
      <c r="AX320" s="274"/>
      <c r="AY320" s="274"/>
      <c r="AZ320" s="222">
        <f t="shared" si="132"/>
        <v>0</v>
      </c>
      <c r="BA320" s="140">
        <f t="shared" si="133"/>
        <v>0</v>
      </c>
      <c r="BB320" s="132"/>
      <c r="BC320" s="140">
        <f t="shared" si="134"/>
        <v>0</v>
      </c>
      <c r="BD320" s="141"/>
      <c r="BE320" s="141"/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30">
        <f t="shared" si="135"/>
        <v>0</v>
      </c>
      <c r="BR320" s="132"/>
    </row>
    <row r="321" ht="14.25" customHeight="1">
      <c r="A321" s="132"/>
      <c r="B321" s="512">
        <v>46309</v>
      </c>
      <c r="C321" s="136"/>
      <c r="D321" s="136"/>
      <c r="E321" s="135"/>
      <c r="F321" s="135"/>
      <c r="G321" s="147">
        <f t="shared" si="12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28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29"/>
        <v>0</v>
      </c>
      <c r="AH321" s="136"/>
      <c r="AI321" s="136"/>
      <c r="AJ321" s="136"/>
      <c r="AK321" s="105">
        <f t="shared" si="130"/>
        <v>0</v>
      </c>
      <c r="AL321" s="143"/>
      <c r="AM321" s="143"/>
      <c r="AN321" s="143"/>
      <c r="AO321" s="143"/>
      <c r="AP321" s="146"/>
      <c r="AQ321" s="266">
        <f t="shared" si="131"/>
        <v>0</v>
      </c>
      <c r="AR321" s="274"/>
      <c r="AS321" s="126"/>
      <c r="AT321" s="126"/>
      <c r="AU321" s="126"/>
      <c r="AV321" s="274"/>
      <c r="AW321" s="274"/>
      <c r="AX321" s="274"/>
      <c r="AY321" s="274"/>
      <c r="AZ321" s="222">
        <f t="shared" si="132"/>
        <v>0</v>
      </c>
      <c r="BA321" s="140">
        <f t="shared" si="133"/>
        <v>0</v>
      </c>
      <c r="BB321" s="132"/>
      <c r="BC321" s="140">
        <f t="shared" si="134"/>
        <v>0</v>
      </c>
      <c r="BD321" s="141"/>
      <c r="BE321" s="141"/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30">
        <f t="shared" si="135"/>
        <v>0</v>
      </c>
      <c r="BR321" s="132"/>
    </row>
    <row r="322" ht="14.25" customHeight="1">
      <c r="A322" s="132"/>
      <c r="B322" s="512">
        <v>46310</v>
      </c>
      <c r="C322" s="136"/>
      <c r="D322" s="136"/>
      <c r="E322" s="135"/>
      <c r="F322" s="135"/>
      <c r="G322" s="147">
        <f t="shared" si="12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28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29"/>
        <v>0</v>
      </c>
      <c r="AH322" s="136"/>
      <c r="AI322" s="136"/>
      <c r="AJ322" s="136"/>
      <c r="AK322" s="105">
        <f t="shared" si="130"/>
        <v>0</v>
      </c>
      <c r="AL322" s="143"/>
      <c r="AM322" s="143"/>
      <c r="AN322" s="143"/>
      <c r="AO322" s="143"/>
      <c r="AP322" s="146"/>
      <c r="AQ322" s="266">
        <f t="shared" si="131"/>
        <v>0</v>
      </c>
      <c r="AR322" s="274"/>
      <c r="AS322" s="126"/>
      <c r="AT322" s="126"/>
      <c r="AU322" s="126"/>
      <c r="AV322" s="274"/>
      <c r="AW322" s="274"/>
      <c r="AX322" s="274"/>
      <c r="AY322" s="274"/>
      <c r="AZ322" s="222">
        <f t="shared" si="132"/>
        <v>0</v>
      </c>
      <c r="BA322" s="140">
        <f t="shared" si="133"/>
        <v>0</v>
      </c>
      <c r="BB322" s="132"/>
      <c r="BC322" s="140">
        <f t="shared" si="134"/>
        <v>0</v>
      </c>
      <c r="BD322" s="141"/>
      <c r="BE322" s="141"/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30">
        <f t="shared" si="135"/>
        <v>0</v>
      </c>
      <c r="BR322" s="132"/>
    </row>
    <row r="323" ht="14.25" customHeight="1">
      <c r="A323" s="132"/>
      <c r="B323" s="512">
        <v>46311</v>
      </c>
      <c r="C323" s="136"/>
      <c r="D323" s="136"/>
      <c r="E323" s="135"/>
      <c r="F323" s="135"/>
      <c r="G323" s="147">
        <f t="shared" si="12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28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29"/>
        <v>0</v>
      </c>
      <c r="AH323" s="136"/>
      <c r="AI323" s="136"/>
      <c r="AJ323" s="136"/>
      <c r="AK323" s="105">
        <f t="shared" si="130"/>
        <v>0</v>
      </c>
      <c r="AL323" s="143"/>
      <c r="AM323" s="143"/>
      <c r="AN323" s="143"/>
      <c r="AO323" s="143"/>
      <c r="AP323" s="146"/>
      <c r="AQ323" s="266">
        <f t="shared" si="131"/>
        <v>0</v>
      </c>
      <c r="AR323" s="274"/>
      <c r="AS323" s="126"/>
      <c r="AT323" s="126"/>
      <c r="AU323" s="126"/>
      <c r="AV323" s="274"/>
      <c r="AW323" s="274"/>
      <c r="AX323" s="274"/>
      <c r="AY323" s="274"/>
      <c r="AZ323" s="222">
        <f t="shared" si="132"/>
        <v>0</v>
      </c>
      <c r="BA323" s="140">
        <f t="shared" si="133"/>
        <v>0</v>
      </c>
      <c r="BB323" s="132"/>
      <c r="BC323" s="140">
        <f t="shared" si="134"/>
        <v>0</v>
      </c>
      <c r="BD323" s="141"/>
      <c r="BE323" s="141"/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30">
        <f t="shared" si="135"/>
        <v>0</v>
      </c>
      <c r="BR323" s="132"/>
    </row>
    <row r="324" ht="14.25" customHeight="1">
      <c r="A324" s="132"/>
      <c r="B324" s="512">
        <v>46312</v>
      </c>
      <c r="C324" s="136"/>
      <c r="D324" s="136"/>
      <c r="E324" s="135"/>
      <c r="F324" s="135"/>
      <c r="G324" s="147">
        <f t="shared" si="12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28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29"/>
        <v>0</v>
      </c>
      <c r="AH324" s="136"/>
      <c r="AI324" s="136"/>
      <c r="AJ324" s="136"/>
      <c r="AK324" s="105">
        <f t="shared" si="130"/>
        <v>0</v>
      </c>
      <c r="AL324" s="143"/>
      <c r="AM324" s="143"/>
      <c r="AN324" s="143"/>
      <c r="AO324" s="143"/>
      <c r="AP324" s="146"/>
      <c r="AQ324" s="266">
        <f t="shared" si="131"/>
        <v>0</v>
      </c>
      <c r="AR324" s="274"/>
      <c r="AS324" s="126"/>
      <c r="AT324" s="126"/>
      <c r="AU324" s="126"/>
      <c r="AV324" s="274"/>
      <c r="AW324" s="274"/>
      <c r="AX324" s="274"/>
      <c r="AY324" s="274"/>
      <c r="AZ324" s="222">
        <f t="shared" si="132"/>
        <v>0</v>
      </c>
      <c r="BA324" s="140">
        <f t="shared" si="133"/>
        <v>0</v>
      </c>
      <c r="BB324" s="132"/>
      <c r="BC324" s="140">
        <f t="shared" si="134"/>
        <v>0</v>
      </c>
      <c r="BD324" s="141"/>
      <c r="BE324" s="141"/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30">
        <f t="shared" si="135"/>
        <v>0</v>
      </c>
      <c r="BR324" s="132"/>
    </row>
    <row r="325" ht="14.25" customHeight="1">
      <c r="A325" s="132"/>
      <c r="B325" s="512">
        <v>46313</v>
      </c>
      <c r="C325" s="136"/>
      <c r="D325" s="136"/>
      <c r="E325" s="135"/>
      <c r="F325" s="135"/>
      <c r="G325" s="147">
        <f t="shared" si="12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28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29"/>
        <v>0</v>
      </c>
      <c r="AH325" s="136"/>
      <c r="AI325" s="136"/>
      <c r="AJ325" s="136"/>
      <c r="AK325" s="105">
        <f t="shared" si="130"/>
        <v>0</v>
      </c>
      <c r="AL325" s="143"/>
      <c r="AM325" s="143"/>
      <c r="AN325" s="143"/>
      <c r="AO325" s="143"/>
      <c r="AP325" s="146"/>
      <c r="AQ325" s="266">
        <f t="shared" si="131"/>
        <v>0</v>
      </c>
      <c r="AR325" s="274"/>
      <c r="AS325" s="126"/>
      <c r="AT325" s="126"/>
      <c r="AU325" s="126"/>
      <c r="AV325" s="274"/>
      <c r="AW325" s="274"/>
      <c r="AX325" s="274"/>
      <c r="AY325" s="274"/>
      <c r="AZ325" s="222">
        <f t="shared" si="132"/>
        <v>0</v>
      </c>
      <c r="BA325" s="140">
        <f t="shared" si="133"/>
        <v>0</v>
      </c>
      <c r="BB325" s="132"/>
      <c r="BC325" s="140">
        <f t="shared" si="134"/>
        <v>0</v>
      </c>
      <c r="BD325" s="141"/>
      <c r="BE325" s="141"/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30">
        <f t="shared" si="135"/>
        <v>0</v>
      </c>
      <c r="BR325" s="132"/>
    </row>
    <row r="326" ht="14.25" customHeight="1">
      <c r="A326" s="132"/>
      <c r="B326" s="512">
        <v>46314</v>
      </c>
      <c r="C326" s="136"/>
      <c r="D326" s="136"/>
      <c r="E326" s="135"/>
      <c r="F326" s="135"/>
      <c r="G326" s="147">
        <f t="shared" si="12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28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29"/>
        <v>0</v>
      </c>
      <c r="AH326" s="136"/>
      <c r="AI326" s="136"/>
      <c r="AJ326" s="136"/>
      <c r="AK326" s="105">
        <f t="shared" si="130"/>
        <v>0</v>
      </c>
      <c r="AL326" s="143"/>
      <c r="AM326" s="143"/>
      <c r="AN326" s="143"/>
      <c r="AO326" s="143"/>
      <c r="AP326" s="146"/>
      <c r="AQ326" s="266">
        <f t="shared" si="131"/>
        <v>0</v>
      </c>
      <c r="AR326" s="274"/>
      <c r="AS326" s="126"/>
      <c r="AT326" s="126"/>
      <c r="AU326" s="126"/>
      <c r="AV326" s="274"/>
      <c r="AW326" s="274"/>
      <c r="AX326" s="274"/>
      <c r="AY326" s="274"/>
      <c r="AZ326" s="222">
        <f t="shared" si="132"/>
        <v>0</v>
      </c>
      <c r="BA326" s="140">
        <f t="shared" si="133"/>
        <v>0</v>
      </c>
      <c r="BB326" s="132"/>
      <c r="BC326" s="140">
        <f t="shared" si="134"/>
        <v>0</v>
      </c>
      <c r="BD326" s="141"/>
      <c r="BE326" s="141"/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30">
        <f t="shared" si="135"/>
        <v>0</v>
      </c>
      <c r="BR326" s="132"/>
    </row>
    <row r="327" ht="14.25" customHeight="1">
      <c r="A327" s="132"/>
      <c r="B327" s="512">
        <v>46315</v>
      </c>
      <c r="C327" s="136"/>
      <c r="D327" s="136"/>
      <c r="E327" s="135"/>
      <c r="F327" s="135"/>
      <c r="G327" s="147">
        <f t="shared" si="12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28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29"/>
        <v>0</v>
      </c>
      <c r="AH327" s="136"/>
      <c r="AI327" s="136"/>
      <c r="AJ327" s="136"/>
      <c r="AK327" s="105">
        <f t="shared" si="130"/>
        <v>0</v>
      </c>
      <c r="AL327" s="143"/>
      <c r="AM327" s="143"/>
      <c r="AN327" s="143"/>
      <c r="AO327" s="143"/>
      <c r="AP327" s="146"/>
      <c r="AQ327" s="266">
        <f t="shared" si="131"/>
        <v>0</v>
      </c>
      <c r="AR327" s="274"/>
      <c r="AS327" s="126"/>
      <c r="AT327" s="126"/>
      <c r="AU327" s="126"/>
      <c r="AV327" s="274"/>
      <c r="AW327" s="274"/>
      <c r="AX327" s="274"/>
      <c r="AY327" s="274"/>
      <c r="AZ327" s="222">
        <f t="shared" si="132"/>
        <v>0</v>
      </c>
      <c r="BA327" s="140">
        <f t="shared" si="133"/>
        <v>0</v>
      </c>
      <c r="BB327" s="132"/>
      <c r="BC327" s="140">
        <f t="shared" si="134"/>
        <v>0</v>
      </c>
      <c r="BD327" s="141"/>
      <c r="BE327" s="141"/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30">
        <f t="shared" si="135"/>
        <v>0</v>
      </c>
      <c r="BR327" s="132"/>
    </row>
    <row r="328" ht="14.25" customHeight="1">
      <c r="A328" s="132"/>
      <c r="B328" s="512">
        <v>46316</v>
      </c>
      <c r="C328" s="136"/>
      <c r="D328" s="136"/>
      <c r="E328" s="135"/>
      <c r="F328" s="135"/>
      <c r="G328" s="147">
        <f t="shared" si="12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28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29"/>
        <v>0</v>
      </c>
      <c r="AH328" s="136"/>
      <c r="AI328" s="136"/>
      <c r="AJ328" s="136"/>
      <c r="AK328" s="105">
        <f t="shared" si="130"/>
        <v>0</v>
      </c>
      <c r="AL328" s="143"/>
      <c r="AM328" s="143"/>
      <c r="AN328" s="143"/>
      <c r="AO328" s="143"/>
      <c r="AP328" s="146"/>
      <c r="AQ328" s="266">
        <f t="shared" si="131"/>
        <v>0</v>
      </c>
      <c r="AR328" s="274"/>
      <c r="AS328" s="126"/>
      <c r="AT328" s="126"/>
      <c r="AU328" s="126"/>
      <c r="AV328" s="274"/>
      <c r="AW328" s="274"/>
      <c r="AX328" s="274"/>
      <c r="AY328" s="274"/>
      <c r="AZ328" s="222">
        <f t="shared" si="132"/>
        <v>0</v>
      </c>
      <c r="BA328" s="140">
        <f t="shared" si="133"/>
        <v>0</v>
      </c>
      <c r="BB328" s="132"/>
      <c r="BC328" s="140">
        <f t="shared" si="134"/>
        <v>0</v>
      </c>
      <c r="BD328" s="141"/>
      <c r="BE328" s="141"/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30">
        <f t="shared" si="135"/>
        <v>0</v>
      </c>
      <c r="BR328" s="132"/>
    </row>
    <row r="329" ht="14.25" customHeight="1">
      <c r="A329" s="132"/>
      <c r="B329" s="512">
        <v>46317</v>
      </c>
      <c r="C329" s="136"/>
      <c r="D329" s="136"/>
      <c r="E329" s="135"/>
      <c r="F329" s="135"/>
      <c r="G329" s="147">
        <f t="shared" si="12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28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29"/>
        <v>0</v>
      </c>
      <c r="AH329" s="136"/>
      <c r="AI329" s="136"/>
      <c r="AJ329" s="136"/>
      <c r="AK329" s="105">
        <f t="shared" si="130"/>
        <v>0</v>
      </c>
      <c r="AL329" s="143"/>
      <c r="AM329" s="143"/>
      <c r="AN329" s="143"/>
      <c r="AO329" s="143"/>
      <c r="AP329" s="146"/>
      <c r="AQ329" s="266">
        <f t="shared" si="131"/>
        <v>0</v>
      </c>
      <c r="AR329" s="274"/>
      <c r="AS329" s="126"/>
      <c r="AT329" s="126"/>
      <c r="AU329" s="126"/>
      <c r="AV329" s="274"/>
      <c r="AW329" s="274"/>
      <c r="AX329" s="274"/>
      <c r="AY329" s="274"/>
      <c r="AZ329" s="222">
        <f t="shared" si="132"/>
        <v>0</v>
      </c>
      <c r="BA329" s="140">
        <f t="shared" si="133"/>
        <v>0</v>
      </c>
      <c r="BB329" s="132"/>
      <c r="BC329" s="140">
        <f t="shared" si="134"/>
        <v>0</v>
      </c>
      <c r="BD329" s="141"/>
      <c r="BE329" s="141"/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30">
        <f t="shared" si="135"/>
        <v>0</v>
      </c>
      <c r="BR329" s="132"/>
    </row>
    <row r="330" ht="14.25" customHeight="1">
      <c r="A330" s="132"/>
      <c r="B330" s="512">
        <v>46318</v>
      </c>
      <c r="C330" s="136"/>
      <c r="D330" s="136"/>
      <c r="E330" s="135"/>
      <c r="F330" s="135"/>
      <c r="G330" s="147">
        <f t="shared" si="12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28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29"/>
        <v>0</v>
      </c>
      <c r="AH330" s="136"/>
      <c r="AI330" s="136"/>
      <c r="AJ330" s="136"/>
      <c r="AK330" s="105">
        <f t="shared" si="130"/>
        <v>0</v>
      </c>
      <c r="AL330" s="143"/>
      <c r="AM330" s="143"/>
      <c r="AN330" s="143"/>
      <c r="AO330" s="143"/>
      <c r="AP330" s="146"/>
      <c r="AQ330" s="266">
        <f t="shared" si="131"/>
        <v>0</v>
      </c>
      <c r="AR330" s="274"/>
      <c r="AS330" s="126"/>
      <c r="AT330" s="126"/>
      <c r="AU330" s="126"/>
      <c r="AV330" s="274"/>
      <c r="AW330" s="274"/>
      <c r="AX330" s="274"/>
      <c r="AY330" s="274"/>
      <c r="AZ330" s="222">
        <f t="shared" si="132"/>
        <v>0</v>
      </c>
      <c r="BA330" s="140">
        <f t="shared" si="133"/>
        <v>0</v>
      </c>
      <c r="BB330" s="132"/>
      <c r="BC330" s="140">
        <f t="shared" si="134"/>
        <v>0</v>
      </c>
      <c r="BD330" s="141"/>
      <c r="BE330" s="141"/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30">
        <f t="shared" si="135"/>
        <v>0</v>
      </c>
      <c r="BR330" s="132"/>
    </row>
    <row r="331" ht="14.25" customHeight="1">
      <c r="A331" s="132"/>
      <c r="B331" s="512">
        <v>46319</v>
      </c>
      <c r="C331" s="136"/>
      <c r="D331" s="136"/>
      <c r="E331" s="135"/>
      <c r="F331" s="135"/>
      <c r="G331" s="147">
        <f t="shared" si="127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28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29"/>
        <v>0</v>
      </c>
      <c r="AH331" s="136"/>
      <c r="AI331" s="136"/>
      <c r="AJ331" s="136"/>
      <c r="AK331" s="105">
        <f t="shared" si="130"/>
        <v>0</v>
      </c>
      <c r="AL331" s="143"/>
      <c r="AM331" s="143"/>
      <c r="AN331" s="143"/>
      <c r="AO331" s="143"/>
      <c r="AP331" s="146"/>
      <c r="AQ331" s="266">
        <f t="shared" si="131"/>
        <v>0</v>
      </c>
      <c r="AR331" s="274"/>
      <c r="AS331" s="126"/>
      <c r="AT331" s="126"/>
      <c r="AU331" s="126"/>
      <c r="AV331" s="274"/>
      <c r="AW331" s="274"/>
      <c r="AX331" s="274"/>
      <c r="AY331" s="274"/>
      <c r="AZ331" s="222">
        <f t="shared" si="132"/>
        <v>0</v>
      </c>
      <c r="BA331" s="140">
        <f t="shared" si="133"/>
        <v>0</v>
      </c>
      <c r="BB331" s="132"/>
      <c r="BC331" s="140">
        <f t="shared" si="134"/>
        <v>0</v>
      </c>
      <c r="BD331" s="141"/>
      <c r="BE331" s="141"/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30">
        <f t="shared" si="135"/>
        <v>0</v>
      </c>
      <c r="BR331" s="132"/>
    </row>
    <row r="332" ht="14.25" customHeight="1">
      <c r="A332" s="132"/>
      <c r="B332" s="512">
        <v>46320</v>
      </c>
      <c r="C332" s="136"/>
      <c r="D332" s="136"/>
      <c r="E332" s="135"/>
      <c r="F332" s="135"/>
      <c r="G332" s="147">
        <f t="shared" si="12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28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29"/>
        <v>0</v>
      </c>
      <c r="AH332" s="136"/>
      <c r="AI332" s="136"/>
      <c r="AJ332" s="136"/>
      <c r="AK332" s="105">
        <f t="shared" si="130"/>
        <v>0</v>
      </c>
      <c r="AL332" s="143"/>
      <c r="AM332" s="143"/>
      <c r="AN332" s="143"/>
      <c r="AO332" s="143"/>
      <c r="AP332" s="146"/>
      <c r="AQ332" s="266">
        <f t="shared" si="131"/>
        <v>0</v>
      </c>
      <c r="AR332" s="274"/>
      <c r="AS332" s="126"/>
      <c r="AT332" s="126"/>
      <c r="AU332" s="126"/>
      <c r="AV332" s="274"/>
      <c r="AW332" s="274"/>
      <c r="AX332" s="274"/>
      <c r="AY332" s="274"/>
      <c r="AZ332" s="222">
        <f t="shared" si="132"/>
        <v>0</v>
      </c>
      <c r="BA332" s="140">
        <f t="shared" si="133"/>
        <v>0</v>
      </c>
      <c r="BB332" s="132"/>
      <c r="BC332" s="140">
        <f t="shared" si="134"/>
        <v>0</v>
      </c>
      <c r="BD332" s="141"/>
      <c r="BE332" s="141"/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30">
        <f t="shared" si="135"/>
        <v>0</v>
      </c>
      <c r="BR332" s="132"/>
    </row>
    <row r="333" ht="14.25" customHeight="1">
      <c r="A333" s="132"/>
      <c r="B333" s="512">
        <v>46321</v>
      </c>
      <c r="C333" s="136"/>
      <c r="D333" s="136"/>
      <c r="E333" s="135"/>
      <c r="F333" s="135"/>
      <c r="G333" s="147">
        <f t="shared" si="127"/>
        <v>0</v>
      </c>
      <c r="H333" s="144"/>
      <c r="I333" s="143"/>
      <c r="J333" s="143"/>
      <c r="K333" s="143"/>
      <c r="L333" s="672"/>
      <c r="M333" s="143"/>
      <c r="N333" s="99"/>
      <c r="O333" s="143"/>
      <c r="P333" s="143"/>
      <c r="Q333" s="143"/>
      <c r="R333" s="143"/>
      <c r="S333" s="143"/>
      <c r="T333" s="103">
        <f t="shared" si="128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29"/>
        <v>0</v>
      </c>
      <c r="AH333" s="136"/>
      <c r="AI333" s="136"/>
      <c r="AJ333" s="136"/>
      <c r="AK333" s="105">
        <f t="shared" si="130"/>
        <v>0</v>
      </c>
      <c r="AL333" s="143"/>
      <c r="AM333" s="143"/>
      <c r="AN333" s="143"/>
      <c r="AO333" s="143"/>
      <c r="AP333" s="146"/>
      <c r="AQ333" s="266">
        <f t="shared" si="131"/>
        <v>0</v>
      </c>
      <c r="AR333" s="274"/>
      <c r="AS333" s="126"/>
      <c r="AT333" s="126"/>
      <c r="AU333" s="126"/>
      <c r="AV333" s="274"/>
      <c r="AW333" s="274"/>
      <c r="AX333" s="274"/>
      <c r="AY333" s="274"/>
      <c r="AZ333" s="222">
        <f t="shared" si="132"/>
        <v>0</v>
      </c>
      <c r="BA333" s="140">
        <f t="shared" si="133"/>
        <v>0</v>
      </c>
      <c r="BB333" s="132"/>
      <c r="BC333" s="140">
        <f t="shared" si="134"/>
        <v>0</v>
      </c>
      <c r="BD333" s="141"/>
      <c r="BE333" s="141"/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30">
        <f t="shared" si="135"/>
        <v>0</v>
      </c>
      <c r="BR333" s="132"/>
    </row>
    <row r="334" ht="14.25" customHeight="1">
      <c r="A334" s="132"/>
      <c r="B334" s="512">
        <v>46322</v>
      </c>
      <c r="C334" s="136"/>
      <c r="D334" s="136"/>
      <c r="E334" s="135"/>
      <c r="F334" s="135"/>
      <c r="G334" s="147">
        <f t="shared" si="127"/>
        <v>0</v>
      </c>
      <c r="H334" s="144"/>
      <c r="I334" s="143"/>
      <c r="J334" s="143"/>
      <c r="K334" s="143"/>
      <c r="L334" s="144"/>
      <c r="M334" s="143"/>
      <c r="N334" s="143"/>
      <c r="O334" s="143"/>
      <c r="P334" s="143"/>
      <c r="Q334" s="143"/>
      <c r="R334" s="143"/>
      <c r="S334" s="143"/>
      <c r="T334" s="103">
        <f t="shared" si="128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29"/>
        <v>0</v>
      </c>
      <c r="AH334" s="136"/>
      <c r="AI334" s="136"/>
      <c r="AJ334" s="136"/>
      <c r="AK334" s="105">
        <f t="shared" si="130"/>
        <v>0</v>
      </c>
      <c r="AL334" s="143"/>
      <c r="AM334" s="143"/>
      <c r="AN334" s="143"/>
      <c r="AO334" s="143"/>
      <c r="AP334" s="146"/>
      <c r="AQ334" s="266">
        <f t="shared" si="131"/>
        <v>0</v>
      </c>
      <c r="AR334" s="274"/>
      <c r="AS334" s="126"/>
      <c r="AT334" s="126"/>
      <c r="AU334" s="126"/>
      <c r="AV334" s="274"/>
      <c r="AW334" s="274"/>
      <c r="AX334" s="274"/>
      <c r="AY334" s="274"/>
      <c r="AZ334" s="222">
        <f t="shared" si="132"/>
        <v>0</v>
      </c>
      <c r="BA334" s="140">
        <f t="shared" si="133"/>
        <v>0</v>
      </c>
      <c r="BB334" s="132"/>
      <c r="BC334" s="140">
        <f t="shared" si="134"/>
        <v>0</v>
      </c>
      <c r="BD334" s="141"/>
      <c r="BE334" s="141"/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30">
        <f t="shared" si="135"/>
        <v>0</v>
      </c>
      <c r="BR334" s="132"/>
    </row>
    <row r="335" ht="14.25" customHeight="1">
      <c r="A335" s="132"/>
      <c r="B335" s="512">
        <v>46323</v>
      </c>
      <c r="C335" s="136"/>
      <c r="D335" s="136"/>
      <c r="E335" s="135"/>
      <c r="F335" s="135"/>
      <c r="G335" s="147">
        <f t="shared" si="127"/>
        <v>0</v>
      </c>
      <c r="H335" s="144"/>
      <c r="I335" s="143"/>
      <c r="J335" s="143"/>
      <c r="K335" s="143"/>
      <c r="L335" s="144"/>
      <c r="M335" s="143"/>
      <c r="N335" s="143"/>
      <c r="O335" s="143"/>
      <c r="P335" s="143"/>
      <c r="Q335" s="143"/>
      <c r="R335" s="143"/>
      <c r="S335" s="143"/>
      <c r="T335" s="103">
        <f t="shared" si="128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29"/>
        <v>0</v>
      </c>
      <c r="AH335" s="136"/>
      <c r="AI335" s="136"/>
      <c r="AJ335" s="136"/>
      <c r="AK335" s="105">
        <f t="shared" si="130"/>
        <v>0</v>
      </c>
      <c r="AL335" s="143"/>
      <c r="AM335" s="143"/>
      <c r="AN335" s="143"/>
      <c r="AO335" s="143"/>
      <c r="AP335" s="146"/>
      <c r="AQ335" s="266">
        <f t="shared" si="131"/>
        <v>0</v>
      </c>
      <c r="AR335" s="274"/>
      <c r="AS335" s="126"/>
      <c r="AT335" s="126"/>
      <c r="AU335" s="126"/>
      <c r="AV335" s="274"/>
      <c r="AW335" s="274"/>
      <c r="AX335" s="274"/>
      <c r="AY335" s="274"/>
      <c r="AZ335" s="222">
        <f t="shared" si="132"/>
        <v>0</v>
      </c>
      <c r="BA335" s="140">
        <f t="shared" si="133"/>
        <v>0</v>
      </c>
      <c r="BB335" s="132"/>
      <c r="BC335" s="140">
        <f t="shared" si="134"/>
        <v>0</v>
      </c>
      <c r="BD335" s="141"/>
      <c r="BE335" s="141"/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30">
        <f t="shared" si="135"/>
        <v>0</v>
      </c>
      <c r="BR335" s="132"/>
    </row>
    <row r="336" ht="14.25" customHeight="1">
      <c r="A336" s="132"/>
      <c r="B336" s="512">
        <v>46324</v>
      </c>
      <c r="C336" s="136"/>
      <c r="D336" s="136"/>
      <c r="E336" s="135"/>
      <c r="F336" s="135"/>
      <c r="G336" s="147">
        <f t="shared" si="127"/>
        <v>0</v>
      </c>
      <c r="H336" s="144"/>
      <c r="I336" s="143"/>
      <c r="J336" s="143"/>
      <c r="K336" s="143"/>
      <c r="L336" s="144"/>
      <c r="M336" s="143"/>
      <c r="N336" s="143"/>
      <c r="O336" s="143"/>
      <c r="P336" s="143"/>
      <c r="Q336" s="143"/>
      <c r="R336" s="143"/>
      <c r="S336" s="143"/>
      <c r="T336" s="103">
        <f t="shared" si="128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29"/>
        <v>0</v>
      </c>
      <c r="AH336" s="136"/>
      <c r="AI336" s="136"/>
      <c r="AJ336" s="136"/>
      <c r="AK336" s="105">
        <f t="shared" si="130"/>
        <v>0</v>
      </c>
      <c r="AL336" s="143"/>
      <c r="AM336" s="143"/>
      <c r="AN336" s="143"/>
      <c r="AO336" s="143"/>
      <c r="AP336" s="146"/>
      <c r="AQ336" s="266">
        <f t="shared" si="131"/>
        <v>0</v>
      </c>
      <c r="AR336" s="274"/>
      <c r="AS336" s="126"/>
      <c r="AT336" s="126"/>
      <c r="AU336" s="126"/>
      <c r="AV336" s="274"/>
      <c r="AW336" s="274"/>
      <c r="AX336" s="274"/>
      <c r="AY336" s="274"/>
      <c r="AZ336" s="222">
        <f t="shared" si="132"/>
        <v>0</v>
      </c>
      <c r="BA336" s="140">
        <f t="shared" si="133"/>
        <v>0</v>
      </c>
      <c r="BB336" s="132"/>
      <c r="BC336" s="140">
        <f t="shared" si="134"/>
        <v>0</v>
      </c>
      <c r="BD336" s="141"/>
      <c r="BE336" s="141"/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30">
        <f t="shared" si="135"/>
        <v>0</v>
      </c>
      <c r="BR336" s="132"/>
    </row>
    <row r="337" ht="14.25" customHeight="1">
      <c r="A337" s="132"/>
      <c r="B337" s="512">
        <v>46325</v>
      </c>
      <c r="C337" s="136"/>
      <c r="D337" s="136"/>
      <c r="E337" s="135"/>
      <c r="F337" s="135"/>
      <c r="G337" s="147">
        <f t="shared" si="127"/>
        <v>0</v>
      </c>
      <c r="H337" s="144"/>
      <c r="I337" s="143"/>
      <c r="J337" s="143"/>
      <c r="K337" s="143"/>
      <c r="L337" s="144"/>
      <c r="M337" s="143"/>
      <c r="N337" s="143"/>
      <c r="O337" s="143"/>
      <c r="P337" s="143"/>
      <c r="Q337" s="143"/>
      <c r="R337" s="143"/>
      <c r="S337" s="143"/>
      <c r="T337" s="103">
        <f t="shared" si="128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29"/>
        <v>0</v>
      </c>
      <c r="AH337" s="136"/>
      <c r="AI337" s="136"/>
      <c r="AJ337" s="136"/>
      <c r="AK337" s="105">
        <f t="shared" si="130"/>
        <v>0</v>
      </c>
      <c r="AL337" s="143"/>
      <c r="AM337" s="143"/>
      <c r="AN337" s="143"/>
      <c r="AO337" s="143"/>
      <c r="AP337" s="146"/>
      <c r="AQ337" s="266">
        <f t="shared" si="131"/>
        <v>0</v>
      </c>
      <c r="AR337" s="274"/>
      <c r="AS337" s="126"/>
      <c r="AT337" s="126"/>
      <c r="AU337" s="126"/>
      <c r="AV337" s="274"/>
      <c r="AW337" s="274"/>
      <c r="AX337" s="274"/>
      <c r="AY337" s="274"/>
      <c r="AZ337" s="222">
        <f t="shared" si="132"/>
        <v>0</v>
      </c>
      <c r="BA337" s="140">
        <f t="shared" si="133"/>
        <v>0</v>
      </c>
      <c r="BB337" s="132"/>
      <c r="BC337" s="140">
        <f t="shared" si="134"/>
        <v>0</v>
      </c>
      <c r="BD337" s="141"/>
      <c r="BE337" s="141"/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30">
        <f t="shared" si="135"/>
        <v>0</v>
      </c>
      <c r="BR337" s="132"/>
    </row>
    <row r="338" ht="14.25" customHeight="1">
      <c r="A338" s="132"/>
      <c r="B338" s="512">
        <v>46326</v>
      </c>
      <c r="C338" s="159"/>
      <c r="D338" s="159"/>
      <c r="E338" s="156"/>
      <c r="F338" s="156"/>
      <c r="G338" s="622">
        <f t="shared" si="127"/>
        <v>0</v>
      </c>
      <c r="H338" s="612"/>
      <c r="I338" s="157"/>
      <c r="J338" s="157"/>
      <c r="K338" s="157"/>
      <c r="L338" s="1035"/>
      <c r="M338" s="612"/>
      <c r="N338" s="157"/>
      <c r="O338" s="157"/>
      <c r="P338" s="157"/>
      <c r="Q338" s="157"/>
      <c r="R338" s="157"/>
      <c r="S338" s="157"/>
      <c r="T338" s="623">
        <f t="shared" si="128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623">
        <f t="shared" si="129"/>
        <v>0</v>
      </c>
      <c r="AH338" s="159"/>
      <c r="AI338" s="159"/>
      <c r="AJ338" s="159"/>
      <c r="AK338" s="624">
        <f t="shared" si="130"/>
        <v>0</v>
      </c>
      <c r="AL338" s="157"/>
      <c r="AM338" s="157"/>
      <c r="AN338" s="157"/>
      <c r="AO338" s="157"/>
      <c r="AP338" s="160"/>
      <c r="AQ338" s="266">
        <f t="shared" si="131"/>
        <v>0</v>
      </c>
      <c r="AR338" s="296"/>
      <c r="AS338" s="138"/>
      <c r="AT338" s="138"/>
      <c r="AU338" s="138"/>
      <c r="AV338" s="296"/>
      <c r="AW338" s="296"/>
      <c r="AX338" s="296"/>
      <c r="AY338" s="296"/>
      <c r="AZ338" s="626">
        <f t="shared" si="132"/>
        <v>0</v>
      </c>
      <c r="BA338" s="162">
        <f t="shared" si="133"/>
        <v>0</v>
      </c>
      <c r="BB338" s="155"/>
      <c r="BC338" s="162">
        <f t="shared" si="134"/>
        <v>0</v>
      </c>
      <c r="BD338" s="163"/>
      <c r="BE338" s="163"/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63"/>
      <c r="BQ338" s="164">
        <f t="shared" si="135"/>
        <v>0</v>
      </c>
      <c r="BR338" s="132"/>
    </row>
    <row r="339" ht="14.25" customHeight="1">
      <c r="A339" s="3"/>
      <c r="B339" s="2"/>
      <c r="C339" s="166">
        <f ref="C339:K339" t="shared" si="136">SUM(C308:C338)</f>
        <v>0</v>
      </c>
      <c r="D339" s="166">
        <f t="shared" si="136"/>
        <v>0</v>
      </c>
      <c r="E339" s="166">
        <f t="shared" si="136"/>
        <v>0</v>
      </c>
      <c r="F339" s="166">
        <f t="shared" si="136"/>
        <v>0</v>
      </c>
      <c r="G339" s="166">
        <f t="shared" si="136"/>
        <v>0</v>
      </c>
      <c r="H339" s="166">
        <f t="shared" si="136"/>
        <v>0</v>
      </c>
      <c r="I339" s="166">
        <f t="shared" si="136"/>
        <v>0</v>
      </c>
      <c r="J339" s="166">
        <f t="shared" si="136"/>
        <v>0</v>
      </c>
      <c r="K339" s="166">
        <f t="shared" si="136"/>
        <v>0</v>
      </c>
      <c r="L339" s="166"/>
      <c r="M339" s="166"/>
      <c r="N339" s="166">
        <f ref="N339:AI339" t="shared" si="137">SUM(N308:N338)</f>
        <v>0</v>
      </c>
      <c r="O339" s="166">
        <f t="shared" si="137"/>
        <v>0</v>
      </c>
      <c r="P339" s="166">
        <f t="shared" si="137"/>
        <v>0</v>
      </c>
      <c r="Q339" s="166">
        <f t="shared" si="137"/>
        <v>0</v>
      </c>
      <c r="R339" s="166">
        <f t="shared" si="137"/>
        <v>0</v>
      </c>
      <c r="S339" s="166">
        <f t="shared" si="137"/>
        <v>0</v>
      </c>
      <c r="T339" s="166">
        <f t="shared" si="137"/>
        <v>0</v>
      </c>
      <c r="U339" s="166">
        <f t="shared" si="137"/>
        <v>0</v>
      </c>
      <c r="V339" s="166">
        <f t="shared" si="137"/>
        <v>0</v>
      </c>
      <c r="W339" s="166">
        <f t="shared" si="137"/>
        <v>0</v>
      </c>
      <c r="X339" s="166">
        <f t="shared" si="137"/>
        <v>0</v>
      </c>
      <c r="Y339" s="166">
        <f t="shared" si="137"/>
        <v>0</v>
      </c>
      <c r="Z339" s="166">
        <f t="shared" si="137"/>
        <v>0</v>
      </c>
      <c r="AA339" s="166">
        <f t="shared" si="137"/>
        <v>0</v>
      </c>
      <c r="AB339" s="166">
        <f t="shared" si="137"/>
        <v>0</v>
      </c>
      <c r="AC339" s="166">
        <f t="shared" si="137"/>
        <v>0</v>
      </c>
      <c r="AD339" s="166">
        <f t="shared" si="137"/>
        <v>0</v>
      </c>
      <c r="AE339" s="166">
        <f t="shared" si="137"/>
        <v>0</v>
      </c>
      <c r="AF339" s="166">
        <f t="shared" si="137"/>
        <v>0</v>
      </c>
      <c r="AG339" s="166">
        <f t="shared" si="137"/>
        <v>0</v>
      </c>
      <c r="AH339" s="166">
        <f t="shared" si="137"/>
        <v>0</v>
      </c>
      <c r="AI339" s="166">
        <f t="shared" si="137"/>
        <v>0</v>
      </c>
      <c r="AJ339" s="166"/>
      <c r="AK339" s="166">
        <f ref="AK339:AN339" t="shared" si="138">SUM(AK308:AK338)</f>
        <v>0</v>
      </c>
      <c r="AL339" s="166">
        <f t="shared" si="138"/>
        <v>0</v>
      </c>
      <c r="AM339" s="166">
        <f t="shared" si="138"/>
        <v>0</v>
      </c>
      <c r="AN339" s="166">
        <f t="shared" si="138"/>
        <v>0</v>
      </c>
      <c r="AO339" s="166"/>
      <c r="AP339" s="166"/>
      <c r="AQ339" s="166">
        <f ref="AQ339:BA339" t="shared" si="139">SUM(AQ308:AQ338)</f>
        <v>0</v>
      </c>
      <c r="AR339" s="165">
        <f t="shared" si="139"/>
        <v>0</v>
      </c>
      <c r="AS339" s="165">
        <f t="shared" si="139"/>
        <v>0</v>
      </c>
      <c r="AT339" s="165">
        <f t="shared" si="139"/>
        <v>0</v>
      </c>
      <c r="AU339" s="165">
        <f t="shared" si="139"/>
        <v>0</v>
      </c>
      <c r="AV339" s="166">
        <f t="shared" si="139"/>
        <v>0</v>
      </c>
      <c r="AW339" s="166">
        <f t="shared" si="139"/>
        <v>0</v>
      </c>
      <c r="AX339" s="166">
        <f t="shared" si="139"/>
        <v>0</v>
      </c>
      <c r="AY339" s="166">
        <f t="shared" si="139"/>
        <v>0</v>
      </c>
      <c r="AZ339" s="166">
        <f t="shared" si="139"/>
        <v>0</v>
      </c>
      <c r="BA339" s="166">
        <f t="shared" si="139"/>
        <v>0</v>
      </c>
      <c r="BB339" s="3"/>
      <c r="BC339" s="172">
        <f>SUM(BC308:BC338)</f>
        <v>0</v>
      </c>
      <c r="BD339" s="165"/>
      <c r="BE339" s="165"/>
      <c r="BF339" s="165"/>
      <c r="BG339" s="165"/>
      <c r="BH339" s="165"/>
      <c r="BI339" s="165"/>
      <c r="BJ339" s="165"/>
      <c r="BK339" s="165"/>
      <c r="BL339" s="165"/>
      <c r="BM339" s="165">
        <f ref="BM339:BQ339" t="shared" si="140">SUM(BM308:BM338)</f>
        <v>0</v>
      </c>
      <c r="BN339" s="165">
        <f t="shared" si="140"/>
        <v>0</v>
      </c>
      <c r="BO339" s="165">
        <f t="shared" si="140"/>
        <v>0</v>
      </c>
      <c r="BP339" s="165">
        <f t="shared" si="140"/>
        <v>0</v>
      </c>
      <c r="BQ339" s="165">
        <f t="shared" si="140"/>
        <v>0</v>
      </c>
      <c r="BR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4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4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</row>
    <row r="341" ht="14.25" customHeight="1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4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4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</row>
    <row r="342" ht="14.25" customHeight="1">
      <c r="A342" s="3"/>
      <c r="B342" s="512">
        <v>46327</v>
      </c>
      <c r="C342" s="104"/>
      <c r="D342" s="104"/>
      <c r="E342" s="97"/>
      <c r="F342" s="97"/>
      <c r="G342" s="265">
        <f ref="G342:G371" t="shared" si="141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ref="T342:T371" t="shared" si="142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ref="AG342:AG371" t="shared" si="143">SUM(U342:AF342)</f>
        <v>0</v>
      </c>
      <c r="AH342" s="104"/>
      <c r="AI342" s="104"/>
      <c r="AJ342" s="104"/>
      <c r="AK342" s="191">
        <f ref="AK342:AK371" t="shared" si="144">SUM(AH342:AJ342)</f>
        <v>0</v>
      </c>
      <c r="AL342" s="186"/>
      <c r="AM342" s="186"/>
      <c r="AN342" s="186"/>
      <c r="AO342" s="186"/>
      <c r="AP342" s="193"/>
      <c r="AQ342" s="219">
        <f ref="AQ342:AQ346" t="shared" si="145">+G342-T342-AG342-AK342-AL342-AN342-AO342-AP342</f>
        <v>0</v>
      </c>
      <c r="AR342" s="269"/>
      <c r="AS342" s="109"/>
      <c r="AT342" s="109"/>
      <c r="AU342" s="109"/>
      <c r="AV342" s="269"/>
      <c r="AW342" s="269"/>
      <c r="AX342" s="269"/>
      <c r="AY342" s="269"/>
      <c r="AZ342" s="272">
        <f ref="AZ342:AZ371" t="shared" si="146">SUM(AR342:AY342)-AX342</f>
        <v>0</v>
      </c>
      <c r="BA342" s="114">
        <f ref="BA342:BA371" t="shared" si="147">+AQ342-AZ342</f>
        <v>0</v>
      </c>
      <c r="BB342" s="3"/>
      <c r="BC342" s="114">
        <f ref="BC342:BC371" t="shared" si="148">SUM(BD342:BP342)</f>
        <v>0</v>
      </c>
      <c r="BD342" s="220"/>
      <c r="BE342" s="220"/>
      <c r="BF342" s="220"/>
      <c r="BG342" s="220"/>
      <c r="BH342" s="220"/>
      <c r="BI342" s="220"/>
      <c r="BJ342" s="220"/>
      <c r="BK342" s="220"/>
      <c r="BL342" s="220"/>
      <c r="BM342" s="220"/>
      <c r="BN342" s="220"/>
      <c r="BO342" s="220"/>
      <c r="BP342" s="220"/>
      <c r="BQ342" s="116">
        <f ref="BQ342:BQ371" t="shared" si="149">+BA342-BC342</f>
        <v>0</v>
      </c>
      <c r="BR342" s="3"/>
    </row>
    <row r="343" ht="14.25" customHeight="1">
      <c r="A343" s="3"/>
      <c r="B343" s="512">
        <v>46328</v>
      </c>
      <c r="C343" s="123"/>
      <c r="D343" s="123"/>
      <c r="E343" s="120"/>
      <c r="F343" s="120"/>
      <c r="G343" s="147">
        <f t="shared" si="141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42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43"/>
        <v>0</v>
      </c>
      <c r="AH343" s="123"/>
      <c r="AI343" s="123"/>
      <c r="AJ343" s="123"/>
      <c r="AK343" s="105">
        <f t="shared" si="144"/>
        <v>0</v>
      </c>
      <c r="AL343" s="143"/>
      <c r="AM343" s="143"/>
      <c r="AN343" s="143"/>
      <c r="AO343" s="143"/>
      <c r="AP343" s="146"/>
      <c r="AQ343" s="224">
        <f t="shared" si="145"/>
        <v>0</v>
      </c>
      <c r="AR343" s="274"/>
      <c r="AS343" s="126"/>
      <c r="AT343" s="126"/>
      <c r="AU343" s="126"/>
      <c r="AV343" s="274"/>
      <c r="AW343" s="274"/>
      <c r="AX343" s="274"/>
      <c r="AY343" s="274"/>
      <c r="AZ343" s="222">
        <f t="shared" si="146"/>
        <v>0</v>
      </c>
      <c r="BA343" s="113">
        <f t="shared" si="147"/>
        <v>0</v>
      </c>
      <c r="BB343" s="3"/>
      <c r="BC343" s="113">
        <f t="shared" si="148"/>
        <v>0</v>
      </c>
      <c r="BD343" s="225"/>
      <c r="BE343" s="225"/>
      <c r="BF343" s="225"/>
      <c r="BG343" s="225"/>
      <c r="BH343" s="225"/>
      <c r="BI343" s="225"/>
      <c r="BJ343" s="225"/>
      <c r="BK343" s="225"/>
      <c r="BL343" s="225"/>
      <c r="BM343" s="225"/>
      <c r="BN343" s="225"/>
      <c r="BO343" s="225"/>
      <c r="BP343" s="225"/>
      <c r="BQ343" s="130">
        <f t="shared" si="149"/>
        <v>0</v>
      </c>
      <c r="BR343" s="3"/>
    </row>
    <row r="344" ht="14.25" customHeight="1">
      <c r="A344" s="3"/>
      <c r="B344" s="512">
        <v>46329</v>
      </c>
      <c r="C344" s="123"/>
      <c r="D344" s="123"/>
      <c r="E344" s="120"/>
      <c r="F344" s="120"/>
      <c r="G344" s="147">
        <f t="shared" si="141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42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43"/>
        <v>0</v>
      </c>
      <c r="AH344" s="123"/>
      <c r="AI344" s="123"/>
      <c r="AJ344" s="123"/>
      <c r="AK344" s="105">
        <f t="shared" si="144"/>
        <v>0</v>
      </c>
      <c r="AL344" s="143"/>
      <c r="AM344" s="143"/>
      <c r="AN344" s="143"/>
      <c r="AO344" s="143"/>
      <c r="AP344" s="146"/>
      <c r="AQ344" s="224">
        <f t="shared" si="145"/>
        <v>0</v>
      </c>
      <c r="AR344" s="274"/>
      <c r="AS344" s="126"/>
      <c r="AT344" s="126"/>
      <c r="AU344" s="126"/>
      <c r="AV344" s="274"/>
      <c r="AW344" s="274"/>
      <c r="AX344" s="274"/>
      <c r="AY344" s="274"/>
      <c r="AZ344" s="222">
        <f t="shared" si="146"/>
        <v>0</v>
      </c>
      <c r="BA344" s="113">
        <f t="shared" si="147"/>
        <v>0</v>
      </c>
      <c r="BB344" s="3"/>
      <c r="BC344" s="113">
        <f t="shared" si="148"/>
        <v>0</v>
      </c>
      <c r="BD344" s="225"/>
      <c r="BE344" s="225"/>
      <c r="BF344" s="225"/>
      <c r="BG344" s="225"/>
      <c r="BH344" s="225"/>
      <c r="BI344" s="225"/>
      <c r="BJ344" s="225"/>
      <c r="BK344" s="225"/>
      <c r="BL344" s="225"/>
      <c r="BM344" s="225"/>
      <c r="BN344" s="225"/>
      <c r="BO344" s="225"/>
      <c r="BP344" s="225"/>
      <c r="BQ344" s="130">
        <f t="shared" si="149"/>
        <v>0</v>
      </c>
      <c r="BR344" s="3"/>
    </row>
    <row r="345" ht="14.25" customHeight="1">
      <c r="A345" s="132"/>
      <c r="B345" s="512">
        <v>46330</v>
      </c>
      <c r="C345" s="136"/>
      <c r="D345" s="136"/>
      <c r="E345" s="135"/>
      <c r="F345" s="135"/>
      <c r="G345" s="147">
        <f t="shared" si="141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42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43"/>
        <v>0</v>
      </c>
      <c r="AH345" s="136"/>
      <c r="AI345" s="136"/>
      <c r="AJ345" s="136"/>
      <c r="AK345" s="105">
        <f t="shared" si="144"/>
        <v>0</v>
      </c>
      <c r="AL345" s="143"/>
      <c r="AM345" s="143"/>
      <c r="AN345" s="143"/>
      <c r="AO345" s="143"/>
      <c r="AP345" s="146"/>
      <c r="AQ345" s="224">
        <f t="shared" si="145"/>
        <v>0</v>
      </c>
      <c r="AR345" s="274"/>
      <c r="AS345" s="126"/>
      <c r="AT345" s="126"/>
      <c r="AU345" s="126"/>
      <c r="AV345" s="274"/>
      <c r="AW345" s="274"/>
      <c r="AX345" s="274"/>
      <c r="AY345" s="274"/>
      <c r="AZ345" s="222">
        <f t="shared" si="146"/>
        <v>0</v>
      </c>
      <c r="BA345" s="140">
        <f t="shared" si="147"/>
        <v>0</v>
      </c>
      <c r="BB345" s="132"/>
      <c r="BC345" s="140">
        <f t="shared" si="148"/>
        <v>0</v>
      </c>
      <c r="BD345" s="126"/>
      <c r="BE345" s="126"/>
      <c r="BF345" s="126"/>
      <c r="BG345" s="126"/>
      <c r="BH345" s="126"/>
      <c r="BI345" s="126"/>
      <c r="BJ345" s="126"/>
      <c r="BK345" s="126"/>
      <c r="BL345" s="126"/>
      <c r="BM345" s="126"/>
      <c r="BN345" s="126"/>
      <c r="BO345" s="126"/>
      <c r="BP345" s="126"/>
      <c r="BQ345" s="130">
        <f t="shared" si="149"/>
        <v>0</v>
      </c>
      <c r="BR345" s="132"/>
    </row>
    <row r="346" ht="14.25" customHeight="1">
      <c r="A346" s="132"/>
      <c r="B346" s="512">
        <v>46331</v>
      </c>
      <c r="C346" s="136"/>
      <c r="D346" s="136"/>
      <c r="E346" s="135"/>
      <c r="F346" s="135"/>
      <c r="G346" s="147">
        <f t="shared" si="141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42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43"/>
        <v>0</v>
      </c>
      <c r="AH346" s="136"/>
      <c r="AI346" s="136"/>
      <c r="AJ346" s="136"/>
      <c r="AK346" s="105">
        <f t="shared" si="144"/>
        <v>0</v>
      </c>
      <c r="AL346" s="143"/>
      <c r="AM346" s="143"/>
      <c r="AN346" s="143"/>
      <c r="AO346" s="143"/>
      <c r="AP346" s="146"/>
      <c r="AQ346" s="224">
        <f t="shared" si="145"/>
        <v>0</v>
      </c>
      <c r="AR346" s="274"/>
      <c r="AS346" s="126"/>
      <c r="AT346" s="126"/>
      <c r="AU346" s="126"/>
      <c r="AV346" s="274"/>
      <c r="AW346" s="274"/>
      <c r="AX346" s="274"/>
      <c r="AY346" s="274"/>
      <c r="AZ346" s="222">
        <f t="shared" si="146"/>
        <v>0</v>
      </c>
      <c r="BA346" s="140">
        <f t="shared" si="147"/>
        <v>0</v>
      </c>
      <c r="BB346" s="132"/>
      <c r="BC346" s="140">
        <f t="shared" si="148"/>
        <v>0</v>
      </c>
      <c r="BD346" s="126"/>
      <c r="BE346" s="126"/>
      <c r="BF346" s="126"/>
      <c r="BG346" s="126"/>
      <c r="BH346" s="126"/>
      <c r="BI346" s="126"/>
      <c r="BJ346" s="126"/>
      <c r="BK346" s="126"/>
      <c r="BL346" s="126"/>
      <c r="BM346" s="126"/>
      <c r="BN346" s="126"/>
      <c r="BO346" s="126"/>
      <c r="BP346" s="126"/>
      <c r="BQ346" s="130">
        <f t="shared" si="149"/>
        <v>0</v>
      </c>
      <c r="BR346" s="132"/>
    </row>
    <row r="347" ht="14.25" customHeight="1">
      <c r="A347" s="132"/>
      <c r="B347" s="512">
        <v>46332</v>
      </c>
      <c r="C347" s="136"/>
      <c r="D347" s="132"/>
      <c r="E347" s="135"/>
      <c r="F347" s="135"/>
      <c r="G347" s="147">
        <f t="shared" si="141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42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43"/>
        <v>0</v>
      </c>
      <c r="AH347" s="136"/>
      <c r="AI347" s="136"/>
      <c r="AJ347" s="136"/>
      <c r="AK347" s="105">
        <f t="shared" si="144"/>
        <v>0</v>
      </c>
      <c r="AL347" s="143"/>
      <c r="AM347" s="143"/>
      <c r="AN347" s="143"/>
      <c r="AO347" s="143"/>
      <c r="AP347" s="146"/>
      <c r="AQ347" s="224">
        <f ref="AQ347:AQ350" t="shared" si="150">+G347-T347-AG347-AK347-AL347-AN347-AO347-AP347-AM347</f>
        <v>0</v>
      </c>
      <c r="AR347" s="274"/>
      <c r="AS347" s="126"/>
      <c r="AT347" s="126"/>
      <c r="AU347" s="126"/>
      <c r="AV347" s="274"/>
      <c r="AW347" s="274"/>
      <c r="AX347" s="274"/>
      <c r="AY347" s="274"/>
      <c r="AZ347" s="222">
        <f t="shared" si="146"/>
        <v>0</v>
      </c>
      <c r="BA347" s="140">
        <f t="shared" si="147"/>
        <v>0</v>
      </c>
      <c r="BB347" s="132"/>
      <c r="BC347" s="140">
        <f t="shared" si="148"/>
        <v>0</v>
      </c>
      <c r="BD347" s="126"/>
      <c r="BE347" s="126"/>
      <c r="BF347" s="126"/>
      <c r="BG347" s="126"/>
      <c r="BH347" s="126"/>
      <c r="BI347" s="126"/>
      <c r="BJ347" s="126"/>
      <c r="BK347" s="126"/>
      <c r="BL347" s="126"/>
      <c r="BM347" s="126"/>
      <c r="BN347" s="126"/>
      <c r="BO347" s="126"/>
      <c r="BP347" s="126"/>
      <c r="BQ347" s="130">
        <f t="shared" si="149"/>
        <v>0</v>
      </c>
      <c r="BR347" s="132"/>
    </row>
    <row r="348" ht="14.25" customHeight="1">
      <c r="A348" s="132"/>
      <c r="B348" s="512">
        <v>46333</v>
      </c>
      <c r="C348" s="136"/>
      <c r="D348" s="136"/>
      <c r="E348" s="135"/>
      <c r="F348" s="135"/>
      <c r="G348" s="147">
        <f t="shared" si="141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42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43"/>
        <v>0</v>
      </c>
      <c r="AH348" s="136"/>
      <c r="AI348" s="136"/>
      <c r="AJ348" s="136"/>
      <c r="AK348" s="105">
        <f t="shared" si="144"/>
        <v>0</v>
      </c>
      <c r="AL348" s="143"/>
      <c r="AM348" s="143"/>
      <c r="AN348" s="143"/>
      <c r="AO348" s="143"/>
      <c r="AP348" s="146"/>
      <c r="AQ348" s="224">
        <f t="shared" si="150"/>
        <v>0</v>
      </c>
      <c r="AR348" s="274"/>
      <c r="AS348" s="126"/>
      <c r="AT348" s="126"/>
      <c r="AU348" s="126"/>
      <c r="AV348" s="274"/>
      <c r="AW348" s="274"/>
      <c r="AX348" s="274"/>
      <c r="AY348" s="274"/>
      <c r="AZ348" s="222">
        <f t="shared" si="146"/>
        <v>0</v>
      </c>
      <c r="BA348" s="140">
        <f t="shared" si="147"/>
        <v>0</v>
      </c>
      <c r="BB348" s="132"/>
      <c r="BC348" s="140">
        <f t="shared" si="148"/>
        <v>0</v>
      </c>
      <c r="BD348" s="126"/>
      <c r="BE348" s="126"/>
      <c r="BF348" s="126"/>
      <c r="BG348" s="126"/>
      <c r="BH348" s="126"/>
      <c r="BI348" s="126"/>
      <c r="BJ348" s="126"/>
      <c r="BK348" s="126"/>
      <c r="BL348" s="126"/>
      <c r="BM348" s="126"/>
      <c r="BN348" s="126"/>
      <c r="BO348" s="126"/>
      <c r="BP348" s="126"/>
      <c r="BQ348" s="130">
        <f t="shared" si="149"/>
        <v>0</v>
      </c>
      <c r="BR348" s="132"/>
    </row>
    <row r="349" ht="14.25" customHeight="1">
      <c r="A349" s="132"/>
      <c r="B349" s="512">
        <v>46334</v>
      </c>
      <c r="C349" s="136"/>
      <c r="D349" s="136"/>
      <c r="E349" s="135"/>
      <c r="F349" s="135"/>
      <c r="G349" s="147">
        <f t="shared" si="141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42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43"/>
        <v>0</v>
      </c>
      <c r="AH349" s="136"/>
      <c r="AI349" s="136"/>
      <c r="AJ349" s="136"/>
      <c r="AK349" s="105">
        <f t="shared" si="144"/>
        <v>0</v>
      </c>
      <c r="AL349" s="143"/>
      <c r="AM349" s="143"/>
      <c r="AN349" s="143"/>
      <c r="AO349" s="143"/>
      <c r="AP349" s="146"/>
      <c r="AQ349" s="224">
        <f t="shared" si="150"/>
        <v>0</v>
      </c>
      <c r="AR349" s="274"/>
      <c r="AS349" s="126"/>
      <c r="AT349" s="126"/>
      <c r="AU349" s="126"/>
      <c r="AV349" s="274"/>
      <c r="AW349" s="274"/>
      <c r="AX349" s="274"/>
      <c r="AY349" s="274"/>
      <c r="AZ349" s="222">
        <f t="shared" si="146"/>
        <v>0</v>
      </c>
      <c r="BA349" s="140">
        <f t="shared" si="147"/>
        <v>0</v>
      </c>
      <c r="BB349" s="132"/>
      <c r="BC349" s="140">
        <f t="shared" si="148"/>
        <v>0</v>
      </c>
      <c r="BD349" s="126"/>
      <c r="BE349" s="126"/>
      <c r="BF349" s="126"/>
      <c r="BG349" s="126"/>
      <c r="BH349" s="126"/>
      <c r="BI349" s="126"/>
      <c r="BJ349" s="126"/>
      <c r="BK349" s="126"/>
      <c r="BL349" s="126"/>
      <c r="BM349" s="126"/>
      <c r="BN349" s="126"/>
      <c r="BO349" s="126"/>
      <c r="BP349" s="126"/>
      <c r="BQ349" s="130">
        <f t="shared" si="149"/>
        <v>0</v>
      </c>
      <c r="BR349" s="132"/>
    </row>
    <row r="350" ht="14.25" customHeight="1">
      <c r="A350" s="132"/>
      <c r="B350" s="512">
        <v>46335</v>
      </c>
      <c r="C350" s="136"/>
      <c r="D350" s="136"/>
      <c r="E350" s="135"/>
      <c r="F350" s="135"/>
      <c r="G350" s="147">
        <f t="shared" si="141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42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43"/>
        <v>0</v>
      </c>
      <c r="AH350" s="136"/>
      <c r="AI350" s="136"/>
      <c r="AJ350" s="136"/>
      <c r="AK350" s="105">
        <f t="shared" si="144"/>
        <v>0</v>
      </c>
      <c r="AL350" s="143"/>
      <c r="AM350" s="143"/>
      <c r="AN350" s="143"/>
      <c r="AO350" s="143"/>
      <c r="AP350" s="146"/>
      <c r="AQ350" s="224">
        <f t="shared" si="150"/>
        <v>0</v>
      </c>
      <c r="AR350" s="274"/>
      <c r="AS350" s="126"/>
      <c r="AT350" s="126"/>
      <c r="AU350" s="126"/>
      <c r="AV350" s="274"/>
      <c r="AW350" s="274"/>
      <c r="AX350" s="274"/>
      <c r="AY350" s="274"/>
      <c r="AZ350" s="222">
        <f t="shared" si="146"/>
        <v>0</v>
      </c>
      <c r="BA350" s="140">
        <f t="shared" si="147"/>
        <v>0</v>
      </c>
      <c r="BB350" s="132"/>
      <c r="BC350" s="140">
        <f t="shared" si="148"/>
        <v>0</v>
      </c>
      <c r="BD350" s="126"/>
      <c r="BE350" s="126"/>
      <c r="BF350" s="126"/>
      <c r="BG350" s="126"/>
      <c r="BH350" s="126"/>
      <c r="BI350" s="126"/>
      <c r="BJ350" s="126"/>
      <c r="BK350" s="126"/>
      <c r="BL350" s="126"/>
      <c r="BM350" s="126"/>
      <c r="BN350" s="126"/>
      <c r="BO350" s="126"/>
      <c r="BP350" s="126"/>
      <c r="BQ350" s="130">
        <f t="shared" si="149"/>
        <v>0</v>
      </c>
      <c r="BR350" s="132"/>
    </row>
    <row r="351" ht="14.25" customHeight="1">
      <c r="A351" s="132"/>
      <c r="B351" s="512">
        <v>46336</v>
      </c>
      <c r="C351" s="136"/>
      <c r="D351" s="136"/>
      <c r="E351" s="135"/>
      <c r="F351" s="135"/>
      <c r="G351" s="147">
        <f t="shared" si="141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42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43"/>
        <v>0</v>
      </c>
      <c r="AH351" s="136"/>
      <c r="AI351" s="136"/>
      <c r="AJ351" s="136"/>
      <c r="AK351" s="105">
        <f t="shared" si="144"/>
        <v>0</v>
      </c>
      <c r="AL351" s="143"/>
      <c r="AM351" s="143"/>
      <c r="AN351" s="143"/>
      <c r="AO351" s="143"/>
      <c r="AP351" s="146"/>
      <c r="AQ351" s="224">
        <f ref="AQ351:AQ355" t="shared" si="151">+G351-T351-AG351-AK351-AL351-AN351-AO351-AP351</f>
        <v>0</v>
      </c>
      <c r="AR351" s="274"/>
      <c r="AS351" s="126"/>
      <c r="AT351" s="126"/>
      <c r="AU351" s="126"/>
      <c r="AV351" s="274"/>
      <c r="AW351" s="274"/>
      <c r="AX351" s="274"/>
      <c r="AY351" s="274"/>
      <c r="AZ351" s="222">
        <f t="shared" si="146"/>
        <v>0</v>
      </c>
      <c r="BA351" s="140">
        <f t="shared" si="147"/>
        <v>0</v>
      </c>
      <c r="BB351" s="132"/>
      <c r="BC351" s="140">
        <f t="shared" si="148"/>
        <v>0</v>
      </c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30">
        <f t="shared" si="149"/>
        <v>0</v>
      </c>
      <c r="BR351" s="132"/>
    </row>
    <row r="352" ht="14.25" customHeight="1">
      <c r="A352" s="132"/>
      <c r="B352" s="512">
        <v>46337</v>
      </c>
      <c r="C352" s="136"/>
      <c r="D352" s="136"/>
      <c r="E352" s="135"/>
      <c r="F352" s="135"/>
      <c r="G352" s="147">
        <f t="shared" si="141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42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43"/>
        <v>0</v>
      </c>
      <c r="AH352" s="136"/>
      <c r="AI352" s="136"/>
      <c r="AJ352" s="136"/>
      <c r="AK352" s="105">
        <f t="shared" si="144"/>
        <v>0</v>
      </c>
      <c r="AL352" s="143"/>
      <c r="AM352" s="143"/>
      <c r="AN352" s="143"/>
      <c r="AO352" s="143"/>
      <c r="AP352" s="146"/>
      <c r="AQ352" s="224">
        <f t="shared" si="151"/>
        <v>0</v>
      </c>
      <c r="AR352" s="274"/>
      <c r="AS352" s="126"/>
      <c r="AT352" s="126"/>
      <c r="AU352" s="126"/>
      <c r="AV352" s="274"/>
      <c r="AW352" s="274"/>
      <c r="AX352" s="274"/>
      <c r="AY352" s="274"/>
      <c r="AZ352" s="222">
        <f t="shared" si="146"/>
        <v>0</v>
      </c>
      <c r="BA352" s="140">
        <f t="shared" si="147"/>
        <v>0</v>
      </c>
      <c r="BB352" s="132"/>
      <c r="BC352" s="140">
        <f t="shared" si="148"/>
        <v>0</v>
      </c>
      <c r="BD352" s="126"/>
      <c r="BE352" s="126"/>
      <c r="BF352" s="126"/>
      <c r="BG352" s="126"/>
      <c r="BH352" s="126"/>
      <c r="BI352" s="126"/>
      <c r="BJ352" s="126"/>
      <c r="BK352" s="126"/>
      <c r="BL352" s="126"/>
      <c r="BM352" s="126"/>
      <c r="BN352" s="126"/>
      <c r="BO352" s="126"/>
      <c r="BP352" s="126"/>
      <c r="BQ352" s="130">
        <f t="shared" si="149"/>
        <v>0</v>
      </c>
      <c r="BR352" s="132"/>
    </row>
    <row r="353" ht="14.25" customHeight="1">
      <c r="A353" s="132"/>
      <c r="B353" s="512">
        <v>46338</v>
      </c>
      <c r="C353" s="136"/>
      <c r="D353" s="136"/>
      <c r="E353" s="135"/>
      <c r="F353" s="135"/>
      <c r="G353" s="147">
        <f t="shared" si="141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42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43"/>
        <v>0</v>
      </c>
      <c r="AH353" s="136"/>
      <c r="AI353" s="136"/>
      <c r="AJ353" s="136"/>
      <c r="AK353" s="105">
        <f t="shared" si="144"/>
        <v>0</v>
      </c>
      <c r="AL353" s="143"/>
      <c r="AM353" s="143"/>
      <c r="AN353" s="143"/>
      <c r="AO353" s="143"/>
      <c r="AP353" s="146"/>
      <c r="AQ353" s="224">
        <f t="shared" si="151"/>
        <v>0</v>
      </c>
      <c r="AR353" s="274"/>
      <c r="AS353" s="126"/>
      <c r="AT353" s="126"/>
      <c r="AU353" s="126"/>
      <c r="AV353" s="274"/>
      <c r="AW353" s="274"/>
      <c r="AX353" s="274"/>
      <c r="AY353" s="274"/>
      <c r="AZ353" s="222">
        <f t="shared" si="146"/>
        <v>0</v>
      </c>
      <c r="BA353" s="140">
        <f t="shared" si="147"/>
        <v>0</v>
      </c>
      <c r="BB353" s="132"/>
      <c r="BC353" s="140">
        <f t="shared" si="148"/>
        <v>0</v>
      </c>
      <c r="BD353" s="126"/>
      <c r="BE353" s="126"/>
      <c r="BF353" s="126"/>
      <c r="BG353" s="126"/>
      <c r="BH353" s="126"/>
      <c r="BI353" s="126"/>
      <c r="BJ353" s="126"/>
      <c r="BK353" s="126"/>
      <c r="BL353" s="126"/>
      <c r="BM353" s="126"/>
      <c r="BN353" s="126"/>
      <c r="BO353" s="126"/>
      <c r="BP353" s="126"/>
      <c r="BQ353" s="130">
        <f t="shared" si="149"/>
        <v>0</v>
      </c>
      <c r="BR353" s="132"/>
    </row>
    <row r="354" ht="14.25" customHeight="1">
      <c r="A354" s="132"/>
      <c r="B354" s="512">
        <v>46339</v>
      </c>
      <c r="C354" s="136"/>
      <c r="D354" s="136"/>
      <c r="E354" s="135"/>
      <c r="F354" s="135"/>
      <c r="G354" s="147">
        <f t="shared" si="141"/>
        <v>0</v>
      </c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42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43"/>
        <v>0</v>
      </c>
      <c r="AH354" s="136"/>
      <c r="AI354" s="136"/>
      <c r="AJ354" s="136"/>
      <c r="AK354" s="105">
        <f t="shared" si="144"/>
        <v>0</v>
      </c>
      <c r="AL354" s="143"/>
      <c r="AM354" s="143"/>
      <c r="AN354" s="143"/>
      <c r="AO354" s="143"/>
      <c r="AP354" s="146"/>
      <c r="AQ354" s="224">
        <f t="shared" si="151"/>
        <v>0</v>
      </c>
      <c r="AR354" s="274"/>
      <c r="AS354" s="126"/>
      <c r="AT354" s="126"/>
      <c r="AU354" s="126"/>
      <c r="AV354" s="274"/>
      <c r="AW354" s="274"/>
      <c r="AX354" s="274"/>
      <c r="AY354" s="274"/>
      <c r="AZ354" s="222">
        <f t="shared" si="146"/>
        <v>0</v>
      </c>
      <c r="BA354" s="140">
        <f t="shared" si="147"/>
        <v>0</v>
      </c>
      <c r="BB354" s="132"/>
      <c r="BC354" s="140">
        <f t="shared" si="148"/>
        <v>0</v>
      </c>
      <c r="BD354" s="126"/>
      <c r="BE354" s="126"/>
      <c r="BF354" s="126"/>
      <c r="BG354" s="126"/>
      <c r="BH354" s="126"/>
      <c r="BI354" s="126"/>
      <c r="BJ354" s="126"/>
      <c r="BK354" s="126"/>
      <c r="BL354" s="126"/>
      <c r="BM354" s="126"/>
      <c r="BN354" s="126"/>
      <c r="BO354" s="126"/>
      <c r="BP354" s="126"/>
      <c r="BQ354" s="130">
        <f t="shared" si="149"/>
        <v>0</v>
      </c>
      <c r="BR354" s="132"/>
    </row>
    <row r="355" ht="14.25" customHeight="1">
      <c r="A355" s="132"/>
      <c r="B355" s="512">
        <v>46340</v>
      </c>
      <c r="C355" s="136"/>
      <c r="D355" s="136"/>
      <c r="E355" s="135"/>
      <c r="F355" s="135"/>
      <c r="G355" s="147">
        <f t="shared" si="141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42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43"/>
        <v>0</v>
      </c>
      <c r="AH355" s="136"/>
      <c r="AI355" s="136"/>
      <c r="AJ355" s="136"/>
      <c r="AK355" s="105">
        <f t="shared" si="144"/>
        <v>0</v>
      </c>
      <c r="AL355" s="143"/>
      <c r="AM355" s="143"/>
      <c r="AN355" s="143"/>
      <c r="AO355" s="143"/>
      <c r="AP355" s="146"/>
      <c r="AQ355" s="224">
        <f t="shared" si="151"/>
        <v>0</v>
      </c>
      <c r="AR355" s="274"/>
      <c r="AS355" s="126"/>
      <c r="AT355" s="126"/>
      <c r="AU355" s="126"/>
      <c r="AV355" s="274"/>
      <c r="AW355" s="274"/>
      <c r="AX355" s="274"/>
      <c r="AY355" s="274"/>
      <c r="AZ355" s="222">
        <f t="shared" si="146"/>
        <v>0</v>
      </c>
      <c r="BA355" s="140">
        <f t="shared" si="147"/>
        <v>0</v>
      </c>
      <c r="BB355" s="132"/>
      <c r="BC355" s="140">
        <f t="shared" si="148"/>
        <v>0</v>
      </c>
      <c r="BD355" s="126"/>
      <c r="BE355" s="126"/>
      <c r="BF355" s="126"/>
      <c r="BG355" s="126"/>
      <c r="BH355" s="126"/>
      <c r="BI355" s="126"/>
      <c r="BJ355" s="126"/>
      <c r="BK355" s="126"/>
      <c r="BL355" s="126"/>
      <c r="BM355" s="126"/>
      <c r="BN355" s="126"/>
      <c r="BO355" s="126"/>
      <c r="BP355" s="126"/>
      <c r="BQ355" s="130">
        <f t="shared" si="149"/>
        <v>0</v>
      </c>
      <c r="BR355" s="132"/>
    </row>
    <row r="356" ht="14.25" customHeight="1">
      <c r="A356" s="132"/>
      <c r="B356" s="512">
        <v>46341</v>
      </c>
      <c r="C356" s="136"/>
      <c r="D356" s="136"/>
      <c r="E356" s="135"/>
      <c r="F356" s="135"/>
      <c r="G356" s="147">
        <f t="shared" si="141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42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43"/>
        <v>0</v>
      </c>
      <c r="AH356" s="136"/>
      <c r="AI356" s="136"/>
      <c r="AJ356" s="136"/>
      <c r="AK356" s="105">
        <f t="shared" si="144"/>
        <v>0</v>
      </c>
      <c r="AL356" s="143"/>
      <c r="AM356" s="143"/>
      <c r="AN356" s="143"/>
      <c r="AO356" s="143"/>
      <c r="AP356" s="146"/>
      <c r="AQ356" s="224">
        <f ref="AQ356:AQ371" t="shared" si="152">+G356-T356-AG356-AK356-AL356-AN356-AO356-AP356-AM356</f>
        <v>0</v>
      </c>
      <c r="AR356" s="274"/>
      <c r="AS356" s="126"/>
      <c r="AT356" s="126"/>
      <c r="AU356" s="126"/>
      <c r="AV356" s="274"/>
      <c r="AW356" s="274"/>
      <c r="AX356" s="274"/>
      <c r="AY356" s="274"/>
      <c r="AZ356" s="222">
        <f t="shared" si="146"/>
        <v>0</v>
      </c>
      <c r="BA356" s="140">
        <f t="shared" si="147"/>
        <v>0</v>
      </c>
      <c r="BB356" s="132"/>
      <c r="BC356" s="140">
        <f t="shared" si="148"/>
        <v>0</v>
      </c>
      <c r="BD356" s="126"/>
      <c r="BE356" s="126"/>
      <c r="BF356" s="126"/>
      <c r="BG356" s="126"/>
      <c r="BH356" s="126"/>
      <c r="BI356" s="126"/>
      <c r="BJ356" s="126"/>
      <c r="BK356" s="126"/>
      <c r="BL356" s="126"/>
      <c r="BM356" s="126"/>
      <c r="BN356" s="126"/>
      <c r="BO356" s="126"/>
      <c r="BP356" s="126"/>
      <c r="BQ356" s="130">
        <f t="shared" si="149"/>
        <v>0</v>
      </c>
      <c r="BR356" s="132"/>
    </row>
    <row r="357" ht="14.25" customHeight="1">
      <c r="A357" s="3"/>
      <c r="B357" s="512">
        <v>46342</v>
      </c>
      <c r="C357" s="123"/>
      <c r="D357" s="123"/>
      <c r="E357" s="120"/>
      <c r="F357" s="120"/>
      <c r="G357" s="147">
        <f t="shared" si="141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42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43"/>
        <v>0</v>
      </c>
      <c r="AH357" s="123"/>
      <c r="AI357" s="123"/>
      <c r="AJ357" s="123"/>
      <c r="AK357" s="105">
        <f t="shared" si="144"/>
        <v>0</v>
      </c>
      <c r="AL357" s="143"/>
      <c r="AM357" s="143"/>
      <c r="AN357" s="143"/>
      <c r="AO357" s="143"/>
      <c r="AP357" s="146"/>
      <c r="AQ357" s="224">
        <f t="shared" si="152"/>
        <v>0</v>
      </c>
      <c r="AR357" s="274"/>
      <c r="AS357" s="126"/>
      <c r="AT357" s="126"/>
      <c r="AU357" s="126"/>
      <c r="AV357" s="274"/>
      <c r="AW357" s="274"/>
      <c r="AX357" s="274"/>
      <c r="AY357" s="274"/>
      <c r="AZ357" s="222">
        <f t="shared" si="146"/>
        <v>0</v>
      </c>
      <c r="BA357" s="113">
        <f t="shared" si="147"/>
        <v>0</v>
      </c>
      <c r="BB357" s="3"/>
      <c r="BC357" s="113">
        <f t="shared" si="148"/>
        <v>0</v>
      </c>
      <c r="BD357" s="225"/>
      <c r="BE357" s="225"/>
      <c r="BF357" s="225"/>
      <c r="BG357" s="225"/>
      <c r="BH357" s="225"/>
      <c r="BI357" s="225"/>
      <c r="BJ357" s="225"/>
      <c r="BK357" s="225"/>
      <c r="BL357" s="225"/>
      <c r="BM357" s="225"/>
      <c r="BN357" s="225"/>
      <c r="BO357" s="225"/>
      <c r="BP357" s="225"/>
      <c r="BQ357" s="130">
        <f t="shared" si="149"/>
        <v>0</v>
      </c>
      <c r="BR357" s="3"/>
    </row>
    <row r="358" ht="14.25" customHeight="1">
      <c r="A358" s="3"/>
      <c r="B358" s="512">
        <v>46343</v>
      </c>
      <c r="C358" s="123"/>
      <c r="D358" s="123"/>
      <c r="E358" s="120"/>
      <c r="F358" s="120"/>
      <c r="G358" s="147">
        <f t="shared" si="141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42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43"/>
        <v>0</v>
      </c>
      <c r="AH358" s="123"/>
      <c r="AI358" s="123"/>
      <c r="AJ358" s="123"/>
      <c r="AK358" s="105">
        <f t="shared" si="144"/>
        <v>0</v>
      </c>
      <c r="AL358" s="143"/>
      <c r="AM358" s="143"/>
      <c r="AN358" s="143"/>
      <c r="AO358" s="143"/>
      <c r="AP358" s="146"/>
      <c r="AQ358" s="224">
        <f t="shared" si="152"/>
        <v>0</v>
      </c>
      <c r="AR358" s="274"/>
      <c r="AS358" s="126"/>
      <c r="AT358" s="126"/>
      <c r="AU358" s="126"/>
      <c r="AV358" s="274"/>
      <c r="AW358" s="274"/>
      <c r="AX358" s="274"/>
      <c r="AY358" s="274"/>
      <c r="AZ358" s="222">
        <f t="shared" si="146"/>
        <v>0</v>
      </c>
      <c r="BA358" s="113">
        <f t="shared" si="147"/>
        <v>0</v>
      </c>
      <c r="BB358" s="3"/>
      <c r="BC358" s="113">
        <f t="shared" si="148"/>
        <v>0</v>
      </c>
      <c r="BD358" s="225"/>
      <c r="BE358" s="225"/>
      <c r="BF358" s="225"/>
      <c r="BG358" s="225"/>
      <c r="BH358" s="225"/>
      <c r="BI358" s="225"/>
      <c r="BJ358" s="225"/>
      <c r="BK358" s="225"/>
      <c r="BL358" s="225"/>
      <c r="BM358" s="225"/>
      <c r="BN358" s="225"/>
      <c r="BO358" s="225"/>
      <c r="BP358" s="225"/>
      <c r="BQ358" s="130">
        <f t="shared" si="149"/>
        <v>0</v>
      </c>
      <c r="BR358" s="3"/>
    </row>
    <row r="359" ht="14.25" customHeight="1">
      <c r="A359" s="3"/>
      <c r="B359" s="512">
        <v>46344</v>
      </c>
      <c r="C359" s="123"/>
      <c r="D359" s="123"/>
      <c r="E359" s="120"/>
      <c r="F359" s="120"/>
      <c r="G359" s="147">
        <f t="shared" si="141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42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43"/>
        <v>0</v>
      </c>
      <c r="AH359" s="123"/>
      <c r="AI359" s="123"/>
      <c r="AJ359" s="123"/>
      <c r="AK359" s="105">
        <f t="shared" si="144"/>
        <v>0</v>
      </c>
      <c r="AL359" s="143"/>
      <c r="AM359" s="143"/>
      <c r="AN359" s="143"/>
      <c r="AO359" s="143"/>
      <c r="AP359" s="146"/>
      <c r="AQ359" s="224">
        <f t="shared" si="152"/>
        <v>0</v>
      </c>
      <c r="AR359" s="274"/>
      <c r="AS359" s="126"/>
      <c r="AT359" s="126"/>
      <c r="AU359" s="126"/>
      <c r="AV359" s="274"/>
      <c r="AW359" s="274"/>
      <c r="AX359" s="274"/>
      <c r="AY359" s="274"/>
      <c r="AZ359" s="222">
        <f t="shared" si="146"/>
        <v>0</v>
      </c>
      <c r="BA359" s="113">
        <f t="shared" si="147"/>
        <v>0</v>
      </c>
      <c r="BB359" s="3"/>
      <c r="BC359" s="113">
        <f t="shared" si="148"/>
        <v>0</v>
      </c>
      <c r="BD359" s="225"/>
      <c r="BE359" s="225"/>
      <c r="BF359" s="225"/>
      <c r="BG359" s="225"/>
      <c r="BH359" s="225"/>
      <c r="BI359" s="225"/>
      <c r="BJ359" s="225"/>
      <c r="BK359" s="225"/>
      <c r="BL359" s="225"/>
      <c r="BM359" s="225"/>
      <c r="BN359" s="225"/>
      <c r="BO359" s="225"/>
      <c r="BP359" s="225"/>
      <c r="BQ359" s="130">
        <f t="shared" si="149"/>
        <v>0</v>
      </c>
      <c r="BR359" s="3"/>
    </row>
    <row r="360" ht="14.25" customHeight="1">
      <c r="A360" s="132"/>
      <c r="B360" s="512">
        <v>46345</v>
      </c>
      <c r="C360" s="136"/>
      <c r="D360" s="136"/>
      <c r="E360" s="135"/>
      <c r="F360" s="135"/>
      <c r="G360" s="147">
        <f t="shared" si="141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42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43"/>
        <v>0</v>
      </c>
      <c r="AH360" s="136"/>
      <c r="AI360" s="136"/>
      <c r="AJ360" s="136"/>
      <c r="AK360" s="105">
        <f t="shared" si="144"/>
        <v>0</v>
      </c>
      <c r="AL360" s="143"/>
      <c r="AM360" s="143"/>
      <c r="AN360" s="143"/>
      <c r="AO360" s="143"/>
      <c r="AP360" s="146"/>
      <c r="AQ360" s="224">
        <f t="shared" si="152"/>
        <v>0</v>
      </c>
      <c r="AR360" s="274"/>
      <c r="AS360" s="126"/>
      <c r="AT360" s="126"/>
      <c r="AU360" s="126"/>
      <c r="AV360" s="274"/>
      <c r="AW360" s="274"/>
      <c r="AX360" s="274"/>
      <c r="AY360" s="274"/>
      <c r="AZ360" s="222">
        <f t="shared" si="146"/>
        <v>0</v>
      </c>
      <c r="BA360" s="140">
        <f t="shared" si="147"/>
        <v>0</v>
      </c>
      <c r="BB360" s="132"/>
      <c r="BC360" s="140">
        <f t="shared" si="148"/>
        <v>0</v>
      </c>
      <c r="BD360" s="126"/>
      <c r="BE360" s="126"/>
      <c r="BF360" s="126"/>
      <c r="BG360" s="126"/>
      <c r="BH360" s="126"/>
      <c r="BI360" s="126"/>
      <c r="BJ360" s="126"/>
      <c r="BK360" s="126"/>
      <c r="BL360" s="126"/>
      <c r="BM360" s="126"/>
      <c r="BN360" s="126"/>
      <c r="BO360" s="126"/>
      <c r="BP360" s="126"/>
      <c r="BQ360" s="130">
        <f t="shared" si="149"/>
        <v>0</v>
      </c>
      <c r="BR360" s="132"/>
    </row>
    <row r="361" ht="14.25" customHeight="1">
      <c r="A361" s="132"/>
      <c r="B361" s="512">
        <v>46346</v>
      </c>
      <c r="C361" s="136"/>
      <c r="D361" s="136"/>
      <c r="E361" s="135"/>
      <c r="F361" s="135"/>
      <c r="G361" s="147">
        <f t="shared" si="141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42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43"/>
        <v>0</v>
      </c>
      <c r="AH361" s="136"/>
      <c r="AI361" s="136"/>
      <c r="AJ361" s="136"/>
      <c r="AK361" s="105">
        <f t="shared" si="144"/>
        <v>0</v>
      </c>
      <c r="AL361" s="143"/>
      <c r="AM361" s="143"/>
      <c r="AN361" s="143"/>
      <c r="AO361" s="143"/>
      <c r="AP361" s="146"/>
      <c r="AQ361" s="224">
        <f t="shared" si="152"/>
        <v>0</v>
      </c>
      <c r="AR361" s="274"/>
      <c r="AS361" s="126"/>
      <c r="AT361" s="126"/>
      <c r="AU361" s="126"/>
      <c r="AV361" s="274"/>
      <c r="AW361" s="274"/>
      <c r="AX361" s="274"/>
      <c r="AY361" s="274"/>
      <c r="AZ361" s="222">
        <f t="shared" si="146"/>
        <v>0</v>
      </c>
      <c r="BA361" s="140">
        <f t="shared" si="147"/>
        <v>0</v>
      </c>
      <c r="BB361" s="132"/>
      <c r="BC361" s="140">
        <f t="shared" si="148"/>
        <v>0</v>
      </c>
      <c r="BD361" s="126"/>
      <c r="BE361" s="126"/>
      <c r="BF361" s="126"/>
      <c r="BG361" s="126"/>
      <c r="BH361" s="126"/>
      <c r="BI361" s="126"/>
      <c r="BJ361" s="126"/>
      <c r="BK361" s="126"/>
      <c r="BL361" s="126"/>
      <c r="BM361" s="126"/>
      <c r="BN361" s="126"/>
      <c r="BO361" s="126"/>
      <c r="BP361" s="126"/>
      <c r="BQ361" s="130">
        <f t="shared" si="149"/>
        <v>0</v>
      </c>
      <c r="BR361" s="132"/>
    </row>
    <row r="362" ht="14.25" customHeight="1">
      <c r="A362" s="132"/>
      <c r="B362" s="512">
        <v>46347</v>
      </c>
      <c r="C362" s="136"/>
      <c r="D362" s="136"/>
      <c r="E362" s="135"/>
      <c r="F362" s="135"/>
      <c r="G362" s="147">
        <f t="shared" si="141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42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43"/>
        <v>0</v>
      </c>
      <c r="AH362" s="136"/>
      <c r="AI362" s="136"/>
      <c r="AJ362" s="136"/>
      <c r="AK362" s="105">
        <f t="shared" si="144"/>
        <v>0</v>
      </c>
      <c r="AL362" s="143"/>
      <c r="AM362" s="143"/>
      <c r="AN362" s="143"/>
      <c r="AO362" s="143"/>
      <c r="AP362" s="146"/>
      <c r="AQ362" s="224">
        <f t="shared" si="152"/>
        <v>0</v>
      </c>
      <c r="AR362" s="274"/>
      <c r="AS362" s="126"/>
      <c r="AT362" s="126"/>
      <c r="AU362" s="126"/>
      <c r="AV362" s="274"/>
      <c r="AW362" s="274"/>
      <c r="AX362" s="274"/>
      <c r="AY362" s="274"/>
      <c r="AZ362" s="222">
        <f t="shared" si="146"/>
        <v>0</v>
      </c>
      <c r="BA362" s="140">
        <f t="shared" si="147"/>
        <v>0</v>
      </c>
      <c r="BB362" s="132"/>
      <c r="BC362" s="140">
        <f t="shared" si="148"/>
        <v>0</v>
      </c>
      <c r="BD362" s="126"/>
      <c r="BE362" s="126"/>
      <c r="BF362" s="126"/>
      <c r="BG362" s="126"/>
      <c r="BH362" s="126"/>
      <c r="BI362" s="126"/>
      <c r="BJ362" s="126"/>
      <c r="BK362" s="126"/>
      <c r="BL362" s="126"/>
      <c r="BM362" s="126"/>
      <c r="BN362" s="126"/>
      <c r="BO362" s="126"/>
      <c r="BP362" s="126"/>
      <c r="BQ362" s="130">
        <f t="shared" si="149"/>
        <v>0</v>
      </c>
      <c r="BR362" s="132"/>
    </row>
    <row r="363" ht="14.25" customHeight="1">
      <c r="A363" s="132"/>
      <c r="B363" s="512">
        <v>46348</v>
      </c>
      <c r="C363" s="136"/>
      <c r="D363" s="136"/>
      <c r="E363" s="135"/>
      <c r="F363" s="135"/>
      <c r="G363" s="147">
        <f t="shared" si="141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42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43"/>
        <v>0</v>
      </c>
      <c r="AH363" s="136"/>
      <c r="AI363" s="136"/>
      <c r="AJ363" s="136"/>
      <c r="AK363" s="105">
        <f t="shared" si="144"/>
        <v>0</v>
      </c>
      <c r="AL363" s="143"/>
      <c r="AM363" s="143"/>
      <c r="AN363" s="143"/>
      <c r="AO363" s="143"/>
      <c r="AP363" s="146"/>
      <c r="AQ363" s="224">
        <f t="shared" si="152"/>
        <v>0</v>
      </c>
      <c r="AR363" s="274"/>
      <c r="AS363" s="126"/>
      <c r="AT363" s="126"/>
      <c r="AU363" s="126"/>
      <c r="AV363" s="274"/>
      <c r="AW363" s="274"/>
      <c r="AX363" s="274"/>
      <c r="AY363" s="274"/>
      <c r="AZ363" s="222">
        <f t="shared" si="146"/>
        <v>0</v>
      </c>
      <c r="BA363" s="140">
        <f t="shared" si="147"/>
        <v>0</v>
      </c>
      <c r="BB363" s="132"/>
      <c r="BC363" s="140">
        <f t="shared" si="148"/>
        <v>0</v>
      </c>
      <c r="BD363" s="126"/>
      <c r="BE363" s="126"/>
      <c r="BF363" s="126"/>
      <c r="BG363" s="126"/>
      <c r="BH363" s="126"/>
      <c r="BI363" s="126"/>
      <c r="BJ363" s="126"/>
      <c r="BK363" s="126"/>
      <c r="BL363" s="126"/>
      <c r="BM363" s="126"/>
      <c r="BN363" s="126"/>
      <c r="BO363" s="126"/>
      <c r="BP363" s="126"/>
      <c r="BQ363" s="130">
        <f t="shared" si="149"/>
        <v>0</v>
      </c>
      <c r="BR363" s="132"/>
    </row>
    <row r="364" ht="14.25" customHeight="1">
      <c r="A364" s="132"/>
      <c r="B364" s="512">
        <v>46349</v>
      </c>
      <c r="C364" s="136"/>
      <c r="D364" s="136"/>
      <c r="E364" s="135"/>
      <c r="F364" s="135"/>
      <c r="G364" s="147">
        <f t="shared" si="141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42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43"/>
        <v>0</v>
      </c>
      <c r="AH364" s="136"/>
      <c r="AI364" s="136"/>
      <c r="AJ364" s="136"/>
      <c r="AK364" s="105">
        <f t="shared" si="144"/>
        <v>0</v>
      </c>
      <c r="AL364" s="143"/>
      <c r="AM364" s="143"/>
      <c r="AN364" s="143"/>
      <c r="AO364" s="143"/>
      <c r="AP364" s="146"/>
      <c r="AQ364" s="224">
        <f t="shared" si="152"/>
        <v>0</v>
      </c>
      <c r="AR364" s="274"/>
      <c r="AS364" s="126"/>
      <c r="AT364" s="126"/>
      <c r="AU364" s="126"/>
      <c r="AV364" s="274"/>
      <c r="AW364" s="274"/>
      <c r="AX364" s="274"/>
      <c r="AY364" s="274"/>
      <c r="AZ364" s="222">
        <f t="shared" si="146"/>
        <v>0</v>
      </c>
      <c r="BA364" s="140">
        <f t="shared" si="147"/>
        <v>0</v>
      </c>
      <c r="BB364" s="132"/>
      <c r="BC364" s="140">
        <f t="shared" si="148"/>
        <v>0</v>
      </c>
      <c r="BD364" s="126"/>
      <c r="BE364" s="126"/>
      <c r="BF364" s="126"/>
      <c r="BG364" s="126"/>
      <c r="BH364" s="126"/>
      <c r="BI364" s="126"/>
      <c r="BJ364" s="126"/>
      <c r="BK364" s="126"/>
      <c r="BL364" s="126"/>
      <c r="BM364" s="126"/>
      <c r="BN364" s="126"/>
      <c r="BO364" s="126"/>
      <c r="BP364" s="126"/>
      <c r="BQ364" s="130">
        <f t="shared" si="149"/>
        <v>0</v>
      </c>
      <c r="BR364" s="132"/>
    </row>
    <row r="365" ht="14.25" customHeight="1">
      <c r="A365" s="132"/>
      <c r="B365" s="512">
        <v>46350</v>
      </c>
      <c r="C365" s="136"/>
      <c r="D365" s="136"/>
      <c r="E365" s="135"/>
      <c r="F365" s="135"/>
      <c r="G365" s="147">
        <f t="shared" si="141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42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43"/>
        <v>0</v>
      </c>
      <c r="AH365" s="136"/>
      <c r="AI365" s="136"/>
      <c r="AJ365" s="136"/>
      <c r="AK365" s="105">
        <f t="shared" si="144"/>
        <v>0</v>
      </c>
      <c r="AL365" s="143"/>
      <c r="AM365" s="143"/>
      <c r="AN365" s="143"/>
      <c r="AO365" s="143"/>
      <c r="AP365" s="146"/>
      <c r="AQ365" s="224">
        <f t="shared" si="152"/>
        <v>0</v>
      </c>
      <c r="AR365" s="274"/>
      <c r="AS365" s="126"/>
      <c r="AT365" s="126"/>
      <c r="AU365" s="126"/>
      <c r="AV365" s="274"/>
      <c r="AW365" s="274"/>
      <c r="AX365" s="274"/>
      <c r="AY365" s="274"/>
      <c r="AZ365" s="222">
        <f t="shared" si="146"/>
        <v>0</v>
      </c>
      <c r="BA365" s="140">
        <f t="shared" si="147"/>
        <v>0</v>
      </c>
      <c r="BB365" s="132"/>
      <c r="BC365" s="140">
        <f t="shared" si="148"/>
        <v>0</v>
      </c>
      <c r="BD365" s="126"/>
      <c r="BE365" s="126"/>
      <c r="BF365" s="126"/>
      <c r="BG365" s="126"/>
      <c r="BH365" s="126"/>
      <c r="BI365" s="126"/>
      <c r="BJ365" s="126"/>
      <c r="BK365" s="126"/>
      <c r="BL365" s="126"/>
      <c r="BM365" s="126"/>
      <c r="BN365" s="126"/>
      <c r="BO365" s="126"/>
      <c r="BP365" s="126"/>
      <c r="BQ365" s="130">
        <f t="shared" si="149"/>
        <v>0</v>
      </c>
      <c r="BR365" s="132"/>
    </row>
    <row r="366" ht="14.25" customHeight="1">
      <c r="A366" s="132"/>
      <c r="B366" s="512">
        <v>46351</v>
      </c>
      <c r="C366" s="136"/>
      <c r="D366" s="136"/>
      <c r="E366" s="135"/>
      <c r="F366" s="135"/>
      <c r="G366" s="147">
        <f t="shared" si="141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42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43"/>
        <v>0</v>
      </c>
      <c r="AH366" s="136"/>
      <c r="AI366" s="136"/>
      <c r="AJ366" s="136"/>
      <c r="AK366" s="105">
        <f t="shared" si="144"/>
        <v>0</v>
      </c>
      <c r="AL366" s="143"/>
      <c r="AM366" s="143"/>
      <c r="AN366" s="143"/>
      <c r="AO366" s="143"/>
      <c r="AP366" s="146"/>
      <c r="AQ366" s="224">
        <f t="shared" si="152"/>
        <v>0</v>
      </c>
      <c r="AR366" s="274"/>
      <c r="AS366" s="126"/>
      <c r="AT366" s="126"/>
      <c r="AU366" s="126"/>
      <c r="AV366" s="274"/>
      <c r="AW366" s="274"/>
      <c r="AX366" s="274"/>
      <c r="AY366" s="274"/>
      <c r="AZ366" s="222">
        <f t="shared" si="146"/>
        <v>0</v>
      </c>
      <c r="BA366" s="140">
        <f t="shared" si="147"/>
        <v>0</v>
      </c>
      <c r="BB366" s="132"/>
      <c r="BC366" s="140">
        <f t="shared" si="148"/>
        <v>0</v>
      </c>
      <c r="BD366" s="126"/>
      <c r="BE366" s="126"/>
      <c r="BF366" s="126"/>
      <c r="BG366" s="126"/>
      <c r="BH366" s="126"/>
      <c r="BI366" s="126"/>
      <c r="BJ366" s="126"/>
      <c r="BK366" s="126"/>
      <c r="BL366" s="126"/>
      <c r="BM366" s="126"/>
      <c r="BN366" s="126"/>
      <c r="BO366" s="126"/>
      <c r="BP366" s="126"/>
      <c r="BQ366" s="130">
        <f t="shared" si="149"/>
        <v>0</v>
      </c>
      <c r="BR366" s="132"/>
    </row>
    <row r="367" ht="15.75" customHeight="1">
      <c r="A367" s="132"/>
      <c r="B367" s="512">
        <v>46352</v>
      </c>
      <c r="C367" s="136"/>
      <c r="D367" s="136"/>
      <c r="E367" s="135"/>
      <c r="F367" s="135"/>
      <c r="G367" s="147">
        <f t="shared" si="141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42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43"/>
        <v>0</v>
      </c>
      <c r="AH367" s="136"/>
      <c r="AI367" s="136"/>
      <c r="AJ367" s="136"/>
      <c r="AK367" s="105">
        <f t="shared" si="144"/>
        <v>0</v>
      </c>
      <c r="AL367" s="143"/>
      <c r="AM367" s="143"/>
      <c r="AN367" s="143"/>
      <c r="AO367" s="143"/>
      <c r="AP367" s="146"/>
      <c r="AQ367" s="224">
        <f t="shared" si="152"/>
        <v>0</v>
      </c>
      <c r="AR367" s="274"/>
      <c r="AS367" s="126"/>
      <c r="AT367" s="126"/>
      <c r="AU367" s="126"/>
      <c r="AV367" s="274"/>
      <c r="AW367" s="274"/>
      <c r="AX367" s="274"/>
      <c r="AY367" s="274"/>
      <c r="AZ367" s="222">
        <f t="shared" si="146"/>
        <v>0</v>
      </c>
      <c r="BA367" s="140">
        <f t="shared" si="147"/>
        <v>0</v>
      </c>
      <c r="BB367" s="132"/>
      <c r="BC367" s="140">
        <f t="shared" si="148"/>
        <v>0</v>
      </c>
      <c r="BD367" s="126"/>
      <c r="BE367" s="126"/>
      <c r="BF367" s="126"/>
      <c r="BG367" s="126"/>
      <c r="BH367" s="126"/>
      <c r="BI367" s="126"/>
      <c r="BJ367" s="126"/>
      <c r="BK367" s="126"/>
      <c r="BL367" s="126"/>
      <c r="BM367" s="126"/>
      <c r="BN367" s="126"/>
      <c r="BO367" s="126"/>
      <c r="BP367" s="126"/>
      <c r="BQ367" s="130">
        <f t="shared" si="149"/>
        <v>0</v>
      </c>
      <c r="BR367" s="132"/>
    </row>
    <row r="368" ht="14.25" customHeight="1">
      <c r="A368" s="132"/>
      <c r="B368" s="512">
        <v>46353</v>
      </c>
      <c r="C368" s="136"/>
      <c r="D368" s="136"/>
      <c r="E368" s="135"/>
      <c r="F368" s="135"/>
      <c r="G368" s="147">
        <f t="shared" si="141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42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43"/>
        <v>0</v>
      </c>
      <c r="AH368" s="136"/>
      <c r="AI368" s="136"/>
      <c r="AJ368" s="136"/>
      <c r="AK368" s="105">
        <f t="shared" si="144"/>
        <v>0</v>
      </c>
      <c r="AL368" s="143"/>
      <c r="AM368" s="143"/>
      <c r="AN368" s="143"/>
      <c r="AO368" s="143"/>
      <c r="AP368" s="146"/>
      <c r="AQ368" s="224">
        <f t="shared" si="152"/>
        <v>0</v>
      </c>
      <c r="AR368" s="274"/>
      <c r="AS368" s="126"/>
      <c r="AT368" s="126"/>
      <c r="AU368" s="126"/>
      <c r="AV368" s="274"/>
      <c r="AW368" s="274"/>
      <c r="AX368" s="274"/>
      <c r="AY368" s="274"/>
      <c r="AZ368" s="222">
        <f t="shared" si="146"/>
        <v>0</v>
      </c>
      <c r="BA368" s="140">
        <f t="shared" si="147"/>
        <v>0</v>
      </c>
      <c r="BB368" s="132"/>
      <c r="BC368" s="140">
        <f t="shared" si="148"/>
        <v>0</v>
      </c>
      <c r="BD368" s="126"/>
      <c r="BE368" s="126"/>
      <c r="BF368" s="126"/>
      <c r="BG368" s="126"/>
      <c r="BH368" s="126"/>
      <c r="BI368" s="126"/>
      <c r="BJ368" s="126"/>
      <c r="BK368" s="126"/>
      <c r="BL368" s="126"/>
      <c r="BM368" s="126"/>
      <c r="BN368" s="126"/>
      <c r="BO368" s="126"/>
      <c r="BP368" s="126"/>
      <c r="BQ368" s="130">
        <f t="shared" si="149"/>
        <v>0</v>
      </c>
      <c r="BR368" s="132"/>
    </row>
    <row r="369" ht="14.25" customHeight="1">
      <c r="A369" s="132"/>
      <c r="B369" s="512">
        <v>46354</v>
      </c>
      <c r="C369" s="136"/>
      <c r="D369" s="136"/>
      <c r="E369" s="135"/>
      <c r="F369" s="135"/>
      <c r="G369" s="147">
        <f t="shared" si="141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42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43"/>
        <v>0</v>
      </c>
      <c r="AH369" s="136"/>
      <c r="AI369" s="136"/>
      <c r="AJ369" s="136"/>
      <c r="AK369" s="105">
        <f t="shared" si="144"/>
        <v>0</v>
      </c>
      <c r="AL369" s="143"/>
      <c r="AM369" s="143"/>
      <c r="AN369" s="143"/>
      <c r="AO369" s="143"/>
      <c r="AP369" s="146"/>
      <c r="AQ369" s="224">
        <f t="shared" si="152"/>
        <v>0</v>
      </c>
      <c r="AR369" s="274"/>
      <c r="AS369" s="126"/>
      <c r="AT369" s="126"/>
      <c r="AU369" s="126"/>
      <c r="AV369" s="274"/>
      <c r="AW369" s="274"/>
      <c r="AX369" s="274"/>
      <c r="AY369" s="274"/>
      <c r="AZ369" s="222">
        <f t="shared" si="146"/>
        <v>0</v>
      </c>
      <c r="BA369" s="140">
        <f t="shared" si="147"/>
        <v>0</v>
      </c>
      <c r="BB369" s="132"/>
      <c r="BC369" s="140">
        <f t="shared" si="148"/>
        <v>0</v>
      </c>
      <c r="BD369" s="126"/>
      <c r="BE369" s="126"/>
      <c r="BF369" s="126"/>
      <c r="BG369" s="126"/>
      <c r="BH369" s="126"/>
      <c r="BI369" s="126"/>
      <c r="BJ369" s="126"/>
      <c r="BK369" s="126"/>
      <c r="BL369" s="126"/>
      <c r="BM369" s="126"/>
      <c r="BN369" s="126"/>
      <c r="BO369" s="126"/>
      <c r="BP369" s="126"/>
      <c r="BQ369" s="130">
        <f t="shared" si="149"/>
        <v>0</v>
      </c>
      <c r="BR369" s="132"/>
    </row>
    <row r="370" ht="14.25" customHeight="1">
      <c r="A370" s="132"/>
      <c r="B370" s="512">
        <v>46355</v>
      </c>
      <c r="C370" s="136"/>
      <c r="D370" s="136"/>
      <c r="E370" s="135"/>
      <c r="F370" s="135"/>
      <c r="G370" s="147">
        <f t="shared" si="141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42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43"/>
        <v>0</v>
      </c>
      <c r="AH370" s="136"/>
      <c r="AI370" s="136"/>
      <c r="AJ370" s="136"/>
      <c r="AK370" s="105">
        <f t="shared" si="144"/>
        <v>0</v>
      </c>
      <c r="AL370" s="143"/>
      <c r="AM370" s="143"/>
      <c r="AN370" s="143"/>
      <c r="AO370" s="143"/>
      <c r="AP370" s="146"/>
      <c r="AQ370" s="224">
        <f t="shared" si="152"/>
        <v>0</v>
      </c>
      <c r="AR370" s="274"/>
      <c r="AS370" s="126"/>
      <c r="AT370" s="126"/>
      <c r="AU370" s="126"/>
      <c r="AV370" s="274"/>
      <c r="AW370" s="274"/>
      <c r="AX370" s="274"/>
      <c r="AY370" s="274"/>
      <c r="AZ370" s="222">
        <f t="shared" si="146"/>
        <v>0</v>
      </c>
      <c r="BA370" s="140">
        <f t="shared" si="147"/>
        <v>0</v>
      </c>
      <c r="BB370" s="132"/>
      <c r="BC370" s="140">
        <f t="shared" si="148"/>
        <v>0</v>
      </c>
      <c r="BD370" s="126"/>
      <c r="BE370" s="126"/>
      <c r="BF370" s="126"/>
      <c r="BG370" s="126"/>
      <c r="BH370" s="126"/>
      <c r="BI370" s="126"/>
      <c r="BJ370" s="126"/>
      <c r="BK370" s="126"/>
      <c r="BL370" s="126"/>
      <c r="BM370" s="126"/>
      <c r="BN370" s="126"/>
      <c r="BO370" s="126"/>
      <c r="BP370" s="126"/>
      <c r="BQ370" s="130">
        <f t="shared" si="149"/>
        <v>0</v>
      </c>
      <c r="BR370" s="132"/>
    </row>
    <row r="371" ht="14.25" customHeight="1">
      <c r="A371" s="132"/>
      <c r="B371" s="512">
        <v>46356</v>
      </c>
      <c r="C371" s="136"/>
      <c r="D371" s="136"/>
      <c r="E371" s="135"/>
      <c r="F371" s="135"/>
      <c r="G371" s="147">
        <f t="shared" si="141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42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43"/>
        <v>0</v>
      </c>
      <c r="AH371" s="136"/>
      <c r="AI371" s="136"/>
      <c r="AJ371" s="136"/>
      <c r="AK371" s="105">
        <f t="shared" si="144"/>
        <v>0</v>
      </c>
      <c r="AL371" s="143"/>
      <c r="AM371" s="143"/>
      <c r="AN371" s="143"/>
      <c r="AO371" s="143"/>
      <c r="AP371" s="146"/>
      <c r="AQ371" s="224">
        <f t="shared" si="152"/>
        <v>0</v>
      </c>
      <c r="AR371" s="296"/>
      <c r="AS371" s="138"/>
      <c r="AT371" s="138"/>
      <c r="AU371" s="138"/>
      <c r="AV371" s="274"/>
      <c r="AW371" s="274"/>
      <c r="AX371" s="274"/>
      <c r="AY371" s="274"/>
      <c r="AZ371" s="222">
        <f t="shared" si="146"/>
        <v>0</v>
      </c>
      <c r="BA371" s="140">
        <f t="shared" si="147"/>
        <v>0</v>
      </c>
      <c r="BB371" s="132"/>
      <c r="BC371" s="140">
        <f t="shared" si="148"/>
        <v>0</v>
      </c>
      <c r="BD371" s="126"/>
      <c r="BE371" s="126"/>
      <c r="BF371" s="126"/>
      <c r="BG371" s="126"/>
      <c r="BH371" s="126"/>
      <c r="BI371" s="126"/>
      <c r="BJ371" s="126"/>
      <c r="BK371" s="126"/>
      <c r="BL371" s="126"/>
      <c r="BM371" s="126"/>
      <c r="BN371" s="126"/>
      <c r="BO371" s="126"/>
      <c r="BP371" s="126"/>
      <c r="BQ371" s="130">
        <f t="shared" si="149"/>
        <v>0</v>
      </c>
      <c r="BR371" s="132"/>
    </row>
    <row r="372" ht="14.25" customHeight="1">
      <c r="A372" s="3"/>
      <c r="B372" s="2"/>
      <c r="C372" s="166">
        <f ref="C372:T372" t="shared" si="153">SUM(C342:C371)</f>
        <v>0</v>
      </c>
      <c r="D372" s="166">
        <f t="shared" si="153"/>
        <v>0</v>
      </c>
      <c r="E372" s="166">
        <f t="shared" si="153"/>
        <v>0</v>
      </c>
      <c r="F372" s="166">
        <f t="shared" si="153"/>
        <v>0</v>
      </c>
      <c r="G372" s="166">
        <f t="shared" si="153"/>
        <v>0</v>
      </c>
      <c r="H372" s="166">
        <f t="shared" si="153"/>
        <v>0</v>
      </c>
      <c r="I372" s="166">
        <f t="shared" si="153"/>
        <v>0</v>
      </c>
      <c r="J372" s="166">
        <f t="shared" si="153"/>
        <v>0</v>
      </c>
      <c r="K372" s="166">
        <f t="shared" si="153"/>
        <v>0</v>
      </c>
      <c r="L372" s="166">
        <f t="shared" si="153"/>
        <v>0</v>
      </c>
      <c r="M372" s="166">
        <f t="shared" si="153"/>
        <v>0</v>
      </c>
      <c r="N372" s="166">
        <f t="shared" si="153"/>
        <v>0</v>
      </c>
      <c r="O372" s="166">
        <f t="shared" si="153"/>
        <v>0</v>
      </c>
      <c r="P372" s="166">
        <f t="shared" si="153"/>
        <v>0</v>
      </c>
      <c r="Q372" s="166">
        <f t="shared" si="153"/>
        <v>0</v>
      </c>
      <c r="R372" s="166">
        <f t="shared" si="153"/>
        <v>0</v>
      </c>
      <c r="S372" s="166">
        <f t="shared" si="153"/>
        <v>0</v>
      </c>
      <c r="T372" s="166">
        <f t="shared" si="153"/>
        <v>0</v>
      </c>
      <c r="U372" s="166"/>
      <c r="V372" s="166">
        <f ref="V372:AI372" t="shared" si="154">SUM(V342:V371)</f>
        <v>0</v>
      </c>
      <c r="W372" s="166">
        <f t="shared" si="154"/>
        <v>0</v>
      </c>
      <c r="X372" s="166">
        <f t="shared" si="154"/>
        <v>0</v>
      </c>
      <c r="Y372" s="166">
        <f t="shared" si="154"/>
        <v>0</v>
      </c>
      <c r="Z372" s="166">
        <f t="shared" si="154"/>
        <v>0</v>
      </c>
      <c r="AA372" s="166">
        <f t="shared" si="154"/>
        <v>0</v>
      </c>
      <c r="AB372" s="166">
        <f t="shared" si="154"/>
        <v>0</v>
      </c>
      <c r="AC372" s="166">
        <f t="shared" si="154"/>
        <v>0</v>
      </c>
      <c r="AD372" s="166">
        <f t="shared" si="154"/>
        <v>0</v>
      </c>
      <c r="AE372" s="166">
        <f t="shared" si="154"/>
        <v>0</v>
      </c>
      <c r="AF372" s="166">
        <f t="shared" si="154"/>
        <v>0</v>
      </c>
      <c r="AG372" s="166">
        <f t="shared" si="154"/>
        <v>0</v>
      </c>
      <c r="AH372" s="166">
        <f t="shared" si="154"/>
        <v>0</v>
      </c>
      <c r="AI372" s="166">
        <f t="shared" si="154"/>
        <v>0</v>
      </c>
      <c r="AJ372" s="166"/>
      <c r="AK372" s="166">
        <f ref="AK372:AM372" t="shared" si="155">SUM(AK342:AK371)</f>
        <v>0</v>
      </c>
      <c r="AL372" s="166">
        <f t="shared" si="155"/>
        <v>0</v>
      </c>
      <c r="AM372" s="166">
        <f t="shared" si="155"/>
        <v>0</v>
      </c>
      <c r="AN372" s="166"/>
      <c r="AO372" s="166"/>
      <c r="AP372" s="166"/>
      <c r="AQ372" s="166">
        <f ref="AQ372:BA372" t="shared" si="156">SUM(AQ342:AQ371)</f>
        <v>0</v>
      </c>
      <c r="AR372" s="166">
        <f t="shared" si="156"/>
        <v>0</v>
      </c>
      <c r="AS372" s="166">
        <f t="shared" si="156"/>
        <v>0</v>
      </c>
      <c r="AT372" s="166">
        <f t="shared" si="156"/>
        <v>0</v>
      </c>
      <c r="AU372" s="166">
        <f t="shared" si="156"/>
        <v>0</v>
      </c>
      <c r="AV372" s="166">
        <f t="shared" si="156"/>
        <v>0</v>
      </c>
      <c r="AW372" s="166">
        <f t="shared" si="156"/>
        <v>0</v>
      </c>
      <c r="AX372" s="166">
        <f t="shared" si="156"/>
        <v>0</v>
      </c>
      <c r="AY372" s="166">
        <f t="shared" si="156"/>
        <v>0</v>
      </c>
      <c r="AZ372" s="166">
        <f t="shared" si="156"/>
        <v>0</v>
      </c>
      <c r="BA372" s="166">
        <f t="shared" si="156"/>
        <v>0</v>
      </c>
      <c r="BB372" s="132"/>
      <c r="BC372" s="166">
        <f>SUM(BC342:BC371)</f>
        <v>0</v>
      </c>
      <c r="BD372" s="166"/>
      <c r="BE372" s="166"/>
      <c r="BF372" s="166"/>
      <c r="BG372" s="166"/>
      <c r="BH372" s="166"/>
      <c r="BI372" s="166"/>
      <c r="BJ372" s="166"/>
      <c r="BK372" s="166"/>
      <c r="BL372" s="166"/>
      <c r="BM372" s="166">
        <f ref="BM372:BR372" t="shared" si="157">SUM(BM342:BM371)</f>
        <v>0</v>
      </c>
      <c r="BN372" s="166">
        <f t="shared" si="157"/>
        <v>0</v>
      </c>
      <c r="BO372" s="166">
        <f t="shared" si="157"/>
        <v>0</v>
      </c>
      <c r="BP372" s="166">
        <f t="shared" si="157"/>
        <v>0</v>
      </c>
      <c r="BQ372" s="166">
        <f t="shared" si="157"/>
        <v>0</v>
      </c>
      <c r="BR372" s="166">
        <f t="shared" si="157"/>
        <v>0</v>
      </c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4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132"/>
      <c r="AZ373" s="4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</row>
    <row r="374" ht="14.25" customHeight="1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176"/>
      <c r="AH374" s="176"/>
      <c r="AI374" s="3"/>
      <c r="AJ374" s="3"/>
      <c r="AK374" s="4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132"/>
      <c r="AZ374" s="4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</row>
    <row r="375" ht="14.25" customHeight="1">
      <c r="A375" s="132"/>
      <c r="B375" s="512">
        <v>46357</v>
      </c>
      <c r="C375" s="190"/>
      <c r="D375" s="190"/>
      <c r="E375" s="182"/>
      <c r="F375" s="182"/>
      <c r="G375" s="216">
        <f ref="G375:G405" t="shared" si="158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03">
        <f ref="T375:T405" t="shared" si="159">SUM(H375:S375)</f>
        <v>0</v>
      </c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03">
        <f ref="AG375:AG405" t="shared" si="160">SUM(U375:AF375)</f>
        <v>0</v>
      </c>
      <c r="AH375" s="190"/>
      <c r="AI375" s="190"/>
      <c r="AJ375" s="190"/>
      <c r="AK375" s="191">
        <f ref="AK375:AK405" t="shared" si="161">SUM(AH375:AJ375)</f>
        <v>0</v>
      </c>
      <c r="AL375" s="186"/>
      <c r="AM375" s="186"/>
      <c r="AN375" s="186"/>
      <c r="AO375" s="186"/>
      <c r="AP375" s="193"/>
      <c r="AQ375" s="266">
        <f ref="AQ375:AQ405" t="shared" si="162">+G375-T375-AG375-AK375-AL375-AN375-AO375-AP375</f>
        <v>0</v>
      </c>
      <c r="AR375" s="269"/>
      <c r="AS375" s="109"/>
      <c r="AT375" s="109"/>
      <c r="AU375" s="109"/>
      <c r="AV375" s="269"/>
      <c r="AW375" s="269"/>
      <c r="AX375" s="269"/>
      <c r="AY375" s="269"/>
      <c r="AZ375" s="272">
        <f ref="AZ375:AZ405" t="shared" si="163">SUM(AR375:AY375)-AX375</f>
        <v>0</v>
      </c>
      <c r="BA375" s="195">
        <f ref="BA375:BA405" t="shared" si="164">+AQ375-AZ375</f>
        <v>0</v>
      </c>
      <c r="BB375" s="132"/>
      <c r="BC375" s="195">
        <f ref="BC375:BC405" t="shared" si="165">SUM(BD375:BP375)</f>
        <v>0</v>
      </c>
      <c r="BD375" s="196"/>
      <c r="BE375" s="196"/>
      <c r="BF375" s="196"/>
      <c r="BG375" s="196"/>
      <c r="BH375" s="196"/>
      <c r="BI375" s="196"/>
      <c r="BJ375" s="196"/>
      <c r="BK375" s="196"/>
      <c r="BL375" s="196"/>
      <c r="BM375" s="196"/>
      <c r="BN375" s="196"/>
      <c r="BO375" s="196"/>
      <c r="BP375" s="196"/>
      <c r="BQ375" s="116">
        <f ref="BQ375:BQ405" t="shared" si="166">+BA375-BC375</f>
        <v>0</v>
      </c>
      <c r="BR375" s="132"/>
    </row>
    <row r="376" ht="14.25" customHeight="1">
      <c r="A376" s="132"/>
      <c r="B376" s="512">
        <v>46358</v>
      </c>
      <c r="C376" s="136"/>
      <c r="D376" s="136"/>
      <c r="E376" s="135"/>
      <c r="F376" s="135"/>
      <c r="G376" s="147">
        <f t="shared" si="158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59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60"/>
        <v>0</v>
      </c>
      <c r="AH376" s="136"/>
      <c r="AI376" s="136"/>
      <c r="AJ376" s="136"/>
      <c r="AK376" s="105">
        <f t="shared" si="161"/>
        <v>0</v>
      </c>
      <c r="AL376" s="143"/>
      <c r="AM376" s="143"/>
      <c r="AN376" s="143"/>
      <c r="AO376" s="143"/>
      <c r="AP376" s="146"/>
      <c r="AQ376" s="224">
        <f t="shared" si="162"/>
        <v>0</v>
      </c>
      <c r="AR376" s="274"/>
      <c r="AS376" s="126"/>
      <c r="AT376" s="126"/>
      <c r="AU376" s="126"/>
      <c r="AV376" s="274"/>
      <c r="AW376" s="274"/>
      <c r="AX376" s="274"/>
      <c r="AY376" s="274"/>
      <c r="AZ376" s="222">
        <f t="shared" si="163"/>
        <v>0</v>
      </c>
      <c r="BA376" s="140">
        <f t="shared" si="164"/>
        <v>0</v>
      </c>
      <c r="BB376" s="132"/>
      <c r="BC376" s="140">
        <f t="shared" si="165"/>
        <v>0</v>
      </c>
      <c r="BD376" s="141"/>
      <c r="BE376" s="141"/>
      <c r="BF376" s="141"/>
      <c r="BG376" s="141"/>
      <c r="BH376" s="141"/>
      <c r="BI376" s="141"/>
      <c r="BJ376" s="141"/>
      <c r="BK376" s="141"/>
      <c r="BL376" s="141"/>
      <c r="BM376" s="141"/>
      <c r="BN376" s="141"/>
      <c r="BO376" s="141"/>
      <c r="BP376" s="141"/>
      <c r="BQ376" s="130">
        <f t="shared" si="166"/>
        <v>0</v>
      </c>
      <c r="BR376" s="132"/>
    </row>
    <row r="377" ht="14.25" customHeight="1">
      <c r="A377" s="132"/>
      <c r="B377" s="512">
        <v>46359</v>
      </c>
      <c r="C377" s="136"/>
      <c r="D377" s="136"/>
      <c r="E377" s="135"/>
      <c r="F377" s="135"/>
      <c r="G377" s="147">
        <f t="shared" si="158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59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60"/>
        <v>0</v>
      </c>
      <c r="AH377" s="136"/>
      <c r="AI377" s="136"/>
      <c r="AJ377" s="136"/>
      <c r="AK377" s="105">
        <f t="shared" si="161"/>
        <v>0</v>
      </c>
      <c r="AL377" s="143"/>
      <c r="AM377" s="143"/>
      <c r="AN377" s="143"/>
      <c r="AO377" s="143"/>
      <c r="AP377" s="146"/>
      <c r="AQ377" s="224">
        <f t="shared" si="162"/>
        <v>0</v>
      </c>
      <c r="AR377" s="274"/>
      <c r="AS377" s="126"/>
      <c r="AT377" s="126"/>
      <c r="AU377" s="126"/>
      <c r="AV377" s="274"/>
      <c r="AW377" s="274"/>
      <c r="AX377" s="274"/>
      <c r="AY377" s="274"/>
      <c r="AZ377" s="222">
        <f t="shared" si="163"/>
        <v>0</v>
      </c>
      <c r="BA377" s="140">
        <f t="shared" si="164"/>
        <v>0</v>
      </c>
      <c r="BB377" s="132"/>
      <c r="BC377" s="140">
        <f t="shared" si="165"/>
        <v>0</v>
      </c>
      <c r="BD377" s="141"/>
      <c r="BE377" s="141"/>
      <c r="BF377" s="141"/>
      <c r="BG377" s="141"/>
      <c r="BH377" s="141"/>
      <c r="BI377" s="141"/>
      <c r="BJ377" s="141"/>
      <c r="BK377" s="141"/>
      <c r="BL377" s="141"/>
      <c r="BM377" s="141"/>
      <c r="BN377" s="141"/>
      <c r="BO377" s="141"/>
      <c r="BP377" s="141"/>
      <c r="BQ377" s="130">
        <f t="shared" si="166"/>
        <v>0</v>
      </c>
      <c r="BR377" s="132"/>
    </row>
    <row r="378" ht="14.25" customHeight="1">
      <c r="A378" s="132"/>
      <c r="B378" s="512">
        <v>46360</v>
      </c>
      <c r="C378" s="136"/>
      <c r="D378" s="136"/>
      <c r="E378" s="135"/>
      <c r="F378" s="135"/>
      <c r="G378" s="147">
        <f t="shared" si="158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59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60"/>
        <v>0</v>
      </c>
      <c r="AH378" s="136"/>
      <c r="AI378" s="136"/>
      <c r="AJ378" s="136"/>
      <c r="AK378" s="105">
        <f t="shared" si="161"/>
        <v>0</v>
      </c>
      <c r="AL378" s="143"/>
      <c r="AM378" s="143"/>
      <c r="AN378" s="143"/>
      <c r="AO378" s="143"/>
      <c r="AP378" s="146"/>
      <c r="AQ378" s="224">
        <f t="shared" si="162"/>
        <v>0</v>
      </c>
      <c r="AR378" s="274"/>
      <c r="AS378" s="126"/>
      <c r="AT378" s="126"/>
      <c r="AU378" s="126"/>
      <c r="AV378" s="274"/>
      <c r="AW378" s="274"/>
      <c r="AX378" s="274"/>
      <c r="AY378" s="274"/>
      <c r="AZ378" s="222">
        <f t="shared" si="163"/>
        <v>0</v>
      </c>
      <c r="BA378" s="140">
        <f t="shared" si="164"/>
        <v>0</v>
      </c>
      <c r="BB378" s="132"/>
      <c r="BC378" s="140">
        <f t="shared" si="165"/>
        <v>0</v>
      </c>
      <c r="BD378" s="141"/>
      <c r="BE378" s="141"/>
      <c r="BF378" s="141"/>
      <c r="BG378" s="141"/>
      <c r="BH378" s="141"/>
      <c r="BI378" s="141"/>
      <c r="BJ378" s="141"/>
      <c r="BK378" s="141"/>
      <c r="BL378" s="141"/>
      <c r="BM378" s="141"/>
      <c r="BN378" s="141"/>
      <c r="BO378" s="141"/>
      <c r="BP378" s="141"/>
      <c r="BQ378" s="130">
        <f t="shared" si="166"/>
        <v>0</v>
      </c>
      <c r="BR378" s="132"/>
    </row>
    <row r="379" ht="14.25" customHeight="1">
      <c r="A379" s="132"/>
      <c r="B379" s="512">
        <v>46361</v>
      </c>
      <c r="C379" s="136"/>
      <c r="D379" s="136"/>
      <c r="E379" s="135"/>
      <c r="F379" s="135"/>
      <c r="G379" s="147">
        <f t="shared" si="158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59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60"/>
        <v>0</v>
      </c>
      <c r="AH379" s="136"/>
      <c r="AI379" s="136"/>
      <c r="AJ379" s="136"/>
      <c r="AK379" s="105">
        <f t="shared" si="161"/>
        <v>0</v>
      </c>
      <c r="AL379" s="143"/>
      <c r="AM379" s="143"/>
      <c r="AN379" s="143"/>
      <c r="AO379" s="143"/>
      <c r="AP379" s="146"/>
      <c r="AQ379" s="224">
        <f t="shared" si="162"/>
        <v>0</v>
      </c>
      <c r="AR379" s="274"/>
      <c r="AS379" s="126"/>
      <c r="AT379" s="126"/>
      <c r="AU379" s="126"/>
      <c r="AV379" s="274"/>
      <c r="AW379" s="274"/>
      <c r="AX379" s="274"/>
      <c r="AY379" s="274"/>
      <c r="AZ379" s="222">
        <f t="shared" si="163"/>
        <v>0</v>
      </c>
      <c r="BA379" s="140">
        <f t="shared" si="164"/>
        <v>0</v>
      </c>
      <c r="BB379" s="132"/>
      <c r="BC379" s="140">
        <f t="shared" si="165"/>
        <v>0</v>
      </c>
      <c r="BD379" s="141"/>
      <c r="BE379" s="141"/>
      <c r="BF379" s="141"/>
      <c r="BG379" s="141"/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30">
        <f t="shared" si="166"/>
        <v>0</v>
      </c>
      <c r="BR379" s="132"/>
    </row>
    <row r="380" ht="14.25" customHeight="1">
      <c r="A380" s="132"/>
      <c r="B380" s="512">
        <v>46362</v>
      </c>
      <c r="C380" s="136"/>
      <c r="D380" s="136"/>
      <c r="E380" s="135"/>
      <c r="F380" s="135"/>
      <c r="G380" s="147">
        <f t="shared" si="158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59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60"/>
        <v>0</v>
      </c>
      <c r="AH380" s="136"/>
      <c r="AI380" s="136"/>
      <c r="AJ380" s="136"/>
      <c r="AK380" s="105">
        <f t="shared" si="161"/>
        <v>0</v>
      </c>
      <c r="AL380" s="143"/>
      <c r="AM380" s="143"/>
      <c r="AN380" s="143"/>
      <c r="AO380" s="143"/>
      <c r="AP380" s="146"/>
      <c r="AQ380" s="224">
        <f t="shared" si="162"/>
        <v>0</v>
      </c>
      <c r="AR380" s="274"/>
      <c r="AS380" s="126"/>
      <c r="AT380" s="126"/>
      <c r="AU380" s="126"/>
      <c r="AV380" s="274"/>
      <c r="AW380" s="274"/>
      <c r="AX380" s="274"/>
      <c r="AY380" s="274"/>
      <c r="AZ380" s="222">
        <f t="shared" si="163"/>
        <v>0</v>
      </c>
      <c r="BA380" s="140">
        <f t="shared" si="164"/>
        <v>0</v>
      </c>
      <c r="BB380" s="132"/>
      <c r="BC380" s="140">
        <f t="shared" si="165"/>
        <v>0</v>
      </c>
      <c r="BD380" s="141"/>
      <c r="BE380" s="141"/>
      <c r="BF380" s="141"/>
      <c r="BG380" s="141"/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30">
        <f t="shared" si="166"/>
        <v>0</v>
      </c>
      <c r="BR380" s="132"/>
    </row>
    <row r="381" ht="14.25" customHeight="1">
      <c r="A381" s="132"/>
      <c r="B381" s="512">
        <v>46363</v>
      </c>
      <c r="C381" s="136"/>
      <c r="D381" s="136"/>
      <c r="E381" s="135"/>
      <c r="F381" s="135"/>
      <c r="G381" s="147">
        <f t="shared" si="158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59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60"/>
        <v>0</v>
      </c>
      <c r="AH381" s="136"/>
      <c r="AI381" s="136"/>
      <c r="AJ381" s="136"/>
      <c r="AK381" s="105">
        <f t="shared" si="161"/>
        <v>0</v>
      </c>
      <c r="AL381" s="143"/>
      <c r="AM381" s="143"/>
      <c r="AN381" s="143"/>
      <c r="AO381" s="143"/>
      <c r="AP381" s="146"/>
      <c r="AQ381" s="224">
        <f t="shared" si="162"/>
        <v>0</v>
      </c>
      <c r="AR381" s="274"/>
      <c r="AS381" s="126"/>
      <c r="AT381" s="126"/>
      <c r="AU381" s="126"/>
      <c r="AV381" s="274"/>
      <c r="AW381" s="274"/>
      <c r="AX381" s="274"/>
      <c r="AY381" s="274"/>
      <c r="AZ381" s="222">
        <f t="shared" si="163"/>
        <v>0</v>
      </c>
      <c r="BA381" s="140">
        <f t="shared" si="164"/>
        <v>0</v>
      </c>
      <c r="BB381" s="132"/>
      <c r="BC381" s="140">
        <f t="shared" si="165"/>
        <v>0</v>
      </c>
      <c r="BD381" s="141"/>
      <c r="BE381" s="141"/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30">
        <f t="shared" si="166"/>
        <v>0</v>
      </c>
      <c r="BR381" s="132"/>
    </row>
    <row r="382" ht="14.25" customHeight="1">
      <c r="A382" s="132"/>
      <c r="B382" s="512">
        <v>46364</v>
      </c>
      <c r="C382" s="136"/>
      <c r="D382" s="136"/>
      <c r="E382" s="135"/>
      <c r="F382" s="135"/>
      <c r="G382" s="147">
        <f t="shared" si="158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59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60"/>
        <v>0</v>
      </c>
      <c r="AH382" s="136"/>
      <c r="AI382" s="136"/>
      <c r="AJ382" s="136"/>
      <c r="AK382" s="105">
        <f t="shared" si="161"/>
        <v>0</v>
      </c>
      <c r="AL382" s="143"/>
      <c r="AM382" s="143"/>
      <c r="AN382" s="143"/>
      <c r="AO382" s="143"/>
      <c r="AP382" s="146"/>
      <c r="AQ382" s="224">
        <f t="shared" si="162"/>
        <v>0</v>
      </c>
      <c r="AR382" s="274"/>
      <c r="AS382" s="126"/>
      <c r="AT382" s="126"/>
      <c r="AU382" s="126"/>
      <c r="AV382" s="274"/>
      <c r="AW382" s="274"/>
      <c r="AX382" s="274"/>
      <c r="AY382" s="274"/>
      <c r="AZ382" s="222">
        <f t="shared" si="163"/>
        <v>0</v>
      </c>
      <c r="BA382" s="140">
        <f t="shared" si="164"/>
        <v>0</v>
      </c>
      <c r="BB382" s="132"/>
      <c r="BC382" s="140">
        <f t="shared" si="165"/>
        <v>0</v>
      </c>
      <c r="BD382" s="141"/>
      <c r="BE382" s="141"/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30">
        <f t="shared" si="166"/>
        <v>0</v>
      </c>
      <c r="BR382" s="132"/>
    </row>
    <row r="383" ht="14.25" customHeight="1">
      <c r="A383" s="132"/>
      <c r="B383" s="512">
        <v>46365</v>
      </c>
      <c r="C383" s="136"/>
      <c r="D383" s="136"/>
      <c r="E383" s="135"/>
      <c r="F383" s="135"/>
      <c r="G383" s="147">
        <f t="shared" si="158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59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60"/>
        <v>0</v>
      </c>
      <c r="AH383" s="136"/>
      <c r="AI383" s="136"/>
      <c r="AJ383" s="136"/>
      <c r="AK383" s="105">
        <f t="shared" si="161"/>
        <v>0</v>
      </c>
      <c r="AL383" s="143"/>
      <c r="AM383" s="143"/>
      <c r="AN383" s="143"/>
      <c r="AO383" s="143"/>
      <c r="AP383" s="146"/>
      <c r="AQ383" s="224">
        <f t="shared" si="162"/>
        <v>0</v>
      </c>
      <c r="AR383" s="274"/>
      <c r="AS383" s="126"/>
      <c r="AT383" s="126"/>
      <c r="AU383" s="126"/>
      <c r="AV383" s="274"/>
      <c r="AW383" s="274"/>
      <c r="AX383" s="274"/>
      <c r="AY383" s="274"/>
      <c r="AZ383" s="222">
        <f t="shared" si="163"/>
        <v>0</v>
      </c>
      <c r="BA383" s="140">
        <f t="shared" si="164"/>
        <v>0</v>
      </c>
      <c r="BB383" s="132"/>
      <c r="BC383" s="140">
        <f t="shared" si="165"/>
        <v>0</v>
      </c>
      <c r="BD383" s="141"/>
      <c r="BE383" s="141"/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30">
        <f t="shared" si="166"/>
        <v>0</v>
      </c>
      <c r="BR383" s="132"/>
    </row>
    <row r="384" ht="14.25" customHeight="1">
      <c r="A384" s="132"/>
      <c r="B384" s="512">
        <v>46366</v>
      </c>
      <c r="C384" s="136"/>
      <c r="D384" s="136"/>
      <c r="E384" s="135"/>
      <c r="F384" s="135"/>
      <c r="G384" s="147">
        <f t="shared" si="158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59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60"/>
        <v>0</v>
      </c>
      <c r="AH384" s="136"/>
      <c r="AI384" s="136"/>
      <c r="AJ384" s="136"/>
      <c r="AK384" s="105">
        <f t="shared" si="161"/>
        <v>0</v>
      </c>
      <c r="AL384" s="143"/>
      <c r="AM384" s="143"/>
      <c r="AN384" s="143"/>
      <c r="AO384" s="143"/>
      <c r="AP384" s="146"/>
      <c r="AQ384" s="224">
        <f t="shared" si="162"/>
        <v>0</v>
      </c>
      <c r="AR384" s="274"/>
      <c r="AS384" s="126"/>
      <c r="AT384" s="126"/>
      <c r="AU384" s="126"/>
      <c r="AV384" s="274"/>
      <c r="AW384" s="274"/>
      <c r="AX384" s="274"/>
      <c r="AY384" s="274"/>
      <c r="AZ384" s="222">
        <f t="shared" si="163"/>
        <v>0</v>
      </c>
      <c r="BA384" s="140">
        <f t="shared" si="164"/>
        <v>0</v>
      </c>
      <c r="BB384" s="132"/>
      <c r="BC384" s="140">
        <f t="shared" si="165"/>
        <v>0</v>
      </c>
      <c r="BD384" s="141"/>
      <c r="BE384" s="141"/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30">
        <f t="shared" si="166"/>
        <v>0</v>
      </c>
      <c r="BR384" s="132"/>
    </row>
    <row r="385" ht="14.25" customHeight="1">
      <c r="A385" s="132"/>
      <c r="B385" s="512">
        <v>46367</v>
      </c>
      <c r="C385" s="136"/>
      <c r="D385" s="136"/>
      <c r="E385" s="135"/>
      <c r="F385" s="135"/>
      <c r="G385" s="147">
        <f t="shared" si="158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59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60"/>
        <v>0</v>
      </c>
      <c r="AH385" s="136"/>
      <c r="AI385" s="136"/>
      <c r="AJ385" s="136"/>
      <c r="AK385" s="105">
        <f t="shared" si="161"/>
        <v>0</v>
      </c>
      <c r="AL385" s="143"/>
      <c r="AM385" s="143"/>
      <c r="AN385" s="143"/>
      <c r="AO385" s="143"/>
      <c r="AP385" s="146"/>
      <c r="AQ385" s="224">
        <f t="shared" si="162"/>
        <v>0</v>
      </c>
      <c r="AR385" s="274"/>
      <c r="AS385" s="126"/>
      <c r="AT385" s="126"/>
      <c r="AU385" s="126"/>
      <c r="AV385" s="274"/>
      <c r="AW385" s="274"/>
      <c r="AX385" s="274"/>
      <c r="AY385" s="274"/>
      <c r="AZ385" s="222">
        <f t="shared" si="163"/>
        <v>0</v>
      </c>
      <c r="BA385" s="140">
        <f t="shared" si="164"/>
        <v>0</v>
      </c>
      <c r="BB385" s="132"/>
      <c r="BC385" s="140">
        <f t="shared" si="165"/>
        <v>0</v>
      </c>
      <c r="BD385" s="141"/>
      <c r="BE385" s="141"/>
      <c r="BF385" s="1034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30">
        <f t="shared" si="166"/>
        <v>0</v>
      </c>
      <c r="BR385" s="132"/>
    </row>
    <row r="386" ht="14.25" customHeight="1">
      <c r="A386" s="132"/>
      <c r="B386" s="512">
        <v>46368</v>
      </c>
      <c r="C386" s="136"/>
      <c r="D386" s="136"/>
      <c r="E386" s="135"/>
      <c r="F386" s="135"/>
      <c r="G386" s="147">
        <f t="shared" si="158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59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60"/>
        <v>0</v>
      </c>
      <c r="AH386" s="136"/>
      <c r="AI386" s="136"/>
      <c r="AJ386" s="136"/>
      <c r="AK386" s="105">
        <f t="shared" si="161"/>
        <v>0</v>
      </c>
      <c r="AL386" s="143"/>
      <c r="AM386" s="143"/>
      <c r="AN386" s="143"/>
      <c r="AO386" s="143"/>
      <c r="AP386" s="146"/>
      <c r="AQ386" s="224">
        <f t="shared" si="162"/>
        <v>0</v>
      </c>
      <c r="AR386" s="274"/>
      <c r="AS386" s="126"/>
      <c r="AT386" s="126"/>
      <c r="AU386" s="126"/>
      <c r="AV386" s="274"/>
      <c r="AW386" s="274"/>
      <c r="AX386" s="274"/>
      <c r="AY386" s="274"/>
      <c r="AZ386" s="222">
        <f t="shared" si="163"/>
        <v>0</v>
      </c>
      <c r="BA386" s="140">
        <f t="shared" si="164"/>
        <v>0</v>
      </c>
      <c r="BB386" s="132"/>
      <c r="BC386" s="140">
        <f t="shared" si="165"/>
        <v>0</v>
      </c>
      <c r="BD386" s="141"/>
      <c r="BE386" s="141"/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30">
        <f t="shared" si="166"/>
        <v>0</v>
      </c>
      <c r="BR386" s="132"/>
    </row>
    <row r="387" ht="14.25" customHeight="1">
      <c r="A387" s="132"/>
      <c r="B387" s="512">
        <v>46369</v>
      </c>
      <c r="C387" s="136"/>
      <c r="D387" s="136"/>
      <c r="E387" s="135"/>
      <c r="F387" s="135"/>
      <c r="G387" s="147">
        <f t="shared" si="158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59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60"/>
        <v>0</v>
      </c>
      <c r="AH387" s="136"/>
      <c r="AI387" s="136"/>
      <c r="AJ387" s="136"/>
      <c r="AK387" s="105">
        <f t="shared" si="161"/>
        <v>0</v>
      </c>
      <c r="AL387" s="143"/>
      <c r="AM387" s="143"/>
      <c r="AN387" s="143"/>
      <c r="AO387" s="143"/>
      <c r="AP387" s="146"/>
      <c r="AQ387" s="224">
        <f t="shared" si="162"/>
        <v>0</v>
      </c>
      <c r="AR387" s="274"/>
      <c r="AS387" s="126"/>
      <c r="AT387" s="126"/>
      <c r="AU387" s="126"/>
      <c r="AV387" s="274"/>
      <c r="AW387" s="274"/>
      <c r="AX387" s="274"/>
      <c r="AY387" s="274"/>
      <c r="AZ387" s="222">
        <f t="shared" si="163"/>
        <v>0</v>
      </c>
      <c r="BA387" s="140">
        <f t="shared" si="164"/>
        <v>0</v>
      </c>
      <c r="BB387" s="132"/>
      <c r="BC387" s="140">
        <f t="shared" si="165"/>
        <v>0</v>
      </c>
      <c r="BD387" s="141"/>
      <c r="BE387" s="141"/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30">
        <f t="shared" si="166"/>
        <v>0</v>
      </c>
      <c r="BR387" s="132"/>
    </row>
    <row r="388" ht="14.25" customHeight="1">
      <c r="A388" s="132"/>
      <c r="B388" s="512">
        <v>46370</v>
      </c>
      <c r="C388" s="136"/>
      <c r="D388" s="136"/>
      <c r="E388" s="135"/>
      <c r="F388" s="135"/>
      <c r="G388" s="147">
        <f t="shared" si="158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59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60"/>
        <v>0</v>
      </c>
      <c r="AH388" s="136"/>
      <c r="AI388" s="136"/>
      <c r="AJ388" s="136"/>
      <c r="AK388" s="105">
        <f t="shared" si="161"/>
        <v>0</v>
      </c>
      <c r="AL388" s="143"/>
      <c r="AM388" s="143"/>
      <c r="AN388" s="143"/>
      <c r="AO388" s="143"/>
      <c r="AP388" s="146"/>
      <c r="AQ388" s="224">
        <f t="shared" si="162"/>
        <v>0</v>
      </c>
      <c r="AR388" s="274"/>
      <c r="AS388" s="126"/>
      <c r="AT388" s="126"/>
      <c r="AU388" s="126"/>
      <c r="AV388" s="274"/>
      <c r="AW388" s="274"/>
      <c r="AX388" s="274"/>
      <c r="AY388" s="274"/>
      <c r="AZ388" s="222">
        <f t="shared" si="163"/>
        <v>0</v>
      </c>
      <c r="BA388" s="140">
        <f t="shared" si="164"/>
        <v>0</v>
      </c>
      <c r="BB388" s="132"/>
      <c r="BC388" s="140">
        <f t="shared" si="165"/>
        <v>0</v>
      </c>
      <c r="BD388" s="141"/>
      <c r="BE388" s="141"/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30">
        <f t="shared" si="166"/>
        <v>0</v>
      </c>
      <c r="BR388" s="132"/>
    </row>
    <row r="389" ht="14.25" customHeight="1">
      <c r="A389" s="132"/>
      <c r="B389" s="512">
        <v>46371</v>
      </c>
      <c r="C389" s="136"/>
      <c r="D389" s="136"/>
      <c r="E389" s="135"/>
      <c r="F389" s="135"/>
      <c r="G389" s="147">
        <f t="shared" si="158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59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60"/>
        <v>0</v>
      </c>
      <c r="AH389" s="136"/>
      <c r="AI389" s="136"/>
      <c r="AJ389" s="136"/>
      <c r="AK389" s="105">
        <f t="shared" si="161"/>
        <v>0</v>
      </c>
      <c r="AL389" s="143"/>
      <c r="AM389" s="143"/>
      <c r="AN389" s="143"/>
      <c r="AO389" s="143"/>
      <c r="AP389" s="146"/>
      <c r="AQ389" s="224">
        <f t="shared" si="162"/>
        <v>0</v>
      </c>
      <c r="AR389" s="274"/>
      <c r="AS389" s="126"/>
      <c r="AT389" s="126"/>
      <c r="AU389" s="126"/>
      <c r="AV389" s="274"/>
      <c r="AW389" s="274"/>
      <c r="AX389" s="274"/>
      <c r="AY389" s="274"/>
      <c r="AZ389" s="222">
        <f t="shared" si="163"/>
        <v>0</v>
      </c>
      <c r="BA389" s="140">
        <f t="shared" si="164"/>
        <v>0</v>
      </c>
      <c r="BB389" s="132"/>
      <c r="BC389" s="140">
        <f t="shared" si="165"/>
        <v>0</v>
      </c>
      <c r="BD389" s="141"/>
      <c r="BE389" s="141"/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30">
        <f t="shared" si="166"/>
        <v>0</v>
      </c>
      <c r="BR389" s="132"/>
    </row>
    <row r="390" ht="14.25" customHeight="1">
      <c r="A390" s="132"/>
      <c r="B390" s="512">
        <v>46372</v>
      </c>
      <c r="C390" s="136"/>
      <c r="D390" s="136"/>
      <c r="E390" s="135"/>
      <c r="F390" s="135"/>
      <c r="G390" s="147">
        <f t="shared" si="158"/>
        <v>0</v>
      </c>
      <c r="H390" s="1036"/>
      <c r="I390" s="144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59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60"/>
        <v>0</v>
      </c>
      <c r="AH390" s="136"/>
      <c r="AI390" s="136"/>
      <c r="AJ390" s="136"/>
      <c r="AK390" s="105">
        <f t="shared" si="161"/>
        <v>0</v>
      </c>
      <c r="AL390" s="143"/>
      <c r="AM390" s="143"/>
      <c r="AN390" s="143"/>
      <c r="AO390" s="143"/>
      <c r="AP390" s="146"/>
      <c r="AQ390" s="224">
        <f t="shared" si="162"/>
        <v>0</v>
      </c>
      <c r="AR390" s="274"/>
      <c r="AS390" s="126"/>
      <c r="AT390" s="126"/>
      <c r="AU390" s="126"/>
      <c r="AV390" s="274"/>
      <c r="AW390" s="274"/>
      <c r="AX390" s="274"/>
      <c r="AY390" s="274"/>
      <c r="AZ390" s="222">
        <f t="shared" si="163"/>
        <v>0</v>
      </c>
      <c r="BA390" s="140">
        <f t="shared" si="164"/>
        <v>0</v>
      </c>
      <c r="BB390" s="132"/>
      <c r="BC390" s="140">
        <f t="shared" si="165"/>
        <v>0</v>
      </c>
      <c r="BD390" s="141"/>
      <c r="BE390" s="141"/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30">
        <f t="shared" si="166"/>
        <v>0</v>
      </c>
      <c r="BR390" s="132"/>
    </row>
    <row r="391" ht="14.25" customHeight="1">
      <c r="A391" s="132"/>
      <c r="B391" s="512">
        <v>46373</v>
      </c>
      <c r="C391" s="136"/>
      <c r="D391" s="136"/>
      <c r="E391" s="135"/>
      <c r="F391" s="135"/>
      <c r="G391" s="147">
        <f t="shared" si="158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59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60"/>
        <v>0</v>
      </c>
      <c r="AH391" s="136"/>
      <c r="AI391" s="136"/>
      <c r="AJ391" s="136"/>
      <c r="AK391" s="105">
        <f t="shared" si="161"/>
        <v>0</v>
      </c>
      <c r="AL391" s="143"/>
      <c r="AM391" s="143"/>
      <c r="AN391" s="143"/>
      <c r="AO391" s="143"/>
      <c r="AP391" s="146"/>
      <c r="AQ391" s="224">
        <f t="shared" si="162"/>
        <v>0</v>
      </c>
      <c r="AR391" s="274"/>
      <c r="AS391" s="126"/>
      <c r="AT391" s="126"/>
      <c r="AU391" s="126"/>
      <c r="AV391" s="274"/>
      <c r="AW391" s="274"/>
      <c r="AX391" s="274"/>
      <c r="AY391" s="274"/>
      <c r="AZ391" s="222">
        <f t="shared" si="163"/>
        <v>0</v>
      </c>
      <c r="BA391" s="140">
        <f t="shared" si="164"/>
        <v>0</v>
      </c>
      <c r="BB391" s="132"/>
      <c r="BC391" s="140">
        <f t="shared" si="165"/>
        <v>0</v>
      </c>
      <c r="BD391" s="141"/>
      <c r="BE391" s="141"/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30">
        <f t="shared" si="166"/>
        <v>0</v>
      </c>
      <c r="BR391" s="132"/>
    </row>
    <row r="392" ht="14.25" customHeight="1">
      <c r="A392" s="132"/>
      <c r="B392" s="512">
        <v>46374</v>
      </c>
      <c r="C392" s="136"/>
      <c r="D392" s="136"/>
      <c r="E392" s="135"/>
      <c r="F392" s="135"/>
      <c r="G392" s="147">
        <f t="shared" si="158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59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60"/>
        <v>0</v>
      </c>
      <c r="AH392" s="136"/>
      <c r="AI392" s="136"/>
      <c r="AJ392" s="136"/>
      <c r="AK392" s="105">
        <f t="shared" si="161"/>
        <v>0</v>
      </c>
      <c r="AL392" s="143"/>
      <c r="AM392" s="143"/>
      <c r="AN392" s="143"/>
      <c r="AO392" s="143"/>
      <c r="AP392" s="146"/>
      <c r="AQ392" s="224">
        <f t="shared" si="162"/>
        <v>0</v>
      </c>
      <c r="AR392" s="274"/>
      <c r="AS392" s="126"/>
      <c r="AT392" s="126"/>
      <c r="AU392" s="126"/>
      <c r="AV392" s="274"/>
      <c r="AW392" s="274"/>
      <c r="AX392" s="274"/>
      <c r="AY392" s="274"/>
      <c r="AZ392" s="222">
        <f t="shared" si="163"/>
        <v>0</v>
      </c>
      <c r="BA392" s="140">
        <f t="shared" si="164"/>
        <v>0</v>
      </c>
      <c r="BB392" s="132"/>
      <c r="BC392" s="140">
        <f t="shared" si="165"/>
        <v>0</v>
      </c>
      <c r="BD392" s="141"/>
      <c r="BE392" s="141"/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30">
        <f t="shared" si="166"/>
        <v>0</v>
      </c>
      <c r="BR392" s="132"/>
    </row>
    <row r="393" ht="14.25" customHeight="1">
      <c r="A393" s="132"/>
      <c r="B393" s="512">
        <v>46375</v>
      </c>
      <c r="C393" s="136"/>
      <c r="D393" s="136"/>
      <c r="E393" s="135"/>
      <c r="F393" s="135"/>
      <c r="G393" s="147">
        <f t="shared" si="158"/>
        <v>0</v>
      </c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59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60"/>
        <v>0</v>
      </c>
      <c r="AH393" s="136"/>
      <c r="AI393" s="136"/>
      <c r="AJ393" s="136"/>
      <c r="AK393" s="105">
        <f t="shared" si="161"/>
        <v>0</v>
      </c>
      <c r="AL393" s="143"/>
      <c r="AM393" s="143"/>
      <c r="AN393" s="143"/>
      <c r="AO393" s="143"/>
      <c r="AP393" s="146"/>
      <c r="AQ393" s="224">
        <f t="shared" si="162"/>
        <v>0</v>
      </c>
      <c r="AR393" s="274"/>
      <c r="AS393" s="126"/>
      <c r="AT393" s="126"/>
      <c r="AU393" s="126"/>
      <c r="AV393" s="274"/>
      <c r="AW393" s="274"/>
      <c r="AX393" s="274"/>
      <c r="AY393" s="274"/>
      <c r="AZ393" s="222">
        <f t="shared" si="163"/>
        <v>0</v>
      </c>
      <c r="BA393" s="140">
        <f t="shared" si="164"/>
        <v>0</v>
      </c>
      <c r="BB393" s="132"/>
      <c r="BC393" s="140">
        <f t="shared" si="165"/>
        <v>0</v>
      </c>
      <c r="BD393" s="141"/>
      <c r="BE393" s="141"/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30">
        <f t="shared" si="166"/>
        <v>0</v>
      </c>
      <c r="BR393" s="132"/>
    </row>
    <row r="394" ht="14.25" customHeight="1">
      <c r="A394" s="132"/>
      <c r="B394" s="512">
        <v>46376</v>
      </c>
      <c r="C394" s="136"/>
      <c r="D394" s="136"/>
      <c r="E394" s="135"/>
      <c r="F394" s="135"/>
      <c r="G394" s="147">
        <f t="shared" si="158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59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60"/>
        <v>0</v>
      </c>
      <c r="AH394" s="136"/>
      <c r="AI394" s="136"/>
      <c r="AJ394" s="136"/>
      <c r="AK394" s="105">
        <f t="shared" si="161"/>
        <v>0</v>
      </c>
      <c r="AL394" s="143"/>
      <c r="AM394" s="143"/>
      <c r="AN394" s="143"/>
      <c r="AO394" s="143"/>
      <c r="AP394" s="146"/>
      <c r="AQ394" s="224">
        <f t="shared" si="162"/>
        <v>0</v>
      </c>
      <c r="AR394" s="274"/>
      <c r="AS394" s="126"/>
      <c r="AT394" s="126"/>
      <c r="AU394" s="126"/>
      <c r="AV394" s="274"/>
      <c r="AW394" s="274"/>
      <c r="AX394" s="274"/>
      <c r="AY394" s="274"/>
      <c r="AZ394" s="222">
        <f t="shared" si="163"/>
        <v>0</v>
      </c>
      <c r="BA394" s="140">
        <f t="shared" si="164"/>
        <v>0</v>
      </c>
      <c r="BB394" s="132"/>
      <c r="BC394" s="140">
        <f t="shared" si="165"/>
        <v>0</v>
      </c>
      <c r="BD394" s="141"/>
      <c r="BE394" s="141"/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30">
        <f t="shared" si="166"/>
        <v>0</v>
      </c>
      <c r="BR394" s="132"/>
    </row>
    <row r="395" ht="14.25" customHeight="1">
      <c r="A395" s="132"/>
      <c r="B395" s="512">
        <v>46377</v>
      </c>
      <c r="C395" s="136"/>
      <c r="D395" s="136"/>
      <c r="E395" s="135"/>
      <c r="F395" s="135"/>
      <c r="G395" s="147">
        <f t="shared" si="158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59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60"/>
        <v>0</v>
      </c>
      <c r="AH395" s="136"/>
      <c r="AI395" s="136"/>
      <c r="AJ395" s="136"/>
      <c r="AK395" s="105">
        <f t="shared" si="161"/>
        <v>0</v>
      </c>
      <c r="AL395" s="143"/>
      <c r="AM395" s="143"/>
      <c r="AN395" s="143"/>
      <c r="AO395" s="143"/>
      <c r="AP395" s="146"/>
      <c r="AQ395" s="224">
        <f t="shared" si="162"/>
        <v>0</v>
      </c>
      <c r="AR395" s="274"/>
      <c r="AS395" s="126"/>
      <c r="AT395" s="126"/>
      <c r="AU395" s="126"/>
      <c r="AV395" s="274"/>
      <c r="AW395" s="274"/>
      <c r="AX395" s="274"/>
      <c r="AY395" s="274"/>
      <c r="AZ395" s="222">
        <f t="shared" si="163"/>
        <v>0</v>
      </c>
      <c r="BA395" s="140">
        <f t="shared" si="164"/>
        <v>0</v>
      </c>
      <c r="BB395" s="132"/>
      <c r="BC395" s="140">
        <f t="shared" si="165"/>
        <v>0</v>
      </c>
      <c r="BD395" s="141"/>
      <c r="BE395" s="141"/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30">
        <f t="shared" si="166"/>
        <v>0</v>
      </c>
      <c r="BR395" s="132"/>
    </row>
    <row r="396" ht="14.25" customHeight="1">
      <c r="A396" s="132"/>
      <c r="B396" s="512">
        <v>46378</v>
      </c>
      <c r="C396" s="136"/>
      <c r="D396" s="136"/>
      <c r="E396" s="135"/>
      <c r="F396" s="135"/>
      <c r="G396" s="147">
        <f t="shared" si="158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59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60"/>
        <v>0</v>
      </c>
      <c r="AH396" s="136"/>
      <c r="AI396" s="136"/>
      <c r="AJ396" s="136"/>
      <c r="AK396" s="105">
        <f t="shared" si="161"/>
        <v>0</v>
      </c>
      <c r="AL396" s="143"/>
      <c r="AM396" s="143"/>
      <c r="AN396" s="143"/>
      <c r="AO396" s="143"/>
      <c r="AP396" s="146"/>
      <c r="AQ396" s="224">
        <f t="shared" si="162"/>
        <v>0</v>
      </c>
      <c r="AR396" s="274"/>
      <c r="AS396" s="126"/>
      <c r="AT396" s="126"/>
      <c r="AU396" s="126"/>
      <c r="AV396" s="274"/>
      <c r="AW396" s="274"/>
      <c r="AX396" s="274"/>
      <c r="AY396" s="274"/>
      <c r="AZ396" s="222">
        <f t="shared" si="163"/>
        <v>0</v>
      </c>
      <c r="BA396" s="140">
        <f t="shared" si="164"/>
        <v>0</v>
      </c>
      <c r="BB396" s="132"/>
      <c r="BC396" s="140">
        <f t="shared" si="165"/>
        <v>0</v>
      </c>
      <c r="BD396" s="141"/>
      <c r="BE396" s="141"/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30">
        <f t="shared" si="166"/>
        <v>0</v>
      </c>
      <c r="BR396" s="132"/>
    </row>
    <row r="397" ht="14.25" customHeight="1">
      <c r="A397" s="132"/>
      <c r="B397" s="512">
        <v>46379</v>
      </c>
      <c r="C397" s="136"/>
      <c r="D397" s="136"/>
      <c r="E397" s="135"/>
      <c r="F397" s="135"/>
      <c r="G397" s="147">
        <f t="shared" si="158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59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60"/>
        <v>0</v>
      </c>
      <c r="AH397" s="136"/>
      <c r="AI397" s="136"/>
      <c r="AJ397" s="136"/>
      <c r="AK397" s="105">
        <f t="shared" si="161"/>
        <v>0</v>
      </c>
      <c r="AL397" s="143"/>
      <c r="AM397" s="143"/>
      <c r="AN397" s="143"/>
      <c r="AO397" s="143"/>
      <c r="AP397" s="146"/>
      <c r="AQ397" s="224">
        <f t="shared" si="162"/>
        <v>0</v>
      </c>
      <c r="AR397" s="274"/>
      <c r="AS397" s="126"/>
      <c r="AT397" s="126"/>
      <c r="AU397" s="126"/>
      <c r="AV397" s="274"/>
      <c r="AW397" s="274"/>
      <c r="AX397" s="274"/>
      <c r="AY397" s="274"/>
      <c r="AZ397" s="222">
        <f t="shared" si="163"/>
        <v>0</v>
      </c>
      <c r="BA397" s="140">
        <f t="shared" si="164"/>
        <v>0</v>
      </c>
      <c r="BB397" s="132"/>
      <c r="BC397" s="140">
        <f t="shared" si="165"/>
        <v>0</v>
      </c>
      <c r="BD397" s="141"/>
      <c r="BE397" s="141"/>
      <c r="BF397" s="1034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30">
        <f t="shared" si="166"/>
        <v>0</v>
      </c>
      <c r="BR397" s="132"/>
    </row>
    <row r="398" ht="14.25" customHeight="1">
      <c r="A398" s="132"/>
      <c r="B398" s="512">
        <v>46380</v>
      </c>
      <c r="C398" s="136"/>
      <c r="D398" s="136"/>
      <c r="E398" s="135"/>
      <c r="F398" s="135"/>
      <c r="G398" s="147">
        <f t="shared" si="158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59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60"/>
        <v>0</v>
      </c>
      <c r="AH398" s="136"/>
      <c r="AI398" s="136"/>
      <c r="AJ398" s="136"/>
      <c r="AK398" s="105">
        <f t="shared" si="161"/>
        <v>0</v>
      </c>
      <c r="AL398" s="143"/>
      <c r="AM398" s="143"/>
      <c r="AN398" s="143"/>
      <c r="AO398" s="143"/>
      <c r="AP398" s="146"/>
      <c r="AQ398" s="224">
        <f t="shared" si="162"/>
        <v>0</v>
      </c>
      <c r="AR398" s="274"/>
      <c r="AS398" s="126"/>
      <c r="AT398" s="126"/>
      <c r="AU398" s="126"/>
      <c r="AV398" s="274"/>
      <c r="AW398" s="274"/>
      <c r="AX398" s="274"/>
      <c r="AY398" s="274"/>
      <c r="AZ398" s="222">
        <f t="shared" si="163"/>
        <v>0</v>
      </c>
      <c r="BA398" s="140">
        <f t="shared" si="164"/>
        <v>0</v>
      </c>
      <c r="BB398" s="132"/>
      <c r="BC398" s="140">
        <f t="shared" si="165"/>
        <v>0</v>
      </c>
      <c r="BD398" s="141"/>
      <c r="BE398" s="141"/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30">
        <f t="shared" si="166"/>
        <v>0</v>
      </c>
      <c r="BR398" s="132"/>
    </row>
    <row r="399" ht="14.25" customHeight="1">
      <c r="A399" s="132"/>
      <c r="B399" s="512">
        <v>46381</v>
      </c>
      <c r="C399" s="136"/>
      <c r="D399" s="136"/>
      <c r="E399" s="135"/>
      <c r="F399" s="135"/>
      <c r="G399" s="147">
        <f t="shared" si="158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59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60"/>
        <v>0</v>
      </c>
      <c r="AH399" s="136"/>
      <c r="AI399" s="136"/>
      <c r="AJ399" s="136"/>
      <c r="AK399" s="105">
        <f t="shared" si="161"/>
        <v>0</v>
      </c>
      <c r="AL399" s="143"/>
      <c r="AM399" s="143"/>
      <c r="AN399" s="143"/>
      <c r="AO399" s="143"/>
      <c r="AP399" s="146"/>
      <c r="AQ399" s="224">
        <f t="shared" si="162"/>
        <v>0</v>
      </c>
      <c r="AR399" s="274"/>
      <c r="AS399" s="126"/>
      <c r="AT399" s="126"/>
      <c r="AU399" s="126"/>
      <c r="AV399" s="274"/>
      <c r="AW399" s="274"/>
      <c r="AX399" s="274"/>
      <c r="AY399" s="274"/>
      <c r="AZ399" s="222">
        <f t="shared" si="163"/>
        <v>0</v>
      </c>
      <c r="BA399" s="140">
        <f t="shared" si="164"/>
        <v>0</v>
      </c>
      <c r="BB399" s="132"/>
      <c r="BC399" s="140">
        <f t="shared" si="165"/>
        <v>0</v>
      </c>
      <c r="BD399" s="141"/>
      <c r="BE399" s="141"/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30">
        <f t="shared" si="166"/>
        <v>0</v>
      </c>
      <c r="BR399" s="132"/>
    </row>
    <row r="400" ht="14.25" customHeight="1">
      <c r="A400" s="132"/>
      <c r="B400" s="512">
        <v>46382</v>
      </c>
      <c r="C400" s="136"/>
      <c r="D400" s="136"/>
      <c r="E400" s="135"/>
      <c r="F400" s="135"/>
      <c r="G400" s="147">
        <f t="shared" si="158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59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60"/>
        <v>0</v>
      </c>
      <c r="AH400" s="136"/>
      <c r="AI400" s="136"/>
      <c r="AJ400" s="136"/>
      <c r="AK400" s="105">
        <f t="shared" si="161"/>
        <v>0</v>
      </c>
      <c r="AL400" s="143"/>
      <c r="AM400" s="143"/>
      <c r="AN400" s="143"/>
      <c r="AO400" s="143"/>
      <c r="AP400" s="146"/>
      <c r="AQ400" s="224">
        <f t="shared" si="162"/>
        <v>0</v>
      </c>
      <c r="AR400" s="274"/>
      <c r="AS400" s="126"/>
      <c r="AT400" s="126"/>
      <c r="AU400" s="126"/>
      <c r="AV400" s="274"/>
      <c r="AW400" s="274"/>
      <c r="AX400" s="274"/>
      <c r="AY400" s="274"/>
      <c r="AZ400" s="222">
        <f t="shared" si="163"/>
        <v>0</v>
      </c>
      <c r="BA400" s="140">
        <f t="shared" si="164"/>
        <v>0</v>
      </c>
      <c r="BB400" s="132"/>
      <c r="BC400" s="140">
        <f t="shared" si="165"/>
        <v>0</v>
      </c>
      <c r="BD400" s="141"/>
      <c r="BE400" s="141"/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30">
        <f t="shared" si="166"/>
        <v>0</v>
      </c>
      <c r="BR400" s="132"/>
    </row>
    <row r="401" ht="14.25" customHeight="1">
      <c r="A401" s="132"/>
      <c r="B401" s="512">
        <v>46383</v>
      </c>
      <c r="C401" s="136"/>
      <c r="D401" s="136"/>
      <c r="E401" s="135"/>
      <c r="F401" s="135"/>
      <c r="G401" s="147">
        <f t="shared" si="158"/>
        <v>0</v>
      </c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59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60"/>
        <v>0</v>
      </c>
      <c r="AH401" s="136"/>
      <c r="AI401" s="136"/>
      <c r="AJ401" s="136"/>
      <c r="AK401" s="105">
        <f t="shared" si="161"/>
        <v>0</v>
      </c>
      <c r="AL401" s="143"/>
      <c r="AM401" s="143"/>
      <c r="AN401" s="143"/>
      <c r="AO401" s="143"/>
      <c r="AP401" s="146"/>
      <c r="AQ401" s="224">
        <f t="shared" si="162"/>
        <v>0</v>
      </c>
      <c r="AR401" s="274"/>
      <c r="AS401" s="126"/>
      <c r="AT401" s="126"/>
      <c r="AU401" s="126"/>
      <c r="AV401" s="274"/>
      <c r="AW401" s="274"/>
      <c r="AX401" s="274"/>
      <c r="AY401" s="274"/>
      <c r="AZ401" s="222">
        <f t="shared" si="163"/>
        <v>0</v>
      </c>
      <c r="BA401" s="140">
        <f t="shared" si="164"/>
        <v>0</v>
      </c>
      <c r="BB401" s="132"/>
      <c r="BC401" s="140">
        <f t="shared" si="165"/>
        <v>0</v>
      </c>
      <c r="BD401" s="141"/>
      <c r="BE401" s="141"/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30">
        <f t="shared" si="166"/>
        <v>0</v>
      </c>
      <c r="BR401" s="132"/>
    </row>
    <row r="402" ht="14.25" customHeight="1">
      <c r="A402" s="132"/>
      <c r="B402" s="512">
        <v>46384</v>
      </c>
      <c r="C402" s="136"/>
      <c r="D402" s="136"/>
      <c r="E402" s="135"/>
      <c r="F402" s="135"/>
      <c r="G402" s="147">
        <f t="shared" si="158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59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60"/>
        <v>0</v>
      </c>
      <c r="AH402" s="136"/>
      <c r="AI402" s="136"/>
      <c r="AJ402" s="136"/>
      <c r="AK402" s="105">
        <f t="shared" si="161"/>
        <v>0</v>
      </c>
      <c r="AL402" s="143"/>
      <c r="AM402" s="143"/>
      <c r="AN402" s="143"/>
      <c r="AO402" s="143"/>
      <c r="AP402" s="146"/>
      <c r="AQ402" s="224">
        <f t="shared" si="162"/>
        <v>0</v>
      </c>
      <c r="AR402" s="274"/>
      <c r="AS402" s="126"/>
      <c r="AT402" s="126"/>
      <c r="AU402" s="126"/>
      <c r="AV402" s="274"/>
      <c r="AW402" s="274"/>
      <c r="AX402" s="274"/>
      <c r="AY402" s="274"/>
      <c r="AZ402" s="222">
        <f t="shared" si="163"/>
        <v>0</v>
      </c>
      <c r="BA402" s="140">
        <f t="shared" si="164"/>
        <v>0</v>
      </c>
      <c r="BB402" s="132"/>
      <c r="BC402" s="140">
        <f t="shared" si="165"/>
        <v>0</v>
      </c>
      <c r="BD402" s="141"/>
      <c r="BE402" s="141"/>
      <c r="BF402" s="1034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30">
        <f t="shared" si="166"/>
        <v>0</v>
      </c>
      <c r="BR402" s="132"/>
    </row>
    <row r="403" ht="14.25" customHeight="1">
      <c r="A403" s="132"/>
      <c r="B403" s="512">
        <v>46385</v>
      </c>
      <c r="C403" s="136"/>
      <c r="D403" s="136"/>
      <c r="E403" s="135"/>
      <c r="F403" s="135"/>
      <c r="G403" s="147">
        <f t="shared" si="158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59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60"/>
        <v>0</v>
      </c>
      <c r="AH403" s="136"/>
      <c r="AI403" s="136"/>
      <c r="AJ403" s="136"/>
      <c r="AK403" s="105">
        <f t="shared" si="161"/>
        <v>0</v>
      </c>
      <c r="AL403" s="143"/>
      <c r="AM403" s="143"/>
      <c r="AN403" s="143"/>
      <c r="AO403" s="143"/>
      <c r="AP403" s="146"/>
      <c r="AQ403" s="224">
        <f t="shared" si="162"/>
        <v>0</v>
      </c>
      <c r="AR403" s="274"/>
      <c r="AS403" s="126"/>
      <c r="AT403" s="126"/>
      <c r="AU403" s="126"/>
      <c r="AV403" s="274"/>
      <c r="AW403" s="274"/>
      <c r="AX403" s="274"/>
      <c r="AY403" s="274"/>
      <c r="AZ403" s="222">
        <f t="shared" si="163"/>
        <v>0</v>
      </c>
      <c r="BA403" s="140">
        <f t="shared" si="164"/>
        <v>0</v>
      </c>
      <c r="BB403" s="132"/>
      <c r="BC403" s="140">
        <f t="shared" si="165"/>
        <v>0</v>
      </c>
      <c r="BD403" s="141"/>
      <c r="BE403" s="141"/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30">
        <f t="shared" si="166"/>
        <v>0</v>
      </c>
      <c r="BR403" s="132"/>
    </row>
    <row r="404" ht="14.25" customHeight="1">
      <c r="A404" s="132"/>
      <c r="B404" s="512">
        <v>46386</v>
      </c>
      <c r="C404" s="136"/>
      <c r="D404" s="136"/>
      <c r="E404" s="135"/>
      <c r="F404" s="135"/>
      <c r="G404" s="147">
        <f t="shared" si="158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59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60"/>
        <v>0</v>
      </c>
      <c r="AH404" s="136"/>
      <c r="AI404" s="136"/>
      <c r="AJ404" s="136"/>
      <c r="AK404" s="105">
        <f t="shared" si="161"/>
        <v>0</v>
      </c>
      <c r="AL404" s="143"/>
      <c r="AM404" s="143"/>
      <c r="AN404" s="143"/>
      <c r="AO404" s="143"/>
      <c r="AP404" s="146"/>
      <c r="AQ404" s="224">
        <f t="shared" si="162"/>
        <v>0</v>
      </c>
      <c r="AR404" s="274"/>
      <c r="AS404" s="126"/>
      <c r="AT404" s="126"/>
      <c r="AU404" s="126"/>
      <c r="AV404" s="274"/>
      <c r="AW404" s="274"/>
      <c r="AX404" s="274"/>
      <c r="AY404" s="274"/>
      <c r="AZ404" s="222">
        <f t="shared" si="163"/>
        <v>0</v>
      </c>
      <c r="BA404" s="140">
        <f t="shared" si="164"/>
        <v>0</v>
      </c>
      <c r="BB404" s="132"/>
      <c r="BC404" s="140">
        <f t="shared" si="165"/>
        <v>0</v>
      </c>
      <c r="BD404" s="141"/>
      <c r="BE404" s="141"/>
      <c r="BF404" s="1034"/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30">
        <f t="shared" si="166"/>
        <v>0</v>
      </c>
      <c r="BR404" s="132"/>
    </row>
    <row r="405" ht="14.25" customHeight="1">
      <c r="A405" s="132"/>
      <c r="B405" s="512">
        <v>46387</v>
      </c>
      <c r="C405" s="159"/>
      <c r="D405" s="159"/>
      <c r="E405" s="156"/>
      <c r="F405" s="156"/>
      <c r="G405" s="147">
        <f t="shared" si="158"/>
        <v>0</v>
      </c>
      <c r="H405" s="612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59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60"/>
        <v>0</v>
      </c>
      <c r="AH405" s="159"/>
      <c r="AI405" s="159"/>
      <c r="AJ405" s="159"/>
      <c r="AK405" s="105">
        <f t="shared" si="161"/>
        <v>0</v>
      </c>
      <c r="AL405" s="157"/>
      <c r="AM405" s="157"/>
      <c r="AN405" s="157"/>
      <c r="AO405" s="157"/>
      <c r="AP405" s="160"/>
      <c r="AQ405" s="224">
        <f t="shared" si="162"/>
        <v>0</v>
      </c>
      <c r="AR405" s="296"/>
      <c r="AS405" s="138"/>
      <c r="AT405" s="138"/>
      <c r="AU405" s="138"/>
      <c r="AV405" s="296"/>
      <c r="AW405" s="296"/>
      <c r="AX405" s="296"/>
      <c r="AY405" s="296"/>
      <c r="AZ405" s="222">
        <f t="shared" si="163"/>
        <v>0</v>
      </c>
      <c r="BA405" s="162">
        <f t="shared" si="164"/>
        <v>0</v>
      </c>
      <c r="BB405" s="132"/>
      <c r="BC405" s="162">
        <f t="shared" si="165"/>
        <v>0</v>
      </c>
      <c r="BD405" s="163"/>
      <c r="BE405" s="163"/>
      <c r="BF405" s="163"/>
      <c r="BG405" s="163"/>
      <c r="BH405" s="163"/>
      <c r="BI405" s="163"/>
      <c r="BJ405" s="163"/>
      <c r="BK405" s="163"/>
      <c r="BL405" s="163"/>
      <c r="BM405" s="141"/>
      <c r="BN405" s="163"/>
      <c r="BO405" s="163"/>
      <c r="BP405" s="163"/>
      <c r="BQ405" s="164">
        <f t="shared" si="166"/>
        <v>0</v>
      </c>
      <c r="BR405" s="132"/>
    </row>
    <row r="406" ht="14.25" customHeight="1">
      <c r="A406" s="3"/>
      <c r="B406" s="2"/>
      <c r="C406" s="166">
        <f ref="C406:AL406" t="shared" si="167">SUM(C375:C405)</f>
        <v>0</v>
      </c>
      <c r="D406" s="166">
        <f t="shared" si="167"/>
        <v>0</v>
      </c>
      <c r="E406" s="166">
        <f t="shared" si="167"/>
        <v>0</v>
      </c>
      <c r="F406" s="166">
        <f t="shared" si="167"/>
        <v>0</v>
      </c>
      <c r="G406" s="166">
        <f t="shared" si="167"/>
        <v>0</v>
      </c>
      <c r="H406" s="166">
        <f t="shared" si="167"/>
        <v>0</v>
      </c>
      <c r="I406" s="166">
        <f t="shared" si="167"/>
        <v>0</v>
      </c>
      <c r="J406" s="166">
        <f t="shared" si="167"/>
        <v>0</v>
      </c>
      <c r="K406" s="166">
        <f t="shared" si="167"/>
        <v>0</v>
      </c>
      <c r="L406" s="166">
        <f t="shared" si="167"/>
        <v>0</v>
      </c>
      <c r="M406" s="166">
        <f t="shared" si="167"/>
        <v>0</v>
      </c>
      <c r="N406" s="166">
        <f t="shared" si="167"/>
        <v>0</v>
      </c>
      <c r="O406" s="166">
        <f t="shared" si="167"/>
        <v>0</v>
      </c>
      <c r="P406" s="166">
        <f t="shared" si="167"/>
        <v>0</v>
      </c>
      <c r="Q406" s="166">
        <f t="shared" si="167"/>
        <v>0</v>
      </c>
      <c r="R406" s="166">
        <f t="shared" si="167"/>
        <v>0</v>
      </c>
      <c r="S406" s="166">
        <f t="shared" si="167"/>
        <v>0</v>
      </c>
      <c r="T406" s="166">
        <f t="shared" si="167"/>
        <v>0</v>
      </c>
      <c r="U406" s="166">
        <f t="shared" si="167"/>
        <v>0</v>
      </c>
      <c r="V406" s="166">
        <f t="shared" si="167"/>
        <v>0</v>
      </c>
      <c r="W406" s="166">
        <f t="shared" si="167"/>
        <v>0</v>
      </c>
      <c r="X406" s="166">
        <f t="shared" si="167"/>
        <v>0</v>
      </c>
      <c r="Y406" s="166">
        <f t="shared" si="167"/>
        <v>0</v>
      </c>
      <c r="Z406" s="166">
        <f t="shared" si="167"/>
        <v>0</v>
      </c>
      <c r="AA406" s="166">
        <f t="shared" si="167"/>
        <v>0</v>
      </c>
      <c r="AB406" s="166">
        <f t="shared" si="167"/>
        <v>0</v>
      </c>
      <c r="AC406" s="166">
        <f t="shared" si="167"/>
        <v>0</v>
      </c>
      <c r="AD406" s="166">
        <f t="shared" si="167"/>
        <v>0</v>
      </c>
      <c r="AE406" s="166">
        <f t="shared" si="167"/>
        <v>0</v>
      </c>
      <c r="AF406" s="166">
        <f t="shared" si="167"/>
        <v>0</v>
      </c>
      <c r="AG406" s="166">
        <f t="shared" si="167"/>
        <v>0</v>
      </c>
      <c r="AH406" s="166">
        <f t="shared" si="167"/>
        <v>0</v>
      </c>
      <c r="AI406" s="166">
        <f t="shared" si="167"/>
        <v>0</v>
      </c>
      <c r="AJ406" s="166">
        <f t="shared" si="167"/>
        <v>0</v>
      </c>
      <c r="AK406" s="166">
        <f t="shared" si="167"/>
        <v>0</v>
      </c>
      <c r="AL406" s="166">
        <f t="shared" si="167"/>
        <v>0</v>
      </c>
      <c r="AM406" s="166"/>
      <c r="AN406" s="166">
        <f ref="AN406:BA406" t="shared" si="168">SUM(AN375:AN405)</f>
        <v>0</v>
      </c>
      <c r="AO406" s="166">
        <f t="shared" si="168"/>
        <v>0</v>
      </c>
      <c r="AP406" s="166">
        <f t="shared" si="168"/>
        <v>0</v>
      </c>
      <c r="AQ406" s="166">
        <f t="shared" si="168"/>
        <v>0</v>
      </c>
      <c r="AR406" s="165">
        <f t="shared" si="168"/>
        <v>0</v>
      </c>
      <c r="AS406" s="165">
        <f t="shared" si="168"/>
        <v>0</v>
      </c>
      <c r="AT406" s="165">
        <f t="shared" si="168"/>
        <v>0</v>
      </c>
      <c r="AU406" s="165">
        <f t="shared" si="168"/>
        <v>0</v>
      </c>
      <c r="AV406" s="166">
        <f t="shared" si="168"/>
        <v>0</v>
      </c>
      <c r="AW406" s="166">
        <f t="shared" si="168"/>
        <v>0</v>
      </c>
      <c r="AX406" s="166">
        <f t="shared" si="168"/>
        <v>0</v>
      </c>
      <c r="AY406" s="166">
        <f t="shared" si="168"/>
        <v>0</v>
      </c>
      <c r="AZ406" s="166">
        <f t="shared" si="168"/>
        <v>0</v>
      </c>
      <c r="BA406" s="166">
        <f t="shared" si="168"/>
        <v>0</v>
      </c>
      <c r="BB406" s="3"/>
      <c r="BC406" s="172">
        <f ref="BC406:BQ406" t="shared" si="169">SUM(BC375:BC405)</f>
        <v>0</v>
      </c>
      <c r="BD406" s="165">
        <f t="shared" si="169"/>
        <v>0</v>
      </c>
      <c r="BE406" s="165">
        <f t="shared" si="169"/>
        <v>0</v>
      </c>
      <c r="BF406" s="165">
        <f t="shared" si="169"/>
        <v>0</v>
      </c>
      <c r="BG406" s="165">
        <f t="shared" si="169"/>
        <v>0</v>
      </c>
      <c r="BH406" s="165">
        <f t="shared" si="169"/>
        <v>0</v>
      </c>
      <c r="BI406" s="165">
        <f t="shared" si="169"/>
        <v>0</v>
      </c>
      <c r="BJ406" s="165">
        <f t="shared" si="169"/>
        <v>0</v>
      </c>
      <c r="BK406" s="165">
        <f t="shared" si="169"/>
        <v>0</v>
      </c>
      <c r="BL406" s="165">
        <f t="shared" si="169"/>
        <v>0</v>
      </c>
      <c r="BM406" s="166">
        <f t="shared" si="169"/>
        <v>0</v>
      </c>
      <c r="BN406" s="165">
        <f t="shared" si="169"/>
        <v>0</v>
      </c>
      <c r="BO406" s="165">
        <f t="shared" si="169"/>
        <v>0</v>
      </c>
      <c r="BP406" s="165">
        <f t="shared" si="169"/>
        <v>0</v>
      </c>
      <c r="BQ406" s="165">
        <f t="shared" si="169"/>
        <v>0</v>
      </c>
      <c r="BR406" s="3"/>
    </row>
  </sheetData>
  <pageMargins left="0.7" right="0.7" top="0.75" bottom="0.75" header="0" footer="0"/>
  <pageSetup orientation="portrait"/>
  <headerFooter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85623"/>
  </sheetPr>
  <dimension ref="A1:BV408"/>
  <sheetViews>
    <sheetView showGridLines="0" zoomScale="25" zoomScaleNormal="2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36" sqref="B136"/>
    </sheetView>
  </sheetViews>
  <sheetFormatPr baseColWidth="10" defaultColWidth="14.42578125" defaultRowHeight="15" customHeight="1" x14ac:dyDescent="0.25"/>
  <cols>
    <col min="1" max="1" width="4.42578125" customWidth="1"/>
    <col min="2" max="2" width="15.85546875" customWidth="1"/>
    <col min="3" max="4" width="13.42578125" customWidth="1"/>
    <col min="5" max="5" hidden="1" width="12.42578125" customWidth="1"/>
    <col min="6" max="6" hidden="1" width="13.85546875" customWidth="1"/>
    <col min="7" max="7" width="13.42578125" customWidth="1"/>
    <col min="8" max="8" width="17.140625" customWidth="1"/>
    <col min="9" max="9" width="25.28515625" customWidth="1"/>
    <col min="10" max="10" width="2.85546875" customWidth="1"/>
    <col min="11" max="11" width="2.5703125" customWidth="1"/>
    <col min="12" max="12" width="32.28515625" customWidth="1"/>
    <col min="13" max="13" width="4.28515625" customWidth="1"/>
    <col min="14" max="14" width="23.28515625" customWidth="1"/>
    <col min="15" max="15" width="3.42578125" customWidth="1"/>
    <col min="16" max="16" width="2.5703125" customWidth="1"/>
    <col min="17" max="17" width="17.42578125" customWidth="1"/>
    <col min="18" max="18" width="4.28515625" customWidth="1"/>
    <col min="19" max="19" width="4.5703125" customWidth="1"/>
    <col min="20" max="20" width="17.42578125" customWidth="1"/>
    <col min="21" max="21" hidden="1" width="7.42578125" customWidth="1"/>
    <col min="22" max="22" width="16.140625" customWidth="1"/>
    <col min="23" max="23" width="18" customWidth="1"/>
    <col min="24" max="24" width="22.7109375" customWidth="1"/>
    <col min="25" max="25" width="14.85546875" customWidth="1"/>
    <col min="26" max="26" width="27.42578125" customWidth="1"/>
    <col min="27" max="27" width="26" customWidth="1"/>
    <col min="28" max="28" width="10.42578125" customWidth="1"/>
    <col min="29" max="33" hidden="1" width="12.7109375" customWidth="1"/>
    <col min="34" max="34" hidden="1" width="16.85546875" customWidth="1"/>
    <col min="35" max="35" hidden="1" width="12.7109375" customWidth="1"/>
    <col min="36" max="36" width="12" customWidth="1"/>
    <col min="37" max="38" width="12.85546875" customWidth="1"/>
    <col min="39" max="39" hidden="1" width="12.85546875" customWidth="1"/>
    <col min="40" max="40" width="16.42578125" customWidth="1"/>
    <col min="41" max="41" width="12.7109375" customWidth="1"/>
    <col min="42" max="42" width="15.140625" customWidth="1"/>
    <col min="43" max="43" hidden="1" width="15.140625" customWidth="1"/>
    <col min="44" max="44" hidden="1" width="12.7109375" customWidth="1"/>
    <col min="45" max="45" width="13.140625" customWidth="1"/>
    <col min="46" max="46" width="11.85546875" customWidth="1"/>
    <col min="47" max="47" width="14.85546875" customWidth="1"/>
    <col min="48" max="48" width="12.42578125" customWidth="1"/>
    <col min="49" max="50" hidden="1" width="11.85546875" customWidth="1"/>
    <col min="51" max="51" width="14" customWidth="1"/>
    <col min="52" max="53" hidden="1" width="11.85546875" customWidth="1"/>
    <col min="54" max="54" hidden="1" width="13.42578125" customWidth="1"/>
    <col min="55" max="55" width="11.85546875" customWidth="1"/>
    <col min="56" max="56" width="13" customWidth="1"/>
    <col min="57" max="57" width="16.42578125" customWidth="1"/>
    <col min="58" max="58" width="4" customWidth="1"/>
    <col min="59" max="59" width="11.42578125" customWidth="1"/>
    <col min="60" max="60" width="12.7109375" customWidth="1"/>
    <col min="61" max="61" hidden="1" width="12.7109375" customWidth="1"/>
    <col min="62" max="62" width="12.7109375" customWidth="1"/>
    <col min="63" max="65" hidden="1" width="12.7109375" customWidth="1"/>
    <col min="66" max="66" hidden="1" width="15" customWidth="1"/>
    <col min="67" max="68" hidden="1" width="14.42578125" customWidth="1"/>
    <col min="69" max="72" width="12.7109375" customWidth="1"/>
    <col min="73" max="73" width="11.42578125" customWidth="1"/>
    <col min="74" max="74" width="4.28515625" customWidth="1"/>
  </cols>
  <sheetData>
    <row r="1" ht="1.5" customHeight="1">
      <c r="A1" s="1"/>
      <c r="B1" s="2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1"/>
      <c r="Y1" s="1"/>
      <c r="Z1" s="1"/>
      <c r="AA1" s="1"/>
      <c r="AB1" s="1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4"/>
      <c r="AO1" s="3"/>
      <c r="AP1" s="3"/>
      <c r="AQ1" s="3"/>
      <c r="AR1" s="3"/>
      <c r="AS1" s="4"/>
      <c r="AT1" s="380"/>
      <c r="AU1" s="132"/>
      <c r="AV1" s="132"/>
      <c r="AW1" s="3"/>
      <c r="AX1" s="3"/>
      <c r="AY1" s="132"/>
      <c r="AZ1" s="132"/>
      <c r="BA1" s="132"/>
      <c r="BB1" s="132"/>
      <c r="BC1" s="132"/>
      <c r="BD1" s="4"/>
      <c r="BE1" s="1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</row>
    <row r="2" ht="14.25" customHeight="1">
      <c r="A2" s="7"/>
      <c r="B2" s="13" t="s">
        <v>1</v>
      </c>
      <c r="C2" s="7"/>
      <c r="D2" s="7"/>
      <c r="E2" s="7"/>
      <c r="F2" s="7"/>
      <c r="G2" s="8"/>
      <c r="H2" s="688"/>
      <c r="I2" s="688"/>
      <c r="J2" s="10"/>
      <c r="K2" s="10"/>
      <c r="L2" s="10"/>
      <c r="M2" s="10"/>
      <c r="N2" s="7"/>
      <c r="O2" s="8"/>
      <c r="P2" s="7"/>
      <c r="Q2" s="7"/>
      <c r="R2" s="7"/>
      <c r="S2" s="7"/>
      <c r="T2" s="7"/>
      <c r="U2" s="8"/>
      <c r="V2" s="7"/>
      <c r="W2" s="7"/>
      <c r="X2" s="10"/>
      <c r="Y2" s="10"/>
      <c r="Z2" s="10"/>
      <c r="AA2" s="10"/>
      <c r="AB2" s="10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9"/>
      <c r="AO2" s="9"/>
      <c r="AP2" s="9"/>
      <c r="AQ2" s="9"/>
      <c r="AR2" s="9"/>
      <c r="AS2" s="9"/>
      <c r="AT2" s="10"/>
      <c r="AU2" s="7"/>
      <c r="AV2" s="7"/>
      <c r="AW2" s="7"/>
      <c r="AX2" s="9"/>
      <c r="AY2" s="7"/>
      <c r="AZ2" s="7"/>
      <c r="BA2" s="7"/>
      <c r="BB2" s="7"/>
      <c r="BC2" s="7"/>
      <c r="BD2" s="9"/>
      <c r="BE2" s="10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ht="15.75" customHeight="1">
      <c r="A3" s="313"/>
      <c r="B3" s="314"/>
      <c r="C3" s="315" t="s">
        <v>197</v>
      </c>
      <c r="D3" s="313"/>
      <c r="E3" s="313"/>
      <c r="F3" s="313"/>
      <c r="G3" s="316"/>
      <c r="H3" s="440"/>
      <c r="I3" s="440"/>
      <c r="J3" s="318"/>
      <c r="K3" s="318"/>
      <c r="L3" s="318"/>
      <c r="M3" s="318"/>
      <c r="N3" s="313"/>
      <c r="O3" s="316"/>
      <c r="P3" s="313"/>
      <c r="Q3" s="313"/>
      <c r="R3" s="313"/>
      <c r="S3" s="313"/>
      <c r="T3" s="313"/>
      <c r="U3" s="316"/>
      <c r="V3" s="313"/>
      <c r="W3" s="313"/>
      <c r="X3" s="318"/>
      <c r="Y3" s="318"/>
      <c r="Z3" s="318"/>
      <c r="AA3" s="318"/>
      <c r="AB3" s="318"/>
      <c r="AC3" s="313"/>
      <c r="AD3" s="313"/>
      <c r="AE3" s="313"/>
      <c r="AF3" s="313"/>
      <c r="AG3" s="313"/>
      <c r="AH3" s="313"/>
      <c r="AI3" s="313"/>
      <c r="AJ3" s="313"/>
      <c r="AK3" s="313"/>
      <c r="AL3" s="313"/>
      <c r="AM3" s="313"/>
      <c r="AN3" s="3"/>
      <c r="AO3" s="3"/>
      <c r="AP3" s="3"/>
      <c r="AQ3" s="3"/>
      <c r="AR3" s="3"/>
      <c r="AS3" s="3"/>
      <c r="AT3" s="1"/>
      <c r="AU3" s="3"/>
      <c r="AV3" s="3"/>
      <c r="AW3" s="3"/>
      <c r="AX3" s="3"/>
      <c r="AY3" s="313"/>
      <c r="AZ3" s="313"/>
      <c r="BA3" s="313"/>
      <c r="BB3" s="1037"/>
      <c r="BC3" s="313"/>
      <c r="BD3" s="3"/>
      <c r="BE3" s="318"/>
      <c r="BF3" s="313"/>
      <c r="BG3" s="313" t="s">
        <v>3</v>
      </c>
      <c r="BH3" s="313"/>
      <c r="BI3" s="313"/>
      <c r="BJ3" s="313"/>
      <c r="BK3" s="313"/>
      <c r="BL3" s="313"/>
      <c r="BM3" s="313"/>
      <c r="BN3" s="313"/>
      <c r="BO3" s="313"/>
      <c r="BP3" s="313"/>
      <c r="BQ3" s="313"/>
      <c r="BR3" s="313"/>
      <c r="BS3" s="313"/>
      <c r="BT3" s="313"/>
      <c r="BU3" s="313"/>
      <c r="BV3" s="313"/>
    </row>
    <row r="4" ht="12" customHeight="1">
      <c r="A4" s="22"/>
      <c r="B4" s="319"/>
      <c r="C4" s="22"/>
      <c r="D4" s="22"/>
      <c r="E4" s="22"/>
      <c r="F4" s="22"/>
      <c r="G4" s="24"/>
      <c r="H4" s="564"/>
      <c r="I4" s="564"/>
      <c r="J4" s="564"/>
      <c r="K4" s="564"/>
      <c r="L4" s="564"/>
      <c r="M4" s="564"/>
      <c r="N4" s="24"/>
      <c r="O4" s="24"/>
      <c r="P4" s="24"/>
      <c r="Q4" s="24"/>
      <c r="R4" s="24"/>
      <c r="S4" s="24"/>
      <c r="T4" s="24"/>
      <c r="U4" s="24"/>
      <c r="V4" s="24"/>
      <c r="W4" s="24"/>
      <c r="X4" s="564"/>
      <c r="Y4" s="564"/>
      <c r="Z4" s="564"/>
      <c r="AA4" s="564"/>
      <c r="AB4" s="564"/>
      <c r="AC4" s="24"/>
      <c r="AD4" s="24"/>
      <c r="AE4" s="24"/>
      <c r="AF4" s="24"/>
      <c r="AG4" s="24"/>
      <c r="AH4" s="24"/>
      <c r="AI4" s="24"/>
      <c r="AJ4" s="25" t="s">
        <v>4</v>
      </c>
      <c r="AK4" s="22"/>
      <c r="AL4" s="22"/>
      <c r="AM4" s="22"/>
      <c r="AN4" s="26" t="s">
        <v>5</v>
      </c>
      <c r="AO4" s="24"/>
      <c r="AP4" s="24"/>
      <c r="AQ4" s="24"/>
      <c r="AR4" s="24"/>
      <c r="AS4" s="27"/>
      <c r="AT4" s="325">
        <v>0</v>
      </c>
      <c r="AU4" s="27"/>
      <c r="AV4" s="27"/>
      <c r="AW4" s="27"/>
      <c r="AX4" s="27"/>
      <c r="AY4" s="32"/>
      <c r="AZ4" s="27"/>
      <c r="BA4" s="27"/>
      <c r="BB4" s="27"/>
      <c r="BC4" s="27"/>
      <c r="BD4" s="27"/>
      <c r="BE4" s="321"/>
      <c r="BF4" s="27"/>
      <c r="BG4" s="27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7"/>
      <c r="BV4" s="22"/>
    </row>
    <row r="5" ht="13.5" customHeight="1">
      <c r="A5" s="33"/>
      <c r="B5" s="34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1038" t="s">
        <v>10</v>
      </c>
      <c r="I5" s="1039" t="s">
        <v>10</v>
      </c>
      <c r="J5" s="1039" t="s">
        <v>10</v>
      </c>
      <c r="K5" s="1039" t="s">
        <v>10</v>
      </c>
      <c r="L5" s="1039" t="s">
        <v>10</v>
      </c>
      <c r="M5" s="1039" t="s">
        <v>10</v>
      </c>
      <c r="N5" s="1040" t="s">
        <v>10</v>
      </c>
      <c r="O5" s="1041" t="s">
        <v>10</v>
      </c>
      <c r="P5" s="1041" t="s">
        <v>10</v>
      </c>
      <c r="Q5" s="1042"/>
      <c r="R5" s="1042"/>
      <c r="S5" s="1042" t="s">
        <v>10</v>
      </c>
      <c r="T5" s="1042"/>
      <c r="U5" s="571" t="s">
        <v>10</v>
      </c>
      <c r="V5" s="571" t="s">
        <v>10</v>
      </c>
      <c r="W5" s="571" t="s">
        <v>11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571" t="s">
        <v>12</v>
      </c>
      <c r="AH5" s="571" t="s">
        <v>12</v>
      </c>
      <c r="AI5" s="708" t="s">
        <v>12</v>
      </c>
      <c r="AJ5" s="709" t="s">
        <v>12</v>
      </c>
      <c r="AK5" s="572" t="s">
        <v>13</v>
      </c>
      <c r="AL5" s="573" t="s">
        <v>13</v>
      </c>
      <c r="AM5" s="573" t="s">
        <v>13</v>
      </c>
      <c r="AN5" s="605" t="s">
        <v>14</v>
      </c>
      <c r="AO5" s="574" t="s">
        <v>15</v>
      </c>
      <c r="AP5" s="574" t="s">
        <v>15</v>
      </c>
      <c r="AQ5" s="575" t="s">
        <v>15</v>
      </c>
      <c r="AR5" s="576" t="s">
        <v>16</v>
      </c>
      <c r="AS5" s="51" t="s">
        <v>4</v>
      </c>
      <c r="AT5" s="1043" t="s">
        <v>17</v>
      </c>
      <c r="AU5" s="59" t="s">
        <v>17</v>
      </c>
      <c r="AV5" s="59" t="s">
        <v>20</v>
      </c>
      <c r="AW5" s="59" t="s">
        <v>20</v>
      </c>
      <c r="AX5" s="59" t="s">
        <v>20</v>
      </c>
      <c r="AY5" s="738" t="s">
        <v>20</v>
      </c>
      <c r="AZ5" s="715" t="s">
        <v>20</v>
      </c>
      <c r="BA5" s="715" t="s">
        <v>21</v>
      </c>
      <c r="BB5" s="59" t="s">
        <v>22</v>
      </c>
      <c r="BC5" s="59" t="s">
        <v>24</v>
      </c>
      <c r="BD5" s="51" t="s">
        <v>5</v>
      </c>
      <c r="BE5" s="58" t="s">
        <v>25</v>
      </c>
      <c r="BF5" s="33"/>
      <c r="BG5" s="58" t="s">
        <v>4</v>
      </c>
      <c r="BH5" s="59" t="s">
        <v>26</v>
      </c>
      <c r="BI5" s="59" t="s">
        <v>89</v>
      </c>
      <c r="BJ5" s="59" t="s">
        <v>90</v>
      </c>
      <c r="BK5" s="59" t="s">
        <v>91</v>
      </c>
      <c r="BL5" s="59" t="s">
        <v>92</v>
      </c>
      <c r="BM5" s="59" t="s">
        <v>93</v>
      </c>
      <c r="BN5" s="59" t="s">
        <v>94</v>
      </c>
      <c r="BO5" s="59" t="s">
        <v>95</v>
      </c>
      <c r="BP5" s="59" t="s">
        <v>95</v>
      </c>
      <c r="BQ5" s="59" t="s">
        <v>27</v>
      </c>
      <c r="BR5" s="59" t="s">
        <v>28</v>
      </c>
      <c r="BS5" s="59" t="s">
        <v>28</v>
      </c>
      <c r="BT5" s="59" t="s">
        <v>28</v>
      </c>
      <c r="BU5" s="60" t="s">
        <v>29</v>
      </c>
      <c r="BV5" s="33"/>
    </row>
    <row r="6" ht="13.5" customHeight="1">
      <c r="A6" s="33"/>
      <c r="B6" s="63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1044" t="s">
        <v>198</v>
      </c>
      <c r="I6" s="1045" t="s">
        <v>199</v>
      </c>
      <c r="J6" s="1045" t="s">
        <v>200</v>
      </c>
      <c r="K6" s="1045" t="s">
        <v>201</v>
      </c>
      <c r="L6" s="1045" t="s">
        <v>202</v>
      </c>
      <c r="M6" s="1044" t="s">
        <v>203</v>
      </c>
      <c r="N6" s="1046" t="s">
        <v>204</v>
      </c>
      <c r="O6" s="1047" t="s">
        <v>205</v>
      </c>
      <c r="P6" s="1047" t="s">
        <v>206</v>
      </c>
      <c r="Q6" s="1047" t="s">
        <v>207</v>
      </c>
      <c r="R6" s="1047" t="s">
        <v>208</v>
      </c>
      <c r="S6" s="1047" t="s">
        <v>209</v>
      </c>
      <c r="T6" s="1047" t="s">
        <v>210</v>
      </c>
      <c r="U6" s="588" t="s">
        <v>46</v>
      </c>
      <c r="V6" s="588" t="s">
        <v>190</v>
      </c>
      <c r="W6" s="595" t="s">
        <v>48</v>
      </c>
      <c r="X6" s="733" t="s">
        <v>211</v>
      </c>
      <c r="Y6" s="733" t="s">
        <v>212</v>
      </c>
      <c r="Z6" s="733" t="s">
        <v>213</v>
      </c>
      <c r="AA6" s="733" t="s">
        <v>214</v>
      </c>
      <c r="AB6" s="733" t="s">
        <v>54</v>
      </c>
      <c r="AC6" s="733" t="s">
        <v>55</v>
      </c>
      <c r="AD6" s="733" t="s">
        <v>56</v>
      </c>
      <c r="AE6" s="733" t="s">
        <v>57</v>
      </c>
      <c r="AF6" s="733" t="s">
        <v>58</v>
      </c>
      <c r="AG6" s="733" t="s">
        <v>59</v>
      </c>
      <c r="AH6" s="733" t="s">
        <v>46</v>
      </c>
      <c r="AI6" s="733" t="s">
        <v>47</v>
      </c>
      <c r="AJ6" s="595" t="s">
        <v>30</v>
      </c>
      <c r="AK6" s="599" t="s">
        <v>30</v>
      </c>
      <c r="AL6" s="600" t="s">
        <v>31</v>
      </c>
      <c r="AM6" s="600" t="s">
        <v>32</v>
      </c>
      <c r="AN6" s="90" t="s">
        <v>34</v>
      </c>
      <c r="AO6" s="601" t="s">
        <v>48</v>
      </c>
      <c r="AP6" s="601" t="s">
        <v>31</v>
      </c>
      <c r="AQ6" s="602" t="s">
        <v>32</v>
      </c>
      <c r="AR6" s="603" t="s">
        <v>60</v>
      </c>
      <c r="AS6" s="81" t="s">
        <v>61</v>
      </c>
      <c r="AT6" s="1043" t="s">
        <v>62</v>
      </c>
      <c r="AU6" s="605" t="s">
        <v>215</v>
      </c>
      <c r="AV6" s="605" t="s">
        <v>158</v>
      </c>
      <c r="AW6" s="605" t="s">
        <v>66</v>
      </c>
      <c r="AX6" s="605" t="s">
        <v>68</v>
      </c>
      <c r="AY6" s="738" t="s">
        <v>31</v>
      </c>
      <c r="AZ6" s="739" t="s">
        <v>32</v>
      </c>
      <c r="BA6" s="739" t="s">
        <v>32</v>
      </c>
      <c r="BB6" s="605"/>
      <c r="BC6" s="605" t="s">
        <v>69</v>
      </c>
      <c r="BD6" s="81" t="s">
        <v>70</v>
      </c>
      <c r="BE6" s="89" t="s">
        <v>71</v>
      </c>
      <c r="BF6" s="33"/>
      <c r="BG6" s="89" t="s">
        <v>72</v>
      </c>
      <c r="BH6" s="90"/>
      <c r="BI6" s="90" t="s">
        <v>125</v>
      </c>
      <c r="BJ6" s="90"/>
      <c r="BK6" s="90" t="s">
        <v>126</v>
      </c>
      <c r="BL6" s="90" t="s">
        <v>127</v>
      </c>
      <c r="BM6" s="90" t="s">
        <v>128</v>
      </c>
      <c r="BN6" s="90" t="s">
        <v>129</v>
      </c>
      <c r="BO6" s="90" t="s">
        <v>130</v>
      </c>
      <c r="BP6" s="90" t="s">
        <v>131</v>
      </c>
      <c r="BQ6" s="90" t="s">
        <v>73</v>
      </c>
      <c r="BR6" s="90" t="s">
        <v>74</v>
      </c>
      <c r="BS6" s="90" t="s">
        <v>75</v>
      </c>
      <c r="BT6" s="90" t="s">
        <v>52</v>
      </c>
      <c r="BU6" s="91"/>
      <c r="BV6" s="33"/>
    </row>
    <row r="7" ht="14.25" customHeight="1">
      <c r="A7" s="3"/>
      <c r="B7" s="215">
        <v>46023</v>
      </c>
      <c r="C7" s="890">
        <f>6277.06-D7-0</f>
      </c>
      <c r="D7" s="891">
        <v>993.88</v>
      </c>
      <c r="E7" s="97"/>
      <c r="F7" s="97"/>
      <c r="G7" s="147">
        <f ref="G7:G37" t="shared" si="0">+C7+D7+E7+F7</f>
        <v>0</v>
      </c>
      <c r="H7" s="1048"/>
      <c r="I7" s="796">
        <v>144.88</v>
      </c>
      <c r="J7" s="619"/>
      <c r="K7" s="619"/>
      <c r="L7" s="619"/>
      <c r="M7" s="619"/>
      <c r="N7" s="1049"/>
      <c r="O7" s="186"/>
      <c r="P7" s="186"/>
      <c r="Q7" s="894"/>
      <c r="R7" s="186"/>
      <c r="S7" s="186"/>
      <c r="T7" s="894"/>
      <c r="U7" s="1050"/>
      <c r="V7" s="1050"/>
      <c r="W7" s="103">
        <f ref="W7:W37" t="shared" si="1">SUM(H7:V7)</f>
        <v>0</v>
      </c>
      <c r="X7" s="619"/>
      <c r="Y7" s="619"/>
      <c r="Z7" s="619"/>
      <c r="AA7" s="619"/>
      <c r="AB7" s="619"/>
      <c r="AC7" s="186"/>
      <c r="AD7" s="186"/>
      <c r="AE7" s="186"/>
      <c r="AF7" s="186"/>
      <c r="AG7" s="186"/>
      <c r="AH7" s="186"/>
      <c r="AI7" s="186"/>
      <c r="AJ7" s="103">
        <f ref="AJ7:AJ37" t="shared" si="2">SUM(X7:AI7)</f>
        <v>0</v>
      </c>
      <c r="AK7" s="896">
        <v>1407.29</v>
      </c>
      <c r="AL7" s="897">
        <v>184.14</v>
      </c>
      <c r="AM7" s="104"/>
      <c r="AN7" s="105">
        <f ref="AN7:AN37" t="shared" si="3">SUM(AK7:AM7)</f>
        <v>0</v>
      </c>
      <c r="AO7" s="984">
        <v>117.57</v>
      </c>
      <c r="AP7" s="186"/>
      <c r="AQ7" s="186"/>
      <c r="AR7" s="193"/>
      <c r="AS7" s="224">
        <f ref="AS7:AS37" t="shared" si="4">+G7-W7-AJ7-AN7-AO7-AP7-AQ7-AR7</f>
        <v>0</v>
      </c>
      <c r="AT7" s="1786">
        <v>3613.6</v>
      </c>
      <c r="AU7" s="1777"/>
      <c r="AV7" s="1777"/>
      <c r="AW7" s="1777"/>
      <c r="AX7" s="1548"/>
      <c r="AY7" s="1787">
        <v>809.8</v>
      </c>
      <c r="AZ7" s="1548"/>
      <c r="BA7" s="1548"/>
      <c r="BB7" s="1548"/>
      <c r="BC7" s="1537"/>
      <c r="BD7" s="222">
        <f ref="BD7:BD37" t="shared" si="5">SUM(AT7:BC7)-BB7</f>
        <v>0</v>
      </c>
      <c r="BE7" s="1051">
        <f ref="BE7:BE37" t="shared" si="6">+AS7-BD7</f>
        <v>0</v>
      </c>
      <c r="BF7" s="3"/>
      <c r="BG7" s="114">
        <f ref="BG7:BG37" t="shared" si="7">SUM(BH7:BT7)</f>
        <v>0</v>
      </c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052"/>
      <c r="BS7" s="899"/>
      <c r="BT7" s="115"/>
      <c r="BU7" s="116">
        <f ref="BU7:BU37" t="shared" si="8">+BE7-BG7</f>
        <v>0</v>
      </c>
      <c r="BV7" s="3"/>
    </row>
    <row r="8" ht="14.25" customHeight="1">
      <c r="A8" s="3"/>
      <c r="B8" s="215">
        <v>46024</v>
      </c>
      <c r="C8" s="900">
        <f>15391.10-D8-0</f>
      </c>
      <c r="D8" s="901">
        <v>1827.91</v>
      </c>
      <c r="E8" s="120"/>
      <c r="F8" s="120"/>
      <c r="G8" s="147">
        <f t="shared" si="0"/>
        <v>0</v>
      </c>
      <c r="H8" s="1053"/>
      <c r="I8" s="801">
        <v>950.1</v>
      </c>
      <c r="J8" s="611"/>
      <c r="K8" s="611"/>
      <c r="L8" s="611"/>
      <c r="M8" s="611"/>
      <c r="N8" s="999"/>
      <c r="O8" s="143"/>
      <c r="P8" s="143"/>
      <c r="Q8" s="999"/>
      <c r="R8" s="143"/>
      <c r="S8" s="143"/>
      <c r="T8" s="905"/>
      <c r="U8" s="1054"/>
      <c r="V8" s="1054"/>
      <c r="W8" s="103">
        <f t="shared" si="1"/>
        <v>0</v>
      </c>
      <c r="X8" s="611"/>
      <c r="Y8" s="611"/>
      <c r="Z8" s="611"/>
      <c r="AA8" s="611"/>
      <c r="AB8" s="611"/>
      <c r="AC8" s="143"/>
      <c r="AD8" s="143"/>
      <c r="AE8" s="143"/>
      <c r="AF8" s="143"/>
      <c r="AG8" s="143"/>
      <c r="AH8" s="143"/>
      <c r="AI8" s="143"/>
      <c r="AJ8" s="103">
        <f t="shared" si="2"/>
        <v>0</v>
      </c>
      <c r="AK8" s="906">
        <v>5464.37</v>
      </c>
      <c r="AL8" s="907">
        <v>384.69</v>
      </c>
      <c r="AM8" s="123"/>
      <c r="AN8" s="105">
        <f t="shared" si="3"/>
        <v>0</v>
      </c>
      <c r="AO8" s="988">
        <v>293.77</v>
      </c>
      <c r="AP8" s="143"/>
      <c r="AQ8" s="143"/>
      <c r="AR8" s="146"/>
      <c r="AS8" s="224">
        <f t="shared" si="4"/>
        <v>0</v>
      </c>
      <c r="AT8" s="1788">
        <v>5519.5</v>
      </c>
      <c r="AU8" s="1778">
        <v>1235.57</v>
      </c>
      <c r="AV8" s="1778"/>
      <c r="AW8" s="1778"/>
      <c r="AX8" s="1548"/>
      <c r="AY8" s="1760">
        <v>1443.2</v>
      </c>
      <c r="AZ8" s="1548"/>
      <c r="BA8" s="1548"/>
      <c r="BB8" s="1548"/>
      <c r="BC8" s="1546"/>
      <c r="BD8" s="222">
        <f t="shared" si="5"/>
        <v>0</v>
      </c>
      <c r="BE8" s="1055">
        <f t="shared" si="6"/>
        <v>0</v>
      </c>
      <c r="BF8" s="3"/>
      <c r="BG8" s="113">
        <f t="shared" si="7"/>
        <v>0</v>
      </c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056"/>
      <c r="BS8" s="909">
        <v>100</v>
      </c>
      <c r="BT8" s="129"/>
      <c r="BU8" s="130">
        <f t="shared" si="8"/>
        <v>0</v>
      </c>
      <c r="BV8" s="3"/>
    </row>
    <row r="9" ht="14.25" customHeight="1">
      <c r="A9" s="3"/>
      <c r="B9" s="215">
        <v>46025</v>
      </c>
      <c r="C9" s="900">
        <f>22251.71-D9-0</f>
      </c>
      <c r="D9" s="901">
        <v>1291.36</v>
      </c>
      <c r="E9" s="120"/>
      <c r="F9" s="120"/>
      <c r="G9" s="147">
        <f t="shared" si="0"/>
        <v>0</v>
      </c>
      <c r="H9" s="1057"/>
      <c r="I9" s="801">
        <v>3039.4</v>
      </c>
      <c r="J9" s="611"/>
      <c r="K9" s="611"/>
      <c r="L9" s="611"/>
      <c r="M9" s="611"/>
      <c r="N9" s="999"/>
      <c r="O9" s="143"/>
      <c r="P9" s="143"/>
      <c r="Q9" s="999"/>
      <c r="R9" s="143"/>
      <c r="S9" s="143"/>
      <c r="T9" s="992">
        <v>986.3</v>
      </c>
      <c r="U9" s="1054"/>
      <c r="V9" s="1054"/>
      <c r="W9" s="103">
        <f t="shared" si="1"/>
        <v>0</v>
      </c>
      <c r="X9" s="611"/>
      <c r="Y9" s="611"/>
      <c r="Z9" s="611"/>
      <c r="AA9" s="611"/>
      <c r="AB9" s="611"/>
      <c r="AC9" s="143"/>
      <c r="AD9" s="143"/>
      <c r="AE9" s="143"/>
      <c r="AF9" s="143"/>
      <c r="AG9" s="143"/>
      <c r="AH9" s="143"/>
      <c r="AI9" s="143"/>
      <c r="AJ9" s="103">
        <f t="shared" si="2"/>
        <v>0</v>
      </c>
      <c r="AK9" s="906">
        <v>9490.73</v>
      </c>
      <c r="AL9" s="901">
        <v>437.57</v>
      </c>
      <c r="AM9" s="123"/>
      <c r="AN9" s="105">
        <f t="shared" si="3"/>
        <v>0</v>
      </c>
      <c r="AO9" s="988">
        <v>537.72</v>
      </c>
      <c r="AP9" s="143"/>
      <c r="AQ9" s="143"/>
      <c r="AR9" s="146"/>
      <c r="AS9" s="224">
        <f t="shared" si="4"/>
        <v>0</v>
      </c>
      <c r="AT9" s="1788">
        <v>6906.4</v>
      </c>
      <c r="AU9" s="1778"/>
      <c r="AV9" s="1778"/>
      <c r="AW9" s="1778"/>
      <c r="AX9" s="1548"/>
      <c r="AY9" s="1760">
        <v>853.6</v>
      </c>
      <c r="AZ9" s="1548"/>
      <c r="BA9" s="1548"/>
      <c r="BB9" s="1548"/>
      <c r="BC9" s="1546"/>
      <c r="BD9" s="222">
        <f t="shared" si="5"/>
        <v>0</v>
      </c>
      <c r="BE9" s="1055">
        <f t="shared" si="6"/>
        <v>0</v>
      </c>
      <c r="BF9" s="3"/>
      <c r="BG9" s="113">
        <f t="shared" si="7"/>
        <v>0</v>
      </c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908"/>
      <c r="BS9" s="910"/>
      <c r="BT9" s="129"/>
      <c r="BU9" s="130">
        <f t="shared" si="8"/>
        <v>0</v>
      </c>
      <c r="BV9" s="3"/>
    </row>
    <row r="10" ht="14.25" customHeight="1">
      <c r="A10" s="132"/>
      <c r="B10" s="215">
        <v>46026</v>
      </c>
      <c r="C10" s="900">
        <f>9833.17-D10-0</f>
      </c>
      <c r="D10" s="901">
        <v>1920.07</v>
      </c>
      <c r="E10" s="135"/>
      <c r="F10" s="135"/>
      <c r="G10" s="147">
        <f t="shared" si="0"/>
        <v>0</v>
      </c>
      <c r="H10" s="1058">
        <v>432.62</v>
      </c>
      <c r="I10" s="801">
        <v>913.37</v>
      </c>
      <c r="J10" s="611"/>
      <c r="K10" s="611"/>
      <c r="L10" s="611"/>
      <c r="M10" s="611"/>
      <c r="N10" s="904"/>
      <c r="O10" s="143"/>
      <c r="P10" s="143"/>
      <c r="Q10" s="999"/>
      <c r="R10" s="143"/>
      <c r="S10" s="143"/>
      <c r="T10" s="905"/>
      <c r="U10" s="1054"/>
      <c r="V10" s="1054"/>
      <c r="W10" s="103">
        <f t="shared" si="1"/>
        <v>0</v>
      </c>
      <c r="X10" s="611"/>
      <c r="Y10" s="611"/>
      <c r="Z10" s="611"/>
      <c r="AA10" s="611"/>
      <c r="AB10" s="611"/>
      <c r="AC10" s="143"/>
      <c r="AD10" s="143"/>
      <c r="AE10" s="143"/>
      <c r="AF10" s="143"/>
      <c r="AG10" s="143"/>
      <c r="AH10" s="143"/>
      <c r="AI10" s="143"/>
      <c r="AJ10" s="103">
        <f t="shared" si="2"/>
        <v>0</v>
      </c>
      <c r="AK10" s="906">
        <v>2903.32</v>
      </c>
      <c r="AL10" s="907">
        <v>427.29</v>
      </c>
      <c r="AM10" s="136"/>
      <c r="AN10" s="105">
        <f t="shared" si="3"/>
        <v>0</v>
      </c>
      <c r="AO10" s="988">
        <v>138.03</v>
      </c>
      <c r="AP10" s="143"/>
      <c r="AQ10" s="143"/>
      <c r="AR10" s="146"/>
      <c r="AS10" s="224">
        <f t="shared" si="4"/>
        <v>0</v>
      </c>
      <c r="AT10" s="1788">
        <v>3525.9</v>
      </c>
      <c r="AU10" s="1778"/>
      <c r="AV10" s="1778"/>
      <c r="AW10" s="1778"/>
      <c r="AX10" s="1548"/>
      <c r="AY10" s="1760">
        <v>1493.4</v>
      </c>
      <c r="AZ10" s="1548"/>
      <c r="BA10" s="1548"/>
      <c r="BB10" s="1548"/>
      <c r="BC10" s="1546"/>
      <c r="BD10" s="222">
        <f t="shared" si="5"/>
        <v>0</v>
      </c>
      <c r="BE10" s="456">
        <f t="shared" si="6"/>
        <v>0</v>
      </c>
      <c r="BF10" s="132"/>
      <c r="BG10" s="140">
        <f t="shared" si="7"/>
        <v>0</v>
      </c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908"/>
      <c r="BS10" s="909"/>
      <c r="BT10" s="141"/>
      <c r="BU10" s="130">
        <f t="shared" si="8"/>
        <v>0</v>
      </c>
      <c r="BV10" s="132"/>
    </row>
    <row r="11" ht="14.25" customHeight="1">
      <c r="A11" s="132"/>
      <c r="B11" s="215">
        <v>46027</v>
      </c>
      <c r="C11" s="900">
        <f>12705.26-D11-0</f>
      </c>
      <c r="D11" s="901">
        <v>1182.64</v>
      </c>
      <c r="E11" s="135"/>
      <c r="F11" s="135"/>
      <c r="G11" s="147">
        <f t="shared" si="0"/>
        <v>0</v>
      </c>
      <c r="H11" s="1058">
        <v>223.59</v>
      </c>
      <c r="I11" s="801">
        <v>1543.12</v>
      </c>
      <c r="J11" s="611"/>
      <c r="K11" s="611"/>
      <c r="L11" s="611"/>
      <c r="M11" s="611"/>
      <c r="N11" s="904"/>
      <c r="O11" s="143"/>
      <c r="P11" s="143"/>
      <c r="Q11" s="999"/>
      <c r="R11" s="143"/>
      <c r="S11" s="143"/>
      <c r="T11" s="904"/>
      <c r="U11" s="1054"/>
      <c r="V11" s="1054"/>
      <c r="W11" s="103">
        <f t="shared" si="1"/>
        <v>0</v>
      </c>
      <c r="X11" s="611"/>
      <c r="Y11" s="611"/>
      <c r="Z11" s="611"/>
      <c r="AA11" s="611"/>
      <c r="AB11" s="611"/>
      <c r="AC11" s="143"/>
      <c r="AD11" s="143"/>
      <c r="AE11" s="143"/>
      <c r="AF11" s="143"/>
      <c r="AG11" s="143"/>
      <c r="AH11" s="143"/>
      <c r="AI11" s="143"/>
      <c r="AJ11" s="103">
        <f t="shared" si="2"/>
        <v>0</v>
      </c>
      <c r="AK11" s="906">
        <v>4013.8</v>
      </c>
      <c r="AL11" s="907">
        <v>511.82</v>
      </c>
      <c r="AM11" s="136"/>
      <c r="AN11" s="105">
        <f t="shared" si="3"/>
        <v>0</v>
      </c>
      <c r="AO11" s="988">
        <v>177.03</v>
      </c>
      <c r="AP11" s="143"/>
      <c r="AQ11" s="143"/>
      <c r="AR11" s="146"/>
      <c r="AS11" s="224">
        <f t="shared" si="4"/>
        <v>0</v>
      </c>
      <c r="AT11" s="1788">
        <v>5465.2</v>
      </c>
      <c r="AU11" s="1778"/>
      <c r="AV11" s="1778"/>
      <c r="AW11" s="1778"/>
      <c r="AX11" s="1548"/>
      <c r="AY11" s="1760">
        <v>670</v>
      </c>
      <c r="AZ11" s="1548"/>
      <c r="BA11" s="1548"/>
      <c r="BB11" s="1548"/>
      <c r="BC11" s="1546"/>
      <c r="BD11" s="222">
        <f t="shared" si="5"/>
        <v>0</v>
      </c>
      <c r="BE11" s="456">
        <f t="shared" si="6"/>
        <v>0</v>
      </c>
      <c r="BF11" s="132"/>
      <c r="BG11" s="140">
        <f t="shared" si="7"/>
        <v>0</v>
      </c>
      <c r="BH11" s="141"/>
      <c r="BI11" s="141"/>
      <c r="BJ11" s="141"/>
      <c r="BK11" s="141"/>
      <c r="BL11" s="141"/>
      <c r="BM11" s="141"/>
      <c r="BN11" s="141"/>
      <c r="BO11" s="141"/>
      <c r="BP11" s="141"/>
      <c r="BQ11" s="141"/>
      <c r="BR11" s="1056"/>
      <c r="BS11" s="909">
        <v>100</v>
      </c>
      <c r="BT11" s="141"/>
      <c r="BU11" s="130">
        <f t="shared" si="8"/>
        <v>0</v>
      </c>
      <c r="BV11" s="132"/>
    </row>
    <row r="12" ht="14.25" customHeight="1">
      <c r="A12" s="132"/>
      <c r="B12" s="215">
        <v>46028</v>
      </c>
      <c r="C12" s="900">
        <f>18241.86-D12-0</f>
      </c>
      <c r="D12" s="901">
        <v>1493.48</v>
      </c>
      <c r="E12" s="135"/>
      <c r="F12" s="135"/>
      <c r="G12" s="147">
        <f t="shared" si="0"/>
        <v>0</v>
      </c>
      <c r="H12" s="1059">
        <v>420.32</v>
      </c>
      <c r="I12" s="801">
        <v>3696.34</v>
      </c>
      <c r="J12" s="611"/>
      <c r="K12" s="611"/>
      <c r="L12" s="611"/>
      <c r="M12" s="611"/>
      <c r="N12" s="999"/>
      <c r="O12" s="143"/>
      <c r="P12" s="143"/>
      <c r="Q12" s="999"/>
      <c r="R12" s="143"/>
      <c r="S12" s="143"/>
      <c r="T12" s="905"/>
      <c r="U12" s="1054"/>
      <c r="V12" s="1054"/>
      <c r="W12" s="103">
        <f t="shared" si="1"/>
        <v>0</v>
      </c>
      <c r="X12" s="611"/>
      <c r="Y12" s="380"/>
      <c r="Z12" s="611"/>
      <c r="AA12" s="611"/>
      <c r="AB12" s="611"/>
      <c r="AC12" s="143"/>
      <c r="AD12" s="143"/>
      <c r="AE12" s="143"/>
      <c r="AF12" s="143"/>
      <c r="AG12" s="143"/>
      <c r="AH12" s="143"/>
      <c r="AI12" s="143"/>
      <c r="AJ12" s="103">
        <f t="shared" si="2"/>
        <v>0</v>
      </c>
      <c r="AK12" s="906">
        <v>5114.75</v>
      </c>
      <c r="AL12" s="907">
        <v>489.66</v>
      </c>
      <c r="AM12" s="136"/>
      <c r="AN12" s="105">
        <f t="shared" si="3"/>
        <v>0</v>
      </c>
      <c r="AO12" s="988">
        <v>345.61</v>
      </c>
      <c r="AP12" s="143"/>
      <c r="AQ12" s="143"/>
      <c r="AR12" s="146"/>
      <c r="AS12" s="224">
        <f t="shared" si="4"/>
        <v>0</v>
      </c>
      <c r="AT12" s="1788">
        <v>7171.5</v>
      </c>
      <c r="AU12" s="1778"/>
      <c r="AV12" s="1778"/>
      <c r="AW12" s="1778"/>
      <c r="AX12" s="1548"/>
      <c r="AY12" s="1789">
        <v>1003.8</v>
      </c>
      <c r="AZ12" s="1548"/>
      <c r="BA12" s="1548"/>
      <c r="BB12" s="1548"/>
      <c r="BC12" s="1546"/>
      <c r="BD12" s="222">
        <f t="shared" si="5"/>
        <v>0</v>
      </c>
      <c r="BE12" s="456">
        <f t="shared" si="6"/>
        <v>0</v>
      </c>
      <c r="BF12" s="132"/>
      <c r="BG12" s="140">
        <f t="shared" si="7"/>
        <v>0</v>
      </c>
      <c r="BH12" s="141"/>
      <c r="BI12" s="141"/>
      <c r="BJ12" s="141"/>
      <c r="BK12" s="141"/>
      <c r="BL12" s="141"/>
      <c r="BM12" s="141"/>
      <c r="BN12" s="141"/>
      <c r="BO12" s="141"/>
      <c r="BP12" s="141"/>
      <c r="BQ12" s="141"/>
      <c r="BR12" s="908"/>
      <c r="BS12" s="910"/>
      <c r="BT12" s="141"/>
      <c r="BU12" s="130">
        <f t="shared" si="8"/>
        <v>0</v>
      </c>
      <c r="BV12" s="132"/>
    </row>
    <row r="13" ht="14.25" customHeight="1">
      <c r="A13" s="132"/>
      <c r="B13" s="215">
        <v>46029</v>
      </c>
      <c r="C13" s="900">
        <f>11323.05-D13-0</f>
      </c>
      <c r="D13" s="901">
        <v>1264.6</v>
      </c>
      <c r="E13" s="135"/>
      <c r="F13" s="135"/>
      <c r="G13" s="147">
        <f t="shared" si="0"/>
        <v>0</v>
      </c>
      <c r="H13" s="1057"/>
      <c r="I13" s="801">
        <v>919.28</v>
      </c>
      <c r="J13" s="611"/>
      <c r="K13" s="611"/>
      <c r="L13" s="611"/>
      <c r="M13" s="611"/>
      <c r="N13" s="999"/>
      <c r="O13" s="143"/>
      <c r="P13" s="143"/>
      <c r="Q13" s="999"/>
      <c r="R13" s="143"/>
      <c r="S13" s="143"/>
      <c r="T13" s="904"/>
      <c r="U13" s="1054"/>
      <c r="V13" s="1054"/>
      <c r="W13" s="103">
        <f t="shared" si="1"/>
        <v>0</v>
      </c>
      <c r="X13" s="611"/>
      <c r="Y13" s="611"/>
      <c r="Z13" s="611"/>
      <c r="AA13" s="611"/>
      <c r="AB13" s="611"/>
      <c r="AC13" s="143"/>
      <c r="AD13" s="143"/>
      <c r="AE13" s="143"/>
      <c r="AF13" s="143"/>
      <c r="AG13" s="143"/>
      <c r="AH13" s="143"/>
      <c r="AI13" s="143"/>
      <c r="AJ13" s="103">
        <f t="shared" si="2"/>
        <v>0</v>
      </c>
      <c r="AK13" s="906">
        <v>2903.27</v>
      </c>
      <c r="AL13" s="907">
        <v>484.85</v>
      </c>
      <c r="AM13" s="136"/>
      <c r="AN13" s="105">
        <f t="shared" si="3"/>
        <v>0</v>
      </c>
      <c r="AO13" s="988">
        <v>186.54</v>
      </c>
      <c r="AP13" s="143"/>
      <c r="AQ13" s="143"/>
      <c r="AR13" s="146"/>
      <c r="AS13" s="224">
        <f t="shared" si="4"/>
        <v>0</v>
      </c>
      <c r="AT13" s="1788">
        <v>5949.6</v>
      </c>
      <c r="AU13" s="1778"/>
      <c r="AV13" s="1779"/>
      <c r="AW13" s="1778"/>
      <c r="AX13" s="1548"/>
      <c r="AY13" s="1760">
        <v>779.7</v>
      </c>
      <c r="AZ13" s="1548"/>
      <c r="BA13" s="1548"/>
      <c r="BB13" s="1548"/>
      <c r="BC13" s="1546"/>
      <c r="BD13" s="222">
        <f t="shared" si="5"/>
        <v>0</v>
      </c>
      <c r="BE13" s="456">
        <f t="shared" si="6"/>
        <v>0</v>
      </c>
      <c r="BF13" s="132"/>
      <c r="BG13" s="140">
        <f t="shared" si="7"/>
        <v>0</v>
      </c>
      <c r="BH13" s="141"/>
      <c r="BI13" s="141"/>
      <c r="BJ13" s="141"/>
      <c r="BK13" s="141"/>
      <c r="BL13" s="141"/>
      <c r="BM13" s="141"/>
      <c r="BN13" s="141"/>
      <c r="BO13" s="141"/>
      <c r="BP13" s="141"/>
      <c r="BQ13" s="141"/>
      <c r="BR13" s="1056"/>
      <c r="BS13" s="909">
        <v>100</v>
      </c>
      <c r="BT13" s="141"/>
      <c r="BU13" s="130">
        <f t="shared" si="8"/>
        <v>0</v>
      </c>
      <c r="BV13" s="132"/>
    </row>
    <row r="14" ht="14.25" customHeight="1">
      <c r="A14" s="132"/>
      <c r="B14" s="215">
        <v>46030</v>
      </c>
      <c r="C14" s="900">
        <f>12434.77-D14-0</f>
      </c>
      <c r="D14" s="901">
        <v>1254.71</v>
      </c>
      <c r="E14" s="135"/>
      <c r="F14" s="135"/>
      <c r="G14" s="147">
        <f t="shared" si="0"/>
        <v>0</v>
      </c>
      <c r="H14" s="1058">
        <v>432.09</v>
      </c>
      <c r="I14" s="801">
        <v>1081.05</v>
      </c>
      <c r="J14" s="611"/>
      <c r="K14" s="611"/>
      <c r="L14" s="611"/>
      <c r="M14" s="611"/>
      <c r="N14" s="999"/>
      <c r="O14" s="143"/>
      <c r="P14" s="143"/>
      <c r="Q14" s="999"/>
      <c r="R14" s="143"/>
      <c r="S14" s="143"/>
      <c r="T14" s="992">
        <v>704.5</v>
      </c>
      <c r="U14" s="1054"/>
      <c r="V14" s="1054"/>
      <c r="W14" s="103">
        <f t="shared" si="1"/>
        <v>0</v>
      </c>
      <c r="X14" s="611"/>
      <c r="Y14" s="611"/>
      <c r="Z14" s="611"/>
      <c r="AA14" s="611"/>
      <c r="AB14" s="611"/>
      <c r="AC14" s="143"/>
      <c r="AD14" s="143"/>
      <c r="AE14" s="143"/>
      <c r="AF14" s="143"/>
      <c r="AG14" s="143"/>
      <c r="AH14" s="143"/>
      <c r="AI14" s="143"/>
      <c r="AJ14" s="103">
        <f t="shared" si="2"/>
        <v>0</v>
      </c>
      <c r="AK14" s="906">
        <v>4439.56</v>
      </c>
      <c r="AL14" s="907">
        <v>325.98</v>
      </c>
      <c r="AM14" s="136"/>
      <c r="AN14" s="105">
        <f t="shared" si="3"/>
        <v>0</v>
      </c>
      <c r="AO14" s="988">
        <v>272.54</v>
      </c>
      <c r="AP14" s="143"/>
      <c r="AQ14" s="143"/>
      <c r="AR14" s="146"/>
      <c r="AS14" s="224">
        <f t="shared" si="4"/>
        <v>0</v>
      </c>
      <c r="AT14" s="1788">
        <v>4250.6</v>
      </c>
      <c r="AU14" s="1778"/>
      <c r="AV14" s="1778"/>
      <c r="AW14" s="1778"/>
      <c r="AX14" s="1548"/>
      <c r="AY14" s="1760">
        <v>928.7</v>
      </c>
      <c r="AZ14" s="1548"/>
      <c r="BA14" s="1548"/>
      <c r="BB14" s="1548"/>
      <c r="BC14" s="1546"/>
      <c r="BD14" s="222">
        <f t="shared" si="5"/>
        <v>0</v>
      </c>
      <c r="BE14" s="456">
        <f t="shared" si="6"/>
        <v>0</v>
      </c>
      <c r="BF14" s="132"/>
      <c r="BG14" s="140">
        <f t="shared" si="7"/>
        <v>0</v>
      </c>
      <c r="BH14" s="141"/>
      <c r="BI14" s="141"/>
      <c r="BJ14" s="141"/>
      <c r="BK14" s="141"/>
      <c r="BL14" s="141"/>
      <c r="BM14" s="141"/>
      <c r="BN14" s="141"/>
      <c r="BO14" s="141"/>
      <c r="BP14" s="141"/>
      <c r="BQ14" s="141"/>
      <c r="BR14" s="908"/>
      <c r="BS14" s="910"/>
      <c r="BT14" s="141"/>
      <c r="BU14" s="130">
        <f t="shared" si="8"/>
        <v>0</v>
      </c>
      <c r="BV14" s="132"/>
    </row>
    <row r="15" ht="14.25" customHeight="1">
      <c r="A15" s="132"/>
      <c r="B15" s="215">
        <v>46031</v>
      </c>
      <c r="C15" s="900">
        <f>13795.15-D15-0</f>
      </c>
      <c r="D15" s="907">
        <v>1433.93</v>
      </c>
      <c r="E15" s="135"/>
      <c r="F15" s="135"/>
      <c r="G15" s="147">
        <f t="shared" si="0"/>
        <v>0</v>
      </c>
      <c r="H15" s="1058">
        <v>679.82</v>
      </c>
      <c r="I15" s="801">
        <v>2467.17</v>
      </c>
      <c r="J15" s="611"/>
      <c r="K15" s="611"/>
      <c r="L15" s="611"/>
      <c r="M15" s="611"/>
      <c r="N15" s="999"/>
      <c r="O15" s="143"/>
      <c r="P15" s="143"/>
      <c r="Q15" s="999"/>
      <c r="R15" s="143"/>
      <c r="S15" s="143"/>
      <c r="T15" s="999"/>
      <c r="U15" s="1054"/>
      <c r="V15" s="1054"/>
      <c r="W15" s="103">
        <f t="shared" si="1"/>
        <v>0</v>
      </c>
      <c r="X15" s="611"/>
      <c r="Y15" s="611"/>
      <c r="Z15" s="611"/>
      <c r="AA15" s="611"/>
      <c r="AB15" s="611"/>
      <c r="AC15" s="143"/>
      <c r="AD15" s="143"/>
      <c r="AE15" s="143"/>
      <c r="AF15" s="143"/>
      <c r="AG15" s="143"/>
      <c r="AH15" s="143"/>
      <c r="AI15" s="143"/>
      <c r="AJ15" s="103">
        <f t="shared" si="2"/>
        <v>0</v>
      </c>
      <c r="AK15" s="906">
        <v>4390.57</v>
      </c>
      <c r="AL15" s="907">
        <v>205.17</v>
      </c>
      <c r="AM15" s="136"/>
      <c r="AN15" s="105">
        <f t="shared" si="3"/>
        <v>0</v>
      </c>
      <c r="AO15" s="988">
        <v>286.57</v>
      </c>
      <c r="AP15" s="143"/>
      <c r="AQ15" s="143"/>
      <c r="AR15" s="146"/>
      <c r="AS15" s="224">
        <f t="shared" si="4"/>
        <v>0</v>
      </c>
      <c r="AT15" s="1788">
        <v>4437.3</v>
      </c>
      <c r="AU15" s="1778"/>
      <c r="AV15" s="1779"/>
      <c r="AW15" s="1778"/>
      <c r="AX15" s="1548"/>
      <c r="AY15" s="1789">
        <v>1228.7</v>
      </c>
      <c r="AZ15" s="1548"/>
      <c r="BA15" s="1548"/>
      <c r="BB15" s="1548"/>
      <c r="BC15" s="1546"/>
      <c r="BD15" s="222">
        <f t="shared" si="5"/>
        <v>0</v>
      </c>
      <c r="BE15" s="456">
        <f t="shared" si="6"/>
        <v>0</v>
      </c>
      <c r="BF15" s="132"/>
      <c r="BG15" s="140">
        <f t="shared" si="7"/>
        <v>0</v>
      </c>
      <c r="BH15" s="141"/>
      <c r="BI15" s="141"/>
      <c r="BJ15" s="141"/>
      <c r="BK15" s="141"/>
      <c r="BL15" s="141"/>
      <c r="BM15" s="141"/>
      <c r="BN15" s="141"/>
      <c r="BO15" s="141"/>
      <c r="BP15" s="141"/>
      <c r="BQ15" s="141"/>
      <c r="BR15" s="1056"/>
      <c r="BS15" s="909">
        <v>100</v>
      </c>
      <c r="BT15" s="141"/>
      <c r="BU15" s="130">
        <f t="shared" si="8"/>
        <v>0</v>
      </c>
      <c r="BV15" s="132"/>
    </row>
    <row r="16" ht="14.25" customHeight="1">
      <c r="A16" s="132"/>
      <c r="B16" s="215">
        <v>46032</v>
      </c>
      <c r="C16" s="900">
        <f>7189.25-D16-0</f>
      </c>
      <c r="D16" s="901">
        <v>423.59</v>
      </c>
      <c r="E16" s="135"/>
      <c r="F16" s="135"/>
      <c r="G16" s="147">
        <f t="shared" si="0"/>
        <v>0</v>
      </c>
      <c r="H16" s="1059">
        <v>213.39</v>
      </c>
      <c r="I16" s="801">
        <v>517.41</v>
      </c>
      <c r="J16" s="611"/>
      <c r="K16" s="611"/>
      <c r="L16" s="611"/>
      <c r="M16" s="611"/>
      <c r="N16" s="999"/>
      <c r="O16" s="143"/>
      <c r="P16" s="143"/>
      <c r="Q16" s="999"/>
      <c r="R16" s="143"/>
      <c r="S16" s="143"/>
      <c r="T16" s="992">
        <v>845.4</v>
      </c>
      <c r="U16" s="1054"/>
      <c r="V16" s="1060"/>
      <c r="W16" s="103">
        <f t="shared" si="1"/>
        <v>0</v>
      </c>
      <c r="X16" s="611"/>
      <c r="Y16" s="611"/>
      <c r="Z16" s="611"/>
      <c r="AA16" s="611"/>
      <c r="AB16" s="611"/>
      <c r="AC16" s="143"/>
      <c r="AD16" s="143"/>
      <c r="AE16" s="143"/>
      <c r="AF16" s="143"/>
      <c r="AG16" s="143"/>
      <c r="AH16" s="143"/>
      <c r="AI16" s="143"/>
      <c r="AJ16" s="103">
        <f t="shared" si="2"/>
        <v>0</v>
      </c>
      <c r="AK16" s="906">
        <v>2072.42</v>
      </c>
      <c r="AL16" s="907">
        <v>144.49</v>
      </c>
      <c r="AM16" s="136"/>
      <c r="AN16" s="105">
        <f t="shared" si="3"/>
        <v>0</v>
      </c>
      <c r="AO16" s="988">
        <v>186.32</v>
      </c>
      <c r="AP16" s="143"/>
      <c r="AQ16" s="143"/>
      <c r="AR16" s="146"/>
      <c r="AS16" s="224">
        <f t="shared" si="4"/>
        <v>0</v>
      </c>
      <c r="AT16" s="1788">
        <v>2930.8</v>
      </c>
      <c r="AU16" s="1778"/>
      <c r="AV16" s="1778"/>
      <c r="AW16" s="1778"/>
      <c r="AX16" s="1548"/>
      <c r="AY16" s="1760">
        <v>279.8</v>
      </c>
      <c r="AZ16" s="1548"/>
      <c r="BA16" s="1548"/>
      <c r="BB16" s="1548"/>
      <c r="BC16" s="1546"/>
      <c r="BD16" s="222">
        <f t="shared" si="5"/>
        <v>0</v>
      </c>
      <c r="BE16" s="456">
        <f t="shared" si="6"/>
        <v>0</v>
      </c>
      <c r="BF16" s="132"/>
      <c r="BG16" s="140">
        <f t="shared" si="7"/>
        <v>0</v>
      </c>
      <c r="BH16" s="141"/>
      <c r="BI16" s="141"/>
      <c r="BJ16" s="141"/>
      <c r="BK16" s="141"/>
      <c r="BL16" s="141"/>
      <c r="BM16" s="141"/>
      <c r="BN16" s="141"/>
      <c r="BO16" s="141"/>
      <c r="BP16" s="141"/>
      <c r="BQ16" s="141"/>
      <c r="BR16" s="908"/>
      <c r="BS16" s="910"/>
      <c r="BT16" s="141"/>
      <c r="BU16" s="130">
        <f t="shared" si="8"/>
        <v>0</v>
      </c>
      <c r="BV16" s="132"/>
    </row>
    <row r="17" ht="14.25" customHeight="1">
      <c r="A17" s="132"/>
      <c r="B17" s="215">
        <v>46033</v>
      </c>
      <c r="C17" s="900">
        <f>11749.31-D17-0</f>
      </c>
      <c r="D17" s="901">
        <v>2643.06</v>
      </c>
      <c r="E17" s="135"/>
      <c r="F17" s="135"/>
      <c r="G17" s="147">
        <f t="shared" si="0"/>
        <v>0</v>
      </c>
      <c r="H17" s="1058">
        <v>418.96</v>
      </c>
      <c r="I17" s="611"/>
      <c r="J17" s="611"/>
      <c r="K17" s="611"/>
      <c r="L17" s="611"/>
      <c r="M17" s="611"/>
      <c r="N17" s="904"/>
      <c r="O17" s="143"/>
      <c r="P17" s="143"/>
      <c r="Q17" s="999"/>
      <c r="R17" s="143"/>
      <c r="S17" s="143"/>
      <c r="T17" s="988">
        <v>845.4</v>
      </c>
      <c r="U17" s="1054"/>
      <c r="V17" s="1054"/>
      <c r="W17" s="103">
        <f t="shared" si="1"/>
        <v>0</v>
      </c>
      <c r="X17" s="611"/>
      <c r="Y17" s="611"/>
      <c r="Z17" s="611"/>
      <c r="AA17" s="611"/>
      <c r="AB17" s="611"/>
      <c r="AC17" s="143"/>
      <c r="AD17" s="143"/>
      <c r="AE17" s="143"/>
      <c r="AF17" s="143"/>
      <c r="AG17" s="143"/>
      <c r="AH17" s="143"/>
      <c r="AI17" s="143"/>
      <c r="AJ17" s="103">
        <f t="shared" si="2"/>
        <v>0</v>
      </c>
      <c r="AK17" s="906">
        <v>2627.03</v>
      </c>
      <c r="AL17" s="907">
        <v>487.07</v>
      </c>
      <c r="AM17" s="136"/>
      <c r="AN17" s="105">
        <f t="shared" si="3"/>
        <v>0</v>
      </c>
      <c r="AO17" s="988">
        <v>248.26</v>
      </c>
      <c r="AP17" s="143"/>
      <c r="AQ17" s="143"/>
      <c r="AR17" s="146"/>
      <c r="AS17" s="224">
        <f t="shared" si="4"/>
        <v>0</v>
      </c>
      <c r="AT17" s="1788">
        <v>4967</v>
      </c>
      <c r="AU17" s="1778"/>
      <c r="AV17" s="1790"/>
      <c r="AW17" s="1778"/>
      <c r="AX17" s="1548"/>
      <c r="AY17" s="1789">
        <v>2156.3</v>
      </c>
      <c r="AZ17" s="1548"/>
      <c r="BA17" s="1548"/>
      <c r="BB17" s="1548"/>
      <c r="BC17" s="1546"/>
      <c r="BD17" s="222">
        <f t="shared" si="5"/>
        <v>0</v>
      </c>
      <c r="BE17" s="456">
        <f t="shared" si="6"/>
        <v>0</v>
      </c>
      <c r="BF17" s="132"/>
      <c r="BG17" s="140">
        <f t="shared" si="7"/>
        <v>0</v>
      </c>
      <c r="BH17" s="141"/>
      <c r="BI17" s="141"/>
      <c r="BJ17" s="141"/>
      <c r="BK17" s="141"/>
      <c r="BL17" s="141"/>
      <c r="BM17" s="141"/>
      <c r="BN17" s="141"/>
      <c r="BO17" s="141"/>
      <c r="BP17" s="141"/>
      <c r="BQ17" s="141"/>
      <c r="BR17" s="908"/>
      <c r="BS17" s="909"/>
      <c r="BT17" s="141"/>
      <c r="BU17" s="130">
        <f t="shared" si="8"/>
        <v>0</v>
      </c>
      <c r="BV17" s="132"/>
    </row>
    <row r="18" ht="14.25" customHeight="1">
      <c r="A18" s="132"/>
      <c r="B18" s="215">
        <v>46034</v>
      </c>
      <c r="C18" s="900">
        <f>13085.00-D18-0</f>
      </c>
      <c r="D18" s="901">
        <v>1380.92</v>
      </c>
      <c r="E18" s="135"/>
      <c r="F18" s="135"/>
      <c r="G18" s="147">
        <f t="shared" si="0"/>
        <v>0</v>
      </c>
      <c r="H18" s="1057"/>
      <c r="I18" s="801">
        <v>3335</v>
      </c>
      <c r="J18" s="611"/>
      <c r="K18" s="611"/>
      <c r="L18" s="611"/>
      <c r="M18" s="611"/>
      <c r="N18" s="905"/>
      <c r="O18" s="143"/>
      <c r="P18" s="143"/>
      <c r="Q18" s="999"/>
      <c r="R18" s="143"/>
      <c r="S18" s="143"/>
      <c r="T18" s="905"/>
      <c r="U18" s="1054"/>
      <c r="V18" s="1054"/>
      <c r="W18" s="103">
        <f t="shared" si="1"/>
        <v>0</v>
      </c>
      <c r="X18" s="611"/>
      <c r="Y18" s="611"/>
      <c r="Z18" s="611"/>
      <c r="AA18" s="611"/>
      <c r="AB18" s="611"/>
      <c r="AC18" s="143"/>
      <c r="AD18" s="143"/>
      <c r="AE18" s="143"/>
      <c r="AF18" s="143"/>
      <c r="AG18" s="143"/>
      <c r="AH18" s="143"/>
      <c r="AI18" s="143"/>
      <c r="AJ18" s="103">
        <f t="shared" si="2"/>
        <v>0</v>
      </c>
      <c r="AK18" s="906">
        <v>3726.99</v>
      </c>
      <c r="AL18" s="907">
        <v>416.3</v>
      </c>
      <c r="AM18" s="136"/>
      <c r="AN18" s="105">
        <f t="shared" si="3"/>
        <v>0</v>
      </c>
      <c r="AO18" s="988">
        <v>62.32</v>
      </c>
      <c r="AP18" s="143"/>
      <c r="AQ18" s="143"/>
      <c r="AR18" s="146"/>
      <c r="AS18" s="224">
        <f t="shared" si="4"/>
        <v>0</v>
      </c>
      <c r="AT18" s="1788">
        <v>4480</v>
      </c>
      <c r="AU18" s="1778"/>
      <c r="AV18" s="1790"/>
      <c r="AW18" s="1778"/>
      <c r="AX18" s="1548"/>
      <c r="AY18" s="1760">
        <v>964.6</v>
      </c>
      <c r="AZ18" s="1548"/>
      <c r="BA18" s="1548"/>
      <c r="BB18" s="1548"/>
      <c r="BC18" s="1546"/>
      <c r="BD18" s="222">
        <f t="shared" si="5"/>
        <v>0</v>
      </c>
      <c r="BE18" s="456">
        <f t="shared" si="6"/>
        <v>0</v>
      </c>
      <c r="BF18" s="132"/>
      <c r="BG18" s="140">
        <f t="shared" si="7"/>
        <v>0</v>
      </c>
      <c r="BH18" s="141"/>
      <c r="BI18" s="141"/>
      <c r="BJ18" s="141"/>
      <c r="BK18" s="141"/>
      <c r="BL18" s="141"/>
      <c r="BM18" s="141"/>
      <c r="BN18" s="141"/>
      <c r="BO18" s="141"/>
      <c r="BP18" s="141"/>
      <c r="BQ18" s="141"/>
      <c r="BR18" s="1056"/>
      <c r="BS18" s="909">
        <v>100</v>
      </c>
      <c r="BT18" s="141"/>
      <c r="BU18" s="130">
        <f t="shared" si="8"/>
        <v>0</v>
      </c>
      <c r="BV18" s="132"/>
    </row>
    <row r="19" ht="14.25" customHeight="1">
      <c r="A19" s="132"/>
      <c r="B19" s="215">
        <v>46035</v>
      </c>
      <c r="C19" s="900">
        <f>27061.04-D19-0</f>
      </c>
      <c r="D19" s="901">
        <v>1153.96</v>
      </c>
      <c r="E19" s="135"/>
      <c r="F19" s="135"/>
      <c r="G19" s="147">
        <f t="shared" si="0"/>
        <v>0</v>
      </c>
      <c r="H19" s="1059">
        <v>206.49</v>
      </c>
      <c r="I19" s="801">
        <v>825.93</v>
      </c>
      <c r="J19" s="611"/>
      <c r="K19" s="611"/>
      <c r="L19" s="611"/>
      <c r="M19" s="611"/>
      <c r="N19" s="999"/>
      <c r="O19" s="143"/>
      <c r="P19" s="143"/>
      <c r="Q19" s="999"/>
      <c r="R19" s="143"/>
      <c r="S19" s="143"/>
      <c r="T19" s="988">
        <v>205.17</v>
      </c>
      <c r="U19" s="1054"/>
      <c r="V19" s="1054"/>
      <c r="W19" s="103">
        <f t="shared" si="1"/>
        <v>0</v>
      </c>
      <c r="X19" s="611"/>
      <c r="Y19" s="611"/>
      <c r="Z19" s="611"/>
      <c r="AA19" s="611"/>
      <c r="AB19" s="611"/>
      <c r="AC19" s="143"/>
      <c r="AD19" s="143"/>
      <c r="AE19" s="143"/>
      <c r="AF19" s="143"/>
      <c r="AG19" s="143"/>
      <c r="AH19" s="143"/>
      <c r="AI19" s="143"/>
      <c r="AJ19" s="103">
        <f t="shared" si="2"/>
        <v>0</v>
      </c>
      <c r="AK19" s="906">
        <v>10624.93</v>
      </c>
      <c r="AL19" s="907">
        <v>273.86</v>
      </c>
      <c r="AM19" s="136"/>
      <c r="AN19" s="105">
        <f t="shared" si="3"/>
        <v>0</v>
      </c>
      <c r="AO19" s="988">
        <v>1016.63</v>
      </c>
      <c r="AP19" s="143"/>
      <c r="AQ19" s="143"/>
      <c r="AR19" s="146"/>
      <c r="AS19" s="224">
        <f t="shared" si="4"/>
        <v>0</v>
      </c>
      <c r="AT19" s="1788">
        <v>13028.2</v>
      </c>
      <c r="AU19" s="1778"/>
      <c r="AV19" s="1778"/>
      <c r="AW19" s="1778"/>
      <c r="AX19" s="1548"/>
      <c r="AY19" s="1760">
        <v>880</v>
      </c>
      <c r="AZ19" s="1548"/>
      <c r="BA19" s="1548"/>
      <c r="BB19" s="1548"/>
      <c r="BC19" s="1546"/>
      <c r="BD19" s="222">
        <f t="shared" si="5"/>
        <v>0</v>
      </c>
      <c r="BE19" s="456">
        <f t="shared" si="6"/>
        <v>0</v>
      </c>
      <c r="BF19" s="132"/>
      <c r="BG19" s="140">
        <f t="shared" si="7"/>
        <v>0</v>
      </c>
      <c r="BH19" s="141"/>
      <c r="BI19" s="141"/>
      <c r="BJ19" s="141"/>
      <c r="BK19" s="141"/>
      <c r="BL19" s="141"/>
      <c r="BM19" s="141"/>
      <c r="BN19" s="141"/>
      <c r="BO19" s="141"/>
      <c r="BP19" s="141"/>
      <c r="BQ19" s="141"/>
      <c r="BR19" s="908"/>
      <c r="BS19" s="910"/>
      <c r="BT19" s="141"/>
      <c r="BU19" s="130">
        <f t="shared" si="8"/>
        <v>0</v>
      </c>
      <c r="BV19" s="132"/>
    </row>
    <row r="20" ht="14.25" customHeight="1">
      <c r="A20" s="132"/>
      <c r="B20" s="215">
        <v>46036</v>
      </c>
      <c r="C20" s="900">
        <f>16237.35-D20-0</f>
      </c>
      <c r="D20" s="901">
        <v>1373.46</v>
      </c>
      <c r="E20" s="135"/>
      <c r="F20" s="135"/>
      <c r="G20" s="147">
        <f t="shared" si="0"/>
        <v>0</v>
      </c>
      <c r="H20" s="1058">
        <v>428.97</v>
      </c>
      <c r="I20" s="801">
        <v>2325.94</v>
      </c>
      <c r="J20" s="611"/>
      <c r="K20" s="611"/>
      <c r="L20" s="611"/>
      <c r="M20" s="611"/>
      <c r="N20" s="999"/>
      <c r="O20" s="143"/>
      <c r="P20" s="143"/>
      <c r="Q20" s="999"/>
      <c r="R20" s="143"/>
      <c r="S20" s="143"/>
      <c r="T20" s="905"/>
      <c r="U20" s="1054"/>
      <c r="V20" s="1054"/>
      <c r="W20" s="103">
        <f t="shared" si="1"/>
        <v>0</v>
      </c>
      <c r="X20" s="611"/>
      <c r="Y20" s="611"/>
      <c r="Z20" s="611"/>
      <c r="AA20" s="611"/>
      <c r="AB20" s="611"/>
      <c r="AC20" s="143"/>
      <c r="AD20" s="143"/>
      <c r="AE20" s="143"/>
      <c r="AF20" s="143"/>
      <c r="AG20" s="143"/>
      <c r="AH20" s="143"/>
      <c r="AI20" s="143"/>
      <c r="AJ20" s="103">
        <f t="shared" si="2"/>
        <v>0</v>
      </c>
      <c r="AK20" s="906">
        <v>3317.32</v>
      </c>
      <c r="AL20" s="907">
        <v>345.89</v>
      </c>
      <c r="AM20" s="136"/>
      <c r="AN20" s="105">
        <f t="shared" si="3"/>
        <v>0</v>
      </c>
      <c r="AO20" s="988">
        <v>441.6</v>
      </c>
      <c r="AP20" s="143"/>
      <c r="AQ20" s="143"/>
      <c r="AR20" s="146"/>
      <c r="AS20" s="224">
        <f t="shared" si="4"/>
        <v>0</v>
      </c>
      <c r="AT20" s="1791">
        <v>7545.6</v>
      </c>
      <c r="AU20" s="1778">
        <v>704.5</v>
      </c>
      <c r="AV20" s="1778"/>
      <c r="AW20" s="1778"/>
      <c r="AX20" s="1548"/>
      <c r="AY20" s="1792">
        <v>1027.5</v>
      </c>
      <c r="AZ20" s="1548"/>
      <c r="BA20" s="1548"/>
      <c r="BB20" s="1548"/>
      <c r="BC20" s="1546"/>
      <c r="BD20" s="222">
        <f t="shared" si="5"/>
        <v>0</v>
      </c>
      <c r="BE20" s="456">
        <f t="shared" si="6"/>
        <v>0</v>
      </c>
      <c r="BF20" s="132"/>
      <c r="BG20" s="140">
        <f t="shared" si="7"/>
        <v>0</v>
      </c>
      <c r="BH20" s="141"/>
      <c r="BI20" s="141"/>
      <c r="BJ20" s="141"/>
      <c r="BK20" s="141"/>
      <c r="BL20" s="141"/>
      <c r="BM20" s="141"/>
      <c r="BN20" s="141"/>
      <c r="BO20" s="141"/>
      <c r="BP20" s="141"/>
      <c r="BQ20" s="141"/>
      <c r="BR20" s="1056"/>
      <c r="BS20" s="909">
        <v>100</v>
      </c>
      <c r="BT20" s="141"/>
      <c r="BU20" s="130">
        <f t="shared" si="8"/>
        <v>0</v>
      </c>
      <c r="BV20" s="132"/>
    </row>
    <row r="21" ht="14.25" customHeight="1">
      <c r="A21" s="132"/>
      <c r="B21" s="215">
        <v>46037</v>
      </c>
      <c r="C21" s="900">
        <f>18311.66-D21-0</f>
      </c>
      <c r="D21" s="901">
        <v>1060.12</v>
      </c>
      <c r="E21" s="135"/>
      <c r="F21" s="135"/>
      <c r="G21" s="147">
        <f t="shared" si="0"/>
        <v>0</v>
      </c>
      <c r="H21" s="1057"/>
      <c r="I21" s="801">
        <v>963.27</v>
      </c>
      <c r="J21" s="611"/>
      <c r="K21" s="611"/>
      <c r="L21" s="611"/>
      <c r="M21" s="611"/>
      <c r="N21" s="999"/>
      <c r="O21" s="143"/>
      <c r="P21" s="143"/>
      <c r="Q21" s="999"/>
      <c r="R21" s="143"/>
      <c r="S21" s="143"/>
      <c r="T21" s="992">
        <v>845.4</v>
      </c>
      <c r="U21" s="1054"/>
      <c r="V21" s="1054"/>
      <c r="W21" s="103">
        <f t="shared" si="1"/>
        <v>0</v>
      </c>
      <c r="X21" s="611"/>
      <c r="Y21" s="611"/>
      <c r="Z21" s="611"/>
      <c r="AA21" s="611"/>
      <c r="AB21" s="611"/>
      <c r="AC21" s="143"/>
      <c r="AD21" s="143"/>
      <c r="AE21" s="143"/>
      <c r="AF21" s="143"/>
      <c r="AG21" s="143"/>
      <c r="AH21" s="143"/>
      <c r="AI21" s="143"/>
      <c r="AJ21" s="103">
        <f t="shared" si="2"/>
        <v>0</v>
      </c>
      <c r="AK21" s="906">
        <v>5844.92</v>
      </c>
      <c r="AL21" s="907">
        <v>284.09</v>
      </c>
      <c r="AM21" s="136"/>
      <c r="AN21" s="105">
        <f t="shared" si="3"/>
        <v>0</v>
      </c>
      <c r="AO21" s="988">
        <v>292.13</v>
      </c>
      <c r="AP21" s="143"/>
      <c r="AQ21" s="143"/>
      <c r="AR21" s="146"/>
      <c r="AS21" s="1061">
        <f t="shared" si="4"/>
        <v>0</v>
      </c>
      <c r="AT21" s="1791">
        <v>4015.7</v>
      </c>
      <c r="AU21" s="1778">
        <v>5290.39</v>
      </c>
      <c r="AV21" s="1779"/>
      <c r="AW21" s="1778"/>
      <c r="AX21" s="1548"/>
      <c r="AY21" s="1793">
        <v>776</v>
      </c>
      <c r="AZ21" s="1548"/>
      <c r="BA21" s="1548"/>
      <c r="BB21" s="1548"/>
      <c r="BC21" s="1546"/>
      <c r="BD21" s="222">
        <f t="shared" si="5"/>
        <v>0</v>
      </c>
      <c r="BE21" s="456">
        <f t="shared" si="6"/>
        <v>0</v>
      </c>
      <c r="BF21" s="132"/>
      <c r="BG21" s="140">
        <f t="shared" si="7"/>
        <v>0</v>
      </c>
      <c r="BH21" s="141"/>
      <c r="BI21" s="141"/>
      <c r="BJ21" s="141"/>
      <c r="BK21" s="141"/>
      <c r="BL21" s="141"/>
      <c r="BM21" s="141"/>
      <c r="BN21" s="141"/>
      <c r="BO21" s="141"/>
      <c r="BP21" s="141"/>
      <c r="BQ21" s="141"/>
      <c r="BR21" s="908"/>
      <c r="BS21" s="910"/>
      <c r="BT21" s="141"/>
      <c r="BU21" s="130">
        <f t="shared" si="8"/>
        <v>0</v>
      </c>
      <c r="BV21" s="132"/>
    </row>
    <row r="22" ht="14.25" customHeight="1">
      <c r="A22" s="132"/>
      <c r="B22" s="215">
        <v>46038</v>
      </c>
      <c r="C22" s="900">
        <f>10845.95-D22-0</f>
      </c>
      <c r="D22" s="901">
        <v>1302.41</v>
      </c>
      <c r="E22" s="135"/>
      <c r="F22" s="135"/>
      <c r="G22" s="147">
        <f t="shared" si="0"/>
        <v>0</v>
      </c>
      <c r="H22" s="1058">
        <v>416.48</v>
      </c>
      <c r="I22" s="801">
        <v>298.29</v>
      </c>
      <c r="J22" s="611"/>
      <c r="K22" s="611"/>
      <c r="L22" s="611"/>
      <c r="M22" s="611"/>
      <c r="N22" s="999"/>
      <c r="O22" s="143"/>
      <c r="P22" s="143"/>
      <c r="Q22" s="999"/>
      <c r="R22" s="143"/>
      <c r="S22" s="143"/>
      <c r="T22" s="905"/>
      <c r="U22" s="1054"/>
      <c r="V22" s="1054"/>
      <c r="W22" s="103">
        <f t="shared" si="1"/>
        <v>0</v>
      </c>
      <c r="X22" s="611"/>
      <c r="Y22" s="611"/>
      <c r="Z22" s="611"/>
      <c r="AA22" s="611"/>
      <c r="AB22" s="611"/>
      <c r="AC22" s="143"/>
      <c r="AD22" s="143"/>
      <c r="AE22" s="143"/>
      <c r="AF22" s="143"/>
      <c r="AG22" s="143"/>
      <c r="AH22" s="143"/>
      <c r="AI22" s="143"/>
      <c r="AJ22" s="103">
        <f t="shared" si="2"/>
        <v>0</v>
      </c>
      <c r="AK22" s="906">
        <v>3287.17</v>
      </c>
      <c r="AL22" s="907">
        <v>211.06</v>
      </c>
      <c r="AM22" s="136"/>
      <c r="AN22" s="105">
        <f t="shared" si="3"/>
        <v>0</v>
      </c>
      <c r="AO22" s="988">
        <v>230.69</v>
      </c>
      <c r="AP22" s="143"/>
      <c r="AQ22" s="143"/>
      <c r="AR22" s="146"/>
      <c r="AS22" s="1061">
        <f t="shared" si="4"/>
        <v>0</v>
      </c>
      <c r="AT22" s="1791">
        <v>5211</v>
      </c>
      <c r="AU22" s="1778"/>
      <c r="AV22" s="1779"/>
      <c r="AW22" s="1778"/>
      <c r="AX22" s="1548"/>
      <c r="AY22" s="1793">
        <v>1091.3</v>
      </c>
      <c r="AZ22" s="1548"/>
      <c r="BA22" s="1548"/>
      <c r="BB22" s="1548"/>
      <c r="BC22" s="1546"/>
      <c r="BD22" s="222">
        <f t="shared" si="5"/>
        <v>0</v>
      </c>
      <c r="BE22" s="456">
        <f t="shared" si="6"/>
        <v>0</v>
      </c>
      <c r="BF22" s="132"/>
      <c r="BG22" s="140">
        <f t="shared" si="7"/>
        <v>0</v>
      </c>
      <c r="BH22" s="141"/>
      <c r="BI22" s="141"/>
      <c r="BJ22" s="141"/>
      <c r="BK22" s="141"/>
      <c r="BL22" s="141"/>
      <c r="BM22" s="141"/>
      <c r="BN22" s="141"/>
      <c r="BO22" s="141"/>
      <c r="BP22" s="141"/>
      <c r="BQ22" s="141"/>
      <c r="BR22" s="1056"/>
      <c r="BS22" s="909">
        <v>100</v>
      </c>
      <c r="BT22" s="141"/>
      <c r="BU22" s="130">
        <f t="shared" si="8"/>
        <v>0</v>
      </c>
      <c r="BV22" s="132"/>
    </row>
    <row r="23" ht="14.25" customHeight="1">
      <c r="A23" s="132"/>
      <c r="B23" s="215">
        <v>46039</v>
      </c>
      <c r="C23" s="900">
        <f>11087.40-D23-0</f>
      </c>
      <c r="D23" s="901">
        <v>722.43</v>
      </c>
      <c r="E23" s="135"/>
      <c r="F23" s="135"/>
      <c r="G23" s="147">
        <f t="shared" si="0"/>
        <v>0</v>
      </c>
      <c r="H23" s="1058">
        <v>604.51</v>
      </c>
      <c r="I23" s="801">
        <v>992.17</v>
      </c>
      <c r="J23" s="611"/>
      <c r="K23" s="611"/>
      <c r="L23" s="611"/>
      <c r="M23" s="611"/>
      <c r="N23" s="999"/>
      <c r="O23" s="143"/>
      <c r="P23" s="143"/>
      <c r="Q23" s="999"/>
      <c r="R23" s="143"/>
      <c r="S23" s="143"/>
      <c r="T23" s="992">
        <v>704.5</v>
      </c>
      <c r="U23" s="1054"/>
      <c r="V23" s="1054"/>
      <c r="W23" s="103">
        <f t="shared" si="1"/>
        <v>0</v>
      </c>
      <c r="X23" s="611"/>
      <c r="Y23" s="611"/>
      <c r="Z23" s="611"/>
      <c r="AA23" s="611"/>
      <c r="AB23" s="611"/>
      <c r="AC23" s="143"/>
      <c r="AD23" s="143"/>
      <c r="AE23" s="143"/>
      <c r="AF23" s="143"/>
      <c r="AG23" s="143"/>
      <c r="AH23" s="143"/>
      <c r="AI23" s="143"/>
      <c r="AJ23" s="103">
        <f t="shared" si="2"/>
        <v>0</v>
      </c>
      <c r="AK23" s="906">
        <v>3470.21</v>
      </c>
      <c r="AL23" s="907">
        <v>194.59</v>
      </c>
      <c r="AM23" s="136"/>
      <c r="AN23" s="105">
        <f t="shared" si="3"/>
        <v>0</v>
      </c>
      <c r="AO23" s="988">
        <v>350.51</v>
      </c>
      <c r="AP23" s="143"/>
      <c r="AQ23" s="143"/>
      <c r="AR23" s="146"/>
      <c r="AS23" s="1061">
        <f t="shared" si="4"/>
        <v>0</v>
      </c>
      <c r="AT23" s="1791">
        <v>4243.9</v>
      </c>
      <c r="AU23" s="1778"/>
      <c r="AV23" s="1779"/>
      <c r="AW23" s="1778"/>
      <c r="AX23" s="1548"/>
      <c r="AY23" s="1793">
        <v>527.8</v>
      </c>
      <c r="AZ23" s="1548"/>
      <c r="BA23" s="1548"/>
      <c r="BB23" s="1548"/>
      <c r="BC23" s="1546"/>
      <c r="BD23" s="222">
        <f t="shared" si="5"/>
        <v>0</v>
      </c>
      <c r="BE23" s="456">
        <f t="shared" si="6"/>
        <v>0</v>
      </c>
      <c r="BF23" s="132"/>
      <c r="BG23" s="140">
        <f t="shared" si="7"/>
        <v>0</v>
      </c>
      <c r="BH23" s="141"/>
      <c r="BI23" s="141"/>
      <c r="BJ23" s="141"/>
      <c r="BK23" s="141"/>
      <c r="BL23" s="141"/>
      <c r="BM23" s="141"/>
      <c r="BN23" s="141"/>
      <c r="BO23" s="141"/>
      <c r="BP23" s="141"/>
      <c r="BQ23" s="141"/>
      <c r="BR23" s="908"/>
      <c r="BS23" s="910"/>
      <c r="BT23" s="141"/>
      <c r="BU23" s="130">
        <f t="shared" si="8"/>
        <v>0</v>
      </c>
      <c r="BV23" s="132"/>
    </row>
    <row r="24" ht="14.25" customHeight="1">
      <c r="A24" s="132"/>
      <c r="B24" s="215">
        <v>46040</v>
      </c>
      <c r="C24" s="900">
        <f>11356.00-D24-0</f>
      </c>
      <c r="D24" s="901">
        <v>2102.57</v>
      </c>
      <c r="E24" s="135"/>
      <c r="F24" s="135"/>
      <c r="G24" s="147">
        <f t="shared" si="0"/>
        <v>0</v>
      </c>
      <c r="H24" s="1058">
        <v>417.75</v>
      </c>
      <c r="I24" s="611"/>
      <c r="J24" s="611"/>
      <c r="K24" s="611"/>
      <c r="L24" s="611"/>
      <c r="M24" s="611"/>
      <c r="N24" s="999"/>
      <c r="O24" s="143"/>
      <c r="P24" s="143"/>
      <c r="Q24" s="999"/>
      <c r="R24" s="143"/>
      <c r="S24" s="143"/>
      <c r="T24" s="999"/>
      <c r="U24" s="1054"/>
      <c r="V24" s="1054"/>
      <c r="W24" s="103">
        <f t="shared" si="1"/>
        <v>0</v>
      </c>
      <c r="X24" s="611"/>
      <c r="Y24" s="611"/>
      <c r="Z24" s="611"/>
      <c r="AA24" s="611"/>
      <c r="AB24" s="611"/>
      <c r="AC24" s="143"/>
      <c r="AD24" s="143"/>
      <c r="AE24" s="143"/>
      <c r="AF24" s="143"/>
      <c r="AG24" s="143"/>
      <c r="AH24" s="143"/>
      <c r="AI24" s="143"/>
      <c r="AJ24" s="103">
        <f t="shared" si="2"/>
        <v>0</v>
      </c>
      <c r="AK24" s="906">
        <v>2939.53</v>
      </c>
      <c r="AL24" s="907">
        <v>408.39</v>
      </c>
      <c r="AM24" s="136"/>
      <c r="AN24" s="105">
        <f t="shared" si="3"/>
        <v>0</v>
      </c>
      <c r="AO24" s="988">
        <v>317.1</v>
      </c>
      <c r="AP24" s="143"/>
      <c r="AQ24" s="143"/>
      <c r="AR24" s="146"/>
      <c r="AS24" s="1061">
        <f t="shared" si="4"/>
        <v>0</v>
      </c>
      <c r="AT24" s="1791">
        <v>5022.1</v>
      </c>
      <c r="AU24" s="1778">
        <v>557.06</v>
      </c>
      <c r="AV24" s="1779"/>
      <c r="AW24" s="1778"/>
      <c r="AX24" s="1548"/>
      <c r="AY24" s="1793">
        <v>1694.1</v>
      </c>
      <c r="AZ24" s="1548"/>
      <c r="BA24" s="1548"/>
      <c r="BB24" s="1548"/>
      <c r="BC24" s="1546"/>
      <c r="BD24" s="222">
        <f t="shared" si="5"/>
        <v>0</v>
      </c>
      <c r="BE24" s="456">
        <f t="shared" si="6"/>
        <v>0</v>
      </c>
      <c r="BF24" s="132"/>
      <c r="BG24" s="140">
        <f t="shared" si="7"/>
        <v>0</v>
      </c>
      <c r="BH24" s="141"/>
      <c r="BI24" s="141"/>
      <c r="BJ24" s="141"/>
      <c r="BK24" s="141"/>
      <c r="BL24" s="141"/>
      <c r="BM24" s="141"/>
      <c r="BN24" s="141"/>
      <c r="BO24" s="141"/>
      <c r="BP24" s="141"/>
      <c r="BQ24" s="141"/>
      <c r="BR24" s="908"/>
      <c r="BS24" s="909"/>
      <c r="BT24" s="141"/>
      <c r="BU24" s="130">
        <f t="shared" si="8"/>
        <v>0</v>
      </c>
      <c r="BV24" s="132"/>
    </row>
    <row r="25" ht="14.25" customHeight="1">
      <c r="A25" s="132"/>
      <c r="B25" s="215">
        <v>46041</v>
      </c>
      <c r="C25" s="900">
        <f>14930.73-D25-0</f>
      </c>
      <c r="D25" s="901">
        <v>1281.3</v>
      </c>
      <c r="E25" s="135"/>
      <c r="F25" s="135"/>
      <c r="G25" s="147">
        <f t="shared" si="0"/>
        <v>0</v>
      </c>
      <c r="H25" s="1058">
        <v>414.93</v>
      </c>
      <c r="I25" s="801">
        <v>350.68</v>
      </c>
      <c r="J25" s="611"/>
      <c r="K25" s="611"/>
      <c r="L25" s="611"/>
      <c r="M25" s="611"/>
      <c r="N25" s="999"/>
      <c r="O25" s="143"/>
      <c r="P25" s="143"/>
      <c r="Q25" s="905"/>
      <c r="R25" s="143"/>
      <c r="S25" s="143"/>
      <c r="T25" s="988">
        <v>1784.22</v>
      </c>
      <c r="U25" s="1054"/>
      <c r="V25" s="1054"/>
      <c r="W25" s="103">
        <f t="shared" si="1"/>
        <v>0</v>
      </c>
      <c r="X25" s="611"/>
      <c r="Y25" s="611"/>
      <c r="Z25" s="611"/>
      <c r="AA25" s="611"/>
      <c r="AB25" s="611"/>
      <c r="AC25" s="143"/>
      <c r="AD25" s="143"/>
      <c r="AE25" s="143"/>
      <c r="AF25" s="143"/>
      <c r="AG25" s="143"/>
      <c r="AH25" s="143"/>
      <c r="AI25" s="143"/>
      <c r="AJ25" s="103">
        <f t="shared" si="2"/>
        <v>0</v>
      </c>
      <c r="AK25" s="906">
        <v>5233.78</v>
      </c>
      <c r="AL25" s="907">
        <v>266.83</v>
      </c>
      <c r="AM25" s="136"/>
      <c r="AN25" s="105">
        <f t="shared" si="3"/>
        <v>0</v>
      </c>
      <c r="AO25" s="988">
        <v>454.91</v>
      </c>
      <c r="AP25" s="143"/>
      <c r="AQ25" s="143"/>
      <c r="AR25" s="146"/>
      <c r="AS25" s="1061">
        <f t="shared" si="4"/>
        <v>0</v>
      </c>
      <c r="AT25" s="1791">
        <v>5311.5</v>
      </c>
      <c r="AU25" s="1778"/>
      <c r="AV25" s="1778"/>
      <c r="AW25" s="1778"/>
      <c r="AX25" s="1548"/>
      <c r="AY25" s="1793">
        <v>1014.4</v>
      </c>
      <c r="AZ25" s="1548"/>
      <c r="BA25" s="1548"/>
      <c r="BB25" s="1548"/>
      <c r="BC25" s="1546"/>
      <c r="BD25" s="222">
        <f t="shared" si="5"/>
        <v>0</v>
      </c>
      <c r="BE25" s="456">
        <f t="shared" si="6"/>
        <v>0</v>
      </c>
      <c r="BF25" s="132"/>
      <c r="BG25" s="140">
        <f t="shared" si="7"/>
        <v>0</v>
      </c>
      <c r="BH25" s="141"/>
      <c r="BI25" s="141"/>
      <c r="BJ25" s="141"/>
      <c r="BK25" s="141"/>
      <c r="BL25" s="141"/>
      <c r="BM25" s="141"/>
      <c r="BN25" s="141"/>
      <c r="BO25" s="141"/>
      <c r="BP25" s="141"/>
      <c r="BQ25" s="141"/>
      <c r="BR25" s="1056"/>
      <c r="BS25" s="909">
        <v>100</v>
      </c>
      <c r="BT25" s="141"/>
      <c r="BU25" s="130">
        <f t="shared" si="8"/>
        <v>0</v>
      </c>
      <c r="BV25" s="132"/>
    </row>
    <row r="26" ht="14.25" customHeight="1">
      <c r="A26" s="132"/>
      <c r="B26" s="215">
        <v>46042</v>
      </c>
      <c r="C26" s="900">
        <f>21459.16-D26-0</f>
      </c>
      <c r="D26" s="901">
        <v>1126.86</v>
      </c>
      <c r="E26" s="135"/>
      <c r="F26" s="135"/>
      <c r="G26" s="147">
        <f t="shared" si="0"/>
        <v>0</v>
      </c>
      <c r="H26" s="1059">
        <v>442.05</v>
      </c>
      <c r="I26" s="801">
        <v>1553.08</v>
      </c>
      <c r="J26" s="611"/>
      <c r="K26" s="611"/>
      <c r="L26" s="611"/>
      <c r="M26" s="611"/>
      <c r="N26" s="904"/>
      <c r="O26" s="143"/>
      <c r="P26" s="143"/>
      <c r="Q26" s="904"/>
      <c r="R26" s="143"/>
      <c r="S26" s="143"/>
      <c r="T26" s="905"/>
      <c r="U26" s="1054"/>
      <c r="V26" s="1054"/>
      <c r="W26" s="103">
        <f t="shared" si="1"/>
        <v>0</v>
      </c>
      <c r="X26" s="611"/>
      <c r="Y26" s="611"/>
      <c r="Z26" s="611"/>
      <c r="AA26" s="611"/>
      <c r="AB26" s="611"/>
      <c r="AC26" s="143"/>
      <c r="AD26" s="143"/>
      <c r="AE26" s="143"/>
      <c r="AF26" s="143"/>
      <c r="AG26" s="143"/>
      <c r="AH26" s="143"/>
      <c r="AI26" s="143"/>
      <c r="AJ26" s="103">
        <f t="shared" si="2"/>
        <v>0</v>
      </c>
      <c r="AK26" s="906">
        <v>13140.47</v>
      </c>
      <c r="AL26" s="907">
        <v>210.64</v>
      </c>
      <c r="AM26" s="136"/>
      <c r="AN26" s="105">
        <f t="shared" si="3"/>
        <v>0</v>
      </c>
      <c r="AO26" s="988">
        <v>779.81</v>
      </c>
      <c r="AP26" s="143"/>
      <c r="AQ26" s="143"/>
      <c r="AR26" s="146"/>
      <c r="AS26" s="1061">
        <f t="shared" si="4"/>
        <v>0</v>
      </c>
      <c r="AT26" s="1791">
        <v>4417.1</v>
      </c>
      <c r="AU26" s="1778"/>
      <c r="AV26" s="1779"/>
      <c r="AW26" s="1778"/>
      <c r="AX26" s="1548"/>
      <c r="AY26" s="1793">
        <v>916.2</v>
      </c>
      <c r="AZ26" s="1548"/>
      <c r="BA26" s="1548"/>
      <c r="BB26" s="1548"/>
      <c r="BC26" s="1546"/>
      <c r="BD26" s="222">
        <f t="shared" si="5"/>
        <v>0</v>
      </c>
      <c r="BE26" s="456">
        <f t="shared" si="6"/>
        <v>0</v>
      </c>
      <c r="BF26" s="132"/>
      <c r="BG26" s="140">
        <f t="shared" si="7"/>
        <v>0</v>
      </c>
      <c r="BH26" s="141"/>
      <c r="BI26" s="141"/>
      <c r="BJ26" s="141"/>
      <c r="BK26" s="141"/>
      <c r="BL26" s="141"/>
      <c r="BM26" s="141"/>
      <c r="BN26" s="141"/>
      <c r="BO26" s="141"/>
      <c r="BP26" s="141"/>
      <c r="BQ26" s="141"/>
      <c r="BR26" s="914"/>
      <c r="BS26" s="909"/>
      <c r="BT26" s="141"/>
      <c r="BU26" s="130">
        <f t="shared" si="8"/>
        <v>0</v>
      </c>
      <c r="BV26" s="132"/>
    </row>
    <row r="27" ht="14.25" customHeight="1">
      <c r="A27" s="132"/>
      <c r="B27" s="215">
        <v>46043</v>
      </c>
      <c r="C27" s="900">
        <f>30050.88-D27-0</f>
      </c>
      <c r="D27" s="901">
        <v>1660.46</v>
      </c>
      <c r="E27" s="135"/>
      <c r="F27" s="135"/>
      <c r="G27" s="147">
        <f t="shared" si="0"/>
        <v>0</v>
      </c>
      <c r="H27" s="1058">
        <v>417.5</v>
      </c>
      <c r="I27" s="611"/>
      <c r="J27" s="611"/>
      <c r="K27" s="611"/>
      <c r="L27" s="611"/>
      <c r="M27" s="611"/>
      <c r="N27" s="999"/>
      <c r="O27" s="143"/>
      <c r="P27" s="143"/>
      <c r="Q27" s="905"/>
      <c r="R27" s="143"/>
      <c r="S27" s="143"/>
      <c r="T27" s="988">
        <v>12854.06</v>
      </c>
      <c r="U27" s="1054"/>
      <c r="V27" s="1054"/>
      <c r="W27" s="103">
        <f t="shared" si="1"/>
        <v>0</v>
      </c>
      <c r="X27" s="611"/>
      <c r="Y27" s="611"/>
      <c r="Z27" s="611"/>
      <c r="AA27" s="611"/>
      <c r="AB27" s="611"/>
      <c r="AC27" s="143"/>
      <c r="AD27" s="143"/>
      <c r="AE27" s="143"/>
      <c r="AF27" s="143"/>
      <c r="AG27" s="143"/>
      <c r="AH27" s="143"/>
      <c r="AI27" s="143"/>
      <c r="AJ27" s="103">
        <f t="shared" si="2"/>
        <v>0</v>
      </c>
      <c r="AK27" s="906">
        <v>7471.7</v>
      </c>
      <c r="AL27" s="907">
        <v>245.61</v>
      </c>
      <c r="AM27" s="136"/>
      <c r="AN27" s="105">
        <f t="shared" si="3"/>
        <v>0</v>
      </c>
      <c r="AO27" s="988">
        <v>1284.28</v>
      </c>
      <c r="AP27" s="143"/>
      <c r="AQ27" s="143"/>
      <c r="AR27" s="146"/>
      <c r="AS27" s="1061">
        <f t="shared" si="4"/>
        <v>0</v>
      </c>
      <c r="AT27" s="1791">
        <v>4417.3</v>
      </c>
      <c r="AU27" s="1778">
        <v>1845.56</v>
      </c>
      <c r="AV27" s="1779"/>
      <c r="AW27" s="1778"/>
      <c r="AX27" s="1548"/>
      <c r="AY27" s="1792">
        <v>1414.8</v>
      </c>
      <c r="AZ27" s="1548"/>
      <c r="BA27" s="1548"/>
      <c r="BB27" s="1548"/>
      <c r="BC27" s="1546"/>
      <c r="BD27" s="222">
        <f t="shared" si="5"/>
        <v>0</v>
      </c>
      <c r="BE27" s="456">
        <f t="shared" si="6"/>
        <v>0</v>
      </c>
      <c r="BF27" s="132"/>
      <c r="BG27" s="140">
        <f t="shared" si="7"/>
        <v>0</v>
      </c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056"/>
      <c r="BS27" s="909">
        <v>100</v>
      </c>
      <c r="BT27" s="141"/>
      <c r="BU27" s="130">
        <f t="shared" si="8"/>
        <v>0</v>
      </c>
      <c r="BV27" s="132"/>
    </row>
    <row r="28" ht="14.25" customHeight="1">
      <c r="A28" s="132"/>
      <c r="B28" s="215">
        <v>46044</v>
      </c>
      <c r="C28" s="900">
        <f>17203.17-D28-0</f>
      </c>
      <c r="D28" s="901">
        <v>1566.35</v>
      </c>
      <c r="E28" s="135"/>
      <c r="F28" s="135"/>
      <c r="G28" s="147">
        <f t="shared" si="0"/>
        <v>0</v>
      </c>
      <c r="H28" s="1058">
        <v>439.58</v>
      </c>
      <c r="I28" s="801">
        <v>1489.29</v>
      </c>
      <c r="J28" s="611"/>
      <c r="K28" s="611"/>
      <c r="L28" s="611"/>
      <c r="M28" s="611"/>
      <c r="N28" s="999"/>
      <c r="O28" s="143"/>
      <c r="P28" s="143"/>
      <c r="Q28" s="904"/>
      <c r="R28" s="143"/>
      <c r="S28" s="143"/>
      <c r="T28" s="992">
        <v>206.09</v>
      </c>
      <c r="U28" s="1054"/>
      <c r="V28" s="1054"/>
      <c r="W28" s="103">
        <f t="shared" si="1"/>
        <v>0</v>
      </c>
      <c r="X28" s="611"/>
      <c r="Y28" s="611"/>
      <c r="Z28" s="611"/>
      <c r="AA28" s="611"/>
      <c r="AB28" s="611"/>
      <c r="AC28" s="143"/>
      <c r="AD28" s="143"/>
      <c r="AE28" s="143"/>
      <c r="AF28" s="143"/>
      <c r="AG28" s="143"/>
      <c r="AH28" s="143"/>
      <c r="AI28" s="143"/>
      <c r="AJ28" s="103">
        <f t="shared" si="2"/>
        <v>0</v>
      </c>
      <c r="AK28" s="906">
        <v>8487.43</v>
      </c>
      <c r="AL28" s="907">
        <v>512.89</v>
      </c>
      <c r="AM28" s="136"/>
      <c r="AN28" s="105">
        <f t="shared" si="3"/>
        <v>0</v>
      </c>
      <c r="AO28" s="988">
        <v>393.48</v>
      </c>
      <c r="AP28" s="143"/>
      <c r="AQ28" s="143"/>
      <c r="AR28" s="146"/>
      <c r="AS28" s="1061">
        <f t="shared" si="4"/>
        <v>0</v>
      </c>
      <c r="AT28" s="1791">
        <v>4621.2</v>
      </c>
      <c r="AU28" s="1778"/>
      <c r="AV28" s="1778"/>
      <c r="AW28" s="1778"/>
      <c r="AX28" s="1548"/>
      <c r="AY28" s="1792">
        <v>1053.4</v>
      </c>
      <c r="AZ28" s="1548"/>
      <c r="BA28" s="1548"/>
      <c r="BB28" s="1548"/>
      <c r="BC28" s="1546"/>
      <c r="BD28" s="222">
        <f t="shared" si="5"/>
        <v>0</v>
      </c>
      <c r="BE28" s="456">
        <f t="shared" si="6"/>
        <v>0</v>
      </c>
      <c r="BF28" s="132"/>
      <c r="BG28" s="140">
        <f t="shared" si="7"/>
        <v>0</v>
      </c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914"/>
      <c r="BS28" s="909"/>
      <c r="BT28" s="141"/>
      <c r="BU28" s="130">
        <f t="shared" si="8"/>
        <v>0</v>
      </c>
      <c r="BV28" s="132"/>
    </row>
    <row r="29" ht="14.25" customHeight="1">
      <c r="A29" s="132"/>
      <c r="B29" s="215">
        <v>46045</v>
      </c>
      <c r="C29" s="900">
        <f>19302.66-D29-0</f>
      </c>
      <c r="D29" s="901">
        <v>1019.29</v>
      </c>
      <c r="E29" s="135"/>
      <c r="F29" s="135"/>
      <c r="G29" s="147">
        <f t="shared" si="0"/>
        <v>0</v>
      </c>
      <c r="H29" s="1058">
        <v>643.49</v>
      </c>
      <c r="I29" s="801">
        <v>2162.85</v>
      </c>
      <c r="J29" s="611"/>
      <c r="K29" s="611"/>
      <c r="L29" s="611"/>
      <c r="M29" s="611"/>
      <c r="N29" s="999"/>
      <c r="O29" s="143"/>
      <c r="P29" s="143"/>
      <c r="Q29" s="905"/>
      <c r="R29" s="143"/>
      <c r="S29" s="143"/>
      <c r="T29" s="999"/>
      <c r="U29" s="1054"/>
      <c r="V29" s="1054"/>
      <c r="W29" s="103">
        <f t="shared" si="1"/>
        <v>0</v>
      </c>
      <c r="X29" s="611"/>
      <c r="Y29" s="611"/>
      <c r="Z29" s="611"/>
      <c r="AA29" s="611"/>
      <c r="AB29" s="611"/>
      <c r="AC29" s="143"/>
      <c r="AD29" s="143"/>
      <c r="AE29" s="143"/>
      <c r="AF29" s="143"/>
      <c r="AG29" s="143"/>
      <c r="AH29" s="143"/>
      <c r="AI29" s="143"/>
      <c r="AJ29" s="103">
        <f t="shared" si="2"/>
        <v>0</v>
      </c>
      <c r="AK29" s="906">
        <v>7103.48</v>
      </c>
      <c r="AL29" s="907">
        <v>422.55</v>
      </c>
      <c r="AM29" s="136"/>
      <c r="AN29" s="105">
        <f t="shared" si="3"/>
        <v>0</v>
      </c>
      <c r="AO29" s="988">
        <v>521.88</v>
      </c>
      <c r="AP29" s="143"/>
      <c r="AQ29" s="143"/>
      <c r="AR29" s="146"/>
      <c r="AS29" s="1061">
        <f t="shared" si="4"/>
        <v>0</v>
      </c>
      <c r="AT29" s="1791">
        <v>5939.2</v>
      </c>
      <c r="AU29" s="1778">
        <v>1812.65</v>
      </c>
      <c r="AV29" s="1778"/>
      <c r="AW29" s="1778"/>
      <c r="AX29" s="1548"/>
      <c r="AY29" s="1793">
        <v>596.7</v>
      </c>
      <c r="AZ29" s="1548"/>
      <c r="BA29" s="1548"/>
      <c r="BB29" s="1548"/>
      <c r="BC29" s="1546"/>
      <c r="BD29" s="222">
        <f t="shared" si="5"/>
        <v>0</v>
      </c>
      <c r="BE29" s="456">
        <f t="shared" si="6"/>
        <v>0</v>
      </c>
      <c r="BF29" s="132"/>
      <c r="BG29" s="140">
        <f t="shared" si="7"/>
        <v>0</v>
      </c>
      <c r="BH29" s="141"/>
      <c r="BI29" s="141"/>
      <c r="BJ29" s="141"/>
      <c r="BK29" s="141"/>
      <c r="BL29" s="141"/>
      <c r="BM29" s="141"/>
      <c r="BN29" s="141"/>
      <c r="BO29" s="141"/>
      <c r="BP29" s="141"/>
      <c r="BQ29" s="141"/>
      <c r="BR29" s="1056"/>
      <c r="BS29" s="909">
        <v>100</v>
      </c>
      <c r="BT29" s="141"/>
      <c r="BU29" s="130">
        <f t="shared" si="8"/>
        <v>0</v>
      </c>
      <c r="BV29" s="132"/>
    </row>
    <row r="30" ht="14.25" customHeight="1">
      <c r="A30" s="132"/>
      <c r="B30" s="215">
        <v>46046</v>
      </c>
      <c r="C30" s="900">
        <f>13039.12-D30-0</f>
      </c>
      <c r="D30" s="901">
        <v>1079.56</v>
      </c>
      <c r="E30" s="135"/>
      <c r="F30" s="135"/>
      <c r="G30" s="147">
        <f t="shared" si="0"/>
        <v>0</v>
      </c>
      <c r="H30" s="1058">
        <v>410.6</v>
      </c>
      <c r="I30" s="611"/>
      <c r="J30" s="611"/>
      <c r="K30" s="611"/>
      <c r="L30" s="611"/>
      <c r="M30" s="611"/>
      <c r="N30" s="999"/>
      <c r="O30" s="143"/>
      <c r="P30" s="143"/>
      <c r="Q30" s="904"/>
      <c r="R30" s="143"/>
      <c r="S30" s="143"/>
      <c r="T30" s="905"/>
      <c r="U30" s="1054"/>
      <c r="V30" s="1054"/>
      <c r="W30" s="103">
        <f t="shared" si="1"/>
        <v>0</v>
      </c>
      <c r="X30" s="611"/>
      <c r="Y30" s="611"/>
      <c r="Z30" s="611"/>
      <c r="AA30" s="611"/>
      <c r="AB30" s="611"/>
      <c r="AC30" s="143"/>
      <c r="AD30" s="143"/>
      <c r="AE30" s="143"/>
      <c r="AF30" s="143"/>
      <c r="AG30" s="143"/>
      <c r="AH30" s="143"/>
      <c r="AI30" s="143"/>
      <c r="AJ30" s="103">
        <f t="shared" si="2"/>
        <v>0</v>
      </c>
      <c r="AK30" s="906">
        <v>5936.35</v>
      </c>
      <c r="AL30" s="907">
        <v>277.45</v>
      </c>
      <c r="AM30" s="136"/>
      <c r="AN30" s="105">
        <f t="shared" si="3"/>
        <v>0</v>
      </c>
      <c r="AO30" s="988">
        <v>356.92</v>
      </c>
      <c r="AP30" s="143"/>
      <c r="AQ30" s="143"/>
      <c r="AR30" s="146"/>
      <c r="AS30" s="1061">
        <f t="shared" si="4"/>
        <v>0</v>
      </c>
      <c r="AT30" s="1791">
        <v>4551.4</v>
      </c>
      <c r="AU30" s="1778">
        <v>704.5</v>
      </c>
      <c r="AV30" s="1779"/>
      <c r="AW30" s="1778"/>
      <c r="AX30" s="1548"/>
      <c r="AY30" s="1793">
        <v>802.1</v>
      </c>
      <c r="AZ30" s="1548"/>
      <c r="BA30" s="1548"/>
      <c r="BB30" s="1548"/>
      <c r="BC30" s="1546"/>
      <c r="BD30" s="222">
        <f t="shared" si="5"/>
        <v>0</v>
      </c>
      <c r="BE30" s="456">
        <f t="shared" si="6"/>
        <v>0</v>
      </c>
      <c r="BF30" s="132"/>
      <c r="BG30" s="140">
        <f t="shared" si="7"/>
        <v>0</v>
      </c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914"/>
      <c r="BS30" s="909"/>
      <c r="BT30" s="141"/>
      <c r="BU30" s="130">
        <f t="shared" si="8"/>
        <v>0</v>
      </c>
      <c r="BV30" s="132"/>
    </row>
    <row r="31" ht="14.25" customHeight="1">
      <c r="A31" s="132"/>
      <c r="B31" s="215">
        <v>46047</v>
      </c>
      <c r="C31" s="900">
        <f>18210.40-D31-0</f>
      </c>
      <c r="D31" s="901">
        <v>1748.28</v>
      </c>
      <c r="E31" s="135"/>
      <c r="F31" s="135"/>
      <c r="G31" s="147">
        <f t="shared" si="0"/>
        <v>0</v>
      </c>
      <c r="H31" s="1057"/>
      <c r="I31" s="801">
        <v>774.52</v>
      </c>
      <c r="J31" s="611"/>
      <c r="K31" s="611"/>
      <c r="L31" s="611"/>
      <c r="M31" s="611"/>
      <c r="N31" s="999"/>
      <c r="O31" s="143"/>
      <c r="P31" s="143"/>
      <c r="Q31" s="905"/>
      <c r="R31" s="143"/>
      <c r="S31" s="143"/>
      <c r="T31" s="905"/>
      <c r="U31" s="1054"/>
      <c r="V31" s="1054"/>
      <c r="W31" s="103">
        <f t="shared" si="1"/>
        <v>0</v>
      </c>
      <c r="X31" s="611"/>
      <c r="Y31" s="611"/>
      <c r="Z31" s="611"/>
      <c r="AA31" s="611"/>
      <c r="AB31" s="611"/>
      <c r="AC31" s="143"/>
      <c r="AD31" s="143"/>
      <c r="AE31" s="143"/>
      <c r="AF31" s="143"/>
      <c r="AG31" s="143"/>
      <c r="AH31" s="143"/>
      <c r="AI31" s="143"/>
      <c r="AJ31" s="103">
        <f t="shared" si="2"/>
        <v>0</v>
      </c>
      <c r="AK31" s="906">
        <v>6521.33</v>
      </c>
      <c r="AL31" s="907">
        <v>402.07</v>
      </c>
      <c r="AM31" s="136"/>
      <c r="AN31" s="105">
        <f t="shared" si="3"/>
        <v>0</v>
      </c>
      <c r="AO31" s="988">
        <v>511.38</v>
      </c>
      <c r="AP31" s="143"/>
      <c r="AQ31" s="143"/>
      <c r="AR31" s="146"/>
      <c r="AS31" s="1061">
        <f t="shared" si="4"/>
        <v>0</v>
      </c>
      <c r="AT31" s="1791">
        <v>5505.7</v>
      </c>
      <c r="AU31" s="1778">
        <v>3149.31</v>
      </c>
      <c r="AV31" s="1790"/>
      <c r="AW31" s="1778"/>
      <c r="AX31" s="1548"/>
      <c r="AY31" s="1793">
        <v>1346.2</v>
      </c>
      <c r="AZ31" s="1548"/>
      <c r="BA31" s="1548"/>
      <c r="BB31" s="1548"/>
      <c r="BC31" s="1546"/>
      <c r="BD31" s="222">
        <f t="shared" si="5"/>
        <v>0</v>
      </c>
      <c r="BE31" s="456">
        <f t="shared" si="6"/>
        <v>0</v>
      </c>
      <c r="BF31" s="132"/>
      <c r="BG31" s="140">
        <f t="shared" si="7"/>
        <v>0</v>
      </c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908"/>
      <c r="BS31" s="909"/>
      <c r="BT31" s="141"/>
      <c r="BU31" s="130">
        <f t="shared" si="8"/>
        <v>0</v>
      </c>
      <c r="BV31" s="132"/>
    </row>
    <row r="32" ht="14.25" customHeight="1">
      <c r="A32" s="132"/>
      <c r="B32" s="215">
        <v>46048</v>
      </c>
      <c r="C32" s="900">
        <f>21297.51-D32-0</f>
      </c>
      <c r="D32" s="901">
        <v>1346.25</v>
      </c>
      <c r="E32" s="135"/>
      <c r="F32" s="135"/>
      <c r="G32" s="147">
        <f t="shared" si="0"/>
        <v>0</v>
      </c>
      <c r="H32" s="1057"/>
      <c r="I32" s="801">
        <v>148.91</v>
      </c>
      <c r="J32" s="611"/>
      <c r="K32" s="611"/>
      <c r="L32" s="611"/>
      <c r="M32" s="611"/>
      <c r="N32" s="999"/>
      <c r="O32" s="143"/>
      <c r="P32" s="143"/>
      <c r="Q32" s="904"/>
      <c r="R32" s="143"/>
      <c r="S32" s="143"/>
      <c r="T32" s="905"/>
      <c r="U32" s="1054"/>
      <c r="V32" s="1054"/>
      <c r="W32" s="103">
        <f t="shared" si="1"/>
        <v>0</v>
      </c>
      <c r="X32" s="611"/>
      <c r="Y32" s="611"/>
      <c r="Z32" s="611"/>
      <c r="AA32" s="611"/>
      <c r="AB32" s="611"/>
      <c r="AC32" s="143"/>
      <c r="AD32" s="143"/>
      <c r="AE32" s="143"/>
      <c r="AF32" s="143"/>
      <c r="AG32" s="143"/>
      <c r="AH32" s="143"/>
      <c r="AI32" s="143"/>
      <c r="AJ32" s="103">
        <f t="shared" si="2"/>
        <v>0</v>
      </c>
      <c r="AK32" s="906">
        <v>9227.09</v>
      </c>
      <c r="AL32" s="907">
        <v>207.54</v>
      </c>
      <c r="AM32" s="136"/>
      <c r="AN32" s="105">
        <f t="shared" si="3"/>
        <v>0</v>
      </c>
      <c r="AO32" s="988">
        <v>763.94</v>
      </c>
      <c r="AP32" s="143"/>
      <c r="AQ32" s="143"/>
      <c r="AR32" s="146"/>
      <c r="AS32" s="1061">
        <f t="shared" si="4"/>
        <v>0</v>
      </c>
      <c r="AT32" s="1791">
        <v>9471.3</v>
      </c>
      <c r="AU32" s="1778"/>
      <c r="AV32" s="1778"/>
      <c r="AW32" s="1778"/>
      <c r="AX32" s="1548"/>
      <c r="AY32" s="1793">
        <v>1138.7</v>
      </c>
      <c r="AZ32" s="1548"/>
      <c r="BA32" s="1548"/>
      <c r="BB32" s="1548"/>
      <c r="BC32" s="1546"/>
      <c r="BD32" s="222">
        <f t="shared" si="5"/>
        <v>0</v>
      </c>
      <c r="BE32" s="456">
        <f t="shared" si="6"/>
        <v>0</v>
      </c>
      <c r="BF32" s="132"/>
      <c r="BG32" s="140">
        <f t="shared" si="7"/>
        <v>0</v>
      </c>
      <c r="BH32" s="141"/>
      <c r="BI32" s="141"/>
      <c r="BJ32" s="141"/>
      <c r="BK32" s="141"/>
      <c r="BL32" s="141"/>
      <c r="BM32" s="141"/>
      <c r="BN32" s="141"/>
      <c r="BO32" s="141"/>
      <c r="BP32" s="141"/>
      <c r="BQ32" s="141"/>
      <c r="BR32" s="1056"/>
      <c r="BS32" s="1062">
        <v>340</v>
      </c>
      <c r="BT32" s="141"/>
      <c r="BU32" s="130">
        <f t="shared" si="8"/>
        <v>0</v>
      </c>
      <c r="BV32" s="132"/>
    </row>
    <row r="33" ht="14.25" customHeight="1">
      <c r="A33" s="132"/>
      <c r="B33" s="215">
        <v>46049</v>
      </c>
      <c r="C33" s="900">
        <f>17864.03-D33-0</f>
      </c>
      <c r="D33" s="901">
        <v>1024.75</v>
      </c>
      <c r="E33" s="135"/>
      <c r="F33" s="135"/>
      <c r="G33" s="147">
        <f t="shared" si="0"/>
        <v>0</v>
      </c>
      <c r="H33" s="1059">
        <v>418.74</v>
      </c>
      <c r="I33" s="801">
        <v>1702.15</v>
      </c>
      <c r="J33" s="611"/>
      <c r="K33" s="611"/>
      <c r="L33" s="611"/>
      <c r="M33" s="611"/>
      <c r="N33" s="999"/>
      <c r="O33" s="143"/>
      <c r="P33" s="143"/>
      <c r="Q33" s="904"/>
      <c r="R33" s="143"/>
      <c r="S33" s="143"/>
      <c r="T33" s="904"/>
      <c r="U33" s="1054"/>
      <c r="V33" s="1054"/>
      <c r="W33" s="103">
        <f t="shared" si="1"/>
        <v>0</v>
      </c>
      <c r="X33" s="611"/>
      <c r="Y33" s="611"/>
      <c r="Z33" s="611"/>
      <c r="AA33" s="611"/>
      <c r="AB33" s="611"/>
      <c r="AC33" s="143"/>
      <c r="AD33" s="143"/>
      <c r="AE33" s="143"/>
      <c r="AF33" s="143"/>
      <c r="AG33" s="143"/>
      <c r="AH33" s="143"/>
      <c r="AI33" s="143"/>
      <c r="AJ33" s="103">
        <f t="shared" si="2"/>
        <v>0</v>
      </c>
      <c r="AK33" s="906">
        <v>5835.01</v>
      </c>
      <c r="AL33" s="907">
        <v>290</v>
      </c>
      <c r="AM33" s="136"/>
      <c r="AN33" s="105">
        <f t="shared" si="3"/>
        <v>0</v>
      </c>
      <c r="AO33" s="988">
        <v>457.04</v>
      </c>
      <c r="AP33" s="143"/>
      <c r="AQ33" s="143"/>
      <c r="AR33" s="146"/>
      <c r="AS33" s="1061">
        <f t="shared" si="4"/>
        <v>0</v>
      </c>
      <c r="AT33" s="1791">
        <v>4905.6</v>
      </c>
      <c r="AU33" s="1778">
        <v>3400.9</v>
      </c>
      <c r="AV33" s="1779"/>
      <c r="AW33" s="1778"/>
      <c r="AX33" s="1548"/>
      <c r="AY33" s="1793">
        <v>734.7</v>
      </c>
      <c r="AZ33" s="1548"/>
      <c r="BA33" s="1548"/>
      <c r="BB33" s="1548"/>
      <c r="BC33" s="1546"/>
      <c r="BD33" s="222">
        <f t="shared" si="5"/>
        <v>0</v>
      </c>
      <c r="BE33" s="456">
        <f t="shared" si="6"/>
        <v>0</v>
      </c>
      <c r="BF33" s="132"/>
      <c r="BG33" s="140">
        <f t="shared" si="7"/>
        <v>0</v>
      </c>
      <c r="BH33" s="141"/>
      <c r="BI33" s="141"/>
      <c r="BJ33" s="141"/>
      <c r="BK33" s="141"/>
      <c r="BL33" s="141"/>
      <c r="BM33" s="141"/>
      <c r="BN33" s="141"/>
      <c r="BO33" s="141"/>
      <c r="BP33" s="141"/>
      <c r="BQ33" s="141"/>
      <c r="BR33" s="914"/>
      <c r="BS33" s="1062">
        <v>120</v>
      </c>
      <c r="BT33" s="141"/>
      <c r="BU33" s="130">
        <f t="shared" si="8"/>
        <v>0</v>
      </c>
      <c r="BV33" s="132"/>
    </row>
    <row r="34" ht="14.25" customHeight="1">
      <c r="A34" s="132"/>
      <c r="B34" s="215">
        <v>46050</v>
      </c>
      <c r="C34" s="900">
        <f>18851.78-D34-0</f>
      </c>
      <c r="D34" s="901">
        <v>1708.94</v>
      </c>
      <c r="E34" s="135"/>
      <c r="F34" s="135"/>
      <c r="G34" s="147">
        <f t="shared" si="0"/>
        <v>0</v>
      </c>
      <c r="H34" s="1058">
        <v>640.72</v>
      </c>
      <c r="I34" s="801">
        <v>4051.2</v>
      </c>
      <c r="J34" s="611"/>
      <c r="K34" s="611"/>
      <c r="L34" s="611"/>
      <c r="M34" s="611"/>
      <c r="N34" s="999"/>
      <c r="O34" s="143"/>
      <c r="P34" s="143"/>
      <c r="Q34" s="905"/>
      <c r="R34" s="143"/>
      <c r="S34" s="143"/>
      <c r="T34" s="992">
        <v>1620.35</v>
      </c>
      <c r="U34" s="1054"/>
      <c r="V34" s="1054"/>
      <c r="W34" s="103">
        <f t="shared" si="1"/>
        <v>0</v>
      </c>
      <c r="X34" s="611"/>
      <c r="Y34" s="611"/>
      <c r="Z34" s="611"/>
      <c r="AA34" s="611"/>
      <c r="AB34" s="611"/>
      <c r="AC34" s="143"/>
      <c r="AD34" s="143"/>
      <c r="AE34" s="143"/>
      <c r="AF34" s="143"/>
      <c r="AG34" s="143"/>
      <c r="AH34" s="143"/>
      <c r="AI34" s="143"/>
      <c r="AJ34" s="103">
        <f t="shared" si="2"/>
        <v>0</v>
      </c>
      <c r="AK34" s="906">
        <v>3728.76</v>
      </c>
      <c r="AL34" s="907">
        <v>629.15</v>
      </c>
      <c r="AM34" s="136"/>
      <c r="AN34" s="105">
        <f t="shared" si="3"/>
        <v>0</v>
      </c>
      <c r="AO34" s="988">
        <v>536.43</v>
      </c>
      <c r="AP34" s="143"/>
      <c r="AQ34" s="143"/>
      <c r="AR34" s="146"/>
      <c r="AS34" s="224">
        <f t="shared" si="4"/>
        <v>0</v>
      </c>
      <c r="AT34" s="1791">
        <v>6285.6</v>
      </c>
      <c r="AU34" s="1790"/>
      <c r="AV34" s="1790"/>
      <c r="AW34" s="1790"/>
      <c r="AX34" s="1548"/>
      <c r="AY34" s="1793">
        <v>1079.8</v>
      </c>
      <c r="AZ34" s="1548"/>
      <c r="BA34" s="1548"/>
      <c r="BB34" s="1548"/>
      <c r="BC34" s="1546"/>
      <c r="BD34" s="222">
        <f t="shared" si="5"/>
        <v>0</v>
      </c>
      <c r="BE34" s="456">
        <f t="shared" si="6"/>
        <v>0</v>
      </c>
      <c r="BF34" s="132"/>
      <c r="BG34" s="140">
        <f t="shared" si="7"/>
        <v>0</v>
      </c>
      <c r="BH34" s="141"/>
      <c r="BI34" s="141"/>
      <c r="BJ34" s="141"/>
      <c r="BK34" s="141"/>
      <c r="BL34" s="141"/>
      <c r="BM34" s="141"/>
      <c r="BN34" s="141"/>
      <c r="BO34" s="141"/>
      <c r="BP34" s="141"/>
      <c r="BQ34" s="141"/>
      <c r="BR34" s="908"/>
      <c r="BS34" s="1062">
        <v>280</v>
      </c>
      <c r="BT34" s="141"/>
      <c r="BU34" s="130">
        <f t="shared" si="8"/>
        <v>0</v>
      </c>
      <c r="BV34" s="132"/>
    </row>
    <row r="35" ht="14.25" customHeight="1">
      <c r="A35" s="132"/>
      <c r="B35" s="215">
        <v>46051</v>
      </c>
      <c r="C35" s="900">
        <f>16050.81-D35-0</f>
      </c>
      <c r="D35" s="901">
        <v>1102.95</v>
      </c>
      <c r="E35" s="135"/>
      <c r="F35" s="135"/>
      <c r="G35" s="147">
        <f t="shared" si="0"/>
        <v>0</v>
      </c>
      <c r="H35" s="1059">
        <v>405.19</v>
      </c>
      <c r="I35" s="801">
        <v>4351.49</v>
      </c>
      <c r="J35" s="611"/>
      <c r="K35" s="611"/>
      <c r="L35" s="611"/>
      <c r="M35" s="611"/>
      <c r="N35" s="999"/>
      <c r="O35" s="143"/>
      <c r="P35" s="143"/>
      <c r="Q35" s="905"/>
      <c r="R35" s="143"/>
      <c r="S35" s="143"/>
      <c r="T35" s="992">
        <v>2818.01</v>
      </c>
      <c r="U35" s="1054"/>
      <c r="V35" s="1054"/>
      <c r="W35" s="103">
        <f t="shared" si="1"/>
        <v>0</v>
      </c>
      <c r="X35" s="611"/>
      <c r="Y35" s="611"/>
      <c r="Z35" s="611"/>
      <c r="AA35" s="611"/>
      <c r="AB35" s="611"/>
      <c r="AC35" s="143"/>
      <c r="AD35" s="143"/>
      <c r="AE35" s="143"/>
      <c r="AF35" s="143"/>
      <c r="AG35" s="143"/>
      <c r="AH35" s="143"/>
      <c r="AI35" s="143"/>
      <c r="AJ35" s="103">
        <f t="shared" si="2"/>
        <v>0</v>
      </c>
      <c r="AK35" s="906">
        <v>2213.81</v>
      </c>
      <c r="AL35" s="907">
        <v>221.21</v>
      </c>
      <c r="AM35" s="136"/>
      <c r="AN35" s="105">
        <f t="shared" si="3"/>
        <v>0</v>
      </c>
      <c r="AO35" s="988">
        <v>364.12</v>
      </c>
      <c r="AP35" s="143"/>
      <c r="AQ35" s="143"/>
      <c r="AR35" s="146"/>
      <c r="AS35" s="224">
        <f t="shared" si="4"/>
        <v>0</v>
      </c>
      <c r="AT35" s="1791">
        <v>3699.9</v>
      </c>
      <c r="AU35" s="1778">
        <v>1095.58</v>
      </c>
      <c r="AV35" s="1778"/>
      <c r="AW35" s="1778"/>
      <c r="AX35" s="1548"/>
      <c r="AY35" s="1792">
        <v>881.7</v>
      </c>
      <c r="AZ35" s="1548"/>
      <c r="BA35" s="1548"/>
      <c r="BB35" s="1548"/>
      <c r="BC35" s="1546"/>
      <c r="BD35" s="222">
        <f t="shared" si="5"/>
        <v>0</v>
      </c>
      <c r="BE35" s="456">
        <f t="shared" si="6"/>
        <v>0</v>
      </c>
      <c r="BF35" s="132"/>
      <c r="BG35" s="140">
        <f t="shared" si="7"/>
        <v>0</v>
      </c>
      <c r="BH35" s="141"/>
      <c r="BI35" s="141"/>
      <c r="BJ35" s="141"/>
      <c r="BK35" s="141"/>
      <c r="BL35" s="141"/>
      <c r="BM35" s="141"/>
      <c r="BN35" s="141"/>
      <c r="BO35" s="141"/>
      <c r="BP35" s="141"/>
      <c r="BQ35" s="141"/>
      <c r="BR35" s="914"/>
      <c r="BS35" s="909"/>
      <c r="BT35" s="141"/>
      <c r="BU35" s="130">
        <f t="shared" si="8"/>
        <v>0</v>
      </c>
      <c r="BV35" s="132"/>
    </row>
    <row r="36" ht="14.25" customHeight="1">
      <c r="A36" s="132"/>
      <c r="B36" s="215">
        <v>46052</v>
      </c>
      <c r="C36" s="900">
        <f>26993.83-D36-0</f>
      </c>
      <c r="D36" s="901">
        <v>1893.27</v>
      </c>
      <c r="E36" s="135"/>
      <c r="F36" s="135"/>
      <c r="G36" s="147">
        <f t="shared" si="0"/>
        <v>0</v>
      </c>
      <c r="H36" s="1057"/>
      <c r="I36" s="801">
        <v>5981</v>
      </c>
      <c r="J36" s="611"/>
      <c r="K36" s="611"/>
      <c r="L36" s="611"/>
      <c r="M36" s="611"/>
      <c r="N36" s="999"/>
      <c r="O36" s="143"/>
      <c r="P36" s="143"/>
      <c r="Q36" s="905"/>
      <c r="R36" s="143"/>
      <c r="S36" s="143"/>
      <c r="T36" s="987">
        <v>845.4</v>
      </c>
      <c r="U36" s="1054"/>
      <c r="V36" s="1054"/>
      <c r="W36" s="103">
        <f t="shared" si="1"/>
        <v>0</v>
      </c>
      <c r="X36" s="611"/>
      <c r="Y36" s="611"/>
      <c r="Z36" s="611"/>
      <c r="AA36" s="611"/>
      <c r="AB36" s="611"/>
      <c r="AC36" s="143"/>
      <c r="AD36" s="143"/>
      <c r="AE36" s="143"/>
      <c r="AF36" s="143"/>
      <c r="AG36" s="143"/>
      <c r="AH36" s="143"/>
      <c r="AI36" s="143"/>
      <c r="AJ36" s="103">
        <f t="shared" si="2"/>
        <v>0</v>
      </c>
      <c r="AK36" s="906">
        <v>7443.6</v>
      </c>
      <c r="AL36" s="907">
        <v>369.19</v>
      </c>
      <c r="AM36" s="136"/>
      <c r="AN36" s="105">
        <f t="shared" si="3"/>
        <v>0</v>
      </c>
      <c r="AO36" s="988">
        <v>664.78</v>
      </c>
      <c r="AP36" s="143"/>
      <c r="AQ36" s="143"/>
      <c r="AR36" s="146"/>
      <c r="AS36" s="224">
        <f t="shared" si="4"/>
        <v>0</v>
      </c>
      <c r="AT36" s="1791">
        <v>7099.9</v>
      </c>
      <c r="AU36" s="1778">
        <v>2965.99</v>
      </c>
      <c r="AV36" s="1778"/>
      <c r="AW36" s="1778"/>
      <c r="AX36" s="1548"/>
      <c r="AY36" s="1793">
        <v>1524</v>
      </c>
      <c r="AZ36" s="1548"/>
      <c r="BA36" s="1548"/>
      <c r="BB36" s="1548"/>
      <c r="BC36" s="1557"/>
      <c r="BD36" s="222">
        <f t="shared" si="5"/>
        <v>0</v>
      </c>
      <c r="BE36" s="456">
        <f t="shared" si="6"/>
        <v>0</v>
      </c>
      <c r="BF36" s="132"/>
      <c r="BG36" s="140">
        <f t="shared" si="7"/>
        <v>0</v>
      </c>
      <c r="BH36" s="141"/>
      <c r="BI36" s="141"/>
      <c r="BJ36" s="141"/>
      <c r="BK36" s="141"/>
      <c r="BL36" s="141"/>
      <c r="BM36" s="141"/>
      <c r="BN36" s="141"/>
      <c r="BO36" s="141"/>
      <c r="BP36" s="141"/>
      <c r="BQ36" s="141"/>
      <c r="BR36" s="1056"/>
      <c r="BS36" s="909">
        <v>100</v>
      </c>
      <c r="BT36" s="141"/>
      <c r="BU36" s="130">
        <f t="shared" si="8"/>
        <v>0</v>
      </c>
      <c r="BV36" s="132"/>
    </row>
    <row r="37" ht="14.25" customHeight="1">
      <c r="A37" s="132"/>
      <c r="B37" s="215">
        <v>46053</v>
      </c>
      <c r="C37" s="918">
        <f>14376.56-D37-0</f>
      </c>
      <c r="D37" s="919">
        <v>1118.49</v>
      </c>
      <c r="E37" s="156"/>
      <c r="F37" s="156"/>
      <c r="G37" s="147">
        <f t="shared" si="0"/>
        <v>0</v>
      </c>
      <c r="H37" s="1063">
        <v>427.55</v>
      </c>
      <c r="I37" s="1064">
        <v>2349.79</v>
      </c>
      <c r="J37" s="613"/>
      <c r="K37" s="613"/>
      <c r="L37" s="613"/>
      <c r="M37" s="613"/>
      <c r="N37" s="1065"/>
      <c r="O37" s="157"/>
      <c r="P37" s="157"/>
      <c r="Q37" s="923"/>
      <c r="R37" s="157"/>
      <c r="S37" s="157"/>
      <c r="T37" s="923"/>
      <c r="U37" s="1066"/>
      <c r="V37" s="1066"/>
      <c r="W37" s="103">
        <f t="shared" si="1"/>
        <v>0</v>
      </c>
      <c r="X37" s="613"/>
      <c r="Y37" s="613"/>
      <c r="Z37" s="613"/>
      <c r="AA37" s="613"/>
      <c r="AB37" s="613"/>
      <c r="AC37" s="157"/>
      <c r="AD37" s="157"/>
      <c r="AE37" s="157"/>
      <c r="AF37" s="157"/>
      <c r="AG37" s="157"/>
      <c r="AH37" s="157"/>
      <c r="AI37" s="157"/>
      <c r="AJ37" s="103">
        <f t="shared" si="2"/>
        <v>0</v>
      </c>
      <c r="AK37" s="924">
        <v>2892.61</v>
      </c>
      <c r="AL37" s="925">
        <v>252.01</v>
      </c>
      <c r="AM37" s="159"/>
      <c r="AN37" s="105">
        <f t="shared" si="3"/>
        <v>0</v>
      </c>
      <c r="AO37" s="922">
        <v>369.77</v>
      </c>
      <c r="AP37" s="157"/>
      <c r="AQ37" s="157"/>
      <c r="AR37" s="160"/>
      <c r="AS37" s="224">
        <f t="shared" si="4"/>
        <v>0</v>
      </c>
      <c r="AT37" s="1794">
        <v>6718.1</v>
      </c>
      <c r="AU37" s="1781">
        <v>500</v>
      </c>
      <c r="AV37" s="1780"/>
      <c r="AW37" s="1780"/>
      <c r="AX37" s="1548"/>
      <c r="AY37" s="1795">
        <v>866.4</v>
      </c>
      <c r="AZ37" s="1548"/>
      <c r="BA37" s="1548"/>
      <c r="BB37" s="1548"/>
      <c r="BC37" s="1548"/>
      <c r="BD37" s="222">
        <f t="shared" si="5"/>
        <v>0</v>
      </c>
      <c r="BE37" s="501">
        <f t="shared" si="6"/>
        <v>0</v>
      </c>
      <c r="BF37" s="132"/>
      <c r="BG37" s="162">
        <f t="shared" si="7"/>
        <v>0</v>
      </c>
      <c r="BH37" s="163"/>
      <c r="BI37" s="163"/>
      <c r="BJ37" s="163"/>
      <c r="BK37" s="163"/>
      <c r="BL37" s="163"/>
      <c r="BM37" s="163"/>
      <c r="BN37" s="163"/>
      <c r="BO37" s="163"/>
      <c r="BP37" s="163"/>
      <c r="BQ37" s="141"/>
      <c r="BR37" s="1067"/>
      <c r="BS37" s="927"/>
      <c r="BT37" s="163"/>
      <c r="BU37" s="164">
        <f t="shared" si="8"/>
        <v>0</v>
      </c>
      <c r="BV37" s="132"/>
    </row>
    <row r="38" ht="14.25" customHeight="1">
      <c r="A38" s="3"/>
      <c r="B38" s="2" t="s">
        <v>177</v>
      </c>
      <c r="C38" s="166">
        <f ref="C38:P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/>
      <c r="R38" s="166"/>
      <c r="S38" s="166">
        <f>SUM(S7:S37)</f>
        <v>0</v>
      </c>
      <c r="T38" s="166"/>
      <c r="U38" s="166">
        <f ref="U38:BE38" t="shared" si="10">SUM(U7:U37)</f>
        <v>0</v>
      </c>
      <c r="V38" s="166">
        <f t="shared" si="10"/>
        <v>0</v>
      </c>
      <c r="W38" s="166">
        <f t="shared" si="10"/>
        <v>0</v>
      </c>
      <c r="X38" s="617">
        <f t="shared" si="10"/>
        <v>0</v>
      </c>
      <c r="Y38" s="617">
        <f t="shared" si="10"/>
        <v>0</v>
      </c>
      <c r="Z38" s="617">
        <f t="shared" si="10"/>
        <v>0</v>
      </c>
      <c r="AA38" s="617">
        <f t="shared" si="10"/>
        <v>0</v>
      </c>
      <c r="AB38" s="617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>
        <f t="shared" si="10"/>
        <v>0</v>
      </c>
      <c r="AI38" s="166">
        <f t="shared" si="10"/>
        <v>0</v>
      </c>
      <c r="AJ38" s="166">
        <f t="shared" si="10"/>
        <v>0</v>
      </c>
      <c r="AK38" s="166">
        <f t="shared" si="10"/>
        <v>0</v>
      </c>
      <c r="AL38" s="166">
        <f t="shared" si="10"/>
        <v>0</v>
      </c>
      <c r="AM38" s="166">
        <f t="shared" si="10"/>
        <v>0</v>
      </c>
      <c r="AN38" s="166">
        <f t="shared" si="10"/>
        <v>0</v>
      </c>
      <c r="AO38" s="166">
        <f t="shared" si="10"/>
        <v>0</v>
      </c>
      <c r="AP38" s="166">
        <f t="shared" si="10"/>
        <v>0</v>
      </c>
      <c r="AQ38" s="166">
        <f t="shared" si="10"/>
        <v>0</v>
      </c>
      <c r="AR38" s="166">
        <f t="shared" si="10"/>
        <v>0</v>
      </c>
      <c r="AS38" s="166">
        <f t="shared" si="10"/>
        <v>0</v>
      </c>
      <c r="AT38" s="1068">
        <f t="shared" si="10"/>
        <v>0</v>
      </c>
      <c r="AU38" s="165">
        <f t="shared" si="10"/>
        <v>0</v>
      </c>
      <c r="AV38" s="165">
        <f t="shared" si="10"/>
        <v>0</v>
      </c>
      <c r="AW38" s="165">
        <f t="shared" si="10"/>
        <v>0</v>
      </c>
      <c r="AX38" s="165">
        <f t="shared" si="10"/>
        <v>0</v>
      </c>
      <c r="AY38" s="165">
        <f t="shared" si="10"/>
        <v>0</v>
      </c>
      <c r="AZ38" s="165">
        <f t="shared" si="10"/>
        <v>0</v>
      </c>
      <c r="BA38" s="165">
        <f t="shared" si="10"/>
        <v>0</v>
      </c>
      <c r="BB38" s="165">
        <f t="shared" si="10"/>
        <v>0</v>
      </c>
      <c r="BC38" s="165">
        <f t="shared" si="10"/>
        <v>0</v>
      </c>
      <c r="BD38" s="166">
        <f t="shared" si="10"/>
        <v>0</v>
      </c>
      <c r="BE38" s="617">
        <f t="shared" si="10"/>
        <v>0</v>
      </c>
      <c r="BF38" s="132"/>
      <c r="BG38" s="166">
        <f ref="BG38:BU38" t="shared" si="11">SUM(BG7:BG37)</f>
        <v>0</v>
      </c>
      <c r="BH38" s="166">
        <f t="shared" si="11"/>
        <v>0</v>
      </c>
      <c r="BI38" s="166">
        <f t="shared" si="11"/>
        <v>0</v>
      </c>
      <c r="BJ38" s="166">
        <f t="shared" si="11"/>
        <v>0</v>
      </c>
      <c r="BK38" s="166">
        <f t="shared" si="11"/>
        <v>0</v>
      </c>
      <c r="BL38" s="166">
        <f t="shared" si="11"/>
        <v>0</v>
      </c>
      <c r="BM38" s="166">
        <f t="shared" si="11"/>
        <v>0</v>
      </c>
      <c r="BN38" s="166">
        <f t="shared" si="11"/>
        <v>0</v>
      </c>
      <c r="BO38" s="166">
        <f t="shared" si="11"/>
        <v>0</v>
      </c>
      <c r="BP38" s="166">
        <f t="shared" si="11"/>
        <v>0</v>
      </c>
      <c r="BQ38" s="166">
        <f t="shared" si="11"/>
        <v>0</v>
      </c>
      <c r="BR38" s="166">
        <f t="shared" si="11"/>
        <v>0</v>
      </c>
      <c r="BS38" s="166">
        <f t="shared" si="11"/>
        <v>0</v>
      </c>
      <c r="BT38" s="166">
        <f t="shared" si="11"/>
        <v>0</v>
      </c>
      <c r="BU38" s="166">
        <f t="shared" si="11"/>
        <v>0</v>
      </c>
      <c r="BV38" s="132"/>
    </row>
    <row r="39" ht="14.25" customHeight="1">
      <c r="A39" s="3"/>
      <c r="B39" s="174"/>
      <c r="C39" s="3"/>
      <c r="D39" s="3"/>
      <c r="E39" s="3"/>
      <c r="F39" s="3"/>
      <c r="G39" s="4"/>
      <c r="H39" s="1"/>
      <c r="I39" s="1"/>
      <c r="J39" s="1"/>
      <c r="K39" s="1"/>
      <c r="L39" s="1"/>
      <c r="M39" s="1"/>
      <c r="N39" s="3"/>
      <c r="O39" s="3"/>
      <c r="P39" s="3"/>
      <c r="Q39" s="3"/>
      <c r="R39" s="3"/>
      <c r="S39" s="3"/>
      <c r="T39" s="3"/>
      <c r="U39" s="3"/>
      <c r="V39" s="175"/>
      <c r="W39" s="3"/>
      <c r="X39" s="1"/>
      <c r="Y39" s="1"/>
      <c r="Z39" s="1"/>
      <c r="AA39" s="1"/>
      <c r="AB39" s="1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4"/>
      <c r="AO39" s="3"/>
      <c r="AP39" s="3"/>
      <c r="AQ39" s="3"/>
      <c r="AR39" s="3"/>
      <c r="AS39" s="4"/>
      <c r="AT39" s="380"/>
      <c r="AU39" s="132"/>
      <c r="AV39" s="132"/>
      <c r="AW39" s="3"/>
      <c r="AX39" s="3"/>
      <c r="AY39" s="132"/>
      <c r="AZ39" s="132"/>
      <c r="BA39" s="132"/>
      <c r="BB39" s="132"/>
      <c r="BC39" s="132"/>
      <c r="BD39" s="4"/>
      <c r="BE39" s="1"/>
      <c r="BF39" s="3"/>
      <c r="BG39" s="17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173"/>
      <c r="BV39" s="3"/>
    </row>
    <row r="40" ht="14.25" customHeight="1">
      <c r="A40" s="3"/>
      <c r="B40" s="174"/>
      <c r="C40" s="3"/>
      <c r="D40" s="3"/>
      <c r="E40" s="3"/>
      <c r="F40" s="3"/>
      <c r="G40" s="4"/>
      <c r="H40" s="1"/>
      <c r="I40" s="1"/>
      <c r="J40" s="1"/>
      <c r="K40" s="1"/>
      <c r="L40" s="1"/>
      <c r="M40" s="1"/>
      <c r="N40" s="3"/>
      <c r="O40" s="3"/>
      <c r="P40" s="3"/>
      <c r="Q40" s="3"/>
      <c r="R40" s="3"/>
      <c r="S40" s="3"/>
      <c r="T40" s="3"/>
      <c r="U40" s="3"/>
      <c r="V40" s="175"/>
      <c r="W40" s="3"/>
      <c r="X40" s="1"/>
      <c r="Y40" s="1"/>
      <c r="Z40" s="1"/>
      <c r="AA40" s="1"/>
      <c r="AB40" s="1"/>
      <c r="AC40" s="3"/>
      <c r="AD40" s="3"/>
      <c r="AE40" s="3"/>
      <c r="AF40" s="3"/>
      <c r="AG40" s="3"/>
      <c r="AH40" s="3"/>
      <c r="AI40" s="3"/>
      <c r="AJ40" s="176"/>
      <c r="AK40" s="3"/>
      <c r="AL40" s="3"/>
      <c r="AM40" s="3"/>
      <c r="AN40" s="4"/>
      <c r="AO40" s="3"/>
      <c r="AP40" s="3"/>
      <c r="AQ40" s="3"/>
      <c r="AR40" s="3"/>
      <c r="AS40" s="4"/>
      <c r="AT40" s="380"/>
      <c r="AU40" s="132"/>
      <c r="AV40" s="132"/>
      <c r="AW40" s="3"/>
      <c r="AX40" s="3"/>
      <c r="AY40" s="132"/>
      <c r="AZ40" s="132"/>
      <c r="BA40" s="132"/>
      <c r="BB40" s="132"/>
      <c r="BC40" s="132"/>
      <c r="BD40" s="177"/>
      <c r="BE40" s="1"/>
      <c r="BF40" s="3"/>
      <c r="BG40" s="178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8"/>
      <c r="BV40" s="3"/>
    </row>
    <row r="41" ht="14.25" customHeight="1">
      <c r="A41" s="3"/>
      <c r="B41" s="618">
        <v>46054</v>
      </c>
      <c r="C41" s="94">
        <f>17490.52-D41-0</f>
      </c>
      <c r="D41" s="95">
        <v>1135.62</v>
      </c>
      <c r="E41" s="97"/>
      <c r="F41" s="97"/>
      <c r="G41" s="216">
        <f ref="G41:G69" t="shared" si="12">+C41+D41+E41+F41</f>
        <v>0</v>
      </c>
      <c r="H41" s="1069">
        <v>204.18</v>
      </c>
      <c r="I41" s="796">
        <v>1967.38</v>
      </c>
      <c r="J41" s="619"/>
      <c r="K41" s="619"/>
      <c r="L41" s="619"/>
      <c r="M41" s="619"/>
      <c r="N41" s="186"/>
      <c r="O41" s="186"/>
      <c r="P41" s="186"/>
      <c r="Q41" s="186"/>
      <c r="R41" s="186"/>
      <c r="S41" s="186"/>
      <c r="T41" s="188">
        <v>1127.2</v>
      </c>
      <c r="U41" s="186"/>
      <c r="V41" s="186"/>
      <c r="W41" s="189">
        <f ref="W41:W69" t="shared" si="13">SUM(H41:V41)</f>
        <v>0</v>
      </c>
      <c r="X41" s="619"/>
      <c r="Y41" s="619"/>
      <c r="Z41" s="619"/>
      <c r="AA41" s="619"/>
      <c r="AB41" s="619"/>
      <c r="AC41" s="186"/>
      <c r="AD41" s="186"/>
      <c r="AE41" s="186"/>
      <c r="AF41" s="186"/>
      <c r="AG41" s="186"/>
      <c r="AH41" s="186"/>
      <c r="AI41" s="186"/>
      <c r="AJ41" s="103">
        <f ref="AJ41:AJ69" t="shared" si="14">SUM(X41:AI41)</f>
        <v>0</v>
      </c>
      <c r="AK41" s="95">
        <v>1782.02</v>
      </c>
      <c r="AL41" s="95">
        <v>252.98</v>
      </c>
      <c r="AM41" s="104"/>
      <c r="AN41" s="191">
        <f ref="AN41:AN69" t="shared" si="15">SUM(AK41:AM41)</f>
        <v>0</v>
      </c>
      <c r="AO41" s="188">
        <v>583.16</v>
      </c>
      <c r="AP41" s="186"/>
      <c r="AQ41" s="186"/>
      <c r="AR41" s="193"/>
      <c r="AS41" s="620">
        <f ref="AS41:AS69" t="shared" si="16">+G41-W41-AJ41-AN41-AO41-AP41-AQ41-AR41</f>
        <v>0</v>
      </c>
      <c r="AT41" s="1685">
        <v>8927.9</v>
      </c>
      <c r="AU41" s="1537">
        <v>1761.25</v>
      </c>
      <c r="AV41" s="1537"/>
      <c r="AW41" s="1537"/>
      <c r="AX41" s="1548"/>
      <c r="AY41" s="1721">
        <v>885</v>
      </c>
      <c r="AZ41" s="1548"/>
      <c r="BA41" s="1548"/>
      <c r="BB41" s="1548"/>
      <c r="BC41" s="1537"/>
      <c r="BD41" s="222">
        <f ref="BD41:BD69" t="shared" si="17">SUM(AT41:BC41)-BB41</f>
        <v>0</v>
      </c>
      <c r="BE41" s="1051">
        <f ref="BE41:BE69" t="shared" si="18">+AS41-BD41</f>
        <v>0</v>
      </c>
      <c r="BF41" s="3"/>
      <c r="BG41" s="114">
        <f ref="BG41:BG69" t="shared" si="19">SUM(BH41:BT41)</f>
        <v>0</v>
      </c>
      <c r="BH41" s="220"/>
      <c r="BI41" s="220"/>
      <c r="BJ41" s="220"/>
      <c r="BK41" s="220"/>
      <c r="BL41" s="220"/>
      <c r="BM41" s="220"/>
      <c r="BN41" s="220"/>
      <c r="BO41" s="220"/>
      <c r="BP41" s="220"/>
      <c r="BQ41" s="220"/>
      <c r="BR41" s="220"/>
      <c r="BS41" s="220"/>
      <c r="BT41" s="220"/>
      <c r="BU41" s="116">
        <f ref="BU41:BU69" t="shared" si="20">+BE41-BG41</f>
        <v>0</v>
      </c>
      <c r="BV41" s="3"/>
    </row>
    <row r="42" ht="14.25" customHeight="1">
      <c r="A42" s="3"/>
      <c r="B42" s="618">
        <v>46055</v>
      </c>
      <c r="C42" s="118">
        <f>19857.74-D42-0</f>
      </c>
      <c r="D42" s="119">
        <v>1091.94</v>
      </c>
      <c r="E42" s="120"/>
      <c r="F42" s="120"/>
      <c r="G42" s="147">
        <f t="shared" si="12"/>
        <v>0</v>
      </c>
      <c r="H42" s="768"/>
      <c r="I42" s="801">
        <v>2931.18</v>
      </c>
      <c r="J42" s="611"/>
      <c r="K42" s="611"/>
      <c r="L42" s="611"/>
      <c r="M42" s="611"/>
      <c r="N42" s="143"/>
      <c r="O42" s="143"/>
      <c r="P42" s="143"/>
      <c r="Q42" s="143"/>
      <c r="R42" s="143"/>
      <c r="S42" s="143"/>
      <c r="T42" s="143"/>
      <c r="U42" s="143"/>
      <c r="V42" s="143"/>
      <c r="W42" s="103">
        <f t="shared" si="13"/>
        <v>0</v>
      </c>
      <c r="X42" s="611"/>
      <c r="Y42" s="611"/>
      <c r="Z42" s="611"/>
      <c r="AA42" s="611"/>
      <c r="AB42" s="611"/>
      <c r="AC42" s="143"/>
      <c r="AD42" s="143"/>
      <c r="AE42" s="143"/>
      <c r="AF42" s="143"/>
      <c r="AG42" s="143"/>
      <c r="AH42" s="143"/>
      <c r="AI42" s="143"/>
      <c r="AJ42" s="103">
        <f t="shared" si="14"/>
        <v>0</v>
      </c>
      <c r="AK42" s="119">
        <v>4850.55</v>
      </c>
      <c r="AL42" s="119">
        <v>364.39</v>
      </c>
      <c r="AM42" s="123"/>
      <c r="AN42" s="105">
        <f t="shared" si="15"/>
        <v>0</v>
      </c>
      <c r="AO42" s="145">
        <v>482.85</v>
      </c>
      <c r="AP42" s="143"/>
      <c r="AQ42" s="143"/>
      <c r="AR42" s="146"/>
      <c r="AS42" s="621">
        <f t="shared" si="16"/>
        <v>0</v>
      </c>
      <c r="AT42" s="1553">
        <v>9513.3</v>
      </c>
      <c r="AU42" s="1626">
        <v>888.05</v>
      </c>
      <c r="AV42" s="1546"/>
      <c r="AW42" s="1546"/>
      <c r="AX42" s="1548"/>
      <c r="AY42" s="1554">
        <v>727.5</v>
      </c>
      <c r="AZ42" s="1548"/>
      <c r="BA42" s="1548"/>
      <c r="BB42" s="1548"/>
      <c r="BC42" s="1546"/>
      <c r="BD42" s="222">
        <f t="shared" si="17"/>
        <v>0</v>
      </c>
      <c r="BE42" s="1055">
        <f t="shared" si="18"/>
        <v>0</v>
      </c>
      <c r="BF42" s="3"/>
      <c r="BG42" s="113">
        <f t="shared" si="19"/>
        <v>0</v>
      </c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7"/>
      <c r="BS42" s="225">
        <v>100</v>
      </c>
      <c r="BT42" s="225"/>
      <c r="BU42" s="130">
        <f t="shared" si="20"/>
        <v>0</v>
      </c>
      <c r="BV42" s="3"/>
    </row>
    <row r="43" ht="14.25" customHeight="1">
      <c r="A43" s="132"/>
      <c r="B43" s="618">
        <v>46056</v>
      </c>
      <c r="C43" s="133">
        <f>15999.82-D43-0</f>
      </c>
      <c r="D43" s="134">
        <v>1596.66</v>
      </c>
      <c r="E43" s="135"/>
      <c r="F43" s="135"/>
      <c r="G43" s="147">
        <f t="shared" si="12"/>
        <v>0</v>
      </c>
      <c r="H43" s="768"/>
      <c r="I43" s="801">
        <v>5066.66</v>
      </c>
      <c r="J43" s="611"/>
      <c r="K43" s="611"/>
      <c r="L43" s="611"/>
      <c r="M43" s="611"/>
      <c r="N43" s="143"/>
      <c r="O43" s="143"/>
      <c r="P43" s="143"/>
      <c r="Q43" s="143"/>
      <c r="R43" s="143"/>
      <c r="S43" s="143"/>
      <c r="T43" s="145">
        <v>204.9</v>
      </c>
      <c r="U43" s="143"/>
      <c r="V43" s="143"/>
      <c r="W43" s="103">
        <f t="shared" si="13"/>
        <v>0</v>
      </c>
      <c r="X43" s="611"/>
      <c r="Y43" s="611"/>
      <c r="Z43" s="611"/>
      <c r="AA43" s="611"/>
      <c r="AB43" s="611"/>
      <c r="AC43" s="143"/>
      <c r="AD43" s="143"/>
      <c r="AE43" s="143"/>
      <c r="AF43" s="143"/>
      <c r="AG43" s="143"/>
      <c r="AH43" s="143"/>
      <c r="AI43" s="143"/>
      <c r="AJ43" s="103">
        <f t="shared" si="14"/>
        <v>0</v>
      </c>
      <c r="AK43" s="134">
        <v>2923.27</v>
      </c>
      <c r="AL43" s="134">
        <v>680.52</v>
      </c>
      <c r="AM43" s="136"/>
      <c r="AN43" s="105">
        <f t="shared" si="15"/>
        <v>0</v>
      </c>
      <c r="AO43" s="145">
        <v>118.01</v>
      </c>
      <c r="AP43" s="143"/>
      <c r="AQ43" s="143"/>
      <c r="AR43" s="146"/>
      <c r="AS43" s="621">
        <f t="shared" si="16"/>
        <v>0</v>
      </c>
      <c r="AT43" s="1553">
        <v>6090.3</v>
      </c>
      <c r="AU43" s="1546"/>
      <c r="AV43" s="1546"/>
      <c r="AW43" s="1546"/>
      <c r="AX43" s="1548"/>
      <c r="AY43" s="1554">
        <v>916.1</v>
      </c>
      <c r="AZ43" s="1548"/>
      <c r="BA43" s="1548"/>
      <c r="BB43" s="1548"/>
      <c r="BC43" s="1546"/>
      <c r="BD43" s="222">
        <f t="shared" si="17"/>
        <v>0</v>
      </c>
      <c r="BE43" s="456">
        <f t="shared" si="18"/>
        <v>0</v>
      </c>
      <c r="BF43" s="132"/>
      <c r="BG43" s="140">
        <f t="shared" si="19"/>
        <v>0</v>
      </c>
      <c r="BH43" s="126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30">
        <f t="shared" si="20"/>
        <v>0</v>
      </c>
      <c r="BV43" s="132"/>
    </row>
    <row r="44" ht="14.25" customHeight="1">
      <c r="A44" s="132"/>
      <c r="B44" s="618">
        <v>46057</v>
      </c>
      <c r="C44" s="133">
        <f>17298.76-D44-0</f>
      </c>
      <c r="D44" s="134">
        <v>1039.49</v>
      </c>
      <c r="E44" s="135"/>
      <c r="F44" s="135"/>
      <c r="G44" s="147">
        <f t="shared" si="12"/>
        <v>0</v>
      </c>
      <c r="H44" s="1070">
        <v>501.52</v>
      </c>
      <c r="I44" s="801">
        <v>5125.07</v>
      </c>
      <c r="J44" s="611"/>
      <c r="K44" s="611"/>
      <c r="L44" s="611"/>
      <c r="M44" s="611"/>
      <c r="N44" s="143"/>
      <c r="O44" s="143"/>
      <c r="P44" s="143"/>
      <c r="Q44" s="143"/>
      <c r="R44" s="143"/>
      <c r="S44" s="143"/>
      <c r="T44" s="143"/>
      <c r="U44" s="143"/>
      <c r="V44" s="143"/>
      <c r="W44" s="103">
        <f t="shared" si="13"/>
        <v>0</v>
      </c>
      <c r="X44" s="611"/>
      <c r="Y44" s="611"/>
      <c r="Z44" s="611"/>
      <c r="AA44" s="611"/>
      <c r="AB44" s="611"/>
      <c r="AC44" s="143"/>
      <c r="AD44" s="143"/>
      <c r="AE44" s="143"/>
      <c r="AF44" s="143"/>
      <c r="AG44" s="143"/>
      <c r="AH44" s="143"/>
      <c r="AI44" s="143"/>
      <c r="AJ44" s="103">
        <f t="shared" si="14"/>
        <v>0</v>
      </c>
      <c r="AK44" s="134">
        <v>3240.37</v>
      </c>
      <c r="AL44" s="134">
        <v>328.53</v>
      </c>
      <c r="AM44" s="136"/>
      <c r="AN44" s="105">
        <f t="shared" si="15"/>
        <v>0</v>
      </c>
      <c r="AO44" s="145">
        <v>234.62</v>
      </c>
      <c r="AP44" s="143"/>
      <c r="AQ44" s="143"/>
      <c r="AR44" s="146"/>
      <c r="AS44" s="621">
        <f t="shared" si="16"/>
        <v>0</v>
      </c>
      <c r="AT44" s="1553">
        <v>6477.2</v>
      </c>
      <c r="AU44" s="1626">
        <v>581.06</v>
      </c>
      <c r="AV44" s="1546"/>
      <c r="AW44" s="1546"/>
      <c r="AX44" s="1548"/>
      <c r="AY44" s="1554">
        <v>711</v>
      </c>
      <c r="AZ44" s="1548"/>
      <c r="BA44" s="1548"/>
      <c r="BB44" s="1548"/>
      <c r="BC44" s="1546"/>
      <c r="BD44" s="222">
        <f t="shared" si="17"/>
        <v>0</v>
      </c>
      <c r="BE44" s="456">
        <f t="shared" si="18"/>
        <v>0</v>
      </c>
      <c r="BF44" s="132"/>
      <c r="BG44" s="140">
        <f t="shared" si="19"/>
        <v>0</v>
      </c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227"/>
      <c r="BS44" s="126">
        <v>100</v>
      </c>
      <c r="BT44" s="126"/>
      <c r="BU44" s="130">
        <f t="shared" si="20"/>
        <v>0</v>
      </c>
      <c r="BV44" s="132"/>
    </row>
    <row r="45" ht="14.25" customHeight="1">
      <c r="A45" s="132"/>
      <c r="B45" s="618">
        <v>46058</v>
      </c>
      <c r="C45" s="133">
        <f>20586.11-D45-0</f>
      </c>
      <c r="D45" s="134">
        <v>1044.97</v>
      </c>
      <c r="E45" s="135"/>
      <c r="F45" s="135"/>
      <c r="G45" s="147">
        <f t="shared" si="12"/>
        <v>0</v>
      </c>
      <c r="H45" s="1070">
        <v>439.63</v>
      </c>
      <c r="I45" s="801">
        <v>4115.06</v>
      </c>
      <c r="J45" s="611"/>
      <c r="K45" s="611"/>
      <c r="L45" s="611"/>
      <c r="M45" s="611"/>
      <c r="N45" s="143"/>
      <c r="O45" s="143"/>
      <c r="P45" s="143"/>
      <c r="Q45" s="143"/>
      <c r="R45" s="143"/>
      <c r="S45" s="143"/>
      <c r="T45" s="145">
        <v>833.4</v>
      </c>
      <c r="U45" s="143"/>
      <c r="V45" s="143"/>
      <c r="W45" s="103">
        <f t="shared" si="13"/>
        <v>0</v>
      </c>
      <c r="X45" s="611"/>
      <c r="Y45" s="611"/>
      <c r="Z45" s="611"/>
      <c r="AA45" s="611"/>
      <c r="AB45" s="611"/>
      <c r="AC45" s="143"/>
      <c r="AD45" s="143"/>
      <c r="AE45" s="143"/>
      <c r="AF45" s="143"/>
      <c r="AG45" s="143"/>
      <c r="AH45" s="143"/>
      <c r="AI45" s="143"/>
      <c r="AJ45" s="103">
        <f t="shared" si="14"/>
        <v>0</v>
      </c>
      <c r="AK45" s="134">
        <v>7739.15</v>
      </c>
      <c r="AL45" s="134">
        <v>311.41</v>
      </c>
      <c r="AM45" s="136"/>
      <c r="AN45" s="105">
        <f t="shared" si="15"/>
        <v>0</v>
      </c>
      <c r="AO45" s="145">
        <v>614.85</v>
      </c>
      <c r="AP45" s="143"/>
      <c r="AQ45" s="143"/>
      <c r="AR45" s="146"/>
      <c r="AS45" s="621">
        <f t="shared" si="16"/>
        <v>0</v>
      </c>
      <c r="AT45" s="1553">
        <v>5799.5</v>
      </c>
      <c r="AU45" s="1546"/>
      <c r="AV45" s="1546"/>
      <c r="AW45" s="1546"/>
      <c r="AX45" s="1548"/>
      <c r="AY45" s="1554">
        <v>733.5</v>
      </c>
      <c r="AZ45" s="1548"/>
      <c r="BA45" s="1548"/>
      <c r="BB45" s="1548"/>
      <c r="BC45" s="1546"/>
      <c r="BD45" s="222">
        <f t="shared" si="17"/>
        <v>0</v>
      </c>
      <c r="BE45" s="456">
        <f t="shared" si="18"/>
        <v>0</v>
      </c>
      <c r="BF45" s="132"/>
      <c r="BG45" s="140">
        <f t="shared" si="19"/>
        <v>0</v>
      </c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30">
        <f t="shared" si="20"/>
        <v>0</v>
      </c>
      <c r="BV45" s="132"/>
    </row>
    <row r="46" ht="14.25" customHeight="1">
      <c r="A46" s="132"/>
      <c r="B46" s="618">
        <v>46059</v>
      </c>
      <c r="C46" s="133">
        <f>10606.68-D46-0</f>
      </c>
      <c r="D46" s="134">
        <v>1031.76</v>
      </c>
      <c r="E46" s="135"/>
      <c r="F46" s="135"/>
      <c r="G46" s="147">
        <f t="shared" si="12"/>
        <v>0</v>
      </c>
      <c r="H46" s="1070">
        <v>652.7</v>
      </c>
      <c r="I46" s="801">
        <v>935.76</v>
      </c>
      <c r="J46" s="611"/>
      <c r="K46" s="611"/>
      <c r="L46" s="611"/>
      <c r="M46" s="611"/>
      <c r="N46" s="143"/>
      <c r="O46" s="143"/>
      <c r="P46" s="143"/>
      <c r="Q46" s="143"/>
      <c r="R46" s="143"/>
      <c r="S46" s="143"/>
      <c r="T46" s="143"/>
      <c r="U46" s="143"/>
      <c r="V46" s="143"/>
      <c r="W46" s="103">
        <f t="shared" si="13"/>
        <v>0</v>
      </c>
      <c r="X46" s="611"/>
      <c r="Y46" s="611"/>
      <c r="Z46" s="611"/>
      <c r="AA46" s="611"/>
      <c r="AB46" s="611"/>
      <c r="AC46" s="143"/>
      <c r="AD46" s="143"/>
      <c r="AE46" s="143"/>
      <c r="AF46" s="143"/>
      <c r="AG46" s="143"/>
      <c r="AH46" s="143"/>
      <c r="AI46" s="143"/>
      <c r="AJ46" s="103">
        <f t="shared" si="14"/>
        <v>0</v>
      </c>
      <c r="AK46" s="134">
        <v>3332.33</v>
      </c>
      <c r="AL46" s="134">
        <v>310.88</v>
      </c>
      <c r="AM46" s="136"/>
      <c r="AN46" s="105">
        <f t="shared" si="15"/>
        <v>0</v>
      </c>
      <c r="AO46" s="145">
        <v>160.26</v>
      </c>
      <c r="AP46" s="143"/>
      <c r="AQ46" s="143"/>
      <c r="AR46" s="146"/>
      <c r="AS46" s="621">
        <f t="shared" si="16"/>
        <v>0</v>
      </c>
      <c r="AT46" s="1553">
        <v>3410.8</v>
      </c>
      <c r="AU46" s="1626">
        <v>983.42</v>
      </c>
      <c r="AV46" s="1546"/>
      <c r="AW46" s="1546"/>
      <c r="AX46" s="1548"/>
      <c r="AY46" s="1554">
        <v>721.1</v>
      </c>
      <c r="AZ46" s="1548"/>
      <c r="BA46" s="1548"/>
      <c r="BB46" s="1548"/>
      <c r="BC46" s="1546"/>
      <c r="BD46" s="222">
        <f t="shared" si="17"/>
        <v>0</v>
      </c>
      <c r="BE46" s="456">
        <f t="shared" si="18"/>
        <v>0</v>
      </c>
      <c r="BF46" s="132"/>
      <c r="BG46" s="140">
        <f t="shared" si="19"/>
        <v>0</v>
      </c>
      <c r="BH46" s="126"/>
      <c r="BI46" s="126"/>
      <c r="BJ46" s="126"/>
      <c r="BK46" s="126"/>
      <c r="BL46" s="126"/>
      <c r="BM46" s="126"/>
      <c r="BN46" s="126"/>
      <c r="BO46" s="126"/>
      <c r="BP46" s="126"/>
      <c r="BQ46" s="126"/>
      <c r="BR46" s="227"/>
      <c r="BS46" s="126">
        <v>100</v>
      </c>
      <c r="BT46" s="126"/>
      <c r="BU46" s="130">
        <f t="shared" si="20"/>
        <v>0</v>
      </c>
      <c r="BV46" s="132"/>
    </row>
    <row r="47" ht="14.25" customHeight="1">
      <c r="A47" s="132"/>
      <c r="B47" s="618">
        <v>46060</v>
      </c>
      <c r="C47" s="133">
        <f>7809.09-D47-0</f>
      </c>
      <c r="D47" s="134">
        <v>927.69</v>
      </c>
      <c r="E47" s="135"/>
      <c r="F47" s="135"/>
      <c r="G47" s="147">
        <f t="shared" si="12"/>
        <v>0</v>
      </c>
      <c r="H47" s="768"/>
      <c r="I47" s="1070">
        <v>1400</v>
      </c>
      <c r="J47" s="611"/>
      <c r="K47" s="611"/>
      <c r="L47" s="611"/>
      <c r="M47" s="611"/>
      <c r="N47" s="143"/>
      <c r="O47" s="143"/>
      <c r="P47" s="143"/>
      <c r="Q47" s="143"/>
      <c r="R47" s="143"/>
      <c r="S47" s="143"/>
      <c r="T47" s="143"/>
      <c r="U47" s="143"/>
      <c r="V47" s="143"/>
      <c r="W47" s="103">
        <f t="shared" si="13"/>
        <v>0</v>
      </c>
      <c r="X47" s="611"/>
      <c r="Y47" s="611"/>
      <c r="Z47" s="611"/>
      <c r="AA47" s="611"/>
      <c r="AB47" s="611"/>
      <c r="AC47" s="143"/>
      <c r="AD47" s="143"/>
      <c r="AE47" s="143"/>
      <c r="AF47" s="143"/>
      <c r="AG47" s="143"/>
      <c r="AH47" s="143"/>
      <c r="AI47" s="143"/>
      <c r="AJ47" s="103">
        <f t="shared" si="14"/>
        <v>0</v>
      </c>
      <c r="AK47" s="134">
        <v>451.2</v>
      </c>
      <c r="AL47" s="134">
        <v>196.63</v>
      </c>
      <c r="AM47" s="136"/>
      <c r="AN47" s="105">
        <f t="shared" si="15"/>
        <v>0</v>
      </c>
      <c r="AO47" s="145">
        <v>284.39</v>
      </c>
      <c r="AP47" s="143"/>
      <c r="AQ47" s="143"/>
      <c r="AR47" s="146"/>
      <c r="AS47" s="621">
        <f t="shared" si="16"/>
        <v>0</v>
      </c>
      <c r="AT47" s="1553">
        <v>2401.2</v>
      </c>
      <c r="AU47" s="1626">
        <v>2344.78</v>
      </c>
      <c r="AV47" s="1546"/>
      <c r="AW47" s="1546"/>
      <c r="AX47" s="1548"/>
      <c r="AY47" s="1554">
        <v>731</v>
      </c>
      <c r="AZ47" s="1548"/>
      <c r="BA47" s="1548"/>
      <c r="BB47" s="1548"/>
      <c r="BC47" s="1546"/>
      <c r="BD47" s="222">
        <f t="shared" si="17"/>
        <v>0</v>
      </c>
      <c r="BE47" s="456">
        <f t="shared" si="18"/>
        <v>0</v>
      </c>
      <c r="BF47" s="132"/>
      <c r="BG47" s="140">
        <f t="shared" si="19"/>
        <v>0</v>
      </c>
      <c r="BH47" s="126"/>
      <c r="BI47" s="126"/>
      <c r="BJ47" s="126"/>
      <c r="BK47" s="126"/>
      <c r="BL47" s="126"/>
      <c r="BM47" s="126"/>
      <c r="BN47" s="126"/>
      <c r="BO47" s="126"/>
      <c r="BP47" s="126"/>
      <c r="BQ47" s="126"/>
      <c r="BR47" s="126"/>
      <c r="BS47" s="126"/>
      <c r="BT47" s="126"/>
      <c r="BU47" s="130">
        <f t="shared" si="20"/>
        <v>0</v>
      </c>
      <c r="BV47" s="132"/>
    </row>
    <row r="48" ht="14.25" customHeight="1">
      <c r="A48" s="132"/>
      <c r="B48" s="618">
        <v>46061</v>
      </c>
      <c r="C48" s="133">
        <f>10556.73-D48-0</f>
      </c>
      <c r="D48" s="134">
        <v>1907.56</v>
      </c>
      <c r="E48" s="135"/>
      <c r="F48" s="135"/>
      <c r="G48" s="147">
        <f t="shared" si="12"/>
        <v>0</v>
      </c>
      <c r="H48" s="1070">
        <v>212.25</v>
      </c>
      <c r="I48" s="801">
        <v>1630</v>
      </c>
      <c r="J48" s="611"/>
      <c r="K48" s="611"/>
      <c r="L48" s="611"/>
      <c r="M48" s="611"/>
      <c r="N48" s="143"/>
      <c r="O48" s="143"/>
      <c r="P48" s="143"/>
      <c r="Q48" s="143"/>
      <c r="R48" s="143"/>
      <c r="S48" s="143"/>
      <c r="T48" s="143"/>
      <c r="U48" s="143"/>
      <c r="V48" s="143"/>
      <c r="W48" s="103">
        <f t="shared" si="13"/>
        <v>0</v>
      </c>
      <c r="X48" s="611"/>
      <c r="Y48" s="611"/>
      <c r="Z48" s="611"/>
      <c r="AA48" s="611"/>
      <c r="AB48" s="611"/>
      <c r="AC48" s="143"/>
      <c r="AD48" s="143"/>
      <c r="AE48" s="143"/>
      <c r="AF48" s="143"/>
      <c r="AG48" s="143"/>
      <c r="AH48" s="143"/>
      <c r="AI48" s="143"/>
      <c r="AJ48" s="103">
        <f t="shared" si="14"/>
        <v>0</v>
      </c>
      <c r="AK48" s="134">
        <v>1916.81</v>
      </c>
      <c r="AL48" s="134">
        <v>696.33</v>
      </c>
      <c r="AM48" s="136"/>
      <c r="AN48" s="105">
        <f t="shared" si="15"/>
        <v>0</v>
      </c>
      <c r="AO48" s="145">
        <v>192.29</v>
      </c>
      <c r="AP48" s="143"/>
      <c r="AQ48" s="143"/>
      <c r="AR48" s="146"/>
      <c r="AS48" s="621">
        <f t="shared" si="16"/>
        <v>0</v>
      </c>
      <c r="AT48" s="1553">
        <v>3890.6</v>
      </c>
      <c r="AU48" s="1626">
        <v>807.9</v>
      </c>
      <c r="AV48" s="1546"/>
      <c r="AW48" s="1546"/>
      <c r="AX48" s="1548"/>
      <c r="AY48" s="1554">
        <v>1211.2</v>
      </c>
      <c r="AZ48" s="1548"/>
      <c r="BA48" s="1548"/>
      <c r="BB48" s="1548"/>
      <c r="BC48" s="1546"/>
      <c r="BD48" s="222">
        <f t="shared" si="17"/>
        <v>0</v>
      </c>
      <c r="BE48" s="456">
        <f t="shared" si="18"/>
        <v>0</v>
      </c>
      <c r="BF48" s="132"/>
      <c r="BG48" s="140">
        <f t="shared" si="19"/>
        <v>0</v>
      </c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30">
        <f t="shared" si="20"/>
        <v>0</v>
      </c>
      <c r="BV48" s="132"/>
    </row>
    <row r="49" ht="14.25" customHeight="1">
      <c r="A49" s="132"/>
      <c r="B49" s="618">
        <v>46062</v>
      </c>
      <c r="C49" s="133">
        <f>21699.99-D49-0</f>
      </c>
      <c r="D49" s="134">
        <v>1280.92</v>
      </c>
      <c r="E49" s="135"/>
      <c r="F49" s="135"/>
      <c r="G49" s="147">
        <f t="shared" si="12"/>
        <v>0</v>
      </c>
      <c r="H49" s="768"/>
      <c r="I49" s="801">
        <v>3416.44</v>
      </c>
      <c r="J49" s="611"/>
      <c r="K49" s="611"/>
      <c r="L49" s="611"/>
      <c r="M49" s="611"/>
      <c r="N49" s="143"/>
      <c r="O49" s="143"/>
      <c r="P49" s="143"/>
      <c r="Q49" s="143"/>
      <c r="R49" s="143"/>
      <c r="S49" s="143"/>
      <c r="T49" s="143"/>
      <c r="U49" s="143"/>
      <c r="V49" s="143"/>
      <c r="W49" s="103">
        <f t="shared" si="13"/>
        <v>0</v>
      </c>
      <c r="X49" s="611"/>
      <c r="Y49" s="611"/>
      <c r="Z49" s="611"/>
      <c r="AA49" s="611"/>
      <c r="AB49" s="611"/>
      <c r="AC49" s="143"/>
      <c r="AD49" s="143"/>
      <c r="AE49" s="143"/>
      <c r="AF49" s="143"/>
      <c r="AG49" s="143"/>
      <c r="AH49" s="143"/>
      <c r="AI49" s="143"/>
      <c r="AJ49" s="103">
        <f t="shared" si="14"/>
        <v>0</v>
      </c>
      <c r="AK49" s="134">
        <v>5462.63</v>
      </c>
      <c r="AL49" s="134">
        <v>346.3</v>
      </c>
      <c r="AM49" s="136"/>
      <c r="AN49" s="105">
        <f t="shared" si="15"/>
        <v>0</v>
      </c>
      <c r="AO49" s="145">
        <v>651.72</v>
      </c>
      <c r="AP49" s="143"/>
      <c r="AQ49" s="143"/>
      <c r="AR49" s="146"/>
      <c r="AS49" s="621">
        <f t="shared" si="16"/>
        <v>0</v>
      </c>
      <c r="AT49" s="1553">
        <v>7499.1</v>
      </c>
      <c r="AU49" s="1626">
        <v>3290.46</v>
      </c>
      <c r="AV49" s="1546"/>
      <c r="AW49" s="1546"/>
      <c r="AX49" s="1548"/>
      <c r="AY49" s="1554">
        <v>934.6</v>
      </c>
      <c r="AZ49" s="1548"/>
      <c r="BA49" s="1548"/>
      <c r="BB49" s="1548"/>
      <c r="BC49" s="1546"/>
      <c r="BD49" s="222">
        <f t="shared" si="17"/>
        <v>0</v>
      </c>
      <c r="BE49" s="456">
        <f t="shared" si="18"/>
        <v>0</v>
      </c>
      <c r="BF49" s="132"/>
      <c r="BG49" s="140">
        <f t="shared" si="19"/>
        <v>0</v>
      </c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227"/>
      <c r="BS49" s="126">
        <v>100</v>
      </c>
      <c r="BT49" s="126"/>
      <c r="BU49" s="130">
        <f t="shared" si="20"/>
        <v>0</v>
      </c>
      <c r="BV49" s="132"/>
    </row>
    <row r="50" ht="14.25" customHeight="1">
      <c r="A50" s="132"/>
      <c r="B50" s="618">
        <v>46063</v>
      </c>
      <c r="C50" s="133">
        <f>11863.15-D50-0</f>
      </c>
      <c r="D50" s="134">
        <v>834.58</v>
      </c>
      <c r="E50" s="135"/>
      <c r="F50" s="135"/>
      <c r="G50" s="147">
        <f t="shared" si="12"/>
        <v>0</v>
      </c>
      <c r="H50" s="1070">
        <v>220.07</v>
      </c>
      <c r="I50" s="611">
        <v>1671.07</v>
      </c>
      <c r="J50" s="611"/>
      <c r="K50" s="611"/>
      <c r="L50" s="611"/>
      <c r="M50" s="611"/>
      <c r="N50" s="143"/>
      <c r="O50" s="143"/>
      <c r="P50" s="143"/>
      <c r="Q50" s="143"/>
      <c r="R50" s="143"/>
      <c r="S50" s="143"/>
      <c r="T50" s="143"/>
      <c r="U50" s="143"/>
      <c r="V50" s="143"/>
      <c r="W50" s="103">
        <f t="shared" si="13"/>
        <v>0</v>
      </c>
      <c r="X50" s="611"/>
      <c r="Y50" s="611"/>
      <c r="Z50" s="611"/>
      <c r="AA50" s="611"/>
      <c r="AB50" s="611"/>
      <c r="AC50" s="143"/>
      <c r="AD50" s="143"/>
      <c r="AE50" s="143"/>
      <c r="AF50" s="143"/>
      <c r="AG50" s="143"/>
      <c r="AH50" s="143"/>
      <c r="AI50" s="143"/>
      <c r="AJ50" s="103">
        <f t="shared" si="14"/>
        <v>0</v>
      </c>
      <c r="AK50" s="134">
        <v>4819</v>
      </c>
      <c r="AL50" s="134">
        <v>117.86</v>
      </c>
      <c r="AM50" s="136"/>
      <c r="AN50" s="105">
        <f t="shared" si="15"/>
        <v>0</v>
      </c>
      <c r="AO50" s="145">
        <v>255.8</v>
      </c>
      <c r="AP50" s="143"/>
      <c r="AQ50" s="143"/>
      <c r="AR50" s="146"/>
      <c r="AS50" s="621">
        <f t="shared" si="16"/>
        <v>0</v>
      </c>
      <c r="AT50" s="1553">
        <v>4063.2</v>
      </c>
      <c r="AU50" s="1546"/>
      <c r="AV50" s="1546"/>
      <c r="AW50" s="1546"/>
      <c r="AX50" s="1548"/>
      <c r="AY50" s="1554">
        <v>716.7</v>
      </c>
      <c r="AZ50" s="1548"/>
      <c r="BA50" s="1548"/>
      <c r="BB50" s="1548"/>
      <c r="BC50" s="1546"/>
      <c r="BD50" s="222">
        <f t="shared" si="17"/>
        <v>0</v>
      </c>
      <c r="BE50" s="456">
        <f t="shared" si="18"/>
        <v>0</v>
      </c>
      <c r="BF50" s="132"/>
      <c r="BG50" s="140">
        <f t="shared" si="19"/>
        <v>0</v>
      </c>
      <c r="BH50" s="126"/>
      <c r="BI50" s="126"/>
      <c r="BJ50" s="126"/>
      <c r="BK50" s="126"/>
      <c r="BL50" s="126"/>
      <c r="BM50" s="126"/>
      <c r="BN50" s="126"/>
      <c r="BO50" s="126"/>
      <c r="BP50" s="126"/>
      <c r="BQ50" s="126"/>
      <c r="BR50" s="126"/>
      <c r="BS50" s="126"/>
      <c r="BT50" s="126"/>
      <c r="BU50" s="130">
        <f t="shared" si="20"/>
        <v>0</v>
      </c>
      <c r="BV50" s="132"/>
    </row>
    <row r="51" ht="14.25" customHeight="1">
      <c r="A51" s="132"/>
      <c r="B51" s="618">
        <v>46064</v>
      </c>
      <c r="C51" s="133">
        <f>18036.89-D51-0</f>
      </c>
      <c r="D51" s="134">
        <v>1082.81</v>
      </c>
      <c r="E51" s="135"/>
      <c r="F51" s="135"/>
      <c r="G51" s="147">
        <f t="shared" si="12"/>
        <v>0</v>
      </c>
      <c r="H51" s="1070">
        <v>662.67</v>
      </c>
      <c r="I51" s="801">
        <v>2800.58</v>
      </c>
      <c r="J51" s="611"/>
      <c r="K51" s="611"/>
      <c r="L51" s="611"/>
      <c r="M51" s="611"/>
      <c r="N51" s="143"/>
      <c r="O51" s="143"/>
      <c r="P51" s="143"/>
      <c r="Q51" s="143"/>
      <c r="R51" s="143"/>
      <c r="S51" s="143"/>
      <c r="T51" s="145">
        <v>202.55</v>
      </c>
      <c r="U51" s="143"/>
      <c r="V51" s="143"/>
      <c r="W51" s="103">
        <f t="shared" si="13"/>
        <v>0</v>
      </c>
      <c r="X51" s="611"/>
      <c r="Y51" s="611"/>
      <c r="Z51" s="611"/>
      <c r="AA51" s="611"/>
      <c r="AB51" s="611"/>
      <c r="AC51" s="143"/>
      <c r="AD51" s="143"/>
      <c r="AE51" s="143"/>
      <c r="AF51" s="143"/>
      <c r="AG51" s="143"/>
      <c r="AH51" s="143"/>
      <c r="AI51" s="143"/>
      <c r="AJ51" s="103">
        <f t="shared" si="14"/>
        <v>0</v>
      </c>
      <c r="AK51" s="134">
        <v>5153.4</v>
      </c>
      <c r="AL51" s="134">
        <v>225.68</v>
      </c>
      <c r="AM51" s="136"/>
      <c r="AN51" s="105">
        <f t="shared" si="15"/>
        <v>0</v>
      </c>
      <c r="AO51" s="145">
        <v>312.84</v>
      </c>
      <c r="AP51" s="143"/>
      <c r="AQ51" s="143"/>
      <c r="AR51" s="146"/>
      <c r="AS51" s="621">
        <f t="shared" si="16"/>
        <v>0</v>
      </c>
      <c r="AT51" s="1553">
        <v>7722.6</v>
      </c>
      <c r="AU51" s="1546"/>
      <c r="AV51" s="1546"/>
      <c r="AW51" s="1546"/>
      <c r="AX51" s="1548"/>
      <c r="AY51" s="1554">
        <v>857.1</v>
      </c>
      <c r="AZ51" s="1548"/>
      <c r="BA51" s="1548"/>
      <c r="BB51" s="1548"/>
      <c r="BC51" s="1546"/>
      <c r="BD51" s="222">
        <f t="shared" si="17"/>
        <v>0</v>
      </c>
      <c r="BE51" s="456">
        <f t="shared" si="18"/>
        <v>0</v>
      </c>
      <c r="BF51" s="132"/>
      <c r="BG51" s="140">
        <f t="shared" si="19"/>
        <v>0</v>
      </c>
      <c r="BH51" s="126"/>
      <c r="BI51" s="126"/>
      <c r="BJ51" s="126"/>
      <c r="BK51" s="126"/>
      <c r="BL51" s="126"/>
      <c r="BM51" s="126"/>
      <c r="BN51" s="126"/>
      <c r="BO51" s="126"/>
      <c r="BP51" s="126"/>
      <c r="BQ51" s="126"/>
      <c r="BR51" s="229"/>
      <c r="BS51" s="126">
        <v>100</v>
      </c>
      <c r="BT51" s="126"/>
      <c r="BU51" s="130">
        <f t="shared" si="20"/>
        <v>0</v>
      </c>
      <c r="BV51" s="132"/>
    </row>
    <row r="52" ht="14.25" customHeight="1">
      <c r="A52" s="132"/>
      <c r="B52" s="618">
        <v>46065</v>
      </c>
      <c r="C52" s="133">
        <f>17079.15-D52-0</f>
      </c>
      <c r="D52" s="134">
        <v>1579.54</v>
      </c>
      <c r="E52" s="135"/>
      <c r="F52" s="135"/>
      <c r="G52" s="147">
        <f t="shared" si="12"/>
        <v>0</v>
      </c>
      <c r="H52" s="1070">
        <v>664.18</v>
      </c>
      <c r="I52" s="801">
        <v>1920.33</v>
      </c>
      <c r="J52" s="611"/>
      <c r="K52" s="611"/>
      <c r="L52" s="611"/>
      <c r="M52" s="611"/>
      <c r="N52" s="143"/>
      <c r="O52" s="143"/>
      <c r="P52" s="143"/>
      <c r="Q52" s="143"/>
      <c r="R52" s="143"/>
      <c r="S52" s="143"/>
      <c r="T52" s="145">
        <v>833.4</v>
      </c>
      <c r="U52" s="143"/>
      <c r="V52" s="143"/>
      <c r="W52" s="103">
        <f t="shared" si="13"/>
        <v>0</v>
      </c>
      <c r="X52" s="611"/>
      <c r="Y52" s="611"/>
      <c r="Z52" s="611"/>
      <c r="AA52" s="611"/>
      <c r="AB52" s="611"/>
      <c r="AC52" s="143"/>
      <c r="AD52" s="143"/>
      <c r="AE52" s="143"/>
      <c r="AF52" s="143"/>
      <c r="AG52" s="143"/>
      <c r="AH52" s="143"/>
      <c r="AI52" s="143"/>
      <c r="AJ52" s="103">
        <f t="shared" si="14"/>
        <v>0</v>
      </c>
      <c r="AK52" s="134">
        <v>5136.55</v>
      </c>
      <c r="AL52" s="134">
        <v>300.99</v>
      </c>
      <c r="AM52" s="136"/>
      <c r="AN52" s="105">
        <f t="shared" si="15"/>
        <v>0</v>
      </c>
      <c r="AO52" s="145">
        <v>405.66</v>
      </c>
      <c r="AP52" s="143"/>
      <c r="AQ52" s="143"/>
      <c r="AR52" s="146"/>
      <c r="AS52" s="621">
        <f t="shared" si="16"/>
        <v>0</v>
      </c>
      <c r="AT52" s="1553">
        <v>5559.8</v>
      </c>
      <c r="AU52" s="1626">
        <v>980.3</v>
      </c>
      <c r="AV52" s="1546"/>
      <c r="AW52" s="1546"/>
      <c r="AX52" s="1548"/>
      <c r="AY52" s="1554">
        <v>1278.5</v>
      </c>
      <c r="AZ52" s="1548"/>
      <c r="BA52" s="1548"/>
      <c r="BB52" s="1548"/>
      <c r="BC52" s="1546"/>
      <c r="BD52" s="222">
        <f t="shared" si="17"/>
        <v>0</v>
      </c>
      <c r="BE52" s="456">
        <f t="shared" si="18"/>
        <v>0</v>
      </c>
      <c r="BF52" s="132"/>
      <c r="BG52" s="140">
        <f t="shared" si="19"/>
        <v>0</v>
      </c>
      <c r="BH52" s="126"/>
      <c r="BI52" s="126"/>
      <c r="BJ52" s="126"/>
      <c r="BK52" s="126"/>
      <c r="BL52" s="126"/>
      <c r="BM52" s="126"/>
      <c r="BN52" s="126"/>
      <c r="BO52" s="126"/>
      <c r="BP52" s="126"/>
      <c r="BQ52" s="126"/>
      <c r="BR52" s="225"/>
      <c r="BS52" s="126"/>
      <c r="BT52" s="126"/>
      <c r="BU52" s="130">
        <f t="shared" si="20"/>
        <v>0</v>
      </c>
      <c r="BV52" s="132"/>
    </row>
    <row r="53" ht="14.25" customHeight="1">
      <c r="A53" s="132"/>
      <c r="B53" s="618">
        <v>46066</v>
      </c>
      <c r="C53" s="133">
        <f>23848.04-D53-0</f>
      </c>
      <c r="D53" s="134">
        <v>1784.9</v>
      </c>
      <c r="E53" s="135"/>
      <c r="F53" s="135"/>
      <c r="G53" s="147">
        <f t="shared" si="12"/>
        <v>0</v>
      </c>
      <c r="H53" s="1070">
        <v>645.24</v>
      </c>
      <c r="I53" s="801">
        <v>1934.87</v>
      </c>
      <c r="J53" s="611"/>
      <c r="K53" s="611"/>
      <c r="L53" s="611"/>
      <c r="M53" s="611"/>
      <c r="N53" s="143"/>
      <c r="O53" s="143"/>
      <c r="P53" s="143"/>
      <c r="Q53" s="143"/>
      <c r="R53" s="143"/>
      <c r="S53" s="143"/>
      <c r="T53" s="143"/>
      <c r="U53" s="143"/>
      <c r="V53" s="143"/>
      <c r="W53" s="103">
        <f t="shared" si="13"/>
        <v>0</v>
      </c>
      <c r="X53" s="611"/>
      <c r="Y53" s="611"/>
      <c r="Z53" s="611"/>
      <c r="AA53" s="611"/>
      <c r="AB53" s="611"/>
      <c r="AC53" s="143"/>
      <c r="AD53" s="143"/>
      <c r="AE53" s="143"/>
      <c r="AF53" s="143"/>
      <c r="AG53" s="143"/>
      <c r="AH53" s="143"/>
      <c r="AI53" s="143"/>
      <c r="AJ53" s="103">
        <f t="shared" si="14"/>
        <v>0</v>
      </c>
      <c r="AK53" s="134">
        <v>12296</v>
      </c>
      <c r="AL53" s="134">
        <v>559.88</v>
      </c>
      <c r="AM53" s="136"/>
      <c r="AN53" s="105">
        <f t="shared" si="15"/>
        <v>0</v>
      </c>
      <c r="AO53" s="145">
        <v>771.33</v>
      </c>
      <c r="AP53" s="143"/>
      <c r="AQ53" s="143"/>
      <c r="AR53" s="146"/>
      <c r="AS53" s="621">
        <f t="shared" si="16"/>
        <v>0</v>
      </c>
      <c r="AT53" s="1553">
        <v>4717</v>
      </c>
      <c r="AU53" s="1626">
        <v>1600</v>
      </c>
      <c r="AV53" s="1546"/>
      <c r="AW53" s="1546"/>
      <c r="AX53" s="1548"/>
      <c r="AY53" s="1554">
        <v>1224.3</v>
      </c>
      <c r="AZ53" s="1548"/>
      <c r="BA53" s="1548"/>
      <c r="BB53" s="1548"/>
      <c r="BC53" s="1546"/>
      <c r="BD53" s="222">
        <f t="shared" si="17"/>
        <v>0</v>
      </c>
      <c r="BE53" s="456">
        <f t="shared" si="18"/>
        <v>0</v>
      </c>
      <c r="BF53" s="132"/>
      <c r="BG53" s="140">
        <f t="shared" si="19"/>
        <v>0</v>
      </c>
      <c r="BH53" s="126"/>
      <c r="BI53" s="126"/>
      <c r="BJ53" s="126"/>
      <c r="BK53" s="126"/>
      <c r="BL53" s="126"/>
      <c r="BM53" s="126"/>
      <c r="BN53" s="126"/>
      <c r="BO53" s="126"/>
      <c r="BP53" s="126"/>
      <c r="BQ53" s="126"/>
      <c r="BR53" s="227"/>
      <c r="BS53" s="126">
        <v>100</v>
      </c>
      <c r="BT53" s="126"/>
      <c r="BU53" s="130">
        <f t="shared" si="20"/>
        <v>0</v>
      </c>
      <c r="BV53" s="132"/>
    </row>
    <row r="54" ht="14.25" customHeight="1">
      <c r="A54" s="132"/>
      <c r="B54" s="618">
        <v>46067</v>
      </c>
      <c r="C54" s="133">
        <f>19969.05-D54-0</f>
      </c>
      <c r="D54" s="134">
        <v>1303.8</v>
      </c>
      <c r="E54" s="135"/>
      <c r="F54" s="135"/>
      <c r="G54" s="147">
        <f t="shared" si="12"/>
        <v>0</v>
      </c>
      <c r="H54" s="1070">
        <v>666.71</v>
      </c>
      <c r="I54" s="1070">
        <v>1450.06</v>
      </c>
      <c r="J54" s="611"/>
      <c r="K54" s="611"/>
      <c r="L54" s="456"/>
      <c r="M54" s="611"/>
      <c r="N54" s="143"/>
      <c r="O54" s="143"/>
      <c r="P54" s="143"/>
      <c r="Q54" s="143"/>
      <c r="R54" s="143"/>
      <c r="S54" s="143"/>
      <c r="T54" s="143"/>
      <c r="U54" s="143"/>
      <c r="V54" s="143"/>
      <c r="W54" s="103">
        <f t="shared" si="13"/>
        <v>0</v>
      </c>
      <c r="X54" s="611"/>
      <c r="Y54" s="611"/>
      <c r="Z54" s="611"/>
      <c r="AA54" s="611"/>
      <c r="AB54" s="611"/>
      <c r="AC54" s="143"/>
      <c r="AD54" s="143"/>
      <c r="AE54" s="143"/>
      <c r="AF54" s="143"/>
      <c r="AG54" s="143"/>
      <c r="AH54" s="143"/>
      <c r="AI54" s="143"/>
      <c r="AJ54" s="103">
        <f t="shared" si="14"/>
        <v>0</v>
      </c>
      <c r="AK54" s="134">
        <v>3326.15</v>
      </c>
      <c r="AL54" s="134">
        <v>257.3</v>
      </c>
      <c r="AM54" s="136"/>
      <c r="AN54" s="105">
        <f t="shared" si="15"/>
        <v>0</v>
      </c>
      <c r="AO54" s="145">
        <v>280.68</v>
      </c>
      <c r="AP54" s="143"/>
      <c r="AQ54" s="143"/>
      <c r="AR54" s="146"/>
      <c r="AS54" s="621">
        <f t="shared" si="16"/>
        <v>0</v>
      </c>
      <c r="AT54" s="1553">
        <v>12247.6</v>
      </c>
      <c r="AU54" s="1626">
        <v>694.5</v>
      </c>
      <c r="AV54" s="1546"/>
      <c r="AW54" s="1546"/>
      <c r="AX54" s="1548"/>
      <c r="AY54" s="1554">
        <v>1046.5</v>
      </c>
      <c r="AZ54" s="1548"/>
      <c r="BA54" s="1548"/>
      <c r="BB54" s="1548"/>
      <c r="BC54" s="1546"/>
      <c r="BD54" s="222">
        <f t="shared" si="17"/>
        <v>0</v>
      </c>
      <c r="BE54" s="456">
        <f t="shared" si="18"/>
        <v>0</v>
      </c>
      <c r="BF54" s="132"/>
      <c r="BG54" s="140">
        <f t="shared" si="19"/>
        <v>0</v>
      </c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  <c r="BU54" s="130">
        <f t="shared" si="20"/>
        <v>0</v>
      </c>
      <c r="BV54" s="132"/>
    </row>
    <row r="55" ht="14.25" customHeight="1">
      <c r="A55" s="132"/>
      <c r="B55" s="618">
        <v>46068</v>
      </c>
      <c r="C55" s="133">
        <f>14749.56-D55-0</f>
      </c>
      <c r="D55" s="134">
        <v>1886.68</v>
      </c>
      <c r="E55" s="135"/>
      <c r="F55" s="135"/>
      <c r="G55" s="147">
        <f t="shared" si="12"/>
        <v>0</v>
      </c>
      <c r="H55" s="1070">
        <v>656.28</v>
      </c>
      <c r="I55" s="801">
        <v>1298.49</v>
      </c>
      <c r="J55" s="611"/>
      <c r="K55" s="611"/>
      <c r="L55" s="456"/>
      <c r="M55" s="611"/>
      <c r="N55" s="143"/>
      <c r="O55" s="143"/>
      <c r="P55" s="143"/>
      <c r="Q55" s="143"/>
      <c r="R55" s="143"/>
      <c r="S55" s="143"/>
      <c r="T55" s="145">
        <v>1353.47</v>
      </c>
      <c r="U55" s="143"/>
      <c r="V55" s="143"/>
      <c r="W55" s="103">
        <f t="shared" si="13"/>
        <v>0</v>
      </c>
      <c r="X55" s="611"/>
      <c r="Y55" s="611"/>
      <c r="Z55" s="611"/>
      <c r="AA55" s="611"/>
      <c r="AB55" s="611"/>
      <c r="AC55" s="143"/>
      <c r="AD55" s="143"/>
      <c r="AE55" s="143"/>
      <c r="AF55" s="143"/>
      <c r="AG55" s="143"/>
      <c r="AH55" s="143"/>
      <c r="AI55" s="143"/>
      <c r="AJ55" s="103">
        <f t="shared" si="14"/>
        <v>0</v>
      </c>
      <c r="AK55" s="134">
        <v>2172.61</v>
      </c>
      <c r="AL55" s="134">
        <v>658.82</v>
      </c>
      <c r="AM55" s="136"/>
      <c r="AN55" s="105">
        <f t="shared" si="15"/>
        <v>0</v>
      </c>
      <c r="AO55" s="145">
        <v>451.62</v>
      </c>
      <c r="AP55" s="143"/>
      <c r="AQ55" s="143"/>
      <c r="AR55" s="146"/>
      <c r="AS55" s="621">
        <f t="shared" si="16"/>
        <v>0</v>
      </c>
      <c r="AT55" s="1553">
        <v>4723.1</v>
      </c>
      <c r="AU55" s="1626">
        <v>2207.98</v>
      </c>
      <c r="AV55" s="1546"/>
      <c r="AW55" s="1546"/>
      <c r="AX55" s="1548"/>
      <c r="AY55" s="1554">
        <v>1227.8</v>
      </c>
      <c r="AZ55" s="1548"/>
      <c r="BA55" s="1548"/>
      <c r="BB55" s="1548"/>
      <c r="BC55" s="1546"/>
      <c r="BD55" s="222">
        <f t="shared" si="17"/>
        <v>0</v>
      </c>
      <c r="BE55" s="456">
        <f t="shared" si="18"/>
        <v>0</v>
      </c>
      <c r="BF55" s="132"/>
      <c r="BG55" s="140">
        <f t="shared" si="19"/>
        <v>0</v>
      </c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225"/>
      <c r="BS55" s="126"/>
      <c r="BT55" s="126"/>
      <c r="BU55" s="130">
        <f t="shared" si="20"/>
        <v>0</v>
      </c>
      <c r="BV55" s="132"/>
    </row>
    <row r="56" ht="14.25" customHeight="1">
      <c r="A56" s="132"/>
      <c r="B56" s="618">
        <v>46069</v>
      </c>
      <c r="C56" s="133">
        <f>18314.88-D56-0</f>
      </c>
      <c r="D56" s="134">
        <v>1163.26</v>
      </c>
      <c r="E56" s="135"/>
      <c r="F56" s="135"/>
      <c r="G56" s="147">
        <f t="shared" si="12"/>
        <v>0</v>
      </c>
      <c r="H56" s="1070">
        <v>232.65</v>
      </c>
      <c r="I56" s="611">
        <v>1860.04</v>
      </c>
      <c r="J56" s="611"/>
      <c r="K56" s="611"/>
      <c r="L56" s="456"/>
      <c r="M56" s="611"/>
      <c r="N56" s="143"/>
      <c r="O56" s="143"/>
      <c r="P56" s="143"/>
      <c r="Q56" s="143"/>
      <c r="R56" s="143"/>
      <c r="S56" s="143"/>
      <c r="T56" s="143"/>
      <c r="U56" s="143"/>
      <c r="V56" s="143"/>
      <c r="W56" s="103">
        <f t="shared" si="13"/>
        <v>0</v>
      </c>
      <c r="X56" s="611"/>
      <c r="Y56" s="611"/>
      <c r="Z56" s="611"/>
      <c r="AA56" s="611"/>
      <c r="AB56" s="611"/>
      <c r="AC56" s="143"/>
      <c r="AD56" s="143"/>
      <c r="AE56" s="143"/>
      <c r="AF56" s="143"/>
      <c r="AG56" s="143"/>
      <c r="AH56" s="143"/>
      <c r="AI56" s="143"/>
      <c r="AJ56" s="103">
        <f t="shared" si="14"/>
        <v>0</v>
      </c>
      <c r="AK56" s="134">
        <v>5243.84</v>
      </c>
      <c r="AL56" s="134">
        <v>375.51</v>
      </c>
      <c r="AM56" s="136"/>
      <c r="AN56" s="105">
        <f t="shared" si="15"/>
        <v>0</v>
      </c>
      <c r="AO56" s="145">
        <v>309.91</v>
      </c>
      <c r="AP56" s="143"/>
      <c r="AQ56" s="143"/>
      <c r="AR56" s="146"/>
      <c r="AS56" s="621">
        <f t="shared" si="16"/>
        <v>0</v>
      </c>
      <c r="AT56" s="1553">
        <v>8114</v>
      </c>
      <c r="AU56" s="1626">
        <v>1291.71</v>
      </c>
      <c r="AV56" s="1546"/>
      <c r="AW56" s="1546"/>
      <c r="AX56" s="1548"/>
      <c r="AY56" s="1554">
        <v>787.7</v>
      </c>
      <c r="AZ56" s="1548"/>
      <c r="BA56" s="1548"/>
      <c r="BB56" s="1548"/>
      <c r="BC56" s="1546"/>
      <c r="BD56" s="222">
        <f t="shared" si="17"/>
        <v>0</v>
      </c>
      <c r="BE56" s="456">
        <f t="shared" si="18"/>
        <v>0</v>
      </c>
      <c r="BF56" s="132"/>
      <c r="BG56" s="140">
        <f t="shared" si="19"/>
        <v>0</v>
      </c>
      <c r="BH56" s="126"/>
      <c r="BI56" s="126"/>
      <c r="BJ56" s="126"/>
      <c r="BK56" s="126"/>
      <c r="BL56" s="126"/>
      <c r="BM56" s="126"/>
      <c r="BN56" s="126"/>
      <c r="BO56" s="126"/>
      <c r="BP56" s="126"/>
      <c r="BQ56" s="126"/>
      <c r="BR56" s="229"/>
      <c r="BS56" s="126">
        <v>100</v>
      </c>
      <c r="BT56" s="126"/>
      <c r="BU56" s="130">
        <f t="shared" si="20"/>
        <v>0</v>
      </c>
      <c r="BV56" s="132"/>
    </row>
    <row r="57" ht="14.25" customHeight="1">
      <c r="A57" s="132"/>
      <c r="B57" s="618">
        <v>46070</v>
      </c>
      <c r="C57" s="133">
        <f>14504.79-D57-0</f>
      </c>
      <c r="D57" s="134">
        <v>988.11</v>
      </c>
      <c r="E57" s="135"/>
      <c r="F57" s="135"/>
      <c r="G57" s="147">
        <f t="shared" si="12"/>
        <v>0</v>
      </c>
      <c r="H57" s="1070">
        <v>653.98</v>
      </c>
      <c r="I57" s="801">
        <v>4280</v>
      </c>
      <c r="J57" s="611"/>
      <c r="K57" s="611"/>
      <c r="L57" s="456"/>
      <c r="M57" s="611"/>
      <c r="N57" s="143"/>
      <c r="O57" s="143"/>
      <c r="P57" s="143"/>
      <c r="Q57" s="143"/>
      <c r="R57" s="143"/>
      <c r="S57" s="143"/>
      <c r="T57" s="143"/>
      <c r="U57" s="143"/>
      <c r="V57" s="143"/>
      <c r="W57" s="103">
        <f t="shared" si="13"/>
        <v>0</v>
      </c>
      <c r="X57" s="611"/>
      <c r="Y57" s="611"/>
      <c r="Z57" s="611"/>
      <c r="AA57" s="611"/>
      <c r="AB57" s="611"/>
      <c r="AC57" s="143"/>
      <c r="AD57" s="143"/>
      <c r="AE57" s="143"/>
      <c r="AF57" s="143"/>
      <c r="AG57" s="143"/>
      <c r="AH57" s="143"/>
      <c r="AI57" s="143"/>
      <c r="AJ57" s="103">
        <f t="shared" si="14"/>
        <v>0</v>
      </c>
      <c r="AK57" s="134">
        <v>4035.77</v>
      </c>
      <c r="AL57" s="134">
        <v>183.24</v>
      </c>
      <c r="AM57" s="136"/>
      <c r="AN57" s="105">
        <f t="shared" si="15"/>
        <v>0</v>
      </c>
      <c r="AO57" s="145">
        <v>302.35</v>
      </c>
      <c r="AP57" s="143"/>
      <c r="AQ57" s="143"/>
      <c r="AR57" s="146"/>
      <c r="AS57" s="621">
        <f t="shared" si="16"/>
        <v>0</v>
      </c>
      <c r="AT57" s="1553">
        <v>4245</v>
      </c>
      <c r="AU57" s="1546"/>
      <c r="AV57" s="1546"/>
      <c r="AW57" s="1546"/>
      <c r="AX57" s="1548"/>
      <c r="AY57" s="1554">
        <v>804.8</v>
      </c>
      <c r="AZ57" s="1548"/>
      <c r="BA57" s="1548"/>
      <c r="BB57" s="1548"/>
      <c r="BC57" s="1546"/>
      <c r="BD57" s="222">
        <f t="shared" si="17"/>
        <v>0</v>
      </c>
      <c r="BE57" s="456">
        <f t="shared" si="18"/>
        <v>0</v>
      </c>
      <c r="BF57" s="132"/>
      <c r="BG57" s="140">
        <f t="shared" si="19"/>
        <v>0</v>
      </c>
      <c r="BH57" s="126"/>
      <c r="BI57" s="126"/>
      <c r="BJ57" s="126"/>
      <c r="BK57" s="126"/>
      <c r="BL57" s="126"/>
      <c r="BM57" s="126"/>
      <c r="BN57" s="126"/>
      <c r="BO57" s="126"/>
      <c r="BP57" s="126"/>
      <c r="BQ57" s="126"/>
      <c r="BR57" s="126"/>
      <c r="BS57" s="126"/>
      <c r="BT57" s="126"/>
      <c r="BU57" s="130">
        <f t="shared" si="20"/>
        <v>0</v>
      </c>
      <c r="BV57" s="132"/>
    </row>
    <row r="58" ht="14.25" customHeight="1">
      <c r="A58" s="132"/>
      <c r="B58" s="618">
        <v>46071</v>
      </c>
      <c r="C58" s="133">
        <f>17257.36-D58-0</f>
      </c>
      <c r="D58" s="134">
        <v>716.47</v>
      </c>
      <c r="E58" s="135"/>
      <c r="F58" s="135"/>
      <c r="G58" s="147">
        <f t="shared" si="12"/>
        <v>0</v>
      </c>
      <c r="H58" s="1070">
        <v>649.59</v>
      </c>
      <c r="I58" s="801">
        <v>1340.69</v>
      </c>
      <c r="J58" s="611"/>
      <c r="K58" s="611"/>
      <c r="L58" s="456"/>
      <c r="M58" s="611"/>
      <c r="N58" s="143"/>
      <c r="O58" s="143"/>
      <c r="P58" s="143"/>
      <c r="Q58" s="143"/>
      <c r="R58" s="143"/>
      <c r="S58" s="143"/>
      <c r="T58" s="143"/>
      <c r="U58" s="143"/>
      <c r="V58" s="143"/>
      <c r="W58" s="103">
        <f t="shared" si="13"/>
        <v>0</v>
      </c>
      <c r="X58" s="611"/>
      <c r="Y58" s="611"/>
      <c r="Z58" s="611"/>
      <c r="AA58" s="611"/>
      <c r="AB58" s="611"/>
      <c r="AC58" s="143"/>
      <c r="AD58" s="143"/>
      <c r="AE58" s="143"/>
      <c r="AF58" s="143"/>
      <c r="AG58" s="143"/>
      <c r="AH58" s="143"/>
      <c r="AI58" s="143"/>
      <c r="AJ58" s="103">
        <f t="shared" si="14"/>
        <v>0</v>
      </c>
      <c r="AK58" s="134">
        <v>8524.85</v>
      </c>
      <c r="AL58" s="134">
        <v>120.1</v>
      </c>
      <c r="AM58" s="136"/>
      <c r="AN58" s="105">
        <f t="shared" si="15"/>
        <v>0</v>
      </c>
      <c r="AO58" s="145">
        <v>590.57</v>
      </c>
      <c r="AP58" s="143"/>
      <c r="AQ58" s="143"/>
      <c r="AR58" s="146"/>
      <c r="AS58" s="621">
        <f t="shared" si="16"/>
        <v>0</v>
      </c>
      <c r="AT58" s="1553">
        <v>4201.6</v>
      </c>
      <c r="AU58" s="1626">
        <v>1134.14</v>
      </c>
      <c r="AV58" s="1546"/>
      <c r="AW58" s="1546"/>
      <c r="AX58" s="1548"/>
      <c r="AY58" s="1554">
        <v>596.3</v>
      </c>
      <c r="AZ58" s="1548"/>
      <c r="BA58" s="1548"/>
      <c r="BB58" s="1548"/>
      <c r="BC58" s="1546"/>
      <c r="BD58" s="222">
        <f t="shared" si="17"/>
        <v>0</v>
      </c>
      <c r="BE58" s="456">
        <f t="shared" si="18"/>
        <v>0</v>
      </c>
      <c r="BF58" s="132"/>
      <c r="BG58" s="140">
        <f t="shared" si="19"/>
        <v>0</v>
      </c>
      <c r="BH58" s="126"/>
      <c r="BI58" s="126"/>
      <c r="BJ58" s="126"/>
      <c r="BK58" s="126"/>
      <c r="BL58" s="126"/>
      <c r="BM58" s="126"/>
      <c r="BN58" s="126"/>
      <c r="BO58" s="126"/>
      <c r="BP58" s="126"/>
      <c r="BQ58" s="126"/>
      <c r="BR58" s="227"/>
      <c r="BS58" s="126">
        <v>100</v>
      </c>
      <c r="BT58" s="126"/>
      <c r="BU58" s="130">
        <f t="shared" si="20"/>
        <v>0</v>
      </c>
      <c r="BV58" s="132"/>
    </row>
    <row r="59" ht="14.25" customHeight="1">
      <c r="A59" s="132"/>
      <c r="B59" s="618">
        <v>46072</v>
      </c>
      <c r="C59" s="133">
        <f>12363.44-D59-0</f>
      </c>
      <c r="D59" s="134">
        <v>1267.08</v>
      </c>
      <c r="E59" s="135"/>
      <c r="F59" s="135"/>
      <c r="G59" s="147">
        <f t="shared" si="12"/>
        <v>0</v>
      </c>
      <c r="H59" s="1070">
        <v>231.34</v>
      </c>
      <c r="I59" s="801">
        <v>2321.86</v>
      </c>
      <c r="J59" s="611"/>
      <c r="K59" s="611"/>
      <c r="L59" s="456"/>
      <c r="M59" s="611"/>
      <c r="N59" s="143"/>
      <c r="O59" s="143"/>
      <c r="P59" s="143"/>
      <c r="Q59" s="143"/>
      <c r="R59" s="143"/>
      <c r="S59" s="143"/>
      <c r="T59" s="143"/>
      <c r="U59" s="143"/>
      <c r="V59" s="143"/>
      <c r="W59" s="103">
        <f t="shared" si="13"/>
        <v>0</v>
      </c>
      <c r="X59" s="611"/>
      <c r="Y59" s="611"/>
      <c r="Z59" s="611"/>
      <c r="AA59" s="611"/>
      <c r="AB59" s="611"/>
      <c r="AC59" s="143"/>
      <c r="AD59" s="143"/>
      <c r="AE59" s="143"/>
      <c r="AF59" s="143"/>
      <c r="AG59" s="143"/>
      <c r="AH59" s="143"/>
      <c r="AI59" s="143"/>
      <c r="AJ59" s="103">
        <f t="shared" si="14"/>
        <v>0</v>
      </c>
      <c r="AK59" s="134">
        <v>2541.11</v>
      </c>
      <c r="AL59" s="134">
        <v>318.67</v>
      </c>
      <c r="AM59" s="136"/>
      <c r="AN59" s="105">
        <f t="shared" si="15"/>
        <v>0</v>
      </c>
      <c r="AO59" s="1071">
        <v>157.17</v>
      </c>
      <c r="AP59" s="143"/>
      <c r="AQ59" s="143"/>
      <c r="AR59" s="146"/>
      <c r="AS59" s="621">
        <f t="shared" si="16"/>
        <v>0</v>
      </c>
      <c r="AT59" s="1553">
        <v>4212</v>
      </c>
      <c r="AU59" s="1626">
        <v>1634.09</v>
      </c>
      <c r="AV59" s="1546"/>
      <c r="AW59" s="1546"/>
      <c r="AX59" s="1548"/>
      <c r="AY59" s="1554">
        <v>948.4</v>
      </c>
      <c r="AZ59" s="1548"/>
      <c r="BA59" s="1548"/>
      <c r="BB59" s="1548"/>
      <c r="BC59" s="1546"/>
      <c r="BD59" s="222">
        <f t="shared" si="17"/>
        <v>0</v>
      </c>
      <c r="BE59" s="456">
        <f t="shared" si="18"/>
        <v>0</v>
      </c>
      <c r="BF59" s="132"/>
      <c r="BG59" s="140">
        <f t="shared" si="19"/>
        <v>0</v>
      </c>
      <c r="BH59" s="126"/>
      <c r="BI59" s="126"/>
      <c r="BJ59" s="126"/>
      <c r="BK59" s="126"/>
      <c r="BL59" s="126"/>
      <c r="BM59" s="126"/>
      <c r="BN59" s="126"/>
      <c r="BO59" s="126"/>
      <c r="BP59" s="126"/>
      <c r="BQ59" s="126"/>
      <c r="BR59" s="126"/>
      <c r="BS59" s="126"/>
      <c r="BT59" s="126"/>
      <c r="BU59" s="130">
        <f t="shared" si="20"/>
        <v>0</v>
      </c>
      <c r="BV59" s="132"/>
    </row>
    <row r="60" ht="14.25" customHeight="1">
      <c r="A60" s="132"/>
      <c r="B60" s="618">
        <v>46073</v>
      </c>
      <c r="C60" s="133">
        <f>12770.86-D60-0</f>
      </c>
      <c r="D60" s="134">
        <v>1242.02</v>
      </c>
      <c r="E60" s="135"/>
      <c r="F60" s="135"/>
      <c r="G60" s="147">
        <f t="shared" si="12"/>
        <v>0</v>
      </c>
      <c r="H60" s="801">
        <v>431.51</v>
      </c>
      <c r="I60" s="801">
        <v>1940.01</v>
      </c>
      <c r="J60" s="611"/>
      <c r="K60" s="611"/>
      <c r="L60" s="456"/>
      <c r="M60" s="611"/>
      <c r="N60" s="143"/>
      <c r="O60" s="143"/>
      <c r="P60" s="143"/>
      <c r="Q60" s="143"/>
      <c r="R60" s="143"/>
      <c r="S60" s="143"/>
      <c r="T60" s="143"/>
      <c r="U60" s="143"/>
      <c r="V60" s="143"/>
      <c r="W60" s="103">
        <f t="shared" si="13"/>
        <v>0</v>
      </c>
      <c r="X60" s="611"/>
      <c r="Y60" s="611"/>
      <c r="Z60" s="611"/>
      <c r="AA60" s="611"/>
      <c r="AB60" s="611"/>
      <c r="AC60" s="143"/>
      <c r="AD60" s="143"/>
      <c r="AE60" s="143"/>
      <c r="AF60" s="143"/>
      <c r="AG60" s="143"/>
      <c r="AH60" s="143"/>
      <c r="AI60" s="143"/>
      <c r="AJ60" s="103">
        <f t="shared" si="14"/>
        <v>0</v>
      </c>
      <c r="AK60" s="134">
        <v>4733.72</v>
      </c>
      <c r="AL60" s="134">
        <v>498.84</v>
      </c>
      <c r="AM60" s="136"/>
      <c r="AN60" s="105">
        <f t="shared" si="15"/>
        <v>0</v>
      </c>
      <c r="AO60" s="145">
        <v>147.62</v>
      </c>
      <c r="AP60" s="143"/>
      <c r="AQ60" s="143"/>
      <c r="AR60" s="146"/>
      <c r="AS60" s="621">
        <f t="shared" si="16"/>
        <v>0</v>
      </c>
      <c r="AT60" s="1553">
        <v>3316.4</v>
      </c>
      <c r="AU60" s="1796">
        <v>860.23</v>
      </c>
      <c r="AV60" s="1546"/>
      <c r="AW60" s="1546"/>
      <c r="AX60" s="1548"/>
      <c r="AY60" s="1554">
        <v>743.1</v>
      </c>
      <c r="AZ60" s="1548"/>
      <c r="BA60" s="1548"/>
      <c r="BB60" s="1548"/>
      <c r="BC60" s="1546"/>
      <c r="BD60" s="222">
        <f t="shared" si="17"/>
        <v>0</v>
      </c>
      <c r="BE60" s="456">
        <f t="shared" si="18"/>
        <v>0</v>
      </c>
      <c r="BF60" s="132"/>
      <c r="BG60" s="140">
        <f t="shared" si="19"/>
        <v>0</v>
      </c>
      <c r="BH60" s="126"/>
      <c r="BI60" s="126"/>
      <c r="BJ60" s="126"/>
      <c r="BK60" s="126"/>
      <c r="BL60" s="126"/>
      <c r="BM60" s="126"/>
      <c r="BN60" s="126"/>
      <c r="BO60" s="126"/>
      <c r="BP60" s="126"/>
      <c r="BQ60" s="126"/>
      <c r="BR60" s="227"/>
      <c r="BS60" s="126">
        <v>100</v>
      </c>
      <c r="BT60" s="126"/>
      <c r="BU60" s="130">
        <f t="shared" si="20"/>
        <v>0</v>
      </c>
      <c r="BV60" s="132"/>
    </row>
    <row r="61" ht="14.25" customHeight="1">
      <c r="A61" s="132"/>
      <c r="B61" s="618">
        <v>46074</v>
      </c>
      <c r="C61" s="133">
        <f>14124.67-D61-0</f>
      </c>
      <c r="D61" s="134">
        <v>1333.75</v>
      </c>
      <c r="E61" s="135"/>
      <c r="F61" s="135"/>
      <c r="G61" s="147">
        <f t="shared" si="12"/>
        <v>0</v>
      </c>
      <c r="H61" s="768"/>
      <c r="I61" s="801">
        <v>2950.06</v>
      </c>
      <c r="J61" s="611"/>
      <c r="K61" s="611"/>
      <c r="L61" s="456"/>
      <c r="M61" s="611"/>
      <c r="N61" s="143"/>
      <c r="O61" s="143"/>
      <c r="P61" s="143"/>
      <c r="Q61" s="143"/>
      <c r="R61" s="143"/>
      <c r="S61" s="143"/>
      <c r="T61" s="143"/>
      <c r="U61" s="143"/>
      <c r="V61" s="143"/>
      <c r="W61" s="103">
        <f t="shared" si="13"/>
        <v>0</v>
      </c>
      <c r="X61" s="611"/>
      <c r="Y61" s="611"/>
      <c r="Z61" s="611"/>
      <c r="AA61" s="611"/>
      <c r="AB61" s="611"/>
      <c r="AC61" s="143"/>
      <c r="AD61" s="143"/>
      <c r="AE61" s="143"/>
      <c r="AF61" s="143"/>
      <c r="AG61" s="143"/>
      <c r="AH61" s="143"/>
      <c r="AI61" s="143"/>
      <c r="AJ61" s="103">
        <f t="shared" si="14"/>
        <v>0</v>
      </c>
      <c r="AK61" s="134">
        <v>3845.63</v>
      </c>
      <c r="AL61" s="134">
        <v>299.6</v>
      </c>
      <c r="AM61" s="136"/>
      <c r="AN61" s="105">
        <f t="shared" si="15"/>
        <v>0</v>
      </c>
      <c r="AO61" s="145">
        <v>192.64</v>
      </c>
      <c r="AP61" s="143"/>
      <c r="AQ61" s="143"/>
      <c r="AR61" s="146"/>
      <c r="AS61" s="621">
        <f t="shared" si="16"/>
        <v>0</v>
      </c>
      <c r="AT61" s="1553">
        <v>5803.2</v>
      </c>
      <c r="AU61" s="1546"/>
      <c r="AV61" s="1546"/>
      <c r="AW61" s="1546"/>
      <c r="AX61" s="1548"/>
      <c r="AY61" s="1554">
        <v>1034.1</v>
      </c>
      <c r="AZ61" s="1548"/>
      <c r="BA61" s="1548"/>
      <c r="BB61" s="1548"/>
      <c r="BC61" s="1546"/>
      <c r="BD61" s="222">
        <f t="shared" si="17"/>
        <v>0</v>
      </c>
      <c r="BE61" s="456">
        <f t="shared" si="18"/>
        <v>0</v>
      </c>
      <c r="BF61" s="132"/>
      <c r="BG61" s="140">
        <f t="shared" si="19"/>
        <v>0</v>
      </c>
      <c r="BH61" s="126"/>
      <c r="BI61" s="126"/>
      <c r="BJ61" s="126"/>
      <c r="BK61" s="126"/>
      <c r="BL61" s="126"/>
      <c r="BM61" s="126"/>
      <c r="BN61" s="126"/>
      <c r="BO61" s="126"/>
      <c r="BP61" s="126"/>
      <c r="BQ61" s="126"/>
      <c r="BR61" s="126"/>
      <c r="BS61" s="126"/>
      <c r="BT61" s="126"/>
      <c r="BU61" s="130">
        <f t="shared" si="20"/>
        <v>0</v>
      </c>
      <c r="BV61" s="132"/>
    </row>
    <row r="62" ht="14.25" customHeight="1">
      <c r="A62" s="132"/>
      <c r="B62" s="618">
        <v>46075</v>
      </c>
      <c r="C62" s="133">
        <f>12562.55-D62-0</f>
      </c>
      <c r="D62" s="134">
        <v>1489.22</v>
      </c>
      <c r="E62" s="135"/>
      <c r="F62" s="135"/>
      <c r="G62" s="147">
        <f t="shared" si="12"/>
        <v>0</v>
      </c>
      <c r="H62" s="1070">
        <v>231.52</v>
      </c>
      <c r="I62" s="801">
        <v>4785.13</v>
      </c>
      <c r="J62" s="611"/>
      <c r="K62" s="611"/>
      <c r="L62" s="456"/>
      <c r="M62" s="611"/>
      <c r="N62" s="143"/>
      <c r="O62" s="143"/>
      <c r="P62" s="143"/>
      <c r="Q62" s="143"/>
      <c r="R62" s="143"/>
      <c r="S62" s="143"/>
      <c r="T62" s="143"/>
      <c r="U62" s="143"/>
      <c r="V62" s="143"/>
      <c r="W62" s="103">
        <f t="shared" si="13"/>
        <v>0</v>
      </c>
      <c r="X62" s="611"/>
      <c r="Y62" s="611"/>
      <c r="Z62" s="611"/>
      <c r="AA62" s="611"/>
      <c r="AB62" s="611"/>
      <c r="AC62" s="143"/>
      <c r="AD62" s="143"/>
      <c r="AE62" s="143"/>
      <c r="AF62" s="143"/>
      <c r="AG62" s="143"/>
      <c r="AH62" s="143"/>
      <c r="AI62" s="143"/>
      <c r="AJ62" s="103">
        <f t="shared" si="14"/>
        <v>0</v>
      </c>
      <c r="AK62" s="134">
        <v>1848.01</v>
      </c>
      <c r="AL62" s="134">
        <v>223.45</v>
      </c>
      <c r="AM62" s="136"/>
      <c r="AN62" s="105">
        <f t="shared" si="15"/>
        <v>0</v>
      </c>
      <c r="AO62" s="145">
        <v>58.24</v>
      </c>
      <c r="AP62" s="143"/>
      <c r="AQ62" s="143"/>
      <c r="AR62" s="146"/>
      <c r="AS62" s="621">
        <f t="shared" si="16"/>
        <v>0</v>
      </c>
      <c r="AT62" s="1553">
        <v>4151.1</v>
      </c>
      <c r="AU62" s="1546"/>
      <c r="AV62" s="1546"/>
      <c r="AW62" s="1546"/>
      <c r="AX62" s="1548"/>
      <c r="AY62" s="1554">
        <v>1265.7</v>
      </c>
      <c r="AZ62" s="1548"/>
      <c r="BA62" s="1548"/>
      <c r="BB62" s="1548"/>
      <c r="BC62" s="1546"/>
      <c r="BD62" s="222">
        <f t="shared" si="17"/>
        <v>0</v>
      </c>
      <c r="BE62" s="456">
        <f t="shared" si="18"/>
        <v>0</v>
      </c>
      <c r="BF62" s="132"/>
      <c r="BG62" s="140">
        <f t="shared" si="19"/>
        <v>0</v>
      </c>
      <c r="BH62" s="126"/>
      <c r="BI62" s="126"/>
      <c r="BJ62" s="126"/>
      <c r="BK62" s="126"/>
      <c r="BL62" s="126"/>
      <c r="BM62" s="126"/>
      <c r="BN62" s="126"/>
      <c r="BO62" s="126"/>
      <c r="BP62" s="126"/>
      <c r="BQ62" s="126"/>
      <c r="BR62" s="225"/>
      <c r="BS62" s="126"/>
      <c r="BT62" s="126"/>
      <c r="BU62" s="130">
        <f t="shared" si="20"/>
        <v>0</v>
      </c>
      <c r="BV62" s="132"/>
    </row>
    <row r="63" ht="14.25" customHeight="1">
      <c r="A63" s="132"/>
      <c r="B63" s="618">
        <v>46076</v>
      </c>
      <c r="C63" s="133">
        <f>26878.98-D63-0</f>
      </c>
      <c r="D63" s="134">
        <v>1683.2</v>
      </c>
      <c r="E63" s="135"/>
      <c r="F63" s="135"/>
      <c r="G63" s="147">
        <f t="shared" si="12"/>
        <v>0</v>
      </c>
      <c r="H63" s="1070">
        <v>443.83</v>
      </c>
      <c r="I63" s="1070">
        <v>3064.12</v>
      </c>
      <c r="J63" s="611"/>
      <c r="K63" s="611"/>
      <c r="L63" s="456"/>
      <c r="M63" s="611"/>
      <c r="N63" s="143"/>
      <c r="O63" s="143"/>
      <c r="P63" s="143"/>
      <c r="Q63" s="143"/>
      <c r="R63" s="143"/>
      <c r="S63" s="143"/>
      <c r="T63" s="145">
        <v>555.6</v>
      </c>
      <c r="U63" s="143"/>
      <c r="V63" s="143"/>
      <c r="W63" s="103">
        <f t="shared" si="13"/>
        <v>0</v>
      </c>
      <c r="X63" s="611"/>
      <c r="Y63" s="611"/>
      <c r="Z63" s="611"/>
      <c r="AA63" s="611"/>
      <c r="AB63" s="611"/>
      <c r="AC63" s="143"/>
      <c r="AD63" s="143"/>
      <c r="AE63" s="143"/>
      <c r="AF63" s="143"/>
      <c r="AG63" s="143"/>
      <c r="AH63" s="143"/>
      <c r="AI63" s="143"/>
      <c r="AJ63" s="103">
        <f t="shared" si="14"/>
        <v>0</v>
      </c>
      <c r="AK63" s="134">
        <v>7676.53</v>
      </c>
      <c r="AL63" s="134">
        <v>595.04</v>
      </c>
      <c r="AM63" s="136"/>
      <c r="AN63" s="105">
        <f t="shared" si="15"/>
        <v>0</v>
      </c>
      <c r="AO63" s="145">
        <v>767.2</v>
      </c>
      <c r="AP63" s="143"/>
      <c r="AQ63" s="143"/>
      <c r="AR63" s="146"/>
      <c r="AS63" s="621">
        <f t="shared" si="16"/>
        <v>0</v>
      </c>
      <c r="AT63" s="1553">
        <v>11449.1</v>
      </c>
      <c r="AU63" s="1626">
        <v>1139.96</v>
      </c>
      <c r="AV63" s="1546"/>
      <c r="AW63" s="1546"/>
      <c r="AX63" s="1548"/>
      <c r="AY63" s="1554">
        <v>1088.1</v>
      </c>
      <c r="AZ63" s="1548"/>
      <c r="BA63" s="1548"/>
      <c r="BB63" s="1548"/>
      <c r="BC63" s="1546"/>
      <c r="BD63" s="222">
        <f t="shared" si="17"/>
        <v>0</v>
      </c>
      <c r="BE63" s="456">
        <f t="shared" si="18"/>
        <v>0</v>
      </c>
      <c r="BF63" s="132"/>
      <c r="BG63" s="140">
        <f t="shared" si="19"/>
        <v>0</v>
      </c>
      <c r="BH63" s="126"/>
      <c r="BI63" s="126"/>
      <c r="BJ63" s="126"/>
      <c r="BK63" s="126"/>
      <c r="BL63" s="126"/>
      <c r="BM63" s="126"/>
      <c r="BN63" s="126"/>
      <c r="BO63" s="126"/>
      <c r="BP63" s="126"/>
      <c r="BQ63" s="126"/>
      <c r="BR63" s="229"/>
      <c r="BS63" s="126">
        <v>100</v>
      </c>
      <c r="BT63" s="126"/>
      <c r="BU63" s="130">
        <f t="shared" si="20"/>
        <v>0</v>
      </c>
      <c r="BV63" s="132"/>
    </row>
    <row r="64" ht="14.25" customHeight="1">
      <c r="A64" s="132"/>
      <c r="B64" s="618">
        <v>46077</v>
      </c>
      <c r="C64" s="133">
        <f>16916.88-D64-0</f>
      </c>
      <c r="D64" s="134">
        <v>686.33</v>
      </c>
      <c r="E64" s="135"/>
      <c r="F64" s="135"/>
      <c r="G64" s="147">
        <f t="shared" si="12"/>
        <v>0</v>
      </c>
      <c r="H64" s="1070">
        <v>659.56</v>
      </c>
      <c r="I64" s="801">
        <v>1954.15</v>
      </c>
      <c r="J64" s="611"/>
      <c r="K64" s="611"/>
      <c r="L64" s="611"/>
      <c r="M64" s="611"/>
      <c r="N64" s="143"/>
      <c r="O64" s="143"/>
      <c r="P64" s="143"/>
      <c r="Q64" s="143"/>
      <c r="R64" s="143"/>
      <c r="S64" s="143"/>
      <c r="T64" s="145">
        <v>202.25</v>
      </c>
      <c r="U64" s="143"/>
      <c r="V64" s="143"/>
      <c r="W64" s="103">
        <f t="shared" si="13"/>
        <v>0</v>
      </c>
      <c r="X64" s="611"/>
      <c r="Y64" s="611"/>
      <c r="Z64" s="611"/>
      <c r="AA64" s="611"/>
      <c r="AB64" s="611"/>
      <c r="AC64" s="143"/>
      <c r="AD64" s="143"/>
      <c r="AE64" s="143"/>
      <c r="AF64" s="143"/>
      <c r="AG64" s="143"/>
      <c r="AH64" s="143"/>
      <c r="AI64" s="143"/>
      <c r="AJ64" s="103">
        <f t="shared" si="14"/>
        <v>0</v>
      </c>
      <c r="AK64" s="134">
        <v>3626.13</v>
      </c>
      <c r="AL64" s="134">
        <v>115</v>
      </c>
      <c r="AM64" s="136"/>
      <c r="AN64" s="105">
        <f t="shared" si="15"/>
        <v>0</v>
      </c>
      <c r="AO64" s="145">
        <v>366.43</v>
      </c>
      <c r="AP64" s="143"/>
      <c r="AQ64" s="143"/>
      <c r="AR64" s="146"/>
      <c r="AS64" s="621">
        <f t="shared" si="16"/>
        <v>0</v>
      </c>
      <c r="AT64" s="1553">
        <v>7644.4</v>
      </c>
      <c r="AU64" s="1626">
        <v>1778.35</v>
      </c>
      <c r="AV64" s="1546"/>
      <c r="AW64" s="1546"/>
      <c r="AX64" s="1548"/>
      <c r="AY64" s="1554">
        <v>571.3</v>
      </c>
      <c r="AZ64" s="1548"/>
      <c r="BA64" s="1548"/>
      <c r="BB64" s="1548"/>
      <c r="BC64" s="1546"/>
      <c r="BD64" s="222">
        <f t="shared" si="17"/>
        <v>0</v>
      </c>
      <c r="BE64" s="456">
        <f t="shared" si="18"/>
        <v>0</v>
      </c>
      <c r="BF64" s="132"/>
      <c r="BG64" s="140">
        <f t="shared" si="19"/>
        <v>0</v>
      </c>
      <c r="BH64" s="126"/>
      <c r="BI64" s="126"/>
      <c r="BJ64" s="126"/>
      <c r="BK64" s="126"/>
      <c r="BL64" s="126"/>
      <c r="BM64" s="126"/>
      <c r="BN64" s="126"/>
      <c r="BO64" s="126"/>
      <c r="BP64" s="126"/>
      <c r="BQ64" s="126"/>
      <c r="BR64" s="126"/>
      <c r="BS64" s="126"/>
      <c r="BT64" s="126"/>
      <c r="BU64" s="130">
        <f t="shared" si="20"/>
        <v>0</v>
      </c>
      <c r="BV64" s="132"/>
    </row>
    <row r="65" ht="14.25" customHeight="1">
      <c r="A65" s="132"/>
      <c r="B65" s="618">
        <v>46078</v>
      </c>
      <c r="C65" s="133">
        <f>14981.28-D65-0</f>
      </c>
      <c r="D65" s="200">
        <v>1468.21</v>
      </c>
      <c r="E65" s="135"/>
      <c r="F65" s="135"/>
      <c r="G65" s="147">
        <f t="shared" si="12"/>
        <v>0</v>
      </c>
      <c r="H65" s="1070">
        <v>689.73</v>
      </c>
      <c r="I65" s="801">
        <v>3304.28</v>
      </c>
      <c r="J65" s="611"/>
      <c r="K65" s="611"/>
      <c r="L65" s="611"/>
      <c r="M65" s="611"/>
      <c r="N65" s="143"/>
      <c r="O65" s="143"/>
      <c r="P65" s="143"/>
      <c r="Q65" s="143"/>
      <c r="R65" s="143"/>
      <c r="S65" s="143"/>
      <c r="T65" s="143"/>
      <c r="U65" s="143"/>
      <c r="V65" s="143"/>
      <c r="W65" s="103">
        <f t="shared" si="13"/>
        <v>0</v>
      </c>
      <c r="X65" s="611"/>
      <c r="Y65" s="611"/>
      <c r="Z65" s="611"/>
      <c r="AA65" s="611"/>
      <c r="AB65" s="611"/>
      <c r="AC65" s="143"/>
      <c r="AD65" s="143"/>
      <c r="AE65" s="143"/>
      <c r="AF65" s="143"/>
      <c r="AG65" s="143"/>
      <c r="AH65" s="143"/>
      <c r="AI65" s="143"/>
      <c r="AJ65" s="103">
        <f t="shared" si="14"/>
        <v>0</v>
      </c>
      <c r="AK65" s="134">
        <v>3254.18</v>
      </c>
      <c r="AL65" s="134">
        <v>341.91</v>
      </c>
      <c r="AM65" s="136"/>
      <c r="AN65" s="105">
        <f t="shared" si="15"/>
        <v>0</v>
      </c>
      <c r="AO65" s="145">
        <v>162.82</v>
      </c>
      <c r="AP65" s="143"/>
      <c r="AQ65" s="143"/>
      <c r="AR65" s="146"/>
      <c r="AS65" s="621">
        <f t="shared" si="16"/>
        <v>0</v>
      </c>
      <c r="AT65" s="1553">
        <v>5408.7</v>
      </c>
      <c r="AU65" s="1626">
        <v>593.5</v>
      </c>
      <c r="AV65" s="1546"/>
      <c r="AW65" s="1546"/>
      <c r="AX65" s="1548"/>
      <c r="AY65" s="1554">
        <v>1126.2</v>
      </c>
      <c r="AZ65" s="1548"/>
      <c r="BA65" s="1548"/>
      <c r="BB65" s="1548"/>
      <c r="BC65" s="1546"/>
      <c r="BD65" s="222">
        <f t="shared" si="17"/>
        <v>0</v>
      </c>
      <c r="BE65" s="456">
        <f t="shared" si="18"/>
        <v>0</v>
      </c>
      <c r="BF65" s="132"/>
      <c r="BG65" s="140">
        <f t="shared" si="19"/>
        <v>0</v>
      </c>
      <c r="BH65" s="126"/>
      <c r="BI65" s="126"/>
      <c r="BJ65" s="126"/>
      <c r="BK65" s="126"/>
      <c r="BL65" s="126"/>
      <c r="BM65" s="126"/>
      <c r="BN65" s="126"/>
      <c r="BO65" s="126"/>
      <c r="BP65" s="126"/>
      <c r="BQ65" s="126"/>
      <c r="BR65" s="227"/>
      <c r="BS65" s="126">
        <v>100</v>
      </c>
      <c r="BT65" s="126"/>
      <c r="BU65" s="130">
        <f t="shared" si="20"/>
        <v>0</v>
      </c>
      <c r="BV65" s="132"/>
    </row>
    <row r="66" ht="14.25" customHeight="1">
      <c r="A66" s="132"/>
      <c r="B66" s="618">
        <v>46079</v>
      </c>
      <c r="C66" s="133">
        <f>18905.75-D66-0</f>
      </c>
      <c r="D66" s="134">
        <v>1354.29</v>
      </c>
      <c r="E66" s="135"/>
      <c r="F66" s="135"/>
      <c r="G66" s="147">
        <f t="shared" si="12"/>
        <v>0</v>
      </c>
      <c r="H66" s="768"/>
      <c r="I66" s="801">
        <v>2830.09</v>
      </c>
      <c r="J66" s="611"/>
      <c r="K66" s="611"/>
      <c r="L66" s="611"/>
      <c r="M66" s="611"/>
      <c r="N66" s="143"/>
      <c r="O66" s="143"/>
      <c r="P66" s="143"/>
      <c r="Q66" s="143"/>
      <c r="R66" s="143"/>
      <c r="S66" s="143"/>
      <c r="T66" s="143"/>
      <c r="U66" s="143"/>
      <c r="V66" s="143"/>
      <c r="W66" s="103">
        <f t="shared" si="13"/>
        <v>0</v>
      </c>
      <c r="X66" s="611"/>
      <c r="Y66" s="611"/>
      <c r="Z66" s="611"/>
      <c r="AA66" s="611"/>
      <c r="AB66" s="611"/>
      <c r="AC66" s="143"/>
      <c r="AD66" s="143"/>
      <c r="AE66" s="143"/>
      <c r="AF66" s="143"/>
      <c r="AG66" s="143"/>
      <c r="AH66" s="143"/>
      <c r="AI66" s="143"/>
      <c r="AJ66" s="103">
        <f t="shared" si="14"/>
        <v>0</v>
      </c>
      <c r="AK66" s="134">
        <v>8762.69</v>
      </c>
      <c r="AL66" s="134">
        <v>305.13</v>
      </c>
      <c r="AM66" s="136"/>
      <c r="AN66" s="105">
        <f t="shared" si="15"/>
        <v>0</v>
      </c>
      <c r="AO66" s="145">
        <v>504.28</v>
      </c>
      <c r="AP66" s="143"/>
      <c r="AQ66" s="143"/>
      <c r="AR66" s="146"/>
      <c r="AS66" s="621">
        <f t="shared" si="16"/>
        <v>0</v>
      </c>
      <c r="AT66" s="1553">
        <v>3225.8</v>
      </c>
      <c r="AU66" s="1626">
        <v>2229.16</v>
      </c>
      <c r="AV66" s="1546"/>
      <c r="AW66" s="1546"/>
      <c r="AX66" s="1548"/>
      <c r="AY66" s="1554">
        <v>1049.1</v>
      </c>
      <c r="AZ66" s="1548"/>
      <c r="BA66" s="1548"/>
      <c r="BB66" s="1548"/>
      <c r="BC66" s="1546"/>
      <c r="BD66" s="222">
        <f t="shared" si="17"/>
        <v>0</v>
      </c>
      <c r="BE66" s="456">
        <f t="shared" si="18"/>
        <v>0</v>
      </c>
      <c r="BF66" s="132"/>
      <c r="BG66" s="140">
        <f t="shared" si="19"/>
        <v>0</v>
      </c>
      <c r="BH66" s="126"/>
      <c r="BI66" s="126"/>
      <c r="BJ66" s="126"/>
      <c r="BK66" s="126"/>
      <c r="BL66" s="126"/>
      <c r="BM66" s="126"/>
      <c r="BN66" s="126"/>
      <c r="BO66" s="126"/>
      <c r="BP66" s="126"/>
      <c r="BQ66" s="126"/>
      <c r="BR66" s="126"/>
      <c r="BS66" s="126"/>
      <c r="BT66" s="126"/>
      <c r="BU66" s="130">
        <f t="shared" si="20"/>
        <v>0</v>
      </c>
      <c r="BV66" s="132"/>
    </row>
    <row r="67" ht="14.25" customHeight="1">
      <c r="A67" s="132"/>
      <c r="B67" s="618">
        <v>46080</v>
      </c>
      <c r="C67" s="133">
        <f>19241.99-D67-0</f>
      </c>
      <c r="D67" s="134">
        <v>961.52</v>
      </c>
      <c r="E67" s="135"/>
      <c r="F67" s="135"/>
      <c r="G67" s="147">
        <f t="shared" si="12"/>
        <v>0</v>
      </c>
      <c r="H67" s="1070">
        <v>909.49</v>
      </c>
      <c r="I67" s="801">
        <v>3490.66</v>
      </c>
      <c r="J67" s="611"/>
      <c r="K67" s="611"/>
      <c r="L67" s="611"/>
      <c r="M67" s="611"/>
      <c r="N67" s="143"/>
      <c r="O67" s="143"/>
      <c r="P67" s="143"/>
      <c r="Q67" s="143"/>
      <c r="R67" s="143"/>
      <c r="S67" s="143"/>
      <c r="T67" s="143"/>
      <c r="U67" s="143"/>
      <c r="V67" s="143"/>
      <c r="W67" s="103">
        <f t="shared" si="13"/>
        <v>0</v>
      </c>
      <c r="X67" s="611"/>
      <c r="Y67" s="611"/>
      <c r="Z67" s="611"/>
      <c r="AA67" s="611"/>
      <c r="AB67" s="611"/>
      <c r="AC67" s="143"/>
      <c r="AD67" s="143"/>
      <c r="AE67" s="143"/>
      <c r="AF67" s="143"/>
      <c r="AG67" s="143"/>
      <c r="AH67" s="143"/>
      <c r="AI67" s="143"/>
      <c r="AJ67" s="103">
        <f t="shared" si="14"/>
        <v>0</v>
      </c>
      <c r="AK67" s="134">
        <v>3538.21</v>
      </c>
      <c r="AL67" s="134">
        <v>259.33</v>
      </c>
      <c r="AM67" s="136"/>
      <c r="AN67" s="105">
        <f t="shared" si="15"/>
        <v>0</v>
      </c>
      <c r="AO67" s="145">
        <v>444.16</v>
      </c>
      <c r="AP67" s="143"/>
      <c r="AQ67" s="143"/>
      <c r="AR67" s="146"/>
      <c r="AS67" s="621">
        <f t="shared" si="16"/>
        <v>0</v>
      </c>
      <c r="AT67" s="1553">
        <v>7915.6</v>
      </c>
      <c r="AU67" s="1626">
        <v>1822.95</v>
      </c>
      <c r="AV67" s="1546"/>
      <c r="AW67" s="1546"/>
      <c r="AX67" s="1548"/>
      <c r="AY67" s="1554">
        <v>702.1</v>
      </c>
      <c r="AZ67" s="1548"/>
      <c r="BA67" s="1548"/>
      <c r="BB67" s="1548"/>
      <c r="BC67" s="1546"/>
      <c r="BD67" s="222">
        <f t="shared" si="17"/>
        <v>0</v>
      </c>
      <c r="BE67" s="456">
        <f t="shared" si="18"/>
        <v>0</v>
      </c>
      <c r="BF67" s="132"/>
      <c r="BG67" s="140">
        <f t="shared" si="19"/>
        <v>0</v>
      </c>
      <c r="BH67" s="126"/>
      <c r="BI67" s="126"/>
      <c r="BJ67" s="126"/>
      <c r="BK67" s="126"/>
      <c r="BL67" s="126"/>
      <c r="BM67" s="126"/>
      <c r="BN67" s="126"/>
      <c r="BO67" s="126"/>
      <c r="BP67" s="126"/>
      <c r="BQ67" s="126"/>
      <c r="BR67" s="227"/>
      <c r="BS67" s="126">
        <v>160</v>
      </c>
      <c r="BT67" s="126"/>
      <c r="BU67" s="130">
        <f t="shared" si="20"/>
        <v>0</v>
      </c>
      <c r="BV67" s="132"/>
    </row>
    <row r="68" ht="14.25" customHeight="1">
      <c r="A68" s="132"/>
      <c r="B68" s="618">
        <v>46081</v>
      </c>
      <c r="C68" s="230">
        <f>21561.81-D68-0</f>
      </c>
      <c r="D68" s="134"/>
      <c r="E68" s="135"/>
      <c r="F68" s="135"/>
      <c r="G68" s="147">
        <f t="shared" si="12"/>
        <v>0</v>
      </c>
      <c r="H68" s="1070">
        <v>758.29</v>
      </c>
      <c r="I68" s="801">
        <v>1674.72</v>
      </c>
      <c r="J68" s="611"/>
      <c r="K68" s="611"/>
      <c r="L68" s="611"/>
      <c r="M68" s="611"/>
      <c r="N68" s="143"/>
      <c r="O68" s="143"/>
      <c r="P68" s="143"/>
      <c r="Q68" s="143"/>
      <c r="R68" s="143"/>
      <c r="S68" s="143"/>
      <c r="T68" s="145">
        <v>4766.55</v>
      </c>
      <c r="U68" s="143"/>
      <c r="V68" s="143"/>
      <c r="W68" s="103">
        <f t="shared" si="13"/>
        <v>0</v>
      </c>
      <c r="X68" s="611"/>
      <c r="Y68" s="611"/>
      <c r="Z68" s="611"/>
      <c r="AA68" s="611"/>
      <c r="AB68" s="611"/>
      <c r="AC68" s="143"/>
      <c r="AD68" s="143"/>
      <c r="AE68" s="143"/>
      <c r="AF68" s="143"/>
      <c r="AG68" s="143"/>
      <c r="AH68" s="143"/>
      <c r="AI68" s="143"/>
      <c r="AJ68" s="103">
        <f t="shared" si="14"/>
        <v>0</v>
      </c>
      <c r="AK68" s="134">
        <v>2743.62</v>
      </c>
      <c r="AL68" s="134"/>
      <c r="AM68" s="136"/>
      <c r="AN68" s="105">
        <f t="shared" si="15"/>
        <v>0</v>
      </c>
      <c r="AO68" s="145">
        <v>826.8</v>
      </c>
      <c r="AP68" s="143"/>
      <c r="AQ68" s="143"/>
      <c r="AR68" s="146"/>
      <c r="AS68" s="621">
        <f t="shared" si="16"/>
        <v>0</v>
      </c>
      <c r="AT68" s="1553">
        <v>6372.5</v>
      </c>
      <c r="AU68" s="1626">
        <v>4420.06</v>
      </c>
      <c r="AV68" s="1546"/>
      <c r="AW68" s="1546"/>
      <c r="AX68" s="1548"/>
      <c r="AY68" s="1554"/>
      <c r="AZ68" s="1548"/>
      <c r="BA68" s="1548"/>
      <c r="BB68" s="1548"/>
      <c r="BC68" s="1546"/>
      <c r="BD68" s="222">
        <f t="shared" si="17"/>
        <v>0</v>
      </c>
      <c r="BE68" s="456">
        <f t="shared" si="18"/>
        <v>0</v>
      </c>
      <c r="BF68" s="132"/>
      <c r="BG68" s="140">
        <f t="shared" si="19"/>
        <v>0</v>
      </c>
      <c r="BH68" s="126"/>
      <c r="BI68" s="126"/>
      <c r="BJ68" s="126"/>
      <c r="BK68" s="126"/>
      <c r="BL68" s="126"/>
      <c r="BM68" s="126"/>
      <c r="BN68" s="126"/>
      <c r="BO68" s="126"/>
      <c r="BP68" s="126"/>
      <c r="BQ68" s="126"/>
      <c r="BR68" s="126"/>
      <c r="BS68" s="126"/>
      <c r="BT68" s="126"/>
      <c r="BU68" s="130">
        <f t="shared" si="20"/>
        <v>0</v>
      </c>
      <c r="BV68" s="132"/>
    </row>
    <row r="69" ht="14.25" customHeight="1">
      <c r="A69" s="132"/>
      <c r="B69" s="618"/>
      <c r="C69" s="133"/>
      <c r="D69" s="136"/>
      <c r="E69" s="135"/>
      <c r="F69" s="135"/>
      <c r="G69" s="147">
        <f t="shared" si="12"/>
        <v>0</v>
      </c>
      <c r="H69" s="768"/>
      <c r="I69" s="611"/>
      <c r="J69" s="611"/>
      <c r="K69" s="611"/>
      <c r="L69" s="611"/>
      <c r="M69" s="611"/>
      <c r="N69" s="143"/>
      <c r="O69" s="143"/>
      <c r="P69" s="143"/>
      <c r="Q69" s="143"/>
      <c r="R69" s="143"/>
      <c r="S69" s="143"/>
      <c r="T69" s="143"/>
      <c r="U69" s="143"/>
      <c r="V69" s="143"/>
      <c r="W69" s="103">
        <f t="shared" si="13"/>
        <v>0</v>
      </c>
      <c r="X69" s="611"/>
      <c r="Y69" s="611"/>
      <c r="Z69" s="611"/>
      <c r="AA69" s="611"/>
      <c r="AB69" s="611"/>
      <c r="AC69" s="143"/>
      <c r="AD69" s="143"/>
      <c r="AE69" s="143"/>
      <c r="AF69" s="143"/>
      <c r="AG69" s="143"/>
      <c r="AH69" s="143"/>
      <c r="AI69" s="143"/>
      <c r="AJ69" s="103">
        <f t="shared" si="14"/>
        <v>0</v>
      </c>
      <c r="AK69" s="136"/>
      <c r="AL69" s="136"/>
      <c r="AM69" s="136"/>
      <c r="AN69" s="105">
        <f t="shared" si="15"/>
        <v>0</v>
      </c>
      <c r="AO69" s="143"/>
      <c r="AP69" s="143"/>
      <c r="AQ69" s="143"/>
      <c r="AR69" s="146"/>
      <c r="AS69" s="621">
        <f t="shared" si="16"/>
        <v>0</v>
      </c>
      <c r="AT69" s="1692"/>
      <c r="AU69" s="1557"/>
      <c r="AV69" s="1557"/>
      <c r="AW69" s="1557"/>
      <c r="AX69" s="1548"/>
      <c r="AY69" s="1557"/>
      <c r="AZ69" s="1548"/>
      <c r="BA69" s="1548"/>
      <c r="BB69" s="1548"/>
      <c r="BC69" s="1557"/>
      <c r="BD69" s="222">
        <f t="shared" si="17"/>
        <v>0</v>
      </c>
      <c r="BE69" s="456">
        <f t="shared" si="18"/>
        <v>0</v>
      </c>
      <c r="BF69" s="132"/>
      <c r="BG69" s="140">
        <f t="shared" si="19"/>
        <v>0</v>
      </c>
      <c r="BH69" s="126"/>
      <c r="BI69" s="126"/>
      <c r="BJ69" s="126"/>
      <c r="BK69" s="126"/>
      <c r="BL69" s="126"/>
      <c r="BM69" s="126"/>
      <c r="BN69" s="126"/>
      <c r="BO69" s="126"/>
      <c r="BP69" s="126"/>
      <c r="BQ69" s="126"/>
      <c r="BR69" s="225"/>
      <c r="BS69" s="126"/>
      <c r="BT69" s="126"/>
      <c r="BU69" s="130">
        <f t="shared" si="20"/>
        <v>0</v>
      </c>
      <c r="BV69" s="132"/>
    </row>
    <row r="70" ht="14.25" customHeight="1">
      <c r="A70" s="3"/>
      <c r="B70" s="2" t="s">
        <v>76</v>
      </c>
      <c r="C70" s="166">
        <f ref="C70:D70" t="shared" si="21">SUM(C41:C69)</f>
        <v>0</v>
      </c>
      <c r="D70" s="166">
        <f t="shared" si="21"/>
        <v>0</v>
      </c>
      <c r="E70" s="166">
        <f ref="E70:G70" t="shared" si="22">SUM(E41:E68)</f>
        <v>0</v>
      </c>
      <c r="F70" s="166">
        <f t="shared" si="22"/>
        <v>0</v>
      </c>
      <c r="G70" s="166">
        <f t="shared" si="22"/>
        <v>0</v>
      </c>
      <c r="H70" s="166">
        <f>SUM(H41:H69)</f>
        <v>0</v>
      </c>
      <c r="I70" s="166">
        <f ref="I70:M70" t="shared" si="23">SUM(I41:I68)</f>
        <v>0</v>
      </c>
      <c r="J70" s="166">
        <f t="shared" si="23"/>
        <v>0</v>
      </c>
      <c r="K70" s="166">
        <f t="shared" si="23"/>
        <v>0</v>
      </c>
      <c r="L70" s="166">
        <f t="shared" si="23"/>
        <v>0</v>
      </c>
      <c r="M70" s="166">
        <f t="shared" si="23"/>
        <v>0</v>
      </c>
      <c r="N70" s="166">
        <f>SUM(N41:N69)</f>
        <v>0</v>
      </c>
      <c r="O70" s="166">
        <f ref="O70:P70" t="shared" si="24">SUM(O41:O68)</f>
        <v>0</v>
      </c>
      <c r="P70" s="166">
        <f t="shared" si="24"/>
        <v>0</v>
      </c>
      <c r="Q70" s="166"/>
      <c r="R70" s="166"/>
      <c r="S70" s="166">
        <f ref="S70:AJ70" t="shared" si="25">SUM(S41:S68)</f>
        <v>0</v>
      </c>
      <c r="T70" s="166">
        <f t="shared" si="25"/>
        <v>0</v>
      </c>
      <c r="U70" s="166">
        <f t="shared" si="25"/>
        <v>0</v>
      </c>
      <c r="V70" s="166">
        <f t="shared" si="25"/>
        <v>0</v>
      </c>
      <c r="W70" s="166">
        <f t="shared" si="25"/>
        <v>0</v>
      </c>
      <c r="X70" s="617">
        <f t="shared" si="25"/>
        <v>0</v>
      </c>
      <c r="Y70" s="617">
        <f t="shared" si="25"/>
        <v>0</v>
      </c>
      <c r="Z70" s="617">
        <f t="shared" si="25"/>
        <v>0</v>
      </c>
      <c r="AA70" s="617">
        <f t="shared" si="25"/>
        <v>0</v>
      </c>
      <c r="AB70" s="617">
        <f t="shared" si="25"/>
        <v>0</v>
      </c>
      <c r="AC70" s="166">
        <f t="shared" si="25"/>
        <v>0</v>
      </c>
      <c r="AD70" s="166">
        <f t="shared" si="25"/>
        <v>0</v>
      </c>
      <c r="AE70" s="166">
        <f t="shared" si="25"/>
        <v>0</v>
      </c>
      <c r="AF70" s="166">
        <f t="shared" si="25"/>
        <v>0</v>
      </c>
      <c r="AG70" s="166">
        <f t="shared" si="25"/>
        <v>0</v>
      </c>
      <c r="AH70" s="166">
        <f t="shared" si="25"/>
        <v>0</v>
      </c>
      <c r="AI70" s="166">
        <f t="shared" si="25"/>
        <v>0</v>
      </c>
      <c r="AJ70" s="166">
        <f t="shared" si="25"/>
        <v>0</v>
      </c>
      <c r="AK70" s="166">
        <f ref="AK70:AL70" t="shared" si="26">SUM(AK41:AK69)</f>
        <v>0</v>
      </c>
      <c r="AL70" s="166">
        <f t="shared" si="26"/>
        <v>0</v>
      </c>
      <c r="AM70" s="166">
        <f ref="AM70:AN70" t="shared" si="27">SUM(AM41:AM68)</f>
        <v>0</v>
      </c>
      <c r="AN70" s="166">
        <f t="shared" si="27"/>
        <v>0</v>
      </c>
      <c r="AO70" s="166">
        <f>SUM(AO41:AO69)</f>
        <v>0</v>
      </c>
      <c r="AP70" s="166">
        <f ref="AP70:AS70" t="shared" si="28">SUM(AP41:AP68)</f>
        <v>0</v>
      </c>
      <c r="AQ70" s="166">
        <f t="shared" si="28"/>
        <v>0</v>
      </c>
      <c r="AR70" s="166">
        <f t="shared" si="28"/>
        <v>0</v>
      </c>
      <c r="AS70" s="166">
        <f t="shared" si="28"/>
        <v>0</v>
      </c>
      <c r="AT70" s="1068">
        <f>SUM(AT41:AT69)</f>
        <v>0</v>
      </c>
      <c r="AU70" s="165">
        <f ref="AU70:AX70" t="shared" si="29">SUM(AU41:AU68)</f>
        <v>0</v>
      </c>
      <c r="AV70" s="165">
        <f t="shared" si="29"/>
        <v>0</v>
      </c>
      <c r="AW70" s="165">
        <f t="shared" si="29"/>
        <v>0</v>
      </c>
      <c r="AX70" s="165">
        <f t="shared" si="29"/>
        <v>0</v>
      </c>
      <c r="AY70" s="165">
        <f>SUM(AY41:AY69)</f>
        <v>0</v>
      </c>
      <c r="AZ70" s="165">
        <f ref="AZ70:BE70" t="shared" si="30">SUM(AZ41:AZ68)</f>
        <v>0</v>
      </c>
      <c r="BA70" s="165">
        <f t="shared" si="30"/>
        <v>0</v>
      </c>
      <c r="BB70" s="165">
        <f t="shared" si="30"/>
        <v>0</v>
      </c>
      <c r="BC70" s="165">
        <f t="shared" si="30"/>
        <v>0</v>
      </c>
      <c r="BD70" s="166">
        <f t="shared" si="30"/>
        <v>0</v>
      </c>
      <c r="BE70" s="617">
        <f t="shared" si="30"/>
        <v>0</v>
      </c>
      <c r="BF70" s="235"/>
      <c r="BG70" s="166">
        <f ref="BG70:BU70" t="shared" si="31">SUM(BG41:BG68)</f>
        <v>0</v>
      </c>
      <c r="BH70" s="166">
        <f t="shared" si="31"/>
        <v>0</v>
      </c>
      <c r="BI70" s="166">
        <f t="shared" si="31"/>
        <v>0</v>
      </c>
      <c r="BJ70" s="166">
        <f t="shared" si="31"/>
        <v>0</v>
      </c>
      <c r="BK70" s="166">
        <f t="shared" si="31"/>
        <v>0</v>
      </c>
      <c r="BL70" s="166">
        <f t="shared" si="31"/>
        <v>0</v>
      </c>
      <c r="BM70" s="166">
        <f t="shared" si="31"/>
        <v>0</v>
      </c>
      <c r="BN70" s="166">
        <f t="shared" si="31"/>
        <v>0</v>
      </c>
      <c r="BO70" s="166">
        <f t="shared" si="31"/>
        <v>0</v>
      </c>
      <c r="BP70" s="166">
        <f t="shared" si="31"/>
        <v>0</v>
      </c>
      <c r="BQ70" s="166">
        <f t="shared" si="31"/>
        <v>0</v>
      </c>
      <c r="BR70" s="166">
        <f t="shared" si="31"/>
        <v>0</v>
      </c>
      <c r="BS70" s="166">
        <f t="shared" si="31"/>
        <v>0</v>
      </c>
      <c r="BT70" s="166">
        <f t="shared" si="31"/>
        <v>0</v>
      </c>
      <c r="BU70" s="166">
        <f t="shared" si="31"/>
        <v>0</v>
      </c>
      <c r="BV70" s="235"/>
    </row>
    <row r="71" ht="14.25" customHeight="1">
      <c r="A71" s="1"/>
      <c r="B71" s="2"/>
      <c r="C71" s="3"/>
      <c r="D71" s="3"/>
      <c r="E71" s="3"/>
      <c r="F71" s="3"/>
      <c r="G71" s="4"/>
      <c r="H71" s="1"/>
      <c r="I71" s="1"/>
      <c r="J71" s="1"/>
      <c r="K71" s="1"/>
      <c r="L71" s="1"/>
      <c r="M71" s="1"/>
      <c r="N71" s="3"/>
      <c r="O71" s="3"/>
      <c r="P71" s="3"/>
      <c r="Q71" s="3"/>
      <c r="R71" s="3"/>
      <c r="S71" s="3"/>
      <c r="T71" s="3"/>
      <c r="U71" s="3"/>
      <c r="V71" s="3"/>
      <c r="W71" s="3"/>
      <c r="X71" s="1"/>
      <c r="Y71" s="1"/>
      <c r="Z71" s="1"/>
      <c r="AA71" s="1"/>
      <c r="AB71" s="1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4"/>
      <c r="AO71" s="3"/>
      <c r="AP71" s="3"/>
      <c r="AQ71" s="3"/>
      <c r="AR71" s="3"/>
      <c r="AS71" s="4"/>
      <c r="AT71" s="776"/>
      <c r="AU71" s="316"/>
      <c r="AV71" s="207"/>
      <c r="AW71" s="207"/>
      <c r="AX71" s="316"/>
      <c r="AY71" s="316"/>
      <c r="AZ71" s="316"/>
      <c r="BA71" s="316"/>
      <c r="BB71" s="316"/>
      <c r="BC71" s="316"/>
      <c r="BD71" s="4"/>
      <c r="BE71" s="1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</row>
    <row r="72" ht="14.25" customHeight="1">
      <c r="A72" s="205"/>
      <c r="B72" s="206"/>
      <c r="C72" s="207"/>
      <c r="D72" s="207"/>
      <c r="E72" s="207"/>
      <c r="F72" s="207"/>
      <c r="G72" s="208"/>
      <c r="H72" s="205"/>
      <c r="I72" s="205"/>
      <c r="J72" s="205"/>
      <c r="K72" s="205"/>
      <c r="L72" s="205"/>
      <c r="M72" s="205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5"/>
      <c r="Y72" s="205"/>
      <c r="Z72" s="205"/>
      <c r="AA72" s="205"/>
      <c r="AB72" s="205"/>
      <c r="AC72" s="207"/>
      <c r="AD72" s="207"/>
      <c r="AE72" s="207"/>
      <c r="AF72" s="207"/>
      <c r="AG72" s="207"/>
      <c r="AH72" s="207"/>
      <c r="AI72" s="207"/>
      <c r="AJ72" s="209"/>
      <c r="AK72" s="207"/>
      <c r="AL72" s="207"/>
      <c r="AM72" s="207"/>
      <c r="AN72" s="208"/>
      <c r="AO72" s="207"/>
      <c r="AP72" s="207"/>
      <c r="AQ72" s="207"/>
      <c r="AR72" s="207"/>
      <c r="AS72" s="316"/>
      <c r="AT72" s="776"/>
      <c r="AU72" s="316"/>
      <c r="AV72" s="207"/>
      <c r="AW72" s="207"/>
      <c r="AX72" s="316"/>
      <c r="AY72" s="316"/>
      <c r="AZ72" s="316"/>
      <c r="BA72" s="316"/>
      <c r="BB72" s="316"/>
      <c r="BC72" s="316"/>
      <c r="BD72" s="214"/>
      <c r="BE72" s="205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</row>
    <row r="73" ht="14.25" customHeight="1">
      <c r="A73" s="3"/>
      <c r="B73" s="512">
        <v>46082</v>
      </c>
      <c r="C73" s="238">
        <f>17480.74-D73-0</f>
      </c>
      <c r="D73" s="95"/>
      <c r="E73" s="97"/>
      <c r="F73" s="97"/>
      <c r="G73" s="265">
        <f ref="G73:G103" t="shared" si="32">+C73+D73+E73+F73</f>
        <v>0</v>
      </c>
      <c r="H73" s="1069">
        <v>208.11</v>
      </c>
      <c r="I73" s="619">
        <v>5210.85</v>
      </c>
      <c r="J73" s="619"/>
      <c r="K73" s="619"/>
      <c r="L73" s="619"/>
      <c r="M73" s="619"/>
      <c r="N73" s="186"/>
      <c r="O73" s="186"/>
      <c r="P73" s="186"/>
      <c r="Q73" s="186"/>
      <c r="R73" s="186"/>
      <c r="S73" s="186"/>
      <c r="T73" s="188">
        <v>4620.04</v>
      </c>
      <c r="U73" s="186"/>
      <c r="V73" s="186"/>
      <c r="W73" s="103">
        <f ref="W73:W103" t="shared" si="33">SUM(H73:V73)</f>
        <v>0</v>
      </c>
      <c r="X73" s="619"/>
      <c r="Y73" s="619"/>
      <c r="Z73" s="619"/>
      <c r="AA73" s="619"/>
      <c r="AB73" s="619"/>
      <c r="AC73" s="186"/>
      <c r="AD73" s="186"/>
      <c r="AE73" s="186"/>
      <c r="AF73" s="186"/>
      <c r="AG73" s="186"/>
      <c r="AH73" s="186"/>
      <c r="AI73" s="186"/>
      <c r="AJ73" s="103">
        <f ref="AJ73:AJ103" t="shared" si="34">SUM(X73:AI73)</f>
        <v>0</v>
      </c>
      <c r="AK73" s="95">
        <v>1972.7</v>
      </c>
      <c r="AL73" s="95"/>
      <c r="AM73" s="104"/>
      <c r="AN73" s="191">
        <f ref="AN73:AN103" t="shared" si="35">SUM(AK73:AM73)</f>
        <v>0</v>
      </c>
      <c r="AO73" s="1741">
        <v>513.34</v>
      </c>
      <c r="AP73" s="186"/>
      <c r="AQ73" s="186"/>
      <c r="AR73" s="193"/>
      <c r="AS73" s="219">
        <f ref="AS73:AS103" t="shared" si="36">+G73-W73-AJ73-AN73-AO73-AP73-AQ73-AR73</f>
        <v>0</v>
      </c>
      <c r="AT73" s="1685">
        <v>4956.2</v>
      </c>
      <c r="AU73" s="1537"/>
      <c r="AV73" s="1537"/>
      <c r="AW73" s="1537"/>
      <c r="AX73" s="1548"/>
      <c r="AY73" s="1797"/>
      <c r="AZ73" s="1548"/>
      <c r="BA73" s="1548"/>
      <c r="BB73" s="1548"/>
      <c r="BC73" s="1537"/>
      <c r="BD73" s="222">
        <f ref="BD73:BD103" t="shared" si="37">SUM(AT73:BC73)-BB73</f>
        <v>0</v>
      </c>
      <c r="BE73" s="1051">
        <f ref="BE73:BE103" t="shared" si="38">+AS73-BD73</f>
        <v>0</v>
      </c>
      <c r="BF73" s="3"/>
      <c r="BG73" s="114">
        <f ref="BG73:BG103" t="shared" si="39">SUM(BH73:BT73)</f>
        <v>0</v>
      </c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6">
        <f ref="BU73:BU103" t="shared" si="40">+BE73-BG73</f>
        <v>0</v>
      </c>
      <c r="BV73" s="3"/>
    </row>
    <row r="74" ht="14.25" customHeight="1">
      <c r="A74" s="3"/>
      <c r="B74" s="512">
        <v>46083</v>
      </c>
      <c r="C74" s="228">
        <f>14244.55-D74-0</f>
      </c>
      <c r="D74" s="119">
        <v>0.05</v>
      </c>
      <c r="E74" s="120"/>
      <c r="F74" s="120"/>
      <c r="G74" s="147">
        <f t="shared" si="32"/>
        <v>0</v>
      </c>
      <c r="H74" s="1070">
        <v>214.87</v>
      </c>
      <c r="I74" s="801">
        <v>1521.57</v>
      </c>
      <c r="J74" s="611"/>
      <c r="K74" s="611"/>
      <c r="L74" s="611"/>
      <c r="M74" s="611"/>
      <c r="N74" s="143"/>
      <c r="O74" s="143"/>
      <c r="P74" s="143"/>
      <c r="Q74" s="143"/>
      <c r="R74" s="143"/>
      <c r="S74" s="143"/>
      <c r="T74" s="143"/>
      <c r="U74" s="143"/>
      <c r="V74" s="143"/>
      <c r="W74" s="103">
        <f t="shared" si="33"/>
        <v>0</v>
      </c>
      <c r="X74" s="611"/>
      <c r="Y74" s="611"/>
      <c r="Z74" s="611"/>
      <c r="AA74" s="611"/>
      <c r="AB74" s="611"/>
      <c r="AC74" s="143"/>
      <c r="AD74" s="143"/>
      <c r="AE74" s="143"/>
      <c r="AF74" s="143"/>
      <c r="AG74" s="143"/>
      <c r="AH74" s="143"/>
      <c r="AI74" s="143"/>
      <c r="AJ74" s="103">
        <f t="shared" si="34"/>
        <v>0</v>
      </c>
      <c r="AK74" s="119">
        <v>4049.72</v>
      </c>
      <c r="AL74" s="119"/>
      <c r="AM74" s="123"/>
      <c r="AN74" s="105">
        <f t="shared" si="35"/>
        <v>0</v>
      </c>
      <c r="AO74" s="1744">
        <v>272.13</v>
      </c>
      <c r="AP74" s="143"/>
      <c r="AQ74" s="143"/>
      <c r="AR74" s="146"/>
      <c r="AS74" s="224">
        <f t="shared" si="36"/>
        <v>0</v>
      </c>
      <c r="AT74" s="1553">
        <v>7603.9</v>
      </c>
      <c r="AU74" s="1626">
        <v>483.1</v>
      </c>
      <c r="AV74" s="1546"/>
      <c r="AW74" s="1546"/>
      <c r="AX74" s="1548"/>
      <c r="AY74" s="1626"/>
      <c r="AZ74" s="1548"/>
      <c r="BA74" s="1548"/>
      <c r="BB74" s="1548"/>
      <c r="BC74" s="1546"/>
      <c r="BD74" s="222">
        <f t="shared" si="37"/>
        <v>0</v>
      </c>
      <c r="BE74" s="1055">
        <f t="shared" si="38"/>
        <v>0</v>
      </c>
      <c r="BF74" s="3"/>
      <c r="BG74" s="113">
        <f t="shared" si="39"/>
        <v>0</v>
      </c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31"/>
      <c r="BS74" s="129">
        <v>100</v>
      </c>
      <c r="BT74" s="129"/>
      <c r="BU74" s="130">
        <f t="shared" si="40"/>
        <v>0</v>
      </c>
      <c r="BV74" s="3"/>
    </row>
    <row r="75" ht="14.25" customHeight="1">
      <c r="A75" s="3"/>
      <c r="B75" s="512">
        <v>46084</v>
      </c>
      <c r="C75" s="228">
        <f>17922.20-D75-0</f>
      </c>
      <c r="D75" s="119"/>
      <c r="E75" s="120"/>
      <c r="F75" s="120"/>
      <c r="G75" s="147">
        <f t="shared" si="32"/>
        <v>0</v>
      </c>
      <c r="H75" s="1070">
        <v>232.5</v>
      </c>
      <c r="I75" s="801">
        <v>2522.87</v>
      </c>
      <c r="J75" s="611"/>
      <c r="K75" s="611"/>
      <c r="L75" s="611"/>
      <c r="M75" s="611"/>
      <c r="N75" s="143"/>
      <c r="O75" s="143"/>
      <c r="P75" s="143"/>
      <c r="Q75" s="143"/>
      <c r="R75" s="143"/>
      <c r="S75" s="143"/>
      <c r="T75" s="145">
        <v>555.6</v>
      </c>
      <c r="U75" s="143"/>
      <c r="V75" s="143"/>
      <c r="W75" s="103">
        <f t="shared" si="33"/>
        <v>0</v>
      </c>
      <c r="X75" s="611"/>
      <c r="Y75" s="611"/>
      <c r="Z75" s="611"/>
      <c r="AA75" s="611"/>
      <c r="AB75" s="611"/>
      <c r="AC75" s="143"/>
      <c r="AD75" s="143"/>
      <c r="AE75" s="143"/>
      <c r="AF75" s="143"/>
      <c r="AG75" s="143"/>
      <c r="AH75" s="143"/>
      <c r="AI75" s="143"/>
      <c r="AJ75" s="103">
        <f t="shared" si="34"/>
        <v>0</v>
      </c>
      <c r="AK75" s="119">
        <v>5759.59</v>
      </c>
      <c r="AL75" s="119"/>
      <c r="AM75" s="123"/>
      <c r="AN75" s="105">
        <f t="shared" si="35"/>
        <v>0</v>
      </c>
      <c r="AO75" s="1744">
        <v>345.64</v>
      </c>
      <c r="AP75" s="143"/>
      <c r="AQ75" s="143"/>
      <c r="AR75" s="146"/>
      <c r="AS75" s="224">
        <f t="shared" si="36"/>
        <v>0</v>
      </c>
      <c r="AT75" s="1553">
        <v>7954.4</v>
      </c>
      <c r="AU75" s="1626">
        <v>552.07</v>
      </c>
      <c r="AV75" s="1546"/>
      <c r="AW75" s="1546"/>
      <c r="AX75" s="1548"/>
      <c r="AY75" s="1626"/>
      <c r="AZ75" s="1548"/>
      <c r="BA75" s="1548"/>
      <c r="BB75" s="1548"/>
      <c r="BC75" s="1546"/>
      <c r="BD75" s="222">
        <f t="shared" si="37"/>
        <v>0</v>
      </c>
      <c r="BE75" s="1055">
        <f t="shared" si="38"/>
        <v>0</v>
      </c>
      <c r="BF75" s="3"/>
      <c r="BG75" s="113">
        <f t="shared" si="39"/>
        <v>0</v>
      </c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30">
        <f t="shared" si="40"/>
        <v>0</v>
      </c>
      <c r="BV75" s="3"/>
    </row>
    <row r="76" ht="14.25" customHeight="1">
      <c r="A76" s="132"/>
      <c r="B76" s="512">
        <v>46085</v>
      </c>
      <c r="C76" s="230">
        <f>18020.75-D76-0</f>
      </c>
      <c r="D76" s="134"/>
      <c r="E76" s="135"/>
      <c r="F76" s="135"/>
      <c r="G76" s="147">
        <f t="shared" si="32"/>
        <v>0</v>
      </c>
      <c r="H76" s="768"/>
      <c r="I76" s="801">
        <v>1715.6</v>
      </c>
      <c r="J76" s="611"/>
      <c r="K76" s="611"/>
      <c r="L76" s="611"/>
      <c r="M76" s="611"/>
      <c r="N76" s="143"/>
      <c r="O76" s="143"/>
      <c r="P76" s="143"/>
      <c r="Q76" s="143"/>
      <c r="R76" s="143"/>
      <c r="S76" s="143"/>
      <c r="T76" s="145">
        <v>1112.3</v>
      </c>
      <c r="U76" s="143"/>
      <c r="V76" s="143"/>
      <c r="W76" s="103">
        <f t="shared" si="33"/>
        <v>0</v>
      </c>
      <c r="X76" s="611"/>
      <c r="Y76" s="611"/>
      <c r="Z76" s="611"/>
      <c r="AA76" s="611"/>
      <c r="AB76" s="611"/>
      <c r="AC76" s="143"/>
      <c r="AD76" s="143"/>
      <c r="AE76" s="143"/>
      <c r="AF76" s="143"/>
      <c r="AG76" s="143"/>
      <c r="AH76" s="143"/>
      <c r="AI76" s="143"/>
      <c r="AJ76" s="103">
        <f t="shared" si="34"/>
        <v>0</v>
      </c>
      <c r="AK76" s="134">
        <v>3263.81</v>
      </c>
      <c r="AL76" s="134"/>
      <c r="AM76" s="136"/>
      <c r="AN76" s="105">
        <f t="shared" si="35"/>
        <v>0</v>
      </c>
      <c r="AO76" s="1744">
        <v>546.02</v>
      </c>
      <c r="AP76" s="143"/>
      <c r="AQ76" s="143"/>
      <c r="AR76" s="146"/>
      <c r="AS76" s="224">
        <f t="shared" si="36"/>
        <v>0</v>
      </c>
      <c r="AT76" s="1553">
        <v>10712</v>
      </c>
      <c r="AU76" s="1626">
        <v>571.6</v>
      </c>
      <c r="AV76" s="1690"/>
      <c r="AW76" s="1546"/>
      <c r="AX76" s="1548"/>
      <c r="AY76" s="1626"/>
      <c r="AZ76" s="1548"/>
      <c r="BA76" s="1548"/>
      <c r="BB76" s="1548"/>
      <c r="BC76" s="1546"/>
      <c r="BD76" s="222">
        <f t="shared" si="37"/>
        <v>0</v>
      </c>
      <c r="BE76" s="456">
        <f t="shared" si="38"/>
        <v>0</v>
      </c>
      <c r="BF76" s="132"/>
      <c r="BG76" s="140">
        <f t="shared" si="39"/>
        <v>0</v>
      </c>
      <c r="BH76" s="141"/>
      <c r="BI76" s="141"/>
      <c r="BJ76" s="141"/>
      <c r="BK76" s="141"/>
      <c r="BL76" s="141"/>
      <c r="BM76" s="141"/>
      <c r="BN76" s="141"/>
      <c r="BO76" s="141"/>
      <c r="BP76" s="141"/>
      <c r="BQ76" s="141"/>
      <c r="BR76" s="150"/>
      <c r="BS76" s="141">
        <v>100</v>
      </c>
      <c r="BT76" s="141"/>
      <c r="BU76" s="130">
        <f t="shared" si="40"/>
        <v>0</v>
      </c>
      <c r="BV76" s="132"/>
    </row>
    <row r="77" ht="14.25" customHeight="1">
      <c r="A77" s="132"/>
      <c r="B77" s="512">
        <v>46086</v>
      </c>
      <c r="C77" s="133">
        <f>25570.06-D77-0</f>
      </c>
      <c r="D77" s="134">
        <v>3130.39</v>
      </c>
      <c r="E77" s="135"/>
      <c r="F77" s="135"/>
      <c r="G77" s="147">
        <f t="shared" si="32"/>
        <v>0</v>
      </c>
      <c r="H77" s="1070">
        <v>453.11</v>
      </c>
      <c r="I77" s="801">
        <v>2275.67</v>
      </c>
      <c r="J77" s="611"/>
      <c r="K77" s="611"/>
      <c r="L77" s="611"/>
      <c r="M77" s="611"/>
      <c r="N77" s="143"/>
      <c r="O77" s="143"/>
      <c r="P77" s="143"/>
      <c r="Q77" s="143"/>
      <c r="R77" s="143"/>
      <c r="S77" s="143"/>
      <c r="T77" s="145">
        <v>200.55</v>
      </c>
      <c r="U77" s="143"/>
      <c r="V77" s="143"/>
      <c r="W77" s="103">
        <f t="shared" si="33"/>
        <v>0</v>
      </c>
      <c r="X77" s="611"/>
      <c r="Y77" s="611"/>
      <c r="Z77" s="611"/>
      <c r="AA77" s="611"/>
      <c r="AB77" s="611"/>
      <c r="AC77" s="143"/>
      <c r="AD77" s="143"/>
      <c r="AE77" s="143"/>
      <c r="AF77" s="143"/>
      <c r="AG77" s="143"/>
      <c r="AH77" s="143"/>
      <c r="AI77" s="143"/>
      <c r="AJ77" s="103">
        <f t="shared" si="34"/>
        <v>0</v>
      </c>
      <c r="AK77" s="134">
        <v>12382.56</v>
      </c>
      <c r="AL77" s="134">
        <v>1003.82</v>
      </c>
      <c r="AM77" s="136"/>
      <c r="AN77" s="105">
        <f t="shared" si="35"/>
        <v>0</v>
      </c>
      <c r="AO77" s="1744">
        <v>507.74</v>
      </c>
      <c r="AP77" s="143"/>
      <c r="AQ77" s="143"/>
      <c r="AR77" s="146"/>
      <c r="AS77" s="224">
        <f t="shared" si="36"/>
        <v>0</v>
      </c>
      <c r="AT77" s="1553">
        <v>6017</v>
      </c>
      <c r="AU77" s="1626">
        <v>603.48</v>
      </c>
      <c r="AV77" s="1546"/>
      <c r="AW77" s="1546"/>
      <c r="AX77" s="1548"/>
      <c r="AY77" s="1554">
        <v>2133</v>
      </c>
      <c r="AZ77" s="1548"/>
      <c r="BA77" s="1548"/>
      <c r="BB77" s="1548"/>
      <c r="BC77" s="1546"/>
      <c r="BD77" s="222">
        <f t="shared" si="37"/>
        <v>0</v>
      </c>
      <c r="BE77" s="456">
        <f t="shared" si="38"/>
        <v>0</v>
      </c>
      <c r="BF77" s="132"/>
      <c r="BG77" s="140">
        <f t="shared" si="39"/>
        <v>0</v>
      </c>
      <c r="BH77" s="141"/>
      <c r="BI77" s="141"/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30">
        <f t="shared" si="40"/>
        <v>0</v>
      </c>
      <c r="BV77" s="132"/>
    </row>
    <row r="78" ht="14.25" customHeight="1">
      <c r="A78" s="132"/>
      <c r="B78" s="512">
        <v>46087</v>
      </c>
      <c r="C78" s="133">
        <f>53541.61-D78-0</f>
      </c>
      <c r="D78" s="134">
        <v>9890.07</v>
      </c>
      <c r="E78" s="135"/>
      <c r="F78" s="135"/>
      <c r="G78" s="147">
        <f t="shared" si="32"/>
        <v>0</v>
      </c>
      <c r="H78" s="1070">
        <v>732.69</v>
      </c>
      <c r="I78" s="611">
        <v>1862.71</v>
      </c>
      <c r="J78" s="611"/>
      <c r="K78" s="611"/>
      <c r="L78" s="611"/>
      <c r="M78" s="611"/>
      <c r="N78" s="143"/>
      <c r="O78" s="143"/>
      <c r="P78" s="143"/>
      <c r="Q78" s="143"/>
      <c r="R78" s="143"/>
      <c r="S78" s="143"/>
      <c r="T78" s="143"/>
      <c r="U78" s="143"/>
      <c r="V78" s="143"/>
      <c r="W78" s="103">
        <f t="shared" si="33"/>
        <v>0</v>
      </c>
      <c r="X78" s="611"/>
      <c r="Y78" s="611"/>
      <c r="Z78" s="611"/>
      <c r="AA78" s="611"/>
      <c r="AB78" s="611"/>
      <c r="AC78" s="143"/>
      <c r="AD78" s="143"/>
      <c r="AE78" s="143"/>
      <c r="AF78" s="143"/>
      <c r="AG78" s="143"/>
      <c r="AH78" s="143"/>
      <c r="AI78" s="143"/>
      <c r="AJ78" s="103">
        <f t="shared" si="34"/>
        <v>0</v>
      </c>
      <c r="AK78" s="134">
        <v>5276.54</v>
      </c>
      <c r="AL78" s="134">
        <v>2665.05</v>
      </c>
      <c r="AM78" s="136"/>
      <c r="AN78" s="105">
        <f t="shared" si="35"/>
        <v>0</v>
      </c>
      <c r="AO78" s="1744">
        <v>1187.04</v>
      </c>
      <c r="AP78" s="143"/>
      <c r="AQ78" s="143"/>
      <c r="AR78" s="146"/>
      <c r="AS78" s="224">
        <f t="shared" si="36"/>
        <v>0</v>
      </c>
      <c r="AT78" s="1553">
        <v>32362.2</v>
      </c>
      <c r="AU78" s="1626">
        <v>2010.28</v>
      </c>
      <c r="AV78" s="1546"/>
      <c r="AW78" s="1546"/>
      <c r="AX78" s="1548"/>
      <c r="AY78" s="1554">
        <v>7225.1</v>
      </c>
      <c r="AZ78" s="1548"/>
      <c r="BA78" s="1548"/>
      <c r="BB78" s="1548"/>
      <c r="BC78" s="1546"/>
      <c r="BD78" s="222">
        <f t="shared" si="37"/>
        <v>0</v>
      </c>
      <c r="BE78" s="456">
        <f t="shared" si="38"/>
        <v>0</v>
      </c>
      <c r="BF78" s="132"/>
      <c r="BG78" s="140">
        <f t="shared" si="39"/>
        <v>0</v>
      </c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50"/>
      <c r="BS78" s="141">
        <v>220</v>
      </c>
      <c r="BT78" s="141"/>
      <c r="BU78" s="130">
        <f t="shared" si="40"/>
        <v>0</v>
      </c>
      <c r="BV78" s="132"/>
    </row>
    <row r="79" ht="14.25" customHeight="1">
      <c r="A79" s="132"/>
      <c r="B79" s="512">
        <v>46088</v>
      </c>
      <c r="C79" s="133">
        <f>25427.88-D79-0</f>
      </c>
      <c r="D79" s="134">
        <v>6343.74</v>
      </c>
      <c r="E79" s="135"/>
      <c r="F79" s="135"/>
      <c r="G79" s="147">
        <f t="shared" si="32"/>
        <v>0</v>
      </c>
      <c r="H79" s="1070">
        <v>844.82</v>
      </c>
      <c r="I79" s="801">
        <v>3626.18</v>
      </c>
      <c r="J79" s="611"/>
      <c r="K79" s="611"/>
      <c r="L79" s="611"/>
      <c r="M79" s="611"/>
      <c r="N79" s="143"/>
      <c r="O79" s="143"/>
      <c r="P79" s="143"/>
      <c r="Q79" s="143"/>
      <c r="R79" s="143"/>
      <c r="S79" s="143"/>
      <c r="T79" s="143"/>
      <c r="U79" s="143"/>
      <c r="V79" s="143"/>
      <c r="W79" s="103">
        <f t="shared" si="33"/>
        <v>0</v>
      </c>
      <c r="X79" s="611"/>
      <c r="Y79" s="611"/>
      <c r="Z79" s="611"/>
      <c r="AA79" s="611"/>
      <c r="AB79" s="611"/>
      <c r="AC79" s="143"/>
      <c r="AD79" s="143"/>
      <c r="AE79" s="143"/>
      <c r="AF79" s="143"/>
      <c r="AG79" s="143"/>
      <c r="AH79" s="143"/>
      <c r="AI79" s="143"/>
      <c r="AJ79" s="103">
        <f t="shared" si="34"/>
        <v>0</v>
      </c>
      <c r="AK79" s="134">
        <v>1987.23</v>
      </c>
      <c r="AL79" s="134">
        <v>2221.62</v>
      </c>
      <c r="AM79" s="136"/>
      <c r="AN79" s="105">
        <f t="shared" si="35"/>
        <v>0</v>
      </c>
      <c r="AO79" s="1744">
        <v>152.92</v>
      </c>
      <c r="AP79" s="143"/>
      <c r="AQ79" s="143"/>
      <c r="AR79" s="146"/>
      <c r="AS79" s="224">
        <f t="shared" si="36"/>
        <v>0</v>
      </c>
      <c r="AT79" s="1553">
        <v>8950</v>
      </c>
      <c r="AU79" s="1626">
        <v>3471.71</v>
      </c>
      <c r="AV79" s="1546"/>
      <c r="AW79" s="1546"/>
      <c r="AX79" s="1548"/>
      <c r="AY79" s="1554">
        <v>4113.6</v>
      </c>
      <c r="AZ79" s="1548"/>
      <c r="BA79" s="1548"/>
      <c r="BB79" s="1548"/>
      <c r="BC79" s="1546"/>
      <c r="BD79" s="222">
        <f t="shared" si="37"/>
        <v>0</v>
      </c>
      <c r="BE79" s="456">
        <f t="shared" si="38"/>
        <v>0</v>
      </c>
      <c r="BF79" s="132"/>
      <c r="BG79" s="140">
        <f t="shared" si="39"/>
        <v>0</v>
      </c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50"/>
      <c r="BS79" s="141">
        <v>60</v>
      </c>
      <c r="BT79" s="141"/>
      <c r="BU79" s="130">
        <f t="shared" si="40"/>
        <v>0</v>
      </c>
      <c r="BV79" s="132"/>
    </row>
    <row r="80" ht="14.25" customHeight="1">
      <c r="A80" s="132"/>
      <c r="B80" s="512">
        <v>46089</v>
      </c>
      <c r="C80" s="133">
        <f>15553.32-D80-0</f>
      </c>
      <c r="D80" s="134">
        <v>358.77</v>
      </c>
      <c r="E80" s="135"/>
      <c r="F80" s="135"/>
      <c r="G80" s="147">
        <f t="shared" si="32"/>
        <v>0</v>
      </c>
      <c r="H80" s="1070">
        <v>245.24</v>
      </c>
      <c r="I80" s="611"/>
      <c r="J80" s="611"/>
      <c r="K80" s="611"/>
      <c r="L80" s="611"/>
      <c r="M80" s="611"/>
      <c r="N80" s="143"/>
      <c r="O80" s="143"/>
      <c r="P80" s="143"/>
      <c r="Q80" s="143"/>
      <c r="R80" s="143"/>
      <c r="S80" s="143"/>
      <c r="T80" s="145">
        <v>1972.18</v>
      </c>
      <c r="U80" s="143"/>
      <c r="V80" s="143"/>
      <c r="W80" s="103">
        <f t="shared" si="33"/>
        <v>0</v>
      </c>
      <c r="X80" s="611"/>
      <c r="Y80" s="611"/>
      <c r="Z80" s="611"/>
      <c r="AA80" s="611"/>
      <c r="AB80" s="611"/>
      <c r="AC80" s="143"/>
      <c r="AD80" s="143"/>
      <c r="AE80" s="143"/>
      <c r="AF80" s="143"/>
      <c r="AG80" s="143"/>
      <c r="AH80" s="143"/>
      <c r="AI80" s="143"/>
      <c r="AJ80" s="103">
        <f t="shared" si="34"/>
        <v>0</v>
      </c>
      <c r="AK80" s="134">
        <v>5290.22</v>
      </c>
      <c r="AL80" s="134"/>
      <c r="AM80" s="136"/>
      <c r="AN80" s="105">
        <f t="shared" si="35"/>
        <v>0</v>
      </c>
      <c r="AO80" s="1744">
        <v>248.38</v>
      </c>
      <c r="AP80" s="143"/>
      <c r="AQ80" s="143"/>
      <c r="AR80" s="146"/>
      <c r="AS80" s="224">
        <f t="shared" si="36"/>
        <v>0</v>
      </c>
      <c r="AT80" s="1553">
        <v>7439.1</v>
      </c>
      <c r="AU80" s="1546"/>
      <c r="AV80" s="1546"/>
      <c r="AW80" s="1546"/>
      <c r="AX80" s="1548"/>
      <c r="AY80" s="1554">
        <v>358.8</v>
      </c>
      <c r="AZ80" s="1548"/>
      <c r="BA80" s="1548"/>
      <c r="BB80" s="1548"/>
      <c r="BC80" s="1546"/>
      <c r="BD80" s="222">
        <f t="shared" si="37"/>
        <v>0</v>
      </c>
      <c r="BE80" s="456">
        <f t="shared" si="38"/>
        <v>0</v>
      </c>
      <c r="BF80" s="132"/>
      <c r="BG80" s="140">
        <f t="shared" si="39"/>
        <v>0</v>
      </c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30">
        <f t="shared" si="40"/>
        <v>0</v>
      </c>
      <c r="BV80" s="132"/>
    </row>
    <row r="81" ht="14.25" customHeight="1">
      <c r="A81" s="132"/>
      <c r="B81" s="512">
        <v>46090</v>
      </c>
      <c r="C81" s="230">
        <f>19387.23-D81-0</f>
      </c>
      <c r="D81" s="134"/>
      <c r="E81" s="135"/>
      <c r="F81" s="135"/>
      <c r="G81" s="147">
        <f t="shared" si="32"/>
        <v>0</v>
      </c>
      <c r="H81" s="1070">
        <v>504.58</v>
      </c>
      <c r="I81" s="801">
        <v>1650</v>
      </c>
      <c r="J81" s="611"/>
      <c r="K81" s="611"/>
      <c r="L81" s="611"/>
      <c r="M81" s="611"/>
      <c r="N81" s="143"/>
      <c r="O81" s="143"/>
      <c r="P81" s="143"/>
      <c r="Q81" s="143"/>
      <c r="R81" s="143"/>
      <c r="S81" s="143"/>
      <c r="T81" s="143"/>
      <c r="U81" s="143"/>
      <c r="V81" s="143"/>
      <c r="W81" s="103">
        <f t="shared" si="33"/>
        <v>0</v>
      </c>
      <c r="X81" s="611"/>
      <c r="Y81" s="611"/>
      <c r="Z81" s="611"/>
      <c r="AA81" s="611"/>
      <c r="AB81" s="611"/>
      <c r="AC81" s="143"/>
      <c r="AD81" s="143"/>
      <c r="AE81" s="143"/>
      <c r="AF81" s="143"/>
      <c r="AG81" s="143"/>
      <c r="AH81" s="143"/>
      <c r="AI81" s="143"/>
      <c r="AJ81" s="103">
        <f t="shared" si="34"/>
        <v>0</v>
      </c>
      <c r="AK81" s="134">
        <v>9672.15</v>
      </c>
      <c r="AL81" s="134"/>
      <c r="AM81" s="136"/>
      <c r="AN81" s="105">
        <f t="shared" si="35"/>
        <v>0</v>
      </c>
      <c r="AO81" s="1744">
        <v>352.51</v>
      </c>
      <c r="AP81" s="143"/>
      <c r="AQ81" s="143"/>
      <c r="AR81" s="146"/>
      <c r="AS81" s="224">
        <f t="shared" si="36"/>
        <v>0</v>
      </c>
      <c r="AT81" s="1553">
        <v>7108.9</v>
      </c>
      <c r="AU81" s="1546"/>
      <c r="AV81" s="1546"/>
      <c r="AW81" s="1546"/>
      <c r="AX81" s="1548"/>
      <c r="AY81" s="1626"/>
      <c r="AZ81" s="1548"/>
      <c r="BA81" s="1548"/>
      <c r="BB81" s="1548"/>
      <c r="BC81" s="1546"/>
      <c r="BD81" s="222">
        <f t="shared" si="37"/>
        <v>0</v>
      </c>
      <c r="BE81" s="456">
        <f t="shared" si="38"/>
        <v>0</v>
      </c>
      <c r="BF81" s="132"/>
      <c r="BG81" s="140">
        <f t="shared" si="39"/>
        <v>0</v>
      </c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50"/>
      <c r="BS81" s="141">
        <v>100</v>
      </c>
      <c r="BT81" s="141"/>
      <c r="BU81" s="130">
        <f t="shared" si="40"/>
        <v>0</v>
      </c>
      <c r="BV81" s="132"/>
    </row>
    <row r="82" ht="14.25" customHeight="1">
      <c r="A82" s="132"/>
      <c r="B82" s="512">
        <v>46091</v>
      </c>
      <c r="C82" s="230">
        <f>24421.46-D82-0</f>
      </c>
      <c r="D82" s="134"/>
      <c r="E82" s="135"/>
      <c r="F82" s="135"/>
      <c r="G82" s="147">
        <f t="shared" si="32"/>
        <v>0</v>
      </c>
      <c r="H82" s="1070">
        <v>766.45</v>
      </c>
      <c r="I82" s="801">
        <v>866.6</v>
      </c>
      <c r="J82" s="611"/>
      <c r="K82" s="611"/>
      <c r="L82" s="611"/>
      <c r="M82" s="611"/>
      <c r="N82" s="143"/>
      <c r="O82" s="143"/>
      <c r="P82" s="143"/>
      <c r="Q82" s="143"/>
      <c r="R82" s="143"/>
      <c r="S82" s="143"/>
      <c r="T82" s="145">
        <v>1479.77</v>
      </c>
      <c r="U82" s="143"/>
      <c r="V82" s="143"/>
      <c r="W82" s="103">
        <f t="shared" si="33"/>
        <v>0</v>
      </c>
      <c r="X82" s="611"/>
      <c r="Y82" s="611"/>
      <c r="Z82" s="611"/>
      <c r="AA82" s="611"/>
      <c r="AB82" s="611"/>
      <c r="AC82" s="143"/>
      <c r="AD82" s="143"/>
      <c r="AE82" s="143"/>
      <c r="AF82" s="143"/>
      <c r="AG82" s="143"/>
      <c r="AH82" s="143"/>
      <c r="AI82" s="143"/>
      <c r="AJ82" s="103">
        <f t="shared" si="34"/>
        <v>0</v>
      </c>
      <c r="AK82" s="134">
        <v>3987.39</v>
      </c>
      <c r="AL82" s="134"/>
      <c r="AM82" s="136"/>
      <c r="AN82" s="105">
        <f t="shared" si="35"/>
        <v>0</v>
      </c>
      <c r="AO82" s="1744">
        <v>428.81</v>
      </c>
      <c r="AP82" s="143"/>
      <c r="AQ82" s="143"/>
      <c r="AR82" s="146"/>
      <c r="AS82" s="224">
        <f t="shared" si="36"/>
        <v>0</v>
      </c>
      <c r="AT82" s="1553">
        <v>9893.6</v>
      </c>
      <c r="AU82" s="1626">
        <v>6879.21</v>
      </c>
      <c r="AV82" s="1546"/>
      <c r="AW82" s="1546"/>
      <c r="AX82" s="1548"/>
      <c r="AY82" s="1626"/>
      <c r="AZ82" s="1548"/>
      <c r="BA82" s="1548"/>
      <c r="BB82" s="1548"/>
      <c r="BC82" s="1546"/>
      <c r="BD82" s="222">
        <f t="shared" si="37"/>
        <v>0</v>
      </c>
      <c r="BE82" s="456">
        <f t="shared" si="38"/>
        <v>0</v>
      </c>
      <c r="BF82" s="132"/>
      <c r="BG82" s="140">
        <f t="shared" si="39"/>
        <v>0</v>
      </c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50"/>
      <c r="BS82" s="141">
        <v>120</v>
      </c>
      <c r="BT82" s="141"/>
      <c r="BU82" s="130">
        <f t="shared" si="40"/>
        <v>0</v>
      </c>
      <c r="BV82" s="132"/>
    </row>
    <row r="83" ht="14.25" customHeight="1">
      <c r="A83" s="132"/>
      <c r="B83" s="512">
        <v>46092</v>
      </c>
      <c r="C83" s="230">
        <f>21304.47-D83-0</f>
      </c>
      <c r="D83" s="134"/>
      <c r="E83" s="135"/>
      <c r="F83" s="135"/>
      <c r="G83" s="147">
        <f t="shared" si="32"/>
        <v>0</v>
      </c>
      <c r="H83" s="1070">
        <v>742.32</v>
      </c>
      <c r="I83" s="611">
        <v>2388.65</v>
      </c>
      <c r="J83" s="611"/>
      <c r="K83" s="611"/>
      <c r="L83" s="611"/>
      <c r="M83" s="611"/>
      <c r="N83" s="143"/>
      <c r="O83" s="143"/>
      <c r="P83" s="143"/>
      <c r="Q83" s="143"/>
      <c r="R83" s="143"/>
      <c r="S83" s="143"/>
      <c r="T83" s="143"/>
      <c r="U83" s="143"/>
      <c r="V83" s="143"/>
      <c r="W83" s="103">
        <f t="shared" si="33"/>
        <v>0</v>
      </c>
      <c r="X83" s="611"/>
      <c r="Y83" s="611"/>
      <c r="Z83" s="611"/>
      <c r="AA83" s="611"/>
      <c r="AB83" s="611"/>
      <c r="AC83" s="143"/>
      <c r="AD83" s="143"/>
      <c r="AE83" s="143"/>
      <c r="AF83" s="143"/>
      <c r="AG83" s="143"/>
      <c r="AH83" s="143"/>
      <c r="AI83" s="143"/>
      <c r="AJ83" s="103">
        <f t="shared" si="34"/>
        <v>0</v>
      </c>
      <c r="AK83" s="134">
        <v>3692.06</v>
      </c>
      <c r="AL83" s="134"/>
      <c r="AM83" s="136"/>
      <c r="AN83" s="105">
        <f t="shared" si="35"/>
        <v>0</v>
      </c>
      <c r="AO83" s="1744">
        <v>339.29</v>
      </c>
      <c r="AP83" s="143"/>
      <c r="AQ83" s="143"/>
      <c r="AR83" s="146"/>
      <c r="AS83" s="224">
        <f t="shared" si="36"/>
        <v>0</v>
      </c>
      <c r="AT83" s="1553">
        <v>11656.6</v>
      </c>
      <c r="AU83" s="1626">
        <v>2385.8</v>
      </c>
      <c r="AV83" s="1546"/>
      <c r="AW83" s="1546"/>
      <c r="AX83" s="1548"/>
      <c r="AY83" s="1626"/>
      <c r="AZ83" s="1548"/>
      <c r="BA83" s="1548"/>
      <c r="BB83" s="1548"/>
      <c r="BC83" s="1546"/>
      <c r="BD83" s="222">
        <f t="shared" si="37"/>
        <v>0</v>
      </c>
      <c r="BE83" s="456">
        <f t="shared" si="38"/>
        <v>0</v>
      </c>
      <c r="BF83" s="132"/>
      <c r="BG83" s="140">
        <f t="shared" si="39"/>
        <v>0</v>
      </c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50"/>
      <c r="BS83" s="141">
        <v>100</v>
      </c>
      <c r="BT83" s="141"/>
      <c r="BU83" s="130">
        <f t="shared" si="40"/>
        <v>0</v>
      </c>
      <c r="BV83" s="132"/>
    </row>
    <row r="84" ht="14.25" customHeight="1">
      <c r="A84" s="132"/>
      <c r="B84" s="512">
        <v>46093</v>
      </c>
      <c r="C84" s="230">
        <f>21469.68-D84-0</f>
      </c>
      <c r="D84" s="134"/>
      <c r="E84" s="135"/>
      <c r="F84" s="135"/>
      <c r="G84" s="147">
        <f t="shared" si="32"/>
        <v>0</v>
      </c>
      <c r="H84" s="1070">
        <v>253.73</v>
      </c>
      <c r="I84" s="801">
        <v>2557.84</v>
      </c>
      <c r="J84" s="611"/>
      <c r="K84" s="611"/>
      <c r="L84" s="611"/>
      <c r="M84" s="611"/>
      <c r="N84" s="143"/>
      <c r="O84" s="143"/>
      <c r="P84" s="143"/>
      <c r="Q84" s="143"/>
      <c r="R84" s="143"/>
      <c r="S84" s="143"/>
      <c r="T84" s="145">
        <v>1599.24</v>
      </c>
      <c r="U84" s="143"/>
      <c r="V84" s="143"/>
      <c r="W84" s="103">
        <f t="shared" si="33"/>
        <v>0</v>
      </c>
      <c r="X84" s="611"/>
      <c r="Y84" s="611"/>
      <c r="Z84" s="611"/>
      <c r="AA84" s="611"/>
      <c r="AB84" s="611"/>
      <c r="AC84" s="143"/>
      <c r="AD84" s="143"/>
      <c r="AE84" s="143"/>
      <c r="AF84" s="143"/>
      <c r="AG84" s="143"/>
      <c r="AH84" s="143"/>
      <c r="AI84" s="143"/>
      <c r="AJ84" s="103">
        <f t="shared" si="34"/>
        <v>0</v>
      </c>
      <c r="AK84" s="134">
        <v>8950.26</v>
      </c>
      <c r="AL84" s="134"/>
      <c r="AM84" s="136"/>
      <c r="AN84" s="105">
        <f t="shared" si="35"/>
        <v>0</v>
      </c>
      <c r="AO84" s="1744">
        <v>284.78</v>
      </c>
      <c r="AP84" s="143"/>
      <c r="AQ84" s="143"/>
      <c r="AR84" s="146"/>
      <c r="AS84" s="224">
        <f t="shared" si="36"/>
        <v>0</v>
      </c>
      <c r="AT84" s="1553">
        <v>5070.3</v>
      </c>
      <c r="AU84" s="1626">
        <v>2610.89</v>
      </c>
      <c r="AV84" s="1546"/>
      <c r="AW84" s="1546"/>
      <c r="AX84" s="1548"/>
      <c r="AY84" s="1626"/>
      <c r="AZ84" s="1548"/>
      <c r="BA84" s="1548"/>
      <c r="BB84" s="1548"/>
      <c r="BC84" s="1546"/>
      <c r="BD84" s="222">
        <f t="shared" si="37"/>
        <v>0</v>
      </c>
      <c r="BE84" s="456">
        <f t="shared" si="38"/>
        <v>0</v>
      </c>
      <c r="BF84" s="132"/>
      <c r="BG84" s="140">
        <f t="shared" si="39"/>
        <v>0</v>
      </c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50"/>
      <c r="BS84" s="141">
        <v>140</v>
      </c>
      <c r="BT84" s="141"/>
      <c r="BU84" s="130">
        <f t="shared" si="40"/>
        <v>0</v>
      </c>
      <c r="BV84" s="132"/>
    </row>
    <row r="85" ht="14.25" customHeight="1">
      <c r="A85" s="132"/>
      <c r="B85" s="512">
        <v>46094</v>
      </c>
      <c r="C85" s="230">
        <f>28240.35-D85-0</f>
      </c>
      <c r="D85" s="134"/>
      <c r="E85" s="135"/>
      <c r="F85" s="135"/>
      <c r="G85" s="147">
        <f t="shared" si="32"/>
        <v>0</v>
      </c>
      <c r="H85" s="1070">
        <v>630.46</v>
      </c>
      <c r="I85" s="611">
        <v>2838.43</v>
      </c>
      <c r="J85" s="611"/>
      <c r="K85" s="611"/>
      <c r="L85" s="611"/>
      <c r="M85" s="611"/>
      <c r="N85" s="143"/>
      <c r="O85" s="143"/>
      <c r="P85" s="143"/>
      <c r="Q85" s="143"/>
      <c r="R85" s="143"/>
      <c r="S85" s="143"/>
      <c r="T85" s="143"/>
      <c r="U85" s="143"/>
      <c r="V85" s="143"/>
      <c r="W85" s="103">
        <f t="shared" si="33"/>
        <v>0</v>
      </c>
      <c r="X85" s="611"/>
      <c r="Y85" s="611"/>
      <c r="Z85" s="611"/>
      <c r="AA85" s="611"/>
      <c r="AB85" s="611"/>
      <c r="AC85" s="143"/>
      <c r="AD85" s="143"/>
      <c r="AE85" s="143"/>
      <c r="AF85" s="143"/>
      <c r="AG85" s="143"/>
      <c r="AH85" s="143"/>
      <c r="AI85" s="143"/>
      <c r="AJ85" s="103">
        <f t="shared" si="34"/>
        <v>0</v>
      </c>
      <c r="AK85" s="134">
        <v>9371.1</v>
      </c>
      <c r="AL85" s="134"/>
      <c r="AM85" s="136"/>
      <c r="AN85" s="105">
        <f t="shared" si="35"/>
        <v>0</v>
      </c>
      <c r="AO85" s="1744">
        <v>526.13</v>
      </c>
      <c r="AP85" s="143"/>
      <c r="AQ85" s="143"/>
      <c r="AR85" s="146"/>
      <c r="AS85" s="224">
        <f t="shared" si="36"/>
        <v>0</v>
      </c>
      <c r="AT85" s="1553">
        <v>8598.4</v>
      </c>
      <c r="AU85" s="1626">
        <v>6176.67</v>
      </c>
      <c r="AV85" s="1546"/>
      <c r="AW85" s="1546"/>
      <c r="AX85" s="1548"/>
      <c r="AY85" s="1626"/>
      <c r="AZ85" s="1548"/>
      <c r="BA85" s="1548"/>
      <c r="BB85" s="1548"/>
      <c r="BC85" s="1546"/>
      <c r="BD85" s="222">
        <f t="shared" si="37"/>
        <v>0</v>
      </c>
      <c r="BE85" s="456">
        <f t="shared" si="38"/>
        <v>0</v>
      </c>
      <c r="BF85" s="132"/>
      <c r="BG85" s="140">
        <f t="shared" si="39"/>
        <v>0</v>
      </c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50"/>
      <c r="BS85" s="141">
        <v>100</v>
      </c>
      <c r="BT85" s="141"/>
      <c r="BU85" s="130">
        <f t="shared" si="40"/>
        <v>0</v>
      </c>
      <c r="BV85" s="132"/>
    </row>
    <row r="86" ht="14.25" customHeight="1">
      <c r="A86" s="132"/>
      <c r="B86" s="512">
        <v>46095</v>
      </c>
      <c r="C86" s="230">
        <f>14119.06-D86-0</f>
      </c>
      <c r="D86" s="134"/>
      <c r="E86" s="135"/>
      <c r="F86" s="135"/>
      <c r="G86" s="147">
        <f t="shared" si="32"/>
        <v>0</v>
      </c>
      <c r="H86" s="1070">
        <v>453.5</v>
      </c>
      <c r="I86" s="801">
        <v>651.1</v>
      </c>
      <c r="J86" s="611"/>
      <c r="K86" s="611"/>
      <c r="L86" s="611"/>
      <c r="M86" s="611"/>
      <c r="N86" s="143"/>
      <c r="O86" s="143"/>
      <c r="P86" s="143"/>
      <c r="Q86" s="143"/>
      <c r="R86" s="143"/>
      <c r="S86" s="143"/>
      <c r="T86" s="143"/>
      <c r="U86" s="143"/>
      <c r="V86" s="143"/>
      <c r="W86" s="103">
        <f t="shared" si="33"/>
        <v>0</v>
      </c>
      <c r="X86" s="611"/>
      <c r="Y86" s="611"/>
      <c r="Z86" s="611"/>
      <c r="AA86" s="611"/>
      <c r="AB86" s="611"/>
      <c r="AC86" s="143"/>
      <c r="AD86" s="143"/>
      <c r="AE86" s="143"/>
      <c r="AF86" s="143"/>
      <c r="AG86" s="143"/>
      <c r="AH86" s="143"/>
      <c r="AI86" s="143"/>
      <c r="AJ86" s="103">
        <f t="shared" si="34"/>
        <v>0</v>
      </c>
      <c r="AK86" s="134">
        <v>3234.12</v>
      </c>
      <c r="AL86" s="134"/>
      <c r="AM86" s="136"/>
      <c r="AN86" s="105">
        <f t="shared" si="35"/>
        <v>0</v>
      </c>
      <c r="AO86" s="1744">
        <v>240.92</v>
      </c>
      <c r="AP86" s="143"/>
      <c r="AQ86" s="143"/>
      <c r="AR86" s="146"/>
      <c r="AS86" s="224">
        <f t="shared" si="36"/>
        <v>0</v>
      </c>
      <c r="AT86" s="1553">
        <v>5592.8</v>
      </c>
      <c r="AU86" s="1626">
        <v>3947.5</v>
      </c>
      <c r="AV86" s="1546"/>
      <c r="AW86" s="1546"/>
      <c r="AX86" s="1548"/>
      <c r="AY86" s="1626"/>
      <c r="AZ86" s="1548"/>
      <c r="BA86" s="1548"/>
      <c r="BB86" s="1548"/>
      <c r="BC86" s="1546"/>
      <c r="BD86" s="222">
        <f t="shared" si="37"/>
        <v>0</v>
      </c>
      <c r="BE86" s="456">
        <f t="shared" si="38"/>
        <v>0</v>
      </c>
      <c r="BF86" s="132"/>
      <c r="BG86" s="140">
        <f t="shared" si="39"/>
        <v>0</v>
      </c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30">
        <f t="shared" si="40"/>
        <v>0</v>
      </c>
      <c r="BV86" s="132"/>
    </row>
    <row r="87" ht="14.25" customHeight="1">
      <c r="A87" s="132"/>
      <c r="B87" s="512">
        <v>46096</v>
      </c>
      <c r="C87" s="230">
        <f>7449.13-D87-0</f>
      </c>
      <c r="D87" s="134"/>
      <c r="E87" s="135"/>
      <c r="F87" s="135"/>
      <c r="G87" s="147">
        <f t="shared" si="32"/>
        <v>0</v>
      </c>
      <c r="H87" s="1070">
        <v>213.06</v>
      </c>
      <c r="I87" s="801">
        <v>350</v>
      </c>
      <c r="J87" s="611"/>
      <c r="K87" s="611"/>
      <c r="L87" s="611"/>
      <c r="M87" s="611"/>
      <c r="N87" s="143"/>
      <c r="O87" s="143"/>
      <c r="P87" s="143"/>
      <c r="Q87" s="143"/>
      <c r="R87" s="143"/>
      <c r="S87" s="143"/>
      <c r="T87" s="143"/>
      <c r="U87" s="143"/>
      <c r="V87" s="143"/>
      <c r="W87" s="103">
        <f t="shared" si="33"/>
        <v>0</v>
      </c>
      <c r="X87" s="611"/>
      <c r="Y87" s="611"/>
      <c r="Z87" s="611"/>
      <c r="AA87" s="611"/>
      <c r="AB87" s="611"/>
      <c r="AC87" s="143"/>
      <c r="AD87" s="143"/>
      <c r="AE87" s="143"/>
      <c r="AF87" s="143"/>
      <c r="AG87" s="143"/>
      <c r="AH87" s="143"/>
      <c r="AI87" s="143"/>
      <c r="AJ87" s="103">
        <f t="shared" si="34"/>
        <v>0</v>
      </c>
      <c r="AK87" s="134">
        <v>3155.61</v>
      </c>
      <c r="AL87" s="134"/>
      <c r="AM87" s="136"/>
      <c r="AN87" s="105">
        <f t="shared" si="35"/>
        <v>0</v>
      </c>
      <c r="AO87" s="1744">
        <v>78.91</v>
      </c>
      <c r="AP87" s="143"/>
      <c r="AQ87" s="143"/>
      <c r="AR87" s="146"/>
      <c r="AS87" s="224">
        <f t="shared" si="36"/>
        <v>0</v>
      </c>
      <c r="AT87" s="1553">
        <v>3652.1</v>
      </c>
      <c r="AU87" s="1546"/>
      <c r="AV87" s="1546"/>
      <c r="AW87" s="1546"/>
      <c r="AX87" s="1548"/>
      <c r="AY87" s="1626"/>
      <c r="AZ87" s="1548"/>
      <c r="BA87" s="1548"/>
      <c r="BB87" s="1548"/>
      <c r="BC87" s="1546"/>
      <c r="BD87" s="222">
        <f t="shared" si="37"/>
        <v>0</v>
      </c>
      <c r="BE87" s="456">
        <f t="shared" si="38"/>
        <v>0</v>
      </c>
      <c r="BF87" s="132"/>
      <c r="BG87" s="140">
        <f t="shared" si="39"/>
        <v>0</v>
      </c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30">
        <f t="shared" si="40"/>
        <v>0</v>
      </c>
      <c r="BV87" s="132"/>
    </row>
    <row r="88" ht="14.25" customHeight="1">
      <c r="A88" s="132"/>
      <c r="B88" s="512">
        <v>46097</v>
      </c>
      <c r="C88" s="230">
        <f>16704.86-D88-0</f>
      </c>
      <c r="D88" s="134"/>
      <c r="E88" s="135"/>
      <c r="F88" s="135"/>
      <c r="G88" s="147">
        <f t="shared" si="32"/>
        <v>0</v>
      </c>
      <c r="H88" s="1070">
        <v>418.99</v>
      </c>
      <c r="I88" s="801">
        <v>2479.81</v>
      </c>
      <c r="J88" s="611"/>
      <c r="K88" s="611"/>
      <c r="L88" s="611"/>
      <c r="M88" s="611"/>
      <c r="N88" s="143"/>
      <c r="O88" s="143"/>
      <c r="P88" s="143"/>
      <c r="Q88" s="143"/>
      <c r="R88" s="143"/>
      <c r="S88" s="143"/>
      <c r="T88" s="145">
        <v>1799.1</v>
      </c>
      <c r="U88" s="143"/>
      <c r="V88" s="143"/>
      <c r="W88" s="103">
        <f t="shared" si="33"/>
        <v>0</v>
      </c>
      <c r="X88" s="611"/>
      <c r="Y88" s="611"/>
      <c r="Z88" s="611"/>
      <c r="AA88" s="611"/>
      <c r="AB88" s="611"/>
      <c r="AC88" s="143"/>
      <c r="AD88" s="143"/>
      <c r="AE88" s="143"/>
      <c r="AF88" s="143"/>
      <c r="AG88" s="143"/>
      <c r="AH88" s="143"/>
      <c r="AI88" s="143"/>
      <c r="AJ88" s="103">
        <f t="shared" si="34"/>
        <v>0</v>
      </c>
      <c r="AK88" s="134">
        <v>2730.63</v>
      </c>
      <c r="AL88" s="134"/>
      <c r="AM88" s="136"/>
      <c r="AN88" s="105">
        <f t="shared" si="35"/>
        <v>0</v>
      </c>
      <c r="AO88" s="1744">
        <v>198.04</v>
      </c>
      <c r="AP88" s="143"/>
      <c r="AQ88" s="143"/>
      <c r="AR88" s="146"/>
      <c r="AS88" s="224">
        <f t="shared" si="36"/>
        <v>0</v>
      </c>
      <c r="AT88" s="1690">
        <v>8174.1</v>
      </c>
      <c r="AU88" s="1626">
        <v>805.26</v>
      </c>
      <c r="AV88" s="1546"/>
      <c r="AW88" s="1546"/>
      <c r="AX88" s="1548"/>
      <c r="AY88" s="1626"/>
      <c r="AZ88" s="1548"/>
      <c r="BA88" s="1548"/>
      <c r="BB88" s="1548"/>
      <c r="BC88" s="1546"/>
      <c r="BD88" s="222">
        <f t="shared" si="37"/>
        <v>0</v>
      </c>
      <c r="BE88" s="456">
        <f t="shared" si="38"/>
        <v>0</v>
      </c>
      <c r="BF88" s="132"/>
      <c r="BG88" s="140">
        <f t="shared" si="39"/>
        <v>0</v>
      </c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50"/>
      <c r="BS88" s="141">
        <v>100</v>
      </c>
      <c r="BT88" s="141"/>
      <c r="BU88" s="130">
        <f t="shared" si="40"/>
        <v>0</v>
      </c>
      <c r="BV88" s="132"/>
    </row>
    <row r="89" ht="14.25" customHeight="1">
      <c r="A89" s="132"/>
      <c r="B89" s="512">
        <v>46098</v>
      </c>
      <c r="C89" s="230">
        <f>33237.98-D89-0</f>
      </c>
      <c r="D89" s="134"/>
      <c r="E89" s="135"/>
      <c r="F89" s="135"/>
      <c r="G89" s="147">
        <f t="shared" si="32"/>
        <v>0</v>
      </c>
      <c r="H89" s="1070">
        <v>269.17</v>
      </c>
      <c r="I89" s="801">
        <v>1230</v>
      </c>
      <c r="J89" s="611"/>
      <c r="K89" s="611"/>
      <c r="L89" s="611"/>
      <c r="M89" s="611"/>
      <c r="N89" s="143"/>
      <c r="O89" s="143"/>
      <c r="P89" s="143"/>
      <c r="Q89" s="143"/>
      <c r="R89" s="143"/>
      <c r="S89" s="143"/>
      <c r="T89" s="143"/>
      <c r="U89" s="143"/>
      <c r="V89" s="143"/>
      <c r="W89" s="103">
        <f t="shared" si="33"/>
        <v>0</v>
      </c>
      <c r="X89" s="611"/>
      <c r="Y89" s="611"/>
      <c r="Z89" s="611"/>
      <c r="AA89" s="611"/>
      <c r="AB89" s="611"/>
      <c r="AC89" s="143"/>
      <c r="AD89" s="143"/>
      <c r="AE89" s="143"/>
      <c r="AF89" s="143"/>
      <c r="AG89" s="143"/>
      <c r="AH89" s="143"/>
      <c r="AI89" s="143"/>
      <c r="AJ89" s="103">
        <f t="shared" si="34"/>
        <v>0</v>
      </c>
      <c r="AK89" s="134">
        <v>10771.14</v>
      </c>
      <c r="AL89" s="134"/>
      <c r="AM89" s="136"/>
      <c r="AN89" s="105">
        <f t="shared" si="35"/>
        <v>0</v>
      </c>
      <c r="AO89" s="1744">
        <v>433.01</v>
      </c>
      <c r="AP89" s="143"/>
      <c r="AQ89" s="143"/>
      <c r="AR89" s="146"/>
      <c r="AS89" s="224">
        <f t="shared" si="36"/>
        <v>0</v>
      </c>
      <c r="AT89" s="1690">
        <v>15874.2</v>
      </c>
      <c r="AU89" s="1626">
        <v>4661.96</v>
      </c>
      <c r="AV89" s="1546"/>
      <c r="AW89" s="1546"/>
      <c r="AX89" s="1548"/>
      <c r="AY89" s="1626"/>
      <c r="AZ89" s="1548"/>
      <c r="BA89" s="1548"/>
      <c r="BB89" s="1548"/>
      <c r="BC89" s="1546"/>
      <c r="BD89" s="222">
        <f t="shared" si="37"/>
        <v>0</v>
      </c>
      <c r="BE89" s="456">
        <f t="shared" si="38"/>
        <v>0</v>
      </c>
      <c r="BF89" s="132"/>
      <c r="BG89" s="140">
        <f t="shared" si="39"/>
        <v>0</v>
      </c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30">
        <f t="shared" si="40"/>
        <v>0</v>
      </c>
      <c r="BV89" s="132"/>
    </row>
    <row r="90" ht="14.25" customHeight="1">
      <c r="A90" s="132"/>
      <c r="B90" s="512">
        <v>46099</v>
      </c>
      <c r="C90" s="230">
        <f>30090.01-D90-0</f>
      </c>
      <c r="D90" s="134"/>
      <c r="E90" s="135"/>
      <c r="F90" s="135"/>
      <c r="G90" s="147">
        <f t="shared" si="32"/>
        <v>0</v>
      </c>
      <c r="H90" s="1070">
        <v>805.34</v>
      </c>
      <c r="I90" s="801">
        <v>3646.99</v>
      </c>
      <c r="J90" s="611"/>
      <c r="K90" s="611"/>
      <c r="L90" s="611"/>
      <c r="M90" s="611"/>
      <c r="N90" s="143"/>
      <c r="O90" s="143"/>
      <c r="P90" s="143"/>
      <c r="Q90" s="143"/>
      <c r="R90" s="143"/>
      <c r="S90" s="143"/>
      <c r="T90" s="145">
        <v>240.23</v>
      </c>
      <c r="U90" s="143"/>
      <c r="V90" s="143"/>
      <c r="W90" s="103">
        <f t="shared" si="33"/>
        <v>0</v>
      </c>
      <c r="X90" s="611"/>
      <c r="Y90" s="611"/>
      <c r="Z90" s="611"/>
      <c r="AA90" s="611"/>
      <c r="AB90" s="611"/>
      <c r="AC90" s="143"/>
      <c r="AD90" s="143"/>
      <c r="AE90" s="143"/>
      <c r="AF90" s="143"/>
      <c r="AG90" s="143"/>
      <c r="AH90" s="143"/>
      <c r="AI90" s="143"/>
      <c r="AJ90" s="103">
        <f t="shared" si="34"/>
        <v>0</v>
      </c>
      <c r="AK90" s="134">
        <v>10847.71</v>
      </c>
      <c r="AL90" s="134"/>
      <c r="AM90" s="136"/>
      <c r="AN90" s="105">
        <f t="shared" si="35"/>
        <v>0</v>
      </c>
      <c r="AO90" s="1744">
        <v>475.02</v>
      </c>
      <c r="AP90" s="143"/>
      <c r="AQ90" s="143"/>
      <c r="AR90" s="146"/>
      <c r="AS90" s="224">
        <f t="shared" si="36"/>
        <v>0</v>
      </c>
      <c r="AT90" s="1690">
        <v>7874.1</v>
      </c>
      <c r="AU90" s="1626">
        <v>6102.08</v>
      </c>
      <c r="AV90" s="1546"/>
      <c r="AW90" s="1546"/>
      <c r="AX90" s="1548"/>
      <c r="AY90" s="1626"/>
      <c r="AZ90" s="1548"/>
      <c r="BA90" s="1548"/>
      <c r="BB90" s="1548"/>
      <c r="BC90" s="1546"/>
      <c r="BD90" s="222">
        <f t="shared" si="37"/>
        <v>0</v>
      </c>
      <c r="BE90" s="456">
        <f t="shared" si="38"/>
        <v>0</v>
      </c>
      <c r="BF90" s="132"/>
      <c r="BG90" s="140">
        <f t="shared" si="39"/>
        <v>0</v>
      </c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50"/>
      <c r="BS90" s="141">
        <v>100</v>
      </c>
      <c r="BT90" s="141"/>
      <c r="BU90" s="130">
        <f t="shared" si="40"/>
        <v>0</v>
      </c>
      <c r="BV90" s="132"/>
    </row>
    <row r="91" ht="14.25" customHeight="1">
      <c r="A91" s="132"/>
      <c r="B91" s="512">
        <v>46100</v>
      </c>
      <c r="C91" s="230">
        <f>15662.33-D91-0</f>
      </c>
      <c r="D91" s="134"/>
      <c r="E91" s="135"/>
      <c r="F91" s="135"/>
      <c r="G91" s="147">
        <f t="shared" si="32"/>
        <v>0</v>
      </c>
      <c r="H91" s="1070">
        <v>299.08</v>
      </c>
      <c r="I91" s="801">
        <v>2064.17</v>
      </c>
      <c r="J91" s="611"/>
      <c r="K91" s="611"/>
      <c r="L91" s="611"/>
      <c r="M91" s="611"/>
      <c r="N91" s="143"/>
      <c r="O91" s="143"/>
      <c r="P91" s="143"/>
      <c r="Q91" s="143"/>
      <c r="R91" s="143"/>
      <c r="S91" s="143"/>
      <c r="T91" s="145">
        <v>859.6</v>
      </c>
      <c r="U91" s="143"/>
      <c r="V91" s="143"/>
      <c r="W91" s="103">
        <f t="shared" si="33"/>
        <v>0</v>
      </c>
      <c r="X91" s="611"/>
      <c r="Y91" s="611"/>
      <c r="Z91" s="611"/>
      <c r="AA91" s="611"/>
      <c r="AB91" s="611"/>
      <c r="AC91" s="143"/>
      <c r="AD91" s="143"/>
      <c r="AE91" s="143"/>
      <c r="AF91" s="143"/>
      <c r="AG91" s="143"/>
      <c r="AH91" s="143"/>
      <c r="AI91" s="143"/>
      <c r="AJ91" s="103">
        <f t="shared" si="34"/>
        <v>0</v>
      </c>
      <c r="AK91" s="134">
        <v>3129.97</v>
      </c>
      <c r="AL91" s="134"/>
      <c r="AM91" s="136"/>
      <c r="AN91" s="105">
        <f t="shared" si="35"/>
        <v>0</v>
      </c>
      <c r="AO91" s="1744">
        <v>155.91</v>
      </c>
      <c r="AP91" s="143"/>
      <c r="AQ91" s="143"/>
      <c r="AR91" s="146"/>
      <c r="AS91" s="224">
        <f t="shared" si="36"/>
        <v>0</v>
      </c>
      <c r="AT91" s="1690">
        <v>8020.3</v>
      </c>
      <c r="AU91" s="1626">
        <v>644.7</v>
      </c>
      <c r="AV91" s="1546"/>
      <c r="AW91" s="1546"/>
      <c r="AX91" s="1548"/>
      <c r="AY91" s="1626"/>
      <c r="AZ91" s="1548"/>
      <c r="BA91" s="1548"/>
      <c r="BB91" s="1548"/>
      <c r="BC91" s="1546"/>
      <c r="BD91" s="222">
        <f t="shared" si="37"/>
        <v>0</v>
      </c>
      <c r="BE91" s="456">
        <f t="shared" si="38"/>
        <v>0</v>
      </c>
      <c r="BF91" s="132"/>
      <c r="BG91" s="140">
        <f t="shared" si="39"/>
        <v>0</v>
      </c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50"/>
      <c r="BS91" s="141">
        <v>490</v>
      </c>
      <c r="BT91" s="141"/>
      <c r="BU91" s="130">
        <f t="shared" si="40"/>
        <v>0</v>
      </c>
      <c r="BV91" s="132"/>
    </row>
    <row r="92" ht="14.25" customHeight="1">
      <c r="A92" s="132"/>
      <c r="B92" s="512">
        <v>46101</v>
      </c>
      <c r="C92" s="230">
        <f>29352.31-D92-0</f>
      </c>
      <c r="D92" s="134">
        <v>0.01</v>
      </c>
      <c r="E92" s="135"/>
      <c r="F92" s="135"/>
      <c r="G92" s="147">
        <f t="shared" si="32"/>
        <v>0</v>
      </c>
      <c r="H92" s="1070">
        <v>769.4</v>
      </c>
      <c r="I92" s="801">
        <v>2386.88</v>
      </c>
      <c r="J92" s="611"/>
      <c r="K92" s="611"/>
      <c r="L92" s="611"/>
      <c r="M92" s="611"/>
      <c r="N92" s="143"/>
      <c r="O92" s="143"/>
      <c r="P92" s="143"/>
      <c r="Q92" s="143"/>
      <c r="R92" s="143"/>
      <c r="S92" s="143"/>
      <c r="T92" s="143"/>
      <c r="U92" s="143"/>
      <c r="V92" s="143"/>
      <c r="W92" s="103">
        <f t="shared" si="33"/>
        <v>0</v>
      </c>
      <c r="X92" s="611"/>
      <c r="Y92" s="611"/>
      <c r="Z92" s="611"/>
      <c r="AA92" s="611"/>
      <c r="AB92" s="611"/>
      <c r="AC92" s="143"/>
      <c r="AD92" s="143"/>
      <c r="AE92" s="143"/>
      <c r="AF92" s="143"/>
      <c r="AG92" s="143"/>
      <c r="AH92" s="143"/>
      <c r="AI92" s="143"/>
      <c r="AJ92" s="103">
        <f t="shared" si="34"/>
        <v>0</v>
      </c>
      <c r="AK92" s="134">
        <v>11551.92</v>
      </c>
      <c r="AL92" s="134"/>
      <c r="AM92" s="136"/>
      <c r="AN92" s="105">
        <f t="shared" si="35"/>
        <v>0</v>
      </c>
      <c r="AO92" s="1744">
        <v>382.49</v>
      </c>
      <c r="AP92" s="143"/>
      <c r="AQ92" s="143"/>
      <c r="AR92" s="146"/>
      <c r="AS92" s="224">
        <f t="shared" si="36"/>
        <v>0</v>
      </c>
      <c r="AT92" s="1690">
        <v>13410.9</v>
      </c>
      <c r="AU92" s="1626">
        <v>752.15</v>
      </c>
      <c r="AV92" s="1546"/>
      <c r="AW92" s="1546"/>
      <c r="AX92" s="1548"/>
      <c r="AY92" s="1626"/>
      <c r="AZ92" s="1548"/>
      <c r="BA92" s="1548"/>
      <c r="BB92" s="1548"/>
      <c r="BC92" s="1546"/>
      <c r="BD92" s="222">
        <f t="shared" si="37"/>
        <v>0</v>
      </c>
      <c r="BE92" s="456">
        <f t="shared" si="38"/>
        <v>0</v>
      </c>
      <c r="BF92" s="132"/>
      <c r="BG92" s="140">
        <f t="shared" si="39"/>
        <v>0</v>
      </c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50"/>
      <c r="BS92" s="141">
        <v>100</v>
      </c>
      <c r="BT92" s="141"/>
      <c r="BU92" s="130">
        <f t="shared" si="40"/>
        <v>0</v>
      </c>
      <c r="BV92" s="132"/>
    </row>
    <row r="93" ht="14.25" customHeight="1">
      <c r="A93" s="132"/>
      <c r="B93" s="512">
        <v>46102</v>
      </c>
      <c r="C93" s="230">
        <f>8347.08-D93-0</f>
      </c>
      <c r="D93" s="134"/>
      <c r="E93" s="135"/>
      <c r="F93" s="135"/>
      <c r="G93" s="147">
        <f t="shared" si="32"/>
        <v>0</v>
      </c>
      <c r="H93" s="768"/>
      <c r="I93" s="801">
        <v>1250.02</v>
      </c>
      <c r="J93" s="611"/>
      <c r="K93" s="611"/>
      <c r="L93" s="611"/>
      <c r="M93" s="611"/>
      <c r="N93" s="143"/>
      <c r="O93" s="143"/>
      <c r="P93" s="143"/>
      <c r="Q93" s="143"/>
      <c r="R93" s="143"/>
      <c r="S93" s="143"/>
      <c r="T93" s="143"/>
      <c r="U93" s="143"/>
      <c r="V93" s="143"/>
      <c r="W93" s="103">
        <f t="shared" si="33"/>
        <v>0</v>
      </c>
      <c r="X93" s="611"/>
      <c r="Y93" s="611"/>
      <c r="Z93" s="611"/>
      <c r="AA93" s="611"/>
      <c r="AB93" s="611"/>
      <c r="AC93" s="143"/>
      <c r="AD93" s="143"/>
      <c r="AE93" s="143"/>
      <c r="AF93" s="143"/>
      <c r="AG93" s="143"/>
      <c r="AH93" s="143"/>
      <c r="AI93" s="143"/>
      <c r="AJ93" s="103">
        <f t="shared" si="34"/>
        <v>0</v>
      </c>
      <c r="AK93" s="134">
        <v>1493.75</v>
      </c>
      <c r="AL93" s="134"/>
      <c r="AM93" s="136"/>
      <c r="AN93" s="105">
        <f t="shared" si="35"/>
        <v>0</v>
      </c>
      <c r="AO93" s="1744">
        <v>42.5</v>
      </c>
      <c r="AP93" s="143"/>
      <c r="AQ93" s="143"/>
      <c r="AR93" s="146"/>
      <c r="AS93" s="224">
        <f t="shared" si="36"/>
        <v>0</v>
      </c>
      <c r="AT93" s="1690">
        <v>3693.1</v>
      </c>
      <c r="AU93" s="1626">
        <v>1868.07</v>
      </c>
      <c r="AV93" s="1546"/>
      <c r="AW93" s="1546"/>
      <c r="AX93" s="1548"/>
      <c r="AY93" s="1626"/>
      <c r="AZ93" s="1548"/>
      <c r="BA93" s="1548"/>
      <c r="BB93" s="1548"/>
      <c r="BC93" s="1546"/>
      <c r="BD93" s="222">
        <f t="shared" si="37"/>
        <v>0</v>
      </c>
      <c r="BE93" s="456">
        <f t="shared" si="38"/>
        <v>0</v>
      </c>
      <c r="BF93" s="132"/>
      <c r="BG93" s="140">
        <f t="shared" si="39"/>
        <v>0</v>
      </c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30">
        <f t="shared" si="40"/>
        <v>0</v>
      </c>
      <c r="BV93" s="132"/>
    </row>
    <row r="94" ht="14.25" customHeight="1">
      <c r="A94" s="132"/>
      <c r="B94" s="512">
        <v>46103</v>
      </c>
      <c r="C94" s="230">
        <f>15787.59-D94-0</f>
      </c>
      <c r="D94" s="134"/>
      <c r="E94" s="135"/>
      <c r="F94" s="135"/>
      <c r="G94" s="147">
        <f t="shared" si="32"/>
        <v>0</v>
      </c>
      <c r="H94" s="1070">
        <v>838.24</v>
      </c>
      <c r="I94" s="801">
        <v>2141.71</v>
      </c>
      <c r="J94" s="611"/>
      <c r="K94" s="611"/>
      <c r="L94" s="611"/>
      <c r="M94" s="611"/>
      <c r="N94" s="143"/>
      <c r="O94" s="143"/>
      <c r="P94" s="143"/>
      <c r="Q94" s="143"/>
      <c r="R94" s="143"/>
      <c r="S94" s="143"/>
      <c r="T94" s="145">
        <v>2458.11</v>
      </c>
      <c r="U94" s="143"/>
      <c r="V94" s="143"/>
      <c r="W94" s="103">
        <f t="shared" si="33"/>
        <v>0</v>
      </c>
      <c r="X94" s="611"/>
      <c r="Y94" s="611"/>
      <c r="Z94" s="611"/>
      <c r="AA94" s="611"/>
      <c r="AB94" s="611"/>
      <c r="AC94" s="143"/>
      <c r="AD94" s="143"/>
      <c r="AE94" s="143"/>
      <c r="AF94" s="143"/>
      <c r="AG94" s="143"/>
      <c r="AH94" s="143"/>
      <c r="AI94" s="143"/>
      <c r="AJ94" s="103">
        <f t="shared" si="34"/>
        <v>0</v>
      </c>
      <c r="AK94" s="134">
        <v>2110.76</v>
      </c>
      <c r="AL94" s="134"/>
      <c r="AM94" s="136"/>
      <c r="AN94" s="105">
        <f t="shared" si="35"/>
        <v>0</v>
      </c>
      <c r="AO94" s="1744">
        <v>211.42</v>
      </c>
      <c r="AP94" s="143"/>
      <c r="AQ94" s="143"/>
      <c r="AR94" s="146"/>
      <c r="AS94" s="224">
        <f t="shared" si="36"/>
        <v>0</v>
      </c>
      <c r="AT94" s="1690">
        <v>8028.5</v>
      </c>
      <c r="AU94" s="1546"/>
      <c r="AV94" s="1546"/>
      <c r="AW94" s="1546"/>
      <c r="AX94" s="1548"/>
      <c r="AY94" s="1626"/>
      <c r="AZ94" s="1548"/>
      <c r="BA94" s="1548"/>
      <c r="BB94" s="1548"/>
      <c r="BC94" s="1546"/>
      <c r="BD94" s="222">
        <f t="shared" si="37"/>
        <v>0</v>
      </c>
      <c r="BE94" s="456">
        <f t="shared" si="38"/>
        <v>0</v>
      </c>
      <c r="BF94" s="132"/>
      <c r="BG94" s="140">
        <f t="shared" si="39"/>
        <v>0</v>
      </c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30">
        <f t="shared" si="40"/>
        <v>0</v>
      </c>
      <c r="BV94" s="132"/>
    </row>
    <row r="95" ht="14.25" customHeight="1">
      <c r="A95" s="132"/>
      <c r="B95" s="512">
        <v>46104</v>
      </c>
      <c r="C95" s="230">
        <f>20913.88-D95-0</f>
      </c>
      <c r="D95" s="134"/>
      <c r="E95" s="135"/>
      <c r="F95" s="135"/>
      <c r="G95" s="147">
        <f t="shared" si="32"/>
        <v>0</v>
      </c>
      <c r="H95" s="768"/>
      <c r="I95" s="801">
        <v>1891.99</v>
      </c>
      <c r="J95" s="611"/>
      <c r="K95" s="611"/>
      <c r="L95" s="611"/>
      <c r="M95" s="611"/>
      <c r="N95" s="143"/>
      <c r="O95" s="143"/>
      <c r="P95" s="143"/>
      <c r="Q95" s="143"/>
      <c r="R95" s="143"/>
      <c r="S95" s="143"/>
      <c r="T95" s="143"/>
      <c r="U95" s="143"/>
      <c r="V95" s="143"/>
      <c r="W95" s="103">
        <f t="shared" si="33"/>
        <v>0</v>
      </c>
      <c r="X95" s="611"/>
      <c r="Y95" s="611"/>
      <c r="Z95" s="611"/>
      <c r="AA95" s="611"/>
      <c r="AB95" s="611"/>
      <c r="AC95" s="143"/>
      <c r="AD95" s="143"/>
      <c r="AE95" s="143"/>
      <c r="AF95" s="143"/>
      <c r="AG95" s="143"/>
      <c r="AH95" s="143"/>
      <c r="AI95" s="143"/>
      <c r="AJ95" s="103">
        <f t="shared" si="34"/>
        <v>0</v>
      </c>
      <c r="AK95" s="134">
        <v>9971.44</v>
      </c>
      <c r="AL95" s="134"/>
      <c r="AM95" s="136"/>
      <c r="AN95" s="105">
        <f t="shared" si="35"/>
        <v>0</v>
      </c>
      <c r="AO95" s="1744">
        <v>207.57</v>
      </c>
      <c r="AP95" s="143"/>
      <c r="AQ95" s="143"/>
      <c r="AR95" s="146"/>
      <c r="AS95" s="224">
        <f t="shared" si="36"/>
        <v>0</v>
      </c>
      <c r="AT95" s="1690">
        <v>7991.9</v>
      </c>
      <c r="AU95" s="1626">
        <v>752.15</v>
      </c>
      <c r="AV95" s="1546"/>
      <c r="AW95" s="1546"/>
      <c r="AX95" s="1548"/>
      <c r="AY95" s="1626"/>
      <c r="AZ95" s="1548"/>
      <c r="BA95" s="1548"/>
      <c r="BB95" s="1548"/>
      <c r="BC95" s="1546"/>
      <c r="BD95" s="222">
        <f t="shared" si="37"/>
        <v>0</v>
      </c>
      <c r="BE95" s="456">
        <f t="shared" si="38"/>
        <v>0</v>
      </c>
      <c r="BF95" s="132"/>
      <c r="BG95" s="140">
        <f t="shared" si="39"/>
        <v>0</v>
      </c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50"/>
      <c r="BS95" s="141">
        <v>100</v>
      </c>
      <c r="BT95" s="141"/>
      <c r="BU95" s="130">
        <f t="shared" si="40"/>
        <v>0</v>
      </c>
      <c r="BV95" s="132"/>
    </row>
    <row r="96" ht="14.25" customHeight="1">
      <c r="A96" s="132"/>
      <c r="B96" s="512">
        <v>46105</v>
      </c>
      <c r="C96" s="133">
        <f>45126.63-D96-0</f>
      </c>
      <c r="D96" s="134">
        <v>1211.94</v>
      </c>
      <c r="E96" s="135"/>
      <c r="F96" s="135"/>
      <c r="G96" s="147">
        <f t="shared" si="32"/>
        <v>0</v>
      </c>
      <c r="H96" s="1070">
        <v>800.98</v>
      </c>
      <c r="I96" s="801">
        <v>3216.09</v>
      </c>
      <c r="J96" s="611"/>
      <c r="K96" s="611"/>
      <c r="L96" s="611"/>
      <c r="M96" s="611"/>
      <c r="N96" s="143"/>
      <c r="O96" s="143"/>
      <c r="P96" s="143"/>
      <c r="Q96" s="143"/>
      <c r="R96" s="143"/>
      <c r="S96" s="143"/>
      <c r="T96" s="145">
        <v>859.6</v>
      </c>
      <c r="U96" s="143"/>
      <c r="V96" s="143"/>
      <c r="W96" s="103">
        <f t="shared" si="33"/>
        <v>0</v>
      </c>
      <c r="X96" s="611"/>
      <c r="Y96" s="611"/>
      <c r="Z96" s="611"/>
      <c r="AA96" s="611"/>
      <c r="AB96" s="611"/>
      <c r="AC96" s="143"/>
      <c r="AD96" s="143"/>
      <c r="AE96" s="143"/>
      <c r="AF96" s="143"/>
      <c r="AG96" s="143"/>
      <c r="AH96" s="143"/>
      <c r="AI96" s="143"/>
      <c r="AJ96" s="103">
        <f t="shared" si="34"/>
        <v>0</v>
      </c>
      <c r="AK96" s="134">
        <v>22140.75</v>
      </c>
      <c r="AL96" s="134">
        <v>70</v>
      </c>
      <c r="AM96" s="136"/>
      <c r="AN96" s="105">
        <f t="shared" si="35"/>
        <v>0</v>
      </c>
      <c r="AO96" s="1744">
        <v>590.23</v>
      </c>
      <c r="AP96" s="143"/>
      <c r="AQ96" s="143"/>
      <c r="AR96" s="146"/>
      <c r="AS96" s="224">
        <f t="shared" si="36"/>
        <v>0</v>
      </c>
      <c r="AT96" s="1690">
        <v>14042.6</v>
      </c>
      <c r="AU96" s="1626">
        <v>1375.32</v>
      </c>
      <c r="AV96" s="1546"/>
      <c r="AW96" s="1546"/>
      <c r="AX96" s="1548"/>
      <c r="AY96" s="1554">
        <v>1142</v>
      </c>
      <c r="AZ96" s="1548"/>
      <c r="BA96" s="1548"/>
      <c r="BB96" s="1548"/>
      <c r="BC96" s="1546"/>
      <c r="BD96" s="222">
        <f t="shared" si="37"/>
        <v>0</v>
      </c>
      <c r="BE96" s="456">
        <f t="shared" si="38"/>
        <v>0</v>
      </c>
      <c r="BF96" s="132"/>
      <c r="BG96" s="140">
        <f t="shared" si="39"/>
        <v>0</v>
      </c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50"/>
      <c r="BS96" s="495">
        <v>890</v>
      </c>
      <c r="BT96" s="141"/>
      <c r="BU96" s="130">
        <f t="shared" si="40"/>
        <v>0</v>
      </c>
      <c r="BV96" s="132"/>
    </row>
    <row r="97" ht="13.5" customHeight="1">
      <c r="A97" s="132"/>
      <c r="B97" s="512">
        <v>46106</v>
      </c>
      <c r="C97" s="133">
        <f>66874.22-D97-0</f>
      </c>
      <c r="D97" s="134">
        <v>1738.41</v>
      </c>
      <c r="E97" s="135"/>
      <c r="F97" s="135"/>
      <c r="G97" s="147">
        <f t="shared" si="32"/>
        <v>0</v>
      </c>
      <c r="H97" s="1070">
        <v>869.91</v>
      </c>
      <c r="I97" s="801">
        <v>1550</v>
      </c>
      <c r="J97" s="611"/>
      <c r="K97" s="611"/>
      <c r="L97" s="611"/>
      <c r="M97" s="611"/>
      <c r="N97" s="143"/>
      <c r="O97" s="143"/>
      <c r="P97" s="143"/>
      <c r="Q97" s="143"/>
      <c r="R97" s="143"/>
      <c r="S97" s="143"/>
      <c r="T97" s="143"/>
      <c r="U97" s="143"/>
      <c r="V97" s="143"/>
      <c r="W97" s="103">
        <f t="shared" si="33"/>
        <v>0</v>
      </c>
      <c r="X97" s="611"/>
      <c r="Y97" s="611"/>
      <c r="Z97" s="611"/>
      <c r="AA97" s="611"/>
      <c r="AB97" s="611"/>
      <c r="AC97" s="143"/>
      <c r="AD97" s="143"/>
      <c r="AE97" s="143"/>
      <c r="AF97" s="143"/>
      <c r="AG97" s="143"/>
      <c r="AH97" s="143"/>
      <c r="AI97" s="143"/>
      <c r="AJ97" s="103">
        <f t="shared" si="34"/>
        <v>0</v>
      </c>
      <c r="AK97" s="134">
        <v>30173.15</v>
      </c>
      <c r="AL97" s="134">
        <v>367.31</v>
      </c>
      <c r="AM97" s="136"/>
      <c r="AN97" s="105">
        <f t="shared" si="35"/>
        <v>0</v>
      </c>
      <c r="AO97" s="1744">
        <v>770</v>
      </c>
      <c r="AP97" s="143"/>
      <c r="AQ97" s="143"/>
      <c r="AR97" s="146"/>
      <c r="AS97" s="224">
        <f t="shared" si="36"/>
        <v>0</v>
      </c>
      <c r="AT97" s="1690">
        <v>31674.9</v>
      </c>
      <c r="AU97" s="1546"/>
      <c r="AV97" s="1546"/>
      <c r="AW97" s="1546"/>
      <c r="AX97" s="1548"/>
      <c r="AY97" s="1554">
        <v>1371.1</v>
      </c>
      <c r="AZ97" s="1548"/>
      <c r="BA97" s="1548"/>
      <c r="BB97" s="1548"/>
      <c r="BC97" s="1546"/>
      <c r="BD97" s="222">
        <f t="shared" si="37"/>
        <v>0</v>
      </c>
      <c r="BE97" s="456">
        <f t="shared" si="38"/>
        <v>0</v>
      </c>
      <c r="BF97" s="132"/>
      <c r="BG97" s="140">
        <f t="shared" si="39"/>
        <v>0</v>
      </c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50"/>
      <c r="BS97" s="141">
        <v>100</v>
      </c>
      <c r="BT97" s="141"/>
      <c r="BU97" s="130">
        <f t="shared" si="40"/>
        <v>0</v>
      </c>
      <c r="BV97" s="132"/>
    </row>
    <row r="98" ht="14.25" customHeight="1">
      <c r="A98" s="132"/>
      <c r="B98" s="512">
        <v>46107</v>
      </c>
      <c r="C98" s="133">
        <f>48155.07-D98-0</f>
      </c>
      <c r="D98" s="134">
        <v>1081.69</v>
      </c>
      <c r="E98" s="135"/>
      <c r="F98" s="135"/>
      <c r="G98" s="147">
        <f t="shared" si="32"/>
        <v>0</v>
      </c>
      <c r="H98" s="1070">
        <v>828.91</v>
      </c>
      <c r="I98" s="611">
        <v>510.22</v>
      </c>
      <c r="J98" s="611"/>
      <c r="K98" s="611"/>
      <c r="L98" s="611"/>
      <c r="M98" s="611"/>
      <c r="N98" s="143"/>
      <c r="O98" s="143"/>
      <c r="P98" s="143"/>
      <c r="Q98" s="143"/>
      <c r="R98" s="143"/>
      <c r="S98" s="143"/>
      <c r="T98" s="145">
        <v>859.6</v>
      </c>
      <c r="U98" s="143"/>
      <c r="V98" s="143"/>
      <c r="W98" s="103">
        <f t="shared" si="33"/>
        <v>0</v>
      </c>
      <c r="X98" s="611"/>
      <c r="Y98" s="611"/>
      <c r="Z98" s="611"/>
      <c r="AA98" s="611"/>
      <c r="AB98" s="611"/>
      <c r="AC98" s="143"/>
      <c r="AD98" s="143"/>
      <c r="AE98" s="143"/>
      <c r="AF98" s="143"/>
      <c r="AG98" s="143"/>
      <c r="AH98" s="143"/>
      <c r="AI98" s="143"/>
      <c r="AJ98" s="103">
        <f t="shared" si="34"/>
        <v>0</v>
      </c>
      <c r="AK98" s="134">
        <v>32077.57</v>
      </c>
      <c r="AL98" s="134">
        <v>295.63</v>
      </c>
      <c r="AM98" s="136"/>
      <c r="AN98" s="105">
        <f t="shared" si="35"/>
        <v>0</v>
      </c>
      <c r="AO98" s="1744">
        <v>792.43</v>
      </c>
      <c r="AP98" s="143"/>
      <c r="AQ98" s="143"/>
      <c r="AR98" s="146"/>
      <c r="AS98" s="224">
        <f t="shared" si="36"/>
        <v>0</v>
      </c>
      <c r="AT98" s="1690">
        <v>8884.6</v>
      </c>
      <c r="AU98" s="1626">
        <v>2842.03</v>
      </c>
      <c r="AV98" s="1546"/>
      <c r="AW98" s="1546"/>
      <c r="AX98" s="1548"/>
      <c r="AY98" s="1554">
        <v>786</v>
      </c>
      <c r="AZ98" s="1548"/>
      <c r="BA98" s="1548"/>
      <c r="BB98" s="1548"/>
      <c r="BC98" s="1546"/>
      <c r="BD98" s="222">
        <f t="shared" si="37"/>
        <v>0</v>
      </c>
      <c r="BE98" s="456">
        <f t="shared" si="38"/>
        <v>0</v>
      </c>
      <c r="BF98" s="132"/>
      <c r="BG98" s="140">
        <f t="shared" si="39"/>
        <v>0</v>
      </c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/>
      <c r="BS98" s="141">
        <v>280</v>
      </c>
      <c r="BT98" s="141"/>
      <c r="BU98" s="130">
        <f t="shared" si="40"/>
        <v>0</v>
      </c>
      <c r="BV98" s="132"/>
    </row>
    <row r="99" ht="14.25" customHeight="1">
      <c r="A99" s="132"/>
      <c r="B99" s="512">
        <v>46108</v>
      </c>
      <c r="C99" s="230">
        <f>46336.45-D99-0</f>
      </c>
      <c r="D99" s="134">
        <v>2093.81</v>
      </c>
      <c r="E99" s="135"/>
      <c r="F99" s="135"/>
      <c r="G99" s="147">
        <f t="shared" si="32"/>
        <v>0</v>
      </c>
      <c r="H99" s="1070">
        <v>585.56</v>
      </c>
      <c r="I99" s="611">
        <v>1100</v>
      </c>
      <c r="J99" s="611"/>
      <c r="K99" s="611"/>
      <c r="L99" s="611"/>
      <c r="M99" s="611"/>
      <c r="N99" s="143"/>
      <c r="O99" s="143"/>
      <c r="P99" s="143"/>
      <c r="Q99" s="143"/>
      <c r="R99" s="143"/>
      <c r="S99" s="143"/>
      <c r="T99" s="145">
        <v>4179.29</v>
      </c>
      <c r="U99" s="143"/>
      <c r="V99" s="143"/>
      <c r="W99" s="103">
        <f t="shared" si="33"/>
        <v>0</v>
      </c>
      <c r="X99" s="611"/>
      <c r="Y99" s="611"/>
      <c r="Z99" s="611"/>
      <c r="AA99" s="611"/>
      <c r="AB99" s="611"/>
      <c r="AC99" s="143"/>
      <c r="AD99" s="143"/>
      <c r="AE99" s="143"/>
      <c r="AF99" s="143"/>
      <c r="AG99" s="143"/>
      <c r="AH99" s="143"/>
      <c r="AI99" s="143"/>
      <c r="AJ99" s="103">
        <f t="shared" si="34"/>
        <v>0</v>
      </c>
      <c r="AK99" s="134">
        <v>15967.06</v>
      </c>
      <c r="AL99" s="134">
        <v>803.36</v>
      </c>
      <c r="AM99" s="136"/>
      <c r="AN99" s="105">
        <f t="shared" si="35"/>
        <v>0</v>
      </c>
      <c r="AO99" s="1744">
        <v>733.17</v>
      </c>
      <c r="AP99" s="143"/>
      <c r="AQ99" s="143"/>
      <c r="AR99" s="146"/>
      <c r="AS99" s="224">
        <f t="shared" si="36"/>
        <v>0</v>
      </c>
      <c r="AT99" s="1690">
        <v>16272.5</v>
      </c>
      <c r="AU99" s="1626">
        <v>5306.62</v>
      </c>
      <c r="AV99" s="1546"/>
      <c r="AW99" s="1546"/>
      <c r="AX99" s="1548"/>
      <c r="AY99" s="1554">
        <v>1290.4</v>
      </c>
      <c r="AZ99" s="1548"/>
      <c r="BA99" s="1548"/>
      <c r="BB99" s="1548"/>
      <c r="BC99" s="1546"/>
      <c r="BD99" s="222">
        <f t="shared" si="37"/>
        <v>0</v>
      </c>
      <c r="BE99" s="456">
        <f t="shared" si="38"/>
        <v>0</v>
      </c>
      <c r="BF99" s="132"/>
      <c r="BG99" s="140">
        <f t="shared" si="39"/>
        <v>0</v>
      </c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50"/>
      <c r="BS99" s="141">
        <v>100</v>
      </c>
      <c r="BT99" s="141"/>
      <c r="BU99" s="130">
        <f t="shared" si="40"/>
        <v>0</v>
      </c>
      <c r="BV99" s="132"/>
    </row>
    <row r="100" ht="14.25" customHeight="1">
      <c r="A100" s="132"/>
      <c r="B100" s="512">
        <v>46109</v>
      </c>
      <c r="C100" s="133">
        <f>54487.33-D100-0</f>
      </c>
      <c r="D100" s="134">
        <v>1790.23</v>
      </c>
      <c r="E100" s="135"/>
      <c r="F100" s="135"/>
      <c r="G100" s="147">
        <f t="shared" si="32"/>
        <v>0</v>
      </c>
      <c r="H100" s="1070">
        <v>275.79</v>
      </c>
      <c r="I100" s="801">
        <v>1700</v>
      </c>
      <c r="J100" s="611"/>
      <c r="K100" s="611"/>
      <c r="L100" s="611"/>
      <c r="M100" s="611"/>
      <c r="N100" s="143"/>
      <c r="O100" s="143"/>
      <c r="P100" s="143"/>
      <c r="Q100" s="143"/>
      <c r="R100" s="143"/>
      <c r="S100" s="143"/>
      <c r="T100" s="145">
        <v>1785.1</v>
      </c>
      <c r="U100" s="143"/>
      <c r="V100" s="143"/>
      <c r="W100" s="103">
        <f t="shared" si="33"/>
        <v>0</v>
      </c>
      <c r="X100" s="611"/>
      <c r="Y100" s="611"/>
      <c r="Z100" s="611"/>
      <c r="AA100" s="611"/>
      <c r="AB100" s="611"/>
      <c r="AC100" s="143"/>
      <c r="AD100" s="143"/>
      <c r="AE100" s="143"/>
      <c r="AF100" s="143"/>
      <c r="AG100" s="143"/>
      <c r="AH100" s="143"/>
      <c r="AI100" s="143"/>
      <c r="AJ100" s="103">
        <f t="shared" si="34"/>
        <v>0</v>
      </c>
      <c r="AK100" s="134">
        <v>23380.37</v>
      </c>
      <c r="AL100" s="134">
        <v>349.98</v>
      </c>
      <c r="AM100" s="136"/>
      <c r="AN100" s="105">
        <f t="shared" si="35"/>
        <v>0</v>
      </c>
      <c r="AO100" s="1744">
        <v>1211.91</v>
      </c>
      <c r="AP100" s="143"/>
      <c r="AQ100" s="143"/>
      <c r="AR100" s="146"/>
      <c r="AS100" s="224">
        <f t="shared" si="36"/>
        <v>0</v>
      </c>
      <c r="AT100" s="1690">
        <v>24345.2</v>
      </c>
      <c r="AU100" s="1546"/>
      <c r="AV100" s="1546"/>
      <c r="AW100" s="1546"/>
      <c r="AX100" s="1548"/>
      <c r="AY100" s="1554">
        <v>1440.3</v>
      </c>
      <c r="AZ100" s="1548"/>
      <c r="BA100" s="1548"/>
      <c r="BB100" s="1548"/>
      <c r="BC100" s="1546"/>
      <c r="BD100" s="222">
        <f t="shared" si="37"/>
        <v>0</v>
      </c>
      <c r="BE100" s="456">
        <f t="shared" si="38"/>
        <v>0</v>
      </c>
      <c r="BF100" s="132"/>
      <c r="BG100" s="140">
        <f t="shared" si="39"/>
        <v>0</v>
      </c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30">
        <f t="shared" si="40"/>
        <v>0</v>
      </c>
      <c r="BV100" s="132"/>
    </row>
    <row r="101" ht="14.25" customHeight="1">
      <c r="A101" s="132"/>
      <c r="B101" s="512">
        <v>46110</v>
      </c>
      <c r="C101" s="133">
        <f>27384.52-D101-0</f>
      </c>
      <c r="D101" s="134">
        <v>2351.79</v>
      </c>
      <c r="E101" s="135"/>
      <c r="F101" s="135"/>
      <c r="G101" s="147">
        <f t="shared" si="32"/>
        <v>0</v>
      </c>
      <c r="H101" s="1070">
        <v>881.53</v>
      </c>
      <c r="I101" s="801">
        <v>645.8</v>
      </c>
      <c r="J101" s="611"/>
      <c r="K101" s="611"/>
      <c r="L101" s="611"/>
      <c r="M101" s="611"/>
      <c r="N101" s="143"/>
      <c r="O101" s="143"/>
      <c r="P101" s="143"/>
      <c r="Q101" s="143"/>
      <c r="R101" s="143"/>
      <c r="S101" s="143"/>
      <c r="T101" s="143"/>
      <c r="U101" s="143"/>
      <c r="V101" s="143"/>
      <c r="W101" s="103">
        <f t="shared" si="33"/>
        <v>0</v>
      </c>
      <c r="X101" s="611"/>
      <c r="Y101" s="611"/>
      <c r="Z101" s="611"/>
      <c r="AA101" s="611"/>
      <c r="AB101" s="611"/>
      <c r="AC101" s="143"/>
      <c r="AD101" s="143"/>
      <c r="AE101" s="143"/>
      <c r="AF101" s="143"/>
      <c r="AG101" s="143"/>
      <c r="AH101" s="143"/>
      <c r="AI101" s="143"/>
      <c r="AJ101" s="103">
        <f t="shared" si="34"/>
        <v>0</v>
      </c>
      <c r="AK101" s="134">
        <v>14241.21</v>
      </c>
      <c r="AL101" s="134">
        <v>772.79</v>
      </c>
      <c r="AM101" s="136"/>
      <c r="AN101" s="105">
        <f t="shared" si="35"/>
        <v>0</v>
      </c>
      <c r="AO101" s="1744">
        <v>658.67</v>
      </c>
      <c r="AP101" s="143"/>
      <c r="AQ101" s="143"/>
      <c r="AR101" s="146"/>
      <c r="AS101" s="224">
        <f t="shared" si="36"/>
        <v>0</v>
      </c>
      <c r="AT101" s="1690">
        <v>8607</v>
      </c>
      <c r="AU101" s="1546"/>
      <c r="AV101" s="1546"/>
      <c r="AW101" s="1546"/>
      <c r="AX101" s="1548"/>
      <c r="AY101" s="1554">
        <v>1577.8</v>
      </c>
      <c r="AZ101" s="1548"/>
      <c r="BA101" s="1548"/>
      <c r="BB101" s="1548"/>
      <c r="BC101" s="1546"/>
      <c r="BD101" s="222">
        <f t="shared" si="37"/>
        <v>0</v>
      </c>
      <c r="BE101" s="456">
        <f t="shared" si="38"/>
        <v>0</v>
      </c>
      <c r="BF101" s="132"/>
      <c r="BG101" s="140">
        <f t="shared" si="39"/>
        <v>0</v>
      </c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30">
        <f t="shared" si="40"/>
        <v>0</v>
      </c>
      <c r="BV101" s="132"/>
    </row>
    <row r="102" ht="14.25" customHeight="1">
      <c r="A102" s="132"/>
      <c r="B102" s="512">
        <v>46111</v>
      </c>
      <c r="C102" s="133">
        <f>61904.00-D102-0</f>
      </c>
      <c r="D102" s="134">
        <v>1058.91</v>
      </c>
      <c r="E102" s="135"/>
      <c r="F102" s="135"/>
      <c r="G102" s="147">
        <f t="shared" si="32"/>
        <v>0</v>
      </c>
      <c r="H102" s="768"/>
      <c r="I102" s="801">
        <v>2640</v>
      </c>
      <c r="J102" s="611"/>
      <c r="K102" s="611"/>
      <c r="L102" s="611"/>
      <c r="M102" s="611"/>
      <c r="N102" s="143"/>
      <c r="O102" s="143"/>
      <c r="P102" s="143"/>
      <c r="Q102" s="143"/>
      <c r="R102" s="143"/>
      <c r="S102" s="143"/>
      <c r="T102" s="145">
        <v>267.07</v>
      </c>
      <c r="U102" s="143"/>
      <c r="V102" s="143"/>
      <c r="W102" s="103">
        <f t="shared" si="33"/>
        <v>0</v>
      </c>
      <c r="X102" s="611"/>
      <c r="Y102" s="611"/>
      <c r="Z102" s="611"/>
      <c r="AA102" s="611"/>
      <c r="AB102" s="611"/>
      <c r="AC102" s="143"/>
      <c r="AD102" s="143"/>
      <c r="AE102" s="143"/>
      <c r="AF102" s="143"/>
      <c r="AG102" s="143"/>
      <c r="AH102" s="143"/>
      <c r="AI102" s="143"/>
      <c r="AJ102" s="103">
        <f t="shared" si="34"/>
        <v>0</v>
      </c>
      <c r="AK102" s="134">
        <v>37176.48</v>
      </c>
      <c r="AL102" s="134">
        <v>395.97</v>
      </c>
      <c r="AM102" s="136"/>
      <c r="AN102" s="105">
        <f t="shared" si="35"/>
        <v>0</v>
      </c>
      <c r="AO102" s="1744">
        <v>1139.42</v>
      </c>
      <c r="AP102" s="143"/>
      <c r="AQ102" s="143"/>
      <c r="AR102" s="146"/>
      <c r="AS102" s="224">
        <f t="shared" si="36"/>
        <v>0</v>
      </c>
      <c r="AT102" s="1690">
        <v>16919.6</v>
      </c>
      <c r="AU102" s="1626">
        <v>2558.85</v>
      </c>
      <c r="AV102" s="1546"/>
      <c r="AW102" s="1546"/>
      <c r="AX102" s="1548"/>
      <c r="AY102" s="1554">
        <v>636</v>
      </c>
      <c r="AZ102" s="1548"/>
      <c r="BA102" s="1548"/>
      <c r="BB102" s="1548"/>
      <c r="BC102" s="1546"/>
      <c r="BD102" s="222">
        <f t="shared" si="37"/>
        <v>0</v>
      </c>
      <c r="BE102" s="456">
        <f t="shared" si="38"/>
        <v>0</v>
      </c>
      <c r="BF102" s="132"/>
      <c r="BG102" s="140">
        <f t="shared" si="39"/>
        <v>0</v>
      </c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50"/>
      <c r="BS102" s="141">
        <v>170</v>
      </c>
      <c r="BT102" s="141"/>
      <c r="BU102" s="130">
        <f t="shared" si="40"/>
        <v>0</v>
      </c>
      <c r="BV102" s="132"/>
    </row>
    <row r="103" ht="14.25" customHeight="1">
      <c r="A103" s="132"/>
      <c r="B103" s="512">
        <v>46112</v>
      </c>
      <c r="C103" s="153">
        <f>31037.00-D103-0</f>
      </c>
      <c r="D103" s="154">
        <v>1911.03</v>
      </c>
      <c r="E103" s="156"/>
      <c r="F103" s="156"/>
      <c r="G103" s="147">
        <f t="shared" si="32"/>
        <v>0</v>
      </c>
      <c r="H103" s="1072">
        <v>784.23</v>
      </c>
      <c r="I103" s="613">
        <v>320.04</v>
      </c>
      <c r="J103" s="613"/>
      <c r="K103" s="613"/>
      <c r="L103" s="613"/>
      <c r="M103" s="613"/>
      <c r="N103" s="157"/>
      <c r="O103" s="157"/>
      <c r="P103" s="157"/>
      <c r="Q103" s="157"/>
      <c r="R103" s="157"/>
      <c r="S103" s="157"/>
      <c r="T103" s="157"/>
      <c r="U103" s="157"/>
      <c r="V103" s="157"/>
      <c r="W103" s="103">
        <f t="shared" si="33"/>
        <v>0</v>
      </c>
      <c r="X103" s="613"/>
      <c r="Y103" s="613"/>
      <c r="Z103" s="613"/>
      <c r="AA103" s="613"/>
      <c r="AB103" s="613"/>
      <c r="AC103" s="157"/>
      <c r="AD103" s="157"/>
      <c r="AE103" s="157"/>
      <c r="AF103" s="157"/>
      <c r="AG103" s="157"/>
      <c r="AH103" s="157"/>
      <c r="AI103" s="157"/>
      <c r="AJ103" s="103">
        <f t="shared" si="34"/>
        <v>0</v>
      </c>
      <c r="AK103" s="154">
        <v>13149.31</v>
      </c>
      <c r="AL103" s="154">
        <v>395.99</v>
      </c>
      <c r="AM103" s="159"/>
      <c r="AN103" s="105">
        <f t="shared" si="35"/>
        <v>0</v>
      </c>
      <c r="AO103" s="1748">
        <v>517.29</v>
      </c>
      <c r="AP103" s="157"/>
      <c r="AQ103" s="157"/>
      <c r="AR103" s="160"/>
      <c r="AS103" s="224">
        <f t="shared" si="36"/>
        <v>0</v>
      </c>
      <c r="AT103" s="1692">
        <v>12210.1</v>
      </c>
      <c r="AU103" s="1660">
        <v>1796.25</v>
      </c>
      <c r="AV103" s="1557"/>
      <c r="AW103" s="1557"/>
      <c r="AX103" s="1548"/>
      <c r="AY103" s="1642">
        <v>1515.1</v>
      </c>
      <c r="AZ103" s="1548"/>
      <c r="BA103" s="1548"/>
      <c r="BB103" s="1548"/>
      <c r="BC103" s="1557"/>
      <c r="BD103" s="222">
        <f t="shared" si="37"/>
        <v>0</v>
      </c>
      <c r="BE103" s="501">
        <f t="shared" si="38"/>
        <v>0</v>
      </c>
      <c r="BF103" s="132"/>
      <c r="BG103" s="162">
        <f t="shared" si="39"/>
        <v>0</v>
      </c>
      <c r="BH103" s="163"/>
      <c r="BI103" s="163"/>
      <c r="BJ103" s="163"/>
      <c r="BK103" s="163"/>
      <c r="BL103" s="163"/>
      <c r="BM103" s="163"/>
      <c r="BN103" s="163"/>
      <c r="BO103" s="163"/>
      <c r="BP103" s="163"/>
      <c r="BQ103" s="141"/>
      <c r="BR103" s="789"/>
      <c r="BS103" s="163">
        <v>350</v>
      </c>
      <c r="BT103" s="163"/>
      <c r="BU103" s="164">
        <f t="shared" si="40"/>
        <v>0</v>
      </c>
      <c r="BV103" s="132"/>
    </row>
    <row r="104" ht="14.25" customHeight="1">
      <c r="A104" s="3"/>
      <c r="B104" s="2" t="s">
        <v>77</v>
      </c>
      <c r="C104" s="166">
        <f ref="C104:P104" t="shared" si="41">SUM(C73:C103)</f>
        <v>0</v>
      </c>
      <c r="D104" s="166">
        <f t="shared" si="41"/>
        <v>0</v>
      </c>
      <c r="E104" s="166">
        <f t="shared" si="41"/>
        <v>0</v>
      </c>
      <c r="F104" s="166">
        <f t="shared" si="41"/>
        <v>0</v>
      </c>
      <c r="G104" s="166">
        <f t="shared" si="41"/>
        <v>0</v>
      </c>
      <c r="H104" s="1073">
        <f t="shared" si="41"/>
        <v>0</v>
      </c>
      <c r="I104" s="284">
        <f t="shared" si="41"/>
        <v>0</v>
      </c>
      <c r="J104" s="166">
        <f t="shared" si="41"/>
        <v>0</v>
      </c>
      <c r="K104" s="166">
        <f t="shared" si="41"/>
        <v>0</v>
      </c>
      <c r="L104" s="166">
        <f t="shared" si="41"/>
        <v>0</v>
      </c>
      <c r="M104" s="166">
        <f t="shared" si="41"/>
        <v>0</v>
      </c>
      <c r="N104" s="166">
        <f t="shared" si="41"/>
        <v>0</v>
      </c>
      <c r="O104" s="166">
        <f t="shared" si="41"/>
        <v>0</v>
      </c>
      <c r="P104" s="166">
        <f t="shared" si="41"/>
        <v>0</v>
      </c>
      <c r="Q104" s="166"/>
      <c r="R104" s="166"/>
      <c r="S104" s="166">
        <f ref="S104:BE104" t="shared" si="42">SUM(S73:S103)</f>
        <v>0</v>
      </c>
      <c r="T104" s="166">
        <f t="shared" si="42"/>
        <v>0</v>
      </c>
      <c r="U104" s="166">
        <f t="shared" si="42"/>
        <v>0</v>
      </c>
      <c r="V104" s="166">
        <f t="shared" si="42"/>
        <v>0</v>
      </c>
      <c r="W104" s="166">
        <f t="shared" si="42"/>
        <v>0</v>
      </c>
      <c r="X104" s="617">
        <f t="shared" si="42"/>
        <v>0</v>
      </c>
      <c r="Y104" s="617">
        <f t="shared" si="42"/>
        <v>0</v>
      </c>
      <c r="Z104" s="617">
        <f t="shared" si="42"/>
        <v>0</v>
      </c>
      <c r="AA104" s="617">
        <f t="shared" si="42"/>
        <v>0</v>
      </c>
      <c r="AB104" s="617">
        <f t="shared" si="42"/>
        <v>0</v>
      </c>
      <c r="AC104" s="166">
        <f t="shared" si="42"/>
        <v>0</v>
      </c>
      <c r="AD104" s="166">
        <f t="shared" si="42"/>
        <v>0</v>
      </c>
      <c r="AE104" s="166">
        <f t="shared" si="42"/>
        <v>0</v>
      </c>
      <c r="AF104" s="166">
        <f t="shared" si="42"/>
        <v>0</v>
      </c>
      <c r="AG104" s="166">
        <f t="shared" si="42"/>
        <v>0</v>
      </c>
      <c r="AH104" s="166">
        <f t="shared" si="42"/>
        <v>0</v>
      </c>
      <c r="AI104" s="166">
        <f t="shared" si="42"/>
        <v>0</v>
      </c>
      <c r="AJ104" s="166">
        <f t="shared" si="42"/>
        <v>0</v>
      </c>
      <c r="AK104" s="166">
        <f t="shared" si="42"/>
        <v>0</v>
      </c>
      <c r="AL104" s="166">
        <f t="shared" si="42"/>
        <v>0</v>
      </c>
      <c r="AM104" s="166">
        <f t="shared" si="42"/>
        <v>0</v>
      </c>
      <c r="AN104" s="166">
        <f t="shared" si="42"/>
        <v>0</v>
      </c>
      <c r="AO104" s="166">
        <f t="shared" si="42"/>
        <v>0</v>
      </c>
      <c r="AP104" s="166">
        <f t="shared" si="42"/>
        <v>0</v>
      </c>
      <c r="AQ104" s="166">
        <f t="shared" si="42"/>
        <v>0</v>
      </c>
      <c r="AR104" s="166">
        <f t="shared" si="42"/>
        <v>0</v>
      </c>
      <c r="AS104" s="166">
        <f t="shared" si="42"/>
        <v>0</v>
      </c>
      <c r="AT104" s="165">
        <f t="shared" si="42"/>
        <v>0</v>
      </c>
      <c r="AU104" s="165">
        <f t="shared" si="42"/>
        <v>0</v>
      </c>
      <c r="AV104" s="165">
        <f t="shared" si="42"/>
        <v>0</v>
      </c>
      <c r="AW104" s="165">
        <f t="shared" si="42"/>
        <v>0</v>
      </c>
      <c r="AX104" s="165">
        <f t="shared" si="42"/>
        <v>0</v>
      </c>
      <c r="AY104" s="165">
        <f t="shared" si="42"/>
        <v>0</v>
      </c>
      <c r="AZ104" s="165">
        <f t="shared" si="42"/>
        <v>0</v>
      </c>
      <c r="BA104" s="165">
        <f t="shared" si="42"/>
        <v>0</v>
      </c>
      <c r="BB104" s="165">
        <f t="shared" si="42"/>
        <v>0</v>
      </c>
      <c r="BC104" s="165">
        <f t="shared" si="42"/>
        <v>0</v>
      </c>
      <c r="BD104" s="166">
        <f t="shared" si="42"/>
        <v>0</v>
      </c>
      <c r="BE104" s="166">
        <f t="shared" si="42"/>
        <v>0</v>
      </c>
      <c r="BF104" s="132"/>
      <c r="BG104" s="166">
        <f ref="BG104:BU104" t="shared" si="43">SUM(BG73:BG103)</f>
        <v>0</v>
      </c>
      <c r="BH104" s="166">
        <f t="shared" si="43"/>
        <v>0</v>
      </c>
      <c r="BI104" s="166">
        <f t="shared" si="43"/>
        <v>0</v>
      </c>
      <c r="BJ104" s="166">
        <f t="shared" si="43"/>
        <v>0</v>
      </c>
      <c r="BK104" s="166">
        <f t="shared" si="43"/>
        <v>0</v>
      </c>
      <c r="BL104" s="166">
        <f t="shared" si="43"/>
        <v>0</v>
      </c>
      <c r="BM104" s="166">
        <f t="shared" si="43"/>
        <v>0</v>
      </c>
      <c r="BN104" s="166">
        <f t="shared" si="43"/>
        <v>0</v>
      </c>
      <c r="BO104" s="166">
        <f t="shared" si="43"/>
        <v>0</v>
      </c>
      <c r="BP104" s="166">
        <f t="shared" si="43"/>
        <v>0</v>
      </c>
      <c r="BQ104" s="166">
        <f t="shared" si="43"/>
        <v>0</v>
      </c>
      <c r="BR104" s="166">
        <f t="shared" si="43"/>
        <v>0</v>
      </c>
      <c r="BS104" s="166">
        <f t="shared" si="43"/>
        <v>0</v>
      </c>
      <c r="BT104" s="166">
        <f t="shared" si="43"/>
        <v>0</v>
      </c>
      <c r="BU104" s="166">
        <f t="shared" si="43"/>
        <v>0</v>
      </c>
      <c r="BV104" s="132"/>
    </row>
    <row r="105" ht="14.25" customHeight="1">
      <c r="A105" s="1"/>
      <c r="B105" s="2"/>
      <c r="C105" s="3"/>
      <c r="D105" s="3"/>
      <c r="E105" s="3"/>
      <c r="F105" s="3"/>
      <c r="G105" s="4"/>
      <c r="H105" s="1"/>
      <c r="I105" s="1"/>
      <c r="J105" s="1"/>
      <c r="K105" s="1"/>
      <c r="L105" s="1"/>
      <c r="M105" s="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1"/>
      <c r="Y105" s="1"/>
      <c r="Z105" s="1"/>
      <c r="AA105" s="1"/>
      <c r="AB105" s="1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4"/>
      <c r="AO105" s="3"/>
      <c r="AP105" s="3"/>
      <c r="AQ105" s="3"/>
      <c r="AR105" s="3"/>
      <c r="AS105" s="4"/>
      <c r="AT105" s="380"/>
      <c r="AU105" s="132"/>
      <c r="AV105" s="132"/>
      <c r="AW105" s="3"/>
      <c r="AX105" s="3"/>
      <c r="AY105" s="132"/>
      <c r="AZ105" s="132"/>
      <c r="BA105" s="132"/>
      <c r="BB105" s="132"/>
      <c r="BC105" s="132"/>
      <c r="BD105" s="4"/>
      <c r="BE105" s="1"/>
      <c r="BF105" s="132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</row>
    <row r="106" ht="14.25" customHeight="1">
      <c r="A106" s="1"/>
      <c r="B106" s="2"/>
      <c r="C106" s="3"/>
      <c r="D106" s="3"/>
      <c r="E106" s="3"/>
      <c r="F106" s="3"/>
      <c r="G106" s="4"/>
      <c r="H106" s="1"/>
      <c r="I106" s="1"/>
      <c r="J106" s="1"/>
      <c r="K106" s="1"/>
      <c r="L106" s="1"/>
      <c r="M106" s="1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1"/>
      <c r="Y106" s="1"/>
      <c r="Z106" s="1"/>
      <c r="AA106" s="1"/>
      <c r="AB106" s="1"/>
      <c r="AC106" s="3"/>
      <c r="AD106" s="3"/>
      <c r="AE106" s="3"/>
      <c r="AF106" s="3"/>
      <c r="AG106" s="3"/>
      <c r="AH106" s="3"/>
      <c r="AI106" s="3"/>
      <c r="AJ106" s="176"/>
      <c r="AK106" s="3"/>
      <c r="AL106" s="3"/>
      <c r="AM106" s="3"/>
      <c r="AN106" s="4"/>
      <c r="AO106" s="3"/>
      <c r="AP106" s="3"/>
      <c r="AQ106" s="3"/>
      <c r="AR106" s="3"/>
      <c r="AS106" s="4"/>
      <c r="AT106" s="790"/>
      <c r="AU106" s="177"/>
      <c r="AV106" s="177"/>
      <c r="AW106" s="177"/>
      <c r="AX106" s="177"/>
      <c r="AY106" s="4"/>
      <c r="AZ106" s="4"/>
      <c r="BA106" s="4"/>
      <c r="BB106" s="132"/>
      <c r="BC106" s="132"/>
      <c r="BD106" s="177"/>
      <c r="BE106" s="1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</row>
    <row r="107" ht="14.25" customHeight="1">
      <c r="A107" s="1"/>
      <c r="B107" s="2"/>
      <c r="C107" s="3"/>
      <c r="D107" s="3"/>
      <c r="E107" s="3"/>
      <c r="F107" s="3"/>
      <c r="G107" s="4"/>
      <c r="H107" s="1"/>
      <c r="I107" s="1"/>
      <c r="J107" s="1"/>
      <c r="K107" s="1"/>
      <c r="L107" s="1"/>
      <c r="M107" s="1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1074"/>
      <c r="Y107" s="1074"/>
      <c r="Z107" s="1074"/>
      <c r="AA107" s="1074"/>
      <c r="AB107" s="1074"/>
      <c r="AC107" s="3"/>
      <c r="AD107" s="3"/>
      <c r="AE107" s="3"/>
      <c r="AF107" s="3"/>
      <c r="AG107" s="3"/>
      <c r="AH107" s="3"/>
      <c r="AI107" s="3"/>
      <c r="AJ107" s="3"/>
      <c r="AK107" s="96"/>
      <c r="AL107" s="96"/>
      <c r="AM107" s="96"/>
      <c r="AN107" s="1075"/>
      <c r="AO107" s="96"/>
      <c r="AP107" s="96"/>
      <c r="AQ107" s="96"/>
      <c r="AR107" s="96"/>
      <c r="AS107" s="1075"/>
      <c r="AT107" s="1076"/>
      <c r="AU107" s="1077"/>
      <c r="AV107" s="1077"/>
      <c r="AW107" s="1077"/>
      <c r="AX107" s="1077"/>
      <c r="AY107" s="1077"/>
      <c r="AZ107" s="1077"/>
      <c r="BA107" s="1077"/>
      <c r="BB107" s="495"/>
      <c r="BC107" s="495"/>
      <c r="BD107" s="4"/>
      <c r="BE107" s="1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</row>
    <row r="108" ht="14.25" customHeight="1">
      <c r="A108" s="5"/>
      <c r="B108" s="306">
        <v>46113</v>
      </c>
      <c r="C108" s="94">
        <f>52458.49-D108-0</f>
      </c>
      <c r="D108" s="95">
        <v>1597.19</v>
      </c>
      <c r="E108" s="97"/>
      <c r="F108" s="97"/>
      <c r="G108" s="265">
        <f ref="G108:G134" t="shared" si="44">+C108+D108+E108+F108</f>
        <v>0</v>
      </c>
      <c r="H108" s="1078">
        <v>1222.56</v>
      </c>
      <c r="I108" s="638">
        <v>6033.84</v>
      </c>
      <c r="J108" s="638"/>
      <c r="K108" s="638"/>
      <c r="L108" s="638"/>
      <c r="M108" s="638"/>
      <c r="N108" s="101"/>
      <c r="O108" s="101"/>
      <c r="P108" s="101"/>
      <c r="Q108" s="101"/>
      <c r="R108" s="101"/>
      <c r="S108" s="101"/>
      <c r="T108" s="102">
        <v>14075.58</v>
      </c>
      <c r="U108" s="101"/>
      <c r="V108" s="101"/>
      <c r="W108" s="817">
        <f ref="W108:W138" t="shared" si="45">SUM(H108:V108)</f>
        <v>0</v>
      </c>
      <c r="X108" s="638"/>
      <c r="Y108" s="638"/>
      <c r="Z108" s="638"/>
      <c r="AA108" s="638"/>
      <c r="AB108" s="638"/>
      <c r="AC108" s="101"/>
      <c r="AD108" s="101"/>
      <c r="AE108" s="101"/>
      <c r="AF108" s="101"/>
      <c r="AG108" s="101"/>
      <c r="AH108" s="101"/>
      <c r="AI108" s="101"/>
      <c r="AJ108" s="103">
        <f ref="AJ108:AJ138" t="shared" si="46">SUM(X108:AI108)</f>
        <v>0</v>
      </c>
      <c r="AK108" s="95">
        <v>16718.04</v>
      </c>
      <c r="AL108" s="95">
        <v>472.36</v>
      </c>
      <c r="AM108" s="104"/>
      <c r="AN108" s="191">
        <f ref="AN108:AN138" t="shared" si="47">SUM(AK108:AM108)</f>
        <v>0</v>
      </c>
      <c r="AO108" s="102">
        <v>965.93</v>
      </c>
      <c r="AP108" s="101"/>
      <c r="AQ108" s="101"/>
      <c r="AR108" s="106"/>
      <c r="AS108" s="224">
        <f ref="AS108:AS138" t="shared" si="48">+G108-W108-AJ108-AN108-AO108-AP108-AQ108-AR108</f>
        <v>0</v>
      </c>
      <c r="AT108" s="1685">
        <v>11748.4</v>
      </c>
      <c r="AU108" s="1537"/>
      <c r="AV108" s="1537"/>
      <c r="AW108" s="1537"/>
      <c r="AX108" s="1548"/>
      <c r="AY108" s="1721">
        <v>1120.8</v>
      </c>
      <c r="AZ108" s="1548"/>
      <c r="BA108" s="1548"/>
      <c r="BB108" s="1548"/>
      <c r="BC108" s="1537"/>
      <c r="BD108" s="222">
        <f ref="BD108:BD138" t="shared" si="49">SUM(AT108:BC108)-BB108</f>
        <v>0</v>
      </c>
      <c r="BE108" s="1079">
        <f ref="BE108:BE138" t="shared" si="50">+AS108-BD108</f>
        <v>0</v>
      </c>
      <c r="BF108" s="3"/>
      <c r="BG108" s="104">
        <f ref="BG108:BG138" t="shared" si="51">SUM(BH108:BT108)</f>
        <v>0</v>
      </c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19"/>
      <c r="BS108" s="123">
        <v>100</v>
      </c>
      <c r="BT108" s="123"/>
      <c r="BU108" s="817">
        <f ref="BU108:BU138" t="shared" si="52">+BE108-BG108</f>
        <v>0</v>
      </c>
      <c r="BV108" s="3"/>
    </row>
    <row r="109" ht="14.25" customHeight="1">
      <c r="A109" s="5"/>
      <c r="B109" s="306">
        <v>46114</v>
      </c>
      <c r="C109" s="118">
        <f>43088.85-D109-0</f>
      </c>
      <c r="D109" s="119">
        <v>1231.36</v>
      </c>
      <c r="E109" s="120"/>
      <c r="F109" s="120"/>
      <c r="G109" s="265">
        <f t="shared" si="44"/>
        <v>0</v>
      </c>
      <c r="H109" s="768"/>
      <c r="I109" s="801">
        <v>3197.34</v>
      </c>
      <c r="J109" s="611"/>
      <c r="K109" s="611"/>
      <c r="L109" s="611"/>
      <c r="M109" s="611"/>
      <c r="N109" s="143"/>
      <c r="O109" s="143"/>
      <c r="P109" s="143"/>
      <c r="Q109" s="143"/>
      <c r="R109" s="143"/>
      <c r="S109" s="143"/>
      <c r="T109" s="143"/>
      <c r="U109" s="143"/>
      <c r="V109" s="143"/>
      <c r="W109" s="103">
        <f t="shared" si="45"/>
        <v>0</v>
      </c>
      <c r="X109" s="611"/>
      <c r="Y109" s="611"/>
      <c r="Z109" s="611"/>
      <c r="AA109" s="611"/>
      <c r="AB109" s="611"/>
      <c r="AC109" s="143"/>
      <c r="AD109" s="143"/>
      <c r="AE109" s="143"/>
      <c r="AF109" s="143"/>
      <c r="AG109" s="143"/>
      <c r="AH109" s="143"/>
      <c r="AI109" s="143"/>
      <c r="AJ109" s="103">
        <f t="shared" si="46"/>
        <v>0</v>
      </c>
      <c r="AK109" s="119">
        <v>14800.49</v>
      </c>
      <c r="AL109" s="119">
        <v>288.94</v>
      </c>
      <c r="AM109" s="123"/>
      <c r="AN109" s="191">
        <f t="shared" si="47"/>
        <v>0</v>
      </c>
      <c r="AO109" s="145">
        <v>533.57</v>
      </c>
      <c r="AP109" s="143"/>
      <c r="AQ109" s="143"/>
      <c r="AR109" s="146"/>
      <c r="AS109" s="224">
        <f t="shared" si="48"/>
        <v>0</v>
      </c>
      <c r="AT109" s="1553">
        <v>16730.4</v>
      </c>
      <c r="AU109" s="1626">
        <v>6597.02</v>
      </c>
      <c r="AV109" s="1546"/>
      <c r="AW109" s="1546"/>
      <c r="AX109" s="1548"/>
      <c r="AY109" s="1554">
        <v>941.3</v>
      </c>
      <c r="AZ109" s="1548"/>
      <c r="BA109" s="1548"/>
      <c r="BB109" s="1548"/>
      <c r="BC109" s="1546"/>
      <c r="BD109" s="222">
        <f t="shared" si="49"/>
        <v>0</v>
      </c>
      <c r="BE109" s="1055">
        <f t="shared" si="50"/>
        <v>0</v>
      </c>
      <c r="BF109" s="3"/>
      <c r="BG109" s="113">
        <f t="shared" si="51"/>
        <v>0</v>
      </c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30">
        <f t="shared" si="52"/>
        <v>0</v>
      </c>
      <c r="BV109" s="3"/>
    </row>
    <row r="110" ht="14.25" customHeight="1">
      <c r="A110" s="3"/>
      <c r="B110" s="306">
        <v>46115</v>
      </c>
      <c r="C110" s="118">
        <f>34147.37-D110-0</f>
      </c>
      <c r="D110" s="119">
        <v>1192.55</v>
      </c>
      <c r="E110" s="120"/>
      <c r="F110" s="120"/>
      <c r="G110" s="147">
        <f t="shared" si="44"/>
        <v>0</v>
      </c>
      <c r="H110" s="768"/>
      <c r="I110" s="801">
        <v>3947.03</v>
      </c>
      <c r="J110" s="611"/>
      <c r="K110" s="611"/>
      <c r="L110" s="611"/>
      <c r="M110" s="611"/>
      <c r="N110" s="143"/>
      <c r="O110" s="143"/>
      <c r="P110" s="143"/>
      <c r="Q110" s="143"/>
      <c r="R110" s="143"/>
      <c r="S110" s="143"/>
      <c r="T110" s="145">
        <v>1979.12</v>
      </c>
      <c r="U110" s="143"/>
      <c r="V110" s="143"/>
      <c r="W110" s="103">
        <f t="shared" si="45"/>
        <v>0</v>
      </c>
      <c r="X110" s="611"/>
      <c r="Y110" s="611"/>
      <c r="Z110" s="611"/>
      <c r="AA110" s="611"/>
      <c r="AB110" s="611"/>
      <c r="AC110" s="143"/>
      <c r="AD110" s="143"/>
      <c r="AE110" s="143"/>
      <c r="AF110" s="143"/>
      <c r="AG110" s="143"/>
      <c r="AH110" s="143"/>
      <c r="AI110" s="143"/>
      <c r="AJ110" s="103">
        <f t="shared" si="46"/>
        <v>0</v>
      </c>
      <c r="AK110" s="119">
        <v>15140.75</v>
      </c>
      <c r="AL110" s="119">
        <v>229.11</v>
      </c>
      <c r="AM110" s="123"/>
      <c r="AN110" s="105">
        <f t="shared" si="47"/>
        <v>0</v>
      </c>
      <c r="AO110" s="145">
        <v>369.25</v>
      </c>
      <c r="AP110" s="143"/>
      <c r="AQ110" s="143"/>
      <c r="AR110" s="146"/>
      <c r="AS110" s="224">
        <f t="shared" si="48"/>
        <v>0</v>
      </c>
      <c r="AT110" s="1553">
        <v>11520</v>
      </c>
      <c r="AU110" s="1546"/>
      <c r="AV110" s="1546"/>
      <c r="AW110" s="1546"/>
      <c r="AX110" s="1548"/>
      <c r="AY110" s="1554">
        <v>963.4</v>
      </c>
      <c r="AZ110" s="1548"/>
      <c r="BA110" s="1548"/>
      <c r="BB110" s="1548"/>
      <c r="BC110" s="1546"/>
      <c r="BD110" s="222">
        <f t="shared" si="49"/>
        <v>0</v>
      </c>
      <c r="BE110" s="1055">
        <f t="shared" si="50"/>
        <v>0</v>
      </c>
      <c r="BF110" s="3"/>
      <c r="BG110" s="113">
        <f t="shared" si="51"/>
        <v>0</v>
      </c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30">
        <f t="shared" si="52"/>
        <v>0</v>
      </c>
      <c r="BV110" s="3"/>
    </row>
    <row r="111" ht="14.25" customHeight="1">
      <c r="A111" s="3"/>
      <c r="B111" s="306">
        <v>46116</v>
      </c>
      <c r="C111" s="118">
        <f>23851.49-D111-0</f>
      </c>
      <c r="D111" s="119">
        <v>1513.59</v>
      </c>
      <c r="E111" s="120"/>
      <c r="F111" s="120"/>
      <c r="G111" s="147">
        <f t="shared" si="44"/>
        <v>0</v>
      </c>
      <c r="H111" s="768"/>
      <c r="I111" s="801">
        <v>847.38</v>
      </c>
      <c r="J111" s="611"/>
      <c r="K111" s="611"/>
      <c r="L111" s="611"/>
      <c r="M111" s="611"/>
      <c r="N111" s="143"/>
      <c r="O111" s="143"/>
      <c r="P111" s="143"/>
      <c r="Q111" s="143"/>
      <c r="R111" s="143"/>
      <c r="S111" s="143"/>
      <c r="T111" s="143"/>
      <c r="U111" s="143"/>
      <c r="V111" s="143"/>
      <c r="W111" s="103">
        <f t="shared" si="45"/>
        <v>0</v>
      </c>
      <c r="X111" s="611"/>
      <c r="Y111" s="611"/>
      <c r="Z111" s="611"/>
      <c r="AA111" s="611"/>
      <c r="AB111" s="611"/>
      <c r="AC111" s="143"/>
      <c r="AD111" s="143"/>
      <c r="AE111" s="143"/>
      <c r="AF111" s="143"/>
      <c r="AG111" s="143"/>
      <c r="AH111" s="143"/>
      <c r="AI111" s="143"/>
      <c r="AJ111" s="103">
        <f t="shared" si="46"/>
        <v>0</v>
      </c>
      <c r="AK111" s="119">
        <v>9409.44</v>
      </c>
      <c r="AL111" s="119">
        <v>546.96</v>
      </c>
      <c r="AM111" s="123"/>
      <c r="AN111" s="105">
        <f t="shared" si="47"/>
        <v>0</v>
      </c>
      <c r="AO111" s="145">
        <v>358.16</v>
      </c>
      <c r="AP111" s="143"/>
      <c r="AQ111" s="143"/>
      <c r="AR111" s="146"/>
      <c r="AS111" s="224">
        <f t="shared" si="48"/>
        <v>0</v>
      </c>
      <c r="AT111" s="1553">
        <v>9818.8</v>
      </c>
      <c r="AU111" s="1626">
        <v>1385.52</v>
      </c>
      <c r="AV111" s="1690"/>
      <c r="AW111" s="1546"/>
      <c r="AX111" s="1548"/>
      <c r="AY111" s="1554">
        <v>965.7</v>
      </c>
      <c r="AZ111" s="1548"/>
      <c r="BA111" s="1548"/>
      <c r="BB111" s="1548"/>
      <c r="BC111" s="1546"/>
      <c r="BD111" s="222">
        <f t="shared" si="49"/>
        <v>0</v>
      </c>
      <c r="BE111" s="1055">
        <f t="shared" si="50"/>
        <v>0</v>
      </c>
      <c r="BF111" s="3"/>
      <c r="BG111" s="113">
        <f t="shared" si="51"/>
        <v>0</v>
      </c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31"/>
      <c r="BS111" s="129">
        <v>520</v>
      </c>
      <c r="BT111" s="129"/>
      <c r="BU111" s="130">
        <f t="shared" si="52"/>
        <v>0</v>
      </c>
      <c r="BV111" s="3"/>
    </row>
    <row r="112" ht="14.25" customHeight="1">
      <c r="A112" s="5"/>
      <c r="B112" s="306">
        <v>46117</v>
      </c>
      <c r="C112" s="133">
        <f>30757.65-D112-0</f>
      </c>
      <c r="D112" s="134">
        <v>1555.16</v>
      </c>
      <c r="E112" s="135"/>
      <c r="F112" s="135"/>
      <c r="G112" s="147">
        <f t="shared" si="44"/>
        <v>0</v>
      </c>
      <c r="H112" s="1070">
        <v>617.28</v>
      </c>
      <c r="I112" s="801">
        <v>1600</v>
      </c>
      <c r="J112" s="611"/>
      <c r="K112" s="611"/>
      <c r="L112" s="611"/>
      <c r="M112" s="611"/>
      <c r="N112" s="143"/>
      <c r="O112" s="143"/>
      <c r="P112" s="143"/>
      <c r="Q112" s="143"/>
      <c r="R112" s="143"/>
      <c r="S112" s="143"/>
      <c r="T112" s="143"/>
      <c r="U112" s="143"/>
      <c r="V112" s="143"/>
      <c r="W112" s="103">
        <f t="shared" si="45"/>
        <v>0</v>
      </c>
      <c r="X112" s="611"/>
      <c r="Y112" s="611"/>
      <c r="Z112" s="611"/>
      <c r="AA112" s="611"/>
      <c r="AB112" s="611"/>
      <c r="AC112" s="143"/>
      <c r="AD112" s="143"/>
      <c r="AE112" s="143"/>
      <c r="AF112" s="143"/>
      <c r="AG112" s="143"/>
      <c r="AH112" s="143"/>
      <c r="AI112" s="143"/>
      <c r="AJ112" s="103">
        <f t="shared" si="46"/>
        <v>0</v>
      </c>
      <c r="AK112" s="134">
        <v>15641.72</v>
      </c>
      <c r="AL112" s="134">
        <v>508.37</v>
      </c>
      <c r="AM112" s="136"/>
      <c r="AN112" s="105">
        <f t="shared" si="47"/>
        <v>0</v>
      </c>
      <c r="AO112" s="145">
        <v>561.2</v>
      </c>
      <c r="AP112" s="143"/>
      <c r="AQ112" s="143"/>
      <c r="AR112" s="146"/>
      <c r="AS112" s="224">
        <f t="shared" si="48"/>
        <v>0</v>
      </c>
      <c r="AT112" s="1553">
        <v>9057.2</v>
      </c>
      <c r="AU112" s="1626">
        <v>1726.78</v>
      </c>
      <c r="AV112" s="1546"/>
      <c r="AW112" s="1546"/>
      <c r="AX112" s="1548"/>
      <c r="AY112" s="1554">
        <v>1046.7</v>
      </c>
      <c r="AZ112" s="1548"/>
      <c r="BA112" s="1548"/>
      <c r="BB112" s="1548"/>
      <c r="BC112" s="1546"/>
      <c r="BD112" s="222">
        <f t="shared" si="49"/>
        <v>0</v>
      </c>
      <c r="BE112" s="456">
        <f t="shared" si="50"/>
        <v>0</v>
      </c>
      <c r="BF112" s="132"/>
      <c r="BG112" s="140">
        <f t="shared" si="51"/>
        <v>0</v>
      </c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30">
        <f t="shared" si="52"/>
        <v>0</v>
      </c>
      <c r="BV112" s="132"/>
    </row>
    <row r="113" ht="14.25" customHeight="1">
      <c r="A113" s="132"/>
      <c r="B113" s="306">
        <v>46118</v>
      </c>
      <c r="C113" s="133">
        <f>49799.18-D113-0</f>
      </c>
      <c r="D113" s="134">
        <v>1574.67</v>
      </c>
      <c r="E113" s="135"/>
      <c r="F113" s="135"/>
      <c r="G113" s="147">
        <f t="shared" si="44"/>
        <v>0</v>
      </c>
      <c r="H113" s="1070">
        <v>339.15</v>
      </c>
      <c r="I113" s="611">
        <v>3175.32</v>
      </c>
      <c r="J113" s="611"/>
      <c r="K113" s="611"/>
      <c r="L113" s="611"/>
      <c r="M113" s="611"/>
      <c r="N113" s="143"/>
      <c r="O113" s="143"/>
      <c r="P113" s="143"/>
      <c r="Q113" s="143"/>
      <c r="R113" s="143"/>
      <c r="S113" s="143"/>
      <c r="T113" s="143"/>
      <c r="U113" s="143"/>
      <c r="V113" s="143"/>
      <c r="W113" s="103">
        <f t="shared" si="45"/>
        <v>0</v>
      </c>
      <c r="X113" s="611"/>
      <c r="Y113" s="611"/>
      <c r="Z113" s="611"/>
      <c r="AA113" s="611"/>
      <c r="AB113" s="611"/>
      <c r="AC113" s="143"/>
      <c r="AD113" s="143"/>
      <c r="AE113" s="143"/>
      <c r="AF113" s="143"/>
      <c r="AG113" s="143"/>
      <c r="AH113" s="143"/>
      <c r="AI113" s="143"/>
      <c r="AJ113" s="103">
        <f t="shared" si="46"/>
        <v>0</v>
      </c>
      <c r="AK113" s="134">
        <v>23179.26</v>
      </c>
      <c r="AL113" s="134">
        <v>438.09</v>
      </c>
      <c r="AM113" s="136"/>
      <c r="AN113" s="105">
        <f t="shared" si="47"/>
        <v>0</v>
      </c>
      <c r="AO113" s="145">
        <v>684.54</v>
      </c>
      <c r="AP113" s="143"/>
      <c r="AQ113" s="143"/>
      <c r="AR113" s="146"/>
      <c r="AS113" s="224">
        <f t="shared" si="48"/>
        <v>0</v>
      </c>
      <c r="AT113" s="1553">
        <v>17579.2</v>
      </c>
      <c r="AU113" s="1626">
        <v>3168.39</v>
      </c>
      <c r="AV113" s="1546"/>
      <c r="AW113" s="1546"/>
      <c r="AX113" s="1548"/>
      <c r="AY113" s="1554">
        <v>1136.6</v>
      </c>
      <c r="AZ113" s="1548"/>
      <c r="BA113" s="1548"/>
      <c r="BB113" s="1548"/>
      <c r="BC113" s="1546"/>
      <c r="BD113" s="222">
        <f t="shared" si="49"/>
        <v>0</v>
      </c>
      <c r="BE113" s="456">
        <f t="shared" si="50"/>
        <v>0</v>
      </c>
      <c r="BF113" s="132"/>
      <c r="BG113" s="140">
        <f t="shared" si="51"/>
        <v>0</v>
      </c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50"/>
      <c r="BS113" s="141">
        <v>100</v>
      </c>
      <c r="BT113" s="141"/>
      <c r="BU113" s="130">
        <f t="shared" si="52"/>
        <v>0</v>
      </c>
      <c r="BV113" s="132"/>
    </row>
    <row r="114" ht="14.25" customHeight="1">
      <c r="A114" s="132"/>
      <c r="B114" s="306">
        <v>46119</v>
      </c>
      <c r="C114" s="133">
        <f>48102.59-D114-0</f>
      </c>
      <c r="D114" s="134">
        <v>1905.21</v>
      </c>
      <c r="E114" s="135"/>
      <c r="F114" s="135"/>
      <c r="G114" s="147">
        <f t="shared" si="44"/>
        <v>0</v>
      </c>
      <c r="H114" s="768"/>
      <c r="I114" s="611">
        <v>3940.77</v>
      </c>
      <c r="J114" s="611"/>
      <c r="K114" s="611"/>
      <c r="L114" s="611"/>
      <c r="M114" s="611"/>
      <c r="N114" s="143"/>
      <c r="O114" s="143"/>
      <c r="P114" s="143"/>
      <c r="Q114" s="143"/>
      <c r="R114" s="143"/>
      <c r="S114" s="143"/>
      <c r="T114" s="143">
        <v>2622.15</v>
      </c>
      <c r="U114" s="143"/>
      <c r="V114" s="143"/>
      <c r="W114" s="103">
        <f t="shared" si="45"/>
        <v>0</v>
      </c>
      <c r="X114" s="611"/>
      <c r="Y114" s="611"/>
      <c r="Z114" s="611"/>
      <c r="AA114" s="611"/>
      <c r="AB114" s="611"/>
      <c r="AC114" s="143"/>
      <c r="AD114" s="143"/>
      <c r="AE114" s="143"/>
      <c r="AF114" s="143"/>
      <c r="AG114" s="143"/>
      <c r="AH114" s="143"/>
      <c r="AI114" s="143"/>
      <c r="AJ114" s="103">
        <f t="shared" si="46"/>
        <v>0</v>
      </c>
      <c r="AK114" s="134">
        <v>25169.48</v>
      </c>
      <c r="AL114" s="134">
        <v>594.26</v>
      </c>
      <c r="AM114" s="136"/>
      <c r="AN114" s="105">
        <f t="shared" si="47"/>
        <v>0</v>
      </c>
      <c r="AO114" s="145">
        <v>421.3</v>
      </c>
      <c r="AP114" s="143"/>
      <c r="AQ114" s="143"/>
      <c r="AR114" s="146"/>
      <c r="AS114" s="224">
        <f t="shared" si="48"/>
        <v>0</v>
      </c>
      <c r="AT114" s="1553">
        <v>13495.5</v>
      </c>
      <c r="AU114" s="1626">
        <v>549.75</v>
      </c>
      <c r="AV114" s="1546"/>
      <c r="AW114" s="1546"/>
      <c r="AX114" s="1548"/>
      <c r="AY114" s="1554">
        <v>1310.9</v>
      </c>
      <c r="AZ114" s="1548"/>
      <c r="BA114" s="1548"/>
      <c r="BB114" s="1548"/>
      <c r="BC114" s="1546"/>
      <c r="BD114" s="222">
        <f t="shared" si="49"/>
        <v>0</v>
      </c>
      <c r="BE114" s="456">
        <f t="shared" si="50"/>
        <v>0</v>
      </c>
      <c r="BF114" s="132"/>
      <c r="BG114" s="140">
        <f t="shared" si="51"/>
        <v>0</v>
      </c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30">
        <f t="shared" si="52"/>
        <v>0</v>
      </c>
      <c r="BV114" s="132"/>
    </row>
    <row r="115" ht="14.25" customHeight="1">
      <c r="A115" s="132"/>
      <c r="B115" s="306">
        <v>46120</v>
      </c>
      <c r="C115" s="133">
        <f>35970.15-D115-0</f>
      </c>
      <c r="D115" s="134">
        <v>1291.65</v>
      </c>
      <c r="E115" s="135"/>
      <c r="F115" s="135"/>
      <c r="G115" s="147">
        <f t="shared" si="44"/>
        <v>0</v>
      </c>
      <c r="H115" s="1070">
        <v>1298.04</v>
      </c>
      <c r="I115" s="611">
        <v>1720.72</v>
      </c>
      <c r="J115" s="611"/>
      <c r="K115" s="611"/>
      <c r="L115" s="611"/>
      <c r="M115" s="611"/>
      <c r="N115" s="143"/>
      <c r="O115" s="143"/>
      <c r="P115" s="143"/>
      <c r="Q115" s="143"/>
      <c r="R115" s="143"/>
      <c r="S115" s="143"/>
      <c r="T115" s="143"/>
      <c r="U115" s="143"/>
      <c r="V115" s="143"/>
      <c r="W115" s="103">
        <f t="shared" si="45"/>
        <v>0</v>
      </c>
      <c r="X115" s="611"/>
      <c r="Y115" s="611"/>
      <c r="Z115" s="611"/>
      <c r="AA115" s="611"/>
      <c r="AB115" s="611"/>
      <c r="AC115" s="143"/>
      <c r="AD115" s="143"/>
      <c r="AE115" s="143"/>
      <c r="AF115" s="143"/>
      <c r="AG115" s="143"/>
      <c r="AH115" s="143"/>
      <c r="AI115" s="143"/>
      <c r="AJ115" s="103">
        <f t="shared" si="46"/>
        <v>0</v>
      </c>
      <c r="AK115" s="134">
        <v>7563.9</v>
      </c>
      <c r="AL115" s="134">
        <v>467.43</v>
      </c>
      <c r="AM115" s="136"/>
      <c r="AN115" s="105">
        <f t="shared" si="47"/>
        <v>0</v>
      </c>
      <c r="AO115" s="145">
        <v>362.38</v>
      </c>
      <c r="AP115" s="143"/>
      <c r="AQ115" s="143"/>
      <c r="AR115" s="146"/>
      <c r="AS115" s="224">
        <f t="shared" si="48"/>
        <v>0</v>
      </c>
      <c r="AT115" s="1553">
        <v>17464.1</v>
      </c>
      <c r="AU115" s="1626">
        <v>6100.72</v>
      </c>
      <c r="AV115" s="1546"/>
      <c r="AW115" s="1546"/>
      <c r="AX115" s="1548"/>
      <c r="AY115" s="1554">
        <v>824.2</v>
      </c>
      <c r="AZ115" s="1548"/>
      <c r="BA115" s="1548"/>
      <c r="BB115" s="1548"/>
      <c r="BC115" s="1546"/>
      <c r="BD115" s="222">
        <f t="shared" si="49"/>
        <v>0</v>
      </c>
      <c r="BE115" s="456">
        <f t="shared" si="50"/>
        <v>0</v>
      </c>
      <c r="BF115" s="132"/>
      <c r="BG115" s="140">
        <f t="shared" si="51"/>
        <v>0</v>
      </c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50"/>
      <c r="BS115" s="141">
        <v>170</v>
      </c>
      <c r="BT115" s="141"/>
      <c r="BU115" s="130">
        <f t="shared" si="52"/>
        <v>0</v>
      </c>
      <c r="BV115" s="132"/>
    </row>
    <row r="116" ht="14.25" customHeight="1">
      <c r="A116" s="132"/>
      <c r="B116" s="306">
        <v>46121</v>
      </c>
      <c r="C116" s="133">
        <f>38682.69-D116-0</f>
      </c>
      <c r="D116" s="134">
        <v>1136.03</v>
      </c>
      <c r="E116" s="135"/>
      <c r="F116" s="135"/>
      <c r="G116" s="147">
        <f t="shared" si="44"/>
        <v>0</v>
      </c>
      <c r="H116" s="768"/>
      <c r="I116" s="611">
        <v>4854.98</v>
      </c>
      <c r="J116" s="611"/>
      <c r="K116" s="611"/>
      <c r="L116" s="611"/>
      <c r="M116" s="611"/>
      <c r="N116" s="143"/>
      <c r="O116" s="143"/>
      <c r="P116" s="143"/>
      <c r="Q116" s="143"/>
      <c r="R116" s="143"/>
      <c r="S116" s="143"/>
      <c r="T116" s="145">
        <v>2633.12</v>
      </c>
      <c r="U116" s="143"/>
      <c r="V116" s="143"/>
      <c r="W116" s="103">
        <f t="shared" si="45"/>
        <v>0</v>
      </c>
      <c r="X116" s="611"/>
      <c r="Y116" s="611"/>
      <c r="Z116" s="611"/>
      <c r="AA116" s="611"/>
      <c r="AB116" s="611"/>
      <c r="AC116" s="143"/>
      <c r="AD116" s="143"/>
      <c r="AE116" s="143"/>
      <c r="AF116" s="143"/>
      <c r="AG116" s="143"/>
      <c r="AH116" s="143"/>
      <c r="AI116" s="143"/>
      <c r="AJ116" s="103">
        <f t="shared" si="46"/>
        <v>0</v>
      </c>
      <c r="AK116" s="134">
        <v>15675.76</v>
      </c>
      <c r="AL116" s="134">
        <v>225.49</v>
      </c>
      <c r="AM116" s="136"/>
      <c r="AN116" s="105">
        <f t="shared" si="47"/>
        <v>0</v>
      </c>
      <c r="AO116" s="634">
        <v>377.12</v>
      </c>
      <c r="AP116" s="143"/>
      <c r="AQ116" s="143"/>
      <c r="AR116" s="146"/>
      <c r="AS116" s="224">
        <f t="shared" si="48"/>
        <v>0</v>
      </c>
      <c r="AT116" s="1553">
        <v>14006.9</v>
      </c>
      <c r="AU116" s="1546"/>
      <c r="AV116" s="1546"/>
      <c r="AW116" s="1546"/>
      <c r="AX116" s="1548"/>
      <c r="AY116" s="1554">
        <v>910.5</v>
      </c>
      <c r="AZ116" s="1548"/>
      <c r="BA116" s="1548"/>
      <c r="BB116" s="1548"/>
      <c r="BC116" s="1546"/>
      <c r="BD116" s="222">
        <f t="shared" si="49"/>
        <v>0</v>
      </c>
      <c r="BE116" s="456">
        <f t="shared" si="50"/>
        <v>0</v>
      </c>
      <c r="BF116" s="132"/>
      <c r="BG116" s="140">
        <f t="shared" si="51"/>
        <v>0</v>
      </c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30">
        <f t="shared" si="52"/>
        <v>0</v>
      </c>
      <c r="BV116" s="132"/>
    </row>
    <row r="117" ht="14.25" customHeight="1">
      <c r="A117" s="132"/>
      <c r="B117" s="306">
        <v>46122</v>
      </c>
      <c r="C117" s="133">
        <f>37458.92-D117-0</f>
      </c>
      <c r="D117" s="134">
        <v>1680.44</v>
      </c>
      <c r="E117" s="135"/>
      <c r="F117" s="135"/>
      <c r="G117" s="147">
        <f t="shared" si="44"/>
        <v>0</v>
      </c>
      <c r="H117" s="1070">
        <v>675.06</v>
      </c>
      <c r="I117" s="611">
        <v>4193.02</v>
      </c>
      <c r="J117" s="611"/>
      <c r="K117" s="611"/>
      <c r="L117" s="611"/>
      <c r="M117" s="611"/>
      <c r="N117" s="143"/>
      <c r="O117" s="143"/>
      <c r="P117" s="143"/>
      <c r="Q117" s="143"/>
      <c r="R117" s="143"/>
      <c r="S117" s="143"/>
      <c r="T117" s="143"/>
      <c r="U117" s="143"/>
      <c r="V117" s="143"/>
      <c r="W117" s="103">
        <f t="shared" si="45"/>
        <v>0</v>
      </c>
      <c r="X117" s="611"/>
      <c r="Y117" s="611"/>
      <c r="Z117" s="611"/>
      <c r="AA117" s="611"/>
      <c r="AB117" s="611"/>
      <c r="AC117" s="143"/>
      <c r="AD117" s="143"/>
      <c r="AE117" s="143"/>
      <c r="AF117" s="143"/>
      <c r="AG117" s="143"/>
      <c r="AH117" s="143"/>
      <c r="AI117" s="143"/>
      <c r="AJ117" s="103">
        <f t="shared" si="46"/>
        <v>0</v>
      </c>
      <c r="AK117" s="134">
        <v>7472.98</v>
      </c>
      <c r="AL117" s="134">
        <v>241.94</v>
      </c>
      <c r="AM117" s="136"/>
      <c r="AN117" s="105">
        <f t="shared" si="47"/>
        <v>0</v>
      </c>
      <c r="AO117" s="145">
        <v>429.57</v>
      </c>
      <c r="AP117" s="143"/>
      <c r="AQ117" s="143"/>
      <c r="AR117" s="146"/>
      <c r="AS117" s="224">
        <f t="shared" si="48"/>
        <v>0</v>
      </c>
      <c r="AT117" s="1553">
        <v>20437.7</v>
      </c>
      <c r="AU117" s="1626">
        <v>2191.55</v>
      </c>
      <c r="AV117" s="1546"/>
      <c r="AW117" s="1546"/>
      <c r="AX117" s="1548"/>
      <c r="AY117" s="1554">
        <v>1438.5</v>
      </c>
      <c r="AZ117" s="1548"/>
      <c r="BA117" s="1548"/>
      <c r="BB117" s="1548"/>
      <c r="BC117" s="1546"/>
      <c r="BD117" s="222">
        <f t="shared" si="49"/>
        <v>0</v>
      </c>
      <c r="BE117" s="456">
        <f t="shared" si="50"/>
        <v>0</v>
      </c>
      <c r="BF117" s="132"/>
      <c r="BG117" s="140">
        <f t="shared" si="51"/>
        <v>0</v>
      </c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50"/>
      <c r="BS117" s="141">
        <v>380</v>
      </c>
      <c r="BT117" s="141"/>
      <c r="BU117" s="130">
        <f t="shared" si="52"/>
        <v>0</v>
      </c>
      <c r="BV117" s="132"/>
    </row>
    <row r="118" ht="14.25" customHeight="1">
      <c r="A118" s="132"/>
      <c r="B118" s="306">
        <v>46123</v>
      </c>
      <c r="C118" s="133">
        <f>31966.09-D118-0</f>
      </c>
      <c r="D118" s="134">
        <v>1067.2</v>
      </c>
      <c r="E118" s="135"/>
      <c r="F118" s="135"/>
      <c r="G118" s="147">
        <f t="shared" si="44"/>
        <v>0</v>
      </c>
      <c r="H118" s="1070">
        <v>1239.05</v>
      </c>
      <c r="I118" s="611">
        <v>4189.13</v>
      </c>
      <c r="J118" s="611"/>
      <c r="K118" s="611"/>
      <c r="L118" s="611"/>
      <c r="M118" s="611"/>
      <c r="N118" s="143"/>
      <c r="O118" s="143"/>
      <c r="P118" s="143"/>
      <c r="Q118" s="143"/>
      <c r="R118" s="143"/>
      <c r="S118" s="143"/>
      <c r="T118" s="143"/>
      <c r="U118" s="143"/>
      <c r="V118" s="143"/>
      <c r="W118" s="103">
        <f t="shared" si="45"/>
        <v>0</v>
      </c>
      <c r="X118" s="611"/>
      <c r="Y118" s="611"/>
      <c r="Z118" s="611"/>
      <c r="AA118" s="611"/>
      <c r="AB118" s="611"/>
      <c r="AC118" s="143"/>
      <c r="AD118" s="143"/>
      <c r="AE118" s="143"/>
      <c r="AF118" s="143"/>
      <c r="AG118" s="143"/>
      <c r="AH118" s="143"/>
      <c r="AI118" s="143"/>
      <c r="AJ118" s="103">
        <f t="shared" si="46"/>
        <v>0</v>
      </c>
      <c r="AK118" s="134">
        <v>13311.5</v>
      </c>
      <c r="AL118" s="134"/>
      <c r="AM118" s="136"/>
      <c r="AN118" s="105">
        <f t="shared" si="47"/>
        <v>0</v>
      </c>
      <c r="AO118" s="145">
        <v>249.9</v>
      </c>
      <c r="AP118" s="143"/>
      <c r="AQ118" s="143"/>
      <c r="AR118" s="146"/>
      <c r="AS118" s="224">
        <f t="shared" si="48"/>
        <v>0</v>
      </c>
      <c r="AT118" s="1553">
        <v>11910.8</v>
      </c>
      <c r="AU118" s="1546"/>
      <c r="AV118" s="1546"/>
      <c r="AW118" s="1546"/>
      <c r="AX118" s="1548"/>
      <c r="AY118" s="1554">
        <v>1067.2</v>
      </c>
      <c r="AZ118" s="1548"/>
      <c r="BA118" s="1548"/>
      <c r="BB118" s="1548"/>
      <c r="BC118" s="1546"/>
      <c r="BD118" s="222">
        <f t="shared" si="49"/>
        <v>0</v>
      </c>
      <c r="BE118" s="456">
        <f t="shared" si="50"/>
        <v>0</v>
      </c>
      <c r="BF118" s="132"/>
      <c r="BG118" s="140">
        <f t="shared" si="51"/>
        <v>0</v>
      </c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30">
        <f t="shared" si="52"/>
        <v>0</v>
      </c>
      <c r="BV118" s="132"/>
    </row>
    <row r="119" ht="14.25" customHeight="1">
      <c r="A119" s="132"/>
      <c r="B119" s="306">
        <v>46124</v>
      </c>
      <c r="C119" s="133">
        <f>18991.57-D119-0</f>
      </c>
      <c r="D119" s="134">
        <v>2086.37</v>
      </c>
      <c r="E119" s="135"/>
      <c r="F119" s="135"/>
      <c r="G119" s="147">
        <f t="shared" si="44"/>
        <v>0</v>
      </c>
      <c r="H119" s="1070">
        <v>639.25</v>
      </c>
      <c r="I119" s="801">
        <v>750</v>
      </c>
      <c r="J119" s="611"/>
      <c r="K119" s="611"/>
      <c r="L119" s="611"/>
      <c r="M119" s="611"/>
      <c r="N119" s="143"/>
      <c r="O119" s="143"/>
      <c r="P119" s="143"/>
      <c r="Q119" s="143"/>
      <c r="R119" s="143"/>
      <c r="S119" s="143"/>
      <c r="T119" s="145">
        <v>2069.1</v>
      </c>
      <c r="U119" s="143"/>
      <c r="V119" s="143"/>
      <c r="W119" s="103">
        <f t="shared" si="45"/>
        <v>0</v>
      </c>
      <c r="X119" s="611"/>
      <c r="Y119" s="611"/>
      <c r="Z119" s="611"/>
      <c r="AA119" s="611"/>
      <c r="AB119" s="611"/>
      <c r="AC119" s="143"/>
      <c r="AD119" s="143"/>
      <c r="AE119" s="143"/>
      <c r="AF119" s="143"/>
      <c r="AG119" s="143"/>
      <c r="AH119" s="143"/>
      <c r="AI119" s="143"/>
      <c r="AJ119" s="103">
        <f t="shared" si="46"/>
        <v>0</v>
      </c>
      <c r="AK119" s="134">
        <v>6372.32</v>
      </c>
      <c r="AL119" s="134"/>
      <c r="AM119" s="136"/>
      <c r="AN119" s="105">
        <f t="shared" si="47"/>
        <v>0</v>
      </c>
      <c r="AO119" s="145">
        <v>95.89</v>
      </c>
      <c r="AP119" s="143"/>
      <c r="AQ119" s="143"/>
      <c r="AR119" s="146"/>
      <c r="AS119" s="224">
        <f t="shared" si="48"/>
        <v>0</v>
      </c>
      <c r="AT119" s="1553">
        <v>6980.4</v>
      </c>
      <c r="AU119" s="1546"/>
      <c r="AV119" s="1546"/>
      <c r="AW119" s="1546"/>
      <c r="AX119" s="1548"/>
      <c r="AY119" s="1554">
        <v>2086.4</v>
      </c>
      <c r="AZ119" s="1548"/>
      <c r="BA119" s="1548"/>
      <c r="BB119" s="1548"/>
      <c r="BC119" s="1546"/>
      <c r="BD119" s="222">
        <f t="shared" si="49"/>
        <v>0</v>
      </c>
      <c r="BE119" s="456">
        <f t="shared" si="50"/>
        <v>0</v>
      </c>
      <c r="BF119" s="132"/>
      <c r="BG119" s="140">
        <f t="shared" si="51"/>
        <v>0</v>
      </c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30">
        <f t="shared" si="52"/>
        <v>0</v>
      </c>
      <c r="BV119" s="132"/>
    </row>
    <row r="120" ht="14.25" customHeight="1">
      <c r="A120" s="132"/>
      <c r="B120" s="306">
        <v>46125</v>
      </c>
      <c r="C120" s="133">
        <f>40169.02-D120-0</f>
      </c>
      <c r="D120" s="134">
        <v>1926.62</v>
      </c>
      <c r="E120" s="135"/>
      <c r="F120" s="135"/>
      <c r="G120" s="147">
        <f t="shared" si="44"/>
        <v>0</v>
      </c>
      <c r="H120" s="1070">
        <v>366.86</v>
      </c>
      <c r="I120" s="611">
        <v>5079.33</v>
      </c>
      <c r="J120" s="611"/>
      <c r="K120" s="611"/>
      <c r="L120" s="611"/>
      <c r="M120" s="611"/>
      <c r="N120" s="143"/>
      <c r="O120" s="231"/>
      <c r="P120" s="143"/>
      <c r="Q120" s="143"/>
      <c r="R120" s="143"/>
      <c r="S120" s="143"/>
      <c r="T120" s="143"/>
      <c r="U120" s="143"/>
      <c r="V120" s="143"/>
      <c r="W120" s="103">
        <f t="shared" si="45"/>
        <v>0</v>
      </c>
      <c r="X120" s="1080"/>
      <c r="Y120" s="611"/>
      <c r="Z120" s="611"/>
      <c r="AA120" s="611"/>
      <c r="AB120" s="611"/>
      <c r="AC120" s="143"/>
      <c r="AD120" s="143"/>
      <c r="AE120" s="143"/>
      <c r="AF120" s="143"/>
      <c r="AG120" s="143"/>
      <c r="AH120" s="143"/>
      <c r="AI120" s="143"/>
      <c r="AJ120" s="103">
        <f t="shared" si="46"/>
        <v>0</v>
      </c>
      <c r="AK120" s="134">
        <v>14951.51</v>
      </c>
      <c r="AL120" s="134">
        <v>387</v>
      </c>
      <c r="AM120" s="136"/>
      <c r="AN120" s="105">
        <f t="shared" si="47"/>
        <v>0</v>
      </c>
      <c r="AO120" s="145">
        <v>450.31</v>
      </c>
      <c r="AP120" s="143"/>
      <c r="AQ120" s="143"/>
      <c r="AR120" s="146"/>
      <c r="AS120" s="224">
        <f t="shared" si="48"/>
        <v>0</v>
      </c>
      <c r="AT120" s="1553">
        <v>17295.5</v>
      </c>
      <c r="AU120" s="1546"/>
      <c r="AV120" s="1546"/>
      <c r="AW120" s="1546"/>
      <c r="AX120" s="1548"/>
      <c r="AY120" s="1554">
        <v>1539.6</v>
      </c>
      <c r="AZ120" s="1548"/>
      <c r="BA120" s="1548"/>
      <c r="BB120" s="1548"/>
      <c r="BC120" s="1546"/>
      <c r="BD120" s="222">
        <f t="shared" si="49"/>
        <v>0</v>
      </c>
      <c r="BE120" s="456">
        <f t="shared" si="50"/>
        <v>0</v>
      </c>
      <c r="BF120" s="132"/>
      <c r="BG120" s="140">
        <f t="shared" si="51"/>
        <v>0</v>
      </c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50"/>
      <c r="BS120" s="141">
        <v>100</v>
      </c>
      <c r="BT120" s="141"/>
      <c r="BU120" s="130">
        <f t="shared" si="52"/>
        <v>0</v>
      </c>
      <c r="BV120" s="132"/>
    </row>
    <row r="121" ht="14.25" customHeight="1">
      <c r="A121" s="132"/>
      <c r="B121" s="306">
        <v>46126</v>
      </c>
      <c r="C121" s="133">
        <f>39489.96-D121-0</f>
      </c>
      <c r="D121" s="134">
        <v>1537.77</v>
      </c>
      <c r="E121" s="135"/>
      <c r="F121" s="135"/>
      <c r="G121" s="147">
        <f t="shared" si="44"/>
        <v>0</v>
      </c>
      <c r="H121" s="1070">
        <v>966.59</v>
      </c>
      <c r="I121" s="611">
        <v>5371.09</v>
      </c>
      <c r="J121" s="611"/>
      <c r="K121" s="611"/>
      <c r="L121" s="611"/>
      <c r="M121" s="611"/>
      <c r="N121" s="143"/>
      <c r="O121" s="143"/>
      <c r="P121" s="143"/>
      <c r="Q121" s="143"/>
      <c r="R121" s="143"/>
      <c r="S121" s="143"/>
      <c r="T121" s="143"/>
      <c r="U121" s="143"/>
      <c r="V121" s="143"/>
      <c r="W121" s="103">
        <f t="shared" si="45"/>
        <v>0</v>
      </c>
      <c r="X121" s="611"/>
      <c r="Y121" s="611"/>
      <c r="Z121" s="611"/>
      <c r="AA121" s="611"/>
      <c r="AB121" s="611"/>
      <c r="AC121" s="143"/>
      <c r="AD121" s="143"/>
      <c r="AE121" s="143"/>
      <c r="AF121" s="143"/>
      <c r="AG121" s="143"/>
      <c r="AH121" s="143"/>
      <c r="AI121" s="143"/>
      <c r="AJ121" s="103">
        <f t="shared" si="46"/>
        <v>0</v>
      </c>
      <c r="AK121" s="134">
        <v>11320.66</v>
      </c>
      <c r="AL121" s="134">
        <v>395.49</v>
      </c>
      <c r="AM121" s="136"/>
      <c r="AN121" s="105">
        <f t="shared" si="47"/>
        <v>0</v>
      </c>
      <c r="AO121" s="145">
        <v>451.01</v>
      </c>
      <c r="AP121" s="143"/>
      <c r="AQ121" s="143"/>
      <c r="AR121" s="146"/>
      <c r="AS121" s="224">
        <f t="shared" si="48"/>
        <v>0</v>
      </c>
      <c r="AT121" s="1553">
        <v>16514.6</v>
      </c>
      <c r="AU121" s="1626">
        <v>2829.33</v>
      </c>
      <c r="AV121" s="1546"/>
      <c r="AW121" s="1546"/>
      <c r="AX121" s="1548"/>
      <c r="AY121" s="1554">
        <v>1142.2</v>
      </c>
      <c r="AZ121" s="1548"/>
      <c r="BA121" s="1548"/>
      <c r="BB121" s="1548"/>
      <c r="BC121" s="1546"/>
      <c r="BD121" s="222">
        <f t="shared" si="49"/>
        <v>0</v>
      </c>
      <c r="BE121" s="456">
        <f t="shared" si="50"/>
        <v>0</v>
      </c>
      <c r="BF121" s="132"/>
      <c r="BG121" s="140">
        <f t="shared" si="51"/>
        <v>0</v>
      </c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50"/>
      <c r="BS121" s="141">
        <v>500</v>
      </c>
      <c r="BT121" s="141"/>
      <c r="BU121" s="130">
        <f t="shared" si="52"/>
        <v>0</v>
      </c>
      <c r="BV121" s="132"/>
    </row>
    <row r="122" ht="14.25" customHeight="1">
      <c r="A122" s="132"/>
      <c r="B122" s="306">
        <v>46127</v>
      </c>
      <c r="C122" s="133">
        <f>44064.09-D122-0</f>
      </c>
      <c r="D122" s="134">
        <v>1683.83</v>
      </c>
      <c r="E122" s="135"/>
      <c r="F122" s="135"/>
      <c r="G122" s="147">
        <f t="shared" si="44"/>
        <v>0</v>
      </c>
      <c r="H122" s="1070">
        <v>704.8</v>
      </c>
      <c r="I122" s="801">
        <v>4560</v>
      </c>
      <c r="J122" s="611"/>
      <c r="K122" s="611"/>
      <c r="L122" s="611"/>
      <c r="M122" s="611"/>
      <c r="N122" s="143"/>
      <c r="O122" s="143"/>
      <c r="P122" s="143"/>
      <c r="Q122" s="143"/>
      <c r="R122" s="143"/>
      <c r="S122" s="143"/>
      <c r="T122" s="143">
        <v>1530.11</v>
      </c>
      <c r="U122" s="143"/>
      <c r="V122" s="143"/>
      <c r="W122" s="103">
        <f t="shared" si="45"/>
        <v>0</v>
      </c>
      <c r="X122" s="611"/>
      <c r="Y122" s="611"/>
      <c r="Z122" s="611"/>
      <c r="AA122" s="611"/>
      <c r="AB122" s="611"/>
      <c r="AC122" s="143"/>
      <c r="AD122" s="143"/>
      <c r="AE122" s="143"/>
      <c r="AF122" s="143"/>
      <c r="AG122" s="143"/>
      <c r="AH122" s="143"/>
      <c r="AI122" s="143"/>
      <c r="AJ122" s="103">
        <f t="shared" si="46"/>
        <v>0</v>
      </c>
      <c r="AK122" s="134">
        <v>22457.23</v>
      </c>
      <c r="AL122" s="134">
        <v>711.89</v>
      </c>
      <c r="AM122" s="136"/>
      <c r="AN122" s="105">
        <f t="shared" si="47"/>
        <v>0</v>
      </c>
      <c r="AO122" s="145">
        <v>582.9</v>
      </c>
      <c r="AP122" s="143"/>
      <c r="AQ122" s="143"/>
      <c r="AR122" s="146"/>
      <c r="AS122" s="224">
        <f t="shared" si="48"/>
        <v>0</v>
      </c>
      <c r="AT122" s="1553">
        <v>11097.4</v>
      </c>
      <c r="AU122" s="1626">
        <v>1349.4</v>
      </c>
      <c r="AV122" s="1546"/>
      <c r="AW122" s="1546"/>
      <c r="AX122" s="1548"/>
      <c r="AY122" s="1554">
        <v>970.7</v>
      </c>
      <c r="AZ122" s="1548"/>
      <c r="BA122" s="1548"/>
      <c r="BB122" s="1548"/>
      <c r="BC122" s="1546"/>
      <c r="BD122" s="222">
        <f t="shared" si="49"/>
        <v>0</v>
      </c>
      <c r="BE122" s="456">
        <f t="shared" si="50"/>
        <v>0</v>
      </c>
      <c r="BF122" s="132"/>
      <c r="BG122" s="140">
        <f t="shared" si="51"/>
        <v>0</v>
      </c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50"/>
      <c r="BS122" s="141">
        <v>100</v>
      </c>
      <c r="BT122" s="141"/>
      <c r="BU122" s="130">
        <f t="shared" si="52"/>
        <v>0</v>
      </c>
      <c r="BV122" s="132"/>
    </row>
    <row r="123" ht="14.25" customHeight="1">
      <c r="A123" s="132"/>
      <c r="B123" s="306">
        <v>46128</v>
      </c>
      <c r="C123" s="133">
        <f>30209.26-D123-0</f>
      </c>
      <c r="D123" s="134">
        <v>1563.67</v>
      </c>
      <c r="E123" s="135"/>
      <c r="F123" s="135"/>
      <c r="G123" s="147">
        <f t="shared" si="44"/>
        <v>0</v>
      </c>
      <c r="H123" s="1070">
        <v>705.86</v>
      </c>
      <c r="I123" s="801">
        <v>6023.23</v>
      </c>
      <c r="J123" s="611"/>
      <c r="K123" s="611"/>
      <c r="L123" s="611"/>
      <c r="M123" s="611"/>
      <c r="N123" s="143"/>
      <c r="O123" s="143"/>
      <c r="P123" s="143"/>
      <c r="Q123" s="143"/>
      <c r="R123" s="143"/>
      <c r="S123" s="143"/>
      <c r="T123" s="143"/>
      <c r="U123" s="143"/>
      <c r="V123" s="143"/>
      <c r="W123" s="103">
        <f t="shared" si="45"/>
        <v>0</v>
      </c>
      <c r="X123" s="611"/>
      <c r="Y123" s="611"/>
      <c r="Z123" s="611"/>
      <c r="AA123" s="611"/>
      <c r="AB123" s="611"/>
      <c r="AC123" s="143"/>
      <c r="AD123" s="143"/>
      <c r="AE123" s="143"/>
      <c r="AF123" s="143"/>
      <c r="AG123" s="143"/>
      <c r="AH123" s="143"/>
      <c r="AI123" s="143"/>
      <c r="AJ123" s="103">
        <f t="shared" si="46"/>
        <v>0</v>
      </c>
      <c r="AK123" s="134">
        <v>4639.16</v>
      </c>
      <c r="AL123" s="134">
        <v>150.02</v>
      </c>
      <c r="AM123" s="136"/>
      <c r="AN123" s="105">
        <f t="shared" si="47"/>
        <v>0</v>
      </c>
      <c r="AO123" s="145">
        <v>156.11</v>
      </c>
      <c r="AP123" s="143"/>
      <c r="AQ123" s="143"/>
      <c r="AR123" s="146"/>
      <c r="AS123" s="224">
        <f t="shared" si="48"/>
        <v>0</v>
      </c>
      <c r="AT123" s="1553">
        <v>11348.4</v>
      </c>
      <c r="AU123" s="1626">
        <v>5813.51</v>
      </c>
      <c r="AV123" s="1546"/>
      <c r="AW123" s="1546"/>
      <c r="AX123" s="1548"/>
      <c r="AY123" s="1554">
        <v>1373</v>
      </c>
      <c r="AZ123" s="1548"/>
      <c r="BA123" s="1548"/>
      <c r="BB123" s="1548"/>
      <c r="BC123" s="1546"/>
      <c r="BD123" s="222">
        <f t="shared" si="49"/>
        <v>0</v>
      </c>
      <c r="BE123" s="456">
        <f t="shared" si="50"/>
        <v>0</v>
      </c>
      <c r="BF123" s="132"/>
      <c r="BG123" s="140">
        <f t="shared" si="51"/>
        <v>0</v>
      </c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50"/>
      <c r="BS123" s="141"/>
      <c r="BT123" s="141"/>
      <c r="BU123" s="130">
        <f t="shared" si="52"/>
        <v>0</v>
      </c>
      <c r="BV123" s="132"/>
    </row>
    <row r="124" ht="14.25" customHeight="1">
      <c r="A124" s="132"/>
      <c r="B124" s="306">
        <v>46129</v>
      </c>
      <c r="C124" s="133">
        <f>30886.38-D124-0</f>
      </c>
      <c r="D124" s="134">
        <v>2043.55</v>
      </c>
      <c r="E124" s="135"/>
      <c r="F124" s="135"/>
      <c r="G124" s="147">
        <f t="shared" si="44"/>
        <v>0</v>
      </c>
      <c r="H124" s="1070">
        <v>321.44</v>
      </c>
      <c r="I124" s="801">
        <v>3280.45</v>
      </c>
      <c r="J124" s="611"/>
      <c r="K124" s="611"/>
      <c r="L124" s="611"/>
      <c r="M124" s="611"/>
      <c r="N124" s="143"/>
      <c r="O124" s="143"/>
      <c r="P124" s="143"/>
      <c r="Q124" s="143"/>
      <c r="R124" s="143"/>
      <c r="S124" s="143"/>
      <c r="T124" s="143"/>
      <c r="U124" s="143"/>
      <c r="V124" s="143"/>
      <c r="W124" s="103">
        <f t="shared" si="45"/>
        <v>0</v>
      </c>
      <c r="X124" s="611"/>
      <c r="Y124" s="611"/>
      <c r="Z124" s="611"/>
      <c r="AA124" s="611"/>
      <c r="AB124" s="611"/>
      <c r="AC124" s="143"/>
      <c r="AD124" s="143"/>
      <c r="AE124" s="143"/>
      <c r="AF124" s="143"/>
      <c r="AG124" s="143"/>
      <c r="AH124" s="143"/>
      <c r="AI124" s="143"/>
      <c r="AJ124" s="103">
        <f t="shared" si="46"/>
        <v>0</v>
      </c>
      <c r="AK124" s="134">
        <v>7032.73</v>
      </c>
      <c r="AL124" s="134">
        <v>509.76</v>
      </c>
      <c r="AM124" s="136"/>
      <c r="AN124" s="105">
        <f t="shared" si="47"/>
        <v>0</v>
      </c>
      <c r="AO124" s="145">
        <v>300.6</v>
      </c>
      <c r="AP124" s="143"/>
      <c r="AQ124" s="143"/>
      <c r="AR124" s="146"/>
      <c r="AS124" s="224">
        <f t="shared" si="48"/>
        <v>0</v>
      </c>
      <c r="AT124" s="1553">
        <v>16908.9</v>
      </c>
      <c r="AU124" s="1626">
        <v>899.6</v>
      </c>
      <c r="AV124" s="1546"/>
      <c r="AW124" s="1546"/>
      <c r="AX124" s="1548"/>
      <c r="AY124" s="1554">
        <v>1533.8</v>
      </c>
      <c r="AZ124" s="1548"/>
      <c r="BA124" s="1548"/>
      <c r="BB124" s="1548"/>
      <c r="BC124" s="1546"/>
      <c r="BD124" s="222">
        <f t="shared" si="49"/>
        <v>0</v>
      </c>
      <c r="BE124" s="456">
        <f t="shared" si="50"/>
        <v>0</v>
      </c>
      <c r="BF124" s="132"/>
      <c r="BG124" s="140">
        <f t="shared" si="51"/>
        <v>0</v>
      </c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50"/>
      <c r="BS124" s="141">
        <v>100</v>
      </c>
      <c r="BT124" s="141"/>
      <c r="BU124" s="130">
        <f t="shared" si="52"/>
        <v>0</v>
      </c>
      <c r="BV124" s="132"/>
    </row>
    <row r="125" ht="14.25" customHeight="1">
      <c r="A125" s="132"/>
      <c r="B125" s="306">
        <v>46130</v>
      </c>
      <c r="C125" s="133">
        <f>33251.30-D125-0</f>
      </c>
      <c r="D125" s="134">
        <v>1803.98</v>
      </c>
      <c r="E125" s="135"/>
      <c r="F125" s="135"/>
      <c r="G125" s="147">
        <f t="shared" si="44"/>
        <v>0</v>
      </c>
      <c r="H125" s="1070">
        <v>648.33</v>
      </c>
      <c r="I125" s="801">
        <v>400</v>
      </c>
      <c r="J125" s="611"/>
      <c r="K125" s="611"/>
      <c r="L125" s="611"/>
      <c r="M125" s="611"/>
      <c r="N125" s="143"/>
      <c r="O125" s="143"/>
      <c r="P125" s="143"/>
      <c r="Q125" s="143"/>
      <c r="R125" s="143"/>
      <c r="S125" s="143"/>
      <c r="T125" s="143"/>
      <c r="U125" s="143"/>
      <c r="V125" s="143"/>
      <c r="W125" s="103">
        <f t="shared" si="45"/>
        <v>0</v>
      </c>
      <c r="X125" s="611"/>
      <c r="Y125" s="611"/>
      <c r="Z125" s="611"/>
      <c r="AA125" s="611"/>
      <c r="AB125" s="611"/>
      <c r="AC125" s="143"/>
      <c r="AD125" s="143"/>
      <c r="AE125" s="143"/>
      <c r="AF125" s="143"/>
      <c r="AG125" s="143"/>
      <c r="AH125" s="143"/>
      <c r="AI125" s="143"/>
      <c r="AJ125" s="103">
        <f t="shared" si="46"/>
        <v>0</v>
      </c>
      <c r="AK125" s="134">
        <v>14756.25</v>
      </c>
      <c r="AL125" s="134">
        <v>549.58</v>
      </c>
      <c r="AM125" s="136"/>
      <c r="AN125" s="105">
        <f t="shared" si="47"/>
        <v>0</v>
      </c>
      <c r="AO125" s="145">
        <v>545.81</v>
      </c>
      <c r="AP125" s="143"/>
      <c r="AQ125" s="143"/>
      <c r="AR125" s="146"/>
      <c r="AS125" s="224">
        <f t="shared" si="48"/>
        <v>0</v>
      </c>
      <c r="AT125" s="1553">
        <v>13973</v>
      </c>
      <c r="AU125" s="1626">
        <v>1124.5</v>
      </c>
      <c r="AV125" s="1546"/>
      <c r="AW125" s="1546"/>
      <c r="AX125" s="1548"/>
      <c r="AY125" s="1554">
        <v>1254.4</v>
      </c>
      <c r="AZ125" s="1548"/>
      <c r="BA125" s="1548"/>
      <c r="BB125" s="1548"/>
      <c r="BC125" s="1546"/>
      <c r="BD125" s="222">
        <f t="shared" si="49"/>
        <v>0</v>
      </c>
      <c r="BE125" s="456">
        <f t="shared" si="50"/>
        <v>0</v>
      </c>
      <c r="BF125" s="132"/>
      <c r="BG125" s="140">
        <f t="shared" si="51"/>
        <v>0</v>
      </c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30">
        <f t="shared" si="52"/>
        <v>0</v>
      </c>
      <c r="BV125" s="132"/>
    </row>
    <row r="126" ht="14.25" customHeight="1">
      <c r="A126" s="132"/>
      <c r="B126" s="306">
        <v>46131</v>
      </c>
      <c r="C126" s="133">
        <f>26674.28-D126-0</f>
      </c>
      <c r="D126" s="134">
        <v>3044.27</v>
      </c>
      <c r="E126" s="135"/>
      <c r="F126" s="135"/>
      <c r="G126" s="147">
        <f t="shared" si="44"/>
        <v>0</v>
      </c>
      <c r="H126" s="1070">
        <v>336.18</v>
      </c>
      <c r="I126" s="801">
        <v>1666.48</v>
      </c>
      <c r="J126" s="611"/>
      <c r="K126" s="611"/>
      <c r="L126" s="611"/>
      <c r="M126" s="611"/>
      <c r="N126" s="143"/>
      <c r="O126" s="143"/>
      <c r="P126" s="143"/>
      <c r="Q126" s="143"/>
      <c r="R126" s="143"/>
      <c r="S126" s="143"/>
      <c r="T126" s="145">
        <v>1124.5</v>
      </c>
      <c r="U126" s="143"/>
      <c r="V126" s="143"/>
      <c r="W126" s="103">
        <f t="shared" si="45"/>
        <v>0</v>
      </c>
      <c r="X126" s="611"/>
      <c r="Y126" s="611"/>
      <c r="Z126" s="611"/>
      <c r="AA126" s="611"/>
      <c r="AB126" s="611"/>
      <c r="AC126" s="143"/>
      <c r="AD126" s="143"/>
      <c r="AE126" s="143"/>
      <c r="AF126" s="143"/>
      <c r="AG126" s="143"/>
      <c r="AH126" s="143"/>
      <c r="AI126" s="143"/>
      <c r="AJ126" s="103">
        <f t="shared" si="46"/>
        <v>0</v>
      </c>
      <c r="AK126" s="134">
        <v>6260.56</v>
      </c>
      <c r="AL126" s="134">
        <v>664.11</v>
      </c>
      <c r="AM126" s="136"/>
      <c r="AN126" s="105">
        <f t="shared" si="47"/>
        <v>0</v>
      </c>
      <c r="AO126" s="145">
        <v>213.09</v>
      </c>
      <c r="AP126" s="143"/>
      <c r="AQ126" s="143"/>
      <c r="AR126" s="146"/>
      <c r="AS126" s="224">
        <f t="shared" si="48"/>
        <v>0</v>
      </c>
      <c r="AT126" s="1553">
        <v>12680.8</v>
      </c>
      <c r="AU126" s="1626">
        <v>1349.4</v>
      </c>
      <c r="AV126" s="1546"/>
      <c r="AW126" s="1546"/>
      <c r="AX126" s="1548"/>
      <c r="AY126" s="1554">
        <v>2380.2</v>
      </c>
      <c r="AZ126" s="1548"/>
      <c r="BA126" s="1548"/>
      <c r="BB126" s="1548"/>
      <c r="BC126" s="1546"/>
      <c r="BD126" s="222">
        <f t="shared" si="49"/>
        <v>0</v>
      </c>
      <c r="BE126" s="456">
        <f t="shared" si="50"/>
        <v>0</v>
      </c>
      <c r="BF126" s="132"/>
      <c r="BG126" s="140">
        <f t="shared" si="51"/>
        <v>0</v>
      </c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30">
        <f t="shared" si="52"/>
        <v>0</v>
      </c>
      <c r="BV126" s="132"/>
    </row>
    <row r="127" ht="14.25" customHeight="1">
      <c r="A127" s="132"/>
      <c r="B127" s="306">
        <v>46132</v>
      </c>
      <c r="C127" s="133">
        <f>22855.14-D127-0</f>
      </c>
      <c r="D127" s="134">
        <v>2205.15</v>
      </c>
      <c r="E127" s="135"/>
      <c r="F127" s="135"/>
      <c r="G127" s="147">
        <f t="shared" si="44"/>
        <v>0</v>
      </c>
      <c r="H127" s="1070">
        <v>331.64</v>
      </c>
      <c r="I127" s="611"/>
      <c r="J127" s="611"/>
      <c r="K127" s="611"/>
      <c r="L127" s="611"/>
      <c r="M127" s="611"/>
      <c r="N127" s="143"/>
      <c r="O127" s="143"/>
      <c r="P127" s="143"/>
      <c r="Q127" s="143"/>
      <c r="R127" s="143"/>
      <c r="S127" s="143"/>
      <c r="T127" s="143"/>
      <c r="U127" s="143"/>
      <c r="V127" s="143"/>
      <c r="W127" s="103">
        <f t="shared" si="45"/>
        <v>0</v>
      </c>
      <c r="X127" s="611"/>
      <c r="Y127" s="611"/>
      <c r="Z127" s="611"/>
      <c r="AA127" s="611"/>
      <c r="AB127" s="611"/>
      <c r="AC127" s="143"/>
      <c r="AD127" s="143"/>
      <c r="AE127" s="143"/>
      <c r="AF127" s="143"/>
      <c r="AG127" s="143"/>
      <c r="AH127" s="143"/>
      <c r="AI127" s="143"/>
      <c r="AJ127" s="103">
        <f t="shared" si="46"/>
        <v>0</v>
      </c>
      <c r="AK127" s="134">
        <v>14073.86</v>
      </c>
      <c r="AL127" s="134">
        <v>677.19</v>
      </c>
      <c r="AM127" s="136"/>
      <c r="AN127" s="105">
        <f t="shared" si="47"/>
        <v>0</v>
      </c>
      <c r="AO127" s="145">
        <v>205.85</v>
      </c>
      <c r="AP127" s="143"/>
      <c r="AQ127" s="143"/>
      <c r="AR127" s="146"/>
      <c r="AS127" s="224">
        <f t="shared" si="48"/>
        <v>0</v>
      </c>
      <c r="AT127" s="1553">
        <v>5039.7</v>
      </c>
      <c r="AU127" s="1626">
        <v>899.6</v>
      </c>
      <c r="AV127" s="1546"/>
      <c r="AW127" s="1546"/>
      <c r="AX127" s="1548"/>
      <c r="AY127" s="1637">
        <v>1528</v>
      </c>
      <c r="AZ127" s="1548"/>
      <c r="BA127" s="1548"/>
      <c r="BB127" s="1548"/>
      <c r="BC127" s="1546"/>
      <c r="BD127" s="222">
        <f t="shared" si="49"/>
        <v>0</v>
      </c>
      <c r="BE127" s="456">
        <f t="shared" si="50"/>
        <v>0</v>
      </c>
      <c r="BF127" s="132"/>
      <c r="BG127" s="140">
        <f t="shared" si="51"/>
        <v>0</v>
      </c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50"/>
      <c r="BS127" s="141">
        <v>100</v>
      </c>
      <c r="BT127" s="141"/>
      <c r="BU127" s="130">
        <f t="shared" si="52"/>
        <v>0</v>
      </c>
      <c r="BV127" s="132"/>
    </row>
    <row r="128" ht="14.25" customHeight="1">
      <c r="A128" s="132"/>
      <c r="B128" s="306">
        <v>46133</v>
      </c>
      <c r="C128" s="133">
        <f>8265.90-D128-0</f>
      </c>
      <c r="D128" s="134">
        <v>2286.16</v>
      </c>
      <c r="E128" s="135"/>
      <c r="F128" s="135"/>
      <c r="G128" s="147">
        <f t="shared" si="44"/>
        <v>0</v>
      </c>
      <c r="H128" s="768"/>
      <c r="I128" s="611"/>
      <c r="J128" s="611"/>
      <c r="K128" s="611"/>
      <c r="L128" s="611"/>
      <c r="M128" s="611"/>
      <c r="N128" s="143"/>
      <c r="O128" s="143"/>
      <c r="P128" s="143"/>
      <c r="Q128" s="143"/>
      <c r="R128" s="143"/>
      <c r="S128" s="143"/>
      <c r="T128" s="145">
        <v>260.16</v>
      </c>
      <c r="U128" s="143"/>
      <c r="V128" s="143"/>
      <c r="W128" s="103">
        <f t="shared" si="45"/>
        <v>0</v>
      </c>
      <c r="X128" s="611"/>
      <c r="Y128" s="611"/>
      <c r="Z128" s="611"/>
      <c r="AA128" s="611"/>
      <c r="AB128" s="611"/>
      <c r="AC128" s="143"/>
      <c r="AD128" s="143"/>
      <c r="AE128" s="143"/>
      <c r="AF128" s="143"/>
      <c r="AG128" s="143"/>
      <c r="AH128" s="143"/>
      <c r="AI128" s="143"/>
      <c r="AJ128" s="103">
        <f t="shared" si="46"/>
        <v>0</v>
      </c>
      <c r="AK128" s="134">
        <v>622.49</v>
      </c>
      <c r="AL128" s="134">
        <v>718.3</v>
      </c>
      <c r="AM128" s="136"/>
      <c r="AN128" s="105">
        <f t="shared" si="47"/>
        <v>0</v>
      </c>
      <c r="AO128" s="143"/>
      <c r="AP128" s="143"/>
      <c r="AQ128" s="143"/>
      <c r="AR128" s="146"/>
      <c r="AS128" s="224">
        <f t="shared" si="48"/>
        <v>0</v>
      </c>
      <c r="AT128" s="1553">
        <v>5097.6</v>
      </c>
      <c r="AU128" s="1546"/>
      <c r="AV128" s="1546"/>
      <c r="AW128" s="1546"/>
      <c r="AX128" s="1548"/>
      <c r="AY128" s="1637">
        <v>1567.9</v>
      </c>
      <c r="AZ128" s="1548"/>
      <c r="BA128" s="1548"/>
      <c r="BB128" s="1548"/>
      <c r="BC128" s="1546"/>
      <c r="BD128" s="222">
        <f t="shared" si="49"/>
        <v>0</v>
      </c>
      <c r="BE128" s="456">
        <f t="shared" si="50"/>
        <v>0</v>
      </c>
      <c r="BF128" s="132"/>
      <c r="BG128" s="140">
        <f t="shared" si="51"/>
        <v>0</v>
      </c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30">
        <f t="shared" si="52"/>
        <v>0</v>
      </c>
      <c r="BV128" s="132"/>
    </row>
    <row r="129" ht="14.25" customHeight="1">
      <c r="A129" s="132"/>
      <c r="B129" s="306">
        <v>46134</v>
      </c>
      <c r="C129" s="133">
        <f>9278.39-D129-0</f>
      </c>
      <c r="D129" s="134">
        <v>2568.94</v>
      </c>
      <c r="E129" s="135"/>
      <c r="F129" s="135"/>
      <c r="G129" s="147">
        <f t="shared" si="44"/>
        <v>0</v>
      </c>
      <c r="H129" s="611"/>
      <c r="I129" s="611"/>
      <c r="J129" s="611"/>
      <c r="K129" s="611"/>
      <c r="L129" s="611"/>
      <c r="M129" s="611"/>
      <c r="N129" s="143"/>
      <c r="O129" s="143"/>
      <c r="P129" s="143"/>
      <c r="Q129" s="143"/>
      <c r="R129" s="143"/>
      <c r="S129" s="143"/>
      <c r="T129" s="143"/>
      <c r="U129" s="143"/>
      <c r="V129" s="143"/>
      <c r="W129" s="103">
        <f t="shared" si="45"/>
        <v>0</v>
      </c>
      <c r="X129" s="611"/>
      <c r="Y129" s="611"/>
      <c r="Z129" s="611"/>
      <c r="AA129" s="611"/>
      <c r="AB129" s="611"/>
      <c r="AC129" s="143"/>
      <c r="AD129" s="143"/>
      <c r="AE129" s="143"/>
      <c r="AF129" s="143"/>
      <c r="AG129" s="143"/>
      <c r="AH129" s="143"/>
      <c r="AI129" s="143"/>
      <c r="AJ129" s="103">
        <f t="shared" si="46"/>
        <v>0</v>
      </c>
      <c r="AK129" s="134">
        <v>1791.15</v>
      </c>
      <c r="AL129" s="134">
        <v>577.77</v>
      </c>
      <c r="AM129" s="136"/>
      <c r="AN129" s="105">
        <f t="shared" si="47"/>
        <v>0</v>
      </c>
      <c r="AO129" s="143"/>
      <c r="AP129" s="143"/>
      <c r="AQ129" s="143"/>
      <c r="AR129" s="146"/>
      <c r="AS129" s="224">
        <f t="shared" si="48"/>
        <v>0</v>
      </c>
      <c r="AT129" s="1553">
        <v>4821.5</v>
      </c>
      <c r="AU129" s="1546"/>
      <c r="AV129" s="1546"/>
      <c r="AW129" s="1546"/>
      <c r="AX129" s="1548"/>
      <c r="AY129" s="1637">
        <v>1988.8</v>
      </c>
      <c r="AZ129" s="1548"/>
      <c r="BA129" s="1548"/>
      <c r="BB129" s="1548"/>
      <c r="BC129" s="1546"/>
      <c r="BD129" s="222">
        <f t="shared" si="49"/>
        <v>0</v>
      </c>
      <c r="BE129" s="456">
        <f t="shared" si="50"/>
        <v>0</v>
      </c>
      <c r="BF129" s="132"/>
      <c r="BG129" s="140">
        <f t="shared" si="51"/>
        <v>0</v>
      </c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50"/>
      <c r="BS129" s="141">
        <v>100</v>
      </c>
      <c r="BT129" s="141"/>
      <c r="BU129" s="130">
        <f t="shared" si="52"/>
        <v>0</v>
      </c>
      <c r="BV129" s="132"/>
    </row>
    <row r="130" ht="14.25" customHeight="1">
      <c r="A130" s="132"/>
      <c r="B130" s="306">
        <v>46135</v>
      </c>
      <c r="C130" s="133">
        <f>18747.74-D130-0</f>
      </c>
      <c r="D130" s="134">
        <v>1960.95</v>
      </c>
      <c r="E130" s="135"/>
      <c r="F130" s="135"/>
      <c r="G130" s="147">
        <f t="shared" si="44"/>
        <v>0</v>
      </c>
      <c r="H130" s="768"/>
      <c r="I130" s="611"/>
      <c r="J130" s="611"/>
      <c r="K130" s="611"/>
      <c r="L130" s="611"/>
      <c r="M130" s="611"/>
      <c r="N130" s="143"/>
      <c r="O130" s="143"/>
      <c r="P130" s="143"/>
      <c r="Q130" s="143"/>
      <c r="R130" s="143"/>
      <c r="S130" s="143"/>
      <c r="T130" s="143"/>
      <c r="U130" s="143"/>
      <c r="V130" s="143"/>
      <c r="W130" s="103">
        <f t="shared" si="45"/>
        <v>0</v>
      </c>
      <c r="X130" s="611"/>
      <c r="Y130" s="611"/>
      <c r="Z130" s="611"/>
      <c r="AA130" s="611"/>
      <c r="AB130" s="611"/>
      <c r="AC130" s="143"/>
      <c r="AD130" s="143"/>
      <c r="AE130" s="143"/>
      <c r="AF130" s="143"/>
      <c r="AG130" s="143"/>
      <c r="AH130" s="143"/>
      <c r="AI130" s="143"/>
      <c r="AJ130" s="103">
        <f t="shared" si="46"/>
        <v>0</v>
      </c>
      <c r="AK130" s="134">
        <v>4470.08</v>
      </c>
      <c r="AL130" s="134">
        <v>1249.61</v>
      </c>
      <c r="AM130" s="136"/>
      <c r="AN130" s="105">
        <f t="shared" si="47"/>
        <v>0</v>
      </c>
      <c r="AO130" s="145">
        <v>51.12</v>
      </c>
      <c r="AP130" s="143"/>
      <c r="AQ130" s="143"/>
      <c r="AR130" s="146"/>
      <c r="AS130" s="224">
        <f t="shared" si="48"/>
        <v>0</v>
      </c>
      <c r="AT130" s="1553">
        <v>5366.1</v>
      </c>
      <c r="AU130" s="1626">
        <v>6900.05</v>
      </c>
      <c r="AV130" s="1546"/>
      <c r="AW130" s="1546"/>
      <c r="AX130" s="1548"/>
      <c r="AY130" s="1637">
        <v>711.3</v>
      </c>
      <c r="AZ130" s="1548"/>
      <c r="BA130" s="1548"/>
      <c r="BB130" s="1548"/>
      <c r="BC130" s="1546"/>
      <c r="BD130" s="222">
        <f t="shared" si="49"/>
        <v>0</v>
      </c>
      <c r="BE130" s="456">
        <f t="shared" si="50"/>
        <v>0</v>
      </c>
      <c r="BF130" s="132"/>
      <c r="BG130" s="140">
        <f t="shared" si="51"/>
        <v>0</v>
      </c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30">
        <f t="shared" si="52"/>
        <v>0</v>
      </c>
      <c r="BV130" s="132"/>
    </row>
    <row r="131" ht="14.25" customHeight="1">
      <c r="A131" s="132"/>
      <c r="B131" s="306">
        <v>46136</v>
      </c>
      <c r="C131" s="133">
        <f>27035.15-D131-0</f>
      </c>
      <c r="D131" s="134">
        <v>2287.83</v>
      </c>
      <c r="E131" s="135"/>
      <c r="F131" s="135"/>
      <c r="G131" s="147">
        <f t="shared" si="44"/>
        <v>0</v>
      </c>
      <c r="H131" s="1070">
        <v>340.17</v>
      </c>
      <c r="I131" s="611"/>
      <c r="J131" s="611"/>
      <c r="K131" s="611"/>
      <c r="L131" s="611"/>
      <c r="M131" s="611"/>
      <c r="N131" s="143"/>
      <c r="O131" s="143"/>
      <c r="P131" s="143"/>
      <c r="Q131" s="143"/>
      <c r="R131" s="143"/>
      <c r="S131" s="143"/>
      <c r="T131" s="143"/>
      <c r="U131" s="143"/>
      <c r="V131" s="143"/>
      <c r="W131" s="103">
        <f t="shared" si="45"/>
        <v>0</v>
      </c>
      <c r="X131" s="611"/>
      <c r="Y131" s="611"/>
      <c r="Z131" s="611"/>
      <c r="AA131" s="611"/>
      <c r="AB131" s="611"/>
      <c r="AC131" s="143"/>
      <c r="AD131" s="143"/>
      <c r="AE131" s="143"/>
      <c r="AF131" s="143"/>
      <c r="AG131" s="143"/>
      <c r="AH131" s="143"/>
      <c r="AI131" s="143"/>
      <c r="AJ131" s="103">
        <f t="shared" si="46"/>
        <v>0</v>
      </c>
      <c r="AK131" s="134">
        <v>5169.42</v>
      </c>
      <c r="AL131" s="134">
        <v>1065.16</v>
      </c>
      <c r="AM131" s="136"/>
      <c r="AN131" s="105">
        <f t="shared" si="47"/>
        <v>0</v>
      </c>
      <c r="AO131" s="145">
        <v>247.11</v>
      </c>
      <c r="AP131" s="143"/>
      <c r="AQ131" s="143"/>
      <c r="AR131" s="146"/>
      <c r="AS131" s="224">
        <f t="shared" si="48"/>
        <v>0</v>
      </c>
      <c r="AT131" s="1553">
        <v>16320.6</v>
      </c>
      <c r="AU131" s="1626">
        <v>2570.75</v>
      </c>
      <c r="AV131" s="1546"/>
      <c r="AW131" s="1546"/>
      <c r="AX131" s="1548"/>
      <c r="AY131" s="1637">
        <v>1222.6</v>
      </c>
      <c r="AZ131" s="1548"/>
      <c r="BA131" s="1548"/>
      <c r="BB131" s="1548"/>
      <c r="BC131" s="1546"/>
      <c r="BD131" s="222">
        <f t="shared" si="49"/>
        <v>0</v>
      </c>
      <c r="BE131" s="456">
        <f t="shared" si="50"/>
        <v>0</v>
      </c>
      <c r="BF131" s="132"/>
      <c r="BG131" s="140">
        <f t="shared" si="51"/>
        <v>0</v>
      </c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50"/>
      <c r="BS131" s="141">
        <v>100</v>
      </c>
      <c r="BT131" s="141"/>
      <c r="BU131" s="130">
        <f t="shared" si="52"/>
        <v>0</v>
      </c>
      <c r="BV131" s="132"/>
    </row>
    <row r="132" ht="14.25" customHeight="1">
      <c r="A132" s="132"/>
      <c r="B132" s="306">
        <v>46137</v>
      </c>
      <c r="C132" s="133">
        <f>23225.01-D132-0</f>
      </c>
      <c r="D132" s="134">
        <v>3558.96</v>
      </c>
      <c r="E132" s="135"/>
      <c r="F132" s="135"/>
      <c r="G132" s="147">
        <f t="shared" si="44"/>
        <v>0</v>
      </c>
      <c r="H132" s="1070">
        <v>661.16</v>
      </c>
      <c r="I132" s="801">
        <v>245</v>
      </c>
      <c r="J132" s="611"/>
      <c r="K132" s="611"/>
      <c r="L132" s="611"/>
      <c r="M132" s="802"/>
      <c r="N132" s="143"/>
      <c r="O132" s="143"/>
      <c r="P132" s="143"/>
      <c r="Q132" s="143"/>
      <c r="R132" s="143"/>
      <c r="S132" s="143"/>
      <c r="T132" s="143"/>
      <c r="U132" s="143"/>
      <c r="V132" s="143"/>
      <c r="W132" s="103">
        <f t="shared" si="45"/>
        <v>0</v>
      </c>
      <c r="X132" s="611"/>
      <c r="Y132" s="611"/>
      <c r="Z132" s="611"/>
      <c r="AA132" s="611"/>
      <c r="AB132" s="611"/>
      <c r="AC132" s="143"/>
      <c r="AD132" s="143"/>
      <c r="AE132" s="143"/>
      <c r="AF132" s="143"/>
      <c r="AG132" s="143"/>
      <c r="AH132" s="143"/>
      <c r="AI132" s="143"/>
      <c r="AJ132" s="103">
        <f t="shared" si="46"/>
        <v>0</v>
      </c>
      <c r="AK132" s="134">
        <v>3993.2</v>
      </c>
      <c r="AL132" s="134">
        <v>1770.31</v>
      </c>
      <c r="AM132" s="136"/>
      <c r="AN132" s="105">
        <f t="shared" si="47"/>
        <v>0</v>
      </c>
      <c r="AO132" s="145">
        <v>249.69</v>
      </c>
      <c r="AP132" s="143"/>
      <c r="AQ132" s="143"/>
      <c r="AR132" s="146"/>
      <c r="AS132" s="224">
        <f t="shared" si="48"/>
        <v>0</v>
      </c>
      <c r="AT132" s="1553">
        <v>13343.5</v>
      </c>
      <c r="AU132" s="1626">
        <v>1174.5</v>
      </c>
      <c r="AV132" s="1546"/>
      <c r="AW132" s="1546"/>
      <c r="AX132" s="1548"/>
      <c r="AY132" s="1637">
        <v>1788.6</v>
      </c>
      <c r="AZ132" s="1548"/>
      <c r="BA132" s="1548"/>
      <c r="BB132" s="1548"/>
      <c r="BC132" s="1546"/>
      <c r="BD132" s="222">
        <f t="shared" si="49"/>
        <v>0</v>
      </c>
      <c r="BE132" s="456">
        <f t="shared" si="50"/>
        <v>0</v>
      </c>
      <c r="BF132" s="132"/>
      <c r="BG132" s="140">
        <f t="shared" si="51"/>
        <v>0</v>
      </c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30">
        <f t="shared" si="52"/>
        <v>0</v>
      </c>
      <c r="BV132" s="132"/>
    </row>
    <row r="133" ht="14.25" customHeight="1">
      <c r="A133" s="132"/>
      <c r="B133" s="306">
        <v>46138</v>
      </c>
      <c r="C133" s="133">
        <f>30371.02-D133-0</f>
      </c>
      <c r="D133" s="134">
        <v>6336.68</v>
      </c>
      <c r="E133" s="135"/>
      <c r="F133" s="135"/>
      <c r="G133" s="147">
        <f t="shared" si="44"/>
        <v>0</v>
      </c>
      <c r="H133" s="1070">
        <v>335.92</v>
      </c>
      <c r="I133" s="611"/>
      <c r="J133" s="611"/>
      <c r="K133" s="611"/>
      <c r="L133" s="611"/>
      <c r="M133" s="611"/>
      <c r="N133" s="143"/>
      <c r="O133" s="143"/>
      <c r="P133" s="143"/>
      <c r="Q133" s="143"/>
      <c r="R133" s="143"/>
      <c r="S133" s="143"/>
      <c r="T133" s="145">
        <v>1409.4</v>
      </c>
      <c r="U133" s="143"/>
      <c r="V133" s="143"/>
      <c r="W133" s="103">
        <f t="shared" si="45"/>
        <v>0</v>
      </c>
      <c r="X133" s="611"/>
      <c r="Y133" s="611"/>
      <c r="Z133" s="611"/>
      <c r="AA133" s="611"/>
      <c r="AB133" s="611"/>
      <c r="AC133" s="143"/>
      <c r="AD133" s="143"/>
      <c r="AE133" s="143"/>
      <c r="AF133" s="143"/>
      <c r="AG133" s="143"/>
      <c r="AH133" s="143"/>
      <c r="AI133" s="143"/>
      <c r="AJ133" s="103">
        <f t="shared" si="46"/>
        <v>0</v>
      </c>
      <c r="AK133" s="134">
        <v>8383.6</v>
      </c>
      <c r="AL133" s="134">
        <v>2476.23</v>
      </c>
      <c r="AM133" s="136"/>
      <c r="AN133" s="105">
        <f t="shared" si="47"/>
        <v>0</v>
      </c>
      <c r="AO133" s="145">
        <v>360.32</v>
      </c>
      <c r="AP133" s="143"/>
      <c r="AQ133" s="143"/>
      <c r="AR133" s="146"/>
      <c r="AS133" s="224">
        <f t="shared" si="48"/>
        <v>0</v>
      </c>
      <c r="AT133" s="1553">
        <v>12371.4</v>
      </c>
      <c r="AU133" s="1626">
        <v>1174.5</v>
      </c>
      <c r="AV133" s="1546"/>
      <c r="AW133" s="1546"/>
      <c r="AX133" s="1548"/>
      <c r="AY133" s="1637">
        <v>3860.4</v>
      </c>
      <c r="AZ133" s="1548"/>
      <c r="BA133" s="1548"/>
      <c r="BB133" s="1548"/>
      <c r="BC133" s="1546"/>
      <c r="BD133" s="222">
        <f t="shared" si="49"/>
        <v>0</v>
      </c>
      <c r="BE133" s="456">
        <f t="shared" si="50"/>
        <v>0</v>
      </c>
      <c r="BF133" s="132"/>
      <c r="BG133" s="140">
        <f t="shared" si="51"/>
        <v>0</v>
      </c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30">
        <f t="shared" si="52"/>
        <v>0</v>
      </c>
      <c r="BV133" s="132"/>
    </row>
    <row r="134" ht="14.25" customHeight="1">
      <c r="A134" s="132"/>
      <c r="B134" s="306">
        <v>46139</v>
      </c>
      <c r="C134" s="133">
        <f>25398.07-D134-0</f>
      </c>
      <c r="D134" s="134">
        <v>4214.22</v>
      </c>
      <c r="E134" s="135"/>
      <c r="F134" s="135"/>
      <c r="G134" s="1081">
        <f t="shared" si="44"/>
        <v>0</v>
      </c>
      <c r="H134" s="1082"/>
      <c r="I134" s="1083">
        <v>250</v>
      </c>
      <c r="J134" s="1084"/>
      <c r="K134" s="1084"/>
      <c r="L134" s="1084"/>
      <c r="M134" s="1084"/>
      <c r="N134" s="1085"/>
      <c r="O134" s="1085"/>
      <c r="P134" s="1085"/>
      <c r="Q134" s="1085"/>
      <c r="R134" s="1085"/>
      <c r="S134" s="1085"/>
      <c r="T134" s="1085"/>
      <c r="U134" s="1085"/>
      <c r="V134" s="1085"/>
      <c r="W134" s="1086">
        <f t="shared" si="45"/>
        <v>0</v>
      </c>
      <c r="X134" s="1084"/>
      <c r="Y134" s="1084"/>
      <c r="Z134" s="1084"/>
      <c r="AA134" s="1084"/>
      <c r="AB134" s="1084"/>
      <c r="AC134" s="1085"/>
      <c r="AD134" s="1085"/>
      <c r="AE134" s="1085"/>
      <c r="AF134" s="1085"/>
      <c r="AG134" s="1085"/>
      <c r="AH134" s="1085"/>
      <c r="AI134" s="1085"/>
      <c r="AJ134" s="1086">
        <f t="shared" si="46"/>
        <v>0</v>
      </c>
      <c r="AK134" s="134">
        <v>2881.86</v>
      </c>
      <c r="AL134" s="134">
        <v>1363.99</v>
      </c>
      <c r="AM134" s="136"/>
      <c r="AN134" s="1087">
        <f t="shared" si="47"/>
        <v>0</v>
      </c>
      <c r="AO134" s="1088">
        <v>456.03</v>
      </c>
      <c r="AP134" s="1085"/>
      <c r="AQ134" s="1085"/>
      <c r="AR134" s="1089"/>
      <c r="AS134" s="1090">
        <f t="shared" si="48"/>
        <v>0</v>
      </c>
      <c r="AT134" s="1798">
        <v>10628.3</v>
      </c>
      <c r="AU134" s="1799">
        <v>6798.21</v>
      </c>
      <c r="AV134" s="1713"/>
      <c r="AW134" s="1713"/>
      <c r="AX134" s="1714"/>
      <c r="AY134" s="1800">
        <v>2850.3</v>
      </c>
      <c r="AZ134" s="1714"/>
      <c r="BA134" s="1714"/>
      <c r="BB134" s="1714"/>
      <c r="BC134" s="1713"/>
      <c r="BD134" s="1091">
        <f t="shared" si="49"/>
        <v>0</v>
      </c>
      <c r="BE134" s="469">
        <f t="shared" si="50"/>
        <v>0</v>
      </c>
      <c r="BF134" s="132"/>
      <c r="BG134" s="466">
        <f t="shared" si="51"/>
        <v>0</v>
      </c>
      <c r="BH134" s="478"/>
      <c r="BI134" s="478"/>
      <c r="BJ134" s="478"/>
      <c r="BK134" s="478"/>
      <c r="BL134" s="478"/>
      <c r="BM134" s="478"/>
      <c r="BN134" s="478"/>
      <c r="BO134" s="478"/>
      <c r="BP134" s="478"/>
      <c r="BQ134" s="478"/>
      <c r="BR134" s="1092"/>
      <c r="BS134" s="478">
        <v>170</v>
      </c>
      <c r="BT134" s="478"/>
      <c r="BU134" s="1093">
        <f t="shared" si="52"/>
        <v>0</v>
      </c>
      <c r="BV134" s="132"/>
    </row>
    <row r="135" ht="14.25" customHeight="1">
      <c r="A135" s="132"/>
      <c r="B135" s="1094">
        <v>28</v>
      </c>
      <c r="C135" s="1095"/>
      <c r="D135" s="1095"/>
      <c r="E135" s="1096"/>
      <c r="F135" s="1096"/>
      <c r="G135" s="1097">
        <f>D135</f>
        <v>0</v>
      </c>
      <c r="H135" s="1098"/>
      <c r="I135" s="1099"/>
      <c r="J135" s="1099"/>
      <c r="K135" s="1099"/>
      <c r="L135" s="1099"/>
      <c r="M135" s="1099"/>
      <c r="N135" s="1100"/>
      <c r="O135" s="1100"/>
      <c r="P135" s="1100"/>
      <c r="Q135" s="1100"/>
      <c r="R135" s="1100"/>
      <c r="S135" s="1100"/>
      <c r="T135" s="1101"/>
      <c r="U135" s="1100"/>
      <c r="V135" s="1100"/>
      <c r="W135" s="1097">
        <f t="shared" si="45"/>
        <v>0</v>
      </c>
      <c r="X135" s="1099"/>
      <c r="Y135" s="1099"/>
      <c r="Z135" s="1099"/>
      <c r="AA135" s="1099"/>
      <c r="AB135" s="1099"/>
      <c r="AC135" s="1100"/>
      <c r="AD135" s="1100"/>
      <c r="AE135" s="1100"/>
      <c r="AF135" s="1100"/>
      <c r="AG135" s="1100"/>
      <c r="AH135" s="1100"/>
      <c r="AI135" s="1100"/>
      <c r="AJ135" s="1097">
        <f t="shared" si="46"/>
        <v>0</v>
      </c>
      <c r="AK135" s="1095"/>
      <c r="AL135" s="1095"/>
      <c r="AM135" s="1096"/>
      <c r="AN135" s="1097">
        <f t="shared" si="47"/>
        <v>0</v>
      </c>
      <c r="AO135" s="1101"/>
      <c r="AP135" s="1100"/>
      <c r="AQ135" s="1100"/>
      <c r="AR135" s="1100"/>
      <c r="AS135" s="1097">
        <f t="shared" si="48"/>
        <v>0</v>
      </c>
      <c r="AT135" s="1801"/>
      <c r="AU135" s="1802"/>
      <c r="AV135" s="1803"/>
      <c r="AW135" s="1803"/>
      <c r="AX135" s="1803"/>
      <c r="AY135" s="1802"/>
      <c r="AZ135" s="1803"/>
      <c r="BA135" s="1803"/>
      <c r="BB135" s="1803"/>
      <c r="BC135" s="1803"/>
      <c r="BD135" s="1097">
        <f t="shared" si="49"/>
        <v>0</v>
      </c>
      <c r="BE135" s="1102">
        <f t="shared" si="50"/>
        <v>0</v>
      </c>
      <c r="BF135" s="1096"/>
      <c r="BG135" s="1096">
        <f t="shared" si="51"/>
        <v>0</v>
      </c>
      <c r="BH135" s="1096"/>
      <c r="BI135" s="1096"/>
      <c r="BJ135" s="1096"/>
      <c r="BK135" s="1096"/>
      <c r="BL135" s="1096"/>
      <c r="BM135" s="1096"/>
      <c r="BN135" s="1096"/>
      <c r="BO135" s="1096"/>
      <c r="BP135" s="1096"/>
      <c r="BQ135" s="1096"/>
      <c r="BR135" s="1095"/>
      <c r="BS135" s="1096"/>
      <c r="BT135" s="1096"/>
      <c r="BU135" s="1097">
        <f t="shared" si="52"/>
        <v>0</v>
      </c>
      <c r="BV135" s="132"/>
    </row>
    <row r="136" ht="14.25" customHeight="1">
      <c r="A136" s="132"/>
      <c r="B136" s="1103">
        <v>46140</v>
      </c>
      <c r="C136" s="1095">
        <f>13480.72-D136-0</f>
      </c>
      <c r="D136" s="1095"/>
      <c r="E136" s="1096"/>
      <c r="F136" s="1096"/>
      <c r="G136" s="1097">
        <f ref="G136:G138" t="shared" si="53">+C136+D136+E136+F136</f>
        <v>0</v>
      </c>
      <c r="H136" s="1099"/>
      <c r="I136" s="1099"/>
      <c r="J136" s="1099"/>
      <c r="K136" s="1099"/>
      <c r="L136" s="1099"/>
      <c r="M136" s="1099"/>
      <c r="N136" s="1100"/>
      <c r="O136" s="1100"/>
      <c r="P136" s="1100"/>
      <c r="Q136" s="1100"/>
      <c r="R136" s="1100"/>
      <c r="S136" s="1100"/>
      <c r="T136" s="1101">
        <v>1679.3</v>
      </c>
      <c r="U136" s="1100"/>
      <c r="V136" s="1100"/>
      <c r="W136" s="1097">
        <f t="shared" si="45"/>
        <v>0</v>
      </c>
      <c r="X136" s="1099"/>
      <c r="Y136" s="1099"/>
      <c r="Z136" s="1099"/>
      <c r="AA136" s="1099"/>
      <c r="AB136" s="1099"/>
      <c r="AC136" s="1100"/>
      <c r="AD136" s="1100"/>
      <c r="AE136" s="1100"/>
      <c r="AF136" s="1100"/>
      <c r="AG136" s="1100"/>
      <c r="AH136" s="1100"/>
      <c r="AI136" s="1100"/>
      <c r="AJ136" s="1097">
        <f t="shared" si="46"/>
        <v>0</v>
      </c>
      <c r="AK136" s="1095">
        <v>6383.21</v>
      </c>
      <c r="AL136" s="1095"/>
      <c r="AM136" s="1096"/>
      <c r="AN136" s="1097">
        <f t="shared" si="47"/>
        <v>0</v>
      </c>
      <c r="AO136" s="1101">
        <v>216.77</v>
      </c>
      <c r="AP136" s="1100"/>
      <c r="AQ136" s="1100"/>
      <c r="AR136" s="1100"/>
      <c r="AS136" s="1097">
        <f t="shared" si="48"/>
        <v>0</v>
      </c>
      <c r="AT136" s="1801">
        <v>4912.1</v>
      </c>
      <c r="AU136" s="1803"/>
      <c r="AV136" s="1803"/>
      <c r="AW136" s="1803"/>
      <c r="AX136" s="1803"/>
      <c r="AY136" s="1802"/>
      <c r="AZ136" s="1803"/>
      <c r="BA136" s="1803"/>
      <c r="BB136" s="1803"/>
      <c r="BC136" s="1803"/>
      <c r="BD136" s="1097">
        <f t="shared" si="49"/>
        <v>0</v>
      </c>
      <c r="BE136" s="1102">
        <f t="shared" si="50"/>
        <v>0</v>
      </c>
      <c r="BF136" s="1096"/>
      <c r="BG136" s="1096">
        <f t="shared" si="51"/>
        <v>0</v>
      </c>
      <c r="BH136" s="1096"/>
      <c r="BI136" s="1096"/>
      <c r="BJ136" s="1096"/>
      <c r="BK136" s="1096"/>
      <c r="BL136" s="1096"/>
      <c r="BM136" s="1096"/>
      <c r="BN136" s="1096"/>
      <c r="BO136" s="1096"/>
      <c r="BP136" s="1096"/>
      <c r="BQ136" s="1096"/>
      <c r="BR136" s="1095"/>
      <c r="BS136" s="1096">
        <v>290</v>
      </c>
      <c r="BT136" s="1096"/>
      <c r="BU136" s="1097">
        <f t="shared" si="52"/>
        <v>0</v>
      </c>
      <c r="BV136" s="132"/>
    </row>
    <row r="137" ht="14.25" customHeight="1">
      <c r="A137" s="132"/>
      <c r="B137" s="1104">
        <v>46141</v>
      </c>
      <c r="C137" s="230">
        <f>26495.75-D137-0</f>
      </c>
      <c r="D137" s="134"/>
      <c r="E137" s="135"/>
      <c r="F137" s="135"/>
      <c r="G137" s="251">
        <f t="shared" si="53"/>
        <v>0</v>
      </c>
      <c r="H137" s="1105">
        <v>302.93</v>
      </c>
      <c r="I137" s="1106"/>
      <c r="J137" s="1106"/>
      <c r="K137" s="1106"/>
      <c r="L137" s="1106"/>
      <c r="M137" s="1106"/>
      <c r="N137" s="253"/>
      <c r="O137" s="253"/>
      <c r="P137" s="253"/>
      <c r="Q137" s="253"/>
      <c r="R137" s="253"/>
      <c r="S137" s="253"/>
      <c r="T137" s="253"/>
      <c r="U137" s="253"/>
      <c r="V137" s="253"/>
      <c r="W137" s="1107">
        <f t="shared" si="45"/>
        <v>0</v>
      </c>
      <c r="X137" s="1106"/>
      <c r="Y137" s="1106"/>
      <c r="Z137" s="1106"/>
      <c r="AA137" s="1106"/>
      <c r="AB137" s="1106"/>
      <c r="AC137" s="253"/>
      <c r="AD137" s="253"/>
      <c r="AE137" s="253"/>
      <c r="AF137" s="253"/>
      <c r="AG137" s="253"/>
      <c r="AH137" s="253"/>
      <c r="AI137" s="253"/>
      <c r="AJ137" s="1107">
        <f t="shared" si="46"/>
        <v>0</v>
      </c>
      <c r="AK137" s="134">
        <v>14271.26</v>
      </c>
      <c r="AL137" s="134"/>
      <c r="AM137" s="136"/>
      <c r="AN137" s="254">
        <f t="shared" si="47"/>
        <v>0</v>
      </c>
      <c r="AO137" s="198">
        <v>644.07</v>
      </c>
      <c r="AP137" s="253"/>
      <c r="AQ137" s="253"/>
      <c r="AR137" s="1108"/>
      <c r="AS137" s="1109">
        <f t="shared" si="48"/>
        <v>0</v>
      </c>
      <c r="AT137" s="1804">
        <v>7779.9</v>
      </c>
      <c r="AU137" s="1805">
        <v>3258.65</v>
      </c>
      <c r="AV137" s="1806"/>
      <c r="AW137" s="1806"/>
      <c r="AX137" s="1807"/>
      <c r="AY137" s="1808"/>
      <c r="AZ137" s="1807"/>
      <c r="BA137" s="1807"/>
      <c r="BB137" s="1807"/>
      <c r="BC137" s="1806"/>
      <c r="BD137" s="1110">
        <f t="shared" si="49"/>
        <v>0</v>
      </c>
      <c r="BE137" s="1111">
        <f t="shared" si="50"/>
        <v>0</v>
      </c>
      <c r="BF137" s="132"/>
      <c r="BG137" s="1112">
        <f t="shared" si="51"/>
        <v>0</v>
      </c>
      <c r="BH137" s="1113"/>
      <c r="BI137" s="1113"/>
      <c r="BJ137" s="1113"/>
      <c r="BK137" s="1113"/>
      <c r="BL137" s="1113"/>
      <c r="BM137" s="1113"/>
      <c r="BN137" s="1113"/>
      <c r="BO137" s="1113"/>
      <c r="BP137" s="1113"/>
      <c r="BQ137" s="1113"/>
      <c r="BR137" s="1114"/>
      <c r="BS137" s="1113">
        <v>240</v>
      </c>
      <c r="BT137" s="1113"/>
      <c r="BU137" s="1115">
        <f t="shared" si="52"/>
        <v>0</v>
      </c>
      <c r="BV137" s="132"/>
    </row>
    <row r="138" ht="14.25" customHeight="1">
      <c r="A138" s="235"/>
      <c r="B138" s="306">
        <v>46142</v>
      </c>
      <c r="C138" s="1116">
        <f>25409.19-D138-0</f>
      </c>
      <c r="D138" s="1117"/>
      <c r="E138" s="822"/>
      <c r="F138" s="822"/>
      <c r="G138" s="147">
        <f t="shared" si="53"/>
        <v>0</v>
      </c>
      <c r="H138" s="1118">
        <v>681.82</v>
      </c>
      <c r="I138" s="826"/>
      <c r="J138" s="826"/>
      <c r="K138" s="826"/>
      <c r="L138" s="826"/>
      <c r="M138" s="826"/>
      <c r="N138" s="672"/>
      <c r="O138" s="672"/>
      <c r="P138" s="672"/>
      <c r="Q138" s="672"/>
      <c r="R138" s="672"/>
      <c r="S138" s="672"/>
      <c r="T138" s="672"/>
      <c r="U138" s="672"/>
      <c r="V138" s="672"/>
      <c r="W138" s="103">
        <f t="shared" si="45"/>
        <v>0</v>
      </c>
      <c r="X138" s="839"/>
      <c r="Y138" s="839"/>
      <c r="Z138" s="839"/>
      <c r="AA138" s="839"/>
      <c r="AB138" s="839"/>
      <c r="AC138" s="672"/>
      <c r="AD138" s="672"/>
      <c r="AE138" s="672"/>
      <c r="AF138" s="672"/>
      <c r="AG138" s="672"/>
      <c r="AH138" s="672"/>
      <c r="AI138" s="672"/>
      <c r="AJ138" s="103">
        <f t="shared" si="46"/>
        <v>0</v>
      </c>
      <c r="AK138" s="154">
        <v>12151.47</v>
      </c>
      <c r="AL138" s="154"/>
      <c r="AM138" s="159"/>
      <c r="AN138" s="105">
        <f t="shared" si="47"/>
        <v>0</v>
      </c>
      <c r="AO138" s="145">
        <v>639.55</v>
      </c>
      <c r="AP138" s="672"/>
      <c r="AQ138" s="672"/>
      <c r="AR138" s="827"/>
      <c r="AS138" s="224">
        <f t="shared" si="48"/>
        <v>0</v>
      </c>
      <c r="AT138" s="1809">
        <v>11467.6</v>
      </c>
      <c r="AU138" s="1810">
        <v>469.8</v>
      </c>
      <c r="AV138" s="1811"/>
      <c r="AW138" s="1811"/>
      <c r="AX138" s="1812"/>
      <c r="AY138" s="1813"/>
      <c r="AZ138" s="1812"/>
      <c r="BA138" s="1812"/>
      <c r="BB138" s="1812"/>
      <c r="BC138" s="1811"/>
      <c r="BD138" s="222">
        <f t="shared" si="49"/>
        <v>0</v>
      </c>
      <c r="BE138" s="456">
        <f t="shared" si="50"/>
        <v>0</v>
      </c>
      <c r="BF138" s="235"/>
      <c r="BG138" s="524">
        <f t="shared" si="51"/>
        <v>0</v>
      </c>
      <c r="BH138" s="540"/>
      <c r="BI138" s="540"/>
      <c r="BJ138" s="540"/>
      <c r="BK138" s="540"/>
      <c r="BL138" s="540"/>
      <c r="BM138" s="540"/>
      <c r="BN138" s="540"/>
      <c r="BO138" s="540"/>
      <c r="BP138" s="540"/>
      <c r="BQ138" s="540"/>
      <c r="BR138" s="163"/>
      <c r="BS138" s="163"/>
      <c r="BT138" s="540"/>
      <c r="BU138" s="828">
        <f t="shared" si="52"/>
        <v>0</v>
      </c>
      <c r="BV138" s="235"/>
    </row>
    <row r="139" ht="14.25" customHeight="1">
      <c r="A139" s="1120"/>
      <c r="B139" s="1019" t="s">
        <v>78</v>
      </c>
      <c r="C139" s="166">
        <f ref="C139:G139" t="shared" si="54">SUM(C108:C138)</f>
        <v>0</v>
      </c>
      <c r="D139" s="166">
        <f t="shared" si="54"/>
        <v>0</v>
      </c>
      <c r="E139" s="166">
        <f t="shared" si="54"/>
        <v>0</v>
      </c>
      <c r="F139" s="166">
        <f t="shared" si="54"/>
        <v>0</v>
      </c>
      <c r="G139" s="166">
        <f t="shared" si="54"/>
        <v>0</v>
      </c>
      <c r="H139" s="166">
        <f>SUMIF(H108:H138,"&gt;0")</f>
        <v>0</v>
      </c>
      <c r="I139" s="166">
        <f ref="I139:P139" t="shared" si="55">SUM(I108:I138)</f>
        <v>0</v>
      </c>
      <c r="J139" s="166">
        <f t="shared" si="55"/>
        <v>0</v>
      </c>
      <c r="K139" s="166">
        <f t="shared" si="55"/>
        <v>0</v>
      </c>
      <c r="L139" s="166">
        <f t="shared" si="55"/>
        <v>0</v>
      </c>
      <c r="M139" s="166">
        <f t="shared" si="55"/>
        <v>0</v>
      </c>
      <c r="N139" s="166">
        <f t="shared" si="55"/>
        <v>0</v>
      </c>
      <c r="O139" s="166">
        <f t="shared" si="55"/>
        <v>0</v>
      </c>
      <c r="P139" s="166">
        <f t="shared" si="55"/>
        <v>0</v>
      </c>
      <c r="Q139" s="166"/>
      <c r="R139" s="166"/>
      <c r="S139" s="166">
        <f>SUM(S108:S138)</f>
        <v>0</v>
      </c>
      <c r="T139" s="166"/>
      <c r="U139" s="166">
        <f ref="U139:BE139" t="shared" si="56">SUM(U108:U138)</f>
        <v>0</v>
      </c>
      <c r="V139" s="166">
        <f t="shared" si="56"/>
        <v>0</v>
      </c>
      <c r="W139" s="166">
        <f t="shared" si="56"/>
        <v>0</v>
      </c>
      <c r="X139" s="617">
        <f t="shared" si="56"/>
        <v>0</v>
      </c>
      <c r="Y139" s="617">
        <f t="shared" si="56"/>
        <v>0</v>
      </c>
      <c r="Z139" s="617">
        <f t="shared" si="56"/>
        <v>0</v>
      </c>
      <c r="AA139" s="617">
        <f t="shared" si="56"/>
        <v>0</v>
      </c>
      <c r="AB139" s="617">
        <f t="shared" si="56"/>
        <v>0</v>
      </c>
      <c r="AC139" s="166">
        <f t="shared" si="56"/>
        <v>0</v>
      </c>
      <c r="AD139" s="166">
        <f t="shared" si="56"/>
        <v>0</v>
      </c>
      <c r="AE139" s="166">
        <f t="shared" si="56"/>
        <v>0</v>
      </c>
      <c r="AF139" s="166">
        <f t="shared" si="56"/>
        <v>0</v>
      </c>
      <c r="AG139" s="166">
        <f t="shared" si="56"/>
        <v>0</v>
      </c>
      <c r="AH139" s="166">
        <f t="shared" si="56"/>
        <v>0</v>
      </c>
      <c r="AI139" s="166">
        <f t="shared" si="56"/>
        <v>0</v>
      </c>
      <c r="AJ139" s="166">
        <f t="shared" si="56"/>
        <v>0</v>
      </c>
      <c r="AK139" s="166">
        <f t="shared" si="56"/>
        <v>0</v>
      </c>
      <c r="AL139" s="166">
        <f t="shared" si="56"/>
        <v>0</v>
      </c>
      <c r="AM139" s="166">
        <f t="shared" si="56"/>
        <v>0</v>
      </c>
      <c r="AN139" s="166">
        <f t="shared" si="56"/>
        <v>0</v>
      </c>
      <c r="AO139" s="166">
        <f t="shared" si="56"/>
        <v>0</v>
      </c>
      <c r="AP139" s="166">
        <f t="shared" si="56"/>
        <v>0</v>
      </c>
      <c r="AQ139" s="166">
        <f t="shared" si="56"/>
        <v>0</v>
      </c>
      <c r="AR139" s="166">
        <f t="shared" si="56"/>
        <v>0</v>
      </c>
      <c r="AS139" s="166">
        <f t="shared" si="56"/>
        <v>0</v>
      </c>
      <c r="AT139" s="165">
        <f t="shared" si="56"/>
        <v>0</v>
      </c>
      <c r="AU139" s="165">
        <f t="shared" si="56"/>
        <v>0</v>
      </c>
      <c r="AV139" s="165">
        <f t="shared" si="56"/>
        <v>0</v>
      </c>
      <c r="AW139" s="165">
        <f t="shared" si="56"/>
        <v>0</v>
      </c>
      <c r="AX139" s="165">
        <f t="shared" si="56"/>
        <v>0</v>
      </c>
      <c r="AY139" s="165">
        <f t="shared" si="56"/>
        <v>0</v>
      </c>
      <c r="AZ139" s="165">
        <f t="shared" si="56"/>
        <v>0</v>
      </c>
      <c r="BA139" s="165">
        <f t="shared" si="56"/>
        <v>0</v>
      </c>
      <c r="BB139" s="165">
        <f t="shared" si="56"/>
        <v>0</v>
      </c>
      <c r="BC139" s="165">
        <f t="shared" si="56"/>
        <v>0</v>
      </c>
      <c r="BD139" s="166">
        <f t="shared" si="56"/>
        <v>0</v>
      </c>
      <c r="BE139" s="166">
        <f t="shared" si="56"/>
        <v>0</v>
      </c>
      <c r="BF139" s="132"/>
      <c r="BG139" s="166">
        <f ref="BG139:BU139" t="shared" si="57">SUM(BG106:BG138)</f>
        <v>0</v>
      </c>
      <c r="BH139" s="166">
        <f t="shared" si="57"/>
        <v>0</v>
      </c>
      <c r="BI139" s="166">
        <f t="shared" si="57"/>
        <v>0</v>
      </c>
      <c r="BJ139" s="166">
        <f t="shared" si="57"/>
        <v>0</v>
      </c>
      <c r="BK139" s="166">
        <f t="shared" si="57"/>
        <v>0</v>
      </c>
      <c r="BL139" s="166">
        <f t="shared" si="57"/>
        <v>0</v>
      </c>
      <c r="BM139" s="166">
        <f t="shared" si="57"/>
        <v>0</v>
      </c>
      <c r="BN139" s="166">
        <f t="shared" si="57"/>
        <v>0</v>
      </c>
      <c r="BO139" s="166">
        <f t="shared" si="57"/>
        <v>0</v>
      </c>
      <c r="BP139" s="166">
        <f t="shared" si="57"/>
        <v>0</v>
      </c>
      <c r="BQ139" s="166">
        <f t="shared" si="57"/>
        <v>0</v>
      </c>
      <c r="BR139" s="166">
        <f t="shared" si="57"/>
        <v>0</v>
      </c>
      <c r="BS139" s="166">
        <f t="shared" si="57"/>
        <v>0</v>
      </c>
      <c r="BT139" s="166">
        <f t="shared" si="57"/>
        <v>0</v>
      </c>
      <c r="BU139" s="166">
        <f t="shared" si="57"/>
        <v>0</v>
      </c>
      <c r="BV139" s="132"/>
    </row>
    <row r="140" ht="14.25" customHeight="1">
      <c r="A140" s="1120"/>
      <c r="B140" s="1121" t="s">
        <v>11</v>
      </c>
      <c r="C140" s="3"/>
      <c r="D140" s="3"/>
      <c r="E140" s="3"/>
      <c r="F140" s="3"/>
      <c r="G140" s="4"/>
      <c r="H140" s="1122">
        <f ref="H140:V140" t="shared" si="58">SUMIF(H108:H138,"&lt;0")</f>
        <v>0</v>
      </c>
      <c r="I140" s="1122">
        <f t="shared" si="58"/>
        <v>0</v>
      </c>
      <c r="J140" s="1122">
        <f t="shared" si="58"/>
        <v>0</v>
      </c>
      <c r="K140" s="1122">
        <f t="shared" si="58"/>
        <v>0</v>
      </c>
      <c r="L140" s="1122">
        <f t="shared" si="58"/>
        <v>0</v>
      </c>
      <c r="M140" s="1122">
        <f t="shared" si="58"/>
        <v>0</v>
      </c>
      <c r="N140" s="1122">
        <f t="shared" si="58"/>
        <v>0</v>
      </c>
      <c r="O140" s="1122">
        <f t="shared" si="58"/>
        <v>0</v>
      </c>
      <c r="P140" s="1122">
        <f t="shared" si="58"/>
        <v>0</v>
      </c>
      <c r="Q140" s="1122">
        <f t="shared" si="58"/>
        <v>0</v>
      </c>
      <c r="R140" s="1122">
        <f t="shared" si="58"/>
        <v>0</v>
      </c>
      <c r="S140" s="1122">
        <f t="shared" si="58"/>
        <v>0</v>
      </c>
      <c r="T140" s="1122">
        <f t="shared" si="58"/>
        <v>0</v>
      </c>
      <c r="U140" s="1122">
        <f t="shared" si="58"/>
        <v>0</v>
      </c>
      <c r="V140" s="1122">
        <f t="shared" si="58"/>
        <v>0</v>
      </c>
      <c r="W140" s="3"/>
      <c r="X140" s="1"/>
      <c r="Y140" s="1"/>
      <c r="Z140" s="1"/>
      <c r="AA140" s="1"/>
      <c r="AB140" s="1"/>
      <c r="AC140" s="3"/>
      <c r="AD140" s="3"/>
      <c r="AE140" s="3"/>
      <c r="AF140" s="3"/>
      <c r="AG140" s="3"/>
      <c r="AH140" s="3"/>
      <c r="AI140" s="3"/>
      <c r="AJ140" s="96"/>
      <c r="AK140" s="3"/>
      <c r="AL140" s="3"/>
      <c r="AM140" s="3"/>
      <c r="AN140" s="4"/>
      <c r="AO140" s="3"/>
      <c r="AP140" s="3"/>
      <c r="AQ140" s="3"/>
      <c r="AR140" s="3"/>
      <c r="AS140" s="3"/>
      <c r="AT140" s="1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1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</row>
    <row r="141" ht="14.25" customHeight="1">
      <c r="A141" s="1"/>
      <c r="B141" s="2"/>
      <c r="C141" s="3"/>
      <c r="D141" s="3"/>
      <c r="E141" s="3"/>
      <c r="F141" s="3"/>
      <c r="G141" s="4"/>
      <c r="H141" s="1"/>
      <c r="I141" s="1"/>
      <c r="J141" s="1"/>
      <c r="K141" s="1"/>
      <c r="L141" s="1"/>
      <c r="M141" s="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1"/>
      <c r="Y141" s="1"/>
      <c r="Z141" s="1"/>
      <c r="AA141" s="1"/>
      <c r="AB141" s="1"/>
      <c r="AC141" s="3"/>
      <c r="AD141" s="3"/>
      <c r="AE141" s="3"/>
      <c r="AF141" s="3"/>
      <c r="AG141" s="3"/>
      <c r="AH141" s="3"/>
      <c r="AI141" s="3"/>
      <c r="AJ141" s="176"/>
      <c r="AK141" s="3"/>
      <c r="AL141" s="3"/>
      <c r="AM141" s="3"/>
      <c r="AN141" s="4"/>
      <c r="AO141" s="3"/>
      <c r="AP141" s="3"/>
      <c r="AQ141" s="3"/>
      <c r="AR141" s="3"/>
      <c r="AS141" s="3"/>
      <c r="AT141" s="1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1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</row>
    <row r="142" ht="14.25" customHeight="1">
      <c r="A142" s="3"/>
      <c r="B142" s="512">
        <v>46143</v>
      </c>
      <c r="C142" s="238"/>
      <c r="D142" s="95"/>
      <c r="E142" s="97"/>
      <c r="F142" s="97"/>
      <c r="G142" s="216">
        <f ref="G142:G172" t="shared" si="59">+C142+D142+E142+F142</f>
        <v>0</v>
      </c>
      <c r="H142" s="1069"/>
      <c r="I142" s="619"/>
      <c r="J142" s="619"/>
      <c r="K142" s="619"/>
      <c r="L142" s="619"/>
      <c r="M142" s="619"/>
      <c r="N142" s="186"/>
      <c r="O142" s="186"/>
      <c r="P142" s="186"/>
      <c r="Q142" s="186"/>
      <c r="R142" s="186"/>
      <c r="S142" s="186"/>
      <c r="T142" s="186"/>
      <c r="U142" s="186"/>
      <c r="V142" s="186"/>
      <c r="W142" s="189">
        <f ref="W142:W172" t="shared" si="60">SUM(H142:V142)</f>
        <v>0</v>
      </c>
      <c r="X142" s="1123"/>
      <c r="Y142" s="619"/>
      <c r="Z142" s="619"/>
      <c r="AA142" s="619"/>
      <c r="AB142" s="619"/>
      <c r="AC142" s="186"/>
      <c r="AD142" s="186"/>
      <c r="AE142" s="186"/>
      <c r="AF142" s="186"/>
      <c r="AG142" s="186"/>
      <c r="AH142" s="186"/>
      <c r="AI142" s="186"/>
      <c r="AJ142" s="103">
        <f ref="AJ142:AJ172" t="shared" si="61">SUM(X142:AI142)</f>
        <v>0</v>
      </c>
      <c r="AK142" s="95"/>
      <c r="AL142" s="95"/>
      <c r="AM142" s="104"/>
      <c r="AN142" s="191">
        <f ref="AN142:AN172" t="shared" si="62">SUM(AK142:AM142)</f>
        <v>0</v>
      </c>
      <c r="AO142" s="188"/>
      <c r="AP142" s="186"/>
      <c r="AQ142" s="186"/>
      <c r="AR142" s="193"/>
      <c r="AS142" s="266">
        <f ref="AS142:AS172" t="shared" si="63">+G142-W142-AJ142-AN142-AO142-AP142-AQ142-AR142</f>
        <v>0</v>
      </c>
      <c r="AT142" s="488"/>
      <c r="AU142" s="271"/>
      <c r="AV142" s="109"/>
      <c r="AW142" s="109"/>
      <c r="AX142" s="127"/>
      <c r="AY142" s="271"/>
      <c r="AZ142" s="127"/>
      <c r="BA142" s="127"/>
      <c r="BB142" s="127"/>
      <c r="BC142" s="109"/>
      <c r="BD142" s="1124">
        <f ref="BD142:BD172" t="shared" si="64">SUM(AT142:BC142)</f>
        <v>0</v>
      </c>
      <c r="BE142" s="1051">
        <f ref="BE142:BE172" t="shared" si="65">+AS142-BD142</f>
        <v>0</v>
      </c>
      <c r="BF142" s="3"/>
      <c r="BG142" s="114">
        <f ref="BG142:BG172" t="shared" si="66">SUM(BH142:BT142)</f>
        <v>0</v>
      </c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116">
        <f ref="BU142:BU172" t="shared" si="67">+BE142-BG142</f>
        <v>0</v>
      </c>
      <c r="BV142" s="3"/>
    </row>
    <row r="143" ht="14.25" customHeight="1">
      <c r="A143" s="3"/>
      <c r="B143" s="512">
        <v>46144</v>
      </c>
      <c r="C143" s="228"/>
      <c r="D143" s="119"/>
      <c r="E143" s="120"/>
      <c r="F143" s="120"/>
      <c r="G143" s="147">
        <f t="shared" si="59"/>
        <v>0</v>
      </c>
      <c r="H143" s="768"/>
      <c r="I143" s="611"/>
      <c r="J143" s="611"/>
      <c r="K143" s="611"/>
      <c r="L143" s="611"/>
      <c r="M143" s="611"/>
      <c r="N143" s="143"/>
      <c r="O143" s="143"/>
      <c r="P143" s="143"/>
      <c r="Q143" s="143"/>
      <c r="R143" s="143"/>
      <c r="S143" s="143"/>
      <c r="T143" s="143"/>
      <c r="U143" s="143"/>
      <c r="V143" s="143"/>
      <c r="W143" s="103">
        <f t="shared" si="60"/>
        <v>0</v>
      </c>
      <c r="X143" s="611"/>
      <c r="Y143" s="611"/>
      <c r="Z143" s="611"/>
      <c r="AA143" s="611"/>
      <c r="AB143" s="611"/>
      <c r="AC143" s="143"/>
      <c r="AD143" s="143"/>
      <c r="AE143" s="143"/>
      <c r="AF143" s="143"/>
      <c r="AG143" s="143"/>
      <c r="AH143" s="143"/>
      <c r="AI143" s="143"/>
      <c r="AJ143" s="103">
        <f t="shared" si="61"/>
        <v>0</v>
      </c>
      <c r="AK143" s="119"/>
      <c r="AL143" s="119"/>
      <c r="AM143" s="123"/>
      <c r="AN143" s="105">
        <f t="shared" si="62"/>
        <v>0</v>
      </c>
      <c r="AO143" s="145"/>
      <c r="AP143" s="143"/>
      <c r="AQ143" s="143"/>
      <c r="AR143" s="146"/>
      <c r="AS143" s="224">
        <f t="shared" si="63"/>
        <v>0</v>
      </c>
      <c r="AT143" s="492"/>
      <c r="AU143" s="126"/>
      <c r="AV143" s="126"/>
      <c r="AW143" s="126"/>
      <c r="AX143" s="127"/>
      <c r="AY143" s="229"/>
      <c r="AZ143" s="127"/>
      <c r="BA143" s="127"/>
      <c r="BB143" s="127"/>
      <c r="BC143" s="126"/>
      <c r="BD143" s="1125">
        <f t="shared" si="64"/>
        <v>0</v>
      </c>
      <c r="BE143" s="1055">
        <f t="shared" si="65"/>
        <v>0</v>
      </c>
      <c r="BF143" s="3"/>
      <c r="BG143" s="113">
        <f t="shared" si="66"/>
        <v>0</v>
      </c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31"/>
      <c r="BS143" s="129"/>
      <c r="BT143" s="129"/>
      <c r="BU143" s="130">
        <f t="shared" si="67"/>
        <v>0</v>
      </c>
      <c r="BV143" s="3"/>
    </row>
    <row r="144" ht="14.25" customHeight="1">
      <c r="A144" s="132"/>
      <c r="B144" s="512">
        <v>46145</v>
      </c>
      <c r="C144" s="230"/>
      <c r="D144" s="134"/>
      <c r="E144" s="135"/>
      <c r="F144" s="135"/>
      <c r="G144" s="147">
        <f t="shared" si="59"/>
        <v>0</v>
      </c>
      <c r="H144" s="1070"/>
      <c r="I144" s="611"/>
      <c r="J144" s="611"/>
      <c r="K144" s="611"/>
      <c r="L144" s="611"/>
      <c r="M144" s="611"/>
      <c r="N144" s="143"/>
      <c r="O144" s="143"/>
      <c r="P144" s="143"/>
      <c r="Q144" s="143"/>
      <c r="R144" s="143"/>
      <c r="S144" s="143"/>
      <c r="T144" s="143"/>
      <c r="U144" s="143"/>
      <c r="V144" s="143"/>
      <c r="W144" s="103">
        <f t="shared" si="60"/>
        <v>0</v>
      </c>
      <c r="X144" s="611"/>
      <c r="Y144" s="611"/>
      <c r="Z144" s="611"/>
      <c r="AA144" s="611"/>
      <c r="AB144" s="611"/>
      <c r="AC144" s="143"/>
      <c r="AD144" s="143"/>
      <c r="AE144" s="143"/>
      <c r="AF144" s="143"/>
      <c r="AG144" s="143"/>
      <c r="AH144" s="143"/>
      <c r="AI144" s="143"/>
      <c r="AJ144" s="103">
        <f t="shared" si="61"/>
        <v>0</v>
      </c>
      <c r="AK144" s="134"/>
      <c r="AL144" s="134"/>
      <c r="AM144" s="136"/>
      <c r="AN144" s="105">
        <f t="shared" si="62"/>
        <v>0</v>
      </c>
      <c r="AO144" s="145"/>
      <c r="AP144" s="143"/>
      <c r="AQ144" s="143"/>
      <c r="AR144" s="146"/>
      <c r="AS144" s="224">
        <f t="shared" si="63"/>
        <v>0</v>
      </c>
      <c r="AT144" s="492"/>
      <c r="AU144" s="229"/>
      <c r="AV144" s="126"/>
      <c r="AW144" s="126"/>
      <c r="AX144" s="127"/>
      <c r="AY144" s="229"/>
      <c r="AZ144" s="127"/>
      <c r="BA144" s="127"/>
      <c r="BB144" s="127"/>
      <c r="BC144" s="126"/>
      <c r="BD144" s="1125">
        <f t="shared" si="64"/>
        <v>0</v>
      </c>
      <c r="BE144" s="456">
        <f t="shared" si="65"/>
        <v>0</v>
      </c>
      <c r="BF144" s="132"/>
      <c r="BG144" s="140">
        <f t="shared" si="66"/>
        <v>0</v>
      </c>
      <c r="BH144" s="141"/>
      <c r="BI144" s="141"/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41"/>
      <c r="BU144" s="130">
        <f t="shared" si="67"/>
        <v>0</v>
      </c>
      <c r="BV144" s="132"/>
    </row>
    <row r="145" ht="14.25" customHeight="1">
      <c r="A145" s="132"/>
      <c r="B145" s="512">
        <v>46146</v>
      </c>
      <c r="C145" s="230"/>
      <c r="D145" s="134"/>
      <c r="E145" s="135"/>
      <c r="F145" s="135"/>
      <c r="G145" s="147">
        <f t="shared" si="59"/>
        <v>0</v>
      </c>
      <c r="H145" s="1070"/>
      <c r="I145" s="801"/>
      <c r="J145" s="611"/>
      <c r="K145" s="611"/>
      <c r="L145" s="611"/>
      <c r="M145" s="611"/>
      <c r="N145" s="143"/>
      <c r="O145" s="143"/>
      <c r="P145" s="143"/>
      <c r="Q145" s="143"/>
      <c r="R145" s="143"/>
      <c r="S145" s="143"/>
      <c r="T145" s="145"/>
      <c r="U145" s="143"/>
      <c r="V145" s="143"/>
      <c r="W145" s="103">
        <f t="shared" si="60"/>
        <v>0</v>
      </c>
      <c r="X145" s="611"/>
      <c r="Y145" s="611"/>
      <c r="Z145" s="611"/>
      <c r="AA145" s="611"/>
      <c r="AB145" s="611"/>
      <c r="AC145" s="143"/>
      <c r="AD145" s="143"/>
      <c r="AE145" s="143"/>
      <c r="AF145" s="143"/>
      <c r="AG145" s="143"/>
      <c r="AH145" s="143"/>
      <c r="AI145" s="143"/>
      <c r="AJ145" s="103">
        <f t="shared" si="61"/>
        <v>0</v>
      </c>
      <c r="AK145" s="134"/>
      <c r="AL145" s="134"/>
      <c r="AM145" s="136"/>
      <c r="AN145" s="105">
        <f t="shared" si="62"/>
        <v>0</v>
      </c>
      <c r="AO145" s="145"/>
      <c r="AP145" s="143"/>
      <c r="AQ145" s="143"/>
      <c r="AR145" s="146"/>
      <c r="AS145" s="224">
        <f t="shared" si="63"/>
        <v>0</v>
      </c>
      <c r="AT145" s="492"/>
      <c r="AU145" s="229"/>
      <c r="AV145" s="433"/>
      <c r="AW145" s="126"/>
      <c r="AX145" s="127"/>
      <c r="AY145" s="229"/>
      <c r="AZ145" s="127"/>
      <c r="BA145" s="127"/>
      <c r="BB145" s="127"/>
      <c r="BC145" s="126"/>
      <c r="BD145" s="1125">
        <f t="shared" si="64"/>
        <v>0</v>
      </c>
      <c r="BE145" s="456">
        <f t="shared" si="65"/>
        <v>0</v>
      </c>
      <c r="BF145" s="132"/>
      <c r="BG145" s="140">
        <f t="shared" si="66"/>
        <v>0</v>
      </c>
      <c r="BH145" s="141"/>
      <c r="BI145" s="141"/>
      <c r="BJ145" s="141"/>
      <c r="BK145" s="141"/>
      <c r="BL145" s="141"/>
      <c r="BM145" s="141"/>
      <c r="BN145" s="141"/>
      <c r="BO145" s="141"/>
      <c r="BP145" s="141"/>
      <c r="BQ145" s="141"/>
      <c r="BR145" s="150"/>
      <c r="BS145" s="141"/>
      <c r="BT145" s="141"/>
      <c r="BU145" s="130">
        <f t="shared" si="67"/>
        <v>0</v>
      </c>
      <c r="BV145" s="132"/>
    </row>
    <row r="146" ht="14.25" customHeight="1">
      <c r="A146" s="132"/>
      <c r="B146" s="512">
        <v>46147</v>
      </c>
      <c r="C146" s="133"/>
      <c r="D146" s="134"/>
      <c r="E146" s="135"/>
      <c r="F146" s="135"/>
      <c r="G146" s="147">
        <f t="shared" si="59"/>
        <v>0</v>
      </c>
      <c r="H146" s="1070"/>
      <c r="I146" s="801"/>
      <c r="J146" s="611"/>
      <c r="K146" s="611"/>
      <c r="L146" s="611"/>
      <c r="M146" s="611"/>
      <c r="N146" s="143"/>
      <c r="O146" s="143"/>
      <c r="P146" s="143"/>
      <c r="Q146" s="143"/>
      <c r="R146" s="143"/>
      <c r="S146" s="143"/>
      <c r="T146" s="145"/>
      <c r="U146" s="143"/>
      <c r="V146" s="143"/>
      <c r="W146" s="103">
        <f t="shared" si="60"/>
        <v>0</v>
      </c>
      <c r="X146" s="611"/>
      <c r="Y146" s="611"/>
      <c r="Z146" s="611"/>
      <c r="AA146" s="611"/>
      <c r="AB146" s="611"/>
      <c r="AC146" s="143"/>
      <c r="AD146" s="143"/>
      <c r="AE146" s="143"/>
      <c r="AF146" s="143"/>
      <c r="AG146" s="143"/>
      <c r="AH146" s="143"/>
      <c r="AI146" s="143"/>
      <c r="AJ146" s="103">
        <f t="shared" si="61"/>
        <v>0</v>
      </c>
      <c r="AK146" s="134"/>
      <c r="AL146" s="134"/>
      <c r="AM146" s="136"/>
      <c r="AN146" s="105">
        <f t="shared" si="62"/>
        <v>0</v>
      </c>
      <c r="AO146" s="145"/>
      <c r="AP146" s="143"/>
      <c r="AQ146" s="143"/>
      <c r="AR146" s="146"/>
      <c r="AS146" s="224">
        <f t="shared" si="63"/>
        <v>0</v>
      </c>
      <c r="AT146" s="492"/>
      <c r="AU146" s="229"/>
      <c r="AV146" s="126"/>
      <c r="AW146" s="126"/>
      <c r="AX146" s="127"/>
      <c r="AY146" s="229"/>
      <c r="AZ146" s="127"/>
      <c r="BA146" s="127"/>
      <c r="BB146" s="127"/>
      <c r="BC146" s="126"/>
      <c r="BD146" s="1125">
        <f t="shared" si="64"/>
        <v>0</v>
      </c>
      <c r="BE146" s="456">
        <f t="shared" si="65"/>
        <v>0</v>
      </c>
      <c r="BF146" s="132"/>
      <c r="BG146" s="140">
        <f t="shared" si="66"/>
        <v>0</v>
      </c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30">
        <f t="shared" si="67"/>
        <v>0</v>
      </c>
      <c r="BV146" s="132"/>
    </row>
    <row r="147" ht="14.25" customHeight="1">
      <c r="A147" s="132"/>
      <c r="B147" s="512">
        <v>46148</v>
      </c>
      <c r="C147" s="133"/>
      <c r="D147" s="136"/>
      <c r="E147" s="135"/>
      <c r="F147" s="135"/>
      <c r="G147" s="147">
        <f t="shared" si="59"/>
        <v>0</v>
      </c>
      <c r="H147" s="768"/>
      <c r="I147" s="611"/>
      <c r="J147" s="611"/>
      <c r="K147" s="611"/>
      <c r="L147" s="611"/>
      <c r="M147" s="611"/>
      <c r="N147" s="143"/>
      <c r="O147" s="143"/>
      <c r="P147" s="143"/>
      <c r="Q147" s="143"/>
      <c r="R147" s="143"/>
      <c r="S147" s="143"/>
      <c r="T147" s="143"/>
      <c r="U147" s="143"/>
      <c r="V147" s="143"/>
      <c r="W147" s="103">
        <f t="shared" si="60"/>
        <v>0</v>
      </c>
      <c r="X147" s="611"/>
      <c r="Y147" s="611"/>
      <c r="Z147" s="611"/>
      <c r="AA147" s="611"/>
      <c r="AB147" s="611"/>
      <c r="AC147" s="143"/>
      <c r="AD147" s="143"/>
      <c r="AE147" s="143"/>
      <c r="AF147" s="143"/>
      <c r="AG147" s="143"/>
      <c r="AH147" s="143"/>
      <c r="AI147" s="143"/>
      <c r="AJ147" s="103">
        <f t="shared" si="61"/>
        <v>0</v>
      </c>
      <c r="AK147" s="136"/>
      <c r="AL147" s="136"/>
      <c r="AM147" s="136"/>
      <c r="AN147" s="105">
        <f t="shared" si="62"/>
        <v>0</v>
      </c>
      <c r="AO147" s="143"/>
      <c r="AP147" s="143"/>
      <c r="AQ147" s="143"/>
      <c r="AR147" s="146"/>
      <c r="AS147" s="224">
        <f t="shared" si="63"/>
        <v>0</v>
      </c>
      <c r="AT147" s="433"/>
      <c r="AU147" s="126"/>
      <c r="AV147" s="126"/>
      <c r="AW147" s="126"/>
      <c r="AX147" s="127"/>
      <c r="AY147" s="126"/>
      <c r="AZ147" s="127"/>
      <c r="BA147" s="127"/>
      <c r="BB147" s="127"/>
      <c r="BC147" s="126"/>
      <c r="BD147" s="1125">
        <f t="shared" si="64"/>
        <v>0</v>
      </c>
      <c r="BE147" s="456">
        <f t="shared" si="65"/>
        <v>0</v>
      </c>
      <c r="BF147" s="132"/>
      <c r="BG147" s="140">
        <f t="shared" si="66"/>
        <v>0</v>
      </c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30">
        <f t="shared" si="67"/>
        <v>0</v>
      </c>
      <c r="BV147" s="132"/>
    </row>
    <row r="148" ht="14.25" customHeight="1">
      <c r="A148" s="132"/>
      <c r="B148" s="512">
        <v>46149</v>
      </c>
      <c r="C148" s="133"/>
      <c r="D148" s="136"/>
      <c r="E148" s="135"/>
      <c r="F148" s="135"/>
      <c r="G148" s="147">
        <f t="shared" si="59"/>
        <v>0</v>
      </c>
      <c r="H148" s="768"/>
      <c r="I148" s="611"/>
      <c r="J148" s="611"/>
      <c r="K148" s="611"/>
      <c r="L148" s="611"/>
      <c r="M148" s="611"/>
      <c r="N148" s="143"/>
      <c r="O148" s="143"/>
      <c r="P148" s="143"/>
      <c r="Q148" s="143"/>
      <c r="R148" s="143"/>
      <c r="S148" s="143"/>
      <c r="T148" s="143"/>
      <c r="U148" s="143"/>
      <c r="V148" s="143"/>
      <c r="W148" s="103">
        <f t="shared" si="60"/>
        <v>0</v>
      </c>
      <c r="X148" s="611"/>
      <c r="Y148" s="611"/>
      <c r="Z148" s="611"/>
      <c r="AA148" s="611"/>
      <c r="AB148" s="611"/>
      <c r="AC148" s="143"/>
      <c r="AD148" s="143"/>
      <c r="AE148" s="143"/>
      <c r="AF148" s="143"/>
      <c r="AG148" s="143"/>
      <c r="AH148" s="143"/>
      <c r="AI148" s="143"/>
      <c r="AJ148" s="103">
        <f t="shared" si="61"/>
        <v>0</v>
      </c>
      <c r="AK148" s="136"/>
      <c r="AL148" s="136"/>
      <c r="AM148" s="136"/>
      <c r="AN148" s="105">
        <f t="shared" si="62"/>
        <v>0</v>
      </c>
      <c r="AO148" s="143"/>
      <c r="AP148" s="143"/>
      <c r="AQ148" s="143"/>
      <c r="AR148" s="146"/>
      <c r="AS148" s="224">
        <f t="shared" si="63"/>
        <v>0</v>
      </c>
      <c r="AT148" s="433"/>
      <c r="AU148" s="126"/>
      <c r="AV148" s="126"/>
      <c r="AW148" s="126"/>
      <c r="AX148" s="127"/>
      <c r="AY148" s="126"/>
      <c r="AZ148" s="127"/>
      <c r="BA148" s="127"/>
      <c r="BB148" s="127"/>
      <c r="BC148" s="126"/>
      <c r="BD148" s="1125">
        <f t="shared" si="64"/>
        <v>0</v>
      </c>
      <c r="BE148" s="456">
        <f t="shared" si="65"/>
        <v>0</v>
      </c>
      <c r="BF148" s="132"/>
      <c r="BG148" s="140">
        <f t="shared" si="66"/>
        <v>0</v>
      </c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30">
        <f t="shared" si="67"/>
        <v>0</v>
      </c>
      <c r="BV148" s="132"/>
    </row>
    <row r="149" ht="14.25" customHeight="1">
      <c r="A149" s="132"/>
      <c r="B149" s="512">
        <v>46150</v>
      </c>
      <c r="C149" s="133"/>
      <c r="D149" s="136"/>
      <c r="E149" s="135"/>
      <c r="F149" s="135"/>
      <c r="G149" s="147">
        <f t="shared" si="59"/>
        <v>0</v>
      </c>
      <c r="H149" s="768"/>
      <c r="I149" s="611"/>
      <c r="J149" s="611"/>
      <c r="K149" s="611"/>
      <c r="L149" s="611"/>
      <c r="M149" s="611"/>
      <c r="N149" s="143"/>
      <c r="O149" s="143"/>
      <c r="P149" s="143"/>
      <c r="Q149" s="143"/>
      <c r="R149" s="143"/>
      <c r="S149" s="143"/>
      <c r="T149" s="143"/>
      <c r="U149" s="143"/>
      <c r="V149" s="143"/>
      <c r="W149" s="103">
        <f t="shared" si="60"/>
        <v>0</v>
      </c>
      <c r="X149" s="611"/>
      <c r="Y149" s="611"/>
      <c r="Z149" s="611"/>
      <c r="AA149" s="611"/>
      <c r="AB149" s="611"/>
      <c r="AC149" s="143"/>
      <c r="AD149" s="143"/>
      <c r="AE149" s="143"/>
      <c r="AF149" s="143"/>
      <c r="AG149" s="143"/>
      <c r="AH149" s="143"/>
      <c r="AI149" s="143"/>
      <c r="AJ149" s="103">
        <f t="shared" si="61"/>
        <v>0</v>
      </c>
      <c r="AK149" s="136"/>
      <c r="AL149" s="136"/>
      <c r="AM149" s="136"/>
      <c r="AN149" s="105">
        <f t="shared" si="62"/>
        <v>0</v>
      </c>
      <c r="AO149" s="143"/>
      <c r="AP149" s="143"/>
      <c r="AQ149" s="143"/>
      <c r="AR149" s="146"/>
      <c r="AS149" s="224">
        <f t="shared" si="63"/>
        <v>0</v>
      </c>
      <c r="AT149" s="433"/>
      <c r="AU149" s="126"/>
      <c r="AV149" s="126"/>
      <c r="AW149" s="126"/>
      <c r="AX149" s="127"/>
      <c r="AY149" s="126"/>
      <c r="AZ149" s="127"/>
      <c r="BA149" s="127"/>
      <c r="BB149" s="127"/>
      <c r="BC149" s="126"/>
      <c r="BD149" s="1125">
        <f t="shared" si="64"/>
        <v>0</v>
      </c>
      <c r="BE149" s="456">
        <f t="shared" si="65"/>
        <v>0</v>
      </c>
      <c r="BF149" s="132"/>
      <c r="BG149" s="140">
        <f t="shared" si="66"/>
        <v>0</v>
      </c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30">
        <f t="shared" si="67"/>
        <v>0</v>
      </c>
      <c r="BV149" s="132"/>
    </row>
    <row r="150" ht="14.25" customHeight="1">
      <c r="A150" s="132"/>
      <c r="B150" s="512">
        <v>46151</v>
      </c>
      <c r="C150" s="133"/>
      <c r="D150" s="136"/>
      <c r="E150" s="135"/>
      <c r="F150" s="135"/>
      <c r="G150" s="147">
        <f t="shared" si="59"/>
        <v>0</v>
      </c>
      <c r="H150" s="768"/>
      <c r="I150" s="611"/>
      <c r="J150" s="611"/>
      <c r="K150" s="611"/>
      <c r="L150" s="611"/>
      <c r="M150" s="611"/>
      <c r="N150" s="143"/>
      <c r="O150" s="143"/>
      <c r="P150" s="143"/>
      <c r="Q150" s="143"/>
      <c r="R150" s="143"/>
      <c r="S150" s="143"/>
      <c r="T150" s="143"/>
      <c r="U150" s="143"/>
      <c r="V150" s="143"/>
      <c r="W150" s="103">
        <f t="shared" si="60"/>
        <v>0</v>
      </c>
      <c r="X150" s="611"/>
      <c r="Y150" s="611"/>
      <c r="Z150" s="611"/>
      <c r="AA150" s="611"/>
      <c r="AB150" s="611"/>
      <c r="AC150" s="143"/>
      <c r="AD150" s="143"/>
      <c r="AE150" s="143"/>
      <c r="AF150" s="143"/>
      <c r="AG150" s="143"/>
      <c r="AH150" s="143"/>
      <c r="AI150" s="143"/>
      <c r="AJ150" s="103">
        <f t="shared" si="61"/>
        <v>0</v>
      </c>
      <c r="AK150" s="136"/>
      <c r="AL150" s="136"/>
      <c r="AM150" s="136"/>
      <c r="AN150" s="105">
        <f t="shared" si="62"/>
        <v>0</v>
      </c>
      <c r="AO150" s="143"/>
      <c r="AP150" s="143"/>
      <c r="AQ150" s="143"/>
      <c r="AR150" s="146"/>
      <c r="AS150" s="224">
        <f t="shared" si="63"/>
        <v>0</v>
      </c>
      <c r="AT150" s="433"/>
      <c r="AU150" s="126"/>
      <c r="AV150" s="126"/>
      <c r="AW150" s="126"/>
      <c r="AX150" s="127"/>
      <c r="AY150" s="126"/>
      <c r="AZ150" s="127"/>
      <c r="BA150" s="127"/>
      <c r="BB150" s="127"/>
      <c r="BC150" s="126"/>
      <c r="BD150" s="1125">
        <f t="shared" si="64"/>
        <v>0</v>
      </c>
      <c r="BE150" s="456">
        <f t="shared" si="65"/>
        <v>0</v>
      </c>
      <c r="BF150" s="132"/>
      <c r="BG150" s="140">
        <f t="shared" si="66"/>
        <v>0</v>
      </c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30">
        <f t="shared" si="67"/>
        <v>0</v>
      </c>
      <c r="BV150" s="132"/>
    </row>
    <row r="151" ht="14.25" customHeight="1">
      <c r="A151" s="132"/>
      <c r="B151" s="512">
        <v>46152</v>
      </c>
      <c r="C151" s="133"/>
      <c r="D151" s="136"/>
      <c r="E151" s="135"/>
      <c r="F151" s="135"/>
      <c r="G151" s="147">
        <f t="shared" si="59"/>
        <v>0</v>
      </c>
      <c r="H151" s="768"/>
      <c r="I151" s="611"/>
      <c r="J151" s="611"/>
      <c r="K151" s="611"/>
      <c r="L151" s="611"/>
      <c r="M151" s="611"/>
      <c r="N151" s="143"/>
      <c r="O151" s="143"/>
      <c r="P151" s="143"/>
      <c r="Q151" s="143"/>
      <c r="R151" s="143"/>
      <c r="S151" s="143"/>
      <c r="T151" s="143"/>
      <c r="U151" s="143"/>
      <c r="V151" s="143"/>
      <c r="W151" s="103">
        <f t="shared" si="60"/>
        <v>0</v>
      </c>
      <c r="X151" s="611"/>
      <c r="Y151" s="611"/>
      <c r="Z151" s="611"/>
      <c r="AA151" s="611"/>
      <c r="AB151" s="611"/>
      <c r="AC151" s="143"/>
      <c r="AD151" s="143"/>
      <c r="AE151" s="143"/>
      <c r="AF151" s="143"/>
      <c r="AG151" s="143"/>
      <c r="AH151" s="143"/>
      <c r="AI151" s="143"/>
      <c r="AJ151" s="103">
        <f t="shared" si="61"/>
        <v>0</v>
      </c>
      <c r="AK151" s="136"/>
      <c r="AL151" s="136"/>
      <c r="AM151" s="136"/>
      <c r="AN151" s="105">
        <f t="shared" si="62"/>
        <v>0</v>
      </c>
      <c r="AO151" s="143"/>
      <c r="AP151" s="143"/>
      <c r="AQ151" s="143"/>
      <c r="AR151" s="146"/>
      <c r="AS151" s="224">
        <f t="shared" si="63"/>
        <v>0</v>
      </c>
      <c r="AT151" s="433"/>
      <c r="AU151" s="126"/>
      <c r="AV151" s="126"/>
      <c r="AW151" s="126"/>
      <c r="AX151" s="127"/>
      <c r="AY151" s="126"/>
      <c r="AZ151" s="127"/>
      <c r="BA151" s="127"/>
      <c r="BB151" s="127"/>
      <c r="BC151" s="126"/>
      <c r="BD151" s="1125">
        <f t="shared" si="64"/>
        <v>0</v>
      </c>
      <c r="BE151" s="456">
        <f t="shared" si="65"/>
        <v>0</v>
      </c>
      <c r="BF151" s="132"/>
      <c r="BG151" s="140">
        <f t="shared" si="66"/>
        <v>0</v>
      </c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30">
        <f t="shared" si="67"/>
        <v>0</v>
      </c>
      <c r="BV151" s="132"/>
    </row>
    <row r="152" ht="14.25" customHeight="1">
      <c r="A152" s="132"/>
      <c r="B152" s="512">
        <v>46153</v>
      </c>
      <c r="C152" s="133"/>
      <c r="D152" s="136"/>
      <c r="E152" s="135"/>
      <c r="F152" s="135"/>
      <c r="G152" s="147">
        <f t="shared" si="59"/>
        <v>0</v>
      </c>
      <c r="H152" s="768"/>
      <c r="I152" s="611"/>
      <c r="J152" s="611"/>
      <c r="K152" s="611"/>
      <c r="L152" s="611"/>
      <c r="M152" s="611"/>
      <c r="N152" s="143"/>
      <c r="O152" s="143"/>
      <c r="P152" s="143"/>
      <c r="Q152" s="143"/>
      <c r="R152" s="143"/>
      <c r="S152" s="143"/>
      <c r="T152" s="143"/>
      <c r="U152" s="143"/>
      <c r="V152" s="143"/>
      <c r="W152" s="103">
        <f t="shared" si="60"/>
        <v>0</v>
      </c>
      <c r="X152" s="611"/>
      <c r="Y152" s="611"/>
      <c r="Z152" s="611"/>
      <c r="AA152" s="611"/>
      <c r="AB152" s="611"/>
      <c r="AC152" s="143"/>
      <c r="AD152" s="143"/>
      <c r="AE152" s="143"/>
      <c r="AF152" s="143"/>
      <c r="AG152" s="143"/>
      <c r="AH152" s="143"/>
      <c r="AI152" s="143"/>
      <c r="AJ152" s="103">
        <f t="shared" si="61"/>
        <v>0</v>
      </c>
      <c r="AK152" s="136"/>
      <c r="AL152" s="136"/>
      <c r="AM152" s="136"/>
      <c r="AN152" s="105">
        <f t="shared" si="62"/>
        <v>0</v>
      </c>
      <c r="AO152" s="143"/>
      <c r="AP152" s="143"/>
      <c r="AQ152" s="143"/>
      <c r="AR152" s="146"/>
      <c r="AS152" s="224">
        <f t="shared" si="63"/>
        <v>0</v>
      </c>
      <c r="AT152" s="433"/>
      <c r="AU152" s="126"/>
      <c r="AV152" s="126"/>
      <c r="AW152" s="126"/>
      <c r="AX152" s="127"/>
      <c r="AY152" s="126"/>
      <c r="AZ152" s="127"/>
      <c r="BA152" s="127"/>
      <c r="BB152" s="127"/>
      <c r="BC152" s="126"/>
      <c r="BD152" s="1125">
        <f t="shared" si="64"/>
        <v>0</v>
      </c>
      <c r="BE152" s="456">
        <f t="shared" si="65"/>
        <v>0</v>
      </c>
      <c r="BF152" s="132"/>
      <c r="BG152" s="140">
        <f t="shared" si="66"/>
        <v>0</v>
      </c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30">
        <f t="shared" si="67"/>
        <v>0</v>
      </c>
      <c r="BV152" s="132"/>
    </row>
    <row r="153" ht="14.25" customHeight="1">
      <c r="A153" s="132"/>
      <c r="B153" s="512">
        <v>46154</v>
      </c>
      <c r="C153" s="133"/>
      <c r="D153" s="136"/>
      <c r="E153" s="135"/>
      <c r="F153" s="135"/>
      <c r="G153" s="147">
        <f t="shared" si="59"/>
        <v>0</v>
      </c>
      <c r="H153" s="768"/>
      <c r="I153" s="611"/>
      <c r="J153" s="611"/>
      <c r="K153" s="611"/>
      <c r="L153" s="611"/>
      <c r="M153" s="611"/>
      <c r="N153" s="143"/>
      <c r="O153" s="143"/>
      <c r="P153" s="143"/>
      <c r="Q153" s="143"/>
      <c r="R153" s="143"/>
      <c r="S153" s="143"/>
      <c r="T153" s="143"/>
      <c r="U153" s="143"/>
      <c r="V153" s="143"/>
      <c r="W153" s="103">
        <f t="shared" si="60"/>
        <v>0</v>
      </c>
      <c r="X153" s="611"/>
      <c r="Y153" s="611"/>
      <c r="Z153" s="611"/>
      <c r="AA153" s="611"/>
      <c r="AB153" s="611"/>
      <c r="AC153" s="143"/>
      <c r="AD153" s="143"/>
      <c r="AE153" s="143"/>
      <c r="AF153" s="143"/>
      <c r="AG153" s="143"/>
      <c r="AH153" s="143"/>
      <c r="AI153" s="143"/>
      <c r="AJ153" s="103">
        <f t="shared" si="61"/>
        <v>0</v>
      </c>
      <c r="AK153" s="136"/>
      <c r="AL153" s="136"/>
      <c r="AM153" s="136"/>
      <c r="AN153" s="105">
        <f t="shared" si="62"/>
        <v>0</v>
      </c>
      <c r="AO153" s="143"/>
      <c r="AP153" s="143"/>
      <c r="AQ153" s="143"/>
      <c r="AR153" s="146"/>
      <c r="AS153" s="224">
        <f t="shared" si="63"/>
        <v>0</v>
      </c>
      <c r="AT153" s="433"/>
      <c r="AU153" s="126"/>
      <c r="AV153" s="126"/>
      <c r="AW153" s="126"/>
      <c r="AX153" s="127"/>
      <c r="AY153" s="126"/>
      <c r="AZ153" s="127"/>
      <c r="BA153" s="127"/>
      <c r="BB153" s="127"/>
      <c r="BC153" s="126"/>
      <c r="BD153" s="1125">
        <f t="shared" si="64"/>
        <v>0</v>
      </c>
      <c r="BE153" s="456">
        <f t="shared" si="65"/>
        <v>0</v>
      </c>
      <c r="BF153" s="132"/>
      <c r="BG153" s="140">
        <f t="shared" si="66"/>
        <v>0</v>
      </c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30">
        <f t="shared" si="67"/>
        <v>0</v>
      </c>
      <c r="BV153" s="132"/>
    </row>
    <row r="154" ht="14.25" customHeight="1">
      <c r="A154" s="132"/>
      <c r="B154" s="512">
        <v>46155</v>
      </c>
      <c r="C154" s="133"/>
      <c r="D154" s="136"/>
      <c r="E154" s="135"/>
      <c r="F154" s="135"/>
      <c r="G154" s="147">
        <f t="shared" si="59"/>
        <v>0</v>
      </c>
      <c r="H154" s="768"/>
      <c r="I154" s="611"/>
      <c r="J154" s="611"/>
      <c r="K154" s="611"/>
      <c r="L154" s="611"/>
      <c r="M154" s="611"/>
      <c r="N154" s="143"/>
      <c r="O154" s="143"/>
      <c r="P154" s="143"/>
      <c r="Q154" s="143"/>
      <c r="R154" s="143"/>
      <c r="S154" s="143"/>
      <c r="T154" s="143"/>
      <c r="U154" s="143"/>
      <c r="V154" s="143"/>
      <c r="W154" s="103">
        <f t="shared" si="60"/>
        <v>0</v>
      </c>
      <c r="X154" s="611"/>
      <c r="Y154" s="611"/>
      <c r="Z154" s="611"/>
      <c r="AA154" s="611"/>
      <c r="AB154" s="611"/>
      <c r="AC154" s="143"/>
      <c r="AD154" s="143"/>
      <c r="AE154" s="143"/>
      <c r="AF154" s="143"/>
      <c r="AG154" s="143"/>
      <c r="AH154" s="143"/>
      <c r="AI154" s="143"/>
      <c r="AJ154" s="103">
        <f t="shared" si="61"/>
        <v>0</v>
      </c>
      <c r="AK154" s="136"/>
      <c r="AL154" s="136"/>
      <c r="AM154" s="136"/>
      <c r="AN154" s="105">
        <f t="shared" si="62"/>
        <v>0</v>
      </c>
      <c r="AO154" s="143"/>
      <c r="AP154" s="143"/>
      <c r="AQ154" s="143"/>
      <c r="AR154" s="146"/>
      <c r="AS154" s="224">
        <f t="shared" si="63"/>
        <v>0</v>
      </c>
      <c r="AT154" s="433"/>
      <c r="AU154" s="126"/>
      <c r="AV154" s="126"/>
      <c r="AW154" s="126"/>
      <c r="AX154" s="127"/>
      <c r="AY154" s="126"/>
      <c r="AZ154" s="127"/>
      <c r="BA154" s="127"/>
      <c r="BB154" s="127"/>
      <c r="BC154" s="126"/>
      <c r="BD154" s="1125">
        <f t="shared" si="64"/>
        <v>0</v>
      </c>
      <c r="BE154" s="456">
        <f t="shared" si="65"/>
        <v>0</v>
      </c>
      <c r="BF154" s="132"/>
      <c r="BG154" s="140">
        <f t="shared" si="66"/>
        <v>0</v>
      </c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30">
        <f t="shared" si="67"/>
        <v>0</v>
      </c>
      <c r="BV154" s="132"/>
    </row>
    <row r="155" ht="14.25" customHeight="1">
      <c r="A155" s="132"/>
      <c r="B155" s="512">
        <v>46156</v>
      </c>
      <c r="C155" s="133"/>
      <c r="D155" s="136"/>
      <c r="E155" s="135"/>
      <c r="F155" s="135"/>
      <c r="G155" s="147">
        <f t="shared" si="59"/>
        <v>0</v>
      </c>
      <c r="H155" s="768"/>
      <c r="I155" s="611"/>
      <c r="J155" s="611"/>
      <c r="K155" s="611"/>
      <c r="L155" s="611"/>
      <c r="M155" s="611"/>
      <c r="N155" s="143"/>
      <c r="O155" s="143"/>
      <c r="P155" s="143"/>
      <c r="Q155" s="143"/>
      <c r="R155" s="143"/>
      <c r="S155" s="143"/>
      <c r="T155" s="143"/>
      <c r="U155" s="143"/>
      <c r="V155" s="143"/>
      <c r="W155" s="103">
        <f t="shared" si="60"/>
        <v>0</v>
      </c>
      <c r="X155" s="611"/>
      <c r="Y155" s="611"/>
      <c r="Z155" s="611"/>
      <c r="AA155" s="611"/>
      <c r="AB155" s="611"/>
      <c r="AC155" s="143"/>
      <c r="AD155" s="143"/>
      <c r="AE155" s="143"/>
      <c r="AF155" s="143"/>
      <c r="AG155" s="143"/>
      <c r="AH155" s="143"/>
      <c r="AI155" s="143"/>
      <c r="AJ155" s="103">
        <f t="shared" si="61"/>
        <v>0</v>
      </c>
      <c r="AK155" s="136"/>
      <c r="AL155" s="136"/>
      <c r="AM155" s="136"/>
      <c r="AN155" s="105">
        <f t="shared" si="62"/>
        <v>0</v>
      </c>
      <c r="AO155" s="143"/>
      <c r="AP155" s="143"/>
      <c r="AQ155" s="143"/>
      <c r="AR155" s="146"/>
      <c r="AS155" s="224">
        <f t="shared" si="63"/>
        <v>0</v>
      </c>
      <c r="AT155" s="433"/>
      <c r="AU155" s="126"/>
      <c r="AV155" s="126"/>
      <c r="AW155" s="126"/>
      <c r="AX155" s="127"/>
      <c r="AY155" s="126"/>
      <c r="AZ155" s="127"/>
      <c r="BA155" s="127"/>
      <c r="BB155" s="127"/>
      <c r="BC155" s="126"/>
      <c r="BD155" s="1125">
        <f t="shared" si="64"/>
        <v>0</v>
      </c>
      <c r="BE155" s="456">
        <f t="shared" si="65"/>
        <v>0</v>
      </c>
      <c r="BF155" s="132"/>
      <c r="BG155" s="140">
        <f t="shared" si="66"/>
        <v>0</v>
      </c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30">
        <f t="shared" si="67"/>
        <v>0</v>
      </c>
      <c r="BV155" s="132"/>
    </row>
    <row r="156" ht="14.25" customHeight="1">
      <c r="A156" s="132"/>
      <c r="B156" s="512">
        <v>46157</v>
      </c>
      <c r="C156" s="133"/>
      <c r="D156" s="136"/>
      <c r="E156" s="135"/>
      <c r="F156" s="135"/>
      <c r="G156" s="147">
        <f t="shared" si="59"/>
        <v>0</v>
      </c>
      <c r="H156" s="768"/>
      <c r="I156" s="611"/>
      <c r="J156" s="611"/>
      <c r="K156" s="611"/>
      <c r="L156" s="611"/>
      <c r="M156" s="611"/>
      <c r="N156" s="143"/>
      <c r="O156" s="143"/>
      <c r="P156" s="143"/>
      <c r="Q156" s="143"/>
      <c r="R156" s="143"/>
      <c r="S156" s="143"/>
      <c r="T156" s="143"/>
      <c r="U156" s="143"/>
      <c r="V156" s="143"/>
      <c r="W156" s="103">
        <f t="shared" si="60"/>
        <v>0</v>
      </c>
      <c r="X156" s="611"/>
      <c r="Y156" s="611"/>
      <c r="Z156" s="611"/>
      <c r="AA156" s="611"/>
      <c r="AB156" s="611"/>
      <c r="AC156" s="143"/>
      <c r="AD156" s="143"/>
      <c r="AE156" s="143"/>
      <c r="AF156" s="143"/>
      <c r="AG156" s="143"/>
      <c r="AH156" s="143"/>
      <c r="AI156" s="143"/>
      <c r="AJ156" s="103">
        <f t="shared" si="61"/>
        <v>0</v>
      </c>
      <c r="AK156" s="136"/>
      <c r="AL156" s="136"/>
      <c r="AM156" s="136"/>
      <c r="AN156" s="105">
        <f t="shared" si="62"/>
        <v>0</v>
      </c>
      <c r="AO156" s="143"/>
      <c r="AP156" s="143"/>
      <c r="AQ156" s="143"/>
      <c r="AR156" s="146"/>
      <c r="AS156" s="224">
        <f t="shared" si="63"/>
        <v>0</v>
      </c>
      <c r="AT156" s="433"/>
      <c r="AU156" s="126"/>
      <c r="AV156" s="126"/>
      <c r="AW156" s="126"/>
      <c r="AX156" s="127"/>
      <c r="AY156" s="126"/>
      <c r="AZ156" s="127"/>
      <c r="BA156" s="127"/>
      <c r="BB156" s="127"/>
      <c r="BC156" s="126"/>
      <c r="BD156" s="1125">
        <f t="shared" si="64"/>
        <v>0</v>
      </c>
      <c r="BE156" s="456">
        <f t="shared" si="65"/>
        <v>0</v>
      </c>
      <c r="BF156" s="132"/>
      <c r="BG156" s="140">
        <f t="shared" si="66"/>
        <v>0</v>
      </c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30">
        <f t="shared" si="67"/>
        <v>0</v>
      </c>
      <c r="BV156" s="132"/>
    </row>
    <row r="157" ht="14.25" customHeight="1">
      <c r="A157" s="132"/>
      <c r="B157" s="512">
        <v>46158</v>
      </c>
      <c r="C157" s="133"/>
      <c r="D157" s="136"/>
      <c r="E157" s="135"/>
      <c r="F157" s="135"/>
      <c r="G157" s="147">
        <f t="shared" si="59"/>
        <v>0</v>
      </c>
      <c r="H157" s="768"/>
      <c r="I157" s="611"/>
      <c r="J157" s="611"/>
      <c r="K157" s="611"/>
      <c r="L157" s="611"/>
      <c r="M157" s="611"/>
      <c r="N157" s="143"/>
      <c r="O157" s="143"/>
      <c r="P157" s="143"/>
      <c r="Q157" s="143"/>
      <c r="R157" s="143"/>
      <c r="S157" s="143"/>
      <c r="T157" s="143"/>
      <c r="U157" s="143"/>
      <c r="V157" s="143"/>
      <c r="W157" s="103">
        <f t="shared" si="60"/>
        <v>0</v>
      </c>
      <c r="X157" s="611"/>
      <c r="Y157" s="611"/>
      <c r="Z157" s="611"/>
      <c r="AA157" s="611"/>
      <c r="AB157" s="611"/>
      <c r="AC157" s="143"/>
      <c r="AD157" s="143"/>
      <c r="AE157" s="143"/>
      <c r="AF157" s="143"/>
      <c r="AG157" s="143"/>
      <c r="AH157" s="143"/>
      <c r="AI157" s="143"/>
      <c r="AJ157" s="103">
        <f t="shared" si="61"/>
        <v>0</v>
      </c>
      <c r="AK157" s="136"/>
      <c r="AL157" s="136"/>
      <c r="AM157" s="136"/>
      <c r="AN157" s="105">
        <f t="shared" si="62"/>
        <v>0</v>
      </c>
      <c r="AO157" s="143"/>
      <c r="AP157" s="143"/>
      <c r="AQ157" s="143"/>
      <c r="AR157" s="146"/>
      <c r="AS157" s="224">
        <f t="shared" si="63"/>
        <v>0</v>
      </c>
      <c r="AT157" s="433"/>
      <c r="AU157" s="126"/>
      <c r="AV157" s="126"/>
      <c r="AW157" s="126"/>
      <c r="AX157" s="127"/>
      <c r="AY157" s="126"/>
      <c r="AZ157" s="127"/>
      <c r="BA157" s="127"/>
      <c r="BB157" s="127"/>
      <c r="BC157" s="126"/>
      <c r="BD157" s="1125">
        <f t="shared" si="64"/>
        <v>0</v>
      </c>
      <c r="BE157" s="456">
        <f t="shared" si="65"/>
        <v>0</v>
      </c>
      <c r="BF157" s="132"/>
      <c r="BG157" s="140">
        <f t="shared" si="66"/>
        <v>0</v>
      </c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30">
        <f t="shared" si="67"/>
        <v>0</v>
      </c>
      <c r="BV157" s="132"/>
    </row>
    <row r="158" ht="14.25" customHeight="1">
      <c r="A158" s="132"/>
      <c r="B158" s="512">
        <v>46159</v>
      </c>
      <c r="C158" s="133"/>
      <c r="D158" s="136"/>
      <c r="E158" s="135"/>
      <c r="F158" s="135"/>
      <c r="G158" s="147">
        <f t="shared" si="59"/>
        <v>0</v>
      </c>
      <c r="H158" s="768"/>
      <c r="I158" s="611"/>
      <c r="J158" s="611"/>
      <c r="K158" s="611"/>
      <c r="L158" s="611"/>
      <c r="M158" s="611"/>
      <c r="N158" s="143"/>
      <c r="O158" s="143"/>
      <c r="P158" s="143"/>
      <c r="Q158" s="143"/>
      <c r="R158" s="143"/>
      <c r="S158" s="143"/>
      <c r="T158" s="143"/>
      <c r="U158" s="143"/>
      <c r="V158" s="143"/>
      <c r="W158" s="103">
        <f t="shared" si="60"/>
        <v>0</v>
      </c>
      <c r="X158" s="611"/>
      <c r="Y158" s="611"/>
      <c r="Z158" s="611"/>
      <c r="AA158" s="611"/>
      <c r="AB158" s="611"/>
      <c r="AC158" s="143"/>
      <c r="AD158" s="143"/>
      <c r="AE158" s="143"/>
      <c r="AF158" s="143"/>
      <c r="AG158" s="143"/>
      <c r="AH158" s="143"/>
      <c r="AI158" s="143"/>
      <c r="AJ158" s="103">
        <f t="shared" si="61"/>
        <v>0</v>
      </c>
      <c r="AK158" s="136"/>
      <c r="AL158" s="136"/>
      <c r="AM158" s="136"/>
      <c r="AN158" s="105">
        <f t="shared" si="62"/>
        <v>0</v>
      </c>
      <c r="AO158" s="143"/>
      <c r="AP158" s="143"/>
      <c r="AQ158" s="143"/>
      <c r="AR158" s="146"/>
      <c r="AS158" s="224">
        <f t="shared" si="63"/>
        <v>0</v>
      </c>
      <c r="AT158" s="433"/>
      <c r="AU158" s="126"/>
      <c r="AV158" s="126"/>
      <c r="AW158" s="126"/>
      <c r="AX158" s="127"/>
      <c r="AY158" s="126"/>
      <c r="AZ158" s="127"/>
      <c r="BA158" s="127"/>
      <c r="BB158" s="127"/>
      <c r="BC158" s="126"/>
      <c r="BD158" s="1125">
        <f t="shared" si="64"/>
        <v>0</v>
      </c>
      <c r="BE158" s="456">
        <f t="shared" si="65"/>
        <v>0</v>
      </c>
      <c r="BF158" s="132"/>
      <c r="BG158" s="140">
        <f t="shared" si="66"/>
        <v>0</v>
      </c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30">
        <f t="shared" si="67"/>
        <v>0</v>
      </c>
      <c r="BV158" s="132"/>
    </row>
    <row r="159" ht="14.25" customHeight="1">
      <c r="A159" s="132"/>
      <c r="B159" s="512">
        <v>46160</v>
      </c>
      <c r="C159" s="133"/>
      <c r="D159" s="136"/>
      <c r="E159" s="135"/>
      <c r="F159" s="135"/>
      <c r="G159" s="147">
        <f t="shared" si="59"/>
        <v>0</v>
      </c>
      <c r="H159" s="768"/>
      <c r="I159" s="611"/>
      <c r="J159" s="611"/>
      <c r="K159" s="611"/>
      <c r="L159" s="611"/>
      <c r="M159" s="611"/>
      <c r="N159" s="143"/>
      <c r="O159" s="143"/>
      <c r="P159" s="143"/>
      <c r="Q159" s="143"/>
      <c r="R159" s="143"/>
      <c r="S159" s="143"/>
      <c r="T159" s="143"/>
      <c r="U159" s="143"/>
      <c r="V159" s="143"/>
      <c r="W159" s="103">
        <f t="shared" si="60"/>
        <v>0</v>
      </c>
      <c r="X159" s="611"/>
      <c r="Y159" s="611"/>
      <c r="Z159" s="611"/>
      <c r="AA159" s="611"/>
      <c r="AB159" s="611"/>
      <c r="AC159" s="143"/>
      <c r="AD159" s="143"/>
      <c r="AE159" s="143"/>
      <c r="AF159" s="143"/>
      <c r="AG159" s="143"/>
      <c r="AH159" s="143"/>
      <c r="AI159" s="143"/>
      <c r="AJ159" s="103">
        <f t="shared" si="61"/>
        <v>0</v>
      </c>
      <c r="AK159" s="136"/>
      <c r="AL159" s="136"/>
      <c r="AM159" s="136"/>
      <c r="AN159" s="105">
        <f t="shared" si="62"/>
        <v>0</v>
      </c>
      <c r="AO159" s="143"/>
      <c r="AP159" s="143"/>
      <c r="AQ159" s="143"/>
      <c r="AR159" s="146"/>
      <c r="AS159" s="224">
        <f t="shared" si="63"/>
        <v>0</v>
      </c>
      <c r="AT159" s="433"/>
      <c r="AU159" s="126"/>
      <c r="AV159" s="126"/>
      <c r="AW159" s="126"/>
      <c r="AX159" s="127"/>
      <c r="AY159" s="126"/>
      <c r="AZ159" s="127"/>
      <c r="BA159" s="127"/>
      <c r="BB159" s="127"/>
      <c r="BC159" s="126"/>
      <c r="BD159" s="1125">
        <f t="shared" si="64"/>
        <v>0</v>
      </c>
      <c r="BE159" s="456">
        <f t="shared" si="65"/>
        <v>0</v>
      </c>
      <c r="BF159" s="132"/>
      <c r="BG159" s="140">
        <f t="shared" si="66"/>
        <v>0</v>
      </c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30">
        <f t="shared" si="67"/>
        <v>0</v>
      </c>
      <c r="BV159" s="132"/>
    </row>
    <row r="160" ht="14.25" customHeight="1">
      <c r="A160" s="132"/>
      <c r="B160" s="512">
        <v>46161</v>
      </c>
      <c r="C160" s="133"/>
      <c r="D160" s="136"/>
      <c r="E160" s="135"/>
      <c r="F160" s="135"/>
      <c r="G160" s="147">
        <f t="shared" si="59"/>
        <v>0</v>
      </c>
      <c r="H160" s="768"/>
      <c r="I160" s="611"/>
      <c r="J160" s="611"/>
      <c r="K160" s="611"/>
      <c r="L160" s="611"/>
      <c r="M160" s="611"/>
      <c r="N160" s="143"/>
      <c r="O160" s="143"/>
      <c r="P160" s="143"/>
      <c r="Q160" s="143"/>
      <c r="R160" s="143"/>
      <c r="S160" s="143"/>
      <c r="T160" s="143"/>
      <c r="U160" s="143"/>
      <c r="V160" s="143"/>
      <c r="W160" s="103">
        <f t="shared" si="60"/>
        <v>0</v>
      </c>
      <c r="X160" s="611"/>
      <c r="Y160" s="611"/>
      <c r="Z160" s="611"/>
      <c r="AA160" s="611"/>
      <c r="AB160" s="611"/>
      <c r="AC160" s="143"/>
      <c r="AD160" s="143"/>
      <c r="AE160" s="143"/>
      <c r="AF160" s="143"/>
      <c r="AG160" s="143"/>
      <c r="AH160" s="143"/>
      <c r="AI160" s="143"/>
      <c r="AJ160" s="103">
        <f t="shared" si="61"/>
        <v>0</v>
      </c>
      <c r="AK160" s="136"/>
      <c r="AL160" s="136"/>
      <c r="AM160" s="136"/>
      <c r="AN160" s="105">
        <f t="shared" si="62"/>
        <v>0</v>
      </c>
      <c r="AO160" s="143"/>
      <c r="AP160" s="143"/>
      <c r="AQ160" s="143"/>
      <c r="AR160" s="146"/>
      <c r="AS160" s="224">
        <f t="shared" si="63"/>
        <v>0</v>
      </c>
      <c r="AT160" s="433"/>
      <c r="AU160" s="126"/>
      <c r="AV160" s="126"/>
      <c r="AW160" s="126"/>
      <c r="AX160" s="127"/>
      <c r="AY160" s="126"/>
      <c r="AZ160" s="127"/>
      <c r="BA160" s="127"/>
      <c r="BB160" s="127"/>
      <c r="BC160" s="126"/>
      <c r="BD160" s="1125">
        <f t="shared" si="64"/>
        <v>0</v>
      </c>
      <c r="BE160" s="456">
        <f t="shared" si="65"/>
        <v>0</v>
      </c>
      <c r="BF160" s="132"/>
      <c r="BG160" s="140">
        <f t="shared" si="66"/>
        <v>0</v>
      </c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30">
        <f t="shared" si="67"/>
        <v>0</v>
      </c>
      <c r="BV160" s="132"/>
    </row>
    <row r="161" ht="14.25" customHeight="1">
      <c r="A161" s="132"/>
      <c r="B161" s="512">
        <v>46162</v>
      </c>
      <c r="C161" s="133"/>
      <c r="D161" s="136"/>
      <c r="E161" s="135"/>
      <c r="F161" s="135"/>
      <c r="G161" s="147">
        <f t="shared" si="59"/>
        <v>0</v>
      </c>
      <c r="H161" s="768"/>
      <c r="I161" s="611"/>
      <c r="J161" s="611"/>
      <c r="K161" s="611"/>
      <c r="L161" s="611"/>
      <c r="M161" s="611"/>
      <c r="N161" s="143"/>
      <c r="O161" s="143"/>
      <c r="P161" s="143"/>
      <c r="Q161" s="143"/>
      <c r="R161" s="143"/>
      <c r="S161" s="143"/>
      <c r="T161" s="143"/>
      <c r="U161" s="143"/>
      <c r="V161" s="143"/>
      <c r="W161" s="103">
        <f t="shared" si="60"/>
        <v>0</v>
      </c>
      <c r="X161" s="611"/>
      <c r="Y161" s="611"/>
      <c r="Z161" s="611"/>
      <c r="AA161" s="611"/>
      <c r="AB161" s="611"/>
      <c r="AC161" s="143"/>
      <c r="AD161" s="143"/>
      <c r="AE161" s="143"/>
      <c r="AF161" s="143"/>
      <c r="AG161" s="143"/>
      <c r="AH161" s="143"/>
      <c r="AI161" s="143"/>
      <c r="AJ161" s="103">
        <f t="shared" si="61"/>
        <v>0</v>
      </c>
      <c r="AK161" s="136"/>
      <c r="AL161" s="136"/>
      <c r="AM161" s="136"/>
      <c r="AN161" s="105">
        <f t="shared" si="62"/>
        <v>0</v>
      </c>
      <c r="AO161" s="143"/>
      <c r="AP161" s="143"/>
      <c r="AQ161" s="143"/>
      <c r="AR161" s="146"/>
      <c r="AS161" s="224">
        <f t="shared" si="63"/>
        <v>0</v>
      </c>
      <c r="AT161" s="433"/>
      <c r="AU161" s="126"/>
      <c r="AV161" s="126"/>
      <c r="AW161" s="126"/>
      <c r="AX161" s="127"/>
      <c r="AY161" s="126"/>
      <c r="AZ161" s="127"/>
      <c r="BA161" s="127"/>
      <c r="BB161" s="127"/>
      <c r="BC161" s="126"/>
      <c r="BD161" s="1125">
        <f t="shared" si="64"/>
        <v>0</v>
      </c>
      <c r="BE161" s="456">
        <f t="shared" si="65"/>
        <v>0</v>
      </c>
      <c r="BF161" s="132"/>
      <c r="BG161" s="140">
        <f t="shared" si="66"/>
        <v>0</v>
      </c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30">
        <f t="shared" si="67"/>
        <v>0</v>
      </c>
      <c r="BV161" s="132"/>
    </row>
    <row r="162" ht="14.25" customHeight="1">
      <c r="A162" s="132"/>
      <c r="B162" s="512">
        <v>46163</v>
      </c>
      <c r="C162" s="133"/>
      <c r="D162" s="136"/>
      <c r="E162" s="135"/>
      <c r="F162" s="135"/>
      <c r="G162" s="147">
        <f t="shared" si="59"/>
        <v>0</v>
      </c>
      <c r="H162" s="768"/>
      <c r="I162" s="611"/>
      <c r="J162" s="611"/>
      <c r="K162" s="611"/>
      <c r="L162" s="611"/>
      <c r="M162" s="611"/>
      <c r="N162" s="143"/>
      <c r="O162" s="143"/>
      <c r="P162" s="143"/>
      <c r="Q162" s="143"/>
      <c r="R162" s="143"/>
      <c r="S162" s="143"/>
      <c r="T162" s="143"/>
      <c r="U162" s="143"/>
      <c r="V162" s="143"/>
      <c r="W162" s="103">
        <f t="shared" si="60"/>
        <v>0</v>
      </c>
      <c r="X162" s="611"/>
      <c r="Y162" s="611"/>
      <c r="Z162" s="611"/>
      <c r="AA162" s="611"/>
      <c r="AB162" s="611"/>
      <c r="AC162" s="143"/>
      <c r="AD162" s="143"/>
      <c r="AE162" s="143"/>
      <c r="AF162" s="143"/>
      <c r="AG162" s="143"/>
      <c r="AH162" s="143"/>
      <c r="AI162" s="143"/>
      <c r="AJ162" s="103">
        <f t="shared" si="61"/>
        <v>0</v>
      </c>
      <c r="AK162" s="136"/>
      <c r="AL162" s="136"/>
      <c r="AM162" s="136"/>
      <c r="AN162" s="105">
        <f t="shared" si="62"/>
        <v>0</v>
      </c>
      <c r="AO162" s="143"/>
      <c r="AP162" s="143"/>
      <c r="AQ162" s="143"/>
      <c r="AR162" s="146"/>
      <c r="AS162" s="224">
        <f t="shared" si="63"/>
        <v>0</v>
      </c>
      <c r="AT162" s="433"/>
      <c r="AU162" s="126"/>
      <c r="AV162" s="126"/>
      <c r="AW162" s="126"/>
      <c r="AX162" s="127"/>
      <c r="AY162" s="126"/>
      <c r="AZ162" s="127"/>
      <c r="BA162" s="127"/>
      <c r="BB162" s="127"/>
      <c r="BC162" s="126"/>
      <c r="BD162" s="1125">
        <f t="shared" si="64"/>
        <v>0</v>
      </c>
      <c r="BE162" s="456">
        <f t="shared" si="65"/>
        <v>0</v>
      </c>
      <c r="BF162" s="132"/>
      <c r="BG162" s="140">
        <f t="shared" si="66"/>
        <v>0</v>
      </c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30">
        <f t="shared" si="67"/>
        <v>0</v>
      </c>
      <c r="BV162" s="132"/>
    </row>
    <row r="163" ht="14.25" customHeight="1">
      <c r="A163" s="132"/>
      <c r="B163" s="512">
        <v>46164</v>
      </c>
      <c r="C163" s="133"/>
      <c r="D163" s="136"/>
      <c r="E163" s="135"/>
      <c r="F163" s="135"/>
      <c r="G163" s="147">
        <f t="shared" si="59"/>
        <v>0</v>
      </c>
      <c r="H163" s="768"/>
      <c r="I163" s="611"/>
      <c r="J163" s="611"/>
      <c r="K163" s="611"/>
      <c r="L163" s="611"/>
      <c r="M163" s="611"/>
      <c r="N163" s="143"/>
      <c r="O163" s="143"/>
      <c r="P163" s="143"/>
      <c r="Q163" s="143"/>
      <c r="R163" s="143"/>
      <c r="S163" s="143"/>
      <c r="T163" s="143"/>
      <c r="U163" s="143"/>
      <c r="V163" s="143"/>
      <c r="W163" s="103">
        <f t="shared" si="60"/>
        <v>0</v>
      </c>
      <c r="X163" s="611"/>
      <c r="Y163" s="611"/>
      <c r="Z163" s="611"/>
      <c r="AA163" s="611"/>
      <c r="AB163" s="611"/>
      <c r="AC163" s="143"/>
      <c r="AD163" s="143"/>
      <c r="AE163" s="143"/>
      <c r="AF163" s="143"/>
      <c r="AG163" s="143"/>
      <c r="AH163" s="143"/>
      <c r="AI163" s="143"/>
      <c r="AJ163" s="103">
        <f t="shared" si="61"/>
        <v>0</v>
      </c>
      <c r="AK163" s="136"/>
      <c r="AL163" s="136"/>
      <c r="AM163" s="136"/>
      <c r="AN163" s="105">
        <f t="shared" si="62"/>
        <v>0</v>
      </c>
      <c r="AO163" s="143"/>
      <c r="AP163" s="143"/>
      <c r="AQ163" s="143"/>
      <c r="AR163" s="146"/>
      <c r="AS163" s="224">
        <f t="shared" si="63"/>
        <v>0</v>
      </c>
      <c r="AT163" s="433"/>
      <c r="AU163" s="126"/>
      <c r="AV163" s="126"/>
      <c r="AW163" s="126"/>
      <c r="AX163" s="127"/>
      <c r="AY163" s="126"/>
      <c r="AZ163" s="127"/>
      <c r="BA163" s="127"/>
      <c r="BB163" s="127"/>
      <c r="BC163" s="126"/>
      <c r="BD163" s="1125">
        <f t="shared" si="64"/>
        <v>0</v>
      </c>
      <c r="BE163" s="456">
        <f t="shared" si="65"/>
        <v>0</v>
      </c>
      <c r="BF163" s="132"/>
      <c r="BG163" s="140">
        <f t="shared" si="66"/>
        <v>0</v>
      </c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30">
        <f t="shared" si="67"/>
        <v>0</v>
      </c>
      <c r="BV163" s="132"/>
    </row>
    <row r="164" ht="14.25" customHeight="1">
      <c r="A164" s="132"/>
      <c r="B164" s="512">
        <v>46165</v>
      </c>
      <c r="C164" s="133"/>
      <c r="D164" s="136"/>
      <c r="E164" s="135"/>
      <c r="F164" s="135"/>
      <c r="G164" s="147">
        <f t="shared" si="59"/>
        <v>0</v>
      </c>
      <c r="H164" s="768"/>
      <c r="I164" s="611"/>
      <c r="J164" s="611"/>
      <c r="K164" s="611"/>
      <c r="L164" s="611"/>
      <c r="M164" s="611"/>
      <c r="N164" s="143"/>
      <c r="O164" s="143"/>
      <c r="P164" s="143"/>
      <c r="Q164" s="143"/>
      <c r="R164" s="143"/>
      <c r="S164" s="143"/>
      <c r="T164" s="143"/>
      <c r="U164" s="143"/>
      <c r="V164" s="143"/>
      <c r="W164" s="103">
        <f t="shared" si="60"/>
        <v>0</v>
      </c>
      <c r="X164" s="611"/>
      <c r="Y164" s="611"/>
      <c r="Z164" s="611"/>
      <c r="AA164" s="611"/>
      <c r="AB164" s="611"/>
      <c r="AC164" s="143"/>
      <c r="AD164" s="143"/>
      <c r="AE164" s="143"/>
      <c r="AF164" s="143"/>
      <c r="AG164" s="143"/>
      <c r="AH164" s="143"/>
      <c r="AI164" s="143"/>
      <c r="AJ164" s="103">
        <f t="shared" si="61"/>
        <v>0</v>
      </c>
      <c r="AK164" s="136"/>
      <c r="AL164" s="136"/>
      <c r="AM164" s="136"/>
      <c r="AN164" s="105">
        <f t="shared" si="62"/>
        <v>0</v>
      </c>
      <c r="AO164" s="143"/>
      <c r="AP164" s="143"/>
      <c r="AQ164" s="143"/>
      <c r="AR164" s="146"/>
      <c r="AS164" s="224">
        <f t="shared" si="63"/>
        <v>0</v>
      </c>
      <c r="AT164" s="433"/>
      <c r="AU164" s="126"/>
      <c r="AV164" s="126"/>
      <c r="AW164" s="126"/>
      <c r="AX164" s="127"/>
      <c r="AY164" s="126"/>
      <c r="AZ164" s="127"/>
      <c r="BA164" s="127"/>
      <c r="BB164" s="127"/>
      <c r="BC164" s="126"/>
      <c r="BD164" s="1125">
        <f t="shared" si="64"/>
        <v>0</v>
      </c>
      <c r="BE164" s="456">
        <f t="shared" si="65"/>
        <v>0</v>
      </c>
      <c r="BF164" s="132"/>
      <c r="BG164" s="140">
        <f t="shared" si="66"/>
        <v>0</v>
      </c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30">
        <f t="shared" si="67"/>
        <v>0</v>
      </c>
      <c r="BV164" s="132"/>
    </row>
    <row r="165" ht="14.25" customHeight="1">
      <c r="A165" s="132"/>
      <c r="B165" s="512">
        <v>46166</v>
      </c>
      <c r="C165" s="133"/>
      <c r="D165" s="136"/>
      <c r="E165" s="135"/>
      <c r="F165" s="135"/>
      <c r="G165" s="147">
        <f t="shared" si="59"/>
        <v>0</v>
      </c>
      <c r="H165" s="768"/>
      <c r="I165" s="611"/>
      <c r="J165" s="611"/>
      <c r="K165" s="611"/>
      <c r="L165" s="611"/>
      <c r="M165" s="611"/>
      <c r="N165" s="143"/>
      <c r="O165" s="143"/>
      <c r="P165" s="143"/>
      <c r="Q165" s="143"/>
      <c r="R165" s="143"/>
      <c r="S165" s="143"/>
      <c r="T165" s="143"/>
      <c r="U165" s="143"/>
      <c r="V165" s="143"/>
      <c r="W165" s="103">
        <f t="shared" si="60"/>
        <v>0</v>
      </c>
      <c r="X165" s="611"/>
      <c r="Y165" s="611"/>
      <c r="Z165" s="611"/>
      <c r="AA165" s="611"/>
      <c r="AB165" s="611"/>
      <c r="AC165" s="143"/>
      <c r="AD165" s="143"/>
      <c r="AE165" s="143"/>
      <c r="AF165" s="143"/>
      <c r="AG165" s="143"/>
      <c r="AH165" s="143"/>
      <c r="AI165" s="143"/>
      <c r="AJ165" s="103">
        <f t="shared" si="61"/>
        <v>0</v>
      </c>
      <c r="AK165" s="136"/>
      <c r="AL165" s="136"/>
      <c r="AM165" s="136"/>
      <c r="AN165" s="105">
        <f t="shared" si="62"/>
        <v>0</v>
      </c>
      <c r="AO165" s="143"/>
      <c r="AP165" s="143"/>
      <c r="AQ165" s="143"/>
      <c r="AR165" s="146"/>
      <c r="AS165" s="224">
        <f t="shared" si="63"/>
        <v>0</v>
      </c>
      <c r="AT165" s="433"/>
      <c r="AU165" s="126"/>
      <c r="AV165" s="126"/>
      <c r="AW165" s="126"/>
      <c r="AX165" s="127"/>
      <c r="AY165" s="126"/>
      <c r="AZ165" s="127"/>
      <c r="BA165" s="127"/>
      <c r="BB165" s="127"/>
      <c r="BC165" s="126"/>
      <c r="BD165" s="1125">
        <f t="shared" si="64"/>
        <v>0</v>
      </c>
      <c r="BE165" s="456">
        <f t="shared" si="65"/>
        <v>0</v>
      </c>
      <c r="BF165" s="132"/>
      <c r="BG165" s="140">
        <f t="shared" si="66"/>
        <v>0</v>
      </c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30">
        <f t="shared" si="67"/>
        <v>0</v>
      </c>
      <c r="BV165" s="132"/>
    </row>
    <row r="166" ht="14.25" customHeight="1">
      <c r="A166" s="132"/>
      <c r="B166" s="512">
        <v>46167</v>
      </c>
      <c r="C166" s="133"/>
      <c r="D166" s="136"/>
      <c r="E166" s="135"/>
      <c r="F166" s="135"/>
      <c r="G166" s="147">
        <f t="shared" si="59"/>
        <v>0</v>
      </c>
      <c r="H166" s="768"/>
      <c r="I166" s="611"/>
      <c r="J166" s="611"/>
      <c r="K166" s="611"/>
      <c r="L166" s="611"/>
      <c r="M166" s="611"/>
      <c r="N166" s="143"/>
      <c r="O166" s="143"/>
      <c r="P166" s="143"/>
      <c r="Q166" s="143"/>
      <c r="R166" s="143"/>
      <c r="S166" s="143"/>
      <c r="T166" s="143"/>
      <c r="U166" s="143"/>
      <c r="V166" s="143"/>
      <c r="W166" s="103">
        <f t="shared" si="60"/>
        <v>0</v>
      </c>
      <c r="X166" s="611"/>
      <c r="Y166" s="611"/>
      <c r="Z166" s="611"/>
      <c r="AA166" s="611"/>
      <c r="AB166" s="611"/>
      <c r="AC166" s="143"/>
      <c r="AD166" s="143"/>
      <c r="AE166" s="143"/>
      <c r="AF166" s="143"/>
      <c r="AG166" s="143"/>
      <c r="AH166" s="143"/>
      <c r="AI166" s="143"/>
      <c r="AJ166" s="103">
        <f t="shared" si="61"/>
        <v>0</v>
      </c>
      <c r="AK166" s="136"/>
      <c r="AL166" s="136"/>
      <c r="AM166" s="136"/>
      <c r="AN166" s="105">
        <f t="shared" si="62"/>
        <v>0</v>
      </c>
      <c r="AO166" s="143"/>
      <c r="AP166" s="143"/>
      <c r="AQ166" s="143"/>
      <c r="AR166" s="146"/>
      <c r="AS166" s="224">
        <f t="shared" si="63"/>
        <v>0</v>
      </c>
      <c r="AT166" s="433"/>
      <c r="AU166" s="126"/>
      <c r="AV166" s="126"/>
      <c r="AW166" s="126"/>
      <c r="AX166" s="127"/>
      <c r="AY166" s="126"/>
      <c r="AZ166" s="127"/>
      <c r="BA166" s="127"/>
      <c r="BB166" s="127"/>
      <c r="BC166" s="126"/>
      <c r="BD166" s="1125">
        <f t="shared" si="64"/>
        <v>0</v>
      </c>
      <c r="BE166" s="456">
        <f t="shared" si="65"/>
        <v>0</v>
      </c>
      <c r="BF166" s="132"/>
      <c r="BG166" s="140">
        <f t="shared" si="66"/>
        <v>0</v>
      </c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30">
        <f t="shared" si="67"/>
        <v>0</v>
      </c>
      <c r="BV166" s="132"/>
    </row>
    <row r="167" ht="14.25" customHeight="1">
      <c r="A167" s="132"/>
      <c r="B167" s="512">
        <v>46168</v>
      </c>
      <c r="C167" s="133"/>
      <c r="D167" s="136"/>
      <c r="E167" s="135"/>
      <c r="F167" s="135"/>
      <c r="G167" s="147">
        <f t="shared" si="59"/>
        <v>0</v>
      </c>
      <c r="H167" s="768"/>
      <c r="I167" s="611"/>
      <c r="J167" s="611"/>
      <c r="K167" s="611"/>
      <c r="L167" s="611"/>
      <c r="M167" s="611"/>
      <c r="N167" s="143"/>
      <c r="O167" s="143"/>
      <c r="P167" s="143"/>
      <c r="Q167" s="143"/>
      <c r="R167" s="143"/>
      <c r="S167" s="143"/>
      <c r="T167" s="143"/>
      <c r="U167" s="143"/>
      <c r="V167" s="143"/>
      <c r="W167" s="103">
        <f t="shared" si="60"/>
        <v>0</v>
      </c>
      <c r="X167" s="611"/>
      <c r="Y167" s="611"/>
      <c r="Z167" s="611"/>
      <c r="AA167" s="611"/>
      <c r="AB167" s="611"/>
      <c r="AC167" s="143"/>
      <c r="AD167" s="143"/>
      <c r="AE167" s="143"/>
      <c r="AF167" s="143"/>
      <c r="AG167" s="143"/>
      <c r="AH167" s="143"/>
      <c r="AI167" s="143"/>
      <c r="AJ167" s="103">
        <f t="shared" si="61"/>
        <v>0</v>
      </c>
      <c r="AK167" s="136"/>
      <c r="AL167" s="136"/>
      <c r="AM167" s="136"/>
      <c r="AN167" s="105">
        <f t="shared" si="62"/>
        <v>0</v>
      </c>
      <c r="AO167" s="143"/>
      <c r="AP167" s="143"/>
      <c r="AQ167" s="143"/>
      <c r="AR167" s="146"/>
      <c r="AS167" s="224">
        <f t="shared" si="63"/>
        <v>0</v>
      </c>
      <c r="AT167" s="433"/>
      <c r="AU167" s="126"/>
      <c r="AV167" s="126"/>
      <c r="AW167" s="126"/>
      <c r="AX167" s="127"/>
      <c r="AY167" s="126"/>
      <c r="AZ167" s="127"/>
      <c r="BA167" s="127"/>
      <c r="BB167" s="127"/>
      <c r="BC167" s="126"/>
      <c r="BD167" s="1125">
        <f t="shared" si="64"/>
        <v>0</v>
      </c>
      <c r="BE167" s="456">
        <f t="shared" si="65"/>
        <v>0</v>
      </c>
      <c r="BF167" s="132"/>
      <c r="BG167" s="140">
        <f t="shared" si="66"/>
        <v>0</v>
      </c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30">
        <f t="shared" si="67"/>
        <v>0</v>
      </c>
      <c r="BV167" s="132"/>
    </row>
    <row r="168" ht="14.25" customHeight="1">
      <c r="A168" s="235"/>
      <c r="B168" s="512">
        <v>46169</v>
      </c>
      <c r="C168" s="820"/>
      <c r="D168" s="821"/>
      <c r="E168" s="822"/>
      <c r="F168" s="822"/>
      <c r="G168" s="147">
        <f t="shared" si="59"/>
        <v>0</v>
      </c>
      <c r="H168" s="1126"/>
      <c r="I168" s="826"/>
      <c r="J168" s="826"/>
      <c r="K168" s="826"/>
      <c r="L168" s="826"/>
      <c r="M168" s="826"/>
      <c r="N168" s="672"/>
      <c r="O168" s="672"/>
      <c r="P168" s="672"/>
      <c r="Q168" s="672"/>
      <c r="R168" s="672"/>
      <c r="S168" s="672"/>
      <c r="T168" s="672"/>
      <c r="U168" s="672"/>
      <c r="V168" s="672"/>
      <c r="W168" s="103">
        <f t="shared" si="60"/>
        <v>0</v>
      </c>
      <c r="X168" s="611"/>
      <c r="Y168" s="611"/>
      <c r="Z168" s="611"/>
      <c r="AA168" s="611"/>
      <c r="AB168" s="611"/>
      <c r="AC168" s="143"/>
      <c r="AD168" s="143"/>
      <c r="AE168" s="143"/>
      <c r="AF168" s="143"/>
      <c r="AG168" s="143"/>
      <c r="AH168" s="143"/>
      <c r="AI168" s="143"/>
      <c r="AJ168" s="103">
        <f t="shared" si="61"/>
        <v>0</v>
      </c>
      <c r="AK168" s="821"/>
      <c r="AL168" s="821"/>
      <c r="AM168" s="821"/>
      <c r="AN168" s="105">
        <f t="shared" si="62"/>
        <v>0</v>
      </c>
      <c r="AO168" s="143"/>
      <c r="AP168" s="143"/>
      <c r="AQ168" s="143"/>
      <c r="AR168" s="146"/>
      <c r="AS168" s="224">
        <f t="shared" si="63"/>
        <v>0</v>
      </c>
      <c r="AT168" s="433"/>
      <c r="AU168" s="126"/>
      <c r="AV168" s="126"/>
      <c r="AW168" s="126"/>
      <c r="AX168" s="127"/>
      <c r="AY168" s="126"/>
      <c r="AZ168" s="127"/>
      <c r="BA168" s="127"/>
      <c r="BB168" s="127"/>
      <c r="BC168" s="126"/>
      <c r="BD168" s="1125">
        <f t="shared" si="64"/>
        <v>0</v>
      </c>
      <c r="BE168" s="456">
        <f t="shared" si="65"/>
        <v>0</v>
      </c>
      <c r="BF168" s="235"/>
      <c r="BG168" s="140">
        <f t="shared" si="66"/>
        <v>0</v>
      </c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540"/>
      <c r="BT168" s="540"/>
      <c r="BU168" s="130">
        <f t="shared" si="67"/>
        <v>0</v>
      </c>
      <c r="BV168" s="235"/>
    </row>
    <row r="169" ht="14.25" customHeight="1">
      <c r="A169" s="235"/>
      <c r="B169" s="512">
        <v>46170</v>
      </c>
      <c r="C169" s="820"/>
      <c r="D169" s="821"/>
      <c r="E169" s="822"/>
      <c r="F169" s="822"/>
      <c r="G169" s="147">
        <f t="shared" si="59"/>
        <v>0</v>
      </c>
      <c r="H169" s="1126"/>
      <c r="I169" s="826"/>
      <c r="J169" s="826"/>
      <c r="K169" s="826"/>
      <c r="L169" s="826"/>
      <c r="M169" s="826"/>
      <c r="N169" s="672"/>
      <c r="O169" s="672"/>
      <c r="P169" s="672"/>
      <c r="Q169" s="672"/>
      <c r="R169" s="672"/>
      <c r="S169" s="672"/>
      <c r="T169" s="672"/>
      <c r="U169" s="672"/>
      <c r="V169" s="672"/>
      <c r="W169" s="103">
        <f t="shared" si="60"/>
        <v>0</v>
      </c>
      <c r="X169" s="611"/>
      <c r="Y169" s="611"/>
      <c r="Z169" s="611"/>
      <c r="AA169" s="611"/>
      <c r="AB169" s="611"/>
      <c r="AC169" s="143"/>
      <c r="AD169" s="143"/>
      <c r="AE169" s="143"/>
      <c r="AF169" s="143"/>
      <c r="AG169" s="143"/>
      <c r="AH169" s="143"/>
      <c r="AI169" s="143"/>
      <c r="AJ169" s="103">
        <f t="shared" si="61"/>
        <v>0</v>
      </c>
      <c r="AK169" s="821"/>
      <c r="AL169" s="821"/>
      <c r="AM169" s="821"/>
      <c r="AN169" s="105">
        <f t="shared" si="62"/>
        <v>0</v>
      </c>
      <c r="AO169" s="143"/>
      <c r="AP169" s="143"/>
      <c r="AQ169" s="143"/>
      <c r="AR169" s="146"/>
      <c r="AS169" s="224">
        <f t="shared" si="63"/>
        <v>0</v>
      </c>
      <c r="AT169" s="433"/>
      <c r="AU169" s="126"/>
      <c r="AV169" s="126"/>
      <c r="AW169" s="126"/>
      <c r="AX169" s="127"/>
      <c r="AY169" s="126"/>
      <c r="AZ169" s="127"/>
      <c r="BA169" s="127"/>
      <c r="BB169" s="127"/>
      <c r="BC169" s="126"/>
      <c r="BD169" s="1125">
        <f t="shared" si="64"/>
        <v>0</v>
      </c>
      <c r="BE169" s="456">
        <f t="shared" si="65"/>
        <v>0</v>
      </c>
      <c r="BF169" s="235"/>
      <c r="BG169" s="140">
        <f t="shared" si="66"/>
        <v>0</v>
      </c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540"/>
      <c r="BT169" s="540"/>
      <c r="BU169" s="130">
        <f t="shared" si="67"/>
        <v>0</v>
      </c>
      <c r="BV169" s="235"/>
    </row>
    <row r="170" ht="14.25" customHeight="1">
      <c r="A170" s="235"/>
      <c r="B170" s="512">
        <v>46171</v>
      </c>
      <c r="C170" s="820"/>
      <c r="D170" s="821"/>
      <c r="E170" s="822"/>
      <c r="F170" s="822"/>
      <c r="G170" s="147">
        <f t="shared" si="59"/>
        <v>0</v>
      </c>
      <c r="H170" s="1126"/>
      <c r="I170" s="826"/>
      <c r="J170" s="826"/>
      <c r="K170" s="826"/>
      <c r="L170" s="826"/>
      <c r="M170" s="826"/>
      <c r="N170" s="672"/>
      <c r="O170" s="672"/>
      <c r="P170" s="672"/>
      <c r="Q170" s="672"/>
      <c r="R170" s="672"/>
      <c r="S170" s="672"/>
      <c r="T170" s="672"/>
      <c r="U170" s="672"/>
      <c r="V170" s="672"/>
      <c r="W170" s="103">
        <f t="shared" si="60"/>
        <v>0</v>
      </c>
      <c r="X170" s="611"/>
      <c r="Y170" s="611"/>
      <c r="Z170" s="611"/>
      <c r="AA170" s="611"/>
      <c r="AB170" s="611"/>
      <c r="AC170" s="143"/>
      <c r="AD170" s="143"/>
      <c r="AE170" s="143"/>
      <c r="AF170" s="143"/>
      <c r="AG170" s="143"/>
      <c r="AH170" s="143"/>
      <c r="AI170" s="143"/>
      <c r="AJ170" s="103">
        <f t="shared" si="61"/>
        <v>0</v>
      </c>
      <c r="AK170" s="821"/>
      <c r="AL170" s="821"/>
      <c r="AM170" s="821"/>
      <c r="AN170" s="105">
        <f t="shared" si="62"/>
        <v>0</v>
      </c>
      <c r="AO170" s="143"/>
      <c r="AP170" s="143"/>
      <c r="AQ170" s="143"/>
      <c r="AR170" s="146"/>
      <c r="AS170" s="224">
        <f t="shared" si="63"/>
        <v>0</v>
      </c>
      <c r="AT170" s="433"/>
      <c r="AU170" s="126"/>
      <c r="AV170" s="126"/>
      <c r="AW170" s="126"/>
      <c r="AX170" s="127"/>
      <c r="AY170" s="126"/>
      <c r="AZ170" s="127"/>
      <c r="BA170" s="127"/>
      <c r="BB170" s="127"/>
      <c r="BC170" s="126"/>
      <c r="BD170" s="1125">
        <f t="shared" si="64"/>
        <v>0</v>
      </c>
      <c r="BE170" s="456">
        <f t="shared" si="65"/>
        <v>0</v>
      </c>
      <c r="BF170" s="235"/>
      <c r="BG170" s="140">
        <f t="shared" si="66"/>
        <v>0</v>
      </c>
      <c r="BH170" s="141"/>
      <c r="BI170" s="141"/>
      <c r="BJ170" s="141"/>
      <c r="BK170" s="141"/>
      <c r="BL170" s="141"/>
      <c r="BM170" s="141"/>
      <c r="BN170" s="141"/>
      <c r="BO170" s="141"/>
      <c r="BP170" s="141"/>
      <c r="BQ170" s="141"/>
      <c r="BR170" s="141"/>
      <c r="BS170" s="540"/>
      <c r="BT170" s="540"/>
      <c r="BU170" s="130">
        <f t="shared" si="67"/>
        <v>0</v>
      </c>
      <c r="BV170" s="235"/>
    </row>
    <row r="171" ht="14.25" customHeight="1">
      <c r="A171" s="235"/>
      <c r="B171" s="512">
        <v>46172</v>
      </c>
      <c r="C171" s="820"/>
      <c r="D171" s="821"/>
      <c r="E171" s="822"/>
      <c r="F171" s="822"/>
      <c r="G171" s="147">
        <f t="shared" si="59"/>
        <v>0</v>
      </c>
      <c r="H171" s="1126"/>
      <c r="I171" s="826"/>
      <c r="J171" s="826"/>
      <c r="K171" s="826"/>
      <c r="L171" s="826"/>
      <c r="M171" s="826"/>
      <c r="N171" s="672"/>
      <c r="O171" s="672"/>
      <c r="P171" s="672"/>
      <c r="Q171" s="672"/>
      <c r="R171" s="672"/>
      <c r="S171" s="672"/>
      <c r="T171" s="672"/>
      <c r="U171" s="672"/>
      <c r="V171" s="672"/>
      <c r="W171" s="103">
        <f t="shared" si="60"/>
        <v>0</v>
      </c>
      <c r="X171" s="611"/>
      <c r="Y171" s="611"/>
      <c r="Z171" s="768"/>
      <c r="AA171" s="611"/>
      <c r="AB171" s="611"/>
      <c r="AC171" s="143"/>
      <c r="AD171" s="143"/>
      <c r="AE171" s="143"/>
      <c r="AF171" s="143"/>
      <c r="AG171" s="143"/>
      <c r="AH171" s="143"/>
      <c r="AI171" s="143"/>
      <c r="AJ171" s="103">
        <f t="shared" si="61"/>
        <v>0</v>
      </c>
      <c r="AK171" s="821"/>
      <c r="AL171" s="821"/>
      <c r="AM171" s="821"/>
      <c r="AN171" s="105">
        <f t="shared" si="62"/>
        <v>0</v>
      </c>
      <c r="AO171" s="143"/>
      <c r="AP171" s="143"/>
      <c r="AQ171" s="143"/>
      <c r="AR171" s="146"/>
      <c r="AS171" s="224">
        <f t="shared" si="63"/>
        <v>0</v>
      </c>
      <c r="AT171" s="433"/>
      <c r="AU171" s="126"/>
      <c r="AV171" s="126"/>
      <c r="AW171" s="126"/>
      <c r="AX171" s="127"/>
      <c r="AY171" s="126"/>
      <c r="AZ171" s="127"/>
      <c r="BA171" s="127"/>
      <c r="BB171" s="127"/>
      <c r="BC171" s="126"/>
      <c r="BD171" s="1125">
        <f t="shared" si="64"/>
        <v>0</v>
      </c>
      <c r="BE171" s="456">
        <f t="shared" si="65"/>
        <v>0</v>
      </c>
      <c r="BF171" s="235"/>
      <c r="BG171" s="140">
        <f t="shared" si="66"/>
        <v>0</v>
      </c>
      <c r="BH171" s="141"/>
      <c r="BI171" s="141"/>
      <c r="BJ171" s="141"/>
      <c r="BK171" s="141"/>
      <c r="BL171" s="141"/>
      <c r="BM171" s="141"/>
      <c r="BN171" s="141"/>
      <c r="BO171" s="141"/>
      <c r="BP171" s="141"/>
      <c r="BQ171" s="141"/>
      <c r="BR171" s="141"/>
      <c r="BS171" s="540"/>
      <c r="BT171" s="540"/>
      <c r="BU171" s="130">
        <f t="shared" si="67"/>
        <v>0</v>
      </c>
      <c r="BV171" s="235"/>
    </row>
    <row r="172" ht="14.25" customHeight="1">
      <c r="A172" s="132"/>
      <c r="B172" s="512">
        <v>46173</v>
      </c>
      <c r="C172" s="153"/>
      <c r="D172" s="159"/>
      <c r="E172" s="156"/>
      <c r="F172" s="156"/>
      <c r="G172" s="147">
        <f t="shared" si="59"/>
        <v>0</v>
      </c>
      <c r="H172" s="788"/>
      <c r="I172" s="613"/>
      <c r="J172" s="613"/>
      <c r="K172" s="613"/>
      <c r="L172" s="613"/>
      <c r="M172" s="613"/>
      <c r="N172" s="157"/>
      <c r="O172" s="157"/>
      <c r="P172" s="157"/>
      <c r="Q172" s="157"/>
      <c r="R172" s="157"/>
      <c r="S172" s="157"/>
      <c r="T172" s="157"/>
      <c r="U172" s="157"/>
      <c r="V172" s="157"/>
      <c r="W172" s="103">
        <f t="shared" si="60"/>
        <v>0</v>
      </c>
      <c r="X172" s="613"/>
      <c r="Y172" s="613"/>
      <c r="Z172" s="788"/>
      <c r="AA172" s="613"/>
      <c r="AB172" s="613"/>
      <c r="AC172" s="157"/>
      <c r="AD172" s="157"/>
      <c r="AE172" s="157"/>
      <c r="AF172" s="157"/>
      <c r="AG172" s="157"/>
      <c r="AH172" s="157"/>
      <c r="AI172" s="157"/>
      <c r="AJ172" s="103">
        <f t="shared" si="61"/>
        <v>0</v>
      </c>
      <c r="AK172" s="159"/>
      <c r="AL172" s="159"/>
      <c r="AM172" s="159"/>
      <c r="AN172" s="105">
        <f t="shared" si="62"/>
        <v>0</v>
      </c>
      <c r="AO172" s="157"/>
      <c r="AP172" s="157"/>
      <c r="AQ172" s="157"/>
      <c r="AR172" s="160"/>
      <c r="AS172" s="224">
        <f t="shared" si="63"/>
        <v>0</v>
      </c>
      <c r="AT172" s="435"/>
      <c r="AU172" s="138"/>
      <c r="AV172" s="138"/>
      <c r="AW172" s="138"/>
      <c r="AX172" s="127"/>
      <c r="AY172" s="138"/>
      <c r="AZ172" s="127"/>
      <c r="BA172" s="127"/>
      <c r="BB172" s="127"/>
      <c r="BC172" s="138"/>
      <c r="BD172" s="1125">
        <f t="shared" si="64"/>
        <v>0</v>
      </c>
      <c r="BE172" s="501">
        <f t="shared" si="65"/>
        <v>0</v>
      </c>
      <c r="BF172" s="132"/>
      <c r="BG172" s="162">
        <f t="shared" si="66"/>
        <v>0</v>
      </c>
      <c r="BH172" s="163"/>
      <c r="BI172" s="163"/>
      <c r="BJ172" s="163"/>
      <c r="BK172" s="163"/>
      <c r="BL172" s="163"/>
      <c r="BM172" s="163"/>
      <c r="BN172" s="163"/>
      <c r="BO172" s="163"/>
      <c r="BP172" s="163"/>
      <c r="BQ172" s="141"/>
      <c r="BR172" s="141"/>
      <c r="BS172" s="141"/>
      <c r="BT172" s="163"/>
      <c r="BU172" s="130">
        <f t="shared" si="67"/>
        <v>0</v>
      </c>
      <c r="BV172" s="132"/>
    </row>
    <row r="173" ht="14.25" customHeight="1">
      <c r="A173" s="3"/>
      <c r="B173" s="2" t="s">
        <v>79</v>
      </c>
      <c r="C173" s="166">
        <f ref="C173:G173" t="shared" si="68">SUM(C142:C172)</f>
        <v>0</v>
      </c>
      <c r="D173" s="166">
        <f t="shared" si="68"/>
        <v>0</v>
      </c>
      <c r="E173" s="166">
        <f t="shared" si="68"/>
        <v>0</v>
      </c>
      <c r="F173" s="166">
        <f t="shared" si="68"/>
        <v>0</v>
      </c>
      <c r="G173" s="166">
        <f t="shared" si="68"/>
        <v>0</v>
      </c>
      <c r="H173" s="166"/>
      <c r="I173" s="166"/>
      <c r="J173" s="166"/>
      <c r="K173" s="166"/>
      <c r="L173" s="166"/>
      <c r="M173" s="166"/>
      <c r="N173" s="166">
        <f>SUM(N142:N172)</f>
        <v>0</v>
      </c>
      <c r="O173" s="166"/>
      <c r="P173" s="166"/>
      <c r="Q173" s="166"/>
      <c r="R173" s="166"/>
      <c r="S173" s="166"/>
      <c r="T173" s="166"/>
      <c r="U173" s="166">
        <f ref="U173:W173" t="shared" si="69">SUM(U142:U172)</f>
        <v>0</v>
      </c>
      <c r="V173" s="166">
        <f t="shared" si="69"/>
        <v>0</v>
      </c>
      <c r="W173" s="166">
        <f t="shared" si="69"/>
        <v>0</v>
      </c>
      <c r="X173" s="617"/>
      <c r="Y173" s="617"/>
      <c r="Z173" s="617"/>
      <c r="AA173" s="617"/>
      <c r="AB173" s="617"/>
      <c r="AC173" s="166">
        <f ref="AC173:AY173" t="shared" si="70">SUM(AC142:AC172)</f>
        <v>0</v>
      </c>
      <c r="AD173" s="166">
        <f t="shared" si="70"/>
        <v>0</v>
      </c>
      <c r="AE173" s="166">
        <f t="shared" si="70"/>
        <v>0</v>
      </c>
      <c r="AF173" s="166">
        <f t="shared" si="70"/>
        <v>0</v>
      </c>
      <c r="AG173" s="166">
        <f t="shared" si="70"/>
        <v>0</v>
      </c>
      <c r="AH173" s="166">
        <f t="shared" si="70"/>
        <v>0</v>
      </c>
      <c r="AI173" s="166">
        <f t="shared" si="70"/>
        <v>0</v>
      </c>
      <c r="AJ173" s="166">
        <f t="shared" si="70"/>
        <v>0</v>
      </c>
      <c r="AK173" s="166">
        <f t="shared" si="70"/>
        <v>0</v>
      </c>
      <c r="AL173" s="166">
        <f t="shared" si="70"/>
        <v>0</v>
      </c>
      <c r="AM173" s="166">
        <f t="shared" si="70"/>
        <v>0</v>
      </c>
      <c r="AN173" s="166">
        <f t="shared" si="70"/>
        <v>0</v>
      </c>
      <c r="AO173" s="166">
        <f t="shared" si="70"/>
        <v>0</v>
      </c>
      <c r="AP173" s="166">
        <f t="shared" si="70"/>
        <v>0</v>
      </c>
      <c r="AQ173" s="166">
        <f t="shared" si="70"/>
        <v>0</v>
      </c>
      <c r="AR173" s="166">
        <f t="shared" si="70"/>
        <v>0</v>
      </c>
      <c r="AS173" s="166">
        <f t="shared" si="70"/>
        <v>0</v>
      </c>
      <c r="AT173" s="165">
        <f t="shared" si="70"/>
        <v>0</v>
      </c>
      <c r="AU173" s="165">
        <f t="shared" si="70"/>
        <v>0</v>
      </c>
      <c r="AV173" s="165">
        <f t="shared" si="70"/>
        <v>0</v>
      </c>
      <c r="AW173" s="165">
        <f t="shared" si="70"/>
        <v>0</v>
      </c>
      <c r="AX173" s="165">
        <f t="shared" si="70"/>
        <v>0</v>
      </c>
      <c r="AY173" s="165">
        <f t="shared" si="70"/>
        <v>0</v>
      </c>
      <c r="AZ173" s="165"/>
      <c r="BA173" s="165"/>
      <c r="BB173" s="165"/>
      <c r="BC173" s="165"/>
      <c r="BD173" s="166">
        <f ref="BD173:BE173" t="shared" si="71">SUM(BD142:BD172)</f>
        <v>0</v>
      </c>
      <c r="BE173" s="617">
        <f t="shared" si="71"/>
        <v>0</v>
      </c>
      <c r="BF173" s="132"/>
      <c r="BG173" s="166">
        <f ref="BG173:BP173" t="shared" si="72">SUM(BG142:BG172)</f>
        <v>0</v>
      </c>
      <c r="BH173" s="166">
        <f t="shared" si="72"/>
        <v>0</v>
      </c>
      <c r="BI173" s="166">
        <f t="shared" si="72"/>
        <v>0</v>
      </c>
      <c r="BJ173" s="166">
        <f t="shared" si="72"/>
        <v>0</v>
      </c>
      <c r="BK173" s="166">
        <f t="shared" si="72"/>
        <v>0</v>
      </c>
      <c r="BL173" s="166">
        <f t="shared" si="72"/>
        <v>0</v>
      </c>
      <c r="BM173" s="166">
        <f t="shared" si="72"/>
        <v>0</v>
      </c>
      <c r="BN173" s="166">
        <f t="shared" si="72"/>
        <v>0</v>
      </c>
      <c r="BO173" s="166">
        <f t="shared" si="72"/>
        <v>0</v>
      </c>
      <c r="BP173" s="166">
        <f t="shared" si="72"/>
        <v>0</v>
      </c>
      <c r="BQ173" s="166"/>
      <c r="BR173" s="166"/>
      <c r="BS173" s="166"/>
      <c r="BT173" s="166"/>
      <c r="BU173" s="166">
        <f>SUM(BU142:BU172)</f>
        <v>0</v>
      </c>
      <c r="BV173" s="132"/>
    </row>
    <row r="174" ht="14.25" customHeight="1">
      <c r="A174" s="1"/>
      <c r="B174" s="2"/>
      <c r="C174" s="3"/>
      <c r="D174" s="3"/>
      <c r="E174" s="3"/>
      <c r="F174" s="3"/>
      <c r="G174" s="4"/>
      <c r="H174" s="1"/>
      <c r="I174" s="1"/>
      <c r="J174" s="1"/>
      <c r="K174" s="1"/>
      <c r="L174" s="1"/>
      <c r="M174" s="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1"/>
      <c r="Y174" s="1"/>
      <c r="Z174" s="1"/>
      <c r="AA174" s="1"/>
      <c r="AB174" s="1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4"/>
      <c r="AO174" s="3"/>
      <c r="AP174" s="3"/>
      <c r="AQ174" s="3"/>
      <c r="AR174" s="3"/>
      <c r="AS174" s="4"/>
      <c r="AT174" s="636"/>
      <c r="AU174" s="132"/>
      <c r="AV174" s="132"/>
      <c r="AW174" s="3"/>
      <c r="AX174" s="3"/>
      <c r="AY174" s="132"/>
      <c r="AZ174" s="132"/>
      <c r="BA174" s="132"/>
      <c r="BB174" s="132"/>
      <c r="BC174" s="132"/>
      <c r="BD174" s="4"/>
      <c r="BE174" s="1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</row>
    <row r="175" ht="14.25" customHeight="1">
      <c r="A175" s="1"/>
      <c r="B175" s="2"/>
      <c r="C175" s="3"/>
      <c r="D175" s="3"/>
      <c r="E175" s="3"/>
      <c r="F175" s="3"/>
      <c r="G175" s="4"/>
      <c r="H175" s="1"/>
      <c r="I175" s="1"/>
      <c r="J175" s="1"/>
      <c r="K175" s="1"/>
      <c r="L175" s="1"/>
      <c r="M175" s="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1"/>
      <c r="Y175" s="1"/>
      <c r="Z175" s="1"/>
      <c r="AA175" s="1"/>
      <c r="AB175" s="1"/>
      <c r="AC175" s="3"/>
      <c r="AD175" s="3"/>
      <c r="AE175" s="3"/>
      <c r="AF175" s="3"/>
      <c r="AG175" s="3"/>
      <c r="AH175" s="3"/>
      <c r="AI175" s="3"/>
      <c r="AJ175" s="176"/>
      <c r="AK175" s="3"/>
      <c r="AL175" s="3"/>
      <c r="AM175" s="3"/>
      <c r="AN175" s="4"/>
      <c r="AO175" s="3"/>
      <c r="AP175" s="3"/>
      <c r="AQ175" s="3"/>
      <c r="AR175" s="3"/>
      <c r="AS175" s="4"/>
      <c r="AT175" s="1127"/>
      <c r="AU175" s="4"/>
      <c r="AV175" s="4"/>
      <c r="AW175" s="4"/>
      <c r="AX175" s="4"/>
      <c r="AY175" s="173"/>
      <c r="AZ175" s="4"/>
      <c r="BA175" s="4"/>
      <c r="BB175" s="4"/>
      <c r="BC175" s="132"/>
      <c r="BD175" s="4"/>
      <c r="BE175" s="1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</row>
    <row r="176" ht="14.25" customHeight="1">
      <c r="A176" s="3"/>
      <c r="B176" s="215">
        <v>46174</v>
      </c>
      <c r="C176" s="94"/>
      <c r="D176" s="104"/>
      <c r="E176" s="97"/>
      <c r="F176" s="97"/>
      <c r="G176" s="216">
        <f ref="G176:G205" t="shared" si="73">+C176+D176+E176+F176</f>
        <v>0</v>
      </c>
      <c r="H176" s="778"/>
      <c r="I176" s="619"/>
      <c r="J176" s="619"/>
      <c r="K176" s="619"/>
      <c r="L176" s="619"/>
      <c r="M176" s="619"/>
      <c r="N176" s="186"/>
      <c r="O176" s="186"/>
      <c r="P176" s="186"/>
      <c r="Q176" s="186"/>
      <c r="R176" s="186"/>
      <c r="S176" s="186"/>
      <c r="T176" s="186"/>
      <c r="U176" s="186"/>
      <c r="V176" s="186"/>
      <c r="W176" s="103">
        <f ref="W176:W205" t="shared" si="74">SUM(H176:V176)</f>
        <v>0</v>
      </c>
      <c r="X176" s="619"/>
      <c r="Y176" s="619"/>
      <c r="Z176" s="619"/>
      <c r="AA176" s="619"/>
      <c r="AB176" s="619"/>
      <c r="AC176" s="186"/>
      <c r="AD176" s="186"/>
      <c r="AE176" s="186"/>
      <c r="AF176" s="186"/>
      <c r="AG176" s="186"/>
      <c r="AH176" s="186"/>
      <c r="AI176" s="186"/>
      <c r="AJ176" s="103">
        <f ref="AJ176:AJ205" t="shared" si="75">SUM(X176:AI176)</f>
        <v>0</v>
      </c>
      <c r="AK176" s="104"/>
      <c r="AL176" s="104"/>
      <c r="AM176" s="104"/>
      <c r="AN176" s="191">
        <f ref="AN176:AN205" t="shared" si="76">SUM(AK176:AM176)</f>
        <v>0</v>
      </c>
      <c r="AO176" s="186"/>
      <c r="AP176" s="186"/>
      <c r="AQ176" s="186"/>
      <c r="AR176" s="193"/>
      <c r="AS176" s="266">
        <f ref="AS176:AS205" t="shared" si="77">+G176-W176-AJ176-AN176-AO176-AP176-AQ176-AR176</f>
        <v>0</v>
      </c>
      <c r="AT176" s="427"/>
      <c r="AU176" s="270"/>
      <c r="AV176" s="109"/>
      <c r="AW176" s="109"/>
      <c r="AX176" s="127"/>
      <c r="AY176" s="109"/>
      <c r="AZ176" s="127"/>
      <c r="BA176" s="127"/>
      <c r="BB176" s="127"/>
      <c r="BC176" s="109"/>
      <c r="BD176" s="272">
        <f ref="BD176:BD205" t="shared" si="78">SUM(AT176:BC176)-BB176</f>
        <v>0</v>
      </c>
      <c r="BE176" s="1051">
        <f ref="BE176:BE205" t="shared" si="79">+AS176-BD176</f>
        <v>0</v>
      </c>
      <c r="BF176" s="3"/>
      <c r="BG176" s="114">
        <f ref="BG176:BG205" t="shared" si="80">SUM(BH176:BT176)</f>
        <v>0</v>
      </c>
      <c r="BH176" s="220"/>
      <c r="BI176" s="220"/>
      <c r="BJ176" s="220"/>
      <c r="BK176" s="220"/>
      <c r="BL176" s="220"/>
      <c r="BM176" s="220"/>
      <c r="BN176" s="220"/>
      <c r="BO176" s="220"/>
      <c r="BP176" s="220"/>
      <c r="BQ176" s="220"/>
      <c r="BR176" s="220"/>
      <c r="BS176" s="220"/>
      <c r="BT176" s="220"/>
      <c r="BU176" s="116">
        <f ref="BU176:BU205" t="shared" si="81">+BE176-BG176</f>
        <v>0</v>
      </c>
      <c r="BV176" s="3"/>
    </row>
    <row r="177" ht="14.25" customHeight="1">
      <c r="A177" s="3"/>
      <c r="B177" s="215">
        <v>46175</v>
      </c>
      <c r="C177" s="118"/>
      <c r="D177" s="123"/>
      <c r="E177" s="120"/>
      <c r="F177" s="120"/>
      <c r="G177" s="147">
        <f t="shared" si="73"/>
        <v>0</v>
      </c>
      <c r="H177" s="768"/>
      <c r="I177" s="611"/>
      <c r="J177" s="611"/>
      <c r="K177" s="611"/>
      <c r="L177" s="611"/>
      <c r="M177" s="611"/>
      <c r="N177" s="143"/>
      <c r="O177" s="143"/>
      <c r="P177" s="143"/>
      <c r="Q177" s="143"/>
      <c r="R177" s="143"/>
      <c r="S177" s="143"/>
      <c r="T177" s="143"/>
      <c r="U177" s="143"/>
      <c r="V177" s="143"/>
      <c r="W177" s="103">
        <f t="shared" si="74"/>
        <v>0</v>
      </c>
      <c r="X177" s="611"/>
      <c r="Y177" s="611"/>
      <c r="Z177" s="611"/>
      <c r="AA177" s="611"/>
      <c r="AB177" s="611"/>
      <c r="AC177" s="143"/>
      <c r="AD177" s="143"/>
      <c r="AE177" s="143"/>
      <c r="AF177" s="143"/>
      <c r="AG177" s="143"/>
      <c r="AH177" s="143"/>
      <c r="AI177" s="143"/>
      <c r="AJ177" s="103">
        <f t="shared" si="75"/>
        <v>0</v>
      </c>
      <c r="AK177" s="123"/>
      <c r="AL177" s="123"/>
      <c r="AM177" s="123"/>
      <c r="AN177" s="105">
        <f t="shared" si="76"/>
        <v>0</v>
      </c>
      <c r="AO177" s="143"/>
      <c r="AP177" s="143"/>
      <c r="AQ177" s="143"/>
      <c r="AR177" s="146"/>
      <c r="AS177" s="224">
        <f t="shared" si="77"/>
        <v>0</v>
      </c>
      <c r="AT177" s="433"/>
      <c r="AU177" s="275"/>
      <c r="AV177" s="126"/>
      <c r="AW177" s="1128"/>
      <c r="AX177" s="127"/>
      <c r="AY177" s="126"/>
      <c r="AZ177" s="127"/>
      <c r="BA177" s="127"/>
      <c r="BB177" s="127"/>
      <c r="BC177" s="126"/>
      <c r="BD177" s="222">
        <f t="shared" si="78"/>
        <v>0</v>
      </c>
      <c r="BE177" s="1055">
        <f t="shared" si="79"/>
        <v>0</v>
      </c>
      <c r="BF177" s="3"/>
      <c r="BG177" s="113">
        <f t="shared" si="80"/>
        <v>0</v>
      </c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225"/>
      <c r="BR177" s="225"/>
      <c r="BS177" s="225"/>
      <c r="BT177" s="225"/>
      <c r="BU177" s="130">
        <f t="shared" si="81"/>
        <v>0</v>
      </c>
      <c r="BV177" s="3"/>
    </row>
    <row r="178" ht="14.25" customHeight="1">
      <c r="A178" s="132"/>
      <c r="B178" s="215">
        <v>46176</v>
      </c>
      <c r="C178" s="133"/>
      <c r="D178" s="136"/>
      <c r="E178" s="135"/>
      <c r="F178" s="135"/>
      <c r="G178" s="147">
        <f t="shared" si="73"/>
        <v>0</v>
      </c>
      <c r="H178" s="768"/>
      <c r="I178" s="611"/>
      <c r="J178" s="611"/>
      <c r="K178" s="611"/>
      <c r="L178" s="611"/>
      <c r="M178" s="611"/>
      <c r="N178" s="143"/>
      <c r="O178" s="143"/>
      <c r="P178" s="143"/>
      <c r="Q178" s="143"/>
      <c r="R178" s="143"/>
      <c r="S178" s="143"/>
      <c r="T178" s="143"/>
      <c r="U178" s="143"/>
      <c r="V178" s="143"/>
      <c r="W178" s="103">
        <f t="shared" si="74"/>
        <v>0</v>
      </c>
      <c r="X178" s="611"/>
      <c r="Y178" s="611"/>
      <c r="Z178" s="611"/>
      <c r="AA178" s="611"/>
      <c r="AB178" s="611"/>
      <c r="AC178" s="143"/>
      <c r="AD178" s="143"/>
      <c r="AE178" s="143"/>
      <c r="AF178" s="143"/>
      <c r="AG178" s="143"/>
      <c r="AH178" s="143"/>
      <c r="AI178" s="143"/>
      <c r="AJ178" s="103">
        <f t="shared" si="75"/>
        <v>0</v>
      </c>
      <c r="AK178" s="136"/>
      <c r="AL178" s="136"/>
      <c r="AM178" s="136"/>
      <c r="AN178" s="105">
        <f t="shared" si="76"/>
        <v>0</v>
      </c>
      <c r="AO178" s="143"/>
      <c r="AP178" s="143"/>
      <c r="AQ178" s="143"/>
      <c r="AR178" s="146"/>
      <c r="AS178" s="224">
        <f t="shared" si="77"/>
        <v>0</v>
      </c>
      <c r="AT178" s="433"/>
      <c r="AU178" s="275"/>
      <c r="AV178" s="1129"/>
      <c r="AW178" s="126"/>
      <c r="AX178" s="127"/>
      <c r="AY178" s="126"/>
      <c r="AZ178" s="127"/>
      <c r="BA178" s="127"/>
      <c r="BB178" s="127"/>
      <c r="BC178" s="126"/>
      <c r="BD178" s="222">
        <f t="shared" si="78"/>
        <v>0</v>
      </c>
      <c r="BE178" s="456">
        <f t="shared" si="79"/>
        <v>0</v>
      </c>
      <c r="BF178" s="132"/>
      <c r="BG178" s="140">
        <f t="shared" si="80"/>
        <v>0</v>
      </c>
      <c r="BH178" s="126"/>
      <c r="BI178" s="126"/>
      <c r="BJ178" s="126"/>
      <c r="BK178" s="126"/>
      <c r="BL178" s="126"/>
      <c r="BM178" s="126"/>
      <c r="BN178" s="126"/>
      <c r="BO178" s="126"/>
      <c r="BP178" s="126"/>
      <c r="BQ178" s="126"/>
      <c r="BR178" s="126"/>
      <c r="BS178" s="126"/>
      <c r="BT178" s="126"/>
      <c r="BU178" s="130">
        <f t="shared" si="81"/>
        <v>0</v>
      </c>
      <c r="BV178" s="132"/>
    </row>
    <row r="179" ht="14.25" customHeight="1">
      <c r="A179" s="132"/>
      <c r="B179" s="215">
        <v>46177</v>
      </c>
      <c r="C179" s="133"/>
      <c r="D179" s="136"/>
      <c r="E179" s="135"/>
      <c r="F179" s="135"/>
      <c r="G179" s="147">
        <f t="shared" si="73"/>
        <v>0</v>
      </c>
      <c r="H179" s="768"/>
      <c r="I179" s="611"/>
      <c r="J179" s="611"/>
      <c r="K179" s="611"/>
      <c r="L179" s="611"/>
      <c r="M179" s="611"/>
      <c r="N179" s="143"/>
      <c r="O179" s="143"/>
      <c r="P179" s="143"/>
      <c r="Q179" s="143"/>
      <c r="R179" s="143"/>
      <c r="S179" s="143"/>
      <c r="T179" s="143"/>
      <c r="U179" s="143"/>
      <c r="V179" s="143"/>
      <c r="W179" s="103">
        <f t="shared" si="74"/>
        <v>0</v>
      </c>
      <c r="X179" s="611"/>
      <c r="Y179" s="611"/>
      <c r="Z179" s="611"/>
      <c r="AA179" s="611"/>
      <c r="AB179" s="611"/>
      <c r="AC179" s="143"/>
      <c r="AD179" s="143"/>
      <c r="AE179" s="143"/>
      <c r="AF179" s="143"/>
      <c r="AG179" s="143"/>
      <c r="AH179" s="143"/>
      <c r="AI179" s="143"/>
      <c r="AJ179" s="300">
        <f t="shared" si="75"/>
        <v>0</v>
      </c>
      <c r="AK179" s="1130"/>
      <c r="AL179" s="1130"/>
      <c r="AM179" s="1130"/>
      <c r="AN179" s="105">
        <f t="shared" si="76"/>
        <v>0</v>
      </c>
      <c r="AO179" s="1131"/>
      <c r="AP179" s="144"/>
      <c r="AQ179" s="143"/>
      <c r="AR179" s="146"/>
      <c r="AS179" s="224">
        <f t="shared" si="77"/>
        <v>0</v>
      </c>
      <c r="AT179" s="433"/>
      <c r="AU179" s="275"/>
      <c r="AV179" s="126"/>
      <c r="AW179" s="126"/>
      <c r="AX179" s="127"/>
      <c r="AY179" s="126"/>
      <c r="AZ179" s="127"/>
      <c r="BA179" s="127"/>
      <c r="BB179" s="127"/>
      <c r="BC179" s="126"/>
      <c r="BD179" s="222">
        <f t="shared" si="78"/>
        <v>0</v>
      </c>
      <c r="BE179" s="456">
        <f t="shared" si="79"/>
        <v>0</v>
      </c>
      <c r="BF179" s="132"/>
      <c r="BG179" s="140">
        <f t="shared" si="80"/>
        <v>0</v>
      </c>
      <c r="BH179" s="126"/>
      <c r="BI179" s="126"/>
      <c r="BJ179" s="126"/>
      <c r="BK179" s="126"/>
      <c r="BL179" s="126"/>
      <c r="BM179" s="126"/>
      <c r="BN179" s="126"/>
      <c r="BO179" s="126"/>
      <c r="BP179" s="126"/>
      <c r="BQ179" s="126"/>
      <c r="BR179" s="126"/>
      <c r="BS179" s="126"/>
      <c r="BT179" s="126"/>
      <c r="BU179" s="130">
        <f t="shared" si="81"/>
        <v>0</v>
      </c>
      <c r="BV179" s="132"/>
    </row>
    <row r="180" ht="14.25" customHeight="1">
      <c r="A180" s="132"/>
      <c r="B180" s="215">
        <v>46178</v>
      </c>
      <c r="C180" s="133"/>
      <c r="D180" s="136"/>
      <c r="E180" s="135"/>
      <c r="F180" s="135"/>
      <c r="G180" s="147">
        <f t="shared" si="73"/>
        <v>0</v>
      </c>
      <c r="H180" s="768"/>
      <c r="I180" s="611"/>
      <c r="J180" s="611"/>
      <c r="K180" s="611"/>
      <c r="L180" s="611"/>
      <c r="M180" s="611"/>
      <c r="N180" s="143"/>
      <c r="O180" s="143"/>
      <c r="P180" s="143"/>
      <c r="Q180" s="143"/>
      <c r="R180" s="143"/>
      <c r="S180" s="143"/>
      <c r="T180" s="143"/>
      <c r="U180" s="143"/>
      <c r="V180" s="143"/>
      <c r="W180" s="103">
        <f t="shared" si="74"/>
        <v>0</v>
      </c>
      <c r="X180" s="611"/>
      <c r="Y180" s="611"/>
      <c r="Z180" s="611"/>
      <c r="AA180" s="611"/>
      <c r="AB180" s="611"/>
      <c r="AC180" s="143"/>
      <c r="AD180" s="143"/>
      <c r="AE180" s="143"/>
      <c r="AF180" s="143"/>
      <c r="AG180" s="143"/>
      <c r="AH180" s="143"/>
      <c r="AI180" s="143"/>
      <c r="AJ180" s="103">
        <f t="shared" si="75"/>
        <v>0</v>
      </c>
      <c r="AK180" s="136"/>
      <c r="AL180" s="136"/>
      <c r="AM180" s="136"/>
      <c r="AN180" s="105">
        <f t="shared" si="76"/>
        <v>0</v>
      </c>
      <c r="AO180" s="143"/>
      <c r="AP180" s="143"/>
      <c r="AQ180" s="143"/>
      <c r="AR180" s="146"/>
      <c r="AS180" s="224">
        <f t="shared" si="77"/>
        <v>0</v>
      </c>
      <c r="AT180" s="433"/>
      <c r="AU180" s="275"/>
      <c r="AV180" s="126"/>
      <c r="AW180" s="126"/>
      <c r="AX180" s="127"/>
      <c r="AY180" s="126"/>
      <c r="AZ180" s="127"/>
      <c r="BA180" s="127"/>
      <c r="BB180" s="127"/>
      <c r="BC180" s="126"/>
      <c r="BD180" s="222">
        <f t="shared" si="78"/>
        <v>0</v>
      </c>
      <c r="BE180" s="456">
        <f t="shared" si="79"/>
        <v>0</v>
      </c>
      <c r="BF180" s="132"/>
      <c r="BG180" s="140">
        <f t="shared" si="80"/>
        <v>0</v>
      </c>
      <c r="BH180" s="126"/>
      <c r="BI180" s="126"/>
      <c r="BJ180" s="126"/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30">
        <f t="shared" si="81"/>
        <v>0</v>
      </c>
      <c r="BV180" s="132"/>
    </row>
    <row r="181" ht="14.25" customHeight="1">
      <c r="A181" s="132"/>
      <c r="B181" s="215">
        <v>46179</v>
      </c>
      <c r="C181" s="133"/>
      <c r="D181" s="136"/>
      <c r="E181" s="135"/>
      <c r="F181" s="135"/>
      <c r="G181" s="147">
        <f t="shared" si="73"/>
        <v>0</v>
      </c>
      <c r="H181" s="768"/>
      <c r="I181" s="611"/>
      <c r="J181" s="611"/>
      <c r="K181" s="611"/>
      <c r="L181" s="611"/>
      <c r="M181" s="611"/>
      <c r="N181" s="143"/>
      <c r="O181" s="143"/>
      <c r="P181" s="143"/>
      <c r="Q181" s="143"/>
      <c r="R181" s="143"/>
      <c r="S181" s="143"/>
      <c r="T181" s="143"/>
      <c r="U181" s="143"/>
      <c r="V181" s="143"/>
      <c r="W181" s="103">
        <f t="shared" si="74"/>
        <v>0</v>
      </c>
      <c r="X181" s="611"/>
      <c r="Y181" s="611"/>
      <c r="Z181" s="611"/>
      <c r="AA181" s="611"/>
      <c r="AB181" s="611"/>
      <c r="AC181" s="143"/>
      <c r="AD181" s="143"/>
      <c r="AE181" s="143"/>
      <c r="AF181" s="143"/>
      <c r="AG181" s="143"/>
      <c r="AH181" s="143"/>
      <c r="AI181" s="143"/>
      <c r="AJ181" s="103">
        <f t="shared" si="75"/>
        <v>0</v>
      </c>
      <c r="AK181" s="136"/>
      <c r="AL181" s="136"/>
      <c r="AM181" s="136"/>
      <c r="AN181" s="105">
        <f t="shared" si="76"/>
        <v>0</v>
      </c>
      <c r="AO181" s="143"/>
      <c r="AP181" s="143"/>
      <c r="AQ181" s="143"/>
      <c r="AR181" s="146"/>
      <c r="AS181" s="224">
        <f t="shared" si="77"/>
        <v>0</v>
      </c>
      <c r="AT181" s="433"/>
      <c r="AU181" s="275"/>
      <c r="AV181" s="126"/>
      <c r="AW181" s="126"/>
      <c r="AX181" s="127"/>
      <c r="AY181" s="126"/>
      <c r="AZ181" s="127"/>
      <c r="BA181" s="127"/>
      <c r="BB181" s="127"/>
      <c r="BC181" s="126"/>
      <c r="BD181" s="222">
        <f t="shared" si="78"/>
        <v>0</v>
      </c>
      <c r="BE181" s="456">
        <f t="shared" si="79"/>
        <v>0</v>
      </c>
      <c r="BF181" s="132"/>
      <c r="BG181" s="140">
        <f t="shared" si="80"/>
        <v>0</v>
      </c>
      <c r="BH181" s="126"/>
      <c r="BI181" s="126"/>
      <c r="BJ181" s="126"/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30">
        <f t="shared" si="81"/>
        <v>0</v>
      </c>
      <c r="BV181" s="132"/>
    </row>
    <row r="182" ht="14.25" customHeight="1">
      <c r="A182" s="132"/>
      <c r="B182" s="215">
        <v>46180</v>
      </c>
      <c r="C182" s="133"/>
      <c r="D182" s="136"/>
      <c r="E182" s="135"/>
      <c r="F182" s="135"/>
      <c r="G182" s="147">
        <f t="shared" si="73"/>
        <v>0</v>
      </c>
      <c r="H182" s="768"/>
      <c r="I182" s="611"/>
      <c r="J182" s="611"/>
      <c r="K182" s="611"/>
      <c r="L182" s="611"/>
      <c r="M182" s="611"/>
      <c r="N182" s="143"/>
      <c r="O182" s="143"/>
      <c r="P182" s="143"/>
      <c r="Q182" s="143"/>
      <c r="R182" s="143"/>
      <c r="S182" s="143"/>
      <c r="T182" s="143"/>
      <c r="U182" s="143"/>
      <c r="V182" s="143"/>
      <c r="W182" s="103">
        <f t="shared" si="74"/>
        <v>0</v>
      </c>
      <c r="X182" s="611"/>
      <c r="Y182" s="611"/>
      <c r="Z182" s="768"/>
      <c r="AA182" s="611"/>
      <c r="AB182" s="611"/>
      <c r="AC182" s="143"/>
      <c r="AD182" s="143"/>
      <c r="AE182" s="143"/>
      <c r="AF182" s="143"/>
      <c r="AG182" s="143"/>
      <c r="AH182" s="143"/>
      <c r="AI182" s="143"/>
      <c r="AJ182" s="103">
        <f t="shared" si="75"/>
        <v>0</v>
      </c>
      <c r="AK182" s="136"/>
      <c r="AL182" s="136"/>
      <c r="AM182" s="136"/>
      <c r="AN182" s="105">
        <f t="shared" si="76"/>
        <v>0</v>
      </c>
      <c r="AO182" s="143"/>
      <c r="AP182" s="143"/>
      <c r="AQ182" s="143"/>
      <c r="AR182" s="146"/>
      <c r="AS182" s="224">
        <f t="shared" si="77"/>
        <v>0</v>
      </c>
      <c r="AT182" s="433"/>
      <c r="AU182" s="275"/>
      <c r="AV182" s="126"/>
      <c r="AW182" s="126"/>
      <c r="AX182" s="127"/>
      <c r="AY182" s="126"/>
      <c r="AZ182" s="127"/>
      <c r="BA182" s="127"/>
      <c r="BB182" s="127"/>
      <c r="BC182" s="126"/>
      <c r="BD182" s="222">
        <f t="shared" si="78"/>
        <v>0</v>
      </c>
      <c r="BE182" s="456">
        <f t="shared" si="79"/>
        <v>0</v>
      </c>
      <c r="BF182" s="132"/>
      <c r="BG182" s="140">
        <f t="shared" si="80"/>
        <v>0</v>
      </c>
      <c r="BH182" s="126"/>
      <c r="BI182" s="126"/>
      <c r="BJ182" s="126"/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130">
        <f t="shared" si="81"/>
        <v>0</v>
      </c>
      <c r="BV182" s="132"/>
    </row>
    <row r="183" ht="14.25" customHeight="1">
      <c r="A183" s="132"/>
      <c r="B183" s="215">
        <v>46181</v>
      </c>
      <c r="C183" s="133"/>
      <c r="D183" s="136"/>
      <c r="E183" s="135"/>
      <c r="F183" s="135"/>
      <c r="G183" s="147">
        <f t="shared" si="73"/>
        <v>0</v>
      </c>
      <c r="H183" s="768"/>
      <c r="I183" s="611"/>
      <c r="J183" s="611"/>
      <c r="K183" s="611"/>
      <c r="L183" s="611"/>
      <c r="M183" s="611"/>
      <c r="N183" s="143"/>
      <c r="O183" s="143"/>
      <c r="P183" s="143"/>
      <c r="Q183" s="143"/>
      <c r="R183" s="143"/>
      <c r="S183" s="143"/>
      <c r="T183" s="143"/>
      <c r="U183" s="143"/>
      <c r="V183" s="143"/>
      <c r="W183" s="103">
        <f t="shared" si="74"/>
        <v>0</v>
      </c>
      <c r="X183" s="611"/>
      <c r="Y183" s="611"/>
      <c r="Z183" s="395"/>
      <c r="AA183" s="611"/>
      <c r="AB183" s="611"/>
      <c r="AC183" s="143"/>
      <c r="AD183" s="143"/>
      <c r="AE183" s="143"/>
      <c r="AF183" s="143"/>
      <c r="AG183" s="143"/>
      <c r="AH183" s="143"/>
      <c r="AI183" s="143"/>
      <c r="AJ183" s="103">
        <f t="shared" si="75"/>
        <v>0</v>
      </c>
      <c r="AK183" s="136"/>
      <c r="AL183" s="136"/>
      <c r="AM183" s="136"/>
      <c r="AN183" s="105">
        <f t="shared" si="76"/>
        <v>0</v>
      </c>
      <c r="AO183" s="143"/>
      <c r="AP183" s="143"/>
      <c r="AQ183" s="143"/>
      <c r="AR183" s="146"/>
      <c r="AS183" s="224">
        <f t="shared" si="77"/>
        <v>0</v>
      </c>
      <c r="AT183" s="433"/>
      <c r="AU183" s="275"/>
      <c r="AV183" s="126"/>
      <c r="AW183" s="126"/>
      <c r="AX183" s="127"/>
      <c r="AY183" s="126"/>
      <c r="AZ183" s="127"/>
      <c r="BA183" s="127"/>
      <c r="BB183" s="127"/>
      <c r="BC183" s="126"/>
      <c r="BD183" s="222">
        <f t="shared" si="78"/>
        <v>0</v>
      </c>
      <c r="BE183" s="456">
        <f t="shared" si="79"/>
        <v>0</v>
      </c>
      <c r="BF183" s="132"/>
      <c r="BG183" s="140">
        <f t="shared" si="80"/>
        <v>0</v>
      </c>
      <c r="BH183" s="126"/>
      <c r="BI183" s="126"/>
      <c r="BJ183" s="126"/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30">
        <f t="shared" si="81"/>
        <v>0</v>
      </c>
      <c r="BV183" s="132"/>
    </row>
    <row r="184" ht="14.25" customHeight="1">
      <c r="A184" s="132"/>
      <c r="B184" s="215">
        <v>46182</v>
      </c>
      <c r="C184" s="133"/>
      <c r="D184" s="136"/>
      <c r="E184" s="135"/>
      <c r="F184" s="135"/>
      <c r="G184" s="147">
        <f t="shared" si="73"/>
        <v>0</v>
      </c>
      <c r="H184" s="768"/>
      <c r="I184" s="611"/>
      <c r="J184" s="611"/>
      <c r="K184" s="611"/>
      <c r="L184" s="611"/>
      <c r="M184" s="611"/>
      <c r="N184" s="143"/>
      <c r="O184" s="143"/>
      <c r="P184" s="143"/>
      <c r="Q184" s="143"/>
      <c r="R184" s="143"/>
      <c r="S184" s="143"/>
      <c r="T184" s="143"/>
      <c r="U184" s="143"/>
      <c r="V184" s="143"/>
      <c r="W184" s="103">
        <f t="shared" si="74"/>
        <v>0</v>
      </c>
      <c r="X184" s="611"/>
      <c r="Y184" s="611"/>
      <c r="Z184" s="611"/>
      <c r="AA184" s="611"/>
      <c r="AB184" s="611"/>
      <c r="AC184" s="143"/>
      <c r="AD184" s="143"/>
      <c r="AE184" s="143"/>
      <c r="AF184" s="143"/>
      <c r="AG184" s="143"/>
      <c r="AH184" s="143"/>
      <c r="AI184" s="143"/>
      <c r="AJ184" s="103">
        <f t="shared" si="75"/>
        <v>0</v>
      </c>
      <c r="AK184" s="136"/>
      <c r="AL184" s="136"/>
      <c r="AM184" s="136"/>
      <c r="AN184" s="105">
        <f t="shared" si="76"/>
        <v>0</v>
      </c>
      <c r="AO184" s="143"/>
      <c r="AP184" s="143"/>
      <c r="AQ184" s="143"/>
      <c r="AR184" s="146"/>
      <c r="AS184" s="224">
        <f t="shared" si="77"/>
        <v>0</v>
      </c>
      <c r="AT184" s="433"/>
      <c r="AU184" s="275"/>
      <c r="AV184" s="126"/>
      <c r="AW184" s="126"/>
      <c r="AX184" s="127"/>
      <c r="AY184" s="126"/>
      <c r="AZ184" s="127"/>
      <c r="BA184" s="127"/>
      <c r="BB184" s="127"/>
      <c r="BC184" s="126"/>
      <c r="BD184" s="222">
        <f t="shared" si="78"/>
        <v>0</v>
      </c>
      <c r="BE184" s="456">
        <f t="shared" si="79"/>
        <v>0</v>
      </c>
      <c r="BF184" s="132"/>
      <c r="BG184" s="140">
        <f t="shared" si="80"/>
        <v>0</v>
      </c>
      <c r="BH184" s="126"/>
      <c r="BI184" s="126"/>
      <c r="BJ184" s="126"/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30">
        <f t="shared" si="81"/>
        <v>0</v>
      </c>
      <c r="BV184" s="132"/>
    </row>
    <row r="185" ht="14.25" customHeight="1">
      <c r="A185" s="132"/>
      <c r="B185" s="215">
        <v>46183</v>
      </c>
      <c r="C185" s="133"/>
      <c r="D185" s="136"/>
      <c r="E185" s="135"/>
      <c r="F185" s="135"/>
      <c r="G185" s="147">
        <f t="shared" si="73"/>
        <v>0</v>
      </c>
      <c r="H185" s="768"/>
      <c r="I185" s="611"/>
      <c r="J185" s="611"/>
      <c r="K185" s="611"/>
      <c r="L185" s="611"/>
      <c r="M185" s="611"/>
      <c r="N185" s="143"/>
      <c r="O185" s="143"/>
      <c r="P185" s="143"/>
      <c r="Q185" s="143"/>
      <c r="R185" s="143"/>
      <c r="S185" s="143"/>
      <c r="T185" s="143"/>
      <c r="U185" s="143"/>
      <c r="V185" s="143"/>
      <c r="W185" s="103">
        <f t="shared" si="74"/>
        <v>0</v>
      </c>
      <c r="X185" s="611"/>
      <c r="Y185" s="611"/>
      <c r="Z185" s="611"/>
      <c r="AA185" s="611"/>
      <c r="AB185" s="611"/>
      <c r="AC185" s="143"/>
      <c r="AD185" s="143"/>
      <c r="AE185" s="143"/>
      <c r="AF185" s="143"/>
      <c r="AG185" s="143"/>
      <c r="AH185" s="143"/>
      <c r="AI185" s="143"/>
      <c r="AJ185" s="103">
        <f t="shared" si="75"/>
        <v>0</v>
      </c>
      <c r="AK185" s="136"/>
      <c r="AL185" s="136"/>
      <c r="AM185" s="136"/>
      <c r="AN185" s="105">
        <f t="shared" si="76"/>
        <v>0</v>
      </c>
      <c r="AO185" s="143"/>
      <c r="AP185" s="143"/>
      <c r="AQ185" s="143"/>
      <c r="AR185" s="146"/>
      <c r="AS185" s="224">
        <f t="shared" si="77"/>
        <v>0</v>
      </c>
      <c r="AT185" s="433"/>
      <c r="AU185" s="275"/>
      <c r="AV185" s="126"/>
      <c r="AW185" s="126"/>
      <c r="AX185" s="127"/>
      <c r="AY185" s="126"/>
      <c r="AZ185" s="127"/>
      <c r="BA185" s="127"/>
      <c r="BB185" s="127"/>
      <c r="BC185" s="126"/>
      <c r="BD185" s="222">
        <f t="shared" si="78"/>
        <v>0</v>
      </c>
      <c r="BE185" s="456">
        <f t="shared" si="79"/>
        <v>0</v>
      </c>
      <c r="BF185" s="132"/>
      <c r="BG185" s="140">
        <f t="shared" si="80"/>
        <v>0</v>
      </c>
      <c r="BH185" s="126"/>
      <c r="BI185" s="126"/>
      <c r="BJ185" s="126"/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130">
        <f t="shared" si="81"/>
        <v>0</v>
      </c>
      <c r="BV185" s="132"/>
    </row>
    <row r="186" ht="14.25" customHeight="1">
      <c r="A186" s="132"/>
      <c r="B186" s="215">
        <v>46184</v>
      </c>
      <c r="C186" s="133"/>
      <c r="D186" s="136"/>
      <c r="E186" s="135"/>
      <c r="F186" s="135"/>
      <c r="G186" s="147">
        <f t="shared" si="73"/>
        <v>0</v>
      </c>
      <c r="H186" s="554"/>
      <c r="I186" s="611"/>
      <c r="J186" s="611"/>
      <c r="K186" s="611"/>
      <c r="L186" s="611"/>
      <c r="M186" s="611"/>
      <c r="N186" s="143"/>
      <c r="O186" s="143"/>
      <c r="P186" s="143"/>
      <c r="Q186" s="143"/>
      <c r="R186" s="143"/>
      <c r="S186" s="143"/>
      <c r="T186" s="143"/>
      <c r="U186" s="143"/>
      <c r="V186" s="143"/>
      <c r="W186" s="103">
        <f t="shared" si="74"/>
        <v>0</v>
      </c>
      <c r="X186" s="611"/>
      <c r="Y186" s="611"/>
      <c r="Z186" s="554"/>
      <c r="AA186" s="611"/>
      <c r="AB186" s="611"/>
      <c r="AC186" s="143"/>
      <c r="AD186" s="143"/>
      <c r="AE186" s="143"/>
      <c r="AF186" s="143"/>
      <c r="AG186" s="143"/>
      <c r="AH186" s="143"/>
      <c r="AI186" s="143"/>
      <c r="AJ186" s="103">
        <f t="shared" si="75"/>
        <v>0</v>
      </c>
      <c r="AK186" s="136"/>
      <c r="AL186" s="136"/>
      <c r="AM186" s="136"/>
      <c r="AN186" s="105">
        <f t="shared" si="76"/>
        <v>0</v>
      </c>
      <c r="AO186" s="143"/>
      <c r="AP186" s="143"/>
      <c r="AQ186" s="143"/>
      <c r="AR186" s="146"/>
      <c r="AS186" s="224">
        <f t="shared" si="77"/>
        <v>0</v>
      </c>
      <c r="AT186" s="433"/>
      <c r="AU186" s="275"/>
      <c r="AV186" s="126"/>
      <c r="AW186" s="126"/>
      <c r="AX186" s="127"/>
      <c r="AY186" s="126"/>
      <c r="AZ186" s="127"/>
      <c r="BA186" s="127"/>
      <c r="BB186" s="127"/>
      <c r="BC186" s="126"/>
      <c r="BD186" s="222">
        <f t="shared" si="78"/>
        <v>0</v>
      </c>
      <c r="BE186" s="456">
        <f t="shared" si="79"/>
        <v>0</v>
      </c>
      <c r="BF186" s="132"/>
      <c r="BG186" s="140">
        <f t="shared" si="80"/>
        <v>0</v>
      </c>
      <c r="BH186" s="126"/>
      <c r="BI186" s="126"/>
      <c r="BJ186" s="126"/>
      <c r="BK186" s="126"/>
      <c r="BL186" s="126"/>
      <c r="BM186" s="126"/>
      <c r="BN186" s="126"/>
      <c r="BO186" s="126"/>
      <c r="BP186" s="126"/>
      <c r="BQ186" s="126"/>
      <c r="BR186" s="126"/>
      <c r="BS186" s="126"/>
      <c r="BT186" s="126"/>
      <c r="BU186" s="130">
        <f t="shared" si="81"/>
        <v>0</v>
      </c>
      <c r="BV186" s="132"/>
    </row>
    <row r="187" ht="14.25" customHeight="1">
      <c r="A187" s="132"/>
      <c r="B187" s="215">
        <v>46185</v>
      </c>
      <c r="C187" s="133"/>
      <c r="D187" s="136"/>
      <c r="E187" s="135"/>
      <c r="F187" s="135"/>
      <c r="G187" s="147">
        <f t="shared" si="73"/>
        <v>0</v>
      </c>
      <c r="H187" s="768"/>
      <c r="I187" s="611"/>
      <c r="J187" s="611"/>
      <c r="K187" s="611"/>
      <c r="L187" s="611"/>
      <c r="M187" s="611"/>
      <c r="N187" s="143"/>
      <c r="O187" s="143"/>
      <c r="P187" s="143"/>
      <c r="Q187" s="143"/>
      <c r="R187" s="143"/>
      <c r="S187" s="143"/>
      <c r="T187" s="143"/>
      <c r="U187" s="143"/>
      <c r="V187" s="143"/>
      <c r="W187" s="103">
        <f t="shared" si="74"/>
        <v>0</v>
      </c>
      <c r="X187" s="611"/>
      <c r="Y187" s="611"/>
      <c r="Z187" s="611"/>
      <c r="AA187" s="611"/>
      <c r="AB187" s="611"/>
      <c r="AC187" s="143"/>
      <c r="AD187" s="143"/>
      <c r="AE187" s="143"/>
      <c r="AF187" s="143"/>
      <c r="AG187" s="143"/>
      <c r="AH187" s="143"/>
      <c r="AI187" s="143"/>
      <c r="AJ187" s="103">
        <f t="shared" si="75"/>
        <v>0</v>
      </c>
      <c r="AK187" s="136"/>
      <c r="AL187" s="136"/>
      <c r="AM187" s="136"/>
      <c r="AN187" s="105">
        <f t="shared" si="76"/>
        <v>0</v>
      </c>
      <c r="AO187" s="143"/>
      <c r="AP187" s="143"/>
      <c r="AQ187" s="143"/>
      <c r="AR187" s="146"/>
      <c r="AS187" s="224">
        <f t="shared" si="77"/>
        <v>0</v>
      </c>
      <c r="AT187" s="433"/>
      <c r="AU187" s="275"/>
      <c r="AV187" s="126"/>
      <c r="AW187" s="126"/>
      <c r="AX187" s="127"/>
      <c r="AY187" s="126"/>
      <c r="AZ187" s="127"/>
      <c r="BA187" s="127"/>
      <c r="BB187" s="127"/>
      <c r="BC187" s="126"/>
      <c r="BD187" s="222">
        <f t="shared" si="78"/>
        <v>0</v>
      </c>
      <c r="BE187" s="456">
        <f t="shared" si="79"/>
        <v>0</v>
      </c>
      <c r="BF187" s="132"/>
      <c r="BG187" s="140">
        <f t="shared" si="80"/>
        <v>0</v>
      </c>
      <c r="BH187" s="126"/>
      <c r="BI187" s="126"/>
      <c r="BJ187" s="126"/>
      <c r="BK187" s="126"/>
      <c r="BL187" s="126"/>
      <c r="BM187" s="126"/>
      <c r="BN187" s="126"/>
      <c r="BO187" s="126"/>
      <c r="BP187" s="126"/>
      <c r="BQ187" s="126"/>
      <c r="BR187" s="126"/>
      <c r="BS187" s="126"/>
      <c r="BT187" s="126"/>
      <c r="BU187" s="130">
        <f t="shared" si="81"/>
        <v>0</v>
      </c>
      <c r="BV187" s="132"/>
    </row>
    <row r="188" ht="14.25" customHeight="1">
      <c r="A188" s="132"/>
      <c r="B188" s="215">
        <v>46186</v>
      </c>
      <c r="C188" s="133"/>
      <c r="D188" s="136"/>
      <c r="E188" s="135"/>
      <c r="F188" s="135"/>
      <c r="G188" s="147">
        <f t="shared" si="73"/>
        <v>0</v>
      </c>
      <c r="H188" s="768"/>
      <c r="I188" s="611"/>
      <c r="J188" s="611"/>
      <c r="K188" s="611"/>
      <c r="L188" s="611"/>
      <c r="M188" s="611"/>
      <c r="N188" s="143"/>
      <c r="O188" s="143"/>
      <c r="P188" s="143"/>
      <c r="Q188" s="143"/>
      <c r="R188" s="143"/>
      <c r="S188" s="143"/>
      <c r="T188" s="143"/>
      <c r="U188" s="143"/>
      <c r="V188" s="143"/>
      <c r="W188" s="103">
        <f t="shared" si="74"/>
        <v>0</v>
      </c>
      <c r="X188" s="611"/>
      <c r="Y188" s="611"/>
      <c r="Z188" s="611"/>
      <c r="AA188" s="611"/>
      <c r="AB188" s="611"/>
      <c r="AC188" s="143"/>
      <c r="AD188" s="143"/>
      <c r="AE188" s="143"/>
      <c r="AF188" s="143"/>
      <c r="AG188" s="143"/>
      <c r="AH188" s="143"/>
      <c r="AI188" s="143"/>
      <c r="AJ188" s="103">
        <f t="shared" si="75"/>
        <v>0</v>
      </c>
      <c r="AK188" s="136"/>
      <c r="AL188" s="136"/>
      <c r="AM188" s="136"/>
      <c r="AN188" s="105">
        <f t="shared" si="76"/>
        <v>0</v>
      </c>
      <c r="AO188" s="143"/>
      <c r="AP188" s="143"/>
      <c r="AQ188" s="143"/>
      <c r="AR188" s="146"/>
      <c r="AS188" s="224">
        <f t="shared" si="77"/>
        <v>0</v>
      </c>
      <c r="AT188" s="433"/>
      <c r="AU188" s="275"/>
      <c r="AV188" s="126"/>
      <c r="AW188" s="126"/>
      <c r="AX188" s="127"/>
      <c r="AY188" s="126"/>
      <c r="AZ188" s="127"/>
      <c r="BA188" s="127"/>
      <c r="BB188" s="127"/>
      <c r="BC188" s="126"/>
      <c r="BD188" s="222">
        <f t="shared" si="78"/>
        <v>0</v>
      </c>
      <c r="BE188" s="456">
        <f t="shared" si="79"/>
        <v>0</v>
      </c>
      <c r="BF188" s="132"/>
      <c r="BG188" s="140">
        <f t="shared" si="80"/>
        <v>0</v>
      </c>
      <c r="BH188" s="126"/>
      <c r="BI188" s="126"/>
      <c r="BJ188" s="126"/>
      <c r="BK188" s="126"/>
      <c r="BL188" s="126"/>
      <c r="BM188" s="126"/>
      <c r="BN188" s="126"/>
      <c r="BO188" s="126"/>
      <c r="BP188" s="126"/>
      <c r="BQ188" s="126"/>
      <c r="BR188" s="126"/>
      <c r="BS188" s="126"/>
      <c r="BT188" s="126"/>
      <c r="BU188" s="130">
        <f t="shared" si="81"/>
        <v>0</v>
      </c>
      <c r="BV188" s="132"/>
    </row>
    <row r="189" ht="14.25" customHeight="1">
      <c r="A189" s="3"/>
      <c r="B189" s="215">
        <v>46187</v>
      </c>
      <c r="C189" s="118"/>
      <c r="D189" s="123"/>
      <c r="E189" s="120"/>
      <c r="F189" s="120"/>
      <c r="G189" s="147">
        <f t="shared" si="73"/>
        <v>0</v>
      </c>
      <c r="H189" s="768"/>
      <c r="I189" s="611"/>
      <c r="J189" s="611"/>
      <c r="K189" s="611"/>
      <c r="L189" s="611"/>
      <c r="M189" s="611"/>
      <c r="N189" s="143"/>
      <c r="O189" s="143"/>
      <c r="P189" s="143"/>
      <c r="Q189" s="143"/>
      <c r="R189" s="143"/>
      <c r="S189" s="143"/>
      <c r="T189" s="143"/>
      <c r="U189" s="143"/>
      <c r="V189" s="143"/>
      <c r="W189" s="103">
        <f t="shared" si="74"/>
        <v>0</v>
      </c>
      <c r="X189" s="611"/>
      <c r="Y189" s="611"/>
      <c r="Z189" s="379"/>
      <c r="AA189" s="611"/>
      <c r="AB189" s="611"/>
      <c r="AC189" s="143"/>
      <c r="AD189" s="143"/>
      <c r="AE189" s="143"/>
      <c r="AF189" s="143"/>
      <c r="AG189" s="143"/>
      <c r="AH189" s="143"/>
      <c r="AI189" s="143"/>
      <c r="AJ189" s="103">
        <f t="shared" si="75"/>
        <v>0</v>
      </c>
      <c r="AK189" s="123"/>
      <c r="AL189" s="123"/>
      <c r="AM189" s="123"/>
      <c r="AN189" s="105">
        <f t="shared" si="76"/>
        <v>0</v>
      </c>
      <c r="AO189" s="143"/>
      <c r="AP189" s="143"/>
      <c r="AQ189" s="143"/>
      <c r="AR189" s="146"/>
      <c r="AS189" s="224">
        <f t="shared" si="77"/>
        <v>0</v>
      </c>
      <c r="AT189" s="433"/>
      <c r="AU189" s="275"/>
      <c r="AV189" s="126"/>
      <c r="AW189" s="126"/>
      <c r="AX189" s="127"/>
      <c r="AY189" s="126"/>
      <c r="AZ189" s="127"/>
      <c r="BA189" s="127"/>
      <c r="BB189" s="127"/>
      <c r="BC189" s="126"/>
      <c r="BD189" s="222">
        <f t="shared" si="78"/>
        <v>0</v>
      </c>
      <c r="BE189" s="1055">
        <f t="shared" si="79"/>
        <v>0</v>
      </c>
      <c r="BF189" s="3"/>
      <c r="BG189" s="113">
        <f t="shared" si="80"/>
        <v>0</v>
      </c>
      <c r="BH189" s="225"/>
      <c r="BI189" s="225"/>
      <c r="BJ189" s="225"/>
      <c r="BK189" s="225"/>
      <c r="BL189" s="225"/>
      <c r="BM189" s="225"/>
      <c r="BN189" s="225"/>
      <c r="BO189" s="225"/>
      <c r="BP189" s="225"/>
      <c r="BQ189" s="225"/>
      <c r="BR189" s="225"/>
      <c r="BS189" s="225"/>
      <c r="BT189" s="225"/>
      <c r="BU189" s="130">
        <f t="shared" si="81"/>
        <v>0</v>
      </c>
      <c r="BV189" s="3"/>
    </row>
    <row r="190" ht="14.25" customHeight="1">
      <c r="A190" s="132"/>
      <c r="B190" s="215">
        <v>46188</v>
      </c>
      <c r="C190" s="133"/>
      <c r="D190" s="136"/>
      <c r="E190" s="135"/>
      <c r="F190" s="135"/>
      <c r="G190" s="147">
        <f t="shared" si="73"/>
        <v>0</v>
      </c>
      <c r="H190" s="768"/>
      <c r="I190" s="611"/>
      <c r="J190" s="611"/>
      <c r="K190" s="611"/>
      <c r="L190" s="611"/>
      <c r="M190" s="611"/>
      <c r="N190" s="143"/>
      <c r="O190" s="143"/>
      <c r="P190" s="143"/>
      <c r="Q190" s="143"/>
      <c r="R190" s="143"/>
      <c r="S190" s="143"/>
      <c r="T190" s="143"/>
      <c r="U190" s="143"/>
      <c r="V190" s="143"/>
      <c r="W190" s="103">
        <f t="shared" si="74"/>
        <v>0</v>
      </c>
      <c r="X190" s="611"/>
      <c r="Y190" s="611"/>
      <c r="Z190" s="611"/>
      <c r="AA190" s="611"/>
      <c r="AB190" s="611"/>
      <c r="AC190" s="143"/>
      <c r="AD190" s="143"/>
      <c r="AE190" s="143"/>
      <c r="AF190" s="143"/>
      <c r="AG190" s="143"/>
      <c r="AH190" s="143"/>
      <c r="AI190" s="143"/>
      <c r="AJ190" s="103">
        <f t="shared" si="75"/>
        <v>0</v>
      </c>
      <c r="AK190" s="136"/>
      <c r="AL190" s="136"/>
      <c r="AM190" s="136"/>
      <c r="AN190" s="105">
        <f t="shared" si="76"/>
        <v>0</v>
      </c>
      <c r="AO190" s="143"/>
      <c r="AP190" s="143"/>
      <c r="AQ190" s="143"/>
      <c r="AR190" s="146"/>
      <c r="AS190" s="224">
        <f t="shared" si="77"/>
        <v>0</v>
      </c>
      <c r="AT190" s="433"/>
      <c r="AU190" s="275"/>
      <c r="AV190" s="126"/>
      <c r="AW190" s="126"/>
      <c r="AX190" s="127"/>
      <c r="AY190" s="126"/>
      <c r="AZ190" s="127"/>
      <c r="BA190" s="127"/>
      <c r="BB190" s="127"/>
      <c r="BC190" s="126"/>
      <c r="BD190" s="222">
        <f t="shared" si="78"/>
        <v>0</v>
      </c>
      <c r="BE190" s="456">
        <f t="shared" si="79"/>
        <v>0</v>
      </c>
      <c r="BF190" s="132"/>
      <c r="BG190" s="140">
        <f t="shared" si="80"/>
        <v>0</v>
      </c>
      <c r="BH190" s="126"/>
      <c r="BI190" s="126"/>
      <c r="BJ190" s="126"/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30">
        <f t="shared" si="81"/>
        <v>0</v>
      </c>
      <c r="BV190" s="132"/>
    </row>
    <row r="191" ht="14.25" customHeight="1">
      <c r="A191" s="132"/>
      <c r="B191" s="215">
        <v>46189</v>
      </c>
      <c r="C191" s="133"/>
      <c r="D191" s="136"/>
      <c r="E191" s="135"/>
      <c r="F191" s="135"/>
      <c r="G191" s="147">
        <f t="shared" si="73"/>
        <v>0</v>
      </c>
      <c r="H191" s="768"/>
      <c r="I191" s="611"/>
      <c r="J191" s="611"/>
      <c r="K191" s="611"/>
      <c r="L191" s="611"/>
      <c r="M191" s="611"/>
      <c r="N191" s="143"/>
      <c r="O191" s="143"/>
      <c r="P191" s="143"/>
      <c r="Q191" s="143"/>
      <c r="R191" s="143"/>
      <c r="S191" s="143"/>
      <c r="T191" s="143"/>
      <c r="U191" s="143"/>
      <c r="V191" s="143"/>
      <c r="W191" s="103">
        <f t="shared" si="74"/>
        <v>0</v>
      </c>
      <c r="X191" s="611"/>
      <c r="Y191" s="611"/>
      <c r="Z191" s="611"/>
      <c r="AA191" s="611"/>
      <c r="AB191" s="611"/>
      <c r="AC191" s="143"/>
      <c r="AD191" s="143"/>
      <c r="AE191" s="143"/>
      <c r="AF191" s="143"/>
      <c r="AG191" s="143"/>
      <c r="AH191" s="143"/>
      <c r="AI191" s="143"/>
      <c r="AJ191" s="103">
        <f t="shared" si="75"/>
        <v>0</v>
      </c>
      <c r="AK191" s="136"/>
      <c r="AL191" s="136"/>
      <c r="AM191" s="136"/>
      <c r="AN191" s="105">
        <f t="shared" si="76"/>
        <v>0</v>
      </c>
      <c r="AO191" s="143"/>
      <c r="AP191" s="143"/>
      <c r="AQ191" s="143"/>
      <c r="AR191" s="146"/>
      <c r="AS191" s="224">
        <f t="shared" si="77"/>
        <v>0</v>
      </c>
      <c r="AT191" s="433"/>
      <c r="AU191" s="275"/>
      <c r="AV191" s="126"/>
      <c r="AW191" s="126"/>
      <c r="AX191" s="127"/>
      <c r="AY191" s="126"/>
      <c r="AZ191" s="127"/>
      <c r="BA191" s="127"/>
      <c r="BB191" s="127"/>
      <c r="BC191" s="126"/>
      <c r="BD191" s="222">
        <f t="shared" si="78"/>
        <v>0</v>
      </c>
      <c r="BE191" s="456">
        <f t="shared" si="79"/>
        <v>0</v>
      </c>
      <c r="BF191" s="132"/>
      <c r="BG191" s="140">
        <f t="shared" si="80"/>
        <v>0</v>
      </c>
      <c r="BH191" s="126"/>
      <c r="BI191" s="126"/>
      <c r="BJ191" s="126"/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30">
        <f t="shared" si="81"/>
        <v>0</v>
      </c>
      <c r="BV191" s="132"/>
    </row>
    <row r="192" ht="14.25" customHeight="1">
      <c r="A192" s="132"/>
      <c r="B192" s="215">
        <v>46190</v>
      </c>
      <c r="C192" s="133"/>
      <c r="D192" s="136"/>
      <c r="E192" s="135"/>
      <c r="F192" s="135"/>
      <c r="G192" s="147">
        <f t="shared" si="73"/>
        <v>0</v>
      </c>
      <c r="H192" s="768"/>
      <c r="I192" s="611"/>
      <c r="J192" s="611"/>
      <c r="K192" s="611"/>
      <c r="L192" s="611"/>
      <c r="M192" s="611"/>
      <c r="N192" s="143"/>
      <c r="O192" s="143"/>
      <c r="P192" s="143"/>
      <c r="Q192" s="143"/>
      <c r="R192" s="143"/>
      <c r="S192" s="143"/>
      <c r="T192" s="143"/>
      <c r="U192" s="143"/>
      <c r="V192" s="143"/>
      <c r="W192" s="103">
        <f t="shared" si="74"/>
        <v>0</v>
      </c>
      <c r="X192" s="611"/>
      <c r="Y192" s="611"/>
      <c r="Z192" s="611"/>
      <c r="AA192" s="611"/>
      <c r="AB192" s="611"/>
      <c r="AC192" s="143"/>
      <c r="AD192" s="143"/>
      <c r="AE192" s="143"/>
      <c r="AF192" s="143"/>
      <c r="AG192" s="143"/>
      <c r="AH192" s="143"/>
      <c r="AI192" s="143"/>
      <c r="AJ192" s="103">
        <f t="shared" si="75"/>
        <v>0</v>
      </c>
      <c r="AK192" s="136"/>
      <c r="AL192" s="136"/>
      <c r="AM192" s="136"/>
      <c r="AN192" s="105">
        <f t="shared" si="76"/>
        <v>0</v>
      </c>
      <c r="AO192" s="143"/>
      <c r="AP192" s="143"/>
      <c r="AQ192" s="143"/>
      <c r="AR192" s="146"/>
      <c r="AS192" s="224">
        <f t="shared" si="77"/>
        <v>0</v>
      </c>
      <c r="AT192" s="433"/>
      <c r="AU192" s="275"/>
      <c r="AV192" s="126"/>
      <c r="AW192" s="126"/>
      <c r="AX192" s="127"/>
      <c r="AY192" s="126"/>
      <c r="AZ192" s="127"/>
      <c r="BA192" s="127"/>
      <c r="BB192" s="127"/>
      <c r="BC192" s="126"/>
      <c r="BD192" s="222">
        <f t="shared" si="78"/>
        <v>0</v>
      </c>
      <c r="BE192" s="456">
        <f t="shared" si="79"/>
        <v>0</v>
      </c>
      <c r="BF192" s="132"/>
      <c r="BG192" s="140">
        <f t="shared" si="80"/>
        <v>0</v>
      </c>
      <c r="BH192" s="126"/>
      <c r="BI192" s="126"/>
      <c r="BJ192" s="126"/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30">
        <f t="shared" si="81"/>
        <v>0</v>
      </c>
      <c r="BV192" s="132"/>
    </row>
    <row r="193" ht="14.25" customHeight="1">
      <c r="A193" s="132"/>
      <c r="B193" s="215">
        <v>46191</v>
      </c>
      <c r="C193" s="133"/>
      <c r="D193" s="136"/>
      <c r="E193" s="135"/>
      <c r="F193" s="135"/>
      <c r="G193" s="147">
        <f t="shared" si="73"/>
        <v>0</v>
      </c>
      <c r="H193" s="768"/>
      <c r="I193" s="611"/>
      <c r="J193" s="611"/>
      <c r="K193" s="611"/>
      <c r="L193" s="611"/>
      <c r="M193" s="611"/>
      <c r="N193" s="143"/>
      <c r="O193" s="143"/>
      <c r="P193" s="143"/>
      <c r="Q193" s="143"/>
      <c r="R193" s="143"/>
      <c r="S193" s="143"/>
      <c r="T193" s="143"/>
      <c r="U193" s="143"/>
      <c r="V193" s="143"/>
      <c r="W193" s="103">
        <f t="shared" si="74"/>
        <v>0</v>
      </c>
      <c r="X193" s="611"/>
      <c r="Y193" s="611"/>
      <c r="Z193" s="611"/>
      <c r="AA193" s="611"/>
      <c r="AB193" s="611"/>
      <c r="AC193" s="143"/>
      <c r="AD193" s="143"/>
      <c r="AE193" s="143"/>
      <c r="AF193" s="143"/>
      <c r="AG193" s="143"/>
      <c r="AH193" s="143"/>
      <c r="AI193" s="143"/>
      <c r="AJ193" s="103">
        <f t="shared" si="75"/>
        <v>0</v>
      </c>
      <c r="AK193" s="136"/>
      <c r="AL193" s="136"/>
      <c r="AM193" s="136"/>
      <c r="AN193" s="105">
        <f t="shared" si="76"/>
        <v>0</v>
      </c>
      <c r="AO193" s="143"/>
      <c r="AP193" s="143"/>
      <c r="AQ193" s="143"/>
      <c r="AR193" s="146"/>
      <c r="AS193" s="224">
        <f t="shared" si="77"/>
        <v>0</v>
      </c>
      <c r="AT193" s="433"/>
      <c r="AU193" s="275"/>
      <c r="AV193" s="126"/>
      <c r="AW193" s="126"/>
      <c r="AX193" s="127"/>
      <c r="AY193" s="126"/>
      <c r="AZ193" s="127"/>
      <c r="BA193" s="127"/>
      <c r="BB193" s="127"/>
      <c r="BC193" s="126"/>
      <c r="BD193" s="222">
        <f t="shared" si="78"/>
        <v>0</v>
      </c>
      <c r="BE193" s="456">
        <f t="shared" si="79"/>
        <v>0</v>
      </c>
      <c r="BF193" s="132"/>
      <c r="BG193" s="140">
        <f t="shared" si="80"/>
        <v>0</v>
      </c>
      <c r="BH193" s="126"/>
      <c r="BI193" s="126"/>
      <c r="BJ193" s="126"/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30">
        <f t="shared" si="81"/>
        <v>0</v>
      </c>
      <c r="BV193" s="132"/>
    </row>
    <row r="194" ht="14.25" customHeight="1">
      <c r="A194" s="132"/>
      <c r="B194" s="215">
        <v>46192</v>
      </c>
      <c r="C194" s="133"/>
      <c r="D194" s="136"/>
      <c r="E194" s="135"/>
      <c r="F194" s="135"/>
      <c r="G194" s="147">
        <f t="shared" si="73"/>
        <v>0</v>
      </c>
      <c r="H194" s="768"/>
      <c r="I194" s="611"/>
      <c r="J194" s="611"/>
      <c r="K194" s="611"/>
      <c r="L194" s="611"/>
      <c r="M194" s="611"/>
      <c r="N194" s="143"/>
      <c r="O194" s="143"/>
      <c r="P194" s="143"/>
      <c r="Q194" s="143"/>
      <c r="R194" s="143"/>
      <c r="S194" s="143"/>
      <c r="T194" s="143"/>
      <c r="U194" s="143"/>
      <c r="V194" s="143"/>
      <c r="W194" s="103">
        <f t="shared" si="74"/>
        <v>0</v>
      </c>
      <c r="X194" s="611"/>
      <c r="Y194" s="611"/>
      <c r="Z194" s="611"/>
      <c r="AA194" s="611"/>
      <c r="AB194" s="611"/>
      <c r="AC194" s="143"/>
      <c r="AD194" s="143"/>
      <c r="AE194" s="143"/>
      <c r="AF194" s="143"/>
      <c r="AG194" s="143"/>
      <c r="AH194" s="143"/>
      <c r="AI194" s="143"/>
      <c r="AJ194" s="103">
        <f t="shared" si="75"/>
        <v>0</v>
      </c>
      <c r="AK194" s="136"/>
      <c r="AL194" s="136"/>
      <c r="AM194" s="136"/>
      <c r="AN194" s="105">
        <f t="shared" si="76"/>
        <v>0</v>
      </c>
      <c r="AO194" s="143"/>
      <c r="AP194" s="143"/>
      <c r="AQ194" s="143"/>
      <c r="AR194" s="146"/>
      <c r="AS194" s="224">
        <f t="shared" si="77"/>
        <v>0</v>
      </c>
      <c r="AT194" s="433"/>
      <c r="AU194" s="275"/>
      <c r="AV194" s="126"/>
      <c r="AW194" s="126"/>
      <c r="AX194" s="127"/>
      <c r="AY194" s="126"/>
      <c r="AZ194" s="127"/>
      <c r="BA194" s="127"/>
      <c r="BB194" s="127"/>
      <c r="BC194" s="126"/>
      <c r="BD194" s="222">
        <f t="shared" si="78"/>
        <v>0</v>
      </c>
      <c r="BE194" s="456">
        <f t="shared" si="79"/>
        <v>0</v>
      </c>
      <c r="BF194" s="132"/>
      <c r="BG194" s="140">
        <f t="shared" si="80"/>
        <v>0</v>
      </c>
      <c r="BH194" s="126"/>
      <c r="BI194" s="126"/>
      <c r="BJ194" s="126"/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30">
        <f t="shared" si="81"/>
        <v>0</v>
      </c>
      <c r="BV194" s="132"/>
    </row>
    <row r="195" ht="14.25" customHeight="1">
      <c r="A195" s="132"/>
      <c r="B195" s="215">
        <v>46193</v>
      </c>
      <c r="C195" s="133"/>
      <c r="D195" s="136"/>
      <c r="E195" s="135"/>
      <c r="F195" s="135"/>
      <c r="G195" s="147">
        <f t="shared" si="73"/>
        <v>0</v>
      </c>
      <c r="H195" s="768"/>
      <c r="I195" s="611"/>
      <c r="J195" s="611"/>
      <c r="K195" s="611"/>
      <c r="L195" s="611"/>
      <c r="M195" s="611"/>
      <c r="N195" s="143"/>
      <c r="O195" s="143"/>
      <c r="P195" s="143"/>
      <c r="Q195" s="143"/>
      <c r="R195" s="143"/>
      <c r="S195" s="143"/>
      <c r="T195" s="143"/>
      <c r="U195" s="143"/>
      <c r="V195" s="143"/>
      <c r="W195" s="103">
        <f t="shared" si="74"/>
        <v>0</v>
      </c>
      <c r="X195" s="611"/>
      <c r="Y195" s="611"/>
      <c r="Z195" s="611"/>
      <c r="AA195" s="611"/>
      <c r="AB195" s="611"/>
      <c r="AC195" s="143"/>
      <c r="AD195" s="143"/>
      <c r="AE195" s="143"/>
      <c r="AF195" s="143"/>
      <c r="AG195" s="143"/>
      <c r="AH195" s="143"/>
      <c r="AI195" s="143"/>
      <c r="AJ195" s="103">
        <f t="shared" si="75"/>
        <v>0</v>
      </c>
      <c r="AK195" s="136"/>
      <c r="AL195" s="136"/>
      <c r="AM195" s="136"/>
      <c r="AN195" s="105">
        <f t="shared" si="76"/>
        <v>0</v>
      </c>
      <c r="AO195" s="143"/>
      <c r="AP195" s="143"/>
      <c r="AQ195" s="143"/>
      <c r="AR195" s="146"/>
      <c r="AS195" s="224">
        <f t="shared" si="77"/>
        <v>0</v>
      </c>
      <c r="AT195" s="433"/>
      <c r="AU195" s="275"/>
      <c r="AV195" s="126"/>
      <c r="AW195" s="126"/>
      <c r="AX195" s="127"/>
      <c r="AY195" s="126"/>
      <c r="AZ195" s="127"/>
      <c r="BA195" s="127"/>
      <c r="BB195" s="127"/>
      <c r="BC195" s="126"/>
      <c r="BD195" s="222">
        <f t="shared" si="78"/>
        <v>0</v>
      </c>
      <c r="BE195" s="456">
        <f t="shared" si="79"/>
        <v>0</v>
      </c>
      <c r="BF195" s="132"/>
      <c r="BG195" s="140">
        <f t="shared" si="80"/>
        <v>0</v>
      </c>
      <c r="BH195" s="126"/>
      <c r="BI195" s="126"/>
      <c r="BJ195" s="126"/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30">
        <f t="shared" si="81"/>
        <v>0</v>
      </c>
      <c r="BV195" s="132"/>
    </row>
    <row r="196" ht="14.25" customHeight="1">
      <c r="A196" s="132"/>
      <c r="B196" s="215">
        <v>46194</v>
      </c>
      <c r="C196" s="133"/>
      <c r="D196" s="136"/>
      <c r="E196" s="135"/>
      <c r="F196" s="135"/>
      <c r="G196" s="147">
        <f t="shared" si="73"/>
        <v>0</v>
      </c>
      <c r="H196" s="768"/>
      <c r="I196" s="611"/>
      <c r="J196" s="611"/>
      <c r="K196" s="611"/>
      <c r="L196" s="611"/>
      <c r="M196" s="611"/>
      <c r="N196" s="143"/>
      <c r="O196" s="143"/>
      <c r="P196" s="143"/>
      <c r="Q196" s="143"/>
      <c r="R196" s="143"/>
      <c r="S196" s="143"/>
      <c r="T196" s="143"/>
      <c r="U196" s="143"/>
      <c r="V196" s="143"/>
      <c r="W196" s="103">
        <f t="shared" si="74"/>
        <v>0</v>
      </c>
      <c r="X196" s="611"/>
      <c r="Y196" s="611"/>
      <c r="Z196" s="611"/>
      <c r="AA196" s="611"/>
      <c r="AB196" s="611"/>
      <c r="AC196" s="143"/>
      <c r="AD196" s="143"/>
      <c r="AE196" s="143"/>
      <c r="AF196" s="143"/>
      <c r="AG196" s="143"/>
      <c r="AH196" s="143"/>
      <c r="AI196" s="143"/>
      <c r="AJ196" s="103">
        <f t="shared" si="75"/>
        <v>0</v>
      </c>
      <c r="AK196" s="136"/>
      <c r="AL196" s="136"/>
      <c r="AM196" s="136"/>
      <c r="AN196" s="105">
        <f t="shared" si="76"/>
        <v>0</v>
      </c>
      <c r="AO196" s="143"/>
      <c r="AP196" s="143"/>
      <c r="AQ196" s="143"/>
      <c r="AR196" s="146"/>
      <c r="AS196" s="224">
        <f t="shared" si="77"/>
        <v>0</v>
      </c>
      <c r="AT196" s="433"/>
      <c r="AU196" s="275"/>
      <c r="AV196" s="126"/>
      <c r="AW196" s="126"/>
      <c r="AX196" s="127"/>
      <c r="AY196" s="126"/>
      <c r="AZ196" s="127"/>
      <c r="BA196" s="127"/>
      <c r="BB196" s="127"/>
      <c r="BC196" s="126"/>
      <c r="BD196" s="222">
        <f t="shared" si="78"/>
        <v>0</v>
      </c>
      <c r="BE196" s="456">
        <f t="shared" si="79"/>
        <v>0</v>
      </c>
      <c r="BF196" s="132"/>
      <c r="BG196" s="140">
        <f t="shared" si="80"/>
        <v>0</v>
      </c>
      <c r="BH196" s="126"/>
      <c r="BI196" s="126"/>
      <c r="BJ196" s="126"/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30">
        <f t="shared" si="81"/>
        <v>0</v>
      </c>
      <c r="BV196" s="132"/>
    </row>
    <row r="197" ht="14.25" customHeight="1">
      <c r="A197" s="132"/>
      <c r="B197" s="215">
        <v>46195</v>
      </c>
      <c r="C197" s="133"/>
      <c r="D197" s="136"/>
      <c r="E197" s="135"/>
      <c r="F197" s="135"/>
      <c r="G197" s="147">
        <f t="shared" si="73"/>
        <v>0</v>
      </c>
      <c r="H197" s="768"/>
      <c r="I197" s="611"/>
      <c r="J197" s="611"/>
      <c r="K197" s="611"/>
      <c r="L197" s="611"/>
      <c r="M197" s="611"/>
      <c r="N197" s="143"/>
      <c r="O197" s="143"/>
      <c r="P197" s="143"/>
      <c r="Q197" s="143"/>
      <c r="R197" s="143"/>
      <c r="S197" s="143"/>
      <c r="T197" s="143"/>
      <c r="U197" s="143"/>
      <c r="V197" s="143"/>
      <c r="W197" s="103">
        <f t="shared" si="74"/>
        <v>0</v>
      </c>
      <c r="X197" s="611"/>
      <c r="Y197" s="611"/>
      <c r="Z197" s="611"/>
      <c r="AA197" s="611"/>
      <c r="AB197" s="611"/>
      <c r="AC197" s="143"/>
      <c r="AD197" s="143"/>
      <c r="AE197" s="143"/>
      <c r="AF197" s="143"/>
      <c r="AG197" s="143"/>
      <c r="AH197" s="143"/>
      <c r="AI197" s="143"/>
      <c r="AJ197" s="103">
        <f t="shared" si="75"/>
        <v>0</v>
      </c>
      <c r="AK197" s="136"/>
      <c r="AL197" s="136"/>
      <c r="AM197" s="136"/>
      <c r="AN197" s="105">
        <f t="shared" si="76"/>
        <v>0</v>
      </c>
      <c r="AO197" s="143"/>
      <c r="AP197" s="143"/>
      <c r="AQ197" s="143"/>
      <c r="AR197" s="146"/>
      <c r="AS197" s="224">
        <f t="shared" si="77"/>
        <v>0</v>
      </c>
      <c r="AT197" s="433"/>
      <c r="AU197" s="275"/>
      <c r="AV197" s="126"/>
      <c r="AW197" s="126"/>
      <c r="AX197" s="127"/>
      <c r="AY197" s="126"/>
      <c r="AZ197" s="127"/>
      <c r="BA197" s="127"/>
      <c r="BB197" s="127"/>
      <c r="BC197" s="126"/>
      <c r="BD197" s="222">
        <f t="shared" si="78"/>
        <v>0</v>
      </c>
      <c r="BE197" s="456">
        <f t="shared" si="79"/>
        <v>0</v>
      </c>
      <c r="BF197" s="132"/>
      <c r="BG197" s="140">
        <f t="shared" si="80"/>
        <v>0</v>
      </c>
      <c r="BH197" s="126"/>
      <c r="BI197" s="126"/>
      <c r="BJ197" s="126"/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30">
        <f t="shared" si="81"/>
        <v>0</v>
      </c>
      <c r="BV197" s="132"/>
    </row>
    <row r="198" ht="14.25" customHeight="1">
      <c r="A198" s="132"/>
      <c r="B198" s="215">
        <v>46196</v>
      </c>
      <c r="C198" s="136"/>
      <c r="D198" s="136"/>
      <c r="E198" s="135"/>
      <c r="F198" s="135"/>
      <c r="G198" s="147">
        <f t="shared" si="73"/>
        <v>0</v>
      </c>
      <c r="H198" s="768"/>
      <c r="I198" s="611"/>
      <c r="J198" s="611"/>
      <c r="K198" s="611"/>
      <c r="L198" s="611"/>
      <c r="M198" s="611"/>
      <c r="N198" s="143"/>
      <c r="O198" s="143"/>
      <c r="P198" s="143"/>
      <c r="Q198" s="143"/>
      <c r="R198" s="143"/>
      <c r="S198" s="143"/>
      <c r="T198" s="143"/>
      <c r="U198" s="143"/>
      <c r="V198" s="143"/>
      <c r="W198" s="103">
        <f t="shared" si="74"/>
        <v>0</v>
      </c>
      <c r="X198" s="611"/>
      <c r="Y198" s="611"/>
      <c r="Z198" s="611"/>
      <c r="AA198" s="611"/>
      <c r="AB198" s="611"/>
      <c r="AC198" s="143"/>
      <c r="AD198" s="143"/>
      <c r="AE198" s="143"/>
      <c r="AF198" s="143"/>
      <c r="AG198" s="143"/>
      <c r="AH198" s="143"/>
      <c r="AI198" s="143"/>
      <c r="AJ198" s="103">
        <f t="shared" si="75"/>
        <v>0</v>
      </c>
      <c r="AK198" s="136"/>
      <c r="AL198" s="136"/>
      <c r="AM198" s="136"/>
      <c r="AN198" s="105">
        <f t="shared" si="76"/>
        <v>0</v>
      </c>
      <c r="AO198" s="143"/>
      <c r="AP198" s="143"/>
      <c r="AQ198" s="143"/>
      <c r="AR198" s="146"/>
      <c r="AS198" s="224">
        <f t="shared" si="77"/>
        <v>0</v>
      </c>
      <c r="AT198" s="433"/>
      <c r="AU198" s="275"/>
      <c r="AV198" s="126"/>
      <c r="AW198" s="126"/>
      <c r="AX198" s="127"/>
      <c r="AY198" s="126"/>
      <c r="AZ198" s="127"/>
      <c r="BA198" s="127"/>
      <c r="BB198" s="127"/>
      <c r="BC198" s="126"/>
      <c r="BD198" s="222">
        <f t="shared" si="78"/>
        <v>0</v>
      </c>
      <c r="BE198" s="456">
        <f t="shared" si="79"/>
        <v>0</v>
      </c>
      <c r="BF198" s="132"/>
      <c r="BG198" s="140">
        <f t="shared" si="80"/>
        <v>0</v>
      </c>
      <c r="BH198" s="126"/>
      <c r="BI198" s="126"/>
      <c r="BJ198" s="126"/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30">
        <f t="shared" si="81"/>
        <v>0</v>
      </c>
      <c r="BV198" s="132"/>
    </row>
    <row r="199" ht="14.25" customHeight="1">
      <c r="A199" s="132"/>
      <c r="B199" s="215">
        <v>46197</v>
      </c>
      <c r="C199" s="136"/>
      <c r="D199" s="136"/>
      <c r="E199" s="135"/>
      <c r="F199" s="135"/>
      <c r="G199" s="147">
        <f t="shared" si="73"/>
        <v>0</v>
      </c>
      <c r="H199" s="768"/>
      <c r="I199" s="611"/>
      <c r="J199" s="611"/>
      <c r="K199" s="611"/>
      <c r="L199" s="611"/>
      <c r="M199" s="611"/>
      <c r="N199" s="143"/>
      <c r="O199" s="143"/>
      <c r="P199" s="143"/>
      <c r="Q199" s="143"/>
      <c r="R199" s="143"/>
      <c r="S199" s="143"/>
      <c r="T199" s="143"/>
      <c r="U199" s="143"/>
      <c r="V199" s="143"/>
      <c r="W199" s="103">
        <f t="shared" si="74"/>
        <v>0</v>
      </c>
      <c r="X199" s="611"/>
      <c r="Y199" s="611"/>
      <c r="Z199" s="611"/>
      <c r="AA199" s="611"/>
      <c r="AB199" s="611"/>
      <c r="AC199" s="143"/>
      <c r="AD199" s="143"/>
      <c r="AE199" s="143"/>
      <c r="AF199" s="143"/>
      <c r="AG199" s="143"/>
      <c r="AH199" s="143"/>
      <c r="AI199" s="143"/>
      <c r="AJ199" s="103">
        <f t="shared" si="75"/>
        <v>0</v>
      </c>
      <c r="AK199" s="136"/>
      <c r="AL199" s="136"/>
      <c r="AM199" s="136"/>
      <c r="AN199" s="105">
        <f t="shared" si="76"/>
        <v>0</v>
      </c>
      <c r="AO199" s="143"/>
      <c r="AP199" s="143"/>
      <c r="AQ199" s="143"/>
      <c r="AR199" s="146"/>
      <c r="AS199" s="224">
        <f t="shared" si="77"/>
        <v>0</v>
      </c>
      <c r="AT199" s="433"/>
      <c r="AU199" s="275"/>
      <c r="AV199" s="126"/>
      <c r="AW199" s="126"/>
      <c r="AX199" s="127"/>
      <c r="AY199" s="126"/>
      <c r="AZ199" s="127"/>
      <c r="BA199" s="127"/>
      <c r="BB199" s="127"/>
      <c r="BC199" s="126"/>
      <c r="BD199" s="222">
        <f t="shared" si="78"/>
        <v>0</v>
      </c>
      <c r="BE199" s="456">
        <f t="shared" si="79"/>
        <v>0</v>
      </c>
      <c r="BF199" s="132"/>
      <c r="BG199" s="140">
        <f t="shared" si="80"/>
        <v>0</v>
      </c>
      <c r="BH199" s="126"/>
      <c r="BI199" s="126"/>
      <c r="BJ199" s="126"/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30">
        <f t="shared" si="81"/>
        <v>0</v>
      </c>
      <c r="BV199" s="132"/>
    </row>
    <row r="200" ht="14.25" customHeight="1">
      <c r="A200" s="132"/>
      <c r="B200" s="215">
        <v>46198</v>
      </c>
      <c r="C200" s="133"/>
      <c r="D200" s="136"/>
      <c r="E200" s="135"/>
      <c r="F200" s="135"/>
      <c r="G200" s="147">
        <f t="shared" si="73"/>
        <v>0</v>
      </c>
      <c r="H200" s="768"/>
      <c r="I200" s="611"/>
      <c r="J200" s="611"/>
      <c r="K200" s="611"/>
      <c r="L200" s="611"/>
      <c r="M200" s="611"/>
      <c r="N200" s="143"/>
      <c r="O200" s="143"/>
      <c r="P200" s="143"/>
      <c r="Q200" s="143"/>
      <c r="R200" s="143"/>
      <c r="S200" s="143"/>
      <c r="T200" s="143"/>
      <c r="U200" s="143"/>
      <c r="V200" s="143"/>
      <c r="W200" s="103">
        <f t="shared" si="74"/>
        <v>0</v>
      </c>
      <c r="X200" s="611"/>
      <c r="Y200" s="611"/>
      <c r="Z200" s="611"/>
      <c r="AA200" s="611"/>
      <c r="AB200" s="611"/>
      <c r="AC200" s="143"/>
      <c r="AD200" s="143"/>
      <c r="AE200" s="143"/>
      <c r="AF200" s="143"/>
      <c r="AG200" s="143"/>
      <c r="AH200" s="143"/>
      <c r="AI200" s="143"/>
      <c r="AJ200" s="103">
        <f t="shared" si="75"/>
        <v>0</v>
      </c>
      <c r="AK200" s="136"/>
      <c r="AL200" s="136"/>
      <c r="AM200" s="136"/>
      <c r="AN200" s="105">
        <f t="shared" si="76"/>
        <v>0</v>
      </c>
      <c r="AO200" s="143"/>
      <c r="AP200" s="143"/>
      <c r="AQ200" s="143"/>
      <c r="AR200" s="146"/>
      <c r="AS200" s="224">
        <f t="shared" si="77"/>
        <v>0</v>
      </c>
      <c r="AT200" s="433"/>
      <c r="AU200" s="275"/>
      <c r="AV200" s="126"/>
      <c r="AW200" s="126"/>
      <c r="AX200" s="127"/>
      <c r="AY200" s="126"/>
      <c r="AZ200" s="127"/>
      <c r="BA200" s="127"/>
      <c r="BB200" s="127"/>
      <c r="BC200" s="126"/>
      <c r="BD200" s="222">
        <f t="shared" si="78"/>
        <v>0</v>
      </c>
      <c r="BE200" s="456">
        <f t="shared" si="79"/>
        <v>0</v>
      </c>
      <c r="BF200" s="132"/>
      <c r="BG200" s="140">
        <f t="shared" si="80"/>
        <v>0</v>
      </c>
      <c r="BH200" s="126"/>
      <c r="BI200" s="126"/>
      <c r="BJ200" s="126"/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30">
        <f t="shared" si="81"/>
        <v>0</v>
      </c>
      <c r="BV200" s="132"/>
    </row>
    <row r="201" ht="14.25" customHeight="1">
      <c r="A201" s="132"/>
      <c r="B201" s="215">
        <v>46199</v>
      </c>
      <c r="C201" s="133"/>
      <c r="D201" s="136"/>
      <c r="E201" s="132"/>
      <c r="F201" s="135"/>
      <c r="G201" s="147">
        <f t="shared" si="73"/>
        <v>0</v>
      </c>
      <c r="H201" s="768"/>
      <c r="I201" s="611"/>
      <c r="J201" s="611"/>
      <c r="K201" s="611"/>
      <c r="L201" s="611"/>
      <c r="M201" s="611"/>
      <c r="N201" s="143"/>
      <c r="O201" s="143"/>
      <c r="P201" s="143"/>
      <c r="Q201" s="143"/>
      <c r="R201" s="143"/>
      <c r="S201" s="143"/>
      <c r="T201" s="143"/>
      <c r="U201" s="143"/>
      <c r="V201" s="143"/>
      <c r="W201" s="103">
        <f t="shared" si="74"/>
        <v>0</v>
      </c>
      <c r="X201" s="611"/>
      <c r="Y201" s="611"/>
      <c r="Z201" s="611"/>
      <c r="AA201" s="611"/>
      <c r="AB201" s="611"/>
      <c r="AC201" s="143"/>
      <c r="AD201" s="143"/>
      <c r="AE201" s="143"/>
      <c r="AF201" s="143"/>
      <c r="AG201" s="143"/>
      <c r="AH201" s="143"/>
      <c r="AI201" s="143"/>
      <c r="AJ201" s="103">
        <f t="shared" si="75"/>
        <v>0</v>
      </c>
      <c r="AK201" s="136"/>
      <c r="AL201" s="136"/>
      <c r="AM201" s="136"/>
      <c r="AN201" s="105">
        <f t="shared" si="76"/>
        <v>0</v>
      </c>
      <c r="AO201" s="143"/>
      <c r="AP201" s="143"/>
      <c r="AQ201" s="143"/>
      <c r="AR201" s="146"/>
      <c r="AS201" s="224">
        <f t="shared" si="77"/>
        <v>0</v>
      </c>
      <c r="AT201" s="433"/>
      <c r="AU201" s="275"/>
      <c r="AV201" s="126"/>
      <c r="AW201" s="126"/>
      <c r="AX201" s="127"/>
      <c r="AY201" s="126"/>
      <c r="AZ201" s="127"/>
      <c r="BA201" s="127"/>
      <c r="BB201" s="127"/>
      <c r="BC201" s="126"/>
      <c r="BD201" s="222">
        <f t="shared" si="78"/>
        <v>0</v>
      </c>
      <c r="BE201" s="456">
        <f t="shared" si="79"/>
        <v>0</v>
      </c>
      <c r="BF201" s="132"/>
      <c r="BG201" s="140">
        <f t="shared" si="80"/>
        <v>0</v>
      </c>
      <c r="BH201" s="126"/>
      <c r="BI201" s="126"/>
      <c r="BJ201" s="126"/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30">
        <f t="shared" si="81"/>
        <v>0</v>
      </c>
      <c r="BV201" s="132"/>
    </row>
    <row r="202" ht="15" customHeight="1">
      <c r="A202" s="132"/>
      <c r="B202" s="215">
        <v>46200</v>
      </c>
      <c r="C202" s="133"/>
      <c r="D202" s="136"/>
      <c r="E202" s="135"/>
      <c r="F202" s="135"/>
      <c r="G202" s="147">
        <f t="shared" si="73"/>
        <v>0</v>
      </c>
      <c r="H202" s="768"/>
      <c r="I202" s="611"/>
      <c r="J202" s="611"/>
      <c r="K202" s="611"/>
      <c r="L202" s="611"/>
      <c r="M202" s="611"/>
      <c r="N202" s="143"/>
      <c r="O202" s="143"/>
      <c r="P202" s="143"/>
      <c r="Q202" s="143"/>
      <c r="R202" s="143"/>
      <c r="S202" s="143"/>
      <c r="T202" s="143"/>
      <c r="U202" s="143"/>
      <c r="V202" s="143"/>
      <c r="W202" s="103">
        <f t="shared" si="74"/>
        <v>0</v>
      </c>
      <c r="X202" s="611"/>
      <c r="Y202" s="611"/>
      <c r="Z202" s="611"/>
      <c r="AA202" s="611"/>
      <c r="AB202" s="611"/>
      <c r="AC202" s="143"/>
      <c r="AD202" s="143"/>
      <c r="AE202" s="143"/>
      <c r="AF202" s="143"/>
      <c r="AG202" s="143"/>
      <c r="AH202" s="143"/>
      <c r="AI202" s="143"/>
      <c r="AJ202" s="103">
        <f t="shared" si="75"/>
        <v>0</v>
      </c>
      <c r="AK202" s="136"/>
      <c r="AL202" s="136"/>
      <c r="AM202" s="136"/>
      <c r="AN202" s="105">
        <f t="shared" si="76"/>
        <v>0</v>
      </c>
      <c r="AO202" s="143"/>
      <c r="AP202" s="143"/>
      <c r="AQ202" s="143"/>
      <c r="AR202" s="146"/>
      <c r="AS202" s="224">
        <f t="shared" si="77"/>
        <v>0</v>
      </c>
      <c r="AT202" s="433"/>
      <c r="AU202" s="275"/>
      <c r="AV202" s="126"/>
      <c r="AW202" s="126"/>
      <c r="AX202" s="127"/>
      <c r="AY202" s="126"/>
      <c r="AZ202" s="127"/>
      <c r="BA202" s="127"/>
      <c r="BB202" s="127"/>
      <c r="BC202" s="126"/>
      <c r="BD202" s="222">
        <f t="shared" si="78"/>
        <v>0</v>
      </c>
      <c r="BE202" s="456">
        <f t="shared" si="79"/>
        <v>0</v>
      </c>
      <c r="BF202" s="132"/>
      <c r="BG202" s="140">
        <f t="shared" si="80"/>
        <v>0</v>
      </c>
      <c r="BH202" s="126"/>
      <c r="BI202" s="126"/>
      <c r="BJ202" s="126"/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30">
        <f t="shared" si="81"/>
        <v>0</v>
      </c>
      <c r="BV202" s="132"/>
    </row>
    <row r="203" ht="14.25" customHeight="1">
      <c r="A203" s="132"/>
      <c r="B203" s="215">
        <v>46201</v>
      </c>
      <c r="C203" s="133"/>
      <c r="D203" s="136"/>
      <c r="E203" s="135"/>
      <c r="F203" s="135"/>
      <c r="G203" s="147">
        <f t="shared" si="73"/>
        <v>0</v>
      </c>
      <c r="H203" s="768"/>
      <c r="I203" s="611"/>
      <c r="J203" s="611"/>
      <c r="K203" s="611"/>
      <c r="L203" s="611"/>
      <c r="M203" s="611"/>
      <c r="N203" s="143"/>
      <c r="O203" s="143"/>
      <c r="P203" s="143"/>
      <c r="Q203" s="143"/>
      <c r="R203" s="143"/>
      <c r="S203" s="143"/>
      <c r="T203" s="143"/>
      <c r="U203" s="143"/>
      <c r="V203" s="143"/>
      <c r="W203" s="103">
        <f t="shared" si="74"/>
        <v>0</v>
      </c>
      <c r="X203" s="611"/>
      <c r="Y203" s="611"/>
      <c r="Z203" s="611"/>
      <c r="AA203" s="611"/>
      <c r="AB203" s="611"/>
      <c r="AC203" s="143"/>
      <c r="AD203" s="143"/>
      <c r="AE203" s="143"/>
      <c r="AF203" s="143"/>
      <c r="AG203" s="143"/>
      <c r="AH203" s="143"/>
      <c r="AI203" s="143"/>
      <c r="AJ203" s="103">
        <f t="shared" si="75"/>
        <v>0</v>
      </c>
      <c r="AK203" s="136"/>
      <c r="AL203" s="136"/>
      <c r="AM203" s="136"/>
      <c r="AN203" s="105">
        <f t="shared" si="76"/>
        <v>0</v>
      </c>
      <c r="AO203" s="143"/>
      <c r="AP203" s="143"/>
      <c r="AQ203" s="143"/>
      <c r="AR203" s="146"/>
      <c r="AS203" s="224">
        <f t="shared" si="77"/>
        <v>0</v>
      </c>
      <c r="AT203" s="433"/>
      <c r="AU203" s="275"/>
      <c r="AV203" s="126"/>
      <c r="AW203" s="126"/>
      <c r="AX203" s="127"/>
      <c r="AY203" s="126"/>
      <c r="AZ203" s="127"/>
      <c r="BA203" s="127"/>
      <c r="BB203" s="127"/>
      <c r="BC203" s="126"/>
      <c r="BD203" s="222">
        <f t="shared" si="78"/>
        <v>0</v>
      </c>
      <c r="BE203" s="456">
        <f t="shared" si="79"/>
        <v>0</v>
      </c>
      <c r="BF203" s="132"/>
      <c r="BG203" s="140">
        <f t="shared" si="80"/>
        <v>0</v>
      </c>
      <c r="BH203" s="126"/>
      <c r="BI203" s="126"/>
      <c r="BJ203" s="126"/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30">
        <f t="shared" si="81"/>
        <v>0</v>
      </c>
      <c r="BV203" s="132"/>
    </row>
    <row r="204" ht="14.25" customHeight="1">
      <c r="A204" s="132"/>
      <c r="B204" s="215">
        <v>46202</v>
      </c>
      <c r="C204" s="133"/>
      <c r="D204" s="136"/>
      <c r="E204" s="135"/>
      <c r="F204" s="135"/>
      <c r="G204" s="147">
        <f t="shared" si="73"/>
        <v>0</v>
      </c>
      <c r="H204" s="768"/>
      <c r="I204" s="611"/>
      <c r="J204" s="611"/>
      <c r="K204" s="611"/>
      <c r="L204" s="611"/>
      <c r="M204" s="611"/>
      <c r="N204" s="143"/>
      <c r="O204" s="143"/>
      <c r="P204" s="143"/>
      <c r="Q204" s="143"/>
      <c r="R204" s="143"/>
      <c r="S204" s="143"/>
      <c r="T204" s="143"/>
      <c r="U204" s="143"/>
      <c r="V204" s="143"/>
      <c r="W204" s="103">
        <f t="shared" si="74"/>
        <v>0</v>
      </c>
      <c r="X204" s="611"/>
      <c r="Y204" s="611"/>
      <c r="Z204" s="611"/>
      <c r="AA204" s="611"/>
      <c r="AB204" s="611"/>
      <c r="AC204" s="143"/>
      <c r="AD204" s="143"/>
      <c r="AE204" s="143"/>
      <c r="AF204" s="143"/>
      <c r="AG204" s="143"/>
      <c r="AH204" s="143"/>
      <c r="AI204" s="143"/>
      <c r="AJ204" s="103">
        <f t="shared" si="75"/>
        <v>0</v>
      </c>
      <c r="AK204" s="136"/>
      <c r="AL204" s="136"/>
      <c r="AM204" s="136"/>
      <c r="AN204" s="105">
        <f t="shared" si="76"/>
        <v>0</v>
      </c>
      <c r="AO204" s="143"/>
      <c r="AP204" s="143"/>
      <c r="AQ204" s="143"/>
      <c r="AR204" s="146"/>
      <c r="AS204" s="224">
        <f t="shared" si="77"/>
        <v>0</v>
      </c>
      <c r="AT204" s="433"/>
      <c r="AU204" s="297"/>
      <c r="AV204" s="126"/>
      <c r="AW204" s="126"/>
      <c r="AX204" s="127"/>
      <c r="AY204" s="126"/>
      <c r="AZ204" s="127"/>
      <c r="BA204" s="127"/>
      <c r="BB204" s="127"/>
      <c r="BC204" s="126"/>
      <c r="BD204" s="222">
        <f t="shared" si="78"/>
        <v>0</v>
      </c>
      <c r="BE204" s="456">
        <f t="shared" si="79"/>
        <v>0</v>
      </c>
      <c r="BF204" s="132"/>
      <c r="BG204" s="140">
        <f t="shared" si="80"/>
        <v>0</v>
      </c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30">
        <f t="shared" si="81"/>
        <v>0</v>
      </c>
      <c r="BV204" s="132"/>
    </row>
    <row r="205" ht="14.25" customHeight="1">
      <c r="A205" s="132"/>
      <c r="B205" s="215">
        <v>46203</v>
      </c>
      <c r="C205" s="133"/>
      <c r="D205" s="136"/>
      <c r="E205" s="135"/>
      <c r="F205" s="135"/>
      <c r="G205" s="147">
        <f t="shared" si="73"/>
        <v>0</v>
      </c>
      <c r="H205" s="768"/>
      <c r="I205" s="611"/>
      <c r="J205" s="611"/>
      <c r="K205" s="611"/>
      <c r="L205" s="611"/>
      <c r="M205" s="611"/>
      <c r="N205" s="143"/>
      <c r="O205" s="143"/>
      <c r="P205" s="143"/>
      <c r="Q205" s="143"/>
      <c r="R205" s="143"/>
      <c r="S205" s="143"/>
      <c r="T205" s="143"/>
      <c r="U205" s="143"/>
      <c r="V205" s="143"/>
      <c r="W205" s="103">
        <f t="shared" si="74"/>
        <v>0</v>
      </c>
      <c r="X205" s="611"/>
      <c r="Y205" s="611"/>
      <c r="Z205" s="611"/>
      <c r="AA205" s="611"/>
      <c r="AB205" s="611"/>
      <c r="AC205" s="143"/>
      <c r="AD205" s="143"/>
      <c r="AE205" s="143"/>
      <c r="AF205" s="143"/>
      <c r="AG205" s="143"/>
      <c r="AH205" s="143"/>
      <c r="AI205" s="143"/>
      <c r="AJ205" s="103">
        <f t="shared" si="75"/>
        <v>0</v>
      </c>
      <c r="AK205" s="136"/>
      <c r="AL205" s="136"/>
      <c r="AM205" s="136"/>
      <c r="AN205" s="105">
        <f t="shared" si="76"/>
        <v>0</v>
      </c>
      <c r="AO205" s="143"/>
      <c r="AP205" s="143"/>
      <c r="AQ205" s="143"/>
      <c r="AR205" s="146"/>
      <c r="AS205" s="224">
        <f t="shared" si="77"/>
        <v>0</v>
      </c>
      <c r="AT205" s="435"/>
      <c r="AU205" s="127"/>
      <c r="AV205" s="138"/>
      <c r="AW205" s="138"/>
      <c r="AX205" s="127"/>
      <c r="AY205" s="138"/>
      <c r="AZ205" s="127"/>
      <c r="BA205" s="127"/>
      <c r="BB205" s="127"/>
      <c r="BC205" s="138"/>
      <c r="BD205" s="222">
        <f t="shared" si="78"/>
        <v>0</v>
      </c>
      <c r="BE205" s="456">
        <f t="shared" si="79"/>
        <v>0</v>
      </c>
      <c r="BF205" s="132"/>
      <c r="BG205" s="140">
        <f t="shared" si="80"/>
        <v>0</v>
      </c>
      <c r="BH205" s="126"/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30">
        <f t="shared" si="81"/>
        <v>0</v>
      </c>
      <c r="BV205" s="132"/>
    </row>
    <row r="206" ht="14.25" customHeight="1">
      <c r="A206" s="3"/>
      <c r="B206" s="2" t="s">
        <v>80</v>
      </c>
      <c r="C206" s="166">
        <f ref="C206:W206" t="shared" si="82">SUM(C175:C205)</f>
        <v>0</v>
      </c>
      <c r="D206" s="166">
        <f t="shared" si="82"/>
        <v>0</v>
      </c>
      <c r="E206" s="166">
        <f t="shared" si="82"/>
        <v>0</v>
      </c>
      <c r="F206" s="166">
        <f t="shared" si="82"/>
        <v>0</v>
      </c>
      <c r="G206" s="166">
        <f t="shared" si="82"/>
        <v>0</v>
      </c>
      <c r="H206" s="166">
        <f t="shared" si="82"/>
        <v>0</v>
      </c>
      <c r="I206" s="166">
        <f t="shared" si="82"/>
        <v>0</v>
      </c>
      <c r="J206" s="166">
        <f t="shared" si="82"/>
        <v>0</v>
      </c>
      <c r="K206" s="166">
        <f t="shared" si="82"/>
        <v>0</v>
      </c>
      <c r="L206" s="166">
        <f t="shared" si="82"/>
        <v>0</v>
      </c>
      <c r="M206" s="166">
        <f t="shared" si="82"/>
        <v>0</v>
      </c>
      <c r="N206" s="166">
        <f t="shared" si="82"/>
        <v>0</v>
      </c>
      <c r="O206" s="166">
        <f t="shared" si="82"/>
        <v>0</v>
      </c>
      <c r="P206" s="166">
        <f t="shared" si="82"/>
        <v>0</v>
      </c>
      <c r="Q206" s="166">
        <f t="shared" si="82"/>
        <v>0</v>
      </c>
      <c r="R206" s="166">
        <f t="shared" si="82"/>
        <v>0</v>
      </c>
      <c r="S206" s="166">
        <f t="shared" si="82"/>
        <v>0</v>
      </c>
      <c r="T206" s="166">
        <f t="shared" si="82"/>
        <v>0</v>
      </c>
      <c r="U206" s="166">
        <f t="shared" si="82"/>
        <v>0</v>
      </c>
      <c r="V206" s="166">
        <f t="shared" si="82"/>
        <v>0</v>
      </c>
      <c r="W206" s="166">
        <f t="shared" si="82"/>
        <v>0</v>
      </c>
      <c r="X206" s="617"/>
      <c r="Y206" s="617"/>
      <c r="Z206" s="617"/>
      <c r="AA206" s="617"/>
      <c r="AB206" s="617"/>
      <c r="AC206" s="166">
        <f ref="AC206:AL206" t="shared" si="83">SUM(AC175:AC205)</f>
        <v>0</v>
      </c>
      <c r="AD206" s="166">
        <f t="shared" si="83"/>
        <v>0</v>
      </c>
      <c r="AE206" s="166">
        <f t="shared" si="83"/>
        <v>0</v>
      </c>
      <c r="AF206" s="166">
        <f t="shared" si="83"/>
        <v>0</v>
      </c>
      <c r="AG206" s="166">
        <f t="shared" si="83"/>
        <v>0</v>
      </c>
      <c r="AH206" s="166">
        <f t="shared" si="83"/>
        <v>0</v>
      </c>
      <c r="AI206" s="166">
        <f t="shared" si="83"/>
        <v>0</v>
      </c>
      <c r="AJ206" s="166">
        <f t="shared" si="83"/>
        <v>0</v>
      </c>
      <c r="AK206" s="166">
        <f t="shared" si="83"/>
        <v>0</v>
      </c>
      <c r="AL206" s="166">
        <f t="shared" si="83"/>
        <v>0</v>
      </c>
      <c r="AM206" s="166"/>
      <c r="AN206" s="166">
        <f ref="AN206:AY206" t="shared" si="84">SUM(AN175:AN205)</f>
        <v>0</v>
      </c>
      <c r="AO206" s="166">
        <f t="shared" si="84"/>
        <v>0</v>
      </c>
      <c r="AP206" s="166">
        <f t="shared" si="84"/>
        <v>0</v>
      </c>
      <c r="AQ206" s="166">
        <f t="shared" si="84"/>
        <v>0</v>
      </c>
      <c r="AR206" s="166">
        <f t="shared" si="84"/>
        <v>0</v>
      </c>
      <c r="AS206" s="166">
        <f t="shared" si="84"/>
        <v>0</v>
      </c>
      <c r="AT206" s="165">
        <f t="shared" si="84"/>
        <v>0</v>
      </c>
      <c r="AU206" s="165">
        <f t="shared" si="84"/>
        <v>0</v>
      </c>
      <c r="AV206" s="165">
        <f t="shared" si="84"/>
        <v>0</v>
      </c>
      <c r="AW206" s="165">
        <f t="shared" si="84"/>
        <v>0</v>
      </c>
      <c r="AX206" s="165">
        <f t="shared" si="84"/>
        <v>0</v>
      </c>
      <c r="AY206" s="165">
        <f t="shared" si="84"/>
        <v>0</v>
      </c>
      <c r="AZ206" s="165"/>
      <c r="BA206" s="165"/>
      <c r="BB206" s="165"/>
      <c r="BC206" s="165"/>
      <c r="BD206" s="166">
        <f ref="BD206:BE206" t="shared" si="85">SUM(BD175:BD205)</f>
        <v>0</v>
      </c>
      <c r="BE206" s="617">
        <f t="shared" si="85"/>
        <v>0</v>
      </c>
      <c r="BF206" s="132"/>
      <c r="BG206" s="166">
        <f ref="BG206:BR206" t="shared" si="86">SUM(BG175:BG205)</f>
        <v>0</v>
      </c>
      <c r="BH206" s="166">
        <f t="shared" si="86"/>
        <v>0</v>
      </c>
      <c r="BI206" s="166">
        <f t="shared" si="86"/>
        <v>0</v>
      </c>
      <c r="BJ206" s="166">
        <f t="shared" si="86"/>
        <v>0</v>
      </c>
      <c r="BK206" s="166">
        <f t="shared" si="86"/>
        <v>0</v>
      </c>
      <c r="BL206" s="166">
        <f t="shared" si="86"/>
        <v>0</v>
      </c>
      <c r="BM206" s="166">
        <f t="shared" si="86"/>
        <v>0</v>
      </c>
      <c r="BN206" s="166">
        <f t="shared" si="86"/>
        <v>0</v>
      </c>
      <c r="BO206" s="166">
        <f t="shared" si="86"/>
        <v>0</v>
      </c>
      <c r="BP206" s="166">
        <f t="shared" si="86"/>
        <v>0</v>
      </c>
      <c r="BQ206" s="166">
        <f t="shared" si="86"/>
        <v>0</v>
      </c>
      <c r="BR206" s="166">
        <f t="shared" si="86"/>
        <v>0</v>
      </c>
      <c r="BS206" s="166"/>
      <c r="BT206" s="166"/>
      <c r="BU206" s="166">
        <f>SUM(BU175:BU205)</f>
        <v>0</v>
      </c>
      <c r="BV206" s="132"/>
    </row>
    <row r="207" ht="14.25" customHeight="1">
      <c r="A207" s="1"/>
      <c r="B207" s="2"/>
      <c r="C207" s="3"/>
      <c r="D207" s="3"/>
      <c r="E207" s="3"/>
      <c r="F207" s="3"/>
      <c r="G207" s="4"/>
      <c r="H207" s="1"/>
      <c r="I207" s="1"/>
      <c r="J207" s="1"/>
      <c r="K207" s="1"/>
      <c r="L207" s="1"/>
      <c r="M207" s="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1"/>
      <c r="Y207" s="1"/>
      <c r="Z207" s="1"/>
      <c r="AA207" s="1"/>
      <c r="AB207" s="1"/>
      <c r="AC207" s="3"/>
      <c r="AD207" s="3"/>
      <c r="AE207" s="3"/>
      <c r="AF207" s="3"/>
      <c r="AG207" s="3"/>
      <c r="AH207" s="3"/>
      <c r="AI207" s="3"/>
      <c r="AJ207" s="96"/>
      <c r="AK207" s="3"/>
      <c r="AL207" s="3"/>
      <c r="AM207" s="3"/>
      <c r="AN207" s="4"/>
      <c r="AO207" s="3"/>
      <c r="AP207" s="3"/>
      <c r="AQ207" s="3"/>
      <c r="AR207" s="3"/>
      <c r="AS207" s="3"/>
      <c r="AT207" s="1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1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</row>
    <row r="208" ht="14.25" customHeight="1">
      <c r="A208" s="1"/>
      <c r="B208" s="2"/>
      <c r="C208" s="3"/>
      <c r="D208" s="3"/>
      <c r="E208" s="3"/>
      <c r="F208" s="3"/>
      <c r="G208" s="4"/>
      <c r="H208" s="1"/>
      <c r="I208" s="1"/>
      <c r="J208" s="1"/>
      <c r="K208" s="1"/>
      <c r="L208" s="1"/>
      <c r="M208" s="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1"/>
      <c r="Y208" s="1"/>
      <c r="Z208" s="1"/>
      <c r="AA208" s="1"/>
      <c r="AB208" s="1"/>
      <c r="AC208" s="3"/>
      <c r="AD208" s="3"/>
      <c r="AE208" s="3"/>
      <c r="AF208" s="3"/>
      <c r="AG208" s="3"/>
      <c r="AH208" s="3"/>
      <c r="AI208" s="3"/>
      <c r="AJ208" s="176"/>
      <c r="AK208" s="3"/>
      <c r="AL208" s="3"/>
      <c r="AM208" s="3"/>
      <c r="AN208" s="4"/>
      <c r="AO208" s="3"/>
      <c r="AP208" s="3"/>
      <c r="AQ208" s="3"/>
      <c r="AR208" s="3"/>
      <c r="AS208" s="3"/>
      <c r="AT208" s="1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1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</row>
    <row r="209" ht="14.25" customHeight="1">
      <c r="A209" s="3"/>
      <c r="B209" s="215">
        <v>46204</v>
      </c>
      <c r="C209" s="285"/>
      <c r="D209" s="104"/>
      <c r="E209" s="97"/>
      <c r="F209" s="97"/>
      <c r="G209" s="216">
        <f ref="G209:G239" t="shared" si="87">+C209+D209+E209+F209</f>
        <v>0</v>
      </c>
      <c r="H209" s="778"/>
      <c r="I209" s="619"/>
      <c r="J209" s="619"/>
      <c r="K209" s="619"/>
      <c r="L209" s="619"/>
      <c r="M209" s="619"/>
      <c r="N209" s="186"/>
      <c r="O209" s="186"/>
      <c r="P209" s="186"/>
      <c r="Q209" s="186"/>
      <c r="R209" s="186"/>
      <c r="S209" s="186"/>
      <c r="T209" s="186"/>
      <c r="U209" s="186"/>
      <c r="V209" s="186"/>
      <c r="W209" s="103">
        <f ref="W209:W239" t="shared" si="88">SUM(H209:V209)</f>
        <v>0</v>
      </c>
      <c r="X209" s="619"/>
      <c r="Y209" s="619"/>
      <c r="Z209" s="619"/>
      <c r="AA209" s="619"/>
      <c r="AB209" s="619"/>
      <c r="AC209" s="186"/>
      <c r="AD209" s="186"/>
      <c r="AE209" s="186"/>
      <c r="AF209" s="186"/>
      <c r="AG209" s="186"/>
      <c r="AH209" s="186"/>
      <c r="AI209" s="186"/>
      <c r="AJ209" s="103">
        <f ref="AJ209:AJ239" t="shared" si="89">SUM(X209:AI209)</f>
        <v>0</v>
      </c>
      <c r="AK209" s="104"/>
      <c r="AL209" s="104"/>
      <c r="AM209" s="104"/>
      <c r="AN209" s="191">
        <f ref="AN209:AN239" t="shared" si="90">SUM(AK209:AM209)</f>
        <v>0</v>
      </c>
      <c r="AO209" s="186"/>
      <c r="AP209" s="186"/>
      <c r="AQ209" s="186"/>
      <c r="AR209" s="193"/>
      <c r="AS209" s="266">
        <f ref="AS209:AS239" t="shared" si="91">+G209-W209-AJ209-AN209-AO209-AP209-AQ209-AR209</f>
        <v>0</v>
      </c>
      <c r="AT209" s="1132"/>
      <c r="AU209" s="109"/>
      <c r="AV209" s="109"/>
      <c r="AW209" s="109"/>
      <c r="AX209" s="109"/>
      <c r="AY209" s="109"/>
      <c r="AZ209" s="269"/>
      <c r="BA209" s="269"/>
      <c r="BB209" s="269"/>
      <c r="BC209" s="269"/>
      <c r="BD209" s="292">
        <f ref="BD209:BD239" t="shared" si="92">SUM(AT209:BC209)-BB209</f>
        <v>0</v>
      </c>
      <c r="BE209" s="1051">
        <f ref="BE209:BE239" t="shared" si="93">+AS209-BD209</f>
        <v>0</v>
      </c>
      <c r="BF209" s="3"/>
      <c r="BG209" s="114">
        <f ref="BG209:BG239" t="shared" si="94">SUM(BH209:BT209)</f>
        <v>0</v>
      </c>
      <c r="BH209" s="115"/>
      <c r="BI209" s="115"/>
      <c r="BJ209" s="115"/>
      <c r="BK209" s="115"/>
      <c r="BL209" s="115"/>
      <c r="BM209" s="115"/>
      <c r="BN209" s="115"/>
      <c r="BO209" s="115"/>
      <c r="BP209" s="115"/>
      <c r="BQ209" s="220"/>
      <c r="BR209" s="220"/>
      <c r="BS209" s="220"/>
      <c r="BT209" s="220"/>
      <c r="BU209" s="116">
        <f ref="BU209:BU239" t="shared" si="95">+BE209-BG209</f>
        <v>0</v>
      </c>
      <c r="BV209" s="3"/>
    </row>
    <row r="210" ht="14.25" customHeight="1">
      <c r="A210" s="3"/>
      <c r="B210" s="215">
        <v>46205</v>
      </c>
      <c r="C210" s="118"/>
      <c r="D210" s="123"/>
      <c r="E210" s="120"/>
      <c r="F210" s="120"/>
      <c r="G210" s="147">
        <f t="shared" si="87"/>
        <v>0</v>
      </c>
      <c r="H210" s="768"/>
      <c r="I210" s="611"/>
      <c r="J210" s="611"/>
      <c r="K210" s="611"/>
      <c r="L210" s="611"/>
      <c r="M210" s="611"/>
      <c r="N210" s="143"/>
      <c r="O210" s="143"/>
      <c r="P210" s="143"/>
      <c r="Q210" s="143"/>
      <c r="R210" s="143"/>
      <c r="S210" s="143"/>
      <c r="T210" s="143"/>
      <c r="U210" s="143"/>
      <c r="V210" s="143"/>
      <c r="W210" s="103">
        <f t="shared" si="88"/>
        <v>0</v>
      </c>
      <c r="X210" s="611"/>
      <c r="Y210" s="611"/>
      <c r="Z210" s="611"/>
      <c r="AA210" s="611"/>
      <c r="AB210" s="611"/>
      <c r="AC210" s="143"/>
      <c r="AD210" s="143"/>
      <c r="AE210" s="143"/>
      <c r="AF210" s="143"/>
      <c r="AG210" s="143"/>
      <c r="AH210" s="143"/>
      <c r="AI210" s="143"/>
      <c r="AJ210" s="103">
        <f t="shared" si="89"/>
        <v>0</v>
      </c>
      <c r="AK210" s="123"/>
      <c r="AL210" s="123"/>
      <c r="AM210" s="123"/>
      <c r="AN210" s="105">
        <f t="shared" si="90"/>
        <v>0</v>
      </c>
      <c r="AO210" s="143"/>
      <c r="AP210" s="143"/>
      <c r="AQ210" s="143"/>
      <c r="AR210" s="146"/>
      <c r="AS210" s="224">
        <f t="shared" si="91"/>
        <v>0</v>
      </c>
      <c r="AT210" s="1133"/>
      <c r="AU210" s="126"/>
      <c r="AV210" s="126"/>
      <c r="AW210" s="126"/>
      <c r="AX210" s="126"/>
      <c r="AY210" s="126"/>
      <c r="AZ210" s="274"/>
      <c r="BA210" s="274"/>
      <c r="BB210" s="274"/>
      <c r="BC210" s="274"/>
      <c r="BD210" s="222">
        <f t="shared" si="92"/>
        <v>0</v>
      </c>
      <c r="BE210" s="1055">
        <f t="shared" si="93"/>
        <v>0</v>
      </c>
      <c r="BF210" s="3"/>
      <c r="BG210" s="113">
        <f t="shared" si="94"/>
        <v>0</v>
      </c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225"/>
      <c r="BR210" s="225"/>
      <c r="BS210" s="225"/>
      <c r="BT210" s="225"/>
      <c r="BU210" s="130">
        <f t="shared" si="95"/>
        <v>0</v>
      </c>
      <c r="BV210" s="3"/>
    </row>
    <row r="211" ht="14.25" customHeight="1">
      <c r="A211" s="3"/>
      <c r="B211" s="215">
        <v>46206</v>
      </c>
      <c r="C211" s="118"/>
      <c r="D211" s="123"/>
      <c r="E211" s="120"/>
      <c r="F211" s="120"/>
      <c r="G211" s="147">
        <f t="shared" si="87"/>
        <v>0</v>
      </c>
      <c r="H211" s="768"/>
      <c r="I211" s="611"/>
      <c r="J211" s="611"/>
      <c r="K211" s="611"/>
      <c r="L211" s="611"/>
      <c r="M211" s="611"/>
      <c r="N211" s="143"/>
      <c r="O211" s="143"/>
      <c r="P211" s="143"/>
      <c r="Q211" s="143"/>
      <c r="R211" s="143"/>
      <c r="S211" s="143"/>
      <c r="T211" s="143"/>
      <c r="U211" s="143"/>
      <c r="V211" s="143"/>
      <c r="W211" s="103">
        <f t="shared" si="88"/>
        <v>0</v>
      </c>
      <c r="X211" s="611"/>
      <c r="Y211" s="611"/>
      <c r="Z211" s="611"/>
      <c r="AA211" s="611"/>
      <c r="AB211" s="611"/>
      <c r="AC211" s="143"/>
      <c r="AD211" s="143"/>
      <c r="AE211" s="143"/>
      <c r="AF211" s="143"/>
      <c r="AG211" s="143"/>
      <c r="AH211" s="143"/>
      <c r="AI211" s="143"/>
      <c r="AJ211" s="103">
        <f t="shared" si="89"/>
        <v>0</v>
      </c>
      <c r="AK211" s="123"/>
      <c r="AL211" s="123"/>
      <c r="AM211" s="123"/>
      <c r="AN211" s="105">
        <f t="shared" si="90"/>
        <v>0</v>
      </c>
      <c r="AO211" s="143"/>
      <c r="AP211" s="143"/>
      <c r="AQ211" s="143"/>
      <c r="AR211" s="146"/>
      <c r="AS211" s="224">
        <f t="shared" si="91"/>
        <v>0</v>
      </c>
      <c r="AT211" s="1133"/>
      <c r="AU211" s="126"/>
      <c r="AV211" s="126"/>
      <c r="AW211" s="126"/>
      <c r="AX211" s="126"/>
      <c r="AY211" s="126"/>
      <c r="AZ211" s="274"/>
      <c r="BA211" s="274"/>
      <c r="BB211" s="274"/>
      <c r="BC211" s="274"/>
      <c r="BD211" s="222">
        <f t="shared" si="92"/>
        <v>0</v>
      </c>
      <c r="BE211" s="1055">
        <f t="shared" si="93"/>
        <v>0</v>
      </c>
      <c r="BF211" s="3"/>
      <c r="BG211" s="113">
        <f t="shared" si="94"/>
        <v>0</v>
      </c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225"/>
      <c r="BR211" s="225"/>
      <c r="BS211" s="225"/>
      <c r="BT211" s="225"/>
      <c r="BU211" s="130">
        <f t="shared" si="95"/>
        <v>0</v>
      </c>
      <c r="BV211" s="3"/>
    </row>
    <row r="212" ht="14.25" customHeight="1">
      <c r="A212" s="3"/>
      <c r="B212" s="215">
        <v>46207</v>
      </c>
      <c r="C212" s="118"/>
      <c r="D212" s="123"/>
      <c r="E212" s="120"/>
      <c r="F212" s="120"/>
      <c r="G212" s="147">
        <f t="shared" si="87"/>
        <v>0</v>
      </c>
      <c r="H212" s="768"/>
      <c r="I212" s="611"/>
      <c r="J212" s="611"/>
      <c r="K212" s="611"/>
      <c r="L212" s="611"/>
      <c r="M212" s="611"/>
      <c r="N212" s="143"/>
      <c r="O212" s="143"/>
      <c r="P212" s="143"/>
      <c r="Q212" s="143"/>
      <c r="R212" s="143"/>
      <c r="S212" s="143"/>
      <c r="T212" s="143"/>
      <c r="U212" s="143"/>
      <c r="V212" s="143"/>
      <c r="W212" s="103">
        <f t="shared" si="88"/>
        <v>0</v>
      </c>
      <c r="X212" s="611"/>
      <c r="Y212" s="611"/>
      <c r="Z212" s="611"/>
      <c r="AA212" s="611"/>
      <c r="AB212" s="611"/>
      <c r="AC212" s="143"/>
      <c r="AD212" s="143"/>
      <c r="AE212" s="143"/>
      <c r="AF212" s="143"/>
      <c r="AG212" s="143"/>
      <c r="AH212" s="143"/>
      <c r="AI212" s="143"/>
      <c r="AJ212" s="103">
        <f t="shared" si="89"/>
        <v>0</v>
      </c>
      <c r="AK212" s="123"/>
      <c r="AL212" s="123"/>
      <c r="AM212" s="123"/>
      <c r="AN212" s="105">
        <f t="shared" si="90"/>
        <v>0</v>
      </c>
      <c r="AO212" s="143"/>
      <c r="AP212" s="143"/>
      <c r="AQ212" s="143"/>
      <c r="AR212" s="146"/>
      <c r="AS212" s="224">
        <f t="shared" si="91"/>
        <v>0</v>
      </c>
      <c r="AT212" s="1133"/>
      <c r="AU212" s="126"/>
      <c r="AV212" s="126"/>
      <c r="AW212" s="126"/>
      <c r="AX212" s="126"/>
      <c r="AY212" s="126"/>
      <c r="AZ212" s="274"/>
      <c r="BA212" s="274"/>
      <c r="BB212" s="274"/>
      <c r="BC212" s="274"/>
      <c r="BD212" s="222">
        <f t="shared" si="92"/>
        <v>0</v>
      </c>
      <c r="BE212" s="1055">
        <f t="shared" si="93"/>
        <v>0</v>
      </c>
      <c r="BF212" s="3"/>
      <c r="BG212" s="113">
        <f t="shared" si="94"/>
        <v>0</v>
      </c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225"/>
      <c r="BR212" s="225"/>
      <c r="BS212" s="225"/>
      <c r="BT212" s="225"/>
      <c r="BU212" s="130">
        <f t="shared" si="95"/>
        <v>0</v>
      </c>
      <c r="BV212" s="3"/>
    </row>
    <row r="213" ht="14.25" customHeight="1">
      <c r="A213" s="132"/>
      <c r="B213" s="215">
        <v>46208</v>
      </c>
      <c r="C213" s="133"/>
      <c r="D213" s="136"/>
      <c r="E213" s="135"/>
      <c r="F213" s="135"/>
      <c r="G213" s="147">
        <f t="shared" si="87"/>
        <v>0</v>
      </c>
      <c r="H213" s="768"/>
      <c r="I213" s="611"/>
      <c r="J213" s="611"/>
      <c r="K213" s="611"/>
      <c r="L213" s="611"/>
      <c r="M213" s="611"/>
      <c r="N213" s="143"/>
      <c r="O213" s="143"/>
      <c r="P213" s="143"/>
      <c r="Q213" s="143"/>
      <c r="R213" s="143"/>
      <c r="S213" s="143"/>
      <c r="T213" s="143"/>
      <c r="U213" s="143"/>
      <c r="V213" s="143"/>
      <c r="W213" s="103">
        <f t="shared" si="88"/>
        <v>0</v>
      </c>
      <c r="X213" s="611"/>
      <c r="Y213" s="611"/>
      <c r="Z213" s="611"/>
      <c r="AA213" s="611"/>
      <c r="AB213" s="611"/>
      <c r="AC213" s="143"/>
      <c r="AD213" s="143"/>
      <c r="AE213" s="143"/>
      <c r="AF213" s="143"/>
      <c r="AG213" s="143"/>
      <c r="AH213" s="143"/>
      <c r="AI213" s="143"/>
      <c r="AJ213" s="103">
        <f t="shared" si="89"/>
        <v>0</v>
      </c>
      <c r="AK213" s="136"/>
      <c r="AL213" s="136"/>
      <c r="AM213" s="136"/>
      <c r="AN213" s="105">
        <f t="shared" si="90"/>
        <v>0</v>
      </c>
      <c r="AO213" s="143"/>
      <c r="AP213" s="143"/>
      <c r="AQ213" s="143"/>
      <c r="AR213" s="146"/>
      <c r="AS213" s="224">
        <f t="shared" si="91"/>
        <v>0</v>
      </c>
      <c r="AT213" s="1133"/>
      <c r="AU213" s="126"/>
      <c r="AV213" s="126"/>
      <c r="AW213" s="126"/>
      <c r="AX213" s="126"/>
      <c r="AY213" s="126"/>
      <c r="AZ213" s="274"/>
      <c r="BA213" s="274"/>
      <c r="BB213" s="274"/>
      <c r="BC213" s="274"/>
      <c r="BD213" s="222">
        <f t="shared" si="92"/>
        <v>0</v>
      </c>
      <c r="BE213" s="456">
        <f t="shared" si="93"/>
        <v>0</v>
      </c>
      <c r="BF213" s="132"/>
      <c r="BG213" s="140">
        <f t="shared" si="94"/>
        <v>0</v>
      </c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26"/>
      <c r="BR213" s="126"/>
      <c r="BS213" s="126"/>
      <c r="BT213" s="126"/>
      <c r="BU213" s="130">
        <f t="shared" si="95"/>
        <v>0</v>
      </c>
      <c r="BV213" s="132"/>
    </row>
    <row r="214" ht="14.25" customHeight="1">
      <c r="A214" s="132"/>
      <c r="B214" s="215">
        <v>46209</v>
      </c>
      <c r="C214" s="133"/>
      <c r="D214" s="136"/>
      <c r="E214" s="135"/>
      <c r="F214" s="135"/>
      <c r="G214" s="147">
        <f t="shared" si="87"/>
        <v>0</v>
      </c>
      <c r="H214" s="768"/>
      <c r="I214" s="611"/>
      <c r="J214" s="611"/>
      <c r="K214" s="611"/>
      <c r="L214" s="611"/>
      <c r="M214" s="611"/>
      <c r="N214" s="143"/>
      <c r="O214" s="143"/>
      <c r="P214" s="143"/>
      <c r="Q214" s="143"/>
      <c r="R214" s="143"/>
      <c r="S214" s="143"/>
      <c r="T214" s="143"/>
      <c r="U214" s="143"/>
      <c r="V214" s="143"/>
      <c r="W214" s="103">
        <f t="shared" si="88"/>
        <v>0</v>
      </c>
      <c r="X214" s="611"/>
      <c r="Y214" s="611"/>
      <c r="Z214" s="611"/>
      <c r="AA214" s="611"/>
      <c r="AB214" s="611"/>
      <c r="AC214" s="143"/>
      <c r="AD214" s="143"/>
      <c r="AE214" s="143"/>
      <c r="AF214" s="143"/>
      <c r="AG214" s="143"/>
      <c r="AH214" s="143"/>
      <c r="AI214" s="143"/>
      <c r="AJ214" s="103">
        <f t="shared" si="89"/>
        <v>0</v>
      </c>
      <c r="AK214" s="136"/>
      <c r="AL214" s="136"/>
      <c r="AM214" s="136"/>
      <c r="AN214" s="105">
        <f t="shared" si="90"/>
        <v>0</v>
      </c>
      <c r="AO214" s="143"/>
      <c r="AP214" s="143"/>
      <c r="AQ214" s="143"/>
      <c r="AR214" s="146"/>
      <c r="AS214" s="224">
        <f t="shared" si="91"/>
        <v>0</v>
      </c>
      <c r="AT214" s="1133"/>
      <c r="AU214" s="126"/>
      <c r="AV214" s="126"/>
      <c r="AW214" s="126"/>
      <c r="AX214" s="126"/>
      <c r="AY214" s="126"/>
      <c r="AZ214" s="274"/>
      <c r="BA214" s="274"/>
      <c r="BB214" s="274"/>
      <c r="BC214" s="274"/>
      <c r="BD214" s="222">
        <f t="shared" si="92"/>
        <v>0</v>
      </c>
      <c r="BE214" s="456">
        <f t="shared" si="93"/>
        <v>0</v>
      </c>
      <c r="BF214" s="132"/>
      <c r="BG214" s="140">
        <f t="shared" si="94"/>
        <v>0</v>
      </c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26"/>
      <c r="BR214" s="126"/>
      <c r="BS214" s="126"/>
      <c r="BT214" s="126"/>
      <c r="BU214" s="130">
        <f t="shared" si="95"/>
        <v>0</v>
      </c>
      <c r="BV214" s="132"/>
    </row>
    <row r="215" ht="14.25" customHeight="1">
      <c r="A215" s="132"/>
      <c r="B215" s="215">
        <v>46210</v>
      </c>
      <c r="C215" s="133"/>
      <c r="D215" s="136"/>
      <c r="E215" s="135"/>
      <c r="F215" s="135"/>
      <c r="G215" s="147">
        <f t="shared" si="87"/>
        <v>0</v>
      </c>
      <c r="H215" s="768"/>
      <c r="I215" s="611"/>
      <c r="J215" s="611"/>
      <c r="K215" s="611"/>
      <c r="L215" s="611"/>
      <c r="M215" s="611"/>
      <c r="N215" s="143"/>
      <c r="O215" s="143"/>
      <c r="P215" s="143"/>
      <c r="Q215" s="143"/>
      <c r="R215" s="143"/>
      <c r="S215" s="143"/>
      <c r="T215" s="143"/>
      <c r="U215" s="143"/>
      <c r="V215" s="143"/>
      <c r="W215" s="103">
        <f t="shared" si="88"/>
        <v>0</v>
      </c>
      <c r="X215" s="611"/>
      <c r="Y215" s="611"/>
      <c r="Z215" s="611"/>
      <c r="AA215" s="611"/>
      <c r="AB215" s="611"/>
      <c r="AC215" s="143"/>
      <c r="AD215" s="143"/>
      <c r="AE215" s="143"/>
      <c r="AF215" s="143"/>
      <c r="AG215" s="143"/>
      <c r="AH215" s="143"/>
      <c r="AI215" s="143"/>
      <c r="AJ215" s="103">
        <f t="shared" si="89"/>
        <v>0</v>
      </c>
      <c r="AK215" s="136"/>
      <c r="AL215" s="136"/>
      <c r="AM215" s="136"/>
      <c r="AN215" s="105">
        <f t="shared" si="90"/>
        <v>0</v>
      </c>
      <c r="AO215" s="143"/>
      <c r="AP215" s="143"/>
      <c r="AQ215" s="143"/>
      <c r="AR215" s="146"/>
      <c r="AS215" s="224">
        <f t="shared" si="91"/>
        <v>0</v>
      </c>
      <c r="AT215" s="1133"/>
      <c r="AU215" s="126"/>
      <c r="AV215" s="126"/>
      <c r="AW215" s="126"/>
      <c r="AX215" s="126"/>
      <c r="AY215" s="126"/>
      <c r="AZ215" s="274"/>
      <c r="BA215" s="274"/>
      <c r="BB215" s="274"/>
      <c r="BC215" s="274"/>
      <c r="BD215" s="222">
        <f t="shared" si="92"/>
        <v>0</v>
      </c>
      <c r="BE215" s="456">
        <f t="shared" si="93"/>
        <v>0</v>
      </c>
      <c r="BF215" s="132"/>
      <c r="BG215" s="140">
        <f t="shared" si="94"/>
        <v>0</v>
      </c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26"/>
      <c r="BR215" s="126"/>
      <c r="BS215" s="126"/>
      <c r="BT215" s="126"/>
      <c r="BU215" s="130">
        <f t="shared" si="95"/>
        <v>0</v>
      </c>
      <c r="BV215" s="132"/>
    </row>
    <row r="216" ht="14.25" customHeight="1">
      <c r="A216" s="132"/>
      <c r="B216" s="215">
        <v>46211</v>
      </c>
      <c r="C216" s="133"/>
      <c r="D216" s="136"/>
      <c r="E216" s="135"/>
      <c r="F216" s="135"/>
      <c r="G216" s="147">
        <f t="shared" si="87"/>
        <v>0</v>
      </c>
      <c r="H216" s="768"/>
      <c r="I216" s="611"/>
      <c r="J216" s="611"/>
      <c r="K216" s="611"/>
      <c r="L216" s="611"/>
      <c r="M216" s="611"/>
      <c r="N216" s="143"/>
      <c r="O216" s="143"/>
      <c r="P216" s="143"/>
      <c r="Q216" s="143"/>
      <c r="R216" s="143"/>
      <c r="S216" s="143"/>
      <c r="T216" s="143"/>
      <c r="U216" s="143"/>
      <c r="V216" s="143"/>
      <c r="W216" s="103">
        <f t="shared" si="88"/>
        <v>0</v>
      </c>
      <c r="X216" s="611"/>
      <c r="Y216" s="611"/>
      <c r="Z216" s="611"/>
      <c r="AA216" s="611"/>
      <c r="AB216" s="611"/>
      <c r="AC216" s="143"/>
      <c r="AD216" s="143"/>
      <c r="AE216" s="143"/>
      <c r="AF216" s="143"/>
      <c r="AG216" s="143"/>
      <c r="AH216" s="143"/>
      <c r="AI216" s="143"/>
      <c r="AJ216" s="103">
        <f t="shared" si="89"/>
        <v>0</v>
      </c>
      <c r="AK216" s="136"/>
      <c r="AL216" s="136"/>
      <c r="AM216" s="136"/>
      <c r="AN216" s="105">
        <f t="shared" si="90"/>
        <v>0</v>
      </c>
      <c r="AO216" s="143"/>
      <c r="AP216" s="143"/>
      <c r="AQ216" s="143"/>
      <c r="AR216" s="146"/>
      <c r="AS216" s="224">
        <f t="shared" si="91"/>
        <v>0</v>
      </c>
      <c r="AT216" s="1133"/>
      <c r="AU216" s="126"/>
      <c r="AV216" s="126"/>
      <c r="AW216" s="126"/>
      <c r="AX216" s="126"/>
      <c r="AY216" s="126"/>
      <c r="AZ216" s="274"/>
      <c r="BA216" s="274"/>
      <c r="BB216" s="274"/>
      <c r="BC216" s="274"/>
      <c r="BD216" s="222">
        <f t="shared" si="92"/>
        <v>0</v>
      </c>
      <c r="BE216" s="456">
        <f t="shared" si="93"/>
        <v>0</v>
      </c>
      <c r="BF216" s="132"/>
      <c r="BG216" s="140">
        <f t="shared" si="94"/>
        <v>0</v>
      </c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26"/>
      <c r="BR216" s="126"/>
      <c r="BS216" s="126"/>
      <c r="BT216" s="126"/>
      <c r="BU216" s="130">
        <f t="shared" si="95"/>
        <v>0</v>
      </c>
      <c r="BV216" s="132"/>
    </row>
    <row r="217" ht="14.25" customHeight="1">
      <c r="A217" s="132"/>
      <c r="B217" s="215">
        <v>46212</v>
      </c>
      <c r="C217" s="133"/>
      <c r="D217" s="136"/>
      <c r="E217" s="135"/>
      <c r="F217" s="135"/>
      <c r="G217" s="147">
        <f t="shared" si="87"/>
        <v>0</v>
      </c>
      <c r="H217" s="768"/>
      <c r="I217" s="611"/>
      <c r="J217" s="611"/>
      <c r="K217" s="611"/>
      <c r="L217" s="611"/>
      <c r="M217" s="611"/>
      <c r="N217" s="143"/>
      <c r="O217" s="143"/>
      <c r="P217" s="143"/>
      <c r="Q217" s="143"/>
      <c r="R217" s="143"/>
      <c r="S217" s="143"/>
      <c r="T217" s="143"/>
      <c r="U217" s="143"/>
      <c r="V217" s="143"/>
      <c r="W217" s="103">
        <f t="shared" si="88"/>
        <v>0</v>
      </c>
      <c r="X217" s="611"/>
      <c r="Y217" s="611"/>
      <c r="Z217" s="611"/>
      <c r="AA217" s="611"/>
      <c r="AB217" s="611"/>
      <c r="AC217" s="143"/>
      <c r="AD217" s="143"/>
      <c r="AE217" s="143"/>
      <c r="AF217" s="143"/>
      <c r="AG217" s="143"/>
      <c r="AH217" s="143"/>
      <c r="AI217" s="143"/>
      <c r="AJ217" s="103">
        <f t="shared" si="89"/>
        <v>0</v>
      </c>
      <c r="AK217" s="136"/>
      <c r="AL217" s="136"/>
      <c r="AM217" s="136"/>
      <c r="AN217" s="105">
        <f t="shared" si="90"/>
        <v>0</v>
      </c>
      <c r="AO217" s="143"/>
      <c r="AP217" s="143"/>
      <c r="AQ217" s="143"/>
      <c r="AR217" s="146"/>
      <c r="AS217" s="224">
        <f t="shared" si="91"/>
        <v>0</v>
      </c>
      <c r="AT217" s="1133"/>
      <c r="AU217" s="126"/>
      <c r="AV217" s="126"/>
      <c r="AW217" s="126"/>
      <c r="AX217" s="126"/>
      <c r="AY217" s="126"/>
      <c r="AZ217" s="274"/>
      <c r="BA217" s="274"/>
      <c r="BB217" s="274"/>
      <c r="BC217" s="274"/>
      <c r="BD217" s="222">
        <f t="shared" si="92"/>
        <v>0</v>
      </c>
      <c r="BE217" s="456">
        <f t="shared" si="93"/>
        <v>0</v>
      </c>
      <c r="BF217" s="132"/>
      <c r="BG217" s="140">
        <f t="shared" si="94"/>
        <v>0</v>
      </c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26"/>
      <c r="BR217" s="126"/>
      <c r="BS217" s="126"/>
      <c r="BT217" s="126"/>
      <c r="BU217" s="130">
        <f t="shared" si="95"/>
        <v>0</v>
      </c>
      <c r="BV217" s="132"/>
    </row>
    <row r="218" ht="14.25" customHeight="1">
      <c r="A218" s="132"/>
      <c r="B218" s="215">
        <v>46213</v>
      </c>
      <c r="C218" s="133"/>
      <c r="D218" s="136"/>
      <c r="E218" s="135"/>
      <c r="F218" s="135"/>
      <c r="G218" s="147">
        <f t="shared" si="87"/>
        <v>0</v>
      </c>
      <c r="H218" s="768"/>
      <c r="I218" s="611"/>
      <c r="J218" s="611"/>
      <c r="K218" s="611"/>
      <c r="L218" s="611"/>
      <c r="M218" s="611"/>
      <c r="N218" s="143"/>
      <c r="O218" s="143"/>
      <c r="P218" s="143"/>
      <c r="Q218" s="143"/>
      <c r="R218" s="143"/>
      <c r="S218" s="143"/>
      <c r="T218" s="143"/>
      <c r="U218" s="143"/>
      <c r="V218" s="143"/>
      <c r="W218" s="103">
        <f t="shared" si="88"/>
        <v>0</v>
      </c>
      <c r="X218" s="611"/>
      <c r="Y218" s="611"/>
      <c r="Z218" s="611"/>
      <c r="AA218" s="611"/>
      <c r="AB218" s="611"/>
      <c r="AC218" s="143"/>
      <c r="AD218" s="143"/>
      <c r="AE218" s="143"/>
      <c r="AF218" s="143"/>
      <c r="AG218" s="143"/>
      <c r="AH218" s="143"/>
      <c r="AI218" s="143"/>
      <c r="AJ218" s="103">
        <f t="shared" si="89"/>
        <v>0</v>
      </c>
      <c r="AK218" s="136"/>
      <c r="AL218" s="136"/>
      <c r="AM218" s="136"/>
      <c r="AN218" s="105">
        <f t="shared" si="90"/>
        <v>0</v>
      </c>
      <c r="AO218" s="143"/>
      <c r="AP218" s="143"/>
      <c r="AQ218" s="143"/>
      <c r="AR218" s="146"/>
      <c r="AS218" s="224">
        <f t="shared" si="91"/>
        <v>0</v>
      </c>
      <c r="AT218" s="1133"/>
      <c r="AU218" s="126"/>
      <c r="AV218" s="126"/>
      <c r="AW218" s="126"/>
      <c r="AX218" s="126"/>
      <c r="AY218" s="126"/>
      <c r="AZ218" s="274"/>
      <c r="BA218" s="274"/>
      <c r="BB218" s="274"/>
      <c r="BC218" s="274"/>
      <c r="BD218" s="222">
        <f t="shared" si="92"/>
        <v>0</v>
      </c>
      <c r="BE218" s="456">
        <f t="shared" si="93"/>
        <v>0</v>
      </c>
      <c r="BF218" s="132"/>
      <c r="BG218" s="140">
        <f t="shared" si="94"/>
        <v>0</v>
      </c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26"/>
      <c r="BR218" s="126"/>
      <c r="BS218" s="126"/>
      <c r="BT218" s="126"/>
      <c r="BU218" s="130">
        <f t="shared" si="95"/>
        <v>0</v>
      </c>
      <c r="BV218" s="132"/>
    </row>
    <row r="219" ht="14.25" customHeight="1">
      <c r="A219" s="132"/>
      <c r="B219" s="215">
        <v>46214</v>
      </c>
      <c r="C219" s="133"/>
      <c r="D219" s="136"/>
      <c r="E219" s="135"/>
      <c r="F219" s="135"/>
      <c r="G219" s="147">
        <f t="shared" si="87"/>
        <v>0</v>
      </c>
      <c r="H219" s="768"/>
      <c r="I219" s="611"/>
      <c r="J219" s="611"/>
      <c r="K219" s="611"/>
      <c r="L219" s="611"/>
      <c r="M219" s="611"/>
      <c r="N219" s="143"/>
      <c r="O219" s="143"/>
      <c r="P219" s="143"/>
      <c r="Q219" s="143"/>
      <c r="R219" s="143"/>
      <c r="S219" s="143"/>
      <c r="T219" s="143"/>
      <c r="U219" s="143"/>
      <c r="V219" s="143"/>
      <c r="W219" s="103">
        <f t="shared" si="88"/>
        <v>0</v>
      </c>
      <c r="X219" s="611"/>
      <c r="Y219" s="611"/>
      <c r="Z219" s="611"/>
      <c r="AA219" s="611"/>
      <c r="AB219" s="611"/>
      <c r="AC219" s="143"/>
      <c r="AD219" s="143"/>
      <c r="AE219" s="143"/>
      <c r="AF219" s="143"/>
      <c r="AG219" s="143"/>
      <c r="AH219" s="143"/>
      <c r="AI219" s="143"/>
      <c r="AJ219" s="103">
        <f t="shared" si="89"/>
        <v>0</v>
      </c>
      <c r="AK219" s="136"/>
      <c r="AL219" s="136"/>
      <c r="AM219" s="136"/>
      <c r="AN219" s="105">
        <f t="shared" si="90"/>
        <v>0</v>
      </c>
      <c r="AO219" s="143"/>
      <c r="AP219" s="143"/>
      <c r="AQ219" s="143"/>
      <c r="AR219" s="146"/>
      <c r="AS219" s="224">
        <f t="shared" si="91"/>
        <v>0</v>
      </c>
      <c r="AT219" s="1133"/>
      <c r="AU219" s="126"/>
      <c r="AV219" s="126"/>
      <c r="AW219" s="126"/>
      <c r="AX219" s="126"/>
      <c r="AY219" s="126"/>
      <c r="AZ219" s="274"/>
      <c r="BA219" s="274"/>
      <c r="BB219" s="274"/>
      <c r="BC219" s="274"/>
      <c r="BD219" s="222">
        <f t="shared" si="92"/>
        <v>0</v>
      </c>
      <c r="BE219" s="456">
        <f t="shared" si="93"/>
        <v>0</v>
      </c>
      <c r="BF219" s="132"/>
      <c r="BG219" s="140">
        <f t="shared" si="94"/>
        <v>0</v>
      </c>
      <c r="BH219" s="141"/>
      <c r="BI219" s="141"/>
      <c r="BJ219" s="141"/>
      <c r="BK219" s="141"/>
      <c r="BL219" s="141"/>
      <c r="BM219" s="141"/>
      <c r="BN219" s="141"/>
      <c r="BO219" s="141"/>
      <c r="BP219" s="141"/>
      <c r="BQ219" s="126"/>
      <c r="BR219" s="126"/>
      <c r="BS219" s="126"/>
      <c r="BT219" s="126"/>
      <c r="BU219" s="130">
        <f t="shared" si="95"/>
        <v>0</v>
      </c>
      <c r="BV219" s="132"/>
    </row>
    <row r="220" ht="14.25" customHeight="1">
      <c r="A220" s="132"/>
      <c r="B220" s="215">
        <v>46215</v>
      </c>
      <c r="C220" s="133"/>
      <c r="D220" s="136"/>
      <c r="E220" s="135"/>
      <c r="F220" s="135"/>
      <c r="G220" s="147">
        <f t="shared" si="87"/>
        <v>0</v>
      </c>
      <c r="H220" s="768"/>
      <c r="I220" s="611"/>
      <c r="J220" s="611"/>
      <c r="K220" s="611"/>
      <c r="L220" s="611"/>
      <c r="M220" s="611"/>
      <c r="N220" s="143"/>
      <c r="O220" s="143"/>
      <c r="P220" s="143"/>
      <c r="Q220" s="143"/>
      <c r="R220" s="143"/>
      <c r="S220" s="143"/>
      <c r="T220" s="143"/>
      <c r="U220" s="143"/>
      <c r="V220" s="143"/>
      <c r="W220" s="103">
        <f t="shared" si="88"/>
        <v>0</v>
      </c>
      <c r="X220" s="611"/>
      <c r="Y220" s="611"/>
      <c r="Z220" s="611"/>
      <c r="AA220" s="611"/>
      <c r="AB220" s="611"/>
      <c r="AC220" s="143"/>
      <c r="AD220" s="143"/>
      <c r="AE220" s="143"/>
      <c r="AF220" s="143"/>
      <c r="AG220" s="143"/>
      <c r="AH220" s="143"/>
      <c r="AI220" s="143"/>
      <c r="AJ220" s="103">
        <f t="shared" si="89"/>
        <v>0</v>
      </c>
      <c r="AK220" s="136"/>
      <c r="AL220" s="136"/>
      <c r="AM220" s="136"/>
      <c r="AN220" s="105">
        <f t="shared" si="90"/>
        <v>0</v>
      </c>
      <c r="AO220" s="143"/>
      <c r="AP220" s="143"/>
      <c r="AQ220" s="143"/>
      <c r="AR220" s="146"/>
      <c r="AS220" s="224">
        <f t="shared" si="91"/>
        <v>0</v>
      </c>
      <c r="AT220" s="1133"/>
      <c r="AU220" s="126"/>
      <c r="AV220" s="126"/>
      <c r="AW220" s="126"/>
      <c r="AX220" s="126"/>
      <c r="AY220" s="126"/>
      <c r="AZ220" s="274"/>
      <c r="BA220" s="274"/>
      <c r="BB220" s="274"/>
      <c r="BC220" s="274"/>
      <c r="BD220" s="222">
        <f t="shared" si="92"/>
        <v>0</v>
      </c>
      <c r="BE220" s="456">
        <f t="shared" si="93"/>
        <v>0</v>
      </c>
      <c r="BF220" s="132"/>
      <c r="BG220" s="140">
        <f t="shared" si="94"/>
        <v>0</v>
      </c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26"/>
      <c r="BR220" s="126"/>
      <c r="BS220" s="126"/>
      <c r="BT220" s="126"/>
      <c r="BU220" s="130">
        <f t="shared" si="95"/>
        <v>0</v>
      </c>
      <c r="BV220" s="132"/>
    </row>
    <row r="221" ht="14.25" customHeight="1">
      <c r="A221" s="132"/>
      <c r="B221" s="215">
        <v>46216</v>
      </c>
      <c r="C221" s="133"/>
      <c r="D221" s="136"/>
      <c r="E221" s="135"/>
      <c r="F221" s="135"/>
      <c r="G221" s="147">
        <f t="shared" si="87"/>
        <v>0</v>
      </c>
      <c r="H221" s="768"/>
      <c r="I221" s="611"/>
      <c r="J221" s="611"/>
      <c r="K221" s="611"/>
      <c r="L221" s="611"/>
      <c r="M221" s="611"/>
      <c r="N221" s="143"/>
      <c r="O221" s="143"/>
      <c r="P221" s="143"/>
      <c r="Q221" s="143"/>
      <c r="R221" s="143"/>
      <c r="S221" s="143"/>
      <c r="T221" s="143"/>
      <c r="U221" s="143"/>
      <c r="V221" s="143"/>
      <c r="W221" s="103">
        <f t="shared" si="88"/>
        <v>0</v>
      </c>
      <c r="X221" s="611"/>
      <c r="Y221" s="611"/>
      <c r="Z221" s="611"/>
      <c r="AA221" s="611"/>
      <c r="AB221" s="611"/>
      <c r="AC221" s="143"/>
      <c r="AD221" s="143"/>
      <c r="AE221" s="143"/>
      <c r="AF221" s="143"/>
      <c r="AG221" s="143"/>
      <c r="AH221" s="143"/>
      <c r="AI221" s="143"/>
      <c r="AJ221" s="103">
        <f t="shared" si="89"/>
        <v>0</v>
      </c>
      <c r="AK221" s="136"/>
      <c r="AL221" s="136"/>
      <c r="AM221" s="136"/>
      <c r="AN221" s="105">
        <f t="shared" si="90"/>
        <v>0</v>
      </c>
      <c r="AO221" s="143"/>
      <c r="AP221" s="143"/>
      <c r="AQ221" s="143"/>
      <c r="AR221" s="146"/>
      <c r="AS221" s="224">
        <f t="shared" si="91"/>
        <v>0</v>
      </c>
      <c r="AT221" s="1133"/>
      <c r="AU221" s="126"/>
      <c r="AV221" s="126"/>
      <c r="AW221" s="126"/>
      <c r="AX221" s="126"/>
      <c r="AY221" s="126"/>
      <c r="AZ221" s="274"/>
      <c r="BA221" s="274"/>
      <c r="BB221" s="274"/>
      <c r="BC221" s="274"/>
      <c r="BD221" s="222">
        <f t="shared" si="92"/>
        <v>0</v>
      </c>
      <c r="BE221" s="456">
        <f t="shared" si="93"/>
        <v>0</v>
      </c>
      <c r="BF221" s="132"/>
      <c r="BG221" s="140">
        <f t="shared" si="94"/>
        <v>0</v>
      </c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26"/>
      <c r="BR221" s="126"/>
      <c r="BS221" s="126"/>
      <c r="BT221" s="126"/>
      <c r="BU221" s="130">
        <f t="shared" si="95"/>
        <v>0</v>
      </c>
      <c r="BV221" s="132"/>
    </row>
    <row r="222" ht="14.25" customHeight="1">
      <c r="A222" s="132"/>
      <c r="B222" s="215">
        <v>46217</v>
      </c>
      <c r="C222" s="133"/>
      <c r="D222" s="136"/>
      <c r="E222" s="135"/>
      <c r="F222" s="135"/>
      <c r="G222" s="147">
        <f t="shared" si="87"/>
        <v>0</v>
      </c>
      <c r="H222" s="768"/>
      <c r="I222" s="611"/>
      <c r="J222" s="611"/>
      <c r="K222" s="611"/>
      <c r="L222" s="611"/>
      <c r="M222" s="611"/>
      <c r="N222" s="143"/>
      <c r="O222" s="143"/>
      <c r="P222" s="143"/>
      <c r="Q222" s="143"/>
      <c r="R222" s="143"/>
      <c r="S222" s="143"/>
      <c r="T222" s="143"/>
      <c r="U222" s="143"/>
      <c r="V222" s="143"/>
      <c r="W222" s="103">
        <f t="shared" si="88"/>
        <v>0</v>
      </c>
      <c r="X222" s="611"/>
      <c r="Y222" s="380"/>
      <c r="Z222" s="611"/>
      <c r="AA222" s="611"/>
      <c r="AB222" s="611"/>
      <c r="AC222" s="143"/>
      <c r="AD222" s="143"/>
      <c r="AE222" s="143"/>
      <c r="AF222" s="143"/>
      <c r="AG222" s="143"/>
      <c r="AH222" s="143"/>
      <c r="AI222" s="143"/>
      <c r="AJ222" s="103">
        <f t="shared" si="89"/>
        <v>0</v>
      </c>
      <c r="AK222" s="136"/>
      <c r="AL222" s="136"/>
      <c r="AM222" s="136"/>
      <c r="AN222" s="105">
        <f t="shared" si="90"/>
        <v>0</v>
      </c>
      <c r="AO222" s="143"/>
      <c r="AP222" s="143"/>
      <c r="AQ222" s="143"/>
      <c r="AR222" s="146"/>
      <c r="AS222" s="224">
        <f t="shared" si="91"/>
        <v>0</v>
      </c>
      <c r="AT222" s="1133"/>
      <c r="AU222" s="126"/>
      <c r="AV222" s="126"/>
      <c r="AW222" s="126"/>
      <c r="AX222" s="126"/>
      <c r="AY222" s="126"/>
      <c r="AZ222" s="274"/>
      <c r="BA222" s="274"/>
      <c r="BB222" s="274"/>
      <c r="BC222" s="274"/>
      <c r="BD222" s="222">
        <f t="shared" si="92"/>
        <v>0</v>
      </c>
      <c r="BE222" s="456">
        <f t="shared" si="93"/>
        <v>0</v>
      </c>
      <c r="BF222" s="132"/>
      <c r="BG222" s="140">
        <f t="shared" si="94"/>
        <v>0</v>
      </c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26"/>
      <c r="BR222" s="126"/>
      <c r="BS222" s="126"/>
      <c r="BT222" s="126"/>
      <c r="BU222" s="130">
        <f t="shared" si="95"/>
        <v>0</v>
      </c>
      <c r="BV222" s="132"/>
    </row>
    <row r="223" ht="14.25" customHeight="1">
      <c r="A223" s="132"/>
      <c r="B223" s="215">
        <v>46218</v>
      </c>
      <c r="C223" s="133"/>
      <c r="D223" s="132"/>
      <c r="E223" s="135"/>
      <c r="F223" s="135"/>
      <c r="G223" s="147">
        <f t="shared" si="87"/>
        <v>0</v>
      </c>
      <c r="H223" s="768"/>
      <c r="I223" s="611"/>
      <c r="J223" s="611"/>
      <c r="K223" s="611"/>
      <c r="L223" s="611"/>
      <c r="M223" s="611"/>
      <c r="N223" s="143"/>
      <c r="O223" s="143"/>
      <c r="P223" s="143"/>
      <c r="Q223" s="143"/>
      <c r="R223" s="143"/>
      <c r="S223" s="143"/>
      <c r="T223" s="143"/>
      <c r="U223" s="143"/>
      <c r="V223" s="143"/>
      <c r="W223" s="103">
        <f t="shared" si="88"/>
        <v>0</v>
      </c>
      <c r="X223" s="611"/>
      <c r="Y223" s="611"/>
      <c r="Z223" s="611"/>
      <c r="AA223" s="611"/>
      <c r="AB223" s="611"/>
      <c r="AC223" s="143"/>
      <c r="AD223" s="143"/>
      <c r="AE223" s="143"/>
      <c r="AF223" s="143"/>
      <c r="AG223" s="143"/>
      <c r="AH223" s="143"/>
      <c r="AI223" s="143"/>
      <c r="AJ223" s="103">
        <f t="shared" si="89"/>
        <v>0</v>
      </c>
      <c r="AK223" s="136"/>
      <c r="AL223" s="136"/>
      <c r="AM223" s="136"/>
      <c r="AN223" s="105">
        <f t="shared" si="90"/>
        <v>0</v>
      </c>
      <c r="AO223" s="143"/>
      <c r="AP223" s="143"/>
      <c r="AQ223" s="143"/>
      <c r="AR223" s="146"/>
      <c r="AS223" s="224">
        <f t="shared" si="91"/>
        <v>0</v>
      </c>
      <c r="AT223" s="1133"/>
      <c r="AU223" s="126"/>
      <c r="AV223" s="126"/>
      <c r="AW223" s="126"/>
      <c r="AX223" s="126"/>
      <c r="AY223" s="126"/>
      <c r="AZ223" s="274"/>
      <c r="BA223" s="274"/>
      <c r="BB223" s="274"/>
      <c r="BC223" s="274"/>
      <c r="BD223" s="222">
        <f t="shared" si="92"/>
        <v>0</v>
      </c>
      <c r="BE223" s="456">
        <f t="shared" si="93"/>
        <v>0</v>
      </c>
      <c r="BF223" s="132"/>
      <c r="BG223" s="140">
        <f t="shared" si="94"/>
        <v>0</v>
      </c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26"/>
      <c r="BR223" s="126"/>
      <c r="BS223" s="126"/>
      <c r="BT223" s="126"/>
      <c r="BU223" s="130">
        <f t="shared" si="95"/>
        <v>0</v>
      </c>
      <c r="BV223" s="132"/>
    </row>
    <row r="224" ht="14.25" customHeight="1">
      <c r="A224" s="132"/>
      <c r="B224" s="215">
        <v>46219</v>
      </c>
      <c r="C224" s="133"/>
      <c r="D224" s="136"/>
      <c r="E224" s="135"/>
      <c r="F224" s="135"/>
      <c r="G224" s="147">
        <f t="shared" si="87"/>
        <v>0</v>
      </c>
      <c r="H224" s="768"/>
      <c r="I224" s="611"/>
      <c r="J224" s="611"/>
      <c r="K224" s="611"/>
      <c r="L224" s="611"/>
      <c r="M224" s="611"/>
      <c r="N224" s="143"/>
      <c r="O224" s="143"/>
      <c r="P224" s="143"/>
      <c r="Q224" s="143"/>
      <c r="R224" s="143"/>
      <c r="S224" s="143"/>
      <c r="T224" s="143"/>
      <c r="U224" s="143"/>
      <c r="V224" s="143"/>
      <c r="W224" s="103">
        <f t="shared" si="88"/>
        <v>0</v>
      </c>
      <c r="X224" s="611"/>
      <c r="Y224" s="611"/>
      <c r="Z224" s="611"/>
      <c r="AA224" s="611"/>
      <c r="AB224" s="611"/>
      <c r="AC224" s="143"/>
      <c r="AD224" s="143"/>
      <c r="AE224" s="143"/>
      <c r="AF224" s="143"/>
      <c r="AG224" s="143"/>
      <c r="AH224" s="143"/>
      <c r="AI224" s="143"/>
      <c r="AJ224" s="300">
        <f t="shared" si="89"/>
        <v>0</v>
      </c>
      <c r="AK224" s="136"/>
      <c r="AL224" s="136"/>
      <c r="AM224" s="136"/>
      <c r="AN224" s="975">
        <f t="shared" si="90"/>
        <v>0</v>
      </c>
      <c r="AO224" s="1131"/>
      <c r="AP224" s="144"/>
      <c r="AQ224" s="143"/>
      <c r="AR224" s="146"/>
      <c r="AS224" s="224">
        <f t="shared" si="91"/>
        <v>0</v>
      </c>
      <c r="AT224" s="1133"/>
      <c r="AU224" s="126"/>
      <c r="AV224" s="126"/>
      <c r="AW224" s="126"/>
      <c r="AX224" s="126"/>
      <c r="AY224" s="126"/>
      <c r="AZ224" s="274"/>
      <c r="BA224" s="274"/>
      <c r="BB224" s="274"/>
      <c r="BC224" s="274"/>
      <c r="BD224" s="222">
        <f t="shared" si="92"/>
        <v>0</v>
      </c>
      <c r="BE224" s="456">
        <f t="shared" si="93"/>
        <v>0</v>
      </c>
      <c r="BF224" s="132"/>
      <c r="BG224" s="140">
        <f t="shared" si="94"/>
        <v>0</v>
      </c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26"/>
      <c r="BR224" s="126"/>
      <c r="BS224" s="126"/>
      <c r="BT224" s="126"/>
      <c r="BU224" s="130">
        <f t="shared" si="95"/>
        <v>0</v>
      </c>
      <c r="BV224" s="132"/>
    </row>
    <row r="225" ht="14.25" customHeight="1">
      <c r="A225" s="5"/>
      <c r="B225" s="215">
        <v>46220</v>
      </c>
      <c r="C225" s="133"/>
      <c r="D225" s="136"/>
      <c r="E225" s="135"/>
      <c r="F225" s="135"/>
      <c r="G225" s="147">
        <f t="shared" si="87"/>
        <v>0</v>
      </c>
      <c r="H225" s="768"/>
      <c r="I225" s="611"/>
      <c r="J225" s="611"/>
      <c r="K225" s="611"/>
      <c r="L225" s="611"/>
      <c r="M225" s="611"/>
      <c r="N225" s="143"/>
      <c r="O225" s="143"/>
      <c r="P225" s="143"/>
      <c r="Q225" s="143"/>
      <c r="R225" s="143"/>
      <c r="S225" s="143"/>
      <c r="T225" s="143"/>
      <c r="U225" s="143"/>
      <c r="V225" s="143"/>
      <c r="W225" s="103">
        <f t="shared" si="88"/>
        <v>0</v>
      </c>
      <c r="X225" s="611"/>
      <c r="Y225" s="611"/>
      <c r="Z225" s="611"/>
      <c r="AA225" s="611"/>
      <c r="AB225" s="611"/>
      <c r="AC225" s="143"/>
      <c r="AD225" s="143"/>
      <c r="AE225" s="143"/>
      <c r="AF225" s="143"/>
      <c r="AG225" s="143"/>
      <c r="AH225" s="143"/>
      <c r="AI225" s="143"/>
      <c r="AJ225" s="103">
        <f t="shared" si="89"/>
        <v>0</v>
      </c>
      <c r="AK225" s="136"/>
      <c r="AL225" s="136"/>
      <c r="AM225" s="136"/>
      <c r="AN225" s="975">
        <f t="shared" si="90"/>
        <v>0</v>
      </c>
      <c r="AO225" s="143"/>
      <c r="AP225" s="143"/>
      <c r="AQ225" s="143"/>
      <c r="AR225" s="146"/>
      <c r="AS225" s="224">
        <f t="shared" si="91"/>
        <v>0</v>
      </c>
      <c r="AT225" s="1133"/>
      <c r="AU225" s="126"/>
      <c r="AV225" s="126"/>
      <c r="AW225" s="126"/>
      <c r="AX225" s="126"/>
      <c r="AY225" s="126"/>
      <c r="AZ225" s="274"/>
      <c r="BA225" s="274"/>
      <c r="BB225" s="274"/>
      <c r="BC225" s="274"/>
      <c r="BD225" s="222">
        <f t="shared" si="92"/>
        <v>0</v>
      </c>
      <c r="BE225" s="456">
        <f t="shared" si="93"/>
        <v>0</v>
      </c>
      <c r="BF225" s="132"/>
      <c r="BG225" s="140">
        <f t="shared" si="94"/>
        <v>0</v>
      </c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26"/>
      <c r="BR225" s="126"/>
      <c r="BS225" s="126"/>
      <c r="BT225" s="126"/>
      <c r="BU225" s="130">
        <f t="shared" si="95"/>
        <v>0</v>
      </c>
      <c r="BV225" s="132"/>
    </row>
    <row r="226" ht="14.25" customHeight="1">
      <c r="A226" s="132"/>
      <c r="B226" s="215">
        <v>46221</v>
      </c>
      <c r="C226" s="133"/>
      <c r="D226" s="136"/>
      <c r="E226" s="135"/>
      <c r="F226" s="135"/>
      <c r="G226" s="147">
        <f t="shared" si="87"/>
        <v>0</v>
      </c>
      <c r="H226" s="768"/>
      <c r="I226" s="611"/>
      <c r="J226" s="611"/>
      <c r="K226" s="611"/>
      <c r="L226" s="611"/>
      <c r="M226" s="611"/>
      <c r="N226" s="143"/>
      <c r="O226" s="143"/>
      <c r="P226" s="143"/>
      <c r="Q226" s="143"/>
      <c r="R226" s="143"/>
      <c r="S226" s="143"/>
      <c r="T226" s="143"/>
      <c r="U226" s="143"/>
      <c r="V226" s="143"/>
      <c r="W226" s="103">
        <f t="shared" si="88"/>
        <v>0</v>
      </c>
      <c r="X226" s="611"/>
      <c r="Y226" s="611"/>
      <c r="Z226" s="611"/>
      <c r="AA226" s="611"/>
      <c r="AB226" s="611"/>
      <c r="AC226" s="143"/>
      <c r="AD226" s="143"/>
      <c r="AE226" s="143"/>
      <c r="AF226" s="143"/>
      <c r="AG226" s="143"/>
      <c r="AH226" s="143"/>
      <c r="AI226" s="143"/>
      <c r="AJ226" s="103">
        <f t="shared" si="89"/>
        <v>0</v>
      </c>
      <c r="AK226" s="136"/>
      <c r="AL226" s="136"/>
      <c r="AM226" s="136"/>
      <c r="AN226" s="975">
        <f t="shared" si="90"/>
        <v>0</v>
      </c>
      <c r="AO226" s="143"/>
      <c r="AP226" s="143"/>
      <c r="AQ226" s="143"/>
      <c r="AR226" s="146"/>
      <c r="AS226" s="224">
        <f t="shared" si="91"/>
        <v>0</v>
      </c>
      <c r="AT226" s="1133"/>
      <c r="AU226" s="126"/>
      <c r="AV226" s="126"/>
      <c r="AW226" s="126"/>
      <c r="AX226" s="126"/>
      <c r="AY226" s="126"/>
      <c r="AZ226" s="274"/>
      <c r="BA226" s="274"/>
      <c r="BB226" s="274"/>
      <c r="BC226" s="274"/>
      <c r="BD226" s="222">
        <f t="shared" si="92"/>
        <v>0</v>
      </c>
      <c r="BE226" s="456">
        <f t="shared" si="93"/>
        <v>0</v>
      </c>
      <c r="BF226" s="132"/>
      <c r="BG226" s="140">
        <f t="shared" si="94"/>
        <v>0</v>
      </c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26"/>
      <c r="BR226" s="126"/>
      <c r="BS226" s="126"/>
      <c r="BT226" s="126"/>
      <c r="BU226" s="130">
        <f t="shared" si="95"/>
        <v>0</v>
      </c>
      <c r="BV226" s="132"/>
    </row>
    <row r="227" ht="14.25" customHeight="1">
      <c r="A227" s="132"/>
      <c r="B227" s="215">
        <v>46222</v>
      </c>
      <c r="C227" s="133"/>
      <c r="D227" s="136"/>
      <c r="E227" s="135"/>
      <c r="F227" s="135"/>
      <c r="G227" s="147">
        <f t="shared" si="87"/>
        <v>0</v>
      </c>
      <c r="H227" s="768"/>
      <c r="I227" s="611"/>
      <c r="J227" s="611"/>
      <c r="K227" s="611"/>
      <c r="L227" s="611"/>
      <c r="M227" s="611"/>
      <c r="N227" s="143"/>
      <c r="O227" s="143"/>
      <c r="P227" s="143"/>
      <c r="Q227" s="143"/>
      <c r="R227" s="143"/>
      <c r="S227" s="143"/>
      <c r="T227" s="143"/>
      <c r="U227" s="143"/>
      <c r="V227" s="143"/>
      <c r="W227" s="103">
        <f t="shared" si="88"/>
        <v>0</v>
      </c>
      <c r="X227" s="611"/>
      <c r="Y227" s="611"/>
      <c r="Z227" s="611"/>
      <c r="AA227" s="611"/>
      <c r="AB227" s="611"/>
      <c r="AC227" s="143"/>
      <c r="AD227" s="143"/>
      <c r="AE227" s="143"/>
      <c r="AF227" s="143"/>
      <c r="AG227" s="143"/>
      <c r="AH227" s="143"/>
      <c r="AI227" s="143"/>
      <c r="AJ227" s="103">
        <f t="shared" si="89"/>
        <v>0</v>
      </c>
      <c r="AK227" s="136"/>
      <c r="AL227" s="136"/>
      <c r="AM227" s="136"/>
      <c r="AN227" s="975">
        <f t="shared" si="90"/>
        <v>0</v>
      </c>
      <c r="AO227" s="143"/>
      <c r="AP227" s="143"/>
      <c r="AQ227" s="143"/>
      <c r="AR227" s="146"/>
      <c r="AS227" s="224">
        <f t="shared" si="91"/>
        <v>0</v>
      </c>
      <c r="AT227" s="1133"/>
      <c r="AU227" s="126"/>
      <c r="AV227" s="126"/>
      <c r="AW227" s="126"/>
      <c r="AX227" s="126"/>
      <c r="AY227" s="126"/>
      <c r="AZ227" s="274"/>
      <c r="BA227" s="274"/>
      <c r="BB227" s="274"/>
      <c r="BC227" s="274"/>
      <c r="BD227" s="222">
        <f t="shared" si="92"/>
        <v>0</v>
      </c>
      <c r="BE227" s="456">
        <f t="shared" si="93"/>
        <v>0</v>
      </c>
      <c r="BF227" s="132"/>
      <c r="BG227" s="140">
        <f t="shared" si="94"/>
        <v>0</v>
      </c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26"/>
      <c r="BR227" s="126"/>
      <c r="BS227" s="126"/>
      <c r="BT227" s="126"/>
      <c r="BU227" s="130">
        <f t="shared" si="95"/>
        <v>0</v>
      </c>
      <c r="BV227" s="132"/>
    </row>
    <row r="228" ht="14.25" customHeight="1">
      <c r="A228" s="132"/>
      <c r="B228" s="215">
        <v>46223</v>
      </c>
      <c r="C228" s="133"/>
      <c r="D228" s="136"/>
      <c r="E228" s="135"/>
      <c r="F228" s="135"/>
      <c r="G228" s="147">
        <f t="shared" si="87"/>
        <v>0</v>
      </c>
      <c r="H228" s="768"/>
      <c r="I228" s="611"/>
      <c r="J228" s="611"/>
      <c r="K228" s="611"/>
      <c r="L228" s="611"/>
      <c r="M228" s="611"/>
      <c r="N228" s="143"/>
      <c r="O228" s="143"/>
      <c r="P228" s="143"/>
      <c r="Q228" s="143"/>
      <c r="R228" s="143"/>
      <c r="S228" s="143"/>
      <c r="T228" s="143"/>
      <c r="U228" s="143"/>
      <c r="V228" s="143"/>
      <c r="W228" s="103">
        <f t="shared" si="88"/>
        <v>0</v>
      </c>
      <c r="X228" s="611"/>
      <c r="Y228" s="611"/>
      <c r="Z228" s="611"/>
      <c r="AA228" s="611"/>
      <c r="AB228" s="611"/>
      <c r="AC228" s="143"/>
      <c r="AD228" s="143"/>
      <c r="AE228" s="143"/>
      <c r="AF228" s="143"/>
      <c r="AG228" s="143"/>
      <c r="AH228" s="143"/>
      <c r="AI228" s="143"/>
      <c r="AJ228" s="103">
        <f t="shared" si="89"/>
        <v>0</v>
      </c>
      <c r="AK228" s="136"/>
      <c r="AL228" s="136"/>
      <c r="AM228" s="136"/>
      <c r="AN228" s="975">
        <f t="shared" si="90"/>
        <v>0</v>
      </c>
      <c r="AO228" s="143"/>
      <c r="AP228" s="143"/>
      <c r="AQ228" s="143"/>
      <c r="AR228" s="146"/>
      <c r="AS228" s="224">
        <f t="shared" si="91"/>
        <v>0</v>
      </c>
      <c r="AT228" s="1133"/>
      <c r="AU228" s="126"/>
      <c r="AV228" s="126"/>
      <c r="AW228" s="126"/>
      <c r="AX228" s="126"/>
      <c r="AY228" s="126"/>
      <c r="AZ228" s="274"/>
      <c r="BA228" s="274"/>
      <c r="BB228" s="274"/>
      <c r="BC228" s="274"/>
      <c r="BD228" s="222">
        <f t="shared" si="92"/>
        <v>0</v>
      </c>
      <c r="BE228" s="456">
        <f t="shared" si="93"/>
        <v>0</v>
      </c>
      <c r="BF228" s="132"/>
      <c r="BG228" s="140">
        <f t="shared" si="94"/>
        <v>0</v>
      </c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26"/>
      <c r="BR228" s="126"/>
      <c r="BS228" s="126"/>
      <c r="BT228" s="126"/>
      <c r="BU228" s="130">
        <f t="shared" si="95"/>
        <v>0</v>
      </c>
      <c r="BV228" s="132"/>
    </row>
    <row r="229" ht="14.25" customHeight="1">
      <c r="A229" s="132"/>
      <c r="B229" s="215">
        <v>46224</v>
      </c>
      <c r="C229" s="133"/>
      <c r="D229" s="136"/>
      <c r="E229" s="135"/>
      <c r="F229" s="135"/>
      <c r="G229" s="147">
        <f t="shared" si="87"/>
        <v>0</v>
      </c>
      <c r="H229" s="768"/>
      <c r="I229" s="611"/>
      <c r="J229" s="611"/>
      <c r="K229" s="611"/>
      <c r="L229" s="611"/>
      <c r="M229" s="611"/>
      <c r="N229" s="143"/>
      <c r="O229" s="143"/>
      <c r="P229" s="1131"/>
      <c r="Q229" s="144"/>
      <c r="R229" s="144"/>
      <c r="S229" s="144"/>
      <c r="T229" s="144"/>
      <c r="U229" s="143"/>
      <c r="V229" s="143"/>
      <c r="W229" s="103">
        <f t="shared" si="88"/>
        <v>0</v>
      </c>
      <c r="X229" s="611"/>
      <c r="Y229" s="611"/>
      <c r="Z229" s="611"/>
      <c r="AA229" s="611"/>
      <c r="AB229" s="611"/>
      <c r="AC229" s="143"/>
      <c r="AD229" s="143"/>
      <c r="AE229" s="143"/>
      <c r="AF229" s="143"/>
      <c r="AG229" s="143"/>
      <c r="AH229" s="143"/>
      <c r="AI229" s="143"/>
      <c r="AJ229" s="103">
        <f t="shared" si="89"/>
        <v>0</v>
      </c>
      <c r="AK229" s="136"/>
      <c r="AL229" s="136"/>
      <c r="AM229" s="136"/>
      <c r="AN229" s="975">
        <f t="shared" si="90"/>
        <v>0</v>
      </c>
      <c r="AO229" s="143"/>
      <c r="AP229" s="143"/>
      <c r="AQ229" s="143"/>
      <c r="AR229" s="146"/>
      <c r="AS229" s="224">
        <f t="shared" si="91"/>
        <v>0</v>
      </c>
      <c r="AT229" s="1133"/>
      <c r="AU229" s="126"/>
      <c r="AV229" s="126"/>
      <c r="AW229" s="126"/>
      <c r="AX229" s="126"/>
      <c r="AY229" s="126"/>
      <c r="AZ229" s="274"/>
      <c r="BA229" s="274"/>
      <c r="BB229" s="274"/>
      <c r="BC229" s="274"/>
      <c r="BD229" s="222">
        <f t="shared" si="92"/>
        <v>0</v>
      </c>
      <c r="BE229" s="456">
        <f t="shared" si="93"/>
        <v>0</v>
      </c>
      <c r="BF229" s="132"/>
      <c r="BG229" s="140">
        <f t="shared" si="94"/>
        <v>0</v>
      </c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26"/>
      <c r="BR229" s="126"/>
      <c r="BS229" s="126"/>
      <c r="BT229" s="126"/>
      <c r="BU229" s="130">
        <f t="shared" si="95"/>
        <v>0</v>
      </c>
      <c r="BV229" s="132"/>
    </row>
    <row r="230" ht="14.25" customHeight="1">
      <c r="A230" s="132"/>
      <c r="B230" s="215">
        <v>46225</v>
      </c>
      <c r="C230" s="133"/>
      <c r="D230" s="136"/>
      <c r="E230" s="135"/>
      <c r="F230" s="135"/>
      <c r="G230" s="147">
        <f t="shared" si="87"/>
        <v>0</v>
      </c>
      <c r="H230" s="768"/>
      <c r="I230" s="611"/>
      <c r="J230" s="611"/>
      <c r="K230" s="611"/>
      <c r="L230" s="611"/>
      <c r="M230" s="611"/>
      <c r="N230" s="143"/>
      <c r="O230" s="143"/>
      <c r="P230" s="143"/>
      <c r="Q230" s="143"/>
      <c r="R230" s="143"/>
      <c r="S230" s="143"/>
      <c r="T230" s="143"/>
      <c r="U230" s="143"/>
      <c r="V230" s="143"/>
      <c r="W230" s="103">
        <f t="shared" si="88"/>
        <v>0</v>
      </c>
      <c r="X230" s="611"/>
      <c r="Y230" s="611"/>
      <c r="Z230" s="611"/>
      <c r="AA230" s="611"/>
      <c r="AB230" s="611"/>
      <c r="AC230" s="143"/>
      <c r="AD230" s="143"/>
      <c r="AE230" s="143"/>
      <c r="AF230" s="143"/>
      <c r="AG230" s="143"/>
      <c r="AH230" s="143"/>
      <c r="AI230" s="143"/>
      <c r="AJ230" s="103">
        <f t="shared" si="89"/>
        <v>0</v>
      </c>
      <c r="AK230" s="136"/>
      <c r="AL230" s="136"/>
      <c r="AM230" s="136"/>
      <c r="AN230" s="975">
        <f t="shared" si="90"/>
        <v>0</v>
      </c>
      <c r="AO230" s="143"/>
      <c r="AP230" s="143"/>
      <c r="AQ230" s="143"/>
      <c r="AR230" s="146"/>
      <c r="AS230" s="224">
        <f t="shared" si="91"/>
        <v>0</v>
      </c>
      <c r="AT230" s="1133"/>
      <c r="AU230" s="126"/>
      <c r="AV230" s="126"/>
      <c r="AW230" s="126"/>
      <c r="AX230" s="126"/>
      <c r="AY230" s="126"/>
      <c r="AZ230" s="274"/>
      <c r="BA230" s="274"/>
      <c r="BB230" s="274"/>
      <c r="BC230" s="274"/>
      <c r="BD230" s="222">
        <f t="shared" si="92"/>
        <v>0</v>
      </c>
      <c r="BE230" s="456">
        <f t="shared" si="93"/>
        <v>0</v>
      </c>
      <c r="BF230" s="132"/>
      <c r="BG230" s="140">
        <f t="shared" si="94"/>
        <v>0</v>
      </c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26"/>
      <c r="BR230" s="126"/>
      <c r="BS230" s="126"/>
      <c r="BT230" s="126"/>
      <c r="BU230" s="130">
        <f t="shared" si="95"/>
        <v>0</v>
      </c>
      <c r="BV230" s="132"/>
    </row>
    <row r="231" ht="14.25" customHeight="1">
      <c r="A231" s="132"/>
      <c r="B231" s="215">
        <v>46226</v>
      </c>
      <c r="C231" s="133"/>
      <c r="D231" s="136"/>
      <c r="E231" s="135"/>
      <c r="F231" s="135"/>
      <c r="G231" s="147">
        <f t="shared" si="87"/>
        <v>0</v>
      </c>
      <c r="H231" s="768"/>
      <c r="I231" s="611"/>
      <c r="J231" s="611"/>
      <c r="K231" s="611"/>
      <c r="L231" s="611"/>
      <c r="M231" s="611"/>
      <c r="N231" s="143"/>
      <c r="O231" s="143"/>
      <c r="P231" s="143"/>
      <c r="Q231" s="143"/>
      <c r="R231" s="143"/>
      <c r="S231" s="143"/>
      <c r="T231" s="143"/>
      <c r="U231" s="143"/>
      <c r="V231" s="143"/>
      <c r="W231" s="103">
        <f t="shared" si="88"/>
        <v>0</v>
      </c>
      <c r="X231" s="611"/>
      <c r="Y231" s="611"/>
      <c r="Z231" s="611"/>
      <c r="AA231" s="611"/>
      <c r="AB231" s="611"/>
      <c r="AC231" s="143"/>
      <c r="AD231" s="143"/>
      <c r="AE231" s="143"/>
      <c r="AF231" s="143"/>
      <c r="AG231" s="143"/>
      <c r="AH231" s="143"/>
      <c r="AI231" s="143"/>
      <c r="AJ231" s="103">
        <f t="shared" si="89"/>
        <v>0</v>
      </c>
      <c r="AK231" s="136"/>
      <c r="AL231" s="136"/>
      <c r="AM231" s="136"/>
      <c r="AN231" s="975">
        <f t="shared" si="90"/>
        <v>0</v>
      </c>
      <c r="AO231" s="143"/>
      <c r="AP231" s="143"/>
      <c r="AQ231" s="143"/>
      <c r="AR231" s="146"/>
      <c r="AS231" s="224">
        <f t="shared" si="91"/>
        <v>0</v>
      </c>
      <c r="AT231" s="1133"/>
      <c r="AU231" s="126"/>
      <c r="AV231" s="126"/>
      <c r="AW231" s="126"/>
      <c r="AX231" s="126"/>
      <c r="AY231" s="126"/>
      <c r="AZ231" s="274"/>
      <c r="BA231" s="274"/>
      <c r="BB231" s="274"/>
      <c r="BC231" s="274"/>
      <c r="BD231" s="222">
        <f t="shared" si="92"/>
        <v>0</v>
      </c>
      <c r="BE231" s="456">
        <f t="shared" si="93"/>
        <v>0</v>
      </c>
      <c r="BF231" s="132"/>
      <c r="BG231" s="140">
        <f t="shared" si="94"/>
        <v>0</v>
      </c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26"/>
      <c r="BR231" s="126"/>
      <c r="BS231" s="126"/>
      <c r="BT231" s="126"/>
      <c r="BU231" s="130">
        <f t="shared" si="95"/>
        <v>0</v>
      </c>
      <c r="BV231" s="132"/>
    </row>
    <row r="232" ht="14.25" customHeight="1">
      <c r="A232" s="132"/>
      <c r="B232" s="215">
        <v>46227</v>
      </c>
      <c r="C232" s="133"/>
      <c r="D232" s="136"/>
      <c r="E232" s="135"/>
      <c r="F232" s="135"/>
      <c r="G232" s="147">
        <f t="shared" si="87"/>
        <v>0</v>
      </c>
      <c r="H232" s="768"/>
      <c r="I232" s="611"/>
      <c r="J232" s="611"/>
      <c r="K232" s="611"/>
      <c r="L232" s="611"/>
      <c r="M232" s="611"/>
      <c r="N232" s="143"/>
      <c r="O232" s="143"/>
      <c r="P232" s="143"/>
      <c r="Q232" s="143"/>
      <c r="R232" s="143"/>
      <c r="S232" s="143"/>
      <c r="T232" s="143"/>
      <c r="U232" s="143"/>
      <c r="V232" s="143"/>
      <c r="W232" s="103">
        <f t="shared" si="88"/>
        <v>0</v>
      </c>
      <c r="X232" s="611"/>
      <c r="Y232" s="611"/>
      <c r="Z232" s="611"/>
      <c r="AA232" s="611"/>
      <c r="AB232" s="611"/>
      <c r="AC232" s="143"/>
      <c r="AD232" s="143"/>
      <c r="AE232" s="143"/>
      <c r="AF232" s="143"/>
      <c r="AG232" s="143"/>
      <c r="AH232" s="143"/>
      <c r="AI232" s="143"/>
      <c r="AJ232" s="103">
        <f t="shared" si="89"/>
        <v>0</v>
      </c>
      <c r="AK232" s="136"/>
      <c r="AL232" s="136"/>
      <c r="AM232" s="136"/>
      <c r="AN232" s="975">
        <f t="shared" si="90"/>
        <v>0</v>
      </c>
      <c r="AO232" s="143"/>
      <c r="AP232" s="143"/>
      <c r="AQ232" s="143"/>
      <c r="AR232" s="146"/>
      <c r="AS232" s="224">
        <f t="shared" si="91"/>
        <v>0</v>
      </c>
      <c r="AT232" s="1133"/>
      <c r="AU232" s="126"/>
      <c r="AV232" s="126"/>
      <c r="AW232" s="126"/>
      <c r="AX232" s="126"/>
      <c r="AY232" s="126"/>
      <c r="AZ232" s="274"/>
      <c r="BA232" s="274"/>
      <c r="BB232" s="274"/>
      <c r="BC232" s="274"/>
      <c r="BD232" s="222">
        <f t="shared" si="92"/>
        <v>0</v>
      </c>
      <c r="BE232" s="456">
        <f t="shared" si="93"/>
        <v>0</v>
      </c>
      <c r="BF232" s="132"/>
      <c r="BG232" s="140">
        <f t="shared" si="94"/>
        <v>0</v>
      </c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26"/>
      <c r="BR232" s="126"/>
      <c r="BS232" s="126"/>
      <c r="BT232" s="126"/>
      <c r="BU232" s="130">
        <f t="shared" si="95"/>
        <v>0</v>
      </c>
      <c r="BV232" s="132"/>
    </row>
    <row r="233" ht="14.25" customHeight="1">
      <c r="A233" s="132"/>
      <c r="B233" s="215">
        <v>46228</v>
      </c>
      <c r="C233" s="133"/>
      <c r="D233" s="136"/>
      <c r="E233" s="135"/>
      <c r="F233" s="135"/>
      <c r="G233" s="147">
        <f t="shared" si="87"/>
        <v>0</v>
      </c>
      <c r="H233" s="768"/>
      <c r="I233" s="611"/>
      <c r="J233" s="611"/>
      <c r="K233" s="611"/>
      <c r="L233" s="611"/>
      <c r="M233" s="611"/>
      <c r="N233" s="143"/>
      <c r="O233" s="143"/>
      <c r="P233" s="143"/>
      <c r="Q233" s="143"/>
      <c r="R233" s="143"/>
      <c r="S233" s="143"/>
      <c r="T233" s="143"/>
      <c r="U233" s="143"/>
      <c r="V233" s="143"/>
      <c r="W233" s="103">
        <f t="shared" si="88"/>
        <v>0</v>
      </c>
      <c r="X233" s="611"/>
      <c r="Y233" s="611"/>
      <c r="Z233" s="611"/>
      <c r="AA233" s="611"/>
      <c r="AB233" s="611"/>
      <c r="AC233" s="143"/>
      <c r="AD233" s="143"/>
      <c r="AE233" s="143"/>
      <c r="AF233" s="143"/>
      <c r="AG233" s="143"/>
      <c r="AH233" s="143"/>
      <c r="AI233" s="143"/>
      <c r="AJ233" s="103">
        <f t="shared" si="89"/>
        <v>0</v>
      </c>
      <c r="AK233" s="136"/>
      <c r="AL233" s="136"/>
      <c r="AM233" s="136"/>
      <c r="AN233" s="975">
        <f t="shared" si="90"/>
        <v>0</v>
      </c>
      <c r="AO233" s="143"/>
      <c r="AP233" s="143"/>
      <c r="AQ233" s="143"/>
      <c r="AR233" s="146"/>
      <c r="AS233" s="224">
        <f t="shared" si="91"/>
        <v>0</v>
      </c>
      <c r="AT233" s="1133"/>
      <c r="AU233" s="126"/>
      <c r="AV233" s="126"/>
      <c r="AW233" s="126"/>
      <c r="AX233" s="126"/>
      <c r="AY233" s="126"/>
      <c r="AZ233" s="274"/>
      <c r="BA233" s="274"/>
      <c r="BB233" s="274"/>
      <c r="BC233" s="274"/>
      <c r="BD233" s="222">
        <f t="shared" si="92"/>
        <v>0</v>
      </c>
      <c r="BE233" s="456">
        <f t="shared" si="93"/>
        <v>0</v>
      </c>
      <c r="BF233" s="132"/>
      <c r="BG233" s="140">
        <f t="shared" si="94"/>
        <v>0</v>
      </c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26"/>
      <c r="BR233" s="126"/>
      <c r="BS233" s="126"/>
      <c r="BT233" s="126"/>
      <c r="BU233" s="130">
        <f t="shared" si="95"/>
        <v>0</v>
      </c>
      <c r="BV233" s="132"/>
    </row>
    <row r="234" ht="14.25" customHeight="1">
      <c r="A234" s="132"/>
      <c r="B234" s="215">
        <v>46229</v>
      </c>
      <c r="C234" s="133"/>
      <c r="D234" s="136"/>
      <c r="E234" s="135"/>
      <c r="F234" s="135"/>
      <c r="G234" s="147">
        <f t="shared" si="87"/>
        <v>0</v>
      </c>
      <c r="H234" s="768"/>
      <c r="I234" s="611"/>
      <c r="J234" s="611"/>
      <c r="K234" s="611"/>
      <c r="L234" s="611"/>
      <c r="M234" s="611"/>
      <c r="N234" s="143"/>
      <c r="O234" s="143"/>
      <c r="P234" s="143"/>
      <c r="Q234" s="143"/>
      <c r="R234" s="143"/>
      <c r="S234" s="143"/>
      <c r="T234" s="143"/>
      <c r="U234" s="143"/>
      <c r="V234" s="143"/>
      <c r="W234" s="103">
        <f t="shared" si="88"/>
        <v>0</v>
      </c>
      <c r="X234" s="611"/>
      <c r="Y234" s="611"/>
      <c r="Z234" s="611"/>
      <c r="AA234" s="611"/>
      <c r="AB234" s="611"/>
      <c r="AC234" s="143"/>
      <c r="AD234" s="143"/>
      <c r="AE234" s="143"/>
      <c r="AF234" s="143"/>
      <c r="AG234" s="143"/>
      <c r="AH234" s="143"/>
      <c r="AI234" s="143"/>
      <c r="AJ234" s="103">
        <f t="shared" si="89"/>
        <v>0</v>
      </c>
      <c r="AK234" s="136"/>
      <c r="AL234" s="136"/>
      <c r="AM234" s="136"/>
      <c r="AN234" s="975">
        <f t="shared" si="90"/>
        <v>0</v>
      </c>
      <c r="AO234" s="143"/>
      <c r="AP234" s="143"/>
      <c r="AQ234" s="143"/>
      <c r="AR234" s="146"/>
      <c r="AS234" s="224">
        <f t="shared" si="91"/>
        <v>0</v>
      </c>
      <c r="AT234" s="1133"/>
      <c r="AU234" s="126"/>
      <c r="AV234" s="126"/>
      <c r="AW234" s="126"/>
      <c r="AX234" s="126"/>
      <c r="AY234" s="126"/>
      <c r="AZ234" s="274"/>
      <c r="BA234" s="274"/>
      <c r="BB234" s="274"/>
      <c r="BC234" s="274"/>
      <c r="BD234" s="222">
        <f t="shared" si="92"/>
        <v>0</v>
      </c>
      <c r="BE234" s="456">
        <f t="shared" si="93"/>
        <v>0</v>
      </c>
      <c r="BF234" s="132"/>
      <c r="BG234" s="140">
        <f t="shared" si="94"/>
        <v>0</v>
      </c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26"/>
      <c r="BR234" s="126"/>
      <c r="BS234" s="126"/>
      <c r="BT234" s="126"/>
      <c r="BU234" s="130">
        <f t="shared" si="95"/>
        <v>0</v>
      </c>
      <c r="BV234" s="132"/>
    </row>
    <row r="235" ht="14.25" customHeight="1">
      <c r="A235" s="132"/>
      <c r="B235" s="215">
        <v>46230</v>
      </c>
      <c r="C235" s="133"/>
      <c r="D235" s="136"/>
      <c r="E235" s="135"/>
      <c r="F235" s="135"/>
      <c r="G235" s="147">
        <f t="shared" si="87"/>
        <v>0</v>
      </c>
      <c r="H235" s="768"/>
      <c r="I235" s="611"/>
      <c r="J235" s="611"/>
      <c r="K235" s="611"/>
      <c r="L235" s="611"/>
      <c r="M235" s="611"/>
      <c r="N235" s="143"/>
      <c r="O235" s="143"/>
      <c r="P235" s="143"/>
      <c r="Q235" s="143"/>
      <c r="R235" s="143"/>
      <c r="S235" s="143"/>
      <c r="T235" s="143"/>
      <c r="U235" s="143"/>
      <c r="V235" s="143"/>
      <c r="W235" s="103">
        <f t="shared" si="88"/>
        <v>0</v>
      </c>
      <c r="X235" s="611"/>
      <c r="Y235" s="611"/>
      <c r="Z235" s="611"/>
      <c r="AA235" s="611"/>
      <c r="AB235" s="611"/>
      <c r="AC235" s="143"/>
      <c r="AD235" s="143"/>
      <c r="AE235" s="143"/>
      <c r="AF235" s="143"/>
      <c r="AG235" s="143"/>
      <c r="AH235" s="143"/>
      <c r="AI235" s="143"/>
      <c r="AJ235" s="103">
        <f t="shared" si="89"/>
        <v>0</v>
      </c>
      <c r="AK235" s="136"/>
      <c r="AL235" s="136"/>
      <c r="AM235" s="136"/>
      <c r="AN235" s="975">
        <f t="shared" si="90"/>
        <v>0</v>
      </c>
      <c r="AO235" s="143"/>
      <c r="AP235" s="143"/>
      <c r="AQ235" s="143"/>
      <c r="AR235" s="146"/>
      <c r="AS235" s="224">
        <f t="shared" si="91"/>
        <v>0</v>
      </c>
      <c r="AT235" s="1133"/>
      <c r="AU235" s="126"/>
      <c r="AV235" s="126"/>
      <c r="AW235" s="126"/>
      <c r="AX235" s="126"/>
      <c r="AY235" s="126"/>
      <c r="AZ235" s="274"/>
      <c r="BA235" s="274"/>
      <c r="BB235" s="274"/>
      <c r="BC235" s="274"/>
      <c r="BD235" s="222">
        <f t="shared" si="92"/>
        <v>0</v>
      </c>
      <c r="BE235" s="456">
        <f t="shared" si="93"/>
        <v>0</v>
      </c>
      <c r="BF235" s="132"/>
      <c r="BG235" s="140">
        <f t="shared" si="94"/>
        <v>0</v>
      </c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26"/>
      <c r="BR235" s="126"/>
      <c r="BS235" s="126"/>
      <c r="BT235" s="126"/>
      <c r="BU235" s="130">
        <f t="shared" si="95"/>
        <v>0</v>
      </c>
      <c r="BV235" s="132"/>
    </row>
    <row r="236" ht="14.25" customHeight="1">
      <c r="A236" s="132"/>
      <c r="B236" s="215">
        <v>46231</v>
      </c>
      <c r="C236" s="133"/>
      <c r="D236" s="136"/>
      <c r="E236" s="135"/>
      <c r="F236" s="135"/>
      <c r="G236" s="147">
        <f t="shared" si="87"/>
        <v>0</v>
      </c>
      <c r="H236" s="768"/>
      <c r="I236" s="611"/>
      <c r="J236" s="611"/>
      <c r="K236" s="611"/>
      <c r="L236" s="611"/>
      <c r="M236" s="611"/>
      <c r="N236" s="143"/>
      <c r="O236" s="143"/>
      <c r="P236" s="143"/>
      <c r="Q236" s="143"/>
      <c r="R236" s="143"/>
      <c r="S236" s="143"/>
      <c r="T236" s="143"/>
      <c r="U236" s="143"/>
      <c r="V236" s="143"/>
      <c r="W236" s="103">
        <f t="shared" si="88"/>
        <v>0</v>
      </c>
      <c r="X236" s="611"/>
      <c r="Y236" s="611"/>
      <c r="Z236" s="611"/>
      <c r="AA236" s="611"/>
      <c r="AB236" s="611"/>
      <c r="AC236" s="143"/>
      <c r="AD236" s="143"/>
      <c r="AE236" s="143"/>
      <c r="AF236" s="143"/>
      <c r="AG236" s="143"/>
      <c r="AH236" s="143"/>
      <c r="AI236" s="143"/>
      <c r="AJ236" s="103">
        <f t="shared" si="89"/>
        <v>0</v>
      </c>
      <c r="AK236" s="136"/>
      <c r="AL236" s="136"/>
      <c r="AM236" s="136"/>
      <c r="AN236" s="975">
        <f t="shared" si="90"/>
        <v>0</v>
      </c>
      <c r="AO236" s="143"/>
      <c r="AP236" s="143"/>
      <c r="AQ236" s="143"/>
      <c r="AR236" s="146"/>
      <c r="AS236" s="224">
        <f t="shared" si="91"/>
        <v>0</v>
      </c>
      <c r="AT236" s="1133"/>
      <c r="AU236" s="126"/>
      <c r="AV236" s="126"/>
      <c r="AW236" s="126"/>
      <c r="AX236" s="126"/>
      <c r="AY236" s="126"/>
      <c r="AZ236" s="274"/>
      <c r="BA236" s="274"/>
      <c r="BB236" s="274"/>
      <c r="BC236" s="274"/>
      <c r="BD236" s="222">
        <f t="shared" si="92"/>
        <v>0</v>
      </c>
      <c r="BE236" s="456">
        <f t="shared" si="93"/>
        <v>0</v>
      </c>
      <c r="BF236" s="132"/>
      <c r="BG236" s="140">
        <f t="shared" si="94"/>
        <v>0</v>
      </c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26"/>
      <c r="BR236" s="126"/>
      <c r="BS236" s="126"/>
      <c r="BT236" s="126"/>
      <c r="BU236" s="130">
        <f t="shared" si="95"/>
        <v>0</v>
      </c>
      <c r="BV236" s="132"/>
    </row>
    <row r="237" ht="14.25" customHeight="1">
      <c r="A237" s="132"/>
      <c r="B237" s="215">
        <v>46232</v>
      </c>
      <c r="C237" s="133"/>
      <c r="D237" s="136"/>
      <c r="E237" s="135"/>
      <c r="F237" s="135"/>
      <c r="G237" s="147">
        <f t="shared" si="87"/>
        <v>0</v>
      </c>
      <c r="H237" s="768"/>
      <c r="I237" s="611"/>
      <c r="J237" s="611"/>
      <c r="K237" s="611"/>
      <c r="L237" s="611"/>
      <c r="M237" s="611"/>
      <c r="N237" s="143"/>
      <c r="O237" s="143"/>
      <c r="P237" s="143"/>
      <c r="Q237" s="143"/>
      <c r="R237" s="143"/>
      <c r="S237" s="143"/>
      <c r="T237" s="143"/>
      <c r="U237" s="143"/>
      <c r="V237" s="143"/>
      <c r="W237" s="103">
        <f t="shared" si="88"/>
        <v>0</v>
      </c>
      <c r="X237" s="611"/>
      <c r="Y237" s="611"/>
      <c r="Z237" s="611"/>
      <c r="AA237" s="611"/>
      <c r="AB237" s="611"/>
      <c r="AC237" s="143"/>
      <c r="AD237" s="143"/>
      <c r="AE237" s="143"/>
      <c r="AF237" s="143"/>
      <c r="AG237" s="143"/>
      <c r="AH237" s="143"/>
      <c r="AI237" s="143"/>
      <c r="AJ237" s="103">
        <f t="shared" si="89"/>
        <v>0</v>
      </c>
      <c r="AK237" s="136"/>
      <c r="AL237" s="136"/>
      <c r="AM237" s="136"/>
      <c r="AN237" s="975">
        <f t="shared" si="90"/>
        <v>0</v>
      </c>
      <c r="AO237" s="143"/>
      <c r="AP237" s="143"/>
      <c r="AQ237" s="143"/>
      <c r="AR237" s="146"/>
      <c r="AS237" s="224">
        <f t="shared" si="91"/>
        <v>0</v>
      </c>
      <c r="AT237" s="1133"/>
      <c r="AU237" s="126"/>
      <c r="AV237" s="126"/>
      <c r="AW237" s="126"/>
      <c r="AX237" s="126"/>
      <c r="AY237" s="126"/>
      <c r="AZ237" s="274"/>
      <c r="BA237" s="274"/>
      <c r="BB237" s="274"/>
      <c r="BC237" s="274"/>
      <c r="BD237" s="222">
        <f t="shared" si="92"/>
        <v>0</v>
      </c>
      <c r="BE237" s="456">
        <f t="shared" si="93"/>
        <v>0</v>
      </c>
      <c r="BF237" s="132"/>
      <c r="BG237" s="140">
        <f t="shared" si="94"/>
        <v>0</v>
      </c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26"/>
      <c r="BR237" s="126"/>
      <c r="BS237" s="126"/>
      <c r="BT237" s="126"/>
      <c r="BU237" s="130">
        <f t="shared" si="95"/>
        <v>0</v>
      </c>
      <c r="BV237" s="132"/>
    </row>
    <row r="238" ht="14.25" customHeight="1">
      <c r="A238" s="132"/>
      <c r="B238" s="215">
        <v>46233</v>
      </c>
      <c r="C238" s="133"/>
      <c r="D238" s="136"/>
      <c r="E238" s="135"/>
      <c r="F238" s="135"/>
      <c r="G238" s="147">
        <f t="shared" si="87"/>
        <v>0</v>
      </c>
      <c r="H238" s="768"/>
      <c r="I238" s="611"/>
      <c r="J238" s="611"/>
      <c r="K238" s="611"/>
      <c r="L238" s="611"/>
      <c r="M238" s="611"/>
      <c r="N238" s="143"/>
      <c r="O238" s="143"/>
      <c r="P238" s="143"/>
      <c r="Q238" s="143"/>
      <c r="R238" s="143"/>
      <c r="S238" s="143"/>
      <c r="T238" s="143"/>
      <c r="U238" s="143"/>
      <c r="V238" s="143"/>
      <c r="W238" s="103">
        <f t="shared" si="88"/>
        <v>0</v>
      </c>
      <c r="X238" s="611"/>
      <c r="Y238" s="611"/>
      <c r="Z238" s="611"/>
      <c r="AA238" s="611"/>
      <c r="AB238" s="611"/>
      <c r="AC238" s="143"/>
      <c r="AD238" s="143"/>
      <c r="AE238" s="143"/>
      <c r="AF238" s="143"/>
      <c r="AG238" s="143"/>
      <c r="AH238" s="143"/>
      <c r="AI238" s="143"/>
      <c r="AJ238" s="103">
        <f t="shared" si="89"/>
        <v>0</v>
      </c>
      <c r="AK238" s="136"/>
      <c r="AL238" s="136"/>
      <c r="AM238" s="136"/>
      <c r="AN238" s="975">
        <f t="shared" si="90"/>
        <v>0</v>
      </c>
      <c r="AO238" s="143"/>
      <c r="AP238" s="143"/>
      <c r="AQ238" s="143"/>
      <c r="AR238" s="146"/>
      <c r="AS238" s="224">
        <f t="shared" si="91"/>
        <v>0</v>
      </c>
      <c r="AT238" s="1133"/>
      <c r="AU238" s="126"/>
      <c r="AV238" s="126"/>
      <c r="AW238" s="126"/>
      <c r="AX238" s="126"/>
      <c r="AY238" s="126"/>
      <c r="AZ238" s="274"/>
      <c r="BA238" s="274"/>
      <c r="BB238" s="274"/>
      <c r="BC238" s="274"/>
      <c r="BD238" s="222">
        <f t="shared" si="92"/>
        <v>0</v>
      </c>
      <c r="BE238" s="456">
        <f t="shared" si="93"/>
        <v>0</v>
      </c>
      <c r="BF238" s="132"/>
      <c r="BG238" s="140">
        <f t="shared" si="94"/>
        <v>0</v>
      </c>
      <c r="BH238" s="141"/>
      <c r="BI238" s="141"/>
      <c r="BJ238" s="141"/>
      <c r="BK238" s="141"/>
      <c r="BL238" s="141"/>
      <c r="BM238" s="141"/>
      <c r="BN238" s="141"/>
      <c r="BO238" s="141"/>
      <c r="BP238" s="141"/>
      <c r="BQ238" s="126"/>
      <c r="BR238" s="126"/>
      <c r="BS238" s="126"/>
      <c r="BT238" s="126"/>
      <c r="BU238" s="130">
        <f t="shared" si="95"/>
        <v>0</v>
      </c>
      <c r="BV238" s="132"/>
    </row>
    <row r="239" ht="14.25" customHeight="1">
      <c r="A239" s="132"/>
      <c r="B239" s="215">
        <v>46234</v>
      </c>
      <c r="C239" s="153"/>
      <c r="D239" s="159"/>
      <c r="E239" s="156"/>
      <c r="F239" s="156"/>
      <c r="G239" s="147">
        <f t="shared" si="87"/>
        <v>0</v>
      </c>
      <c r="H239" s="788"/>
      <c r="I239" s="613"/>
      <c r="J239" s="613"/>
      <c r="K239" s="613"/>
      <c r="L239" s="613"/>
      <c r="M239" s="613"/>
      <c r="N239" s="157"/>
      <c r="O239" s="157"/>
      <c r="P239" s="157"/>
      <c r="Q239" s="157"/>
      <c r="R239" s="157"/>
      <c r="S239" s="157"/>
      <c r="T239" s="157"/>
      <c r="U239" s="157"/>
      <c r="V239" s="157"/>
      <c r="W239" s="103">
        <f t="shared" si="88"/>
        <v>0</v>
      </c>
      <c r="X239" s="613"/>
      <c r="Y239" s="613"/>
      <c r="Z239" s="613"/>
      <c r="AA239" s="613"/>
      <c r="AB239" s="613"/>
      <c r="AC239" s="157"/>
      <c r="AD239" s="157"/>
      <c r="AE239" s="157"/>
      <c r="AF239" s="157"/>
      <c r="AG239" s="157"/>
      <c r="AH239" s="157"/>
      <c r="AI239" s="157"/>
      <c r="AJ239" s="103">
        <f t="shared" si="89"/>
        <v>0</v>
      </c>
      <c r="AK239" s="159"/>
      <c r="AL239" s="159"/>
      <c r="AM239" s="159"/>
      <c r="AN239" s="975">
        <f t="shared" si="90"/>
        <v>0</v>
      </c>
      <c r="AO239" s="157"/>
      <c r="AP239" s="157"/>
      <c r="AQ239" s="157"/>
      <c r="AR239" s="160"/>
      <c r="AS239" s="224">
        <f t="shared" si="91"/>
        <v>0</v>
      </c>
      <c r="AT239" s="1134"/>
      <c r="AU239" s="138"/>
      <c r="AV239" s="138"/>
      <c r="AW239" s="138"/>
      <c r="AX239" s="138"/>
      <c r="AY239" s="138"/>
      <c r="AZ239" s="296"/>
      <c r="BA239" s="296"/>
      <c r="BB239" s="296"/>
      <c r="BC239" s="296"/>
      <c r="BD239" s="222">
        <f t="shared" si="92"/>
        <v>0</v>
      </c>
      <c r="BE239" s="501">
        <f t="shared" si="93"/>
        <v>0</v>
      </c>
      <c r="BF239" s="132"/>
      <c r="BG239" s="162">
        <f t="shared" si="94"/>
        <v>0</v>
      </c>
      <c r="BH239" s="163"/>
      <c r="BI239" s="163"/>
      <c r="BJ239" s="163"/>
      <c r="BK239" s="163"/>
      <c r="BL239" s="163"/>
      <c r="BM239" s="163"/>
      <c r="BN239" s="163"/>
      <c r="BO239" s="163"/>
      <c r="BP239" s="163"/>
      <c r="BQ239" s="126"/>
      <c r="BR239" s="138"/>
      <c r="BS239" s="138"/>
      <c r="BT239" s="138"/>
      <c r="BU239" s="164">
        <f t="shared" si="95"/>
        <v>0</v>
      </c>
      <c r="BV239" s="132"/>
    </row>
    <row r="240" ht="14.25" customHeight="1">
      <c r="A240" s="3"/>
      <c r="B240" s="2" t="s">
        <v>81</v>
      </c>
      <c r="C240" s="166">
        <f ref="C240:W240" t="shared" si="96">SUM(C209:C239)</f>
        <v>0</v>
      </c>
      <c r="D240" s="166">
        <f t="shared" si="96"/>
        <v>0</v>
      </c>
      <c r="E240" s="166">
        <f t="shared" si="96"/>
        <v>0</v>
      </c>
      <c r="F240" s="166">
        <f t="shared" si="96"/>
        <v>0</v>
      </c>
      <c r="G240" s="166">
        <f t="shared" si="96"/>
        <v>0</v>
      </c>
      <c r="H240" s="166">
        <f t="shared" si="96"/>
        <v>0</v>
      </c>
      <c r="I240" s="166">
        <f t="shared" si="96"/>
        <v>0</v>
      </c>
      <c r="J240" s="166">
        <f t="shared" si="96"/>
        <v>0</v>
      </c>
      <c r="K240" s="166">
        <f t="shared" si="96"/>
        <v>0</v>
      </c>
      <c r="L240" s="166">
        <f t="shared" si="96"/>
        <v>0</v>
      </c>
      <c r="M240" s="166">
        <f t="shared" si="96"/>
        <v>0</v>
      </c>
      <c r="N240" s="166">
        <f t="shared" si="96"/>
        <v>0</v>
      </c>
      <c r="O240" s="166">
        <f t="shared" si="96"/>
        <v>0</v>
      </c>
      <c r="P240" s="166">
        <f t="shared" si="96"/>
        <v>0</v>
      </c>
      <c r="Q240" s="166">
        <f t="shared" si="96"/>
        <v>0</v>
      </c>
      <c r="R240" s="166">
        <f t="shared" si="96"/>
        <v>0</v>
      </c>
      <c r="S240" s="166">
        <f t="shared" si="96"/>
        <v>0</v>
      </c>
      <c r="T240" s="166">
        <f t="shared" si="96"/>
        <v>0</v>
      </c>
      <c r="U240" s="166">
        <f t="shared" si="96"/>
        <v>0</v>
      </c>
      <c r="V240" s="166">
        <f t="shared" si="96"/>
        <v>0</v>
      </c>
      <c r="W240" s="166">
        <f t="shared" si="96"/>
        <v>0</v>
      </c>
      <c r="X240" s="617"/>
      <c r="Y240" s="617"/>
      <c r="Z240" s="617"/>
      <c r="AA240" s="617"/>
      <c r="AB240" s="617"/>
      <c r="AC240" s="166">
        <f ref="AC240:BE240" t="shared" si="97">SUM(AC209:AC239)</f>
        <v>0</v>
      </c>
      <c r="AD240" s="166">
        <f t="shared" si="97"/>
        <v>0</v>
      </c>
      <c r="AE240" s="166">
        <f t="shared" si="97"/>
        <v>0</v>
      </c>
      <c r="AF240" s="166">
        <f t="shared" si="97"/>
        <v>0</v>
      </c>
      <c r="AG240" s="166">
        <f t="shared" si="97"/>
        <v>0</v>
      </c>
      <c r="AH240" s="166">
        <f t="shared" si="97"/>
        <v>0</v>
      </c>
      <c r="AI240" s="166">
        <f t="shared" si="97"/>
        <v>0</v>
      </c>
      <c r="AJ240" s="166">
        <f t="shared" si="97"/>
        <v>0</v>
      </c>
      <c r="AK240" s="166">
        <f t="shared" si="97"/>
        <v>0</v>
      </c>
      <c r="AL240" s="166">
        <f t="shared" si="97"/>
        <v>0</v>
      </c>
      <c r="AM240" s="166">
        <f t="shared" si="97"/>
        <v>0</v>
      </c>
      <c r="AN240" s="166">
        <f t="shared" si="97"/>
        <v>0</v>
      </c>
      <c r="AO240" s="166">
        <f t="shared" si="97"/>
        <v>0</v>
      </c>
      <c r="AP240" s="166">
        <f t="shared" si="97"/>
        <v>0</v>
      </c>
      <c r="AQ240" s="166">
        <f t="shared" si="97"/>
        <v>0</v>
      </c>
      <c r="AR240" s="166">
        <f t="shared" si="97"/>
        <v>0</v>
      </c>
      <c r="AS240" s="166">
        <f t="shared" si="97"/>
        <v>0</v>
      </c>
      <c r="AT240" s="166">
        <f t="shared" si="97"/>
        <v>0</v>
      </c>
      <c r="AU240" s="166">
        <f t="shared" si="97"/>
        <v>0</v>
      </c>
      <c r="AV240" s="166">
        <f t="shared" si="97"/>
        <v>0</v>
      </c>
      <c r="AW240" s="166">
        <f t="shared" si="97"/>
        <v>0</v>
      </c>
      <c r="AX240" s="166">
        <f t="shared" si="97"/>
        <v>0</v>
      </c>
      <c r="AY240" s="166">
        <f t="shared" si="97"/>
        <v>0</v>
      </c>
      <c r="AZ240" s="166">
        <f t="shared" si="97"/>
        <v>0</v>
      </c>
      <c r="BA240" s="166">
        <f t="shared" si="97"/>
        <v>0</v>
      </c>
      <c r="BB240" s="166">
        <f t="shared" si="97"/>
        <v>0</v>
      </c>
      <c r="BC240" s="166">
        <f t="shared" si="97"/>
        <v>0</v>
      </c>
      <c r="BD240" s="166">
        <f t="shared" si="97"/>
        <v>0</v>
      </c>
      <c r="BE240" s="617">
        <f t="shared" si="97"/>
        <v>0</v>
      </c>
      <c r="BF240" s="132"/>
      <c r="BG240" s="166">
        <f ref="BG240:BP240" t="shared" si="98">SUM(BG209:BG239)</f>
        <v>0</v>
      </c>
      <c r="BH240" s="166">
        <f t="shared" si="98"/>
        <v>0</v>
      </c>
      <c r="BI240" s="166">
        <f t="shared" si="98"/>
        <v>0</v>
      </c>
      <c r="BJ240" s="166">
        <f t="shared" si="98"/>
        <v>0</v>
      </c>
      <c r="BK240" s="166">
        <f t="shared" si="98"/>
        <v>0</v>
      </c>
      <c r="BL240" s="166">
        <f t="shared" si="98"/>
        <v>0</v>
      </c>
      <c r="BM240" s="166">
        <f t="shared" si="98"/>
        <v>0</v>
      </c>
      <c r="BN240" s="166">
        <f t="shared" si="98"/>
        <v>0</v>
      </c>
      <c r="BO240" s="166">
        <f t="shared" si="98"/>
        <v>0</v>
      </c>
      <c r="BP240" s="166">
        <f t="shared" si="98"/>
        <v>0</v>
      </c>
      <c r="BQ240" s="166"/>
      <c r="BR240" s="166"/>
      <c r="BS240" s="166"/>
      <c r="BT240" s="166"/>
      <c r="BU240" s="166">
        <f>SUM(BU209:BU239)</f>
        <v>0</v>
      </c>
      <c r="BV240" s="132"/>
    </row>
    <row r="241" ht="14.25" customHeight="1">
      <c r="A241" s="1"/>
      <c r="B241" s="2"/>
      <c r="C241" s="3"/>
      <c r="D241" s="3"/>
      <c r="E241" s="3"/>
      <c r="F241" s="3"/>
      <c r="G241" s="4"/>
      <c r="H241" s="1"/>
      <c r="I241" s="1"/>
      <c r="J241" s="1"/>
      <c r="K241" s="1"/>
      <c r="L241" s="1"/>
      <c r="M241" s="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1"/>
      <c r="Y241" s="1"/>
      <c r="Z241" s="1"/>
      <c r="AA241" s="1"/>
      <c r="AB241" s="1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4"/>
      <c r="AO241" s="3"/>
      <c r="AP241" s="3"/>
      <c r="AQ241" s="3"/>
      <c r="AR241" s="3"/>
      <c r="AS241" s="4"/>
      <c r="AT241" s="380"/>
      <c r="AU241" s="132"/>
      <c r="AV241" s="132"/>
      <c r="AW241" s="3"/>
      <c r="AX241" s="3"/>
      <c r="AY241" s="132"/>
      <c r="AZ241" s="132"/>
      <c r="BA241" s="132"/>
      <c r="BB241" s="132"/>
      <c r="BC241" s="132"/>
      <c r="BD241" s="4"/>
      <c r="BE241" s="1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</row>
    <row r="242" ht="14.25" customHeight="1">
      <c r="A242" s="1"/>
      <c r="B242" s="2"/>
      <c r="C242" s="3"/>
      <c r="D242" s="3"/>
      <c r="E242" s="3"/>
      <c r="F242" s="3"/>
      <c r="G242" s="4"/>
      <c r="H242" s="1"/>
      <c r="I242" s="1"/>
      <c r="J242" s="1"/>
      <c r="K242" s="1"/>
      <c r="L242" s="1"/>
      <c r="M242" s="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1"/>
      <c r="Y242" s="1"/>
      <c r="Z242" s="1"/>
      <c r="AA242" s="1"/>
      <c r="AB242" s="1"/>
      <c r="AC242" s="3"/>
      <c r="AD242" s="3"/>
      <c r="AE242" s="3"/>
      <c r="AF242" s="3"/>
      <c r="AG242" s="3"/>
      <c r="AH242" s="3"/>
      <c r="AI242" s="3"/>
      <c r="AJ242" s="176"/>
      <c r="AK242" s="3"/>
      <c r="AL242" s="3"/>
      <c r="AM242" s="3"/>
      <c r="AN242" s="4"/>
      <c r="AO242" s="3"/>
      <c r="AP242" s="3"/>
      <c r="AQ242" s="3"/>
      <c r="AR242" s="3"/>
      <c r="AS242" s="177"/>
      <c r="AT242" s="380"/>
      <c r="AU242" s="132"/>
      <c r="AV242" s="132"/>
      <c r="AW242" s="3"/>
      <c r="AX242" s="3"/>
      <c r="AY242" s="132"/>
      <c r="AZ242" s="132"/>
      <c r="BA242" s="132"/>
      <c r="BB242" s="132"/>
      <c r="BC242" s="132"/>
      <c r="BD242" s="177"/>
      <c r="BE242" s="1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</row>
    <row r="243" ht="14.25" customHeight="1">
      <c r="A243" s="5"/>
      <c r="B243" s="215">
        <v>46235</v>
      </c>
      <c r="C243" s="94"/>
      <c r="D243" s="104"/>
      <c r="E243" s="97"/>
      <c r="F243" s="97"/>
      <c r="G243" s="265">
        <f>C243+D243</f>
        <v>0</v>
      </c>
      <c r="H243" s="778"/>
      <c r="I243" s="619"/>
      <c r="J243" s="619"/>
      <c r="K243" s="619"/>
      <c r="L243" s="619"/>
      <c r="M243" s="619"/>
      <c r="N243" s="186"/>
      <c r="O243" s="186"/>
      <c r="P243" s="186"/>
      <c r="Q243" s="186"/>
      <c r="R243" s="186"/>
      <c r="S243" s="186"/>
      <c r="T243" s="186"/>
      <c r="U243" s="186"/>
      <c r="V243" s="186"/>
      <c r="W243" s="103">
        <f ref="W243:W273" t="shared" si="99">SUM(H243:V243)</f>
        <v>0</v>
      </c>
      <c r="X243" s="619"/>
      <c r="Y243" s="619"/>
      <c r="Z243" s="619"/>
      <c r="AA243" s="619"/>
      <c r="AB243" s="619"/>
      <c r="AC243" s="186"/>
      <c r="AD243" s="186"/>
      <c r="AE243" s="186"/>
      <c r="AF243" s="186"/>
      <c r="AG243" s="186"/>
      <c r="AH243" s="186"/>
      <c r="AI243" s="186"/>
      <c r="AJ243" s="103">
        <f ref="AJ243:AJ273" t="shared" si="100">SUM(X243:AI243)</f>
        <v>0</v>
      </c>
      <c r="AK243" s="104"/>
      <c r="AL243" s="104"/>
      <c r="AM243" s="104"/>
      <c r="AN243" s="191">
        <f ref="AN243:AN273" t="shared" si="101">SUM(AK243:AM243)</f>
        <v>0</v>
      </c>
      <c r="AO243" s="186"/>
      <c r="AP243" s="186"/>
      <c r="AQ243" s="186"/>
      <c r="AR243" s="193"/>
      <c r="AS243" s="224">
        <f ref="AS243:AS273" t="shared" si="102">+G243-W243-AJ243-AN243-AO243-AP243-AQ243-AR243</f>
        <v>0</v>
      </c>
      <c r="AT243" s="1132"/>
      <c r="AU243" s="109"/>
      <c r="AV243" s="109"/>
      <c r="AW243" s="109"/>
      <c r="AX243" s="109"/>
      <c r="AY243" s="109"/>
      <c r="AZ243" s="269"/>
      <c r="BA243" s="269"/>
      <c r="BB243" s="269"/>
      <c r="BC243" s="269"/>
      <c r="BD243" s="222">
        <f ref="BD243:BD273" t="shared" si="103">SUM(AT243:BC243)-BB243</f>
        <v>0</v>
      </c>
      <c r="BE243" s="1051">
        <f ref="BE243:BE273" t="shared" si="104">+AS243-BD243</f>
        <v>0</v>
      </c>
      <c r="BF243" s="3"/>
      <c r="BG243" s="114">
        <f ref="BG243:BG273" t="shared" si="105">SUM(BH243:BT243)</f>
        <v>0</v>
      </c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6">
        <f ref="BU243:BU273" t="shared" si="106">+BE243-BG243</f>
        <v>0</v>
      </c>
      <c r="BV243" s="3"/>
    </row>
    <row r="244" ht="14.25" customHeight="1">
      <c r="A244" s="3"/>
      <c r="B244" s="215">
        <v>46236</v>
      </c>
      <c r="C244" s="118"/>
      <c r="D244" s="123"/>
      <c r="E244" s="120"/>
      <c r="F244" s="120"/>
      <c r="G244" s="147">
        <f ref="G244:G273" t="shared" si="107">+C244+D244+E244+F244</f>
        <v>0</v>
      </c>
      <c r="H244" s="768"/>
      <c r="I244" s="611"/>
      <c r="J244" s="611"/>
      <c r="K244" s="611"/>
      <c r="L244" s="611"/>
      <c r="M244" s="611"/>
      <c r="N244" s="143"/>
      <c r="O244" s="143"/>
      <c r="P244" s="143"/>
      <c r="Q244" s="143"/>
      <c r="R244" s="143"/>
      <c r="S244" s="143"/>
      <c r="T244" s="143"/>
      <c r="U244" s="143"/>
      <c r="V244" s="143"/>
      <c r="W244" s="103">
        <f t="shared" si="99"/>
        <v>0</v>
      </c>
      <c r="X244" s="611"/>
      <c r="Y244" s="611"/>
      <c r="Z244" s="611"/>
      <c r="AA244" s="611"/>
      <c r="AB244" s="611"/>
      <c r="AC244" s="143"/>
      <c r="AD244" s="143"/>
      <c r="AE244" s="143"/>
      <c r="AF244" s="143"/>
      <c r="AG244" s="143"/>
      <c r="AH244" s="143"/>
      <c r="AI244" s="143"/>
      <c r="AJ244" s="103">
        <f t="shared" si="100"/>
        <v>0</v>
      </c>
      <c r="AK244" s="123"/>
      <c r="AL244" s="123"/>
      <c r="AM244" s="123"/>
      <c r="AN244" s="105">
        <f t="shared" si="101"/>
        <v>0</v>
      </c>
      <c r="AO244" s="143"/>
      <c r="AP244" s="143"/>
      <c r="AQ244" s="143"/>
      <c r="AR244" s="146"/>
      <c r="AS244" s="224">
        <f t="shared" si="102"/>
        <v>0</v>
      </c>
      <c r="AT244" s="1133"/>
      <c r="AU244" s="126"/>
      <c r="AV244" s="126"/>
      <c r="AW244" s="225"/>
      <c r="AX244" s="126"/>
      <c r="AY244" s="126"/>
      <c r="AZ244" s="274"/>
      <c r="BA244" s="274"/>
      <c r="BB244" s="274"/>
      <c r="BC244" s="274"/>
      <c r="BD244" s="222">
        <f t="shared" si="103"/>
        <v>0</v>
      </c>
      <c r="BE244" s="1055">
        <f t="shared" si="104"/>
        <v>0</v>
      </c>
      <c r="BF244" s="3"/>
      <c r="BG244" s="113">
        <f t="shared" si="105"/>
        <v>0</v>
      </c>
      <c r="BH244" s="129"/>
      <c r="BI244" s="129"/>
      <c r="BJ244" s="129"/>
      <c r="BK244" s="129"/>
      <c r="BL244" s="129"/>
      <c r="BM244" s="129"/>
      <c r="BN244" s="129"/>
      <c r="BO244" s="129"/>
      <c r="BP244" s="141"/>
      <c r="BQ244" s="129"/>
      <c r="BR244" s="1135"/>
      <c r="BS244" s="141"/>
      <c r="BT244" s="129"/>
      <c r="BU244" s="130">
        <f t="shared" si="106"/>
        <v>0</v>
      </c>
      <c r="BV244" s="3"/>
    </row>
    <row r="245" ht="14.25" customHeight="1">
      <c r="A245" s="3"/>
      <c r="B245" s="215">
        <v>46237</v>
      </c>
      <c r="C245" s="118"/>
      <c r="D245" s="123"/>
      <c r="E245" s="120"/>
      <c r="F245" s="120"/>
      <c r="G245" s="147">
        <f t="shared" si="107"/>
        <v>0</v>
      </c>
      <c r="H245" s="768"/>
      <c r="I245" s="611"/>
      <c r="J245" s="611"/>
      <c r="K245" s="611"/>
      <c r="L245" s="611"/>
      <c r="M245" s="611"/>
      <c r="N245" s="143"/>
      <c r="O245" s="143"/>
      <c r="P245" s="143"/>
      <c r="Q245" s="143"/>
      <c r="R245" s="143"/>
      <c r="S245" s="143"/>
      <c r="T245" s="143"/>
      <c r="U245" s="143"/>
      <c r="V245" s="143"/>
      <c r="W245" s="103">
        <f t="shared" si="99"/>
        <v>0</v>
      </c>
      <c r="X245" s="611"/>
      <c r="Y245" s="611"/>
      <c r="Z245" s="611"/>
      <c r="AA245" s="611"/>
      <c r="AB245" s="611"/>
      <c r="AC245" s="143"/>
      <c r="AD245" s="143"/>
      <c r="AE245" s="143"/>
      <c r="AF245" s="143"/>
      <c r="AG245" s="143"/>
      <c r="AH245" s="143"/>
      <c r="AI245" s="143"/>
      <c r="AJ245" s="103">
        <f t="shared" si="100"/>
        <v>0</v>
      </c>
      <c r="AK245" s="123"/>
      <c r="AL245" s="123"/>
      <c r="AM245" s="123"/>
      <c r="AN245" s="105">
        <f t="shared" si="101"/>
        <v>0</v>
      </c>
      <c r="AO245" s="143"/>
      <c r="AP245" s="143"/>
      <c r="AQ245" s="143"/>
      <c r="AR245" s="146"/>
      <c r="AS245" s="224">
        <f t="shared" si="102"/>
        <v>0</v>
      </c>
      <c r="AT245" s="1133"/>
      <c r="AU245" s="126"/>
      <c r="AV245" s="126"/>
      <c r="AW245" s="225"/>
      <c r="AX245" s="126"/>
      <c r="AY245" s="126"/>
      <c r="AZ245" s="274"/>
      <c r="BA245" s="274"/>
      <c r="BB245" s="274"/>
      <c r="BC245" s="274"/>
      <c r="BD245" s="222">
        <f t="shared" si="103"/>
        <v>0</v>
      </c>
      <c r="BE245" s="1055">
        <f t="shared" si="104"/>
        <v>0</v>
      </c>
      <c r="BF245" s="3"/>
      <c r="BG245" s="113">
        <f t="shared" si="105"/>
        <v>0</v>
      </c>
      <c r="BH245" s="129"/>
      <c r="BI245" s="129"/>
      <c r="BJ245" s="129"/>
      <c r="BK245" s="129"/>
      <c r="BL245" s="129"/>
      <c r="BM245" s="129"/>
      <c r="BN245" s="129"/>
      <c r="BO245" s="129"/>
      <c r="BP245" s="141"/>
      <c r="BQ245" s="129"/>
      <c r="BR245" s="152"/>
      <c r="BS245" s="1135"/>
      <c r="BT245" s="129"/>
      <c r="BU245" s="130">
        <f t="shared" si="106"/>
        <v>0</v>
      </c>
      <c r="BV245" s="3"/>
    </row>
    <row r="246" ht="14.25" customHeight="1">
      <c r="A246" s="3"/>
      <c r="B246" s="215">
        <v>46238</v>
      </c>
      <c r="C246" s="118"/>
      <c r="D246" s="123"/>
      <c r="E246" s="120"/>
      <c r="F246" s="120"/>
      <c r="G246" s="147">
        <f t="shared" si="107"/>
        <v>0</v>
      </c>
      <c r="H246" s="768"/>
      <c r="I246" s="611"/>
      <c r="J246" s="611"/>
      <c r="K246" s="611"/>
      <c r="L246" s="611"/>
      <c r="M246" s="611"/>
      <c r="N246" s="143"/>
      <c r="O246" s="143"/>
      <c r="P246" s="143"/>
      <c r="Q246" s="143"/>
      <c r="R246" s="143"/>
      <c r="S246" s="143"/>
      <c r="T246" s="143"/>
      <c r="U246" s="143"/>
      <c r="V246" s="143"/>
      <c r="W246" s="103">
        <f t="shared" si="99"/>
        <v>0</v>
      </c>
      <c r="X246" s="611"/>
      <c r="Y246" s="611"/>
      <c r="Z246" s="611"/>
      <c r="AA246" s="611"/>
      <c r="AB246" s="611"/>
      <c r="AC246" s="143"/>
      <c r="AD246" s="143"/>
      <c r="AE246" s="143"/>
      <c r="AF246" s="143"/>
      <c r="AG246" s="143"/>
      <c r="AH246" s="143"/>
      <c r="AI246" s="143"/>
      <c r="AJ246" s="103">
        <f t="shared" si="100"/>
        <v>0</v>
      </c>
      <c r="AK246" s="123"/>
      <c r="AL246" s="123"/>
      <c r="AM246" s="123"/>
      <c r="AN246" s="105">
        <f t="shared" si="101"/>
        <v>0</v>
      </c>
      <c r="AO246" s="143"/>
      <c r="AP246" s="143"/>
      <c r="AQ246" s="143"/>
      <c r="AR246" s="146"/>
      <c r="AS246" s="224">
        <f t="shared" si="102"/>
        <v>0</v>
      </c>
      <c r="AT246" s="1133"/>
      <c r="AU246" s="126"/>
      <c r="AV246" s="126"/>
      <c r="AW246" s="225"/>
      <c r="AX246" s="126"/>
      <c r="AY246" s="126"/>
      <c r="AZ246" s="274"/>
      <c r="BA246" s="274"/>
      <c r="BB246" s="274"/>
      <c r="BC246" s="274"/>
      <c r="BD246" s="222">
        <f t="shared" si="103"/>
        <v>0</v>
      </c>
      <c r="BE246" s="1055">
        <f t="shared" si="104"/>
        <v>0</v>
      </c>
      <c r="BF246" s="3"/>
      <c r="BG246" s="113">
        <f t="shared" si="105"/>
        <v>0</v>
      </c>
      <c r="BH246" s="129"/>
      <c r="BI246" s="129"/>
      <c r="BJ246" s="129"/>
      <c r="BK246" s="129"/>
      <c r="BL246" s="129"/>
      <c r="BM246" s="129"/>
      <c r="BN246" s="129"/>
      <c r="BO246" s="129"/>
      <c r="BP246" s="141"/>
      <c r="BQ246" s="129"/>
      <c r="BR246" s="152"/>
      <c r="BS246" s="1135"/>
      <c r="BT246" s="129"/>
      <c r="BU246" s="130">
        <f t="shared" si="106"/>
        <v>0</v>
      </c>
      <c r="BV246" s="3"/>
    </row>
    <row r="247" ht="14.25" customHeight="1">
      <c r="A247" s="132"/>
      <c r="B247" s="215">
        <v>46239</v>
      </c>
      <c r="C247" s="133"/>
      <c r="D247" s="136"/>
      <c r="E247" s="135"/>
      <c r="F247" s="135"/>
      <c r="G247" s="147">
        <f t="shared" si="107"/>
        <v>0</v>
      </c>
      <c r="H247" s="768"/>
      <c r="I247" s="611"/>
      <c r="J247" s="611"/>
      <c r="K247" s="611"/>
      <c r="L247" s="611"/>
      <c r="M247" s="611"/>
      <c r="N247" s="143"/>
      <c r="O247" s="143"/>
      <c r="P247" s="143"/>
      <c r="Q247" s="143"/>
      <c r="R247" s="143"/>
      <c r="S247" s="143"/>
      <c r="T247" s="143"/>
      <c r="U247" s="143"/>
      <c r="V247" s="143"/>
      <c r="W247" s="103">
        <f t="shared" si="99"/>
        <v>0</v>
      </c>
      <c r="X247" s="611"/>
      <c r="Y247" s="611"/>
      <c r="Z247" s="611"/>
      <c r="AA247" s="611"/>
      <c r="AB247" s="611"/>
      <c r="AC247" s="143"/>
      <c r="AD247" s="143"/>
      <c r="AE247" s="143"/>
      <c r="AF247" s="143"/>
      <c r="AG247" s="143"/>
      <c r="AH247" s="143"/>
      <c r="AI247" s="143"/>
      <c r="AJ247" s="103">
        <f t="shared" si="100"/>
        <v>0</v>
      </c>
      <c r="AK247" s="136"/>
      <c r="AL247" s="136"/>
      <c r="AM247" s="136"/>
      <c r="AN247" s="105">
        <f t="shared" si="101"/>
        <v>0</v>
      </c>
      <c r="AO247" s="143"/>
      <c r="AP247" s="143"/>
      <c r="AQ247" s="143"/>
      <c r="AR247" s="146"/>
      <c r="AS247" s="224">
        <f t="shared" si="102"/>
        <v>0</v>
      </c>
      <c r="AT247" s="1133"/>
      <c r="AU247" s="126"/>
      <c r="AV247" s="126"/>
      <c r="AW247" s="126"/>
      <c r="AX247" s="126"/>
      <c r="AY247" s="126"/>
      <c r="AZ247" s="274"/>
      <c r="BA247" s="274"/>
      <c r="BB247" s="274"/>
      <c r="BC247" s="274"/>
      <c r="BD247" s="222">
        <f t="shared" si="103"/>
        <v>0</v>
      </c>
      <c r="BE247" s="456">
        <f t="shared" si="104"/>
        <v>0</v>
      </c>
      <c r="BF247" s="132"/>
      <c r="BG247" s="140">
        <f t="shared" si="105"/>
        <v>0</v>
      </c>
      <c r="BH247" s="141"/>
      <c r="BI247" s="141"/>
      <c r="BJ247" s="141"/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30">
        <f t="shared" si="106"/>
        <v>0</v>
      </c>
      <c r="BV247" s="132"/>
    </row>
    <row r="248" ht="14.25" customHeight="1">
      <c r="A248" s="132"/>
      <c r="B248" s="215">
        <v>46240</v>
      </c>
      <c r="C248" s="133"/>
      <c r="D248" s="136"/>
      <c r="E248" s="135"/>
      <c r="F248" s="135"/>
      <c r="G248" s="147">
        <f t="shared" si="107"/>
        <v>0</v>
      </c>
      <c r="H248" s="768"/>
      <c r="I248" s="611"/>
      <c r="J248" s="611"/>
      <c r="K248" s="611"/>
      <c r="L248" s="611"/>
      <c r="M248" s="611"/>
      <c r="N248" s="143"/>
      <c r="O248" s="143"/>
      <c r="P248" s="143"/>
      <c r="Q248" s="143"/>
      <c r="R248" s="143"/>
      <c r="S248" s="143"/>
      <c r="T248" s="143"/>
      <c r="U248" s="143"/>
      <c r="V248" s="143"/>
      <c r="W248" s="103">
        <f t="shared" si="99"/>
        <v>0</v>
      </c>
      <c r="X248" s="611"/>
      <c r="Y248" s="611"/>
      <c r="Z248" s="611"/>
      <c r="AA248" s="611"/>
      <c r="AB248" s="611"/>
      <c r="AC248" s="143"/>
      <c r="AD248" s="143"/>
      <c r="AE248" s="143"/>
      <c r="AF248" s="143"/>
      <c r="AG248" s="143"/>
      <c r="AH248" s="143"/>
      <c r="AI248" s="143"/>
      <c r="AJ248" s="103">
        <f t="shared" si="100"/>
        <v>0</v>
      </c>
      <c r="AK248" s="136"/>
      <c r="AL248" s="136"/>
      <c r="AM248" s="136"/>
      <c r="AN248" s="105">
        <f t="shared" si="101"/>
        <v>0</v>
      </c>
      <c r="AO248" s="143"/>
      <c r="AP248" s="143"/>
      <c r="AQ248" s="143"/>
      <c r="AR248" s="146"/>
      <c r="AS248" s="224">
        <f t="shared" si="102"/>
        <v>0</v>
      </c>
      <c r="AT248" s="1133"/>
      <c r="AU248" s="126"/>
      <c r="AV248" s="126"/>
      <c r="AW248" s="126"/>
      <c r="AX248" s="126"/>
      <c r="AY248" s="126"/>
      <c r="AZ248" s="274"/>
      <c r="BA248" s="274"/>
      <c r="BB248" s="274"/>
      <c r="BC248" s="274"/>
      <c r="BD248" s="222">
        <f t="shared" si="103"/>
        <v>0</v>
      </c>
      <c r="BE248" s="456">
        <f t="shared" si="104"/>
        <v>0</v>
      </c>
      <c r="BF248" s="132"/>
      <c r="BG248" s="140">
        <f t="shared" si="105"/>
        <v>0</v>
      </c>
      <c r="BH248" s="141"/>
      <c r="BI248" s="141"/>
      <c r="BJ248" s="141"/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30">
        <f t="shared" si="106"/>
        <v>0</v>
      </c>
      <c r="BV248" s="132"/>
    </row>
    <row r="249" ht="14.25" customHeight="1">
      <c r="A249" s="132"/>
      <c r="B249" s="215">
        <v>46241</v>
      </c>
      <c r="C249" s="133"/>
      <c r="D249" s="136"/>
      <c r="E249" s="135"/>
      <c r="F249" s="135"/>
      <c r="G249" s="147">
        <f t="shared" si="107"/>
        <v>0</v>
      </c>
      <c r="H249" s="768"/>
      <c r="I249" s="611"/>
      <c r="J249" s="611"/>
      <c r="K249" s="611"/>
      <c r="L249" s="611"/>
      <c r="M249" s="611"/>
      <c r="N249" s="143"/>
      <c r="O249" s="143"/>
      <c r="P249" s="143"/>
      <c r="Q249" s="143"/>
      <c r="R249" s="143"/>
      <c r="S249" s="143"/>
      <c r="T249" s="143"/>
      <c r="U249" s="143"/>
      <c r="V249" s="143"/>
      <c r="W249" s="103">
        <f t="shared" si="99"/>
        <v>0</v>
      </c>
      <c r="X249" s="611"/>
      <c r="Y249" s="611"/>
      <c r="Z249" s="611"/>
      <c r="AA249" s="611"/>
      <c r="AB249" s="611"/>
      <c r="AC249" s="143"/>
      <c r="AD249" s="143"/>
      <c r="AE249" s="143"/>
      <c r="AF249" s="143"/>
      <c r="AG249" s="143"/>
      <c r="AH249" s="143"/>
      <c r="AI249" s="143"/>
      <c r="AJ249" s="103">
        <f t="shared" si="100"/>
        <v>0</v>
      </c>
      <c r="AK249" s="136"/>
      <c r="AL249" s="136"/>
      <c r="AM249" s="136"/>
      <c r="AN249" s="105">
        <f t="shared" si="101"/>
        <v>0</v>
      </c>
      <c r="AO249" s="143"/>
      <c r="AP249" s="143"/>
      <c r="AQ249" s="143"/>
      <c r="AR249" s="146"/>
      <c r="AS249" s="224">
        <f t="shared" si="102"/>
        <v>0</v>
      </c>
      <c r="AT249" s="1133"/>
      <c r="AU249" s="126"/>
      <c r="AV249" s="126"/>
      <c r="AW249" s="126"/>
      <c r="AX249" s="126"/>
      <c r="AY249" s="126"/>
      <c r="AZ249" s="274"/>
      <c r="BA249" s="274"/>
      <c r="BB249" s="274"/>
      <c r="BC249" s="274"/>
      <c r="BD249" s="222">
        <f t="shared" si="103"/>
        <v>0</v>
      </c>
      <c r="BE249" s="456">
        <f t="shared" si="104"/>
        <v>0</v>
      </c>
      <c r="BF249" s="132"/>
      <c r="BG249" s="140">
        <f t="shared" si="105"/>
        <v>0</v>
      </c>
      <c r="BH249" s="141"/>
      <c r="BI249" s="141"/>
      <c r="BJ249" s="141"/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30">
        <f t="shared" si="106"/>
        <v>0</v>
      </c>
      <c r="BV249" s="132"/>
    </row>
    <row r="250" ht="14.25" customHeight="1">
      <c r="A250" s="132"/>
      <c r="B250" s="215">
        <v>46242</v>
      </c>
      <c r="C250" s="133"/>
      <c r="D250" s="136"/>
      <c r="E250" s="135"/>
      <c r="F250" s="135"/>
      <c r="G250" s="147">
        <f t="shared" si="107"/>
        <v>0</v>
      </c>
      <c r="H250" s="768"/>
      <c r="I250" s="611"/>
      <c r="J250" s="611"/>
      <c r="K250" s="611"/>
      <c r="L250" s="611"/>
      <c r="M250" s="611"/>
      <c r="N250" s="143"/>
      <c r="O250" s="143"/>
      <c r="P250" s="143"/>
      <c r="Q250" s="143"/>
      <c r="R250" s="143"/>
      <c r="S250" s="143"/>
      <c r="T250" s="143"/>
      <c r="U250" s="143"/>
      <c r="V250" s="143"/>
      <c r="W250" s="103">
        <f t="shared" si="99"/>
        <v>0</v>
      </c>
      <c r="X250" s="611"/>
      <c r="Y250" s="611"/>
      <c r="Z250" s="611"/>
      <c r="AA250" s="611"/>
      <c r="AB250" s="611"/>
      <c r="AC250" s="143"/>
      <c r="AD250" s="143"/>
      <c r="AE250" s="143"/>
      <c r="AF250" s="143"/>
      <c r="AG250" s="143"/>
      <c r="AH250" s="143"/>
      <c r="AI250" s="143"/>
      <c r="AJ250" s="103">
        <f t="shared" si="100"/>
        <v>0</v>
      </c>
      <c r="AK250" s="136"/>
      <c r="AL250" s="136"/>
      <c r="AM250" s="136"/>
      <c r="AN250" s="105">
        <f t="shared" si="101"/>
        <v>0</v>
      </c>
      <c r="AO250" s="143"/>
      <c r="AP250" s="143"/>
      <c r="AQ250" s="143"/>
      <c r="AR250" s="146"/>
      <c r="AS250" s="224">
        <f t="shared" si="102"/>
        <v>0</v>
      </c>
      <c r="AT250" s="1133"/>
      <c r="AU250" s="126"/>
      <c r="AV250" s="126"/>
      <c r="AW250" s="126"/>
      <c r="AX250" s="126"/>
      <c r="AY250" s="126"/>
      <c r="AZ250" s="274"/>
      <c r="BA250" s="274"/>
      <c r="BB250" s="274"/>
      <c r="BC250" s="274"/>
      <c r="BD250" s="222">
        <f t="shared" si="103"/>
        <v>0</v>
      </c>
      <c r="BE250" s="456">
        <f t="shared" si="104"/>
        <v>0</v>
      </c>
      <c r="BF250" s="132"/>
      <c r="BG250" s="140">
        <f t="shared" si="105"/>
        <v>0</v>
      </c>
      <c r="BH250" s="141"/>
      <c r="BI250" s="141"/>
      <c r="BJ250" s="141"/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30">
        <f t="shared" si="106"/>
        <v>0</v>
      </c>
      <c r="BV250" s="132"/>
    </row>
    <row r="251" ht="14.25" customHeight="1">
      <c r="A251" s="5"/>
      <c r="B251" s="215">
        <v>46243</v>
      </c>
      <c r="C251" s="133"/>
      <c r="D251" s="136"/>
      <c r="E251" s="135"/>
      <c r="F251" s="135"/>
      <c r="G251" s="147">
        <f t="shared" si="107"/>
        <v>0</v>
      </c>
      <c r="H251" s="768"/>
      <c r="I251" s="611"/>
      <c r="J251" s="611"/>
      <c r="K251" s="611"/>
      <c r="L251" s="611"/>
      <c r="M251" s="611"/>
      <c r="N251" s="143"/>
      <c r="O251" s="143"/>
      <c r="P251" s="143"/>
      <c r="Q251" s="143"/>
      <c r="R251" s="143"/>
      <c r="S251" s="143"/>
      <c r="T251" s="143"/>
      <c r="U251" s="143"/>
      <c r="V251" s="143"/>
      <c r="W251" s="103">
        <f t="shared" si="99"/>
        <v>0</v>
      </c>
      <c r="X251" s="611"/>
      <c r="Y251" s="611"/>
      <c r="Z251" s="611"/>
      <c r="AA251" s="611"/>
      <c r="AB251" s="611"/>
      <c r="AC251" s="143"/>
      <c r="AD251" s="143"/>
      <c r="AE251" s="143"/>
      <c r="AF251" s="143"/>
      <c r="AG251" s="143"/>
      <c r="AH251" s="143"/>
      <c r="AI251" s="143"/>
      <c r="AJ251" s="103">
        <f t="shared" si="100"/>
        <v>0</v>
      </c>
      <c r="AK251" s="136"/>
      <c r="AL251" s="136"/>
      <c r="AM251" s="136"/>
      <c r="AN251" s="105">
        <f t="shared" si="101"/>
        <v>0</v>
      </c>
      <c r="AO251" s="143"/>
      <c r="AP251" s="143"/>
      <c r="AQ251" s="143"/>
      <c r="AR251" s="146"/>
      <c r="AS251" s="224">
        <f t="shared" si="102"/>
        <v>0</v>
      </c>
      <c r="AT251" s="1133"/>
      <c r="AU251" s="126"/>
      <c r="AV251" s="126"/>
      <c r="AW251" s="126"/>
      <c r="AX251" s="126"/>
      <c r="AY251" s="126"/>
      <c r="AZ251" s="274"/>
      <c r="BA251" s="274"/>
      <c r="BB251" s="274"/>
      <c r="BC251" s="274"/>
      <c r="BD251" s="222">
        <f t="shared" si="103"/>
        <v>0</v>
      </c>
      <c r="BE251" s="456">
        <f t="shared" si="104"/>
        <v>0</v>
      </c>
      <c r="BF251" s="132"/>
      <c r="BG251" s="140">
        <f t="shared" si="105"/>
        <v>0</v>
      </c>
      <c r="BH251" s="141"/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30">
        <f t="shared" si="106"/>
        <v>0</v>
      </c>
      <c r="BV251" s="132"/>
    </row>
    <row r="252" ht="14.25" customHeight="1">
      <c r="A252" s="132"/>
      <c r="B252" s="215">
        <v>46244</v>
      </c>
      <c r="C252" s="133"/>
      <c r="D252" s="136"/>
      <c r="E252" s="135"/>
      <c r="F252" s="135"/>
      <c r="G252" s="147">
        <f t="shared" si="107"/>
        <v>0</v>
      </c>
      <c r="H252" s="768"/>
      <c r="I252" s="611"/>
      <c r="J252" s="611"/>
      <c r="K252" s="611"/>
      <c r="L252" s="611"/>
      <c r="M252" s="611"/>
      <c r="N252" s="143"/>
      <c r="O252" s="143"/>
      <c r="P252" s="143"/>
      <c r="Q252" s="143"/>
      <c r="R252" s="143"/>
      <c r="S252" s="143"/>
      <c r="T252" s="143"/>
      <c r="U252" s="143"/>
      <c r="V252" s="143"/>
      <c r="W252" s="103">
        <f t="shared" si="99"/>
        <v>0</v>
      </c>
      <c r="X252" s="611"/>
      <c r="Y252" s="611"/>
      <c r="Z252" s="611"/>
      <c r="AA252" s="611"/>
      <c r="AB252" s="611"/>
      <c r="AC252" s="143"/>
      <c r="AD252" s="143"/>
      <c r="AE252" s="143"/>
      <c r="AF252" s="143"/>
      <c r="AG252" s="143"/>
      <c r="AH252" s="143"/>
      <c r="AI252" s="143"/>
      <c r="AJ252" s="103">
        <f t="shared" si="100"/>
        <v>0</v>
      </c>
      <c r="AK252" s="136"/>
      <c r="AL252" s="136"/>
      <c r="AM252" s="136"/>
      <c r="AN252" s="105">
        <f t="shared" si="101"/>
        <v>0</v>
      </c>
      <c r="AO252" s="143"/>
      <c r="AP252" s="143"/>
      <c r="AQ252" s="143"/>
      <c r="AR252" s="146"/>
      <c r="AS252" s="224">
        <f t="shared" si="102"/>
        <v>0</v>
      </c>
      <c r="AT252" s="1133"/>
      <c r="AU252" s="126"/>
      <c r="AV252" s="126"/>
      <c r="AW252" s="126"/>
      <c r="AX252" s="126"/>
      <c r="AY252" s="126"/>
      <c r="AZ252" s="274"/>
      <c r="BA252" s="274"/>
      <c r="BB252" s="274"/>
      <c r="BC252" s="274"/>
      <c r="BD252" s="222">
        <f t="shared" si="103"/>
        <v>0</v>
      </c>
      <c r="BE252" s="456">
        <f t="shared" si="104"/>
        <v>0</v>
      </c>
      <c r="BF252" s="132"/>
      <c r="BG252" s="140">
        <f t="shared" si="105"/>
        <v>0</v>
      </c>
      <c r="BH252" s="141"/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30">
        <f t="shared" si="106"/>
        <v>0</v>
      </c>
      <c r="BV252" s="132"/>
    </row>
    <row r="253" ht="14.25" customHeight="1">
      <c r="A253" s="132"/>
      <c r="B253" s="215">
        <v>46245</v>
      </c>
      <c r="C253" s="133"/>
      <c r="D253" s="136"/>
      <c r="E253" s="135"/>
      <c r="F253" s="135"/>
      <c r="G253" s="147">
        <f t="shared" si="107"/>
        <v>0</v>
      </c>
      <c r="H253" s="768"/>
      <c r="I253" s="611"/>
      <c r="J253" s="611"/>
      <c r="K253" s="611"/>
      <c r="L253" s="611"/>
      <c r="M253" s="611"/>
      <c r="N253" s="143"/>
      <c r="O253" s="143"/>
      <c r="P253" s="143"/>
      <c r="Q253" s="143"/>
      <c r="R253" s="143"/>
      <c r="S253" s="143"/>
      <c r="T253" s="143"/>
      <c r="U253" s="143"/>
      <c r="V253" s="143"/>
      <c r="W253" s="103">
        <f t="shared" si="99"/>
        <v>0</v>
      </c>
      <c r="X253" s="611"/>
      <c r="Y253" s="611"/>
      <c r="Z253" s="611"/>
      <c r="AA253" s="611"/>
      <c r="AB253" s="611"/>
      <c r="AC253" s="143"/>
      <c r="AD253" s="143"/>
      <c r="AE253" s="143"/>
      <c r="AF253" s="143"/>
      <c r="AG253" s="143"/>
      <c r="AH253" s="143"/>
      <c r="AI253" s="143"/>
      <c r="AJ253" s="103">
        <f t="shared" si="100"/>
        <v>0</v>
      </c>
      <c r="AK253" s="136"/>
      <c r="AL253" s="136"/>
      <c r="AM253" s="136"/>
      <c r="AN253" s="105">
        <f t="shared" si="101"/>
        <v>0</v>
      </c>
      <c r="AO253" s="143"/>
      <c r="AP253" s="143"/>
      <c r="AQ253" s="143"/>
      <c r="AR253" s="146"/>
      <c r="AS253" s="224">
        <f t="shared" si="102"/>
        <v>0</v>
      </c>
      <c r="AT253" s="1133"/>
      <c r="AU253" s="126"/>
      <c r="AV253" s="126"/>
      <c r="AW253" s="126"/>
      <c r="AX253" s="126"/>
      <c r="AY253" s="126"/>
      <c r="AZ253" s="274"/>
      <c r="BA253" s="274"/>
      <c r="BB253" s="274"/>
      <c r="BC253" s="274"/>
      <c r="BD253" s="222">
        <f t="shared" si="103"/>
        <v>0</v>
      </c>
      <c r="BE253" s="456">
        <f t="shared" si="104"/>
        <v>0</v>
      </c>
      <c r="BF253" s="132"/>
      <c r="BG253" s="140">
        <f t="shared" si="105"/>
        <v>0</v>
      </c>
      <c r="BH253" s="141"/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30">
        <f t="shared" si="106"/>
        <v>0</v>
      </c>
      <c r="BV253" s="132"/>
    </row>
    <row r="254" ht="14.25" customHeight="1">
      <c r="A254" s="132"/>
      <c r="B254" s="215">
        <v>46246</v>
      </c>
      <c r="C254" s="133"/>
      <c r="D254" s="136"/>
      <c r="E254" s="135"/>
      <c r="F254" s="135"/>
      <c r="G254" s="147">
        <f t="shared" si="107"/>
        <v>0</v>
      </c>
      <c r="H254" s="768"/>
      <c r="I254" s="611"/>
      <c r="J254" s="611"/>
      <c r="K254" s="611"/>
      <c r="L254" s="611"/>
      <c r="M254" s="611"/>
      <c r="N254" s="143"/>
      <c r="O254" s="143"/>
      <c r="P254" s="143"/>
      <c r="Q254" s="143"/>
      <c r="R254" s="143"/>
      <c r="S254" s="143"/>
      <c r="T254" s="143"/>
      <c r="U254" s="143"/>
      <c r="V254" s="143"/>
      <c r="W254" s="103">
        <f t="shared" si="99"/>
        <v>0</v>
      </c>
      <c r="X254" s="611"/>
      <c r="Y254" s="611"/>
      <c r="Z254" s="611"/>
      <c r="AA254" s="611"/>
      <c r="AB254" s="611"/>
      <c r="AC254" s="143"/>
      <c r="AD254" s="143"/>
      <c r="AE254" s="143"/>
      <c r="AF254" s="143"/>
      <c r="AG254" s="143"/>
      <c r="AH254" s="143"/>
      <c r="AI254" s="143"/>
      <c r="AJ254" s="103">
        <f t="shared" si="100"/>
        <v>0</v>
      </c>
      <c r="AK254" s="136"/>
      <c r="AL254" s="136"/>
      <c r="AM254" s="136"/>
      <c r="AN254" s="105">
        <f t="shared" si="101"/>
        <v>0</v>
      </c>
      <c r="AO254" s="143"/>
      <c r="AP254" s="143"/>
      <c r="AQ254" s="143"/>
      <c r="AR254" s="146"/>
      <c r="AS254" s="224">
        <f t="shared" si="102"/>
        <v>0</v>
      </c>
      <c r="AT254" s="1133"/>
      <c r="AU254" s="126"/>
      <c r="AV254" s="126"/>
      <c r="AW254" s="126"/>
      <c r="AX254" s="126"/>
      <c r="AY254" s="126"/>
      <c r="AZ254" s="274"/>
      <c r="BA254" s="274"/>
      <c r="BB254" s="274"/>
      <c r="BC254" s="274"/>
      <c r="BD254" s="222">
        <f t="shared" si="103"/>
        <v>0</v>
      </c>
      <c r="BE254" s="456">
        <f t="shared" si="104"/>
        <v>0</v>
      </c>
      <c r="BF254" s="132"/>
      <c r="BG254" s="140">
        <f t="shared" si="105"/>
        <v>0</v>
      </c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30">
        <f t="shared" si="106"/>
        <v>0</v>
      </c>
      <c r="BV254" s="132"/>
    </row>
    <row r="255" ht="14.25" customHeight="1">
      <c r="A255" s="132"/>
      <c r="B255" s="215">
        <v>46247</v>
      </c>
      <c r="C255" s="133"/>
      <c r="D255" s="136"/>
      <c r="E255" s="135"/>
      <c r="F255" s="135"/>
      <c r="G255" s="147">
        <f t="shared" si="107"/>
        <v>0</v>
      </c>
      <c r="H255" s="768"/>
      <c r="I255" s="611"/>
      <c r="J255" s="611"/>
      <c r="K255" s="611"/>
      <c r="L255" s="611"/>
      <c r="M255" s="611"/>
      <c r="N255" s="143"/>
      <c r="O255" s="143"/>
      <c r="P255" s="143"/>
      <c r="Q255" s="143"/>
      <c r="R255" s="143"/>
      <c r="S255" s="143"/>
      <c r="T255" s="143"/>
      <c r="U255" s="143"/>
      <c r="V255" s="143"/>
      <c r="W255" s="103">
        <f t="shared" si="99"/>
        <v>0</v>
      </c>
      <c r="X255" s="611"/>
      <c r="Y255" s="611"/>
      <c r="Z255" s="611"/>
      <c r="AA255" s="611"/>
      <c r="AB255" s="611"/>
      <c r="AC255" s="143"/>
      <c r="AD255" s="143"/>
      <c r="AE255" s="143"/>
      <c r="AF255" s="143"/>
      <c r="AG255" s="143"/>
      <c r="AH255" s="143"/>
      <c r="AI255" s="143"/>
      <c r="AJ255" s="103">
        <f t="shared" si="100"/>
        <v>0</v>
      </c>
      <c r="AK255" s="136"/>
      <c r="AL255" s="136"/>
      <c r="AM255" s="136"/>
      <c r="AN255" s="105">
        <f t="shared" si="101"/>
        <v>0</v>
      </c>
      <c r="AO255" s="143"/>
      <c r="AP255" s="143"/>
      <c r="AQ255" s="143"/>
      <c r="AR255" s="146"/>
      <c r="AS255" s="224">
        <f t="shared" si="102"/>
        <v>0</v>
      </c>
      <c r="AT255" s="1133"/>
      <c r="AU255" s="126"/>
      <c r="AV255" s="126"/>
      <c r="AW255" s="126"/>
      <c r="AX255" s="126"/>
      <c r="AY255" s="126"/>
      <c r="AZ255" s="274"/>
      <c r="BA255" s="274"/>
      <c r="BB255" s="274"/>
      <c r="BC255" s="274"/>
      <c r="BD255" s="222">
        <f t="shared" si="103"/>
        <v>0</v>
      </c>
      <c r="BE255" s="456">
        <f t="shared" si="104"/>
        <v>0</v>
      </c>
      <c r="BF255" s="132"/>
      <c r="BG255" s="140">
        <f t="shared" si="105"/>
        <v>0</v>
      </c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30">
        <f t="shared" si="106"/>
        <v>0</v>
      </c>
      <c r="BV255" s="132"/>
    </row>
    <row r="256" ht="14.25" customHeight="1">
      <c r="A256" s="132"/>
      <c r="B256" s="215">
        <v>46248</v>
      </c>
      <c r="C256" s="133"/>
      <c r="D256" s="136"/>
      <c r="E256" s="135"/>
      <c r="F256" s="135"/>
      <c r="G256" s="147">
        <f t="shared" si="107"/>
        <v>0</v>
      </c>
      <c r="H256" s="768"/>
      <c r="I256" s="611"/>
      <c r="J256" s="611"/>
      <c r="K256" s="611"/>
      <c r="L256" s="611"/>
      <c r="M256" s="611"/>
      <c r="N256" s="143"/>
      <c r="O256" s="143"/>
      <c r="P256" s="143"/>
      <c r="Q256" s="143"/>
      <c r="R256" s="143"/>
      <c r="S256" s="143"/>
      <c r="T256" s="143"/>
      <c r="U256" s="143"/>
      <c r="V256" s="143"/>
      <c r="W256" s="103">
        <f t="shared" si="99"/>
        <v>0</v>
      </c>
      <c r="X256" s="611"/>
      <c r="Y256" s="611"/>
      <c r="Z256" s="611"/>
      <c r="AA256" s="611"/>
      <c r="AB256" s="611"/>
      <c r="AC256" s="143"/>
      <c r="AD256" s="143"/>
      <c r="AE256" s="143"/>
      <c r="AF256" s="143"/>
      <c r="AG256" s="143"/>
      <c r="AH256" s="143"/>
      <c r="AI256" s="143"/>
      <c r="AJ256" s="103">
        <f t="shared" si="100"/>
        <v>0</v>
      </c>
      <c r="AK256" s="136"/>
      <c r="AL256" s="136"/>
      <c r="AM256" s="136"/>
      <c r="AN256" s="105">
        <f t="shared" si="101"/>
        <v>0</v>
      </c>
      <c r="AO256" s="1131"/>
      <c r="AP256" s="144"/>
      <c r="AQ256" s="143"/>
      <c r="AR256" s="146"/>
      <c r="AS256" s="224">
        <f t="shared" si="102"/>
        <v>0</v>
      </c>
      <c r="AT256" s="1133"/>
      <c r="AU256" s="126"/>
      <c r="AV256" s="126"/>
      <c r="AW256" s="126"/>
      <c r="AX256" s="126"/>
      <c r="AY256" s="126"/>
      <c r="AZ256" s="274"/>
      <c r="BA256" s="274"/>
      <c r="BB256" s="274"/>
      <c r="BC256" s="274"/>
      <c r="BD256" s="222">
        <f t="shared" si="103"/>
        <v>0</v>
      </c>
      <c r="BE256" s="456">
        <f t="shared" si="104"/>
        <v>0</v>
      </c>
      <c r="BF256" s="132"/>
      <c r="BG256" s="140">
        <f t="shared" si="105"/>
        <v>0</v>
      </c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30">
        <f t="shared" si="106"/>
        <v>0</v>
      </c>
      <c r="BV256" s="132"/>
    </row>
    <row r="257" ht="14.25" customHeight="1">
      <c r="A257" s="132"/>
      <c r="B257" s="215">
        <v>46249</v>
      </c>
      <c r="C257" s="133"/>
      <c r="D257" s="136"/>
      <c r="E257" s="135"/>
      <c r="F257" s="135"/>
      <c r="G257" s="147">
        <f t="shared" si="107"/>
        <v>0</v>
      </c>
      <c r="H257" s="768"/>
      <c r="I257" s="611"/>
      <c r="J257" s="611"/>
      <c r="K257" s="611"/>
      <c r="L257" s="611"/>
      <c r="M257" s="611"/>
      <c r="N257" s="143"/>
      <c r="O257" s="143"/>
      <c r="P257" s="143"/>
      <c r="Q257" s="143"/>
      <c r="R257" s="143"/>
      <c r="S257" s="143"/>
      <c r="T257" s="143"/>
      <c r="U257" s="143"/>
      <c r="V257" s="143"/>
      <c r="W257" s="103">
        <f t="shared" si="99"/>
        <v>0</v>
      </c>
      <c r="X257" s="611"/>
      <c r="Y257" s="611"/>
      <c r="Z257" s="611"/>
      <c r="AA257" s="611"/>
      <c r="AB257" s="611"/>
      <c r="AC257" s="143"/>
      <c r="AD257" s="143"/>
      <c r="AE257" s="143"/>
      <c r="AF257" s="143"/>
      <c r="AG257" s="143"/>
      <c r="AH257" s="143"/>
      <c r="AI257" s="143"/>
      <c r="AJ257" s="103">
        <f t="shared" si="100"/>
        <v>0</v>
      </c>
      <c r="AK257" s="136"/>
      <c r="AL257" s="136"/>
      <c r="AM257" s="136"/>
      <c r="AN257" s="105">
        <f t="shared" si="101"/>
        <v>0</v>
      </c>
      <c r="AO257" s="143"/>
      <c r="AP257" s="143"/>
      <c r="AQ257" s="143"/>
      <c r="AR257" s="146"/>
      <c r="AS257" s="224">
        <f t="shared" si="102"/>
        <v>0</v>
      </c>
      <c r="AT257" s="1133"/>
      <c r="AU257" s="126"/>
      <c r="AV257" s="126"/>
      <c r="AW257" s="126"/>
      <c r="AX257" s="126"/>
      <c r="AY257" s="126"/>
      <c r="AZ257" s="274"/>
      <c r="BA257" s="274"/>
      <c r="BB257" s="274"/>
      <c r="BC257" s="274"/>
      <c r="BD257" s="222">
        <f t="shared" si="103"/>
        <v>0</v>
      </c>
      <c r="BE257" s="456">
        <f t="shared" si="104"/>
        <v>0</v>
      </c>
      <c r="BF257" s="132"/>
      <c r="BG257" s="140">
        <f t="shared" si="105"/>
        <v>0</v>
      </c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30">
        <f t="shared" si="106"/>
        <v>0</v>
      </c>
      <c r="BV257" s="132"/>
    </row>
    <row r="258" ht="14.25" customHeight="1">
      <c r="A258" s="132"/>
      <c r="B258" s="215">
        <v>46250</v>
      </c>
      <c r="C258" s="133"/>
      <c r="D258" s="136"/>
      <c r="E258" s="135"/>
      <c r="F258" s="135"/>
      <c r="G258" s="147">
        <f t="shared" si="107"/>
        <v>0</v>
      </c>
      <c r="H258" s="768"/>
      <c r="I258" s="611"/>
      <c r="J258" s="611"/>
      <c r="K258" s="611"/>
      <c r="L258" s="611"/>
      <c r="M258" s="611"/>
      <c r="N258" s="143"/>
      <c r="O258" s="143"/>
      <c r="P258" s="143"/>
      <c r="Q258" s="143"/>
      <c r="R258" s="143"/>
      <c r="S258" s="143"/>
      <c r="T258" s="143"/>
      <c r="U258" s="143"/>
      <c r="V258" s="143"/>
      <c r="W258" s="103">
        <f t="shared" si="99"/>
        <v>0</v>
      </c>
      <c r="X258" s="611"/>
      <c r="Y258" s="611"/>
      <c r="Z258" s="611"/>
      <c r="AA258" s="611"/>
      <c r="AB258" s="611"/>
      <c r="AC258" s="143"/>
      <c r="AD258" s="143"/>
      <c r="AE258" s="143"/>
      <c r="AF258" s="143"/>
      <c r="AG258" s="143"/>
      <c r="AH258" s="143"/>
      <c r="AI258" s="143"/>
      <c r="AJ258" s="103">
        <f t="shared" si="100"/>
        <v>0</v>
      </c>
      <c r="AK258" s="136"/>
      <c r="AL258" s="136"/>
      <c r="AM258" s="136"/>
      <c r="AN258" s="105">
        <f t="shared" si="101"/>
        <v>0</v>
      </c>
      <c r="AO258" s="143"/>
      <c r="AP258" s="143"/>
      <c r="AQ258" s="143"/>
      <c r="AR258" s="146"/>
      <c r="AS258" s="224">
        <f t="shared" si="102"/>
        <v>0</v>
      </c>
      <c r="AT258" s="1133"/>
      <c r="AU258" s="126"/>
      <c r="AV258" s="126"/>
      <c r="AW258" s="126"/>
      <c r="AX258" s="126"/>
      <c r="AY258" s="126"/>
      <c r="AZ258" s="274"/>
      <c r="BA258" s="274"/>
      <c r="BB258" s="274"/>
      <c r="BC258" s="274"/>
      <c r="BD258" s="222">
        <f t="shared" si="103"/>
        <v>0</v>
      </c>
      <c r="BE258" s="456">
        <f t="shared" si="104"/>
        <v>0</v>
      </c>
      <c r="BF258" s="132"/>
      <c r="BG258" s="140">
        <f t="shared" si="105"/>
        <v>0</v>
      </c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30">
        <f t="shared" si="106"/>
        <v>0</v>
      </c>
      <c r="BV258" s="132"/>
    </row>
    <row r="259" ht="14.25" customHeight="1">
      <c r="A259" s="132"/>
      <c r="B259" s="215">
        <v>46251</v>
      </c>
      <c r="C259" s="133"/>
      <c r="D259" s="136"/>
      <c r="E259" s="135"/>
      <c r="F259" s="135"/>
      <c r="G259" s="147">
        <f t="shared" si="107"/>
        <v>0</v>
      </c>
      <c r="H259" s="768"/>
      <c r="I259" s="611"/>
      <c r="J259" s="611"/>
      <c r="K259" s="611"/>
      <c r="L259" s="611"/>
      <c r="M259" s="611"/>
      <c r="N259" s="143"/>
      <c r="O259" s="143"/>
      <c r="P259" s="143"/>
      <c r="Q259" s="143"/>
      <c r="R259" s="143"/>
      <c r="S259" s="143"/>
      <c r="T259" s="143"/>
      <c r="U259" s="143"/>
      <c r="V259" s="143"/>
      <c r="W259" s="103">
        <f t="shared" si="99"/>
        <v>0</v>
      </c>
      <c r="X259" s="611"/>
      <c r="Y259" s="611"/>
      <c r="Z259" s="611"/>
      <c r="AA259" s="611"/>
      <c r="AB259" s="611"/>
      <c r="AC259" s="143"/>
      <c r="AD259" s="143"/>
      <c r="AE259" s="143"/>
      <c r="AF259" s="143"/>
      <c r="AG259" s="143"/>
      <c r="AH259" s="143"/>
      <c r="AI259" s="143"/>
      <c r="AJ259" s="103">
        <f t="shared" si="100"/>
        <v>0</v>
      </c>
      <c r="AK259" s="136"/>
      <c r="AL259" s="136"/>
      <c r="AM259" s="136"/>
      <c r="AN259" s="105">
        <f t="shared" si="101"/>
        <v>0</v>
      </c>
      <c r="AO259" s="143"/>
      <c r="AP259" s="143"/>
      <c r="AQ259" s="132"/>
      <c r="AR259" s="146"/>
      <c r="AS259" s="224">
        <f t="shared" si="102"/>
        <v>0</v>
      </c>
      <c r="AT259" s="1133"/>
      <c r="AU259" s="126"/>
      <c r="AV259" s="126"/>
      <c r="AW259" s="126"/>
      <c r="AX259" s="126"/>
      <c r="AY259" s="126"/>
      <c r="AZ259" s="274"/>
      <c r="BA259" s="274"/>
      <c r="BB259" s="274"/>
      <c r="BC259" s="274"/>
      <c r="BD259" s="222">
        <f t="shared" si="103"/>
        <v>0</v>
      </c>
      <c r="BE259" s="456">
        <f t="shared" si="104"/>
        <v>0</v>
      </c>
      <c r="BF259" s="132"/>
      <c r="BG259" s="140">
        <f t="shared" si="105"/>
        <v>0</v>
      </c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30">
        <f t="shared" si="106"/>
        <v>0</v>
      </c>
      <c r="BV259" s="132"/>
    </row>
    <row r="260" ht="14.25" customHeight="1">
      <c r="A260" s="132"/>
      <c r="B260" s="215">
        <v>46252</v>
      </c>
      <c r="C260" s="133"/>
      <c r="D260" s="136"/>
      <c r="E260" s="135"/>
      <c r="F260" s="135"/>
      <c r="G260" s="147">
        <f t="shared" si="107"/>
        <v>0</v>
      </c>
      <c r="H260" s="768"/>
      <c r="I260" s="611"/>
      <c r="J260" s="611"/>
      <c r="K260" s="611"/>
      <c r="L260" s="611"/>
      <c r="M260" s="611"/>
      <c r="N260" s="143"/>
      <c r="O260" s="143"/>
      <c r="P260" s="143"/>
      <c r="Q260" s="143"/>
      <c r="R260" s="143"/>
      <c r="S260" s="143"/>
      <c r="T260" s="143"/>
      <c r="U260" s="143"/>
      <c r="V260" s="143"/>
      <c r="W260" s="103">
        <f t="shared" si="99"/>
        <v>0</v>
      </c>
      <c r="X260" s="611"/>
      <c r="Y260" s="611"/>
      <c r="Z260" s="611"/>
      <c r="AA260" s="611"/>
      <c r="AB260" s="611"/>
      <c r="AC260" s="143"/>
      <c r="AD260" s="143"/>
      <c r="AE260" s="143"/>
      <c r="AF260" s="143"/>
      <c r="AG260" s="143"/>
      <c r="AH260" s="143"/>
      <c r="AI260" s="143"/>
      <c r="AJ260" s="103">
        <f t="shared" si="100"/>
        <v>0</v>
      </c>
      <c r="AK260" s="136"/>
      <c r="AL260" s="136"/>
      <c r="AM260" s="136"/>
      <c r="AN260" s="105">
        <f t="shared" si="101"/>
        <v>0</v>
      </c>
      <c r="AO260" s="143"/>
      <c r="AP260" s="143"/>
      <c r="AQ260" s="143"/>
      <c r="AR260" s="146"/>
      <c r="AS260" s="224">
        <f t="shared" si="102"/>
        <v>0</v>
      </c>
      <c r="AT260" s="1133"/>
      <c r="AU260" s="126"/>
      <c r="AV260" s="126"/>
      <c r="AW260" s="126"/>
      <c r="AX260" s="126"/>
      <c r="AY260" s="126"/>
      <c r="AZ260" s="274"/>
      <c r="BA260" s="274"/>
      <c r="BB260" s="274"/>
      <c r="BC260" s="274"/>
      <c r="BD260" s="222">
        <f t="shared" si="103"/>
        <v>0</v>
      </c>
      <c r="BE260" s="456">
        <f t="shared" si="104"/>
        <v>0</v>
      </c>
      <c r="BF260" s="132"/>
      <c r="BG260" s="140">
        <f t="shared" si="105"/>
        <v>0</v>
      </c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30">
        <f t="shared" si="106"/>
        <v>0</v>
      </c>
      <c r="BV260" s="132"/>
    </row>
    <row r="261" ht="14.25" customHeight="1">
      <c r="A261" s="132"/>
      <c r="B261" s="215">
        <v>46253</v>
      </c>
      <c r="C261" s="133"/>
      <c r="D261" s="136"/>
      <c r="E261" s="135"/>
      <c r="F261" s="135"/>
      <c r="G261" s="147">
        <f t="shared" si="107"/>
        <v>0</v>
      </c>
      <c r="H261" s="768"/>
      <c r="I261" s="611"/>
      <c r="J261" s="611"/>
      <c r="K261" s="611"/>
      <c r="L261" s="611"/>
      <c r="M261" s="611"/>
      <c r="N261" s="143"/>
      <c r="O261" s="143"/>
      <c r="P261" s="143"/>
      <c r="Q261" s="143"/>
      <c r="R261" s="143"/>
      <c r="S261" s="143"/>
      <c r="T261" s="143"/>
      <c r="U261" s="143"/>
      <c r="V261" s="143"/>
      <c r="W261" s="103">
        <f t="shared" si="99"/>
        <v>0</v>
      </c>
      <c r="X261" s="611"/>
      <c r="Y261" s="611"/>
      <c r="Z261" s="611"/>
      <c r="AA261" s="611"/>
      <c r="AB261" s="611"/>
      <c r="AC261" s="143"/>
      <c r="AD261" s="143"/>
      <c r="AE261" s="143"/>
      <c r="AF261" s="143"/>
      <c r="AG261" s="143"/>
      <c r="AH261" s="143"/>
      <c r="AI261" s="143"/>
      <c r="AJ261" s="103">
        <f t="shared" si="100"/>
        <v>0</v>
      </c>
      <c r="AK261" s="136"/>
      <c r="AL261" s="136"/>
      <c r="AM261" s="136"/>
      <c r="AN261" s="105">
        <f t="shared" si="101"/>
        <v>0</v>
      </c>
      <c r="AO261" s="143"/>
      <c r="AP261" s="143"/>
      <c r="AQ261" s="143"/>
      <c r="AR261" s="146"/>
      <c r="AS261" s="224">
        <f t="shared" si="102"/>
        <v>0</v>
      </c>
      <c r="AT261" s="1133"/>
      <c r="AU261" s="126"/>
      <c r="AV261" s="126"/>
      <c r="AW261" s="126"/>
      <c r="AX261" s="126"/>
      <c r="AY261" s="126"/>
      <c r="AZ261" s="274"/>
      <c r="BA261" s="274"/>
      <c r="BB261" s="274"/>
      <c r="BC261" s="274"/>
      <c r="BD261" s="222">
        <f t="shared" si="103"/>
        <v>0</v>
      </c>
      <c r="BE261" s="456">
        <f t="shared" si="104"/>
        <v>0</v>
      </c>
      <c r="BF261" s="132"/>
      <c r="BG261" s="140">
        <f t="shared" si="105"/>
        <v>0</v>
      </c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30">
        <f t="shared" si="106"/>
        <v>0</v>
      </c>
      <c r="BV261" s="132"/>
    </row>
    <row r="262" ht="14.25" customHeight="1">
      <c r="A262" s="132"/>
      <c r="B262" s="215">
        <v>46254</v>
      </c>
      <c r="C262" s="133"/>
      <c r="D262" s="136"/>
      <c r="E262" s="135"/>
      <c r="F262" s="135"/>
      <c r="G262" s="147">
        <f t="shared" si="107"/>
        <v>0</v>
      </c>
      <c r="H262" s="768"/>
      <c r="I262" s="611"/>
      <c r="J262" s="611"/>
      <c r="K262" s="611"/>
      <c r="L262" s="611"/>
      <c r="M262" s="611"/>
      <c r="N262" s="143"/>
      <c r="O262" s="143"/>
      <c r="P262" s="143"/>
      <c r="Q262" s="143"/>
      <c r="R262" s="143"/>
      <c r="S262" s="143"/>
      <c r="T262" s="143"/>
      <c r="U262" s="143"/>
      <c r="V262" s="143"/>
      <c r="W262" s="103">
        <f t="shared" si="99"/>
        <v>0</v>
      </c>
      <c r="X262" s="611"/>
      <c r="Y262" s="611"/>
      <c r="Z262" s="611"/>
      <c r="AA262" s="611"/>
      <c r="AB262" s="611"/>
      <c r="AC262" s="143"/>
      <c r="AD262" s="143"/>
      <c r="AE262" s="143"/>
      <c r="AF262" s="143"/>
      <c r="AG262" s="143"/>
      <c r="AH262" s="143"/>
      <c r="AI262" s="143"/>
      <c r="AJ262" s="103">
        <f t="shared" si="100"/>
        <v>0</v>
      </c>
      <c r="AK262" s="136"/>
      <c r="AL262" s="136"/>
      <c r="AM262" s="136"/>
      <c r="AN262" s="105">
        <f t="shared" si="101"/>
        <v>0</v>
      </c>
      <c r="AO262" s="143"/>
      <c r="AP262" s="143"/>
      <c r="AQ262" s="143"/>
      <c r="AR262" s="146"/>
      <c r="AS262" s="224">
        <f t="shared" si="102"/>
        <v>0</v>
      </c>
      <c r="AT262" s="1133"/>
      <c r="AU262" s="126"/>
      <c r="AV262" s="126"/>
      <c r="AW262" s="126"/>
      <c r="AX262" s="126"/>
      <c r="AY262" s="126"/>
      <c r="AZ262" s="274"/>
      <c r="BA262" s="274"/>
      <c r="BB262" s="274"/>
      <c r="BC262" s="274"/>
      <c r="BD262" s="222">
        <f t="shared" si="103"/>
        <v>0</v>
      </c>
      <c r="BE262" s="456">
        <f t="shared" si="104"/>
        <v>0</v>
      </c>
      <c r="BF262" s="132"/>
      <c r="BG262" s="140">
        <f t="shared" si="105"/>
        <v>0</v>
      </c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30">
        <f t="shared" si="106"/>
        <v>0</v>
      </c>
      <c r="BV262" s="132"/>
    </row>
    <row r="263" ht="14.25" customHeight="1">
      <c r="A263" s="132"/>
      <c r="B263" s="215">
        <v>46255</v>
      </c>
      <c r="C263" s="133"/>
      <c r="D263" s="136"/>
      <c r="E263" s="135"/>
      <c r="F263" s="135"/>
      <c r="G263" s="147">
        <f t="shared" si="107"/>
        <v>0</v>
      </c>
      <c r="H263" s="768"/>
      <c r="I263" s="611"/>
      <c r="J263" s="611"/>
      <c r="K263" s="611"/>
      <c r="L263" s="611"/>
      <c r="M263" s="611"/>
      <c r="N263" s="143"/>
      <c r="O263" s="143"/>
      <c r="P263" s="143"/>
      <c r="Q263" s="143"/>
      <c r="R263" s="143"/>
      <c r="S263" s="143"/>
      <c r="T263" s="143"/>
      <c r="U263" s="143"/>
      <c r="V263" s="143"/>
      <c r="W263" s="103">
        <f t="shared" si="99"/>
        <v>0</v>
      </c>
      <c r="X263" s="611"/>
      <c r="Y263" s="611"/>
      <c r="Z263" s="611"/>
      <c r="AA263" s="611"/>
      <c r="AB263" s="611"/>
      <c r="AC263" s="143"/>
      <c r="AD263" s="143"/>
      <c r="AE263" s="143"/>
      <c r="AF263" s="143"/>
      <c r="AG263" s="143"/>
      <c r="AH263" s="143"/>
      <c r="AI263" s="143"/>
      <c r="AJ263" s="103">
        <f t="shared" si="100"/>
        <v>0</v>
      </c>
      <c r="AK263" s="136"/>
      <c r="AL263" s="136"/>
      <c r="AM263" s="136"/>
      <c r="AN263" s="105">
        <f t="shared" si="101"/>
        <v>0</v>
      </c>
      <c r="AO263" s="143"/>
      <c r="AP263" s="143"/>
      <c r="AQ263" s="143"/>
      <c r="AR263" s="146"/>
      <c r="AS263" s="224">
        <f t="shared" si="102"/>
        <v>0</v>
      </c>
      <c r="AT263" s="1133"/>
      <c r="AU263" s="126"/>
      <c r="AV263" s="126"/>
      <c r="AW263" s="126"/>
      <c r="AX263" s="126"/>
      <c r="AY263" s="126"/>
      <c r="AZ263" s="274"/>
      <c r="BA263" s="274"/>
      <c r="BB263" s="274"/>
      <c r="BC263" s="274"/>
      <c r="BD263" s="222">
        <f t="shared" si="103"/>
        <v>0</v>
      </c>
      <c r="BE263" s="456">
        <f t="shared" si="104"/>
        <v>0</v>
      </c>
      <c r="BF263" s="132"/>
      <c r="BG263" s="140">
        <f t="shared" si="105"/>
        <v>0</v>
      </c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30">
        <f t="shared" si="106"/>
        <v>0</v>
      </c>
      <c r="BV263" s="132"/>
    </row>
    <row r="264" ht="14.25" customHeight="1">
      <c r="A264" s="132"/>
      <c r="B264" s="215">
        <v>46256</v>
      </c>
      <c r="C264" s="133"/>
      <c r="D264" s="136"/>
      <c r="E264" s="135"/>
      <c r="F264" s="135"/>
      <c r="G264" s="147">
        <f t="shared" si="107"/>
        <v>0</v>
      </c>
      <c r="H264" s="768"/>
      <c r="I264" s="611"/>
      <c r="J264" s="611"/>
      <c r="K264" s="611"/>
      <c r="L264" s="611"/>
      <c r="M264" s="611"/>
      <c r="N264" s="143"/>
      <c r="O264" s="143"/>
      <c r="P264" s="143"/>
      <c r="Q264" s="143"/>
      <c r="R264" s="143"/>
      <c r="S264" s="143"/>
      <c r="T264" s="143"/>
      <c r="U264" s="143"/>
      <c r="V264" s="143"/>
      <c r="W264" s="103">
        <f t="shared" si="99"/>
        <v>0</v>
      </c>
      <c r="X264" s="611"/>
      <c r="Y264" s="611"/>
      <c r="Z264" s="611"/>
      <c r="AA264" s="611"/>
      <c r="AB264" s="611"/>
      <c r="AC264" s="143"/>
      <c r="AD264" s="143"/>
      <c r="AE264" s="143"/>
      <c r="AF264" s="143"/>
      <c r="AG264" s="143"/>
      <c r="AH264" s="143"/>
      <c r="AI264" s="143"/>
      <c r="AJ264" s="103">
        <f t="shared" si="100"/>
        <v>0</v>
      </c>
      <c r="AK264" s="136"/>
      <c r="AL264" s="136"/>
      <c r="AM264" s="136"/>
      <c r="AN264" s="105">
        <f t="shared" si="101"/>
        <v>0</v>
      </c>
      <c r="AO264" s="143"/>
      <c r="AP264" s="143"/>
      <c r="AQ264" s="143"/>
      <c r="AR264" s="146"/>
      <c r="AS264" s="224">
        <f t="shared" si="102"/>
        <v>0</v>
      </c>
      <c r="AT264" s="1133"/>
      <c r="AU264" s="126"/>
      <c r="AV264" s="126"/>
      <c r="AW264" s="126"/>
      <c r="AX264" s="126"/>
      <c r="AY264" s="126"/>
      <c r="AZ264" s="274"/>
      <c r="BA264" s="274"/>
      <c r="BB264" s="274"/>
      <c r="BC264" s="274"/>
      <c r="BD264" s="222">
        <f t="shared" si="103"/>
        <v>0</v>
      </c>
      <c r="BE264" s="456">
        <f t="shared" si="104"/>
        <v>0</v>
      </c>
      <c r="BF264" s="132"/>
      <c r="BG264" s="140">
        <f t="shared" si="105"/>
        <v>0</v>
      </c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30">
        <f t="shared" si="106"/>
        <v>0</v>
      </c>
      <c r="BV264" s="132"/>
    </row>
    <row r="265" ht="15" customHeight="1">
      <c r="A265" s="3"/>
      <c r="B265" s="215">
        <v>46257</v>
      </c>
      <c r="C265" s="118"/>
      <c r="D265" s="123"/>
      <c r="E265" s="120"/>
      <c r="F265" s="120"/>
      <c r="G265" s="147">
        <f t="shared" si="107"/>
        <v>0</v>
      </c>
      <c r="H265" s="768"/>
      <c r="I265" s="611"/>
      <c r="J265" s="611"/>
      <c r="K265" s="611"/>
      <c r="L265" s="611"/>
      <c r="M265" s="611"/>
      <c r="N265" s="143"/>
      <c r="O265" s="143"/>
      <c r="P265" s="143"/>
      <c r="Q265" s="143"/>
      <c r="R265" s="143"/>
      <c r="S265" s="143"/>
      <c r="T265" s="143"/>
      <c r="U265" s="143"/>
      <c r="V265" s="143"/>
      <c r="W265" s="103">
        <f t="shared" si="99"/>
        <v>0</v>
      </c>
      <c r="X265" s="611"/>
      <c r="Y265" s="611"/>
      <c r="Z265" s="611"/>
      <c r="AA265" s="611"/>
      <c r="AB265" s="611"/>
      <c r="AC265" s="143"/>
      <c r="AD265" s="143"/>
      <c r="AE265" s="143"/>
      <c r="AF265" s="143"/>
      <c r="AG265" s="143"/>
      <c r="AH265" s="143"/>
      <c r="AI265" s="143"/>
      <c r="AJ265" s="103">
        <f t="shared" si="100"/>
        <v>0</v>
      </c>
      <c r="AK265" s="123"/>
      <c r="AL265" s="123"/>
      <c r="AM265" s="123"/>
      <c r="AN265" s="105">
        <f t="shared" si="101"/>
        <v>0</v>
      </c>
      <c r="AO265" s="143"/>
      <c r="AP265" s="143"/>
      <c r="AQ265" s="143"/>
      <c r="AR265" s="146"/>
      <c r="AS265" s="224">
        <f t="shared" si="102"/>
        <v>0</v>
      </c>
      <c r="AT265" s="1133"/>
      <c r="AU265" s="126"/>
      <c r="AV265" s="126"/>
      <c r="AW265" s="126"/>
      <c r="AX265" s="126"/>
      <c r="AY265" s="126"/>
      <c r="AZ265" s="274"/>
      <c r="BA265" s="274"/>
      <c r="BB265" s="274"/>
      <c r="BC265" s="274"/>
      <c r="BD265" s="222">
        <f t="shared" si="103"/>
        <v>0</v>
      </c>
      <c r="BE265" s="1055">
        <f t="shared" si="104"/>
        <v>0</v>
      </c>
      <c r="BF265" s="3"/>
      <c r="BG265" s="113">
        <f t="shared" si="105"/>
        <v>0</v>
      </c>
      <c r="BH265" s="129"/>
      <c r="BI265" s="129"/>
      <c r="BJ265" s="129"/>
      <c r="BK265" s="129"/>
      <c r="BL265" s="129"/>
      <c r="BM265" s="129"/>
      <c r="BN265" s="129"/>
      <c r="BO265" s="129"/>
      <c r="BP265" s="129"/>
      <c r="BQ265" s="129"/>
      <c r="BR265" s="129"/>
      <c r="BS265" s="129"/>
      <c r="BT265" s="129"/>
      <c r="BU265" s="130">
        <f t="shared" si="106"/>
        <v>0</v>
      </c>
      <c r="BV265" s="3"/>
    </row>
    <row r="266" ht="14.25" customHeight="1">
      <c r="A266" s="132"/>
      <c r="B266" s="215">
        <v>46258</v>
      </c>
      <c r="C266" s="133"/>
      <c r="D266" s="136"/>
      <c r="E266" s="135"/>
      <c r="F266" s="135"/>
      <c r="G266" s="147">
        <f t="shared" si="107"/>
        <v>0</v>
      </c>
      <c r="H266" s="746"/>
      <c r="I266" s="641"/>
      <c r="J266" s="641"/>
      <c r="K266" s="641"/>
      <c r="L266" s="641"/>
      <c r="M266" s="641"/>
      <c r="N266" s="99"/>
      <c r="O266" s="99"/>
      <c r="P266" s="99"/>
      <c r="Q266" s="99"/>
      <c r="R266" s="99"/>
      <c r="S266" s="99"/>
      <c r="T266" s="99"/>
      <c r="U266" s="99"/>
      <c r="V266" s="99"/>
      <c r="W266" s="103">
        <f t="shared" si="99"/>
        <v>0</v>
      </c>
      <c r="X266" s="641"/>
      <c r="Y266" s="641"/>
      <c r="Z266" s="641"/>
      <c r="AA266" s="641"/>
      <c r="AB266" s="641"/>
      <c r="AC266" s="143"/>
      <c r="AD266" s="143"/>
      <c r="AE266" s="143"/>
      <c r="AF266" s="143"/>
      <c r="AG266" s="143"/>
      <c r="AH266" s="143"/>
      <c r="AI266" s="143"/>
      <c r="AJ266" s="103">
        <f t="shared" si="100"/>
        <v>0</v>
      </c>
      <c r="AK266" s="136"/>
      <c r="AL266" s="136"/>
      <c r="AM266" s="136"/>
      <c r="AN266" s="105">
        <f t="shared" si="101"/>
        <v>0</v>
      </c>
      <c r="AO266" s="143"/>
      <c r="AP266" s="143"/>
      <c r="AQ266" s="143"/>
      <c r="AR266" s="146"/>
      <c r="AS266" s="224">
        <f t="shared" si="102"/>
        <v>0</v>
      </c>
      <c r="AT266" s="1133"/>
      <c r="AU266" s="126"/>
      <c r="AV266" s="126"/>
      <c r="AW266" s="126"/>
      <c r="AX266" s="126"/>
      <c r="AY266" s="126"/>
      <c r="AZ266" s="274"/>
      <c r="BA266" s="274"/>
      <c r="BB266" s="274"/>
      <c r="BC266" s="274"/>
      <c r="BD266" s="222">
        <f t="shared" si="103"/>
        <v>0</v>
      </c>
      <c r="BE266" s="456">
        <f t="shared" si="104"/>
        <v>0</v>
      </c>
      <c r="BF266" s="132"/>
      <c r="BG266" s="140">
        <f t="shared" si="105"/>
        <v>0</v>
      </c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30">
        <f t="shared" si="106"/>
        <v>0</v>
      </c>
      <c r="BV266" s="132"/>
    </row>
    <row r="267" ht="14.25" customHeight="1">
      <c r="A267" s="132"/>
      <c r="B267" s="215">
        <v>46259</v>
      </c>
      <c r="C267" s="133"/>
      <c r="D267" s="136"/>
      <c r="E267" s="135"/>
      <c r="F267" s="135"/>
      <c r="G267" s="147">
        <f t="shared" si="107"/>
        <v>0</v>
      </c>
      <c r="H267" s="768"/>
      <c r="I267" s="611"/>
      <c r="J267" s="611"/>
      <c r="K267" s="611"/>
      <c r="L267" s="611"/>
      <c r="M267" s="611"/>
      <c r="N267" s="143"/>
      <c r="O267" s="143"/>
      <c r="P267" s="143"/>
      <c r="Q267" s="143"/>
      <c r="R267" s="143"/>
      <c r="S267" s="143"/>
      <c r="T267" s="143"/>
      <c r="U267" s="143"/>
      <c r="V267" s="143"/>
      <c r="W267" s="103">
        <f t="shared" si="99"/>
        <v>0</v>
      </c>
      <c r="X267" s="611"/>
      <c r="Y267" s="611"/>
      <c r="Z267" s="611"/>
      <c r="AA267" s="611"/>
      <c r="AB267" s="611"/>
      <c r="AC267" s="143"/>
      <c r="AD267" s="143"/>
      <c r="AE267" s="143"/>
      <c r="AF267" s="143"/>
      <c r="AG267" s="143"/>
      <c r="AH267" s="143"/>
      <c r="AI267" s="143"/>
      <c r="AJ267" s="103">
        <f t="shared" si="100"/>
        <v>0</v>
      </c>
      <c r="AK267" s="136"/>
      <c r="AL267" s="136"/>
      <c r="AM267" s="136"/>
      <c r="AN267" s="105">
        <f t="shared" si="101"/>
        <v>0</v>
      </c>
      <c r="AO267" s="143"/>
      <c r="AP267" s="143"/>
      <c r="AQ267" s="143"/>
      <c r="AR267" s="146"/>
      <c r="AS267" s="224">
        <f t="shared" si="102"/>
        <v>0</v>
      </c>
      <c r="AT267" s="1133"/>
      <c r="AU267" s="126"/>
      <c r="AV267" s="126"/>
      <c r="AW267" s="126"/>
      <c r="AX267" s="126"/>
      <c r="AY267" s="126"/>
      <c r="AZ267" s="274"/>
      <c r="BA267" s="274"/>
      <c r="BB267" s="274"/>
      <c r="BC267" s="274"/>
      <c r="BD267" s="222">
        <f t="shared" si="103"/>
        <v>0</v>
      </c>
      <c r="BE267" s="456">
        <f t="shared" si="104"/>
        <v>0</v>
      </c>
      <c r="BF267" s="132"/>
      <c r="BG267" s="140">
        <f t="shared" si="105"/>
        <v>0</v>
      </c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30">
        <f t="shared" si="106"/>
        <v>0</v>
      </c>
      <c r="BV267" s="132"/>
    </row>
    <row r="268" ht="14.25" customHeight="1">
      <c r="A268" s="132"/>
      <c r="B268" s="215">
        <v>46260</v>
      </c>
      <c r="C268" s="133"/>
      <c r="D268" s="136"/>
      <c r="E268" s="135"/>
      <c r="F268" s="135"/>
      <c r="G268" s="147">
        <f t="shared" si="107"/>
        <v>0</v>
      </c>
      <c r="H268" s="768"/>
      <c r="I268" s="611"/>
      <c r="J268" s="611"/>
      <c r="K268" s="611"/>
      <c r="L268" s="611"/>
      <c r="M268" s="611"/>
      <c r="N268" s="143"/>
      <c r="O268" s="143"/>
      <c r="P268" s="143"/>
      <c r="Q268" s="143"/>
      <c r="R268" s="143"/>
      <c r="S268" s="143"/>
      <c r="T268" s="143"/>
      <c r="U268" s="143"/>
      <c r="V268" s="143"/>
      <c r="W268" s="103">
        <f t="shared" si="99"/>
        <v>0</v>
      </c>
      <c r="X268" s="611"/>
      <c r="Y268" s="611"/>
      <c r="Z268" s="611"/>
      <c r="AA268" s="611"/>
      <c r="AB268" s="611"/>
      <c r="AC268" s="143"/>
      <c r="AD268" s="143"/>
      <c r="AE268" s="143"/>
      <c r="AF268" s="143"/>
      <c r="AG268" s="143"/>
      <c r="AH268" s="143"/>
      <c r="AI268" s="143"/>
      <c r="AJ268" s="103">
        <f t="shared" si="100"/>
        <v>0</v>
      </c>
      <c r="AK268" s="136"/>
      <c r="AL268" s="136"/>
      <c r="AM268" s="136"/>
      <c r="AN268" s="105">
        <f t="shared" si="101"/>
        <v>0</v>
      </c>
      <c r="AO268" s="143"/>
      <c r="AP268" s="143"/>
      <c r="AQ268" s="143"/>
      <c r="AR268" s="146"/>
      <c r="AS268" s="224">
        <f t="shared" si="102"/>
        <v>0</v>
      </c>
      <c r="AT268" s="1133"/>
      <c r="AU268" s="126"/>
      <c r="AV268" s="126"/>
      <c r="AW268" s="126"/>
      <c r="AX268" s="126"/>
      <c r="AY268" s="126"/>
      <c r="AZ268" s="274"/>
      <c r="BA268" s="274"/>
      <c r="BB268" s="274"/>
      <c r="BC268" s="274"/>
      <c r="BD268" s="222">
        <f t="shared" si="103"/>
        <v>0</v>
      </c>
      <c r="BE268" s="456">
        <f t="shared" si="104"/>
        <v>0</v>
      </c>
      <c r="BF268" s="132"/>
      <c r="BG268" s="140">
        <f t="shared" si="105"/>
        <v>0</v>
      </c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30">
        <f t="shared" si="106"/>
        <v>0</v>
      </c>
      <c r="BV268" s="132"/>
    </row>
    <row r="269" ht="14.25" customHeight="1">
      <c r="A269" s="132"/>
      <c r="B269" s="215">
        <v>46261</v>
      </c>
      <c r="C269" s="133"/>
      <c r="D269" s="136"/>
      <c r="E269" s="135"/>
      <c r="F269" s="135"/>
      <c r="G269" s="147">
        <f t="shared" si="107"/>
        <v>0</v>
      </c>
      <c r="H269" s="768"/>
      <c r="I269" s="611"/>
      <c r="J269" s="611"/>
      <c r="K269" s="611"/>
      <c r="L269" s="611"/>
      <c r="M269" s="611"/>
      <c r="N269" s="143"/>
      <c r="O269" s="143"/>
      <c r="P269" s="143"/>
      <c r="Q269" s="143"/>
      <c r="R269" s="143"/>
      <c r="S269" s="143"/>
      <c r="T269" s="143"/>
      <c r="U269" s="143"/>
      <c r="V269" s="143"/>
      <c r="W269" s="103">
        <f t="shared" si="99"/>
        <v>0</v>
      </c>
      <c r="X269" s="611"/>
      <c r="Y269" s="611"/>
      <c r="Z269" s="611"/>
      <c r="AA269" s="611"/>
      <c r="AB269" s="611"/>
      <c r="AC269" s="143"/>
      <c r="AD269" s="143"/>
      <c r="AE269" s="143"/>
      <c r="AF269" s="143"/>
      <c r="AG269" s="143"/>
      <c r="AH269" s="143"/>
      <c r="AI269" s="143"/>
      <c r="AJ269" s="103">
        <f t="shared" si="100"/>
        <v>0</v>
      </c>
      <c r="AK269" s="136"/>
      <c r="AL269" s="136"/>
      <c r="AM269" s="136"/>
      <c r="AN269" s="105">
        <f t="shared" si="101"/>
        <v>0</v>
      </c>
      <c r="AO269" s="143"/>
      <c r="AP269" s="143"/>
      <c r="AQ269" s="143"/>
      <c r="AR269" s="146"/>
      <c r="AS269" s="224">
        <f t="shared" si="102"/>
        <v>0</v>
      </c>
      <c r="AT269" s="1133"/>
      <c r="AU269" s="126"/>
      <c r="AV269" s="126"/>
      <c r="AW269" s="126"/>
      <c r="AX269" s="126"/>
      <c r="AY269" s="126"/>
      <c r="AZ269" s="274"/>
      <c r="BA269" s="274"/>
      <c r="BB269" s="274"/>
      <c r="BC269" s="274"/>
      <c r="BD269" s="222">
        <f t="shared" si="103"/>
        <v>0</v>
      </c>
      <c r="BE269" s="456">
        <f t="shared" si="104"/>
        <v>0</v>
      </c>
      <c r="BF269" s="132"/>
      <c r="BG269" s="140">
        <f t="shared" si="105"/>
        <v>0</v>
      </c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30">
        <f t="shared" si="106"/>
        <v>0</v>
      </c>
      <c r="BV269" s="132"/>
    </row>
    <row r="270" ht="14.25" customHeight="1">
      <c r="A270" s="132"/>
      <c r="B270" s="215">
        <v>46262</v>
      </c>
      <c r="C270" s="133"/>
      <c r="D270" s="136"/>
      <c r="E270" s="135"/>
      <c r="F270" s="135"/>
      <c r="G270" s="147">
        <f t="shared" si="107"/>
        <v>0</v>
      </c>
      <c r="H270" s="768"/>
      <c r="I270" s="611"/>
      <c r="J270" s="611"/>
      <c r="K270" s="611"/>
      <c r="L270" s="611"/>
      <c r="M270" s="611"/>
      <c r="N270" s="143"/>
      <c r="O270" s="143"/>
      <c r="P270" s="143"/>
      <c r="Q270" s="143"/>
      <c r="R270" s="143"/>
      <c r="S270" s="143"/>
      <c r="T270" s="143"/>
      <c r="U270" s="143"/>
      <c r="V270" s="143"/>
      <c r="W270" s="103">
        <f t="shared" si="99"/>
        <v>0</v>
      </c>
      <c r="X270" s="611"/>
      <c r="Y270" s="611"/>
      <c r="Z270" s="611"/>
      <c r="AA270" s="611"/>
      <c r="AB270" s="611"/>
      <c r="AC270" s="143"/>
      <c r="AD270" s="143"/>
      <c r="AE270" s="143"/>
      <c r="AF270" s="143"/>
      <c r="AG270" s="143"/>
      <c r="AH270" s="143"/>
      <c r="AI270" s="143"/>
      <c r="AJ270" s="103">
        <f t="shared" si="100"/>
        <v>0</v>
      </c>
      <c r="AK270" s="136"/>
      <c r="AL270" s="136"/>
      <c r="AM270" s="136"/>
      <c r="AN270" s="105">
        <f t="shared" si="101"/>
        <v>0</v>
      </c>
      <c r="AO270" s="143"/>
      <c r="AP270" s="143"/>
      <c r="AQ270" s="143"/>
      <c r="AR270" s="146"/>
      <c r="AS270" s="224">
        <f t="shared" si="102"/>
        <v>0</v>
      </c>
      <c r="AT270" s="1133"/>
      <c r="AU270" s="126"/>
      <c r="AV270" s="126"/>
      <c r="AW270" s="126"/>
      <c r="AX270" s="126"/>
      <c r="AY270" s="126"/>
      <c r="AZ270" s="274"/>
      <c r="BA270" s="274"/>
      <c r="BB270" s="274"/>
      <c r="BC270" s="274"/>
      <c r="BD270" s="222">
        <f t="shared" si="103"/>
        <v>0</v>
      </c>
      <c r="BE270" s="456">
        <f t="shared" si="104"/>
        <v>0</v>
      </c>
      <c r="BF270" s="132"/>
      <c r="BG270" s="140">
        <f t="shared" si="105"/>
        <v>0</v>
      </c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130">
        <f t="shared" si="106"/>
        <v>0</v>
      </c>
      <c r="BV270" s="132"/>
    </row>
    <row r="271" ht="14.25" customHeight="1">
      <c r="A271" s="132"/>
      <c r="B271" s="215">
        <v>46263</v>
      </c>
      <c r="C271" s="133"/>
      <c r="D271" s="136"/>
      <c r="E271" s="135"/>
      <c r="F271" s="135"/>
      <c r="G271" s="147">
        <f t="shared" si="107"/>
        <v>0</v>
      </c>
      <c r="H271" s="768"/>
      <c r="I271" s="611"/>
      <c r="J271" s="611"/>
      <c r="K271" s="611"/>
      <c r="L271" s="611"/>
      <c r="M271" s="611"/>
      <c r="N271" s="143"/>
      <c r="O271" s="143"/>
      <c r="P271" s="143"/>
      <c r="Q271" s="143"/>
      <c r="R271" s="143"/>
      <c r="S271" s="143"/>
      <c r="T271" s="143"/>
      <c r="U271" s="143"/>
      <c r="V271" s="143"/>
      <c r="W271" s="103">
        <f t="shared" si="99"/>
        <v>0</v>
      </c>
      <c r="X271" s="611"/>
      <c r="Y271" s="611"/>
      <c r="Z271" s="611"/>
      <c r="AA271" s="611"/>
      <c r="AB271" s="611"/>
      <c r="AC271" s="143"/>
      <c r="AD271" s="143"/>
      <c r="AE271" s="143"/>
      <c r="AF271" s="143"/>
      <c r="AG271" s="143"/>
      <c r="AH271" s="143"/>
      <c r="AI271" s="143"/>
      <c r="AJ271" s="103">
        <f t="shared" si="100"/>
        <v>0</v>
      </c>
      <c r="AK271" s="136"/>
      <c r="AL271" s="136"/>
      <c r="AM271" s="136"/>
      <c r="AN271" s="105">
        <f t="shared" si="101"/>
        <v>0</v>
      </c>
      <c r="AO271" s="136"/>
      <c r="AP271" s="143"/>
      <c r="AQ271" s="143"/>
      <c r="AR271" s="146"/>
      <c r="AS271" s="224">
        <f t="shared" si="102"/>
        <v>0</v>
      </c>
      <c r="AT271" s="1133"/>
      <c r="AU271" s="126"/>
      <c r="AV271" s="126"/>
      <c r="AW271" s="126"/>
      <c r="AX271" s="126"/>
      <c r="AY271" s="126"/>
      <c r="AZ271" s="274"/>
      <c r="BA271" s="274"/>
      <c r="BB271" s="274"/>
      <c r="BC271" s="274"/>
      <c r="BD271" s="222">
        <f t="shared" si="103"/>
        <v>0</v>
      </c>
      <c r="BE271" s="456">
        <f t="shared" si="104"/>
        <v>0</v>
      </c>
      <c r="BF271" s="132"/>
      <c r="BG271" s="140">
        <f t="shared" si="105"/>
        <v>0</v>
      </c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141"/>
      <c r="BR271" s="141"/>
      <c r="BS271" s="141"/>
      <c r="BT271" s="141"/>
      <c r="BU271" s="130">
        <f t="shared" si="106"/>
        <v>0</v>
      </c>
      <c r="BV271" s="132"/>
    </row>
    <row r="272" ht="14.25" customHeight="1">
      <c r="A272" s="132"/>
      <c r="B272" s="215">
        <v>46264</v>
      </c>
      <c r="C272" s="133"/>
      <c r="D272" s="136"/>
      <c r="E272" s="135"/>
      <c r="F272" s="135"/>
      <c r="G272" s="147">
        <f t="shared" si="107"/>
        <v>0</v>
      </c>
      <c r="H272" s="768"/>
      <c r="I272" s="611"/>
      <c r="J272" s="611"/>
      <c r="K272" s="611"/>
      <c r="L272" s="611"/>
      <c r="M272" s="611"/>
      <c r="N272" s="143"/>
      <c r="O272" s="143"/>
      <c r="P272" s="143"/>
      <c r="Q272" s="143"/>
      <c r="R272" s="143"/>
      <c r="S272" s="143"/>
      <c r="T272" s="143"/>
      <c r="U272" s="143"/>
      <c r="V272" s="143"/>
      <c r="W272" s="103">
        <f t="shared" si="99"/>
        <v>0</v>
      </c>
      <c r="X272" s="611"/>
      <c r="Y272" s="611"/>
      <c r="Z272" s="611"/>
      <c r="AA272" s="611"/>
      <c r="AB272" s="611"/>
      <c r="AC272" s="143"/>
      <c r="AD272" s="143"/>
      <c r="AE272" s="143"/>
      <c r="AF272" s="143"/>
      <c r="AG272" s="143"/>
      <c r="AH272" s="143"/>
      <c r="AI272" s="143"/>
      <c r="AJ272" s="103">
        <f t="shared" si="100"/>
        <v>0</v>
      </c>
      <c r="AK272" s="136"/>
      <c r="AL272" s="136"/>
      <c r="AM272" s="136"/>
      <c r="AN272" s="105">
        <f t="shared" si="101"/>
        <v>0</v>
      </c>
      <c r="AO272" s="143"/>
      <c r="AP272" s="143"/>
      <c r="AQ272" s="143"/>
      <c r="AR272" s="146"/>
      <c r="AS272" s="224">
        <f t="shared" si="102"/>
        <v>0</v>
      </c>
      <c r="AT272" s="1133"/>
      <c r="AU272" s="126"/>
      <c r="AV272" s="126"/>
      <c r="AW272" s="126"/>
      <c r="AX272" s="126"/>
      <c r="AY272" s="126"/>
      <c r="AZ272" s="274"/>
      <c r="BA272" s="274"/>
      <c r="BB272" s="274"/>
      <c r="BC272" s="274"/>
      <c r="BD272" s="222">
        <f t="shared" si="103"/>
        <v>0</v>
      </c>
      <c r="BE272" s="456">
        <f t="shared" si="104"/>
        <v>0</v>
      </c>
      <c r="BF272" s="132"/>
      <c r="BG272" s="140">
        <f t="shared" si="105"/>
        <v>0</v>
      </c>
      <c r="BH272" s="141"/>
      <c r="BI272" s="141"/>
      <c r="BJ272" s="141"/>
      <c r="BK272" s="141"/>
      <c r="BL272" s="141"/>
      <c r="BM272" s="141"/>
      <c r="BN272" s="141"/>
      <c r="BO272" s="141"/>
      <c r="BP272" s="141"/>
      <c r="BQ272" s="141"/>
      <c r="BR272" s="141"/>
      <c r="BS272" s="141"/>
      <c r="BT272" s="141"/>
      <c r="BU272" s="130">
        <f t="shared" si="106"/>
        <v>0</v>
      </c>
      <c r="BV272" s="132"/>
    </row>
    <row r="273" ht="14.25" customHeight="1">
      <c r="A273" s="132"/>
      <c r="B273" s="215">
        <v>46265</v>
      </c>
      <c r="C273" s="153"/>
      <c r="D273" s="159"/>
      <c r="E273" s="156"/>
      <c r="F273" s="156"/>
      <c r="G273" s="147">
        <f t="shared" si="107"/>
        <v>0</v>
      </c>
      <c r="H273" s="788"/>
      <c r="I273" s="613"/>
      <c r="J273" s="613"/>
      <c r="K273" s="613"/>
      <c r="L273" s="613"/>
      <c r="M273" s="613"/>
      <c r="N273" s="157"/>
      <c r="O273" s="157"/>
      <c r="P273" s="157"/>
      <c r="Q273" s="157"/>
      <c r="R273" s="157"/>
      <c r="S273" s="157"/>
      <c r="T273" s="157"/>
      <c r="U273" s="157"/>
      <c r="V273" s="157"/>
      <c r="W273" s="103">
        <f t="shared" si="99"/>
        <v>0</v>
      </c>
      <c r="X273" s="613"/>
      <c r="Y273" s="613"/>
      <c r="Z273" s="613"/>
      <c r="AA273" s="613"/>
      <c r="AB273" s="613"/>
      <c r="AC273" s="157"/>
      <c r="AD273" s="157"/>
      <c r="AE273" s="157"/>
      <c r="AF273" s="157"/>
      <c r="AG273" s="157"/>
      <c r="AH273" s="157"/>
      <c r="AI273" s="157"/>
      <c r="AJ273" s="103">
        <f t="shared" si="100"/>
        <v>0</v>
      </c>
      <c r="AK273" s="159"/>
      <c r="AL273" s="159"/>
      <c r="AM273" s="159"/>
      <c r="AN273" s="105">
        <f t="shared" si="101"/>
        <v>0</v>
      </c>
      <c r="AO273" s="157"/>
      <c r="AP273" s="157"/>
      <c r="AQ273" s="157"/>
      <c r="AR273" s="160"/>
      <c r="AS273" s="224">
        <f t="shared" si="102"/>
        <v>0</v>
      </c>
      <c r="AT273" s="1134"/>
      <c r="AU273" s="138"/>
      <c r="AV273" s="138"/>
      <c r="AW273" s="138"/>
      <c r="AX273" s="138"/>
      <c r="AY273" s="138"/>
      <c r="AZ273" s="296"/>
      <c r="BA273" s="296"/>
      <c r="BB273" s="296"/>
      <c r="BC273" s="296"/>
      <c r="BD273" s="222">
        <f t="shared" si="103"/>
        <v>0</v>
      </c>
      <c r="BE273" s="501">
        <f t="shared" si="104"/>
        <v>0</v>
      </c>
      <c r="BF273" s="132"/>
      <c r="BG273" s="162">
        <f t="shared" si="105"/>
        <v>0</v>
      </c>
      <c r="BH273" s="163"/>
      <c r="BI273" s="163"/>
      <c r="BJ273" s="163"/>
      <c r="BK273" s="163"/>
      <c r="BL273" s="163"/>
      <c r="BM273" s="163"/>
      <c r="BN273" s="163"/>
      <c r="BO273" s="163"/>
      <c r="BP273" s="163"/>
      <c r="BQ273" s="141"/>
      <c r="BR273" s="163"/>
      <c r="BS273" s="163"/>
      <c r="BT273" s="163"/>
      <c r="BU273" s="164">
        <f t="shared" si="106"/>
        <v>0</v>
      </c>
      <c r="BV273" s="132"/>
    </row>
    <row r="274" ht="14.25" customHeight="1">
      <c r="A274" s="3"/>
      <c r="B274" s="2" t="s">
        <v>82</v>
      </c>
      <c r="C274" s="166">
        <f ref="C274:W274" t="shared" si="108">SUM(C243:C273)</f>
        <v>0</v>
      </c>
      <c r="D274" s="166">
        <f t="shared" si="108"/>
        <v>0</v>
      </c>
      <c r="E274" s="166">
        <f t="shared" si="108"/>
        <v>0</v>
      </c>
      <c r="F274" s="166">
        <f t="shared" si="108"/>
        <v>0</v>
      </c>
      <c r="G274" s="166">
        <f t="shared" si="108"/>
        <v>0</v>
      </c>
      <c r="H274" s="166">
        <f t="shared" si="108"/>
        <v>0</v>
      </c>
      <c r="I274" s="166">
        <f t="shared" si="108"/>
        <v>0</v>
      </c>
      <c r="J274" s="166">
        <f t="shared" si="108"/>
        <v>0</v>
      </c>
      <c r="K274" s="166">
        <f t="shared" si="108"/>
        <v>0</v>
      </c>
      <c r="L274" s="166">
        <f t="shared" si="108"/>
        <v>0</v>
      </c>
      <c r="M274" s="166">
        <f t="shared" si="108"/>
        <v>0</v>
      </c>
      <c r="N274" s="166">
        <f t="shared" si="108"/>
        <v>0</v>
      </c>
      <c r="O274" s="166">
        <f t="shared" si="108"/>
        <v>0</v>
      </c>
      <c r="P274" s="166">
        <f t="shared" si="108"/>
        <v>0</v>
      </c>
      <c r="Q274" s="166">
        <f t="shared" si="108"/>
        <v>0</v>
      </c>
      <c r="R274" s="166">
        <f t="shared" si="108"/>
        <v>0</v>
      </c>
      <c r="S274" s="166">
        <f t="shared" si="108"/>
        <v>0</v>
      </c>
      <c r="T274" s="166">
        <f t="shared" si="108"/>
        <v>0</v>
      </c>
      <c r="U274" s="166">
        <f t="shared" si="108"/>
        <v>0</v>
      </c>
      <c r="V274" s="166">
        <f t="shared" si="108"/>
        <v>0</v>
      </c>
      <c r="W274" s="166">
        <f t="shared" si="108"/>
        <v>0</v>
      </c>
      <c r="X274" s="617"/>
      <c r="Y274" s="617"/>
      <c r="Z274" s="617"/>
      <c r="AA274" s="617"/>
      <c r="AB274" s="617"/>
      <c r="AC274" s="166">
        <f ref="AC274:AL274" t="shared" si="109">SUM(AC243:AC273)</f>
        <v>0</v>
      </c>
      <c r="AD274" s="166">
        <f t="shared" si="109"/>
        <v>0</v>
      </c>
      <c r="AE274" s="166">
        <f t="shared" si="109"/>
        <v>0</v>
      </c>
      <c r="AF274" s="166">
        <f t="shared" si="109"/>
        <v>0</v>
      </c>
      <c r="AG274" s="166">
        <f t="shared" si="109"/>
        <v>0</v>
      </c>
      <c r="AH274" s="166">
        <f t="shared" si="109"/>
        <v>0</v>
      </c>
      <c r="AI274" s="166">
        <f t="shared" si="109"/>
        <v>0</v>
      </c>
      <c r="AJ274" s="166">
        <f t="shared" si="109"/>
        <v>0</v>
      </c>
      <c r="AK274" s="166">
        <f t="shared" si="109"/>
        <v>0</v>
      </c>
      <c r="AL274" s="166">
        <f t="shared" si="109"/>
        <v>0</v>
      </c>
      <c r="AM274" s="166"/>
      <c r="AN274" s="166">
        <f ref="AN274:AY274" t="shared" si="110">SUM(AN243:AN273)</f>
        <v>0</v>
      </c>
      <c r="AO274" s="166">
        <f t="shared" si="110"/>
        <v>0</v>
      </c>
      <c r="AP274" s="166">
        <f t="shared" si="110"/>
        <v>0</v>
      </c>
      <c r="AQ274" s="166">
        <f t="shared" si="110"/>
        <v>0</v>
      </c>
      <c r="AR274" s="166">
        <f t="shared" si="110"/>
        <v>0</v>
      </c>
      <c r="AS274" s="166">
        <f t="shared" si="110"/>
        <v>0</v>
      </c>
      <c r="AT274" s="166">
        <f t="shared" si="110"/>
        <v>0</v>
      </c>
      <c r="AU274" s="166">
        <f t="shared" si="110"/>
        <v>0</v>
      </c>
      <c r="AV274" s="166">
        <f t="shared" si="110"/>
        <v>0</v>
      </c>
      <c r="AW274" s="166">
        <f t="shared" si="110"/>
        <v>0</v>
      </c>
      <c r="AX274" s="166">
        <f t="shared" si="110"/>
        <v>0</v>
      </c>
      <c r="AY274" s="166">
        <f t="shared" si="110"/>
        <v>0</v>
      </c>
      <c r="AZ274" s="166"/>
      <c r="BA274" s="166"/>
      <c r="BB274" s="166"/>
      <c r="BC274" s="166"/>
      <c r="BD274" s="166">
        <f ref="BD274:BE274" t="shared" si="111">SUM(BD243:BD273)</f>
        <v>0</v>
      </c>
      <c r="BE274" s="617">
        <f t="shared" si="111"/>
        <v>0</v>
      </c>
      <c r="BF274" s="132"/>
      <c r="BG274" s="166">
        <f ref="BG274:BU274" t="shared" si="112">SUM(BG243:BG273)</f>
        <v>0</v>
      </c>
      <c r="BH274" s="166">
        <f t="shared" si="112"/>
        <v>0</v>
      </c>
      <c r="BI274" s="166">
        <f t="shared" si="112"/>
        <v>0</v>
      </c>
      <c r="BJ274" s="166">
        <f t="shared" si="112"/>
        <v>0</v>
      </c>
      <c r="BK274" s="166">
        <f t="shared" si="112"/>
        <v>0</v>
      </c>
      <c r="BL274" s="166">
        <f t="shared" si="112"/>
        <v>0</v>
      </c>
      <c r="BM274" s="166">
        <f t="shared" si="112"/>
        <v>0</v>
      </c>
      <c r="BN274" s="166">
        <f t="shared" si="112"/>
        <v>0</v>
      </c>
      <c r="BO274" s="166">
        <f t="shared" si="112"/>
        <v>0</v>
      </c>
      <c r="BP274" s="166">
        <f t="shared" si="112"/>
        <v>0</v>
      </c>
      <c r="BQ274" s="166">
        <f t="shared" si="112"/>
        <v>0</v>
      </c>
      <c r="BR274" s="166">
        <f t="shared" si="112"/>
        <v>0</v>
      </c>
      <c r="BS274" s="166">
        <f t="shared" si="112"/>
        <v>0</v>
      </c>
      <c r="BT274" s="166">
        <f t="shared" si="112"/>
        <v>0</v>
      </c>
      <c r="BU274" s="166">
        <f t="shared" si="112"/>
        <v>0</v>
      </c>
      <c r="BV274" s="132"/>
    </row>
    <row r="275" ht="14.25" customHeight="1">
      <c r="A275" s="1"/>
      <c r="B275" s="2"/>
      <c r="C275" s="3"/>
      <c r="D275" s="3"/>
      <c r="E275" s="3"/>
      <c r="F275" s="3"/>
      <c r="G275" s="4"/>
      <c r="H275" s="1"/>
      <c r="I275" s="1"/>
      <c r="J275" s="1"/>
      <c r="K275" s="1"/>
      <c r="L275" s="1"/>
      <c r="M275" s="1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1"/>
      <c r="Y275" s="1"/>
      <c r="Z275" s="1"/>
      <c r="AA275" s="1"/>
      <c r="AB275" s="1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4"/>
      <c r="AO275" s="3"/>
      <c r="AP275" s="3"/>
      <c r="AQ275" s="3"/>
      <c r="AR275" s="3"/>
      <c r="AS275" s="3"/>
      <c r="AT275" s="1"/>
      <c r="AU275" s="3"/>
      <c r="AV275" s="3"/>
      <c r="AW275" s="3"/>
      <c r="AX275" s="3"/>
      <c r="AY275" s="3"/>
      <c r="AZ275" s="3"/>
      <c r="BA275" s="3"/>
      <c r="BB275" s="3"/>
      <c r="BC275" s="132"/>
      <c r="BD275" s="4"/>
      <c r="BE275" s="1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</row>
    <row r="276" ht="14.25" customHeight="1">
      <c r="A276" s="1"/>
      <c r="B276" s="2"/>
      <c r="C276" s="3"/>
      <c r="D276" s="3"/>
      <c r="E276" s="3"/>
      <c r="F276" s="3"/>
      <c r="G276" s="4"/>
      <c r="H276" s="1"/>
      <c r="I276" s="1"/>
      <c r="J276" s="1"/>
      <c r="K276" s="1"/>
      <c r="L276" s="1"/>
      <c r="M276" s="1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1"/>
      <c r="Y276" s="1"/>
      <c r="Z276" s="1"/>
      <c r="AA276" s="1"/>
      <c r="AB276" s="1"/>
      <c r="AC276" s="3"/>
      <c r="AD276" s="3"/>
      <c r="AE276" s="3"/>
      <c r="AF276" s="3"/>
      <c r="AG276" s="3"/>
      <c r="AH276" s="3"/>
      <c r="AI276" s="3"/>
      <c r="AJ276" s="176"/>
      <c r="AK276" s="3"/>
      <c r="AL276" s="3"/>
      <c r="AM276" s="3"/>
      <c r="AN276" s="4"/>
      <c r="AO276" s="3"/>
      <c r="AP276" s="3"/>
      <c r="AQ276" s="3"/>
      <c r="AR276" s="3"/>
      <c r="AS276" s="3"/>
      <c r="AT276" s="1"/>
      <c r="AU276" s="3"/>
      <c r="AV276" s="3"/>
      <c r="AW276" s="3"/>
      <c r="AX276" s="3"/>
      <c r="AY276" s="3"/>
      <c r="AZ276" s="3"/>
      <c r="BA276" s="3"/>
      <c r="BB276" s="3"/>
      <c r="BC276" s="132"/>
      <c r="BD276" s="177"/>
      <c r="BE276" s="1"/>
      <c r="BF276" s="3"/>
      <c r="BG276" s="3"/>
      <c r="BH276" s="3"/>
      <c r="BI276" s="3"/>
      <c r="BJ276" s="3"/>
      <c r="BK276" s="176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</row>
    <row r="277" ht="14.25" customHeight="1">
      <c r="A277" s="3"/>
      <c r="B277" s="215">
        <v>46266</v>
      </c>
      <c r="C277" s="94"/>
      <c r="D277" s="104"/>
      <c r="E277" s="97"/>
      <c r="F277" s="97"/>
      <c r="G277" s="265">
        <f ref="G277:G306" t="shared" si="113">+C277+D277+E277+F277</f>
        <v>0</v>
      </c>
      <c r="H277" s="778"/>
      <c r="I277" s="619"/>
      <c r="J277" s="619"/>
      <c r="K277" s="619"/>
      <c r="L277" s="619"/>
      <c r="M277" s="619"/>
      <c r="N277" s="186"/>
      <c r="O277" s="186"/>
      <c r="P277" s="186"/>
      <c r="Q277" s="186"/>
      <c r="R277" s="186"/>
      <c r="S277" s="186"/>
      <c r="T277" s="186"/>
      <c r="U277" s="186"/>
      <c r="V277" s="186"/>
      <c r="W277" s="103">
        <f ref="W277:W306" t="shared" si="114">SUM(H277:V277)</f>
        <v>0</v>
      </c>
      <c r="X277" s="619"/>
      <c r="Y277" s="619"/>
      <c r="Z277" s="619"/>
      <c r="AA277" s="619"/>
      <c r="AB277" s="619"/>
      <c r="AC277" s="186"/>
      <c r="AD277" s="186"/>
      <c r="AE277" s="186"/>
      <c r="AF277" s="186"/>
      <c r="AG277" s="186"/>
      <c r="AH277" s="186"/>
      <c r="AI277" s="186"/>
      <c r="AJ277" s="103">
        <f ref="AJ277:AJ306" t="shared" si="115">SUM(X277:AI277)</f>
        <v>0</v>
      </c>
      <c r="AK277" s="104"/>
      <c r="AL277" s="104"/>
      <c r="AM277" s="104"/>
      <c r="AN277" s="191">
        <f ref="AN277:AN306" t="shared" si="116">SUM(AK277:AM277)</f>
        <v>0</v>
      </c>
      <c r="AO277" s="186"/>
      <c r="AP277" s="186"/>
      <c r="AQ277" s="186"/>
      <c r="AR277" s="193"/>
      <c r="AS277" s="266">
        <f ref="AS277:AS306" t="shared" si="117">+G277-W277-AJ277-AN277-AO277-AP277-AQ277-AR277</f>
        <v>0</v>
      </c>
      <c r="AT277" s="1132"/>
      <c r="AU277" s="109"/>
      <c r="AV277" s="109"/>
      <c r="AW277" s="109"/>
      <c r="AX277" s="109"/>
      <c r="AY277" s="109"/>
      <c r="AZ277" s="269"/>
      <c r="BA277" s="269"/>
      <c r="BB277" s="269"/>
      <c r="BC277" s="269"/>
      <c r="BD277" s="222">
        <f ref="BD277:BD306" t="shared" si="118">SUM(AT277:BC277)-BB277</f>
        <v>0</v>
      </c>
      <c r="BE277" s="1051">
        <f ref="BE277:BE306" t="shared" si="119">+AS277-BD277</f>
        <v>0</v>
      </c>
      <c r="BF277" s="3"/>
      <c r="BG277" s="114">
        <f ref="BG277:BG306" t="shared" si="120">SUM(BH277:BT277)</f>
        <v>0</v>
      </c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6">
        <f ref="BU277:BU306" t="shared" si="121">+BE277-BG277</f>
        <v>0</v>
      </c>
      <c r="BV277" s="3"/>
    </row>
    <row r="278" ht="14.25" customHeight="1">
      <c r="A278" s="3"/>
      <c r="B278" s="215">
        <v>46267</v>
      </c>
      <c r="C278" s="118"/>
      <c r="D278" s="123"/>
      <c r="E278" s="120"/>
      <c r="F278" s="120"/>
      <c r="G278" s="147">
        <f t="shared" si="113"/>
        <v>0</v>
      </c>
      <c r="H278" s="768"/>
      <c r="I278" s="611"/>
      <c r="J278" s="611"/>
      <c r="K278" s="611"/>
      <c r="L278" s="611"/>
      <c r="M278" s="611"/>
      <c r="N278" s="143"/>
      <c r="O278" s="143"/>
      <c r="P278" s="143"/>
      <c r="Q278" s="143"/>
      <c r="R278" s="143"/>
      <c r="S278" s="143"/>
      <c r="T278" s="143"/>
      <c r="U278" s="143"/>
      <c r="V278" s="143"/>
      <c r="W278" s="103">
        <f t="shared" si="114"/>
        <v>0</v>
      </c>
      <c r="X278" s="611"/>
      <c r="Y278" s="611"/>
      <c r="Z278" s="611"/>
      <c r="AA278" s="611"/>
      <c r="AB278" s="611"/>
      <c r="AC278" s="143"/>
      <c r="AD278" s="143"/>
      <c r="AE278" s="143"/>
      <c r="AF278" s="143"/>
      <c r="AG278" s="143"/>
      <c r="AH278" s="143"/>
      <c r="AI278" s="143"/>
      <c r="AJ278" s="103">
        <f t="shared" si="115"/>
        <v>0</v>
      </c>
      <c r="AK278" s="123"/>
      <c r="AL278" s="123"/>
      <c r="AM278" s="123"/>
      <c r="AN278" s="105">
        <f t="shared" si="116"/>
        <v>0</v>
      </c>
      <c r="AO278" s="143"/>
      <c r="AP278" s="143"/>
      <c r="AQ278" s="143"/>
      <c r="AR278" s="146"/>
      <c r="AS278" s="224">
        <f t="shared" si="117"/>
        <v>0</v>
      </c>
      <c r="AT278" s="1133"/>
      <c r="AU278" s="126"/>
      <c r="AV278" s="126"/>
      <c r="AW278" s="126"/>
      <c r="AX278" s="126"/>
      <c r="AY278" s="126"/>
      <c r="AZ278" s="274"/>
      <c r="BA278" s="274"/>
      <c r="BB278" s="274"/>
      <c r="BC278" s="274"/>
      <c r="BD278" s="222">
        <f t="shared" si="118"/>
        <v>0</v>
      </c>
      <c r="BE278" s="1055">
        <f t="shared" si="119"/>
        <v>0</v>
      </c>
      <c r="BF278" s="3"/>
      <c r="BG278" s="113">
        <f t="shared" si="120"/>
        <v>0</v>
      </c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30">
        <f t="shared" si="121"/>
        <v>0</v>
      </c>
      <c r="BV278" s="3"/>
    </row>
    <row r="279" ht="14.25" customHeight="1">
      <c r="A279" s="3"/>
      <c r="B279" s="215">
        <v>46268</v>
      </c>
      <c r="C279" s="118"/>
      <c r="D279" s="123"/>
      <c r="E279" s="120"/>
      <c r="F279" s="120"/>
      <c r="G279" s="147">
        <f t="shared" si="113"/>
        <v>0</v>
      </c>
      <c r="H279" s="768"/>
      <c r="I279" s="611"/>
      <c r="J279" s="611"/>
      <c r="K279" s="611"/>
      <c r="L279" s="611"/>
      <c r="M279" s="611"/>
      <c r="N279" s="143"/>
      <c r="O279" s="143"/>
      <c r="P279" s="143"/>
      <c r="Q279" s="143"/>
      <c r="R279" s="143"/>
      <c r="S279" s="143"/>
      <c r="T279" s="143"/>
      <c r="U279" s="143"/>
      <c r="V279" s="143"/>
      <c r="W279" s="103">
        <f t="shared" si="114"/>
        <v>0</v>
      </c>
      <c r="X279" s="611"/>
      <c r="Y279" s="611"/>
      <c r="Z279" s="611"/>
      <c r="AA279" s="611"/>
      <c r="AB279" s="611"/>
      <c r="AC279" s="143"/>
      <c r="AD279" s="143"/>
      <c r="AE279" s="143"/>
      <c r="AF279" s="143"/>
      <c r="AG279" s="143"/>
      <c r="AH279" s="143"/>
      <c r="AI279" s="143"/>
      <c r="AJ279" s="103">
        <f t="shared" si="115"/>
        <v>0</v>
      </c>
      <c r="AK279" s="123"/>
      <c r="AL279" s="123"/>
      <c r="AM279" s="123"/>
      <c r="AN279" s="105">
        <f t="shared" si="116"/>
        <v>0</v>
      </c>
      <c r="AO279" s="143"/>
      <c r="AP279" s="143"/>
      <c r="AQ279" s="143"/>
      <c r="AR279" s="146"/>
      <c r="AS279" s="224">
        <f t="shared" si="117"/>
        <v>0</v>
      </c>
      <c r="AT279" s="1133"/>
      <c r="AU279" s="126"/>
      <c r="AV279" s="126"/>
      <c r="AW279" s="126"/>
      <c r="AX279" s="126"/>
      <c r="AY279" s="126"/>
      <c r="AZ279" s="274"/>
      <c r="BA279" s="274"/>
      <c r="BB279" s="274"/>
      <c r="BC279" s="274"/>
      <c r="BD279" s="222">
        <f t="shared" si="118"/>
        <v>0</v>
      </c>
      <c r="BE279" s="1055">
        <f t="shared" si="119"/>
        <v>0</v>
      </c>
      <c r="BF279" s="3"/>
      <c r="BG279" s="113">
        <f t="shared" si="120"/>
        <v>0</v>
      </c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30">
        <f t="shared" si="121"/>
        <v>0</v>
      </c>
      <c r="BV279" s="3"/>
    </row>
    <row r="280" ht="14.25" customHeight="1">
      <c r="A280" s="3"/>
      <c r="B280" s="215">
        <v>46269</v>
      </c>
      <c r="C280" s="118"/>
      <c r="D280" s="123"/>
      <c r="E280" s="120"/>
      <c r="F280" s="120"/>
      <c r="G280" s="147">
        <f t="shared" si="113"/>
        <v>0</v>
      </c>
      <c r="H280" s="768"/>
      <c r="I280" s="611"/>
      <c r="J280" s="611"/>
      <c r="K280" s="611"/>
      <c r="L280" s="611"/>
      <c r="M280" s="611"/>
      <c r="N280" s="143"/>
      <c r="O280" s="143"/>
      <c r="P280" s="143"/>
      <c r="Q280" s="143"/>
      <c r="R280" s="143"/>
      <c r="S280" s="143"/>
      <c r="T280" s="143"/>
      <c r="U280" s="143"/>
      <c r="V280" s="143"/>
      <c r="W280" s="103">
        <f t="shared" si="114"/>
        <v>0</v>
      </c>
      <c r="X280" s="611"/>
      <c r="Y280" s="611"/>
      <c r="Z280" s="611"/>
      <c r="AA280" s="1080"/>
      <c r="AB280" s="611"/>
      <c r="AC280" s="143"/>
      <c r="AD280" s="143"/>
      <c r="AE280" s="143"/>
      <c r="AF280" s="143"/>
      <c r="AG280" s="143"/>
      <c r="AH280" s="143"/>
      <c r="AI280" s="143"/>
      <c r="AJ280" s="103">
        <f t="shared" si="115"/>
        <v>0</v>
      </c>
      <c r="AK280" s="123"/>
      <c r="AL280" s="123"/>
      <c r="AM280" s="123"/>
      <c r="AN280" s="105">
        <f t="shared" si="116"/>
        <v>0</v>
      </c>
      <c r="AO280" s="143"/>
      <c r="AP280" s="143"/>
      <c r="AQ280" s="143"/>
      <c r="AR280" s="146"/>
      <c r="AS280" s="224">
        <f t="shared" si="117"/>
        <v>0</v>
      </c>
      <c r="AT280" s="1133"/>
      <c r="AU280" s="1136"/>
      <c r="AV280" s="126"/>
      <c r="AW280" s="126"/>
      <c r="AX280" s="126"/>
      <c r="AY280" s="126"/>
      <c r="AZ280" s="274"/>
      <c r="BA280" s="274"/>
      <c r="BB280" s="274"/>
      <c r="BC280" s="274"/>
      <c r="BD280" s="222">
        <f t="shared" si="118"/>
        <v>0</v>
      </c>
      <c r="BE280" s="1055">
        <f t="shared" si="119"/>
        <v>0</v>
      </c>
      <c r="BF280" s="3"/>
      <c r="BG280" s="113">
        <f t="shared" si="120"/>
        <v>0</v>
      </c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30">
        <f t="shared" si="121"/>
        <v>0</v>
      </c>
      <c r="BV280" s="3"/>
    </row>
    <row r="281" ht="14.25" customHeight="1">
      <c r="A281" s="3"/>
      <c r="B281" s="215">
        <v>46270</v>
      </c>
      <c r="C281" s="118"/>
      <c r="D281" s="123"/>
      <c r="E281" s="120"/>
      <c r="F281" s="120"/>
      <c r="G281" s="147">
        <f t="shared" si="113"/>
        <v>0</v>
      </c>
      <c r="H281" s="768"/>
      <c r="I281" s="611"/>
      <c r="J281" s="611"/>
      <c r="K281" s="611"/>
      <c r="L281" s="611"/>
      <c r="M281" s="611"/>
      <c r="N281" s="143"/>
      <c r="O281" s="143"/>
      <c r="P281" s="143"/>
      <c r="Q281" s="143"/>
      <c r="R281" s="143"/>
      <c r="S281" s="143"/>
      <c r="T281" s="143"/>
      <c r="U281" s="143"/>
      <c r="V281" s="143"/>
      <c r="W281" s="103">
        <f t="shared" si="114"/>
        <v>0</v>
      </c>
      <c r="X281" s="611"/>
      <c r="Y281" s="611"/>
      <c r="Z281" s="611"/>
      <c r="AA281" s="611"/>
      <c r="AB281" s="611"/>
      <c r="AC281" s="143"/>
      <c r="AD281" s="143"/>
      <c r="AE281" s="143"/>
      <c r="AF281" s="143"/>
      <c r="AG281" s="143"/>
      <c r="AH281" s="143"/>
      <c r="AI281" s="143"/>
      <c r="AJ281" s="103">
        <f t="shared" si="115"/>
        <v>0</v>
      </c>
      <c r="AK281" s="123"/>
      <c r="AL281" s="123"/>
      <c r="AM281" s="123"/>
      <c r="AN281" s="105">
        <f t="shared" si="116"/>
        <v>0</v>
      </c>
      <c r="AO281" s="143"/>
      <c r="AP281" s="143"/>
      <c r="AQ281" s="143"/>
      <c r="AR281" s="146"/>
      <c r="AS281" s="224">
        <f t="shared" si="117"/>
        <v>0</v>
      </c>
      <c r="AT281" s="1133"/>
      <c r="AU281" s="126"/>
      <c r="AV281" s="126"/>
      <c r="AW281" s="126"/>
      <c r="AX281" s="126"/>
      <c r="AY281" s="126"/>
      <c r="AZ281" s="274"/>
      <c r="BA281" s="274"/>
      <c r="BB281" s="274"/>
      <c r="BC281" s="274"/>
      <c r="BD281" s="222">
        <f t="shared" si="118"/>
        <v>0</v>
      </c>
      <c r="BE281" s="1055">
        <f t="shared" si="119"/>
        <v>0</v>
      </c>
      <c r="BF281" s="3"/>
      <c r="BG281" s="113">
        <f t="shared" si="120"/>
        <v>0</v>
      </c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30">
        <f t="shared" si="121"/>
        <v>0</v>
      </c>
      <c r="BV281" s="3"/>
    </row>
    <row r="282" ht="14.25" customHeight="1">
      <c r="A282" s="3"/>
      <c r="B282" s="215">
        <v>46271</v>
      </c>
      <c r="C282" s="118"/>
      <c r="D282" s="123"/>
      <c r="E282" s="120"/>
      <c r="F282" s="120"/>
      <c r="G282" s="147">
        <f t="shared" si="113"/>
        <v>0</v>
      </c>
      <c r="H282" s="768"/>
      <c r="I282" s="611"/>
      <c r="J282" s="611"/>
      <c r="K282" s="611"/>
      <c r="L282" s="611"/>
      <c r="M282" s="611"/>
      <c r="N282" s="143"/>
      <c r="O282" s="143"/>
      <c r="P282" s="143"/>
      <c r="Q282" s="143"/>
      <c r="R282" s="143"/>
      <c r="S282" s="143"/>
      <c r="T282" s="143"/>
      <c r="U282" s="143"/>
      <c r="V282" s="143"/>
      <c r="W282" s="103">
        <f t="shared" si="114"/>
        <v>0</v>
      </c>
      <c r="X282" s="611"/>
      <c r="Y282" s="611"/>
      <c r="Z282" s="611"/>
      <c r="AA282" s="611"/>
      <c r="AB282" s="611"/>
      <c r="AC282" s="143"/>
      <c r="AD282" s="143"/>
      <c r="AE282" s="143"/>
      <c r="AF282" s="143"/>
      <c r="AG282" s="143"/>
      <c r="AH282" s="143"/>
      <c r="AI282" s="143"/>
      <c r="AJ282" s="103">
        <f t="shared" si="115"/>
        <v>0</v>
      </c>
      <c r="AK282" s="123"/>
      <c r="AL282" s="123"/>
      <c r="AM282" s="123"/>
      <c r="AN282" s="105">
        <f t="shared" si="116"/>
        <v>0</v>
      </c>
      <c r="AO282" s="143"/>
      <c r="AP282" s="143"/>
      <c r="AQ282" s="143"/>
      <c r="AR282" s="146"/>
      <c r="AS282" s="224">
        <f t="shared" si="117"/>
        <v>0</v>
      </c>
      <c r="AT282" s="1133"/>
      <c r="AU282" s="126"/>
      <c r="AV282" s="126"/>
      <c r="AW282" s="126"/>
      <c r="AX282" s="126"/>
      <c r="AY282" s="126"/>
      <c r="AZ282" s="274"/>
      <c r="BA282" s="274"/>
      <c r="BB282" s="274"/>
      <c r="BC282" s="274"/>
      <c r="BD282" s="222">
        <f t="shared" si="118"/>
        <v>0</v>
      </c>
      <c r="BE282" s="1055">
        <f t="shared" si="119"/>
        <v>0</v>
      </c>
      <c r="BF282" s="3"/>
      <c r="BG282" s="113">
        <f t="shared" si="120"/>
        <v>0</v>
      </c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30">
        <f t="shared" si="121"/>
        <v>0</v>
      </c>
      <c r="BV282" s="3"/>
    </row>
    <row r="283" ht="14.25" customHeight="1">
      <c r="A283" s="3"/>
      <c r="B283" s="215">
        <v>46272</v>
      </c>
      <c r="C283" s="118"/>
      <c r="D283" s="123"/>
      <c r="E283" s="120"/>
      <c r="F283" s="120"/>
      <c r="G283" s="147">
        <f t="shared" si="113"/>
        <v>0</v>
      </c>
      <c r="H283" s="768"/>
      <c r="I283" s="611"/>
      <c r="J283" s="611"/>
      <c r="K283" s="611"/>
      <c r="L283" s="611"/>
      <c r="M283" s="611"/>
      <c r="N283" s="143"/>
      <c r="O283" s="143"/>
      <c r="P283" s="143"/>
      <c r="Q283" s="143"/>
      <c r="R283" s="143"/>
      <c r="S283" s="143"/>
      <c r="T283" s="143"/>
      <c r="U283" s="143"/>
      <c r="V283" s="143"/>
      <c r="W283" s="103">
        <f t="shared" si="114"/>
        <v>0</v>
      </c>
      <c r="X283" s="611"/>
      <c r="Y283" s="611"/>
      <c r="Z283" s="611"/>
      <c r="AA283" s="611"/>
      <c r="AB283" s="611"/>
      <c r="AC283" s="143"/>
      <c r="AD283" s="143"/>
      <c r="AE283" s="143"/>
      <c r="AF283" s="143"/>
      <c r="AG283" s="143"/>
      <c r="AH283" s="143"/>
      <c r="AI283" s="143"/>
      <c r="AJ283" s="103">
        <f t="shared" si="115"/>
        <v>0</v>
      </c>
      <c r="AK283" s="123"/>
      <c r="AL283" s="123"/>
      <c r="AM283" s="123"/>
      <c r="AN283" s="105">
        <f t="shared" si="116"/>
        <v>0</v>
      </c>
      <c r="AO283" s="143"/>
      <c r="AP283" s="143"/>
      <c r="AQ283" s="143"/>
      <c r="AR283" s="146"/>
      <c r="AS283" s="224">
        <f t="shared" si="117"/>
        <v>0</v>
      </c>
      <c r="AT283" s="1133"/>
      <c r="AU283" s="126"/>
      <c r="AV283" s="126"/>
      <c r="AW283" s="126"/>
      <c r="AX283" s="126"/>
      <c r="AY283" s="126"/>
      <c r="AZ283" s="274"/>
      <c r="BA283" s="274"/>
      <c r="BB283" s="274"/>
      <c r="BC283" s="274"/>
      <c r="BD283" s="222">
        <f t="shared" si="118"/>
        <v>0</v>
      </c>
      <c r="BE283" s="1055">
        <f t="shared" si="119"/>
        <v>0</v>
      </c>
      <c r="BF283" s="3"/>
      <c r="BG283" s="113">
        <f t="shared" si="120"/>
        <v>0</v>
      </c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30">
        <f t="shared" si="121"/>
        <v>0</v>
      </c>
      <c r="BV283" s="3"/>
    </row>
    <row r="284" ht="14.25" customHeight="1">
      <c r="A284" s="3"/>
      <c r="B284" s="215">
        <v>46273</v>
      </c>
      <c r="C284" s="118"/>
      <c r="D284" s="123"/>
      <c r="E284" s="120"/>
      <c r="F284" s="120"/>
      <c r="G284" s="147">
        <f t="shared" si="113"/>
        <v>0</v>
      </c>
      <c r="H284" s="768"/>
      <c r="I284" s="611"/>
      <c r="J284" s="611"/>
      <c r="K284" s="611"/>
      <c r="L284" s="611"/>
      <c r="M284" s="611"/>
      <c r="N284" s="143"/>
      <c r="O284" s="143"/>
      <c r="P284" s="143"/>
      <c r="Q284" s="143"/>
      <c r="R284" s="143"/>
      <c r="S284" s="143"/>
      <c r="T284" s="143"/>
      <c r="U284" s="143"/>
      <c r="V284" s="143"/>
      <c r="W284" s="103">
        <f t="shared" si="114"/>
        <v>0</v>
      </c>
      <c r="X284" s="611"/>
      <c r="Y284" s="611"/>
      <c r="Z284" s="611"/>
      <c r="AA284" s="611"/>
      <c r="AB284" s="611"/>
      <c r="AC284" s="143"/>
      <c r="AD284" s="143"/>
      <c r="AE284" s="143"/>
      <c r="AF284" s="143"/>
      <c r="AG284" s="143"/>
      <c r="AH284" s="143"/>
      <c r="AI284" s="143"/>
      <c r="AJ284" s="103">
        <f t="shared" si="115"/>
        <v>0</v>
      </c>
      <c r="AK284" s="123"/>
      <c r="AL284" s="123"/>
      <c r="AM284" s="123"/>
      <c r="AN284" s="105">
        <f t="shared" si="116"/>
        <v>0</v>
      </c>
      <c r="AO284" s="143"/>
      <c r="AP284" s="143"/>
      <c r="AQ284" s="143"/>
      <c r="AR284" s="146"/>
      <c r="AS284" s="224">
        <f t="shared" si="117"/>
        <v>0</v>
      </c>
      <c r="AT284" s="1133"/>
      <c r="AU284" s="126"/>
      <c r="AV284" s="126"/>
      <c r="AW284" s="126"/>
      <c r="AX284" s="126"/>
      <c r="AY284" s="126"/>
      <c r="AZ284" s="274"/>
      <c r="BA284" s="274"/>
      <c r="BB284" s="274"/>
      <c r="BC284" s="274"/>
      <c r="BD284" s="222">
        <f t="shared" si="118"/>
        <v>0</v>
      </c>
      <c r="BE284" s="1055">
        <f t="shared" si="119"/>
        <v>0</v>
      </c>
      <c r="BF284" s="3"/>
      <c r="BG284" s="113">
        <f t="shared" si="120"/>
        <v>0</v>
      </c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30">
        <f t="shared" si="121"/>
        <v>0</v>
      </c>
      <c r="BV284" s="3"/>
    </row>
    <row r="285" ht="14.25" customHeight="1">
      <c r="A285" s="3"/>
      <c r="B285" s="215">
        <v>46274</v>
      </c>
      <c r="C285" s="118"/>
      <c r="D285" s="123"/>
      <c r="E285" s="120"/>
      <c r="F285" s="120"/>
      <c r="G285" s="147">
        <f t="shared" si="113"/>
        <v>0</v>
      </c>
      <c r="H285" s="768"/>
      <c r="I285" s="611"/>
      <c r="J285" s="611"/>
      <c r="K285" s="611"/>
      <c r="L285" s="611"/>
      <c r="M285" s="611"/>
      <c r="N285" s="143"/>
      <c r="O285" s="143"/>
      <c r="P285" s="143"/>
      <c r="Q285" s="143"/>
      <c r="R285" s="143"/>
      <c r="S285" s="143"/>
      <c r="T285" s="143"/>
      <c r="U285" s="143"/>
      <c r="V285" s="143"/>
      <c r="W285" s="103">
        <f t="shared" si="114"/>
        <v>0</v>
      </c>
      <c r="X285" s="611"/>
      <c r="Y285" s="611"/>
      <c r="Z285" s="611"/>
      <c r="AA285" s="611"/>
      <c r="AB285" s="611"/>
      <c r="AC285" s="143"/>
      <c r="AD285" s="143"/>
      <c r="AE285" s="143"/>
      <c r="AF285" s="143"/>
      <c r="AG285" s="143"/>
      <c r="AH285" s="143"/>
      <c r="AI285" s="143"/>
      <c r="AJ285" s="103">
        <f t="shared" si="115"/>
        <v>0</v>
      </c>
      <c r="AK285" s="123"/>
      <c r="AL285" s="123"/>
      <c r="AM285" s="123"/>
      <c r="AN285" s="105">
        <f t="shared" si="116"/>
        <v>0</v>
      </c>
      <c r="AO285" s="143"/>
      <c r="AP285" s="143"/>
      <c r="AQ285" s="143"/>
      <c r="AR285" s="146"/>
      <c r="AS285" s="224">
        <f t="shared" si="117"/>
        <v>0</v>
      </c>
      <c r="AT285" s="1133"/>
      <c r="AU285" s="1129"/>
      <c r="AV285" s="126"/>
      <c r="AW285" s="126"/>
      <c r="AX285" s="126"/>
      <c r="AY285" s="126"/>
      <c r="AZ285" s="274"/>
      <c r="BA285" s="274"/>
      <c r="BB285" s="274"/>
      <c r="BC285" s="274"/>
      <c r="BD285" s="222">
        <f t="shared" si="118"/>
        <v>0</v>
      </c>
      <c r="BE285" s="1055">
        <f t="shared" si="119"/>
        <v>0</v>
      </c>
      <c r="BF285" s="3"/>
      <c r="BG285" s="113">
        <f t="shared" si="120"/>
        <v>0</v>
      </c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30">
        <f t="shared" si="121"/>
        <v>0</v>
      </c>
      <c r="BV285" s="3"/>
    </row>
    <row r="286" ht="14.25" customHeight="1">
      <c r="A286" s="132"/>
      <c r="B286" s="215">
        <v>46275</v>
      </c>
      <c r="C286" s="133"/>
      <c r="D286" s="136"/>
      <c r="E286" s="135"/>
      <c r="F286" s="135"/>
      <c r="G286" s="147">
        <f t="shared" si="113"/>
        <v>0</v>
      </c>
      <c r="H286" s="768"/>
      <c r="I286" s="611"/>
      <c r="J286" s="611"/>
      <c r="K286" s="611"/>
      <c r="L286" s="611"/>
      <c r="M286" s="611"/>
      <c r="N286" s="143"/>
      <c r="O286" s="143"/>
      <c r="P286" s="143"/>
      <c r="Q286" s="143"/>
      <c r="R286" s="143"/>
      <c r="S286" s="143"/>
      <c r="T286" s="143"/>
      <c r="U286" s="143"/>
      <c r="V286" s="143"/>
      <c r="W286" s="103">
        <f t="shared" si="114"/>
        <v>0</v>
      </c>
      <c r="X286" s="611"/>
      <c r="Y286" s="611"/>
      <c r="Z286" s="611"/>
      <c r="AA286" s="611"/>
      <c r="AB286" s="611"/>
      <c r="AC286" s="143"/>
      <c r="AD286" s="143"/>
      <c r="AE286" s="143"/>
      <c r="AF286" s="143"/>
      <c r="AG286" s="143"/>
      <c r="AH286" s="143"/>
      <c r="AI286" s="143"/>
      <c r="AJ286" s="103">
        <f t="shared" si="115"/>
        <v>0</v>
      </c>
      <c r="AK286" s="136"/>
      <c r="AL286" s="136"/>
      <c r="AM286" s="136"/>
      <c r="AN286" s="105">
        <f t="shared" si="116"/>
        <v>0</v>
      </c>
      <c r="AO286" s="143"/>
      <c r="AP286" s="143"/>
      <c r="AQ286" s="143"/>
      <c r="AR286" s="146"/>
      <c r="AS286" s="224">
        <f t="shared" si="117"/>
        <v>0</v>
      </c>
      <c r="AT286" s="1133"/>
      <c r="AU286" s="126"/>
      <c r="AV286" s="126"/>
      <c r="AW286" s="126"/>
      <c r="AX286" s="126"/>
      <c r="AY286" s="126"/>
      <c r="AZ286" s="274"/>
      <c r="BA286" s="274"/>
      <c r="BB286" s="274"/>
      <c r="BC286" s="274"/>
      <c r="BD286" s="222">
        <f t="shared" si="118"/>
        <v>0</v>
      </c>
      <c r="BE286" s="456">
        <f t="shared" si="119"/>
        <v>0</v>
      </c>
      <c r="BF286" s="132"/>
      <c r="BG286" s="140">
        <f t="shared" si="120"/>
        <v>0</v>
      </c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30">
        <f t="shared" si="121"/>
        <v>0</v>
      </c>
      <c r="BV286" s="132"/>
    </row>
    <row r="287" ht="14.25" customHeight="1">
      <c r="A287" s="132"/>
      <c r="B287" s="215">
        <v>46276</v>
      </c>
      <c r="C287" s="133"/>
      <c r="D287" s="136"/>
      <c r="E287" s="135"/>
      <c r="F287" s="135"/>
      <c r="G287" s="147">
        <f t="shared" si="113"/>
        <v>0</v>
      </c>
      <c r="H287" s="768"/>
      <c r="I287" s="611"/>
      <c r="J287" s="611"/>
      <c r="K287" s="611"/>
      <c r="L287" s="611"/>
      <c r="M287" s="611"/>
      <c r="N287" s="143"/>
      <c r="O287" s="143"/>
      <c r="P287" s="143"/>
      <c r="Q287" s="143"/>
      <c r="R287" s="143"/>
      <c r="S287" s="143"/>
      <c r="T287" s="143"/>
      <c r="U287" s="143"/>
      <c r="V287" s="143"/>
      <c r="W287" s="103">
        <f t="shared" si="114"/>
        <v>0</v>
      </c>
      <c r="X287" s="611"/>
      <c r="Y287" s="611"/>
      <c r="Z287" s="611"/>
      <c r="AA287" s="611"/>
      <c r="AB287" s="611"/>
      <c r="AC287" s="143"/>
      <c r="AD287" s="143"/>
      <c r="AE287" s="143"/>
      <c r="AF287" s="143"/>
      <c r="AG287" s="143"/>
      <c r="AH287" s="143"/>
      <c r="AI287" s="143"/>
      <c r="AJ287" s="103">
        <f t="shared" si="115"/>
        <v>0</v>
      </c>
      <c r="AK287" s="136"/>
      <c r="AL287" s="136"/>
      <c r="AM287" s="136"/>
      <c r="AN287" s="105">
        <f t="shared" si="116"/>
        <v>0</v>
      </c>
      <c r="AO287" s="143"/>
      <c r="AP287" s="143"/>
      <c r="AQ287" s="143"/>
      <c r="AR287" s="146"/>
      <c r="AS287" s="224">
        <f t="shared" si="117"/>
        <v>0</v>
      </c>
      <c r="AT287" s="1133"/>
      <c r="AU287" s="126"/>
      <c r="AV287" s="126"/>
      <c r="AW287" s="126"/>
      <c r="AX287" s="126"/>
      <c r="AY287" s="126"/>
      <c r="AZ287" s="274"/>
      <c r="BA287" s="274"/>
      <c r="BB287" s="274"/>
      <c r="BC287" s="274"/>
      <c r="BD287" s="222">
        <f t="shared" si="118"/>
        <v>0</v>
      </c>
      <c r="BE287" s="456">
        <f t="shared" si="119"/>
        <v>0</v>
      </c>
      <c r="BF287" s="132"/>
      <c r="BG287" s="140">
        <f t="shared" si="120"/>
        <v>0</v>
      </c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30">
        <f t="shared" si="121"/>
        <v>0</v>
      </c>
      <c r="BV287" s="132"/>
    </row>
    <row r="288" ht="14.25" customHeight="1">
      <c r="A288" s="132"/>
      <c r="B288" s="215">
        <v>46277</v>
      </c>
      <c r="C288" s="133"/>
      <c r="D288" s="136"/>
      <c r="E288" s="135"/>
      <c r="F288" s="135"/>
      <c r="G288" s="147">
        <f t="shared" si="113"/>
        <v>0</v>
      </c>
      <c r="H288" s="768"/>
      <c r="I288" s="611"/>
      <c r="J288" s="611"/>
      <c r="K288" s="611"/>
      <c r="L288" s="611"/>
      <c r="M288" s="611"/>
      <c r="N288" s="143"/>
      <c r="O288" s="143"/>
      <c r="P288" s="143"/>
      <c r="Q288" s="143"/>
      <c r="R288" s="143"/>
      <c r="S288" s="143"/>
      <c r="T288" s="143"/>
      <c r="U288" s="143"/>
      <c r="V288" s="143"/>
      <c r="W288" s="103">
        <f t="shared" si="114"/>
        <v>0</v>
      </c>
      <c r="X288" s="611"/>
      <c r="Y288" s="611"/>
      <c r="Z288" s="611"/>
      <c r="AA288" s="611"/>
      <c r="AB288" s="611"/>
      <c r="AC288" s="143"/>
      <c r="AD288" s="143"/>
      <c r="AE288" s="143"/>
      <c r="AF288" s="143"/>
      <c r="AG288" s="143"/>
      <c r="AH288" s="143"/>
      <c r="AI288" s="143"/>
      <c r="AJ288" s="103">
        <f t="shared" si="115"/>
        <v>0</v>
      </c>
      <c r="AK288" s="136"/>
      <c r="AL288" s="136"/>
      <c r="AM288" s="136"/>
      <c r="AN288" s="105">
        <f t="shared" si="116"/>
        <v>0</v>
      </c>
      <c r="AO288" s="143"/>
      <c r="AP288" s="143"/>
      <c r="AQ288" s="143"/>
      <c r="AR288" s="146"/>
      <c r="AS288" s="224">
        <f t="shared" si="117"/>
        <v>0</v>
      </c>
      <c r="AT288" s="1133"/>
      <c r="AU288" s="1129"/>
      <c r="AV288" s="126"/>
      <c r="AW288" s="126"/>
      <c r="AX288" s="126"/>
      <c r="AY288" s="126"/>
      <c r="AZ288" s="274"/>
      <c r="BA288" s="274"/>
      <c r="BB288" s="274"/>
      <c r="BC288" s="274"/>
      <c r="BD288" s="222">
        <f t="shared" si="118"/>
        <v>0</v>
      </c>
      <c r="BE288" s="456">
        <f t="shared" si="119"/>
        <v>0</v>
      </c>
      <c r="BF288" s="132"/>
      <c r="BG288" s="140">
        <f t="shared" si="120"/>
        <v>0</v>
      </c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30">
        <f t="shared" si="121"/>
        <v>0</v>
      </c>
      <c r="BV288" s="132"/>
    </row>
    <row r="289" ht="14.25" customHeight="1">
      <c r="A289" s="132"/>
      <c r="B289" s="215">
        <v>46278</v>
      </c>
      <c r="C289" s="133"/>
      <c r="D289" s="136"/>
      <c r="E289" s="135"/>
      <c r="F289" s="135"/>
      <c r="G289" s="147">
        <f t="shared" si="113"/>
        <v>0</v>
      </c>
      <c r="H289" s="768"/>
      <c r="I289" s="611"/>
      <c r="J289" s="611"/>
      <c r="K289" s="611"/>
      <c r="L289" s="611"/>
      <c r="M289" s="611"/>
      <c r="N289" s="143"/>
      <c r="O289" s="143"/>
      <c r="P289" s="143"/>
      <c r="Q289" s="143"/>
      <c r="R289" s="143"/>
      <c r="S289" s="143"/>
      <c r="T289" s="143"/>
      <c r="U289" s="143"/>
      <c r="V289" s="143"/>
      <c r="W289" s="103">
        <f t="shared" si="114"/>
        <v>0</v>
      </c>
      <c r="X289" s="611"/>
      <c r="Y289" s="611"/>
      <c r="Z289" s="611"/>
      <c r="AA289" s="611"/>
      <c r="AB289" s="611"/>
      <c r="AC289" s="143"/>
      <c r="AD289" s="143"/>
      <c r="AE289" s="143"/>
      <c r="AF289" s="143"/>
      <c r="AG289" s="143"/>
      <c r="AH289" s="143"/>
      <c r="AI289" s="143"/>
      <c r="AJ289" s="103">
        <f t="shared" si="115"/>
        <v>0</v>
      </c>
      <c r="AK289" s="136"/>
      <c r="AL289" s="136"/>
      <c r="AM289" s="136"/>
      <c r="AN289" s="105">
        <f t="shared" si="116"/>
        <v>0</v>
      </c>
      <c r="AO289" s="143"/>
      <c r="AP289" s="143"/>
      <c r="AQ289" s="143"/>
      <c r="AR289" s="146"/>
      <c r="AS289" s="224">
        <f t="shared" si="117"/>
        <v>0</v>
      </c>
      <c r="AT289" s="1133"/>
      <c r="AU289" s="1129"/>
      <c r="AV289" s="126"/>
      <c r="AW289" s="126"/>
      <c r="AX289" s="126"/>
      <c r="AY289" s="126"/>
      <c r="AZ289" s="274"/>
      <c r="BA289" s="274"/>
      <c r="BB289" s="274"/>
      <c r="BC289" s="274"/>
      <c r="BD289" s="222">
        <f t="shared" si="118"/>
        <v>0</v>
      </c>
      <c r="BE289" s="456">
        <f t="shared" si="119"/>
        <v>0</v>
      </c>
      <c r="BF289" s="132"/>
      <c r="BG289" s="140">
        <f t="shared" si="120"/>
        <v>0</v>
      </c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30">
        <f t="shared" si="121"/>
        <v>0</v>
      </c>
      <c r="BV289" s="132"/>
    </row>
    <row r="290" ht="14.25" customHeight="1">
      <c r="A290" s="132"/>
      <c r="B290" s="215">
        <v>46279</v>
      </c>
      <c r="C290" s="133"/>
      <c r="D290" s="136"/>
      <c r="E290" s="135"/>
      <c r="F290" s="135"/>
      <c r="G290" s="147">
        <f t="shared" si="113"/>
        <v>0</v>
      </c>
      <c r="H290" s="768"/>
      <c r="I290" s="611"/>
      <c r="J290" s="611"/>
      <c r="K290" s="611"/>
      <c r="L290" s="611"/>
      <c r="M290" s="611"/>
      <c r="N290" s="143"/>
      <c r="O290" s="143"/>
      <c r="P290" s="143"/>
      <c r="Q290" s="143"/>
      <c r="R290" s="143"/>
      <c r="S290" s="143"/>
      <c r="T290" s="143"/>
      <c r="U290" s="143"/>
      <c r="V290" s="143"/>
      <c r="W290" s="103">
        <f t="shared" si="114"/>
        <v>0</v>
      </c>
      <c r="X290" s="611"/>
      <c r="Y290" s="611"/>
      <c r="Z290" s="611"/>
      <c r="AA290" s="611"/>
      <c r="AB290" s="611"/>
      <c r="AC290" s="143"/>
      <c r="AD290" s="143"/>
      <c r="AE290" s="143"/>
      <c r="AF290" s="143"/>
      <c r="AG290" s="143"/>
      <c r="AH290" s="143"/>
      <c r="AI290" s="143"/>
      <c r="AJ290" s="103">
        <f t="shared" si="115"/>
        <v>0</v>
      </c>
      <c r="AK290" s="136"/>
      <c r="AL290" s="136"/>
      <c r="AM290" s="136"/>
      <c r="AN290" s="105">
        <f t="shared" si="116"/>
        <v>0</v>
      </c>
      <c r="AO290" s="143"/>
      <c r="AP290" s="143"/>
      <c r="AQ290" s="143"/>
      <c r="AR290" s="146"/>
      <c r="AS290" s="224">
        <f t="shared" si="117"/>
        <v>0</v>
      </c>
      <c r="AT290" s="1133"/>
      <c r="AU290" s="126"/>
      <c r="AV290" s="126"/>
      <c r="AW290" s="126"/>
      <c r="AX290" s="126"/>
      <c r="AY290" s="126"/>
      <c r="AZ290" s="274"/>
      <c r="BA290" s="274"/>
      <c r="BB290" s="274"/>
      <c r="BC290" s="274"/>
      <c r="BD290" s="222">
        <f t="shared" si="118"/>
        <v>0</v>
      </c>
      <c r="BE290" s="456">
        <f t="shared" si="119"/>
        <v>0</v>
      </c>
      <c r="BF290" s="132"/>
      <c r="BG290" s="140">
        <f t="shared" si="120"/>
        <v>0</v>
      </c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30">
        <f t="shared" si="121"/>
        <v>0</v>
      </c>
      <c r="BV290" s="132"/>
    </row>
    <row r="291" ht="14.25" customHeight="1">
      <c r="A291" s="132"/>
      <c r="B291" s="215">
        <v>46280</v>
      </c>
      <c r="C291" s="133"/>
      <c r="D291" s="136"/>
      <c r="E291" s="135"/>
      <c r="F291" s="135"/>
      <c r="G291" s="147">
        <f t="shared" si="113"/>
        <v>0</v>
      </c>
      <c r="H291" s="768"/>
      <c r="I291" s="611"/>
      <c r="J291" s="611"/>
      <c r="K291" s="611"/>
      <c r="L291" s="611"/>
      <c r="M291" s="611"/>
      <c r="N291" s="143"/>
      <c r="O291" s="143"/>
      <c r="P291" s="143"/>
      <c r="Q291" s="143"/>
      <c r="R291" s="143"/>
      <c r="S291" s="143"/>
      <c r="T291" s="143"/>
      <c r="U291" s="143"/>
      <c r="V291" s="143"/>
      <c r="W291" s="103">
        <f t="shared" si="114"/>
        <v>0</v>
      </c>
      <c r="X291" s="611"/>
      <c r="Y291" s="611"/>
      <c r="Z291" s="611"/>
      <c r="AA291" s="611"/>
      <c r="AB291" s="611"/>
      <c r="AC291" s="143"/>
      <c r="AD291" s="143"/>
      <c r="AE291" s="143"/>
      <c r="AF291" s="143"/>
      <c r="AG291" s="143"/>
      <c r="AH291" s="143"/>
      <c r="AI291" s="143"/>
      <c r="AJ291" s="103">
        <f t="shared" si="115"/>
        <v>0</v>
      </c>
      <c r="AK291" s="136"/>
      <c r="AL291" s="136"/>
      <c r="AM291" s="136"/>
      <c r="AN291" s="105">
        <f t="shared" si="116"/>
        <v>0</v>
      </c>
      <c r="AO291" s="143"/>
      <c r="AP291" s="143"/>
      <c r="AQ291" s="143"/>
      <c r="AR291" s="146"/>
      <c r="AS291" s="224">
        <f t="shared" si="117"/>
        <v>0</v>
      </c>
      <c r="AT291" s="1133"/>
      <c r="AU291" s="126"/>
      <c r="AV291" s="126"/>
      <c r="AW291" s="126"/>
      <c r="AX291" s="126"/>
      <c r="AY291" s="126"/>
      <c r="AZ291" s="274"/>
      <c r="BA291" s="274"/>
      <c r="BB291" s="274"/>
      <c r="BC291" s="274"/>
      <c r="BD291" s="222">
        <f t="shared" si="118"/>
        <v>0</v>
      </c>
      <c r="BE291" s="456">
        <f t="shared" si="119"/>
        <v>0</v>
      </c>
      <c r="BF291" s="132"/>
      <c r="BG291" s="140">
        <f t="shared" si="120"/>
        <v>0</v>
      </c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30">
        <f t="shared" si="121"/>
        <v>0</v>
      </c>
      <c r="BV291" s="132"/>
    </row>
    <row r="292" ht="14.25" customHeight="1">
      <c r="A292" s="132"/>
      <c r="B292" s="215">
        <v>46281</v>
      </c>
      <c r="C292" s="133"/>
      <c r="D292" s="136"/>
      <c r="E292" s="135"/>
      <c r="F292" s="135"/>
      <c r="G292" s="147">
        <f t="shared" si="113"/>
        <v>0</v>
      </c>
      <c r="H292" s="768"/>
      <c r="I292" s="611"/>
      <c r="J292" s="611"/>
      <c r="K292" s="611"/>
      <c r="L292" s="611"/>
      <c r="M292" s="611"/>
      <c r="N292" s="143"/>
      <c r="O292" s="143"/>
      <c r="P292" s="143"/>
      <c r="Q292" s="143"/>
      <c r="R292" s="143"/>
      <c r="S292" s="143"/>
      <c r="T292" s="143"/>
      <c r="U292" s="143"/>
      <c r="V292" s="143"/>
      <c r="W292" s="103">
        <f t="shared" si="114"/>
        <v>0</v>
      </c>
      <c r="X292" s="611"/>
      <c r="Y292" s="611"/>
      <c r="Z292" s="611"/>
      <c r="AA292" s="611"/>
      <c r="AB292" s="611"/>
      <c r="AC292" s="143"/>
      <c r="AD292" s="143"/>
      <c r="AE292" s="143"/>
      <c r="AF292" s="143"/>
      <c r="AG292" s="143"/>
      <c r="AH292" s="143"/>
      <c r="AI292" s="143"/>
      <c r="AJ292" s="103">
        <f t="shared" si="115"/>
        <v>0</v>
      </c>
      <c r="AK292" s="136"/>
      <c r="AL292" s="136"/>
      <c r="AM292" s="136"/>
      <c r="AN292" s="105">
        <f t="shared" si="116"/>
        <v>0</v>
      </c>
      <c r="AO292" s="143"/>
      <c r="AP292" s="143"/>
      <c r="AQ292" s="143"/>
      <c r="AR292" s="146"/>
      <c r="AS292" s="224">
        <f t="shared" si="117"/>
        <v>0</v>
      </c>
      <c r="AT292" s="1133"/>
      <c r="AU292" s="126"/>
      <c r="AV292" s="126"/>
      <c r="AW292" s="126"/>
      <c r="AX292" s="126"/>
      <c r="AY292" s="126"/>
      <c r="AZ292" s="274"/>
      <c r="BA292" s="274"/>
      <c r="BB292" s="274"/>
      <c r="BC292" s="274"/>
      <c r="BD292" s="222">
        <f t="shared" si="118"/>
        <v>0</v>
      </c>
      <c r="BE292" s="456">
        <f t="shared" si="119"/>
        <v>0</v>
      </c>
      <c r="BF292" s="132"/>
      <c r="BG292" s="140">
        <f t="shared" si="120"/>
        <v>0</v>
      </c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30">
        <f t="shared" si="121"/>
        <v>0</v>
      </c>
      <c r="BV292" s="132"/>
    </row>
    <row r="293" ht="14.25" customHeight="1">
      <c r="A293" s="132"/>
      <c r="B293" s="215">
        <v>46282</v>
      </c>
      <c r="C293" s="133"/>
      <c r="D293" s="136"/>
      <c r="E293" s="135"/>
      <c r="F293" s="135"/>
      <c r="G293" s="147">
        <f t="shared" si="113"/>
        <v>0</v>
      </c>
      <c r="H293" s="768"/>
      <c r="I293" s="611"/>
      <c r="J293" s="611"/>
      <c r="K293" s="611"/>
      <c r="L293" s="611"/>
      <c r="M293" s="611"/>
      <c r="N293" s="143"/>
      <c r="O293" s="143"/>
      <c r="P293" s="143"/>
      <c r="Q293" s="143"/>
      <c r="R293" s="143"/>
      <c r="S293" s="143"/>
      <c r="T293" s="143"/>
      <c r="U293" s="143"/>
      <c r="V293" s="143"/>
      <c r="W293" s="103">
        <f t="shared" si="114"/>
        <v>0</v>
      </c>
      <c r="X293" s="611"/>
      <c r="Y293" s="611"/>
      <c r="Z293" s="611"/>
      <c r="AA293" s="1080"/>
      <c r="AB293" s="611"/>
      <c r="AC293" s="143"/>
      <c r="AD293" s="143"/>
      <c r="AE293" s="143"/>
      <c r="AF293" s="143"/>
      <c r="AG293" s="143"/>
      <c r="AH293" s="143"/>
      <c r="AI293" s="143"/>
      <c r="AJ293" s="103">
        <f t="shared" si="115"/>
        <v>0</v>
      </c>
      <c r="AK293" s="136"/>
      <c r="AL293" s="136"/>
      <c r="AM293" s="136"/>
      <c r="AN293" s="105">
        <f t="shared" si="116"/>
        <v>0</v>
      </c>
      <c r="AO293" s="143"/>
      <c r="AP293" s="143"/>
      <c r="AQ293" s="143"/>
      <c r="AR293" s="146"/>
      <c r="AS293" s="224">
        <f t="shared" si="117"/>
        <v>0</v>
      </c>
      <c r="AT293" s="1133"/>
      <c r="AU293" s="1129"/>
      <c r="AV293" s="126"/>
      <c r="AW293" s="126"/>
      <c r="AX293" s="126"/>
      <c r="AY293" s="126"/>
      <c r="AZ293" s="274"/>
      <c r="BA293" s="274"/>
      <c r="BB293" s="274"/>
      <c r="BC293" s="274"/>
      <c r="BD293" s="222">
        <f t="shared" si="118"/>
        <v>0</v>
      </c>
      <c r="BE293" s="456">
        <f t="shared" si="119"/>
        <v>0</v>
      </c>
      <c r="BF293" s="132"/>
      <c r="BG293" s="140">
        <f t="shared" si="120"/>
        <v>0</v>
      </c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30">
        <f t="shared" si="121"/>
        <v>0</v>
      </c>
      <c r="BV293" s="132"/>
    </row>
    <row r="294" ht="14.25" customHeight="1">
      <c r="A294" s="132"/>
      <c r="B294" s="215">
        <v>46283</v>
      </c>
      <c r="C294" s="133"/>
      <c r="D294" s="136"/>
      <c r="E294" s="135"/>
      <c r="F294" s="135"/>
      <c r="G294" s="147">
        <f t="shared" si="113"/>
        <v>0</v>
      </c>
      <c r="H294" s="768"/>
      <c r="I294" s="611"/>
      <c r="J294" s="611"/>
      <c r="K294" s="611"/>
      <c r="L294" s="611"/>
      <c r="M294" s="611"/>
      <c r="N294" s="143"/>
      <c r="O294" s="143"/>
      <c r="P294" s="143"/>
      <c r="Q294" s="143"/>
      <c r="R294" s="143"/>
      <c r="S294" s="143"/>
      <c r="T294" s="143"/>
      <c r="U294" s="143"/>
      <c r="V294" s="143"/>
      <c r="W294" s="103">
        <f t="shared" si="114"/>
        <v>0</v>
      </c>
      <c r="X294" s="611"/>
      <c r="Y294" s="611"/>
      <c r="Z294" s="611"/>
      <c r="AA294" s="1080"/>
      <c r="AB294" s="611"/>
      <c r="AC294" s="143"/>
      <c r="AD294" s="143"/>
      <c r="AE294" s="143"/>
      <c r="AF294" s="143"/>
      <c r="AG294" s="143"/>
      <c r="AH294" s="143"/>
      <c r="AI294" s="143"/>
      <c r="AJ294" s="103">
        <f t="shared" si="115"/>
        <v>0</v>
      </c>
      <c r="AK294" s="136"/>
      <c r="AL294" s="136"/>
      <c r="AM294" s="136"/>
      <c r="AN294" s="105">
        <f t="shared" si="116"/>
        <v>0</v>
      </c>
      <c r="AO294" s="143"/>
      <c r="AP294" s="143"/>
      <c r="AQ294" s="143"/>
      <c r="AR294" s="146"/>
      <c r="AS294" s="224">
        <f t="shared" si="117"/>
        <v>0</v>
      </c>
      <c r="AT294" s="1133"/>
      <c r="AU294" s="1129"/>
      <c r="AV294" s="126"/>
      <c r="AW294" s="126"/>
      <c r="AX294" s="126"/>
      <c r="AY294" s="126"/>
      <c r="AZ294" s="274"/>
      <c r="BA294" s="274"/>
      <c r="BB294" s="274"/>
      <c r="BC294" s="274"/>
      <c r="BD294" s="222">
        <f t="shared" si="118"/>
        <v>0</v>
      </c>
      <c r="BE294" s="456">
        <f t="shared" si="119"/>
        <v>0</v>
      </c>
      <c r="BF294" s="132"/>
      <c r="BG294" s="140">
        <f t="shared" si="120"/>
        <v>0</v>
      </c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30">
        <f t="shared" si="121"/>
        <v>0</v>
      </c>
      <c r="BV294" s="132"/>
    </row>
    <row r="295" ht="14.25" customHeight="1">
      <c r="A295" s="132"/>
      <c r="B295" s="215">
        <v>46284</v>
      </c>
      <c r="C295" s="133"/>
      <c r="D295" s="136"/>
      <c r="E295" s="135"/>
      <c r="F295" s="135"/>
      <c r="G295" s="147">
        <f t="shared" si="113"/>
        <v>0</v>
      </c>
      <c r="H295" s="768"/>
      <c r="I295" s="611"/>
      <c r="J295" s="611"/>
      <c r="K295" s="611"/>
      <c r="L295" s="611"/>
      <c r="M295" s="611"/>
      <c r="N295" s="143"/>
      <c r="O295" s="143"/>
      <c r="P295" s="143"/>
      <c r="Q295" s="143"/>
      <c r="R295" s="143"/>
      <c r="S295" s="143"/>
      <c r="T295" s="143"/>
      <c r="U295" s="143"/>
      <c r="V295" s="143"/>
      <c r="W295" s="103">
        <f t="shared" si="114"/>
        <v>0</v>
      </c>
      <c r="X295" s="611"/>
      <c r="Y295" s="611"/>
      <c r="Z295" s="611"/>
      <c r="AA295" s="611"/>
      <c r="AB295" s="611"/>
      <c r="AC295" s="143"/>
      <c r="AD295" s="143"/>
      <c r="AE295" s="143"/>
      <c r="AF295" s="143"/>
      <c r="AG295" s="143"/>
      <c r="AH295" s="143"/>
      <c r="AI295" s="143"/>
      <c r="AJ295" s="103">
        <f t="shared" si="115"/>
        <v>0</v>
      </c>
      <c r="AK295" s="136"/>
      <c r="AL295" s="136"/>
      <c r="AM295" s="136"/>
      <c r="AN295" s="105">
        <f t="shared" si="116"/>
        <v>0</v>
      </c>
      <c r="AO295" s="143"/>
      <c r="AP295" s="143"/>
      <c r="AQ295" s="143"/>
      <c r="AR295" s="146"/>
      <c r="AS295" s="224">
        <f t="shared" si="117"/>
        <v>0</v>
      </c>
      <c r="AT295" s="1133"/>
      <c r="AU295" s="126"/>
      <c r="AV295" s="126"/>
      <c r="AW295" s="126"/>
      <c r="AX295" s="126"/>
      <c r="AY295" s="126"/>
      <c r="AZ295" s="274"/>
      <c r="BA295" s="274"/>
      <c r="BB295" s="274"/>
      <c r="BC295" s="274"/>
      <c r="BD295" s="222">
        <f t="shared" si="118"/>
        <v>0</v>
      </c>
      <c r="BE295" s="456">
        <f t="shared" si="119"/>
        <v>0</v>
      </c>
      <c r="BF295" s="132"/>
      <c r="BG295" s="140">
        <f t="shared" si="120"/>
        <v>0</v>
      </c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30">
        <f t="shared" si="121"/>
        <v>0</v>
      </c>
      <c r="BV295" s="132"/>
    </row>
    <row r="296" ht="14.25" customHeight="1">
      <c r="A296" s="132"/>
      <c r="B296" s="215">
        <v>46285</v>
      </c>
      <c r="C296" s="133"/>
      <c r="D296" s="136"/>
      <c r="E296" s="135"/>
      <c r="F296" s="135"/>
      <c r="G296" s="147">
        <f t="shared" si="113"/>
        <v>0</v>
      </c>
      <c r="H296" s="768"/>
      <c r="I296" s="611"/>
      <c r="J296" s="611"/>
      <c r="K296" s="611"/>
      <c r="L296" s="611"/>
      <c r="M296" s="611"/>
      <c r="N296" s="143"/>
      <c r="O296" s="143"/>
      <c r="P296" s="143"/>
      <c r="Q296" s="143"/>
      <c r="R296" s="143"/>
      <c r="S296" s="143"/>
      <c r="T296" s="143"/>
      <c r="U296" s="143"/>
      <c r="V296" s="143"/>
      <c r="W296" s="103">
        <f t="shared" si="114"/>
        <v>0</v>
      </c>
      <c r="X296" s="611"/>
      <c r="Y296" s="611"/>
      <c r="Z296" s="611"/>
      <c r="AA296" s="611"/>
      <c r="AB296" s="611"/>
      <c r="AC296" s="143"/>
      <c r="AD296" s="143"/>
      <c r="AE296" s="143"/>
      <c r="AF296" s="143"/>
      <c r="AG296" s="143"/>
      <c r="AH296" s="143"/>
      <c r="AI296" s="143"/>
      <c r="AJ296" s="103">
        <f t="shared" si="115"/>
        <v>0</v>
      </c>
      <c r="AK296" s="136"/>
      <c r="AL296" s="136"/>
      <c r="AM296" s="136"/>
      <c r="AN296" s="105">
        <f t="shared" si="116"/>
        <v>0</v>
      </c>
      <c r="AO296" s="143"/>
      <c r="AP296" s="143"/>
      <c r="AQ296" s="143"/>
      <c r="AR296" s="146"/>
      <c r="AS296" s="224">
        <f t="shared" si="117"/>
        <v>0</v>
      </c>
      <c r="AT296" s="1133"/>
      <c r="AU296" s="1129"/>
      <c r="AV296" s="126"/>
      <c r="AW296" s="126"/>
      <c r="AX296" s="126"/>
      <c r="AY296" s="126"/>
      <c r="AZ296" s="274"/>
      <c r="BA296" s="274"/>
      <c r="BB296" s="274"/>
      <c r="BC296" s="274"/>
      <c r="BD296" s="222">
        <f t="shared" si="118"/>
        <v>0</v>
      </c>
      <c r="BE296" s="456">
        <f t="shared" si="119"/>
        <v>0</v>
      </c>
      <c r="BF296" s="132"/>
      <c r="BG296" s="140">
        <f t="shared" si="120"/>
        <v>0</v>
      </c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30">
        <f t="shared" si="121"/>
        <v>0</v>
      </c>
      <c r="BV296" s="132"/>
    </row>
    <row r="297" ht="14.25" customHeight="1">
      <c r="A297" s="132"/>
      <c r="B297" s="215">
        <v>46286</v>
      </c>
      <c r="C297" s="133"/>
      <c r="D297" s="136"/>
      <c r="E297" s="135"/>
      <c r="F297" s="135"/>
      <c r="G297" s="147">
        <f t="shared" si="113"/>
        <v>0</v>
      </c>
      <c r="H297" s="768"/>
      <c r="I297" s="611"/>
      <c r="J297" s="611"/>
      <c r="K297" s="611"/>
      <c r="L297" s="611"/>
      <c r="M297" s="611"/>
      <c r="N297" s="143"/>
      <c r="O297" s="143"/>
      <c r="P297" s="143"/>
      <c r="Q297" s="143"/>
      <c r="R297" s="143"/>
      <c r="S297" s="143"/>
      <c r="T297" s="143"/>
      <c r="U297" s="143"/>
      <c r="V297" s="143"/>
      <c r="W297" s="103">
        <f t="shared" si="114"/>
        <v>0</v>
      </c>
      <c r="X297" s="611"/>
      <c r="Y297" s="611"/>
      <c r="Z297" s="611"/>
      <c r="AA297" s="611"/>
      <c r="AB297" s="611"/>
      <c r="AC297" s="143"/>
      <c r="AD297" s="143"/>
      <c r="AE297" s="143"/>
      <c r="AF297" s="143"/>
      <c r="AG297" s="143"/>
      <c r="AH297" s="143"/>
      <c r="AI297" s="143"/>
      <c r="AJ297" s="103">
        <f t="shared" si="115"/>
        <v>0</v>
      </c>
      <c r="AK297" s="136"/>
      <c r="AL297" s="136"/>
      <c r="AM297" s="136"/>
      <c r="AN297" s="105">
        <f t="shared" si="116"/>
        <v>0</v>
      </c>
      <c r="AO297" s="143"/>
      <c r="AP297" s="143"/>
      <c r="AQ297" s="143"/>
      <c r="AR297" s="146"/>
      <c r="AS297" s="224">
        <f t="shared" si="117"/>
        <v>0</v>
      </c>
      <c r="AT297" s="1133"/>
      <c r="AU297" s="126"/>
      <c r="AV297" s="126"/>
      <c r="AW297" s="126"/>
      <c r="AX297" s="126"/>
      <c r="AY297" s="126"/>
      <c r="AZ297" s="274"/>
      <c r="BA297" s="274"/>
      <c r="BB297" s="274"/>
      <c r="BC297" s="274"/>
      <c r="BD297" s="222">
        <f t="shared" si="118"/>
        <v>0</v>
      </c>
      <c r="BE297" s="456">
        <f t="shared" si="119"/>
        <v>0</v>
      </c>
      <c r="BF297" s="132"/>
      <c r="BG297" s="140">
        <f t="shared" si="120"/>
        <v>0</v>
      </c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30">
        <f t="shared" si="121"/>
        <v>0</v>
      </c>
      <c r="BV297" s="132"/>
    </row>
    <row r="298" ht="14.25" customHeight="1">
      <c r="A298" s="132"/>
      <c r="B298" s="215">
        <v>46287</v>
      </c>
      <c r="C298" s="133"/>
      <c r="D298" s="136"/>
      <c r="E298" s="135"/>
      <c r="F298" s="135"/>
      <c r="G298" s="147">
        <f t="shared" si="113"/>
        <v>0</v>
      </c>
      <c r="H298" s="768"/>
      <c r="I298" s="611"/>
      <c r="J298" s="611"/>
      <c r="K298" s="611"/>
      <c r="L298" s="611"/>
      <c r="M298" s="611"/>
      <c r="N298" s="143"/>
      <c r="O298" s="143"/>
      <c r="P298" s="143"/>
      <c r="Q298" s="143"/>
      <c r="R298" s="143"/>
      <c r="S298" s="143"/>
      <c r="T298" s="143"/>
      <c r="U298" s="143"/>
      <c r="V298" s="143"/>
      <c r="W298" s="103">
        <f t="shared" si="114"/>
        <v>0</v>
      </c>
      <c r="X298" s="611"/>
      <c r="Y298" s="611"/>
      <c r="Z298" s="611"/>
      <c r="AA298" s="611"/>
      <c r="AB298" s="611"/>
      <c r="AC298" s="143"/>
      <c r="AD298" s="143"/>
      <c r="AE298" s="143"/>
      <c r="AF298" s="143"/>
      <c r="AG298" s="143"/>
      <c r="AH298" s="143"/>
      <c r="AI298" s="143"/>
      <c r="AJ298" s="103">
        <f t="shared" si="115"/>
        <v>0</v>
      </c>
      <c r="AK298" s="136"/>
      <c r="AL298" s="136"/>
      <c r="AM298" s="136"/>
      <c r="AN298" s="105">
        <f t="shared" si="116"/>
        <v>0</v>
      </c>
      <c r="AO298" s="143"/>
      <c r="AP298" s="143"/>
      <c r="AQ298" s="143"/>
      <c r="AR298" s="146"/>
      <c r="AS298" s="224">
        <f t="shared" si="117"/>
        <v>0</v>
      </c>
      <c r="AT298" s="1133"/>
      <c r="AU298" s="126"/>
      <c r="AV298" s="126"/>
      <c r="AW298" s="126"/>
      <c r="AX298" s="126"/>
      <c r="AY298" s="126"/>
      <c r="AZ298" s="274"/>
      <c r="BA298" s="274"/>
      <c r="BB298" s="274"/>
      <c r="BC298" s="274"/>
      <c r="BD298" s="222">
        <f t="shared" si="118"/>
        <v>0</v>
      </c>
      <c r="BE298" s="456">
        <f t="shared" si="119"/>
        <v>0</v>
      </c>
      <c r="BF298" s="132"/>
      <c r="BG298" s="140">
        <f t="shared" si="120"/>
        <v>0</v>
      </c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30">
        <f t="shared" si="121"/>
        <v>0</v>
      </c>
      <c r="BV298" s="132"/>
    </row>
    <row r="299" ht="14.25" customHeight="1">
      <c r="A299" s="132"/>
      <c r="B299" s="215">
        <v>46288</v>
      </c>
      <c r="C299" s="133"/>
      <c r="D299" s="136"/>
      <c r="E299" s="135"/>
      <c r="F299" s="135"/>
      <c r="G299" s="147">
        <f t="shared" si="113"/>
        <v>0</v>
      </c>
      <c r="H299" s="768"/>
      <c r="I299" s="611"/>
      <c r="J299" s="611"/>
      <c r="K299" s="611"/>
      <c r="L299" s="611"/>
      <c r="M299" s="611"/>
      <c r="N299" s="143"/>
      <c r="O299" s="143"/>
      <c r="P299" s="143"/>
      <c r="Q299" s="143"/>
      <c r="R299" s="143"/>
      <c r="S299" s="143"/>
      <c r="T299" s="143"/>
      <c r="U299" s="143"/>
      <c r="V299" s="143"/>
      <c r="W299" s="103">
        <f t="shared" si="114"/>
        <v>0</v>
      </c>
      <c r="X299" s="611"/>
      <c r="Y299" s="611"/>
      <c r="Z299" s="611"/>
      <c r="AA299" s="611"/>
      <c r="AB299" s="611"/>
      <c r="AC299" s="143"/>
      <c r="AD299" s="143"/>
      <c r="AE299" s="143"/>
      <c r="AF299" s="143"/>
      <c r="AG299" s="143"/>
      <c r="AH299" s="143"/>
      <c r="AI299" s="143"/>
      <c r="AJ299" s="103">
        <f t="shared" si="115"/>
        <v>0</v>
      </c>
      <c r="AK299" s="136"/>
      <c r="AL299" s="136"/>
      <c r="AM299" s="136"/>
      <c r="AN299" s="105">
        <f t="shared" si="116"/>
        <v>0</v>
      </c>
      <c r="AO299" s="136"/>
      <c r="AP299" s="143"/>
      <c r="AQ299" s="143"/>
      <c r="AR299" s="146"/>
      <c r="AS299" s="224">
        <f t="shared" si="117"/>
        <v>0</v>
      </c>
      <c r="AT299" s="1133"/>
      <c r="AU299" s="126"/>
      <c r="AV299" s="126"/>
      <c r="AW299" s="126"/>
      <c r="AX299" s="126"/>
      <c r="AY299" s="126"/>
      <c r="AZ299" s="274"/>
      <c r="BA299" s="274"/>
      <c r="BB299" s="274"/>
      <c r="BC299" s="274"/>
      <c r="BD299" s="222">
        <f t="shared" si="118"/>
        <v>0</v>
      </c>
      <c r="BE299" s="456">
        <f t="shared" si="119"/>
        <v>0</v>
      </c>
      <c r="BF299" s="132"/>
      <c r="BG299" s="140">
        <f t="shared" si="120"/>
        <v>0</v>
      </c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30">
        <f t="shared" si="121"/>
        <v>0</v>
      </c>
      <c r="BV299" s="132"/>
    </row>
    <row r="300" ht="14.25" customHeight="1">
      <c r="A300" s="132"/>
      <c r="B300" s="215">
        <v>46289</v>
      </c>
      <c r="C300" s="133"/>
      <c r="D300" s="136"/>
      <c r="E300" s="135"/>
      <c r="F300" s="135"/>
      <c r="G300" s="147">
        <f t="shared" si="113"/>
        <v>0</v>
      </c>
      <c r="H300" s="768"/>
      <c r="I300" s="611"/>
      <c r="J300" s="611"/>
      <c r="K300" s="611"/>
      <c r="L300" s="611"/>
      <c r="M300" s="611"/>
      <c r="N300" s="143"/>
      <c r="O300" s="143"/>
      <c r="P300" s="143"/>
      <c r="Q300" s="143"/>
      <c r="R300" s="143"/>
      <c r="S300" s="143"/>
      <c r="T300" s="143"/>
      <c r="U300" s="143"/>
      <c r="V300" s="143"/>
      <c r="W300" s="103">
        <f t="shared" si="114"/>
        <v>0</v>
      </c>
      <c r="X300" s="611"/>
      <c r="Y300" s="611"/>
      <c r="Z300" s="611"/>
      <c r="AA300" s="611"/>
      <c r="AB300" s="611"/>
      <c r="AC300" s="143"/>
      <c r="AD300" s="143"/>
      <c r="AE300" s="143"/>
      <c r="AF300" s="143"/>
      <c r="AG300" s="143"/>
      <c r="AH300" s="143"/>
      <c r="AI300" s="143"/>
      <c r="AJ300" s="103">
        <f t="shared" si="115"/>
        <v>0</v>
      </c>
      <c r="AK300" s="136"/>
      <c r="AL300" s="136"/>
      <c r="AM300" s="136"/>
      <c r="AN300" s="105">
        <f t="shared" si="116"/>
        <v>0</v>
      </c>
      <c r="AO300" s="136"/>
      <c r="AP300" s="143"/>
      <c r="AQ300" s="143"/>
      <c r="AR300" s="146"/>
      <c r="AS300" s="224">
        <f t="shared" si="117"/>
        <v>0</v>
      </c>
      <c r="AT300" s="1133"/>
      <c r="AU300" s="126"/>
      <c r="AV300" s="126"/>
      <c r="AW300" s="126"/>
      <c r="AX300" s="126"/>
      <c r="AY300" s="126"/>
      <c r="AZ300" s="274"/>
      <c r="BA300" s="274"/>
      <c r="BB300" s="274"/>
      <c r="BC300" s="274"/>
      <c r="BD300" s="222">
        <f t="shared" si="118"/>
        <v>0</v>
      </c>
      <c r="BE300" s="456">
        <f t="shared" si="119"/>
        <v>0</v>
      </c>
      <c r="BF300" s="132"/>
      <c r="BG300" s="140">
        <f t="shared" si="120"/>
        <v>0</v>
      </c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30">
        <f t="shared" si="121"/>
        <v>0</v>
      </c>
      <c r="BV300" s="132"/>
    </row>
    <row r="301" ht="14.25" customHeight="1">
      <c r="A301" s="132"/>
      <c r="B301" s="215">
        <v>46290</v>
      </c>
      <c r="C301" s="133"/>
      <c r="D301" s="136"/>
      <c r="E301" s="135"/>
      <c r="F301" s="135"/>
      <c r="G301" s="147">
        <f t="shared" si="113"/>
        <v>0</v>
      </c>
      <c r="H301" s="768"/>
      <c r="I301" s="611"/>
      <c r="J301" s="611"/>
      <c r="K301" s="611"/>
      <c r="L301" s="611"/>
      <c r="M301" s="611"/>
      <c r="N301" s="143"/>
      <c r="O301" s="143"/>
      <c r="P301" s="143"/>
      <c r="Q301" s="143"/>
      <c r="R301" s="143"/>
      <c r="S301" s="143"/>
      <c r="T301" s="143"/>
      <c r="U301" s="143"/>
      <c r="V301" s="143"/>
      <c r="W301" s="103">
        <f t="shared" si="114"/>
        <v>0</v>
      </c>
      <c r="X301" s="611"/>
      <c r="Y301" s="611"/>
      <c r="Z301" s="611"/>
      <c r="AA301" s="611"/>
      <c r="AB301" s="611"/>
      <c r="AC301" s="143"/>
      <c r="AD301" s="143"/>
      <c r="AE301" s="143"/>
      <c r="AF301" s="143"/>
      <c r="AG301" s="143"/>
      <c r="AH301" s="143"/>
      <c r="AI301" s="143"/>
      <c r="AJ301" s="103">
        <f t="shared" si="115"/>
        <v>0</v>
      </c>
      <c r="AK301" s="136"/>
      <c r="AL301" s="136"/>
      <c r="AM301" s="136"/>
      <c r="AN301" s="105">
        <f t="shared" si="116"/>
        <v>0</v>
      </c>
      <c r="AO301" s="136"/>
      <c r="AP301" s="143"/>
      <c r="AQ301" s="143"/>
      <c r="AR301" s="146"/>
      <c r="AS301" s="224">
        <f t="shared" si="117"/>
        <v>0</v>
      </c>
      <c r="AT301" s="1133"/>
      <c r="AU301" s="126"/>
      <c r="AV301" s="126"/>
      <c r="AW301" s="126"/>
      <c r="AX301" s="126"/>
      <c r="AY301" s="126"/>
      <c r="AZ301" s="274"/>
      <c r="BA301" s="274"/>
      <c r="BB301" s="274"/>
      <c r="BC301" s="274"/>
      <c r="BD301" s="222">
        <f t="shared" si="118"/>
        <v>0</v>
      </c>
      <c r="BE301" s="456">
        <f t="shared" si="119"/>
        <v>0</v>
      </c>
      <c r="BF301" s="132"/>
      <c r="BG301" s="140">
        <f t="shared" si="120"/>
        <v>0</v>
      </c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30">
        <f t="shared" si="121"/>
        <v>0</v>
      </c>
      <c r="BV301" s="132"/>
    </row>
    <row r="302" ht="14.25" customHeight="1">
      <c r="A302" s="132"/>
      <c r="B302" s="215">
        <v>46291</v>
      </c>
      <c r="C302" s="133"/>
      <c r="D302" s="136"/>
      <c r="E302" s="135"/>
      <c r="F302" s="135"/>
      <c r="G302" s="147">
        <f t="shared" si="113"/>
        <v>0</v>
      </c>
      <c r="H302" s="768"/>
      <c r="I302" s="611"/>
      <c r="J302" s="611"/>
      <c r="K302" s="611"/>
      <c r="L302" s="611"/>
      <c r="M302" s="611"/>
      <c r="N302" s="143"/>
      <c r="O302" s="143"/>
      <c r="P302" s="143"/>
      <c r="Q302" s="143"/>
      <c r="R302" s="143"/>
      <c r="S302" s="143"/>
      <c r="T302" s="143"/>
      <c r="U302" s="143"/>
      <c r="V302" s="143"/>
      <c r="W302" s="103">
        <f t="shared" si="114"/>
        <v>0</v>
      </c>
      <c r="X302" s="611"/>
      <c r="Y302" s="611"/>
      <c r="Z302" s="611"/>
      <c r="AA302" s="611"/>
      <c r="AB302" s="611"/>
      <c r="AC302" s="143"/>
      <c r="AD302" s="143"/>
      <c r="AE302" s="143"/>
      <c r="AF302" s="143"/>
      <c r="AG302" s="143"/>
      <c r="AH302" s="143"/>
      <c r="AI302" s="143"/>
      <c r="AJ302" s="103">
        <f t="shared" si="115"/>
        <v>0</v>
      </c>
      <c r="AK302" s="136"/>
      <c r="AL302" s="136"/>
      <c r="AM302" s="136"/>
      <c r="AN302" s="105">
        <f t="shared" si="116"/>
        <v>0</v>
      </c>
      <c r="AO302" s="136"/>
      <c r="AP302" s="143"/>
      <c r="AQ302" s="143"/>
      <c r="AR302" s="146"/>
      <c r="AS302" s="224">
        <f t="shared" si="117"/>
        <v>0</v>
      </c>
      <c r="AT302" s="1133"/>
      <c r="AU302" s="126"/>
      <c r="AV302" s="126"/>
      <c r="AW302" s="126"/>
      <c r="AX302" s="126"/>
      <c r="AY302" s="126"/>
      <c r="AZ302" s="274"/>
      <c r="BA302" s="274"/>
      <c r="BB302" s="274"/>
      <c r="BC302" s="274"/>
      <c r="BD302" s="222">
        <f t="shared" si="118"/>
        <v>0</v>
      </c>
      <c r="BE302" s="456">
        <f t="shared" si="119"/>
        <v>0</v>
      </c>
      <c r="BF302" s="132"/>
      <c r="BG302" s="140">
        <f t="shared" si="120"/>
        <v>0</v>
      </c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30">
        <f t="shared" si="121"/>
        <v>0</v>
      </c>
      <c r="BV302" s="132"/>
    </row>
    <row r="303" ht="14.25" customHeight="1">
      <c r="A303" s="132"/>
      <c r="B303" s="215">
        <v>46292</v>
      </c>
      <c r="C303" s="133"/>
      <c r="D303" s="136"/>
      <c r="E303" s="135"/>
      <c r="F303" s="135"/>
      <c r="G303" s="147">
        <f t="shared" si="113"/>
        <v>0</v>
      </c>
      <c r="H303" s="768"/>
      <c r="I303" s="611"/>
      <c r="J303" s="611"/>
      <c r="K303" s="611"/>
      <c r="L303" s="611"/>
      <c r="M303" s="611"/>
      <c r="N303" s="143"/>
      <c r="O303" s="143"/>
      <c r="P303" s="143"/>
      <c r="Q303" s="143"/>
      <c r="R303" s="143"/>
      <c r="S303" s="143"/>
      <c r="T303" s="143"/>
      <c r="U303" s="143"/>
      <c r="V303" s="143"/>
      <c r="W303" s="103">
        <f t="shared" si="114"/>
        <v>0</v>
      </c>
      <c r="X303" s="611"/>
      <c r="Y303" s="611"/>
      <c r="Z303" s="611"/>
      <c r="AA303" s="611"/>
      <c r="AB303" s="611"/>
      <c r="AC303" s="143"/>
      <c r="AD303" s="143"/>
      <c r="AE303" s="143"/>
      <c r="AF303" s="143"/>
      <c r="AG303" s="143"/>
      <c r="AH303" s="143"/>
      <c r="AI303" s="143"/>
      <c r="AJ303" s="103">
        <f t="shared" si="115"/>
        <v>0</v>
      </c>
      <c r="AK303" s="136"/>
      <c r="AL303" s="136"/>
      <c r="AM303" s="136"/>
      <c r="AN303" s="105">
        <f t="shared" si="116"/>
        <v>0</v>
      </c>
      <c r="AO303" s="136"/>
      <c r="AP303" s="143"/>
      <c r="AQ303" s="143"/>
      <c r="AR303" s="146"/>
      <c r="AS303" s="224">
        <f t="shared" si="117"/>
        <v>0</v>
      </c>
      <c r="AT303" s="1133"/>
      <c r="AU303" s="126"/>
      <c r="AV303" s="126"/>
      <c r="AW303" s="126"/>
      <c r="AX303" s="126"/>
      <c r="AY303" s="126"/>
      <c r="AZ303" s="274"/>
      <c r="BA303" s="274"/>
      <c r="BB303" s="274"/>
      <c r="BC303" s="274"/>
      <c r="BD303" s="222">
        <f t="shared" si="118"/>
        <v>0</v>
      </c>
      <c r="BE303" s="456">
        <f t="shared" si="119"/>
        <v>0</v>
      </c>
      <c r="BF303" s="132"/>
      <c r="BG303" s="140">
        <f t="shared" si="120"/>
        <v>0</v>
      </c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30">
        <f t="shared" si="121"/>
        <v>0</v>
      </c>
      <c r="BV303" s="132"/>
    </row>
    <row r="304" ht="14.25" customHeight="1">
      <c r="A304" s="132"/>
      <c r="B304" s="215">
        <v>46293</v>
      </c>
      <c r="C304" s="133"/>
      <c r="D304" s="136"/>
      <c r="E304" s="135"/>
      <c r="F304" s="135"/>
      <c r="G304" s="147">
        <f t="shared" si="113"/>
        <v>0</v>
      </c>
      <c r="H304" s="768"/>
      <c r="I304" s="611"/>
      <c r="J304" s="611"/>
      <c r="K304" s="611"/>
      <c r="L304" s="611"/>
      <c r="M304" s="611"/>
      <c r="N304" s="143"/>
      <c r="O304" s="143"/>
      <c r="P304" s="143"/>
      <c r="Q304" s="143"/>
      <c r="R304" s="143"/>
      <c r="S304" s="143"/>
      <c r="T304" s="143"/>
      <c r="U304" s="143"/>
      <c r="V304" s="143"/>
      <c r="W304" s="103">
        <f t="shared" si="114"/>
        <v>0</v>
      </c>
      <c r="X304" s="611"/>
      <c r="Y304" s="611"/>
      <c r="Z304" s="611"/>
      <c r="AA304" s="611"/>
      <c r="AB304" s="611"/>
      <c r="AC304" s="143"/>
      <c r="AD304" s="143"/>
      <c r="AE304" s="143"/>
      <c r="AF304" s="143"/>
      <c r="AG304" s="143"/>
      <c r="AH304" s="143"/>
      <c r="AI304" s="143"/>
      <c r="AJ304" s="103">
        <f t="shared" si="115"/>
        <v>0</v>
      </c>
      <c r="AK304" s="136"/>
      <c r="AL304" s="136"/>
      <c r="AM304" s="136"/>
      <c r="AN304" s="105">
        <f t="shared" si="116"/>
        <v>0</v>
      </c>
      <c r="AO304" s="136"/>
      <c r="AP304" s="143"/>
      <c r="AQ304" s="143"/>
      <c r="AR304" s="146"/>
      <c r="AS304" s="224">
        <f t="shared" si="117"/>
        <v>0</v>
      </c>
      <c r="AT304" s="1133"/>
      <c r="AU304" s="126"/>
      <c r="AV304" s="126"/>
      <c r="AW304" s="126"/>
      <c r="AX304" s="126"/>
      <c r="AY304" s="126"/>
      <c r="AZ304" s="274"/>
      <c r="BA304" s="274"/>
      <c r="BB304" s="274"/>
      <c r="BC304" s="274"/>
      <c r="BD304" s="222">
        <f t="shared" si="118"/>
        <v>0</v>
      </c>
      <c r="BE304" s="456">
        <f t="shared" si="119"/>
        <v>0</v>
      </c>
      <c r="BF304" s="132"/>
      <c r="BG304" s="140">
        <f t="shared" si="120"/>
        <v>0</v>
      </c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41"/>
      <c r="BU304" s="130">
        <f t="shared" si="121"/>
        <v>0</v>
      </c>
      <c r="BV304" s="132"/>
    </row>
    <row r="305" ht="14.25" customHeight="1">
      <c r="A305" s="132"/>
      <c r="B305" s="215">
        <v>46294</v>
      </c>
      <c r="C305" s="133"/>
      <c r="D305" s="136"/>
      <c r="E305" s="135"/>
      <c r="F305" s="135"/>
      <c r="G305" s="147">
        <f t="shared" si="113"/>
        <v>0</v>
      </c>
      <c r="H305" s="768"/>
      <c r="I305" s="611"/>
      <c r="J305" s="611"/>
      <c r="K305" s="611"/>
      <c r="L305" s="611"/>
      <c r="M305" s="611"/>
      <c r="N305" s="143"/>
      <c r="O305" s="143"/>
      <c r="P305" s="143"/>
      <c r="Q305" s="143"/>
      <c r="R305" s="143"/>
      <c r="S305" s="143"/>
      <c r="T305" s="143"/>
      <c r="U305" s="143"/>
      <c r="V305" s="143"/>
      <c r="W305" s="103">
        <f t="shared" si="114"/>
        <v>0</v>
      </c>
      <c r="X305" s="611"/>
      <c r="Y305" s="611"/>
      <c r="Z305" s="611"/>
      <c r="AA305" s="611"/>
      <c r="AB305" s="611"/>
      <c r="AC305" s="143"/>
      <c r="AD305" s="143"/>
      <c r="AE305" s="143"/>
      <c r="AF305" s="143"/>
      <c r="AG305" s="143"/>
      <c r="AH305" s="143"/>
      <c r="AI305" s="143"/>
      <c r="AJ305" s="103">
        <f t="shared" si="115"/>
        <v>0</v>
      </c>
      <c r="AK305" s="136"/>
      <c r="AL305" s="136"/>
      <c r="AM305" s="136"/>
      <c r="AN305" s="105">
        <f t="shared" si="116"/>
        <v>0</v>
      </c>
      <c r="AO305" s="136"/>
      <c r="AP305" s="143"/>
      <c r="AQ305" s="143"/>
      <c r="AR305" s="146"/>
      <c r="AS305" s="224">
        <f t="shared" si="117"/>
        <v>0</v>
      </c>
      <c r="AT305" s="1133"/>
      <c r="AU305" s="126"/>
      <c r="AV305" s="126"/>
      <c r="AW305" s="126"/>
      <c r="AX305" s="126"/>
      <c r="AY305" s="126"/>
      <c r="AZ305" s="274"/>
      <c r="BA305" s="274"/>
      <c r="BB305" s="274"/>
      <c r="BC305" s="274"/>
      <c r="BD305" s="222">
        <f t="shared" si="118"/>
        <v>0</v>
      </c>
      <c r="BE305" s="456">
        <f t="shared" si="119"/>
        <v>0</v>
      </c>
      <c r="BF305" s="132"/>
      <c r="BG305" s="140">
        <f t="shared" si="120"/>
        <v>0</v>
      </c>
      <c r="BH305" s="141"/>
      <c r="BI305" s="141"/>
      <c r="BJ305" s="141"/>
      <c r="BK305" s="141"/>
      <c r="BL305" s="141"/>
      <c r="BM305" s="141"/>
      <c r="BN305" s="141"/>
      <c r="BO305" s="141"/>
      <c r="BP305" s="141"/>
      <c r="BQ305" s="141"/>
      <c r="BR305" s="141"/>
      <c r="BS305" s="141"/>
      <c r="BT305" s="141"/>
      <c r="BU305" s="130">
        <f t="shared" si="121"/>
        <v>0</v>
      </c>
      <c r="BV305" s="132"/>
    </row>
    <row r="306" ht="14.25" customHeight="1">
      <c r="A306" s="132"/>
      <c r="B306" s="215">
        <v>46295</v>
      </c>
      <c r="C306" s="133"/>
      <c r="D306" s="136"/>
      <c r="E306" s="135"/>
      <c r="F306" s="135"/>
      <c r="G306" s="147">
        <f t="shared" si="113"/>
        <v>0</v>
      </c>
      <c r="H306" s="768"/>
      <c r="I306" s="611"/>
      <c r="J306" s="611"/>
      <c r="K306" s="611"/>
      <c r="L306" s="611"/>
      <c r="M306" s="611"/>
      <c r="N306" s="143"/>
      <c r="O306" s="143"/>
      <c r="P306" s="143"/>
      <c r="Q306" s="143"/>
      <c r="R306" s="143"/>
      <c r="S306" s="143"/>
      <c r="T306" s="143"/>
      <c r="U306" s="143"/>
      <c r="V306" s="143"/>
      <c r="W306" s="103">
        <f t="shared" si="114"/>
        <v>0</v>
      </c>
      <c r="X306" s="611"/>
      <c r="Y306" s="611"/>
      <c r="Z306" s="611"/>
      <c r="AA306" s="611"/>
      <c r="AB306" s="611"/>
      <c r="AC306" s="143"/>
      <c r="AD306" s="143"/>
      <c r="AE306" s="143"/>
      <c r="AF306" s="143"/>
      <c r="AG306" s="143"/>
      <c r="AH306" s="143"/>
      <c r="AI306" s="143"/>
      <c r="AJ306" s="103">
        <f t="shared" si="115"/>
        <v>0</v>
      </c>
      <c r="AK306" s="136"/>
      <c r="AL306" s="136"/>
      <c r="AM306" s="136"/>
      <c r="AN306" s="105">
        <f t="shared" si="116"/>
        <v>0</v>
      </c>
      <c r="AO306" s="140"/>
      <c r="AP306" s="143"/>
      <c r="AQ306" s="143"/>
      <c r="AR306" s="146"/>
      <c r="AS306" s="224">
        <f t="shared" si="117"/>
        <v>0</v>
      </c>
      <c r="AT306" s="1134"/>
      <c r="AU306" s="1137"/>
      <c r="AV306" s="138"/>
      <c r="AW306" s="138"/>
      <c r="AX306" s="138"/>
      <c r="AY306" s="138"/>
      <c r="AZ306" s="274"/>
      <c r="BA306" s="274"/>
      <c r="BB306" s="274"/>
      <c r="BC306" s="274"/>
      <c r="BD306" s="222">
        <f t="shared" si="118"/>
        <v>0</v>
      </c>
      <c r="BE306" s="456">
        <f t="shared" si="119"/>
        <v>0</v>
      </c>
      <c r="BF306" s="132"/>
      <c r="BG306" s="140">
        <f t="shared" si="120"/>
        <v>0</v>
      </c>
      <c r="BH306" s="141"/>
      <c r="BI306" s="141"/>
      <c r="BJ306" s="141"/>
      <c r="BK306" s="141"/>
      <c r="BL306" s="141"/>
      <c r="BM306" s="141"/>
      <c r="BN306" s="141"/>
      <c r="BO306" s="141"/>
      <c r="BP306" s="141"/>
      <c r="BQ306" s="141"/>
      <c r="BR306" s="141"/>
      <c r="BS306" s="141"/>
      <c r="BT306" s="141"/>
      <c r="BU306" s="130">
        <f t="shared" si="121"/>
        <v>0</v>
      </c>
      <c r="BV306" s="132"/>
    </row>
    <row r="307" ht="14.25" customHeight="1">
      <c r="A307" s="3"/>
      <c r="B307" s="2" t="s">
        <v>83</v>
      </c>
      <c r="C307" s="166">
        <f ref="C307:W307" t="shared" si="122">SUM(C276:C306)</f>
        <v>0</v>
      </c>
      <c r="D307" s="166">
        <f t="shared" si="122"/>
        <v>0</v>
      </c>
      <c r="E307" s="166">
        <f t="shared" si="122"/>
        <v>0</v>
      </c>
      <c r="F307" s="166">
        <f t="shared" si="122"/>
        <v>0</v>
      </c>
      <c r="G307" s="166">
        <f t="shared" si="122"/>
        <v>0</v>
      </c>
      <c r="H307" s="166">
        <f t="shared" si="122"/>
        <v>0</v>
      </c>
      <c r="I307" s="166">
        <f t="shared" si="122"/>
        <v>0</v>
      </c>
      <c r="J307" s="166">
        <f t="shared" si="122"/>
        <v>0</v>
      </c>
      <c r="K307" s="166">
        <f t="shared" si="122"/>
        <v>0</v>
      </c>
      <c r="L307" s="166">
        <f t="shared" si="122"/>
        <v>0</v>
      </c>
      <c r="M307" s="166">
        <f t="shared" si="122"/>
        <v>0</v>
      </c>
      <c r="N307" s="166">
        <f t="shared" si="122"/>
        <v>0</v>
      </c>
      <c r="O307" s="166">
        <f t="shared" si="122"/>
        <v>0</v>
      </c>
      <c r="P307" s="166">
        <f t="shared" si="122"/>
        <v>0</v>
      </c>
      <c r="Q307" s="166">
        <f t="shared" si="122"/>
        <v>0</v>
      </c>
      <c r="R307" s="166">
        <f t="shared" si="122"/>
        <v>0</v>
      </c>
      <c r="S307" s="166">
        <f t="shared" si="122"/>
        <v>0</v>
      </c>
      <c r="T307" s="166">
        <f t="shared" si="122"/>
        <v>0</v>
      </c>
      <c r="U307" s="166">
        <f t="shared" si="122"/>
        <v>0</v>
      </c>
      <c r="V307" s="166">
        <f t="shared" si="122"/>
        <v>0</v>
      </c>
      <c r="W307" s="166">
        <f t="shared" si="122"/>
        <v>0</v>
      </c>
      <c r="X307" s="617"/>
      <c r="Y307" s="617"/>
      <c r="Z307" s="617"/>
      <c r="AA307" s="617"/>
      <c r="AB307" s="617"/>
      <c r="AC307" s="166">
        <f ref="AC307:AL307" t="shared" si="123">SUM(AC276:AC306)</f>
        <v>0</v>
      </c>
      <c r="AD307" s="166">
        <f t="shared" si="123"/>
        <v>0</v>
      </c>
      <c r="AE307" s="166">
        <f t="shared" si="123"/>
        <v>0</v>
      </c>
      <c r="AF307" s="166">
        <f t="shared" si="123"/>
        <v>0</v>
      </c>
      <c r="AG307" s="166">
        <f t="shared" si="123"/>
        <v>0</v>
      </c>
      <c r="AH307" s="166">
        <f t="shared" si="123"/>
        <v>0</v>
      </c>
      <c r="AI307" s="166">
        <f t="shared" si="123"/>
        <v>0</v>
      </c>
      <c r="AJ307" s="166">
        <f t="shared" si="123"/>
        <v>0</v>
      </c>
      <c r="AK307" s="166">
        <f t="shared" si="123"/>
        <v>0</v>
      </c>
      <c r="AL307" s="166">
        <f t="shared" si="123"/>
        <v>0</v>
      </c>
      <c r="AM307" s="166"/>
      <c r="AN307" s="166">
        <f ref="AN307:AY307" t="shared" si="124">SUM(AN276:AN306)</f>
        <v>0</v>
      </c>
      <c r="AO307" s="166">
        <f t="shared" si="124"/>
        <v>0</v>
      </c>
      <c r="AP307" s="166">
        <f t="shared" si="124"/>
        <v>0</v>
      </c>
      <c r="AQ307" s="166">
        <f t="shared" si="124"/>
        <v>0</v>
      </c>
      <c r="AR307" s="166">
        <f t="shared" si="124"/>
        <v>0</v>
      </c>
      <c r="AS307" s="167">
        <f t="shared" si="124"/>
        <v>0</v>
      </c>
      <c r="AT307" s="167">
        <f t="shared" si="124"/>
        <v>0</v>
      </c>
      <c r="AU307" s="167">
        <f t="shared" si="124"/>
        <v>0</v>
      </c>
      <c r="AV307" s="167">
        <f t="shared" si="124"/>
        <v>0</v>
      </c>
      <c r="AW307" s="167">
        <f t="shared" si="124"/>
        <v>0</v>
      </c>
      <c r="AX307" s="167">
        <f t="shared" si="124"/>
        <v>0</v>
      </c>
      <c r="AY307" s="167">
        <f t="shared" si="124"/>
        <v>0</v>
      </c>
      <c r="AZ307" s="166"/>
      <c r="BA307" s="166"/>
      <c r="BB307" s="166"/>
      <c r="BC307" s="166"/>
      <c r="BD307" s="166">
        <f ref="BD307:BE307" t="shared" si="125">SUM(BD276:BD306)</f>
        <v>0</v>
      </c>
      <c r="BE307" s="617">
        <f t="shared" si="125"/>
        <v>0</v>
      </c>
      <c r="BF307" s="132"/>
      <c r="BG307" s="166">
        <f ref="BG307:BS307" t="shared" si="126">SUM(BG276:BG306)</f>
        <v>0</v>
      </c>
      <c r="BH307" s="166">
        <f t="shared" si="126"/>
        <v>0</v>
      </c>
      <c r="BI307" s="166">
        <f t="shared" si="126"/>
        <v>0</v>
      </c>
      <c r="BJ307" s="166">
        <f t="shared" si="126"/>
        <v>0</v>
      </c>
      <c r="BK307" s="166">
        <f t="shared" si="126"/>
        <v>0</v>
      </c>
      <c r="BL307" s="166">
        <f t="shared" si="126"/>
        <v>0</v>
      </c>
      <c r="BM307" s="166">
        <f t="shared" si="126"/>
        <v>0</v>
      </c>
      <c r="BN307" s="166">
        <f t="shared" si="126"/>
        <v>0</v>
      </c>
      <c r="BO307" s="166">
        <f t="shared" si="126"/>
        <v>0</v>
      </c>
      <c r="BP307" s="166">
        <f t="shared" si="126"/>
        <v>0</v>
      </c>
      <c r="BQ307" s="166">
        <f t="shared" si="126"/>
        <v>0</v>
      </c>
      <c r="BR307" s="166">
        <f t="shared" si="126"/>
        <v>0</v>
      </c>
      <c r="BS307" s="166">
        <f t="shared" si="126"/>
        <v>0</v>
      </c>
      <c r="BT307" s="166"/>
      <c r="BU307" s="166">
        <f>SUM(BU276:BU306)</f>
        <v>0</v>
      </c>
      <c r="BV307" s="132"/>
    </row>
    <row r="308" ht="14.25" customHeight="1">
      <c r="A308" s="1"/>
      <c r="B308" s="2"/>
      <c r="C308" s="3"/>
      <c r="D308" s="3"/>
      <c r="E308" s="3"/>
      <c r="F308" s="3"/>
      <c r="G308" s="4"/>
      <c r="H308" s="1"/>
      <c r="I308" s="1"/>
      <c r="J308" s="1"/>
      <c r="K308" s="1"/>
      <c r="L308" s="1"/>
      <c r="M308" s="1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1"/>
      <c r="Y308" s="1"/>
      <c r="Z308" s="1"/>
      <c r="AA308" s="1"/>
      <c r="AB308" s="1"/>
      <c r="AC308" s="3"/>
      <c r="AD308" s="3"/>
      <c r="AE308" s="3"/>
      <c r="AF308" s="3"/>
      <c r="AG308" s="3"/>
      <c r="AH308" s="3"/>
      <c r="AI308" s="3"/>
      <c r="AJ308" s="96"/>
      <c r="AK308" s="96"/>
      <c r="AL308" s="3"/>
      <c r="AM308" s="3"/>
      <c r="AN308" s="4"/>
      <c r="AO308" s="3"/>
      <c r="AP308" s="3"/>
      <c r="AQ308" s="3"/>
      <c r="AR308" s="3"/>
      <c r="AS308" s="3"/>
      <c r="AT308" s="1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1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</row>
    <row r="309" ht="14.25" customHeight="1">
      <c r="A309" s="1"/>
      <c r="B309" s="2"/>
      <c r="C309" s="3"/>
      <c r="D309" s="3"/>
      <c r="E309" s="3"/>
      <c r="F309" s="3"/>
      <c r="G309" s="4"/>
      <c r="H309" s="1"/>
      <c r="I309" s="1"/>
      <c r="J309" s="1"/>
      <c r="K309" s="1"/>
      <c r="L309" s="1"/>
      <c r="M309" s="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1"/>
      <c r="Y309" s="1"/>
      <c r="Z309" s="1"/>
      <c r="AA309" s="1"/>
      <c r="AB309" s="1"/>
      <c r="AC309" s="3"/>
      <c r="AD309" s="3"/>
      <c r="AE309" s="3"/>
      <c r="AF309" s="3"/>
      <c r="AG309" s="3"/>
      <c r="AH309" s="3"/>
      <c r="AI309" s="3"/>
      <c r="AJ309" s="176"/>
      <c r="AK309" s="176"/>
      <c r="AL309" s="3"/>
      <c r="AM309" s="3"/>
      <c r="AN309" s="4"/>
      <c r="AO309" s="3"/>
      <c r="AP309" s="3"/>
      <c r="AQ309" s="3"/>
      <c r="AR309" s="3"/>
      <c r="AS309" s="3"/>
      <c r="AT309" s="1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1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</row>
    <row r="310" ht="14.25" customHeight="1">
      <c r="A310" s="3"/>
      <c r="B310" s="215">
        <v>46296</v>
      </c>
      <c r="C310" s="94"/>
      <c r="D310" s="104"/>
      <c r="E310" s="97"/>
      <c r="F310" s="97"/>
      <c r="G310" s="265">
        <f ref="G310:G340" t="shared" si="127">+C310+D310+E310+F310</f>
        <v>0</v>
      </c>
      <c r="H310" s="778"/>
      <c r="I310" s="619"/>
      <c r="J310" s="619"/>
      <c r="K310" s="619"/>
      <c r="L310" s="619"/>
      <c r="M310" s="619"/>
      <c r="N310" s="186"/>
      <c r="O310" s="186"/>
      <c r="P310" s="186"/>
      <c r="Q310" s="186"/>
      <c r="R310" s="186"/>
      <c r="S310" s="186"/>
      <c r="T310" s="186"/>
      <c r="U310" s="186"/>
      <c r="V310" s="186"/>
      <c r="W310" s="103">
        <f ref="W310:W340" t="shared" si="128">SUM(H310:V310)</f>
        <v>0</v>
      </c>
      <c r="X310" s="619"/>
      <c r="Y310" s="619"/>
      <c r="Z310" s="619"/>
      <c r="AA310" s="619"/>
      <c r="AB310" s="619"/>
      <c r="AC310" s="186"/>
      <c r="AD310" s="186"/>
      <c r="AE310" s="186"/>
      <c r="AF310" s="186"/>
      <c r="AG310" s="186"/>
      <c r="AH310" s="186"/>
      <c r="AI310" s="186"/>
      <c r="AJ310" s="103">
        <f ref="AJ310:AJ340" t="shared" si="129">SUM(X310:AI310)</f>
        <v>0</v>
      </c>
      <c r="AK310" s="104"/>
      <c r="AL310" s="104"/>
      <c r="AM310" s="104"/>
      <c r="AN310" s="191">
        <f ref="AN310:AN340" t="shared" si="130">SUM(AK310:AM310)</f>
        <v>0</v>
      </c>
      <c r="AO310" s="186"/>
      <c r="AP310" s="186"/>
      <c r="AQ310" s="186"/>
      <c r="AR310" s="193"/>
      <c r="AS310" s="219">
        <f ref="AS310:AS340" t="shared" si="131">+G310-W310-AJ310-AN310-AO310-AP310-AQ310-AR310</f>
        <v>0</v>
      </c>
      <c r="AT310" s="1132"/>
      <c r="AU310" s="109"/>
      <c r="AV310" s="109"/>
      <c r="AW310" s="109"/>
      <c r="AX310" s="109"/>
      <c r="AY310" s="109"/>
      <c r="AZ310" s="269"/>
      <c r="BA310" s="269"/>
      <c r="BB310" s="269"/>
      <c r="BC310" s="269"/>
      <c r="BD310" s="222">
        <f ref="BD310:BD340" t="shared" si="132">SUM(AT310:BC310)-BB310</f>
        <v>0</v>
      </c>
      <c r="BE310" s="1051">
        <f ref="BE310:BE340" t="shared" si="133">+AS310-BD310</f>
        <v>0</v>
      </c>
      <c r="BF310" s="3"/>
      <c r="BG310" s="114">
        <f ref="BG310:BG340" t="shared" si="134">SUM(BH310:BT310)</f>
        <v>0</v>
      </c>
      <c r="BH310" s="115"/>
      <c r="BI310" s="115"/>
      <c r="BJ310" s="115"/>
      <c r="BK310" s="115"/>
      <c r="BL310" s="115"/>
      <c r="BM310" s="115"/>
      <c r="BN310" s="115"/>
      <c r="BO310" s="115"/>
      <c r="BP310" s="115"/>
      <c r="BQ310" s="115"/>
      <c r="BR310" s="115"/>
      <c r="BS310" s="115"/>
      <c r="BT310" s="115"/>
      <c r="BU310" s="116">
        <f ref="BU310:BU340" t="shared" si="135">+BE310-BG310</f>
        <v>0</v>
      </c>
      <c r="BV310" s="3"/>
    </row>
    <row r="311" ht="14.25" customHeight="1">
      <c r="A311" s="696"/>
      <c r="B311" s="215">
        <v>46297</v>
      </c>
      <c r="C311" s="118"/>
      <c r="D311" s="123"/>
      <c r="E311" s="120"/>
      <c r="F311" s="120"/>
      <c r="G311" s="147">
        <f t="shared" si="127"/>
        <v>0</v>
      </c>
      <c r="H311" s="768"/>
      <c r="I311" s="611"/>
      <c r="J311" s="611"/>
      <c r="K311" s="611"/>
      <c r="L311" s="611"/>
      <c r="M311" s="611"/>
      <c r="N311" s="143"/>
      <c r="O311" s="143"/>
      <c r="P311" s="143"/>
      <c r="Q311" s="143"/>
      <c r="R311" s="143"/>
      <c r="S311" s="143"/>
      <c r="T311" s="143"/>
      <c r="U311" s="143"/>
      <c r="V311" s="143"/>
      <c r="W311" s="103">
        <f t="shared" si="128"/>
        <v>0</v>
      </c>
      <c r="X311" s="611"/>
      <c r="Y311" s="611"/>
      <c r="Z311" s="611"/>
      <c r="AA311" s="611"/>
      <c r="AB311" s="611"/>
      <c r="AC311" s="143"/>
      <c r="AD311" s="143"/>
      <c r="AE311" s="143"/>
      <c r="AF311" s="143"/>
      <c r="AG311" s="143"/>
      <c r="AH311" s="143"/>
      <c r="AI311" s="143"/>
      <c r="AJ311" s="103">
        <f t="shared" si="129"/>
        <v>0</v>
      </c>
      <c r="AK311" s="123"/>
      <c r="AL311" s="123"/>
      <c r="AM311" s="123"/>
      <c r="AN311" s="105">
        <f t="shared" si="130"/>
        <v>0</v>
      </c>
      <c r="AO311" s="143"/>
      <c r="AP311" s="143"/>
      <c r="AQ311" s="143"/>
      <c r="AR311" s="146"/>
      <c r="AS311" s="224">
        <f t="shared" si="131"/>
        <v>0</v>
      </c>
      <c r="AT311" s="1133"/>
      <c r="AU311" s="126"/>
      <c r="AV311" s="126"/>
      <c r="AW311" s="126"/>
      <c r="AX311" s="126"/>
      <c r="AY311" s="126"/>
      <c r="AZ311" s="274"/>
      <c r="BA311" s="274"/>
      <c r="BB311" s="274"/>
      <c r="BC311" s="274"/>
      <c r="BD311" s="222">
        <f t="shared" si="132"/>
        <v>0</v>
      </c>
      <c r="BE311" s="1055">
        <f t="shared" si="133"/>
        <v>0</v>
      </c>
      <c r="BF311" s="3"/>
      <c r="BG311" s="113">
        <f t="shared" si="134"/>
        <v>0</v>
      </c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30">
        <f t="shared" si="135"/>
        <v>0</v>
      </c>
      <c r="BV311" s="3"/>
    </row>
    <row r="312" ht="14.25" customHeight="1">
      <c r="A312" s="3"/>
      <c r="B312" s="215">
        <v>46298</v>
      </c>
      <c r="C312" s="118"/>
      <c r="D312" s="123"/>
      <c r="E312" s="120"/>
      <c r="F312" s="120"/>
      <c r="G312" s="147">
        <f t="shared" si="127"/>
        <v>0</v>
      </c>
      <c r="H312" s="768"/>
      <c r="I312" s="611"/>
      <c r="J312" s="611"/>
      <c r="K312" s="611"/>
      <c r="L312" s="611"/>
      <c r="M312" s="611"/>
      <c r="N312" s="143"/>
      <c r="O312" s="143"/>
      <c r="P312" s="143"/>
      <c r="Q312" s="143"/>
      <c r="R312" s="143"/>
      <c r="S312" s="143"/>
      <c r="T312" s="143"/>
      <c r="U312" s="143"/>
      <c r="V312" s="143"/>
      <c r="W312" s="103">
        <f t="shared" si="128"/>
        <v>0</v>
      </c>
      <c r="X312" s="611"/>
      <c r="Y312" s="611"/>
      <c r="Z312" s="611"/>
      <c r="AA312" s="611"/>
      <c r="AB312" s="611"/>
      <c r="AC312" s="143"/>
      <c r="AD312" s="143"/>
      <c r="AE312" s="143"/>
      <c r="AF312" s="143"/>
      <c r="AG312" s="143"/>
      <c r="AH312" s="143"/>
      <c r="AI312" s="143"/>
      <c r="AJ312" s="103">
        <f t="shared" si="129"/>
        <v>0</v>
      </c>
      <c r="AK312" s="123"/>
      <c r="AL312" s="123"/>
      <c r="AM312" s="123"/>
      <c r="AN312" s="105">
        <f t="shared" si="130"/>
        <v>0</v>
      </c>
      <c r="AO312" s="143"/>
      <c r="AP312" s="143"/>
      <c r="AQ312" s="143"/>
      <c r="AR312" s="146"/>
      <c r="AS312" s="224">
        <f t="shared" si="131"/>
        <v>0</v>
      </c>
      <c r="AT312" s="1133"/>
      <c r="AU312" s="126"/>
      <c r="AV312" s="126"/>
      <c r="AW312" s="126"/>
      <c r="AX312" s="126"/>
      <c r="AY312" s="126"/>
      <c r="AZ312" s="274"/>
      <c r="BA312" s="274"/>
      <c r="BB312" s="274"/>
      <c r="BC312" s="274"/>
      <c r="BD312" s="222">
        <f t="shared" si="132"/>
        <v>0</v>
      </c>
      <c r="BE312" s="1055">
        <f t="shared" si="133"/>
        <v>0</v>
      </c>
      <c r="BF312" s="3"/>
      <c r="BG312" s="113">
        <f t="shared" si="134"/>
        <v>0</v>
      </c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30">
        <f t="shared" si="135"/>
        <v>0</v>
      </c>
      <c r="BV312" s="3"/>
    </row>
    <row r="313" ht="14.25" customHeight="1">
      <c r="A313" s="3"/>
      <c r="B313" s="215">
        <v>46299</v>
      </c>
      <c r="C313" s="118"/>
      <c r="D313" s="123"/>
      <c r="E313" s="120"/>
      <c r="F313" s="120"/>
      <c r="G313" s="147">
        <f t="shared" si="127"/>
        <v>0</v>
      </c>
      <c r="H313" s="768"/>
      <c r="I313" s="611"/>
      <c r="J313" s="611"/>
      <c r="K313" s="611"/>
      <c r="L313" s="611"/>
      <c r="M313" s="611"/>
      <c r="N313" s="143"/>
      <c r="O313" s="143"/>
      <c r="P313" s="143"/>
      <c r="Q313" s="143"/>
      <c r="R313" s="143"/>
      <c r="S313" s="143"/>
      <c r="T313" s="143"/>
      <c r="U313" s="143"/>
      <c r="V313" s="143"/>
      <c r="W313" s="103">
        <f t="shared" si="128"/>
        <v>0</v>
      </c>
      <c r="X313" s="611"/>
      <c r="Y313" s="611"/>
      <c r="Z313" s="611"/>
      <c r="AA313" s="611"/>
      <c r="AB313" s="611"/>
      <c r="AC313" s="143"/>
      <c r="AD313" s="143"/>
      <c r="AE313" s="143"/>
      <c r="AF313" s="143"/>
      <c r="AG313" s="143"/>
      <c r="AH313" s="143"/>
      <c r="AI313" s="143"/>
      <c r="AJ313" s="103">
        <f t="shared" si="129"/>
        <v>0</v>
      </c>
      <c r="AK313" s="123"/>
      <c r="AL313" s="123"/>
      <c r="AM313" s="123"/>
      <c r="AN313" s="105">
        <f t="shared" si="130"/>
        <v>0</v>
      </c>
      <c r="AO313" s="143"/>
      <c r="AP313" s="143"/>
      <c r="AQ313" s="143"/>
      <c r="AR313" s="146"/>
      <c r="AS313" s="224">
        <f t="shared" si="131"/>
        <v>0</v>
      </c>
      <c r="AT313" s="1133"/>
      <c r="AU313" s="126"/>
      <c r="AV313" s="126"/>
      <c r="AW313" s="126"/>
      <c r="AX313" s="126"/>
      <c r="AY313" s="126"/>
      <c r="AZ313" s="274"/>
      <c r="BA313" s="274"/>
      <c r="BB313" s="274"/>
      <c r="BC313" s="274"/>
      <c r="BD313" s="222">
        <f t="shared" si="132"/>
        <v>0</v>
      </c>
      <c r="BE313" s="1055">
        <f t="shared" si="133"/>
        <v>0</v>
      </c>
      <c r="BF313" s="3"/>
      <c r="BG313" s="113">
        <f t="shared" si="134"/>
        <v>0</v>
      </c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30">
        <f t="shared" si="135"/>
        <v>0</v>
      </c>
      <c r="BV313" s="3"/>
    </row>
    <row r="314" ht="14.25" customHeight="1">
      <c r="A314" s="3"/>
      <c r="B314" s="215">
        <v>46300</v>
      </c>
      <c r="C314" s="118"/>
      <c r="D314" s="123"/>
      <c r="E314" s="120"/>
      <c r="F314" s="120"/>
      <c r="G314" s="147">
        <f t="shared" si="127"/>
        <v>0</v>
      </c>
      <c r="H314" s="768"/>
      <c r="I314" s="611"/>
      <c r="J314" s="611"/>
      <c r="K314" s="611"/>
      <c r="L314" s="611"/>
      <c r="M314" s="611"/>
      <c r="N314" s="143"/>
      <c r="O314" s="143"/>
      <c r="P314" s="143"/>
      <c r="Q314" s="143"/>
      <c r="R314" s="143"/>
      <c r="S314" s="143"/>
      <c r="T314" s="143"/>
      <c r="U314" s="143"/>
      <c r="V314" s="143"/>
      <c r="W314" s="103">
        <f t="shared" si="128"/>
        <v>0</v>
      </c>
      <c r="X314" s="611"/>
      <c r="Y314" s="611"/>
      <c r="Z314" s="611"/>
      <c r="AA314" s="611"/>
      <c r="AB314" s="611"/>
      <c r="AC314" s="143"/>
      <c r="AD314" s="143"/>
      <c r="AE314" s="143"/>
      <c r="AF314" s="143"/>
      <c r="AG314" s="143"/>
      <c r="AH314" s="143"/>
      <c r="AI314" s="143"/>
      <c r="AJ314" s="103">
        <f t="shared" si="129"/>
        <v>0</v>
      </c>
      <c r="AK314" s="123"/>
      <c r="AL314" s="123"/>
      <c r="AM314" s="123"/>
      <c r="AN314" s="105">
        <f t="shared" si="130"/>
        <v>0</v>
      </c>
      <c r="AO314" s="143"/>
      <c r="AP314" s="143"/>
      <c r="AQ314" s="143"/>
      <c r="AR314" s="146"/>
      <c r="AS314" s="224">
        <f t="shared" si="131"/>
        <v>0</v>
      </c>
      <c r="AT314" s="1133"/>
      <c r="AU314" s="126"/>
      <c r="AV314" s="126"/>
      <c r="AW314" s="126"/>
      <c r="AX314" s="126"/>
      <c r="AY314" s="126"/>
      <c r="AZ314" s="274"/>
      <c r="BA314" s="274"/>
      <c r="BB314" s="274"/>
      <c r="BC314" s="274"/>
      <c r="BD314" s="222">
        <f t="shared" si="132"/>
        <v>0</v>
      </c>
      <c r="BE314" s="1055">
        <f t="shared" si="133"/>
        <v>0</v>
      </c>
      <c r="BF314" s="3"/>
      <c r="BG314" s="113">
        <f t="shared" si="134"/>
        <v>0</v>
      </c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30">
        <f t="shared" si="135"/>
        <v>0</v>
      </c>
      <c r="BV314" s="3"/>
    </row>
    <row r="315" ht="15" customHeight="1">
      <c r="A315" s="3"/>
      <c r="B315" s="215">
        <v>46301</v>
      </c>
      <c r="C315" s="118"/>
      <c r="D315" s="123"/>
      <c r="E315" s="120"/>
      <c r="F315" s="120"/>
      <c r="G315" s="147">
        <f t="shared" si="127"/>
        <v>0</v>
      </c>
      <c r="H315" s="1138"/>
      <c r="I315" s="611"/>
      <c r="J315" s="611"/>
      <c r="K315" s="611"/>
      <c r="L315" s="611"/>
      <c r="M315" s="611"/>
      <c r="N315" s="143"/>
      <c r="O315" s="143"/>
      <c r="P315" s="143"/>
      <c r="Q315" s="143"/>
      <c r="R315" s="143"/>
      <c r="S315" s="143"/>
      <c r="T315" s="143"/>
      <c r="U315" s="143"/>
      <c r="V315" s="143"/>
      <c r="W315" s="103">
        <f t="shared" si="128"/>
        <v>0</v>
      </c>
      <c r="X315" s="611"/>
      <c r="Y315" s="611"/>
      <c r="Z315" s="611"/>
      <c r="AA315" s="611"/>
      <c r="AB315" s="611"/>
      <c r="AC315" s="143"/>
      <c r="AD315" s="143"/>
      <c r="AE315" s="143"/>
      <c r="AF315" s="143"/>
      <c r="AG315" s="143"/>
      <c r="AH315" s="143"/>
      <c r="AI315" s="143"/>
      <c r="AJ315" s="103">
        <f t="shared" si="129"/>
        <v>0</v>
      </c>
      <c r="AK315" s="123"/>
      <c r="AL315" s="123"/>
      <c r="AM315" s="123"/>
      <c r="AN315" s="105">
        <f t="shared" si="130"/>
        <v>0</v>
      </c>
      <c r="AO315" s="143"/>
      <c r="AP315" s="143"/>
      <c r="AQ315" s="143"/>
      <c r="AR315" s="146"/>
      <c r="AS315" s="224">
        <f t="shared" si="131"/>
        <v>0</v>
      </c>
      <c r="AT315" s="1133"/>
      <c r="AU315" s="126"/>
      <c r="AV315" s="126"/>
      <c r="AW315" s="126"/>
      <c r="AX315" s="126"/>
      <c r="AY315" s="126"/>
      <c r="AZ315" s="274"/>
      <c r="BA315" s="274"/>
      <c r="BB315" s="274"/>
      <c r="BC315" s="274"/>
      <c r="BD315" s="222">
        <f t="shared" si="132"/>
        <v>0</v>
      </c>
      <c r="BE315" s="1055">
        <f t="shared" si="133"/>
        <v>0</v>
      </c>
      <c r="BF315" s="3"/>
      <c r="BG315" s="113">
        <f t="shared" si="134"/>
        <v>0</v>
      </c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30">
        <f t="shared" si="135"/>
        <v>0</v>
      </c>
      <c r="BV315" s="3"/>
    </row>
    <row r="316" ht="14.25" customHeight="1">
      <c r="A316" s="132"/>
      <c r="B316" s="215">
        <v>46302</v>
      </c>
      <c r="C316" s="133"/>
      <c r="D316" s="136"/>
      <c r="E316" s="135"/>
      <c r="F316" s="135"/>
      <c r="G316" s="147">
        <f t="shared" si="127"/>
        <v>0</v>
      </c>
      <c r="H316" s="1138"/>
      <c r="I316" s="611"/>
      <c r="J316" s="611"/>
      <c r="K316" s="611"/>
      <c r="L316" s="611"/>
      <c r="M316" s="611"/>
      <c r="N316" s="143"/>
      <c r="O316" s="143"/>
      <c r="P316" s="143"/>
      <c r="Q316" s="143"/>
      <c r="R316" s="143"/>
      <c r="S316" s="143"/>
      <c r="T316" s="143"/>
      <c r="U316" s="143"/>
      <c r="V316" s="143"/>
      <c r="W316" s="103">
        <f t="shared" si="128"/>
        <v>0</v>
      </c>
      <c r="X316" s="611"/>
      <c r="Y316" s="611"/>
      <c r="Z316" s="611"/>
      <c r="AA316" s="611"/>
      <c r="AB316" s="611"/>
      <c r="AC316" s="143"/>
      <c r="AD316" s="143"/>
      <c r="AE316" s="143"/>
      <c r="AF316" s="143"/>
      <c r="AG316" s="143"/>
      <c r="AH316" s="143"/>
      <c r="AI316" s="143"/>
      <c r="AJ316" s="103">
        <f t="shared" si="129"/>
        <v>0</v>
      </c>
      <c r="AK316" s="136"/>
      <c r="AL316" s="136"/>
      <c r="AM316" s="136"/>
      <c r="AN316" s="105">
        <f t="shared" si="130"/>
        <v>0</v>
      </c>
      <c r="AO316" s="143"/>
      <c r="AP316" s="143"/>
      <c r="AQ316" s="143"/>
      <c r="AR316" s="146"/>
      <c r="AS316" s="224">
        <f t="shared" si="131"/>
        <v>0</v>
      </c>
      <c r="AT316" s="1133"/>
      <c r="AU316" s="126"/>
      <c r="AV316" s="126"/>
      <c r="AW316" s="126"/>
      <c r="AX316" s="126"/>
      <c r="AY316" s="126"/>
      <c r="AZ316" s="274"/>
      <c r="BA316" s="274"/>
      <c r="BB316" s="274"/>
      <c r="BC316" s="274"/>
      <c r="BD316" s="222">
        <f t="shared" si="132"/>
        <v>0</v>
      </c>
      <c r="BE316" s="456">
        <f t="shared" si="133"/>
        <v>0</v>
      </c>
      <c r="BF316" s="132"/>
      <c r="BG316" s="140">
        <f t="shared" si="134"/>
        <v>0</v>
      </c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30">
        <f t="shared" si="135"/>
        <v>0</v>
      </c>
      <c r="BV316" s="132"/>
    </row>
    <row r="317" ht="14.25" customHeight="1">
      <c r="A317" s="132"/>
      <c r="B317" s="215">
        <v>46303</v>
      </c>
      <c r="C317" s="133"/>
      <c r="D317" s="136"/>
      <c r="E317" s="135"/>
      <c r="F317" s="135"/>
      <c r="G317" s="147">
        <f t="shared" si="127"/>
        <v>0</v>
      </c>
      <c r="H317" s="768"/>
      <c r="I317" s="611"/>
      <c r="J317" s="611"/>
      <c r="K317" s="611"/>
      <c r="L317" s="611"/>
      <c r="M317" s="611"/>
      <c r="N317" s="143"/>
      <c r="O317" s="143"/>
      <c r="P317" s="143"/>
      <c r="Q317" s="143"/>
      <c r="R317" s="143"/>
      <c r="S317" s="143"/>
      <c r="T317" s="143"/>
      <c r="U317" s="143"/>
      <c r="V317" s="143"/>
      <c r="W317" s="103">
        <f t="shared" si="128"/>
        <v>0</v>
      </c>
      <c r="X317" s="611"/>
      <c r="Y317" s="611"/>
      <c r="Z317" s="611"/>
      <c r="AA317" s="611"/>
      <c r="AB317" s="611"/>
      <c r="AC317" s="143"/>
      <c r="AD317" s="143"/>
      <c r="AE317" s="143"/>
      <c r="AF317" s="143"/>
      <c r="AG317" s="143"/>
      <c r="AH317" s="143"/>
      <c r="AI317" s="143"/>
      <c r="AJ317" s="103">
        <f t="shared" si="129"/>
        <v>0</v>
      </c>
      <c r="AK317" s="136"/>
      <c r="AL317" s="136"/>
      <c r="AM317" s="136"/>
      <c r="AN317" s="105">
        <f t="shared" si="130"/>
        <v>0</v>
      </c>
      <c r="AO317" s="143"/>
      <c r="AP317" s="143"/>
      <c r="AQ317" s="143"/>
      <c r="AR317" s="146"/>
      <c r="AS317" s="224">
        <f t="shared" si="131"/>
        <v>0</v>
      </c>
      <c r="AT317" s="1133"/>
      <c r="AU317" s="126"/>
      <c r="AV317" s="126"/>
      <c r="AW317" s="126"/>
      <c r="AX317" s="126"/>
      <c r="AY317" s="126"/>
      <c r="AZ317" s="274"/>
      <c r="BA317" s="274"/>
      <c r="BB317" s="274"/>
      <c r="BC317" s="274"/>
      <c r="BD317" s="222">
        <f t="shared" si="132"/>
        <v>0</v>
      </c>
      <c r="BE317" s="456">
        <f t="shared" si="133"/>
        <v>0</v>
      </c>
      <c r="BF317" s="132"/>
      <c r="BG317" s="140">
        <f t="shared" si="134"/>
        <v>0</v>
      </c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30">
        <f t="shared" si="135"/>
        <v>0</v>
      </c>
      <c r="BV317" s="132"/>
    </row>
    <row r="318" ht="14.25" customHeight="1">
      <c r="A318" s="132"/>
      <c r="B318" s="215">
        <v>46304</v>
      </c>
      <c r="C318" s="133"/>
      <c r="D318" s="136"/>
      <c r="E318" s="135"/>
      <c r="F318" s="135"/>
      <c r="G318" s="147">
        <f t="shared" si="127"/>
        <v>0</v>
      </c>
      <c r="H318" s="746"/>
      <c r="I318" s="641"/>
      <c r="J318" s="641"/>
      <c r="K318" s="641"/>
      <c r="L318" s="641"/>
      <c r="M318" s="641"/>
      <c r="N318" s="99"/>
      <c r="O318" s="99"/>
      <c r="P318" s="99"/>
      <c r="Q318" s="99"/>
      <c r="R318" s="99"/>
      <c r="S318" s="99"/>
      <c r="T318" s="99"/>
      <c r="U318" s="99"/>
      <c r="V318" s="99"/>
      <c r="W318" s="103">
        <f t="shared" si="128"/>
        <v>0</v>
      </c>
      <c r="X318" s="611"/>
      <c r="Y318" s="611"/>
      <c r="Z318" s="611"/>
      <c r="AA318" s="611"/>
      <c r="AB318" s="611"/>
      <c r="AC318" s="143"/>
      <c r="AD318" s="143"/>
      <c r="AE318" s="143"/>
      <c r="AF318" s="143"/>
      <c r="AG318" s="143"/>
      <c r="AH318" s="143"/>
      <c r="AI318" s="143"/>
      <c r="AJ318" s="103">
        <f t="shared" si="129"/>
        <v>0</v>
      </c>
      <c r="AK318" s="136"/>
      <c r="AL318" s="136"/>
      <c r="AM318" s="136"/>
      <c r="AN318" s="105">
        <f t="shared" si="130"/>
        <v>0</v>
      </c>
      <c r="AO318" s="143"/>
      <c r="AP318" s="143"/>
      <c r="AQ318" s="143"/>
      <c r="AR318" s="146"/>
      <c r="AS318" s="224">
        <f t="shared" si="131"/>
        <v>0</v>
      </c>
      <c r="AT318" s="1133"/>
      <c r="AU318" s="126"/>
      <c r="AV318" s="126"/>
      <c r="AW318" s="126"/>
      <c r="AX318" s="126"/>
      <c r="AY318" s="126"/>
      <c r="AZ318" s="274"/>
      <c r="BA318" s="274"/>
      <c r="BB318" s="274"/>
      <c r="BC318" s="274"/>
      <c r="BD318" s="222">
        <f t="shared" si="132"/>
        <v>0</v>
      </c>
      <c r="BE318" s="456">
        <f t="shared" si="133"/>
        <v>0</v>
      </c>
      <c r="BF318" s="132"/>
      <c r="BG318" s="140">
        <f t="shared" si="134"/>
        <v>0</v>
      </c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30">
        <f t="shared" si="135"/>
        <v>0</v>
      </c>
      <c r="BV318" s="132"/>
    </row>
    <row r="319" ht="14.25" customHeight="1">
      <c r="A319" s="3"/>
      <c r="B319" s="215">
        <v>46305</v>
      </c>
      <c r="C319" s="118"/>
      <c r="D319" s="123"/>
      <c r="E319" s="120"/>
      <c r="F319" s="120"/>
      <c r="G319" s="147">
        <f t="shared" si="127"/>
        <v>0</v>
      </c>
      <c r="H319" s="746"/>
      <c r="I319" s="641"/>
      <c r="J319" s="641"/>
      <c r="K319" s="641"/>
      <c r="L319" s="641"/>
      <c r="M319" s="641"/>
      <c r="N319" s="99"/>
      <c r="O319" s="99"/>
      <c r="P319" s="99"/>
      <c r="Q319" s="99"/>
      <c r="R319" s="99"/>
      <c r="S319" s="99"/>
      <c r="T319" s="99"/>
      <c r="U319" s="99"/>
      <c r="V319" s="99"/>
      <c r="W319" s="103">
        <f t="shared" si="128"/>
        <v>0</v>
      </c>
      <c r="X319" s="611"/>
      <c r="Y319" s="611"/>
      <c r="Z319" s="611"/>
      <c r="AA319" s="611"/>
      <c r="AB319" s="611"/>
      <c r="AC319" s="143"/>
      <c r="AD319" s="143"/>
      <c r="AE319" s="143"/>
      <c r="AF319" s="143"/>
      <c r="AG319" s="143"/>
      <c r="AH319" s="143"/>
      <c r="AI319" s="143"/>
      <c r="AJ319" s="103">
        <f t="shared" si="129"/>
        <v>0</v>
      </c>
      <c r="AK319" s="123"/>
      <c r="AL319" s="123"/>
      <c r="AM319" s="123"/>
      <c r="AN319" s="105">
        <f t="shared" si="130"/>
        <v>0</v>
      </c>
      <c r="AO319" s="143"/>
      <c r="AP319" s="143"/>
      <c r="AQ319" s="143"/>
      <c r="AR319" s="146"/>
      <c r="AS319" s="224">
        <f t="shared" si="131"/>
        <v>0</v>
      </c>
      <c r="AT319" s="1133"/>
      <c r="AU319" s="126"/>
      <c r="AV319" s="126"/>
      <c r="AW319" s="126"/>
      <c r="AX319" s="126"/>
      <c r="AY319" s="126"/>
      <c r="AZ319" s="274"/>
      <c r="BA319" s="274"/>
      <c r="BB319" s="274"/>
      <c r="BC319" s="274"/>
      <c r="BD319" s="222">
        <f t="shared" si="132"/>
        <v>0</v>
      </c>
      <c r="BE319" s="1055">
        <f t="shared" si="133"/>
        <v>0</v>
      </c>
      <c r="BF319" s="3"/>
      <c r="BG319" s="113">
        <f t="shared" si="134"/>
        <v>0</v>
      </c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30">
        <f t="shared" si="135"/>
        <v>0</v>
      </c>
      <c r="BV319" s="3"/>
    </row>
    <row r="320" ht="14.25" customHeight="1">
      <c r="A320" s="3"/>
      <c r="B320" s="215">
        <v>46306</v>
      </c>
      <c r="C320" s="118"/>
      <c r="D320" s="123"/>
      <c r="E320" s="120"/>
      <c r="F320" s="120"/>
      <c r="G320" s="147">
        <f t="shared" si="127"/>
        <v>0</v>
      </c>
      <c r="H320" s="768"/>
      <c r="I320" s="611"/>
      <c r="J320" s="611"/>
      <c r="K320" s="611"/>
      <c r="L320" s="611"/>
      <c r="M320" s="611"/>
      <c r="N320" s="143"/>
      <c r="O320" s="143"/>
      <c r="P320" s="143"/>
      <c r="Q320" s="143"/>
      <c r="R320" s="143"/>
      <c r="S320" s="143"/>
      <c r="T320" s="143"/>
      <c r="U320" s="143"/>
      <c r="V320" s="143"/>
      <c r="W320" s="103">
        <f t="shared" si="128"/>
        <v>0</v>
      </c>
      <c r="X320" s="611"/>
      <c r="Y320" s="611"/>
      <c r="Z320" s="611"/>
      <c r="AA320" s="611"/>
      <c r="AB320" s="611"/>
      <c r="AC320" s="143"/>
      <c r="AD320" s="143"/>
      <c r="AE320" s="143"/>
      <c r="AF320" s="143"/>
      <c r="AG320" s="143"/>
      <c r="AH320" s="143"/>
      <c r="AI320" s="143"/>
      <c r="AJ320" s="103">
        <f t="shared" si="129"/>
        <v>0</v>
      </c>
      <c r="AK320" s="123"/>
      <c r="AL320" s="123"/>
      <c r="AM320" s="123"/>
      <c r="AN320" s="105">
        <f t="shared" si="130"/>
        <v>0</v>
      </c>
      <c r="AO320" s="143"/>
      <c r="AP320" s="143"/>
      <c r="AQ320" s="143"/>
      <c r="AR320" s="146"/>
      <c r="AS320" s="224">
        <f t="shared" si="131"/>
        <v>0</v>
      </c>
      <c r="AT320" s="1133"/>
      <c r="AU320" s="126"/>
      <c r="AV320" s="126"/>
      <c r="AW320" s="126"/>
      <c r="AX320" s="126"/>
      <c r="AY320" s="126"/>
      <c r="AZ320" s="274"/>
      <c r="BA320" s="274"/>
      <c r="BB320" s="274"/>
      <c r="BC320" s="274"/>
      <c r="BD320" s="222">
        <f t="shared" si="132"/>
        <v>0</v>
      </c>
      <c r="BE320" s="1055">
        <f t="shared" si="133"/>
        <v>0</v>
      </c>
      <c r="BF320" s="3"/>
      <c r="BG320" s="113">
        <f t="shared" si="134"/>
        <v>0</v>
      </c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30">
        <f t="shared" si="135"/>
        <v>0</v>
      </c>
      <c r="BV320" s="3"/>
    </row>
    <row r="321" ht="14.25" customHeight="1">
      <c r="A321" s="3"/>
      <c r="B321" s="215">
        <v>46307</v>
      </c>
      <c r="C321" s="118"/>
      <c r="D321" s="123"/>
      <c r="E321" s="120"/>
      <c r="F321" s="120"/>
      <c r="G321" s="147">
        <f t="shared" si="127"/>
        <v>0</v>
      </c>
      <c r="H321" s="768"/>
      <c r="I321" s="611"/>
      <c r="J321" s="611"/>
      <c r="K321" s="611"/>
      <c r="L321" s="611"/>
      <c r="M321" s="611"/>
      <c r="N321" s="143"/>
      <c r="O321" s="143"/>
      <c r="P321" s="143"/>
      <c r="Q321" s="143"/>
      <c r="R321" s="143"/>
      <c r="S321" s="143"/>
      <c r="T321" s="143"/>
      <c r="U321" s="143"/>
      <c r="V321" s="143"/>
      <c r="W321" s="103">
        <f t="shared" si="128"/>
        <v>0</v>
      </c>
      <c r="X321" s="611"/>
      <c r="Y321" s="611"/>
      <c r="Z321" s="611"/>
      <c r="AA321" s="611"/>
      <c r="AB321" s="611"/>
      <c r="AC321" s="143"/>
      <c r="AD321" s="143"/>
      <c r="AE321" s="143"/>
      <c r="AF321" s="143"/>
      <c r="AG321" s="143"/>
      <c r="AH321" s="143"/>
      <c r="AI321" s="143"/>
      <c r="AJ321" s="103">
        <f t="shared" si="129"/>
        <v>0</v>
      </c>
      <c r="AK321" s="123"/>
      <c r="AL321" s="123"/>
      <c r="AM321" s="123"/>
      <c r="AN321" s="105">
        <f t="shared" si="130"/>
        <v>0</v>
      </c>
      <c r="AO321" s="143"/>
      <c r="AP321" s="143"/>
      <c r="AQ321" s="143"/>
      <c r="AR321" s="146"/>
      <c r="AS321" s="224">
        <f t="shared" si="131"/>
        <v>0</v>
      </c>
      <c r="AT321" s="1133"/>
      <c r="AU321" s="126"/>
      <c r="AV321" s="126"/>
      <c r="AW321" s="126"/>
      <c r="AX321" s="126"/>
      <c r="AY321" s="126"/>
      <c r="AZ321" s="274"/>
      <c r="BA321" s="274"/>
      <c r="BB321" s="274"/>
      <c r="BC321" s="274"/>
      <c r="BD321" s="222">
        <f t="shared" si="132"/>
        <v>0</v>
      </c>
      <c r="BE321" s="1055">
        <f t="shared" si="133"/>
        <v>0</v>
      </c>
      <c r="BF321" s="3"/>
      <c r="BG321" s="113">
        <f t="shared" si="134"/>
        <v>0</v>
      </c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30">
        <f t="shared" si="135"/>
        <v>0</v>
      </c>
      <c r="BV321" s="3"/>
    </row>
    <row r="322" ht="14.25" customHeight="1">
      <c r="A322" s="132"/>
      <c r="B322" s="215">
        <v>46308</v>
      </c>
      <c r="C322" s="133"/>
      <c r="D322" s="136"/>
      <c r="E322" s="135"/>
      <c r="F322" s="135"/>
      <c r="G322" s="147">
        <f t="shared" si="127"/>
        <v>0</v>
      </c>
      <c r="H322" s="768"/>
      <c r="I322" s="611"/>
      <c r="J322" s="611"/>
      <c r="K322" s="611"/>
      <c r="L322" s="611"/>
      <c r="M322" s="611"/>
      <c r="N322" s="143"/>
      <c r="O322" s="143"/>
      <c r="P322" s="143"/>
      <c r="Q322" s="143"/>
      <c r="R322" s="143"/>
      <c r="S322" s="143"/>
      <c r="T322" s="143"/>
      <c r="U322" s="143"/>
      <c r="V322" s="143"/>
      <c r="W322" s="103">
        <f t="shared" si="128"/>
        <v>0</v>
      </c>
      <c r="X322" s="611"/>
      <c r="Y322" s="611"/>
      <c r="Z322" s="611"/>
      <c r="AA322" s="611"/>
      <c r="AB322" s="611"/>
      <c r="AC322" s="143"/>
      <c r="AD322" s="143"/>
      <c r="AE322" s="143"/>
      <c r="AF322" s="143"/>
      <c r="AG322" s="143"/>
      <c r="AH322" s="143"/>
      <c r="AI322" s="143"/>
      <c r="AJ322" s="103">
        <f t="shared" si="129"/>
        <v>0</v>
      </c>
      <c r="AK322" s="136"/>
      <c r="AL322" s="136"/>
      <c r="AM322" s="136"/>
      <c r="AN322" s="105">
        <f t="shared" si="130"/>
        <v>0</v>
      </c>
      <c r="AO322" s="143"/>
      <c r="AP322" s="143"/>
      <c r="AQ322" s="143"/>
      <c r="AR322" s="146"/>
      <c r="AS322" s="224">
        <f t="shared" si="131"/>
        <v>0</v>
      </c>
      <c r="AT322" s="1133"/>
      <c r="AU322" s="126"/>
      <c r="AV322" s="126"/>
      <c r="AW322" s="126"/>
      <c r="AX322" s="126"/>
      <c r="AY322" s="126"/>
      <c r="AZ322" s="274"/>
      <c r="BA322" s="274"/>
      <c r="BB322" s="274"/>
      <c r="BC322" s="274"/>
      <c r="BD322" s="222">
        <f t="shared" si="132"/>
        <v>0</v>
      </c>
      <c r="BE322" s="456">
        <f t="shared" si="133"/>
        <v>0</v>
      </c>
      <c r="BF322" s="132"/>
      <c r="BG322" s="140">
        <f t="shared" si="134"/>
        <v>0</v>
      </c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30">
        <f t="shared" si="135"/>
        <v>0</v>
      </c>
      <c r="BV322" s="132"/>
    </row>
    <row r="323" ht="14.25" customHeight="1">
      <c r="A323" s="132"/>
      <c r="B323" s="215">
        <v>46309</v>
      </c>
      <c r="C323" s="133"/>
      <c r="D323" s="136"/>
      <c r="E323" s="135"/>
      <c r="F323" s="135"/>
      <c r="G323" s="147">
        <f t="shared" si="127"/>
        <v>0</v>
      </c>
      <c r="H323" s="768"/>
      <c r="I323" s="611"/>
      <c r="J323" s="611"/>
      <c r="K323" s="611"/>
      <c r="L323" s="611"/>
      <c r="M323" s="611"/>
      <c r="N323" s="143"/>
      <c r="O323" s="143"/>
      <c r="P323" s="143"/>
      <c r="Q323" s="143"/>
      <c r="R323" s="143"/>
      <c r="S323" s="143"/>
      <c r="T323" s="143"/>
      <c r="U323" s="143"/>
      <c r="V323" s="143"/>
      <c r="W323" s="103">
        <f t="shared" si="128"/>
        <v>0</v>
      </c>
      <c r="X323" s="611"/>
      <c r="Y323" s="611"/>
      <c r="Z323" s="611"/>
      <c r="AA323" s="611"/>
      <c r="AB323" s="611"/>
      <c r="AC323" s="143"/>
      <c r="AD323" s="143"/>
      <c r="AE323" s="143"/>
      <c r="AF323" s="143"/>
      <c r="AG323" s="143"/>
      <c r="AH323" s="143"/>
      <c r="AI323" s="143"/>
      <c r="AJ323" s="103">
        <f t="shared" si="129"/>
        <v>0</v>
      </c>
      <c r="AK323" s="136"/>
      <c r="AL323" s="136"/>
      <c r="AM323" s="136"/>
      <c r="AN323" s="105">
        <f t="shared" si="130"/>
        <v>0</v>
      </c>
      <c r="AO323" s="143"/>
      <c r="AP323" s="143"/>
      <c r="AQ323" s="143"/>
      <c r="AR323" s="146"/>
      <c r="AS323" s="224">
        <f t="shared" si="131"/>
        <v>0</v>
      </c>
      <c r="AT323" s="1133"/>
      <c r="AU323" s="126"/>
      <c r="AV323" s="126"/>
      <c r="AW323" s="126"/>
      <c r="AX323" s="126"/>
      <c r="AY323" s="126"/>
      <c r="AZ323" s="274"/>
      <c r="BA323" s="274"/>
      <c r="BB323" s="274"/>
      <c r="BC323" s="274"/>
      <c r="BD323" s="222">
        <f t="shared" si="132"/>
        <v>0</v>
      </c>
      <c r="BE323" s="456">
        <f t="shared" si="133"/>
        <v>0</v>
      </c>
      <c r="BF323" s="132"/>
      <c r="BG323" s="140">
        <f t="shared" si="134"/>
        <v>0</v>
      </c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30">
        <f t="shared" si="135"/>
        <v>0</v>
      </c>
      <c r="BV323" s="132"/>
    </row>
    <row r="324" ht="14.25" customHeight="1">
      <c r="A324" s="132"/>
      <c r="B324" s="215">
        <v>46310</v>
      </c>
      <c r="C324" s="133"/>
      <c r="D324" s="136"/>
      <c r="E324" s="135"/>
      <c r="F324" s="135"/>
      <c r="G324" s="147">
        <f t="shared" si="127"/>
        <v>0</v>
      </c>
      <c r="H324" s="768"/>
      <c r="I324" s="611"/>
      <c r="J324" s="611"/>
      <c r="K324" s="611"/>
      <c r="L324" s="611"/>
      <c r="M324" s="611"/>
      <c r="N324" s="143"/>
      <c r="O324" s="143"/>
      <c r="P324" s="143"/>
      <c r="Q324" s="143"/>
      <c r="R324" s="143"/>
      <c r="S324" s="143"/>
      <c r="T324" s="143"/>
      <c r="U324" s="143"/>
      <c r="V324" s="143"/>
      <c r="W324" s="103">
        <f t="shared" si="128"/>
        <v>0</v>
      </c>
      <c r="X324" s="611"/>
      <c r="Y324" s="611"/>
      <c r="Z324" s="611"/>
      <c r="AA324" s="611"/>
      <c r="AB324" s="611"/>
      <c r="AC324" s="143"/>
      <c r="AD324" s="143"/>
      <c r="AE324" s="143"/>
      <c r="AF324" s="143"/>
      <c r="AG324" s="143"/>
      <c r="AH324" s="143"/>
      <c r="AI324" s="143"/>
      <c r="AJ324" s="103">
        <f t="shared" si="129"/>
        <v>0</v>
      </c>
      <c r="AK324" s="136"/>
      <c r="AL324" s="136"/>
      <c r="AM324" s="136"/>
      <c r="AN324" s="105">
        <f t="shared" si="130"/>
        <v>0</v>
      </c>
      <c r="AO324" s="143"/>
      <c r="AP324" s="143"/>
      <c r="AQ324" s="143"/>
      <c r="AR324" s="146"/>
      <c r="AS324" s="224">
        <f t="shared" si="131"/>
        <v>0</v>
      </c>
      <c r="AT324" s="1133"/>
      <c r="AU324" s="126"/>
      <c r="AV324" s="126"/>
      <c r="AW324" s="126"/>
      <c r="AX324" s="126"/>
      <c r="AY324" s="126"/>
      <c r="AZ324" s="274"/>
      <c r="BA324" s="274"/>
      <c r="BB324" s="274"/>
      <c r="BC324" s="274"/>
      <c r="BD324" s="222">
        <f t="shared" si="132"/>
        <v>0</v>
      </c>
      <c r="BE324" s="456">
        <f t="shared" si="133"/>
        <v>0</v>
      </c>
      <c r="BF324" s="132"/>
      <c r="BG324" s="140">
        <f t="shared" si="134"/>
        <v>0</v>
      </c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30">
        <f t="shared" si="135"/>
        <v>0</v>
      </c>
      <c r="BV324" s="132"/>
    </row>
    <row r="325" ht="14.25" customHeight="1">
      <c r="A325" s="132"/>
      <c r="B325" s="215">
        <v>46311</v>
      </c>
      <c r="C325" s="133"/>
      <c r="D325" s="136"/>
      <c r="E325" s="135"/>
      <c r="F325" s="135"/>
      <c r="G325" s="147">
        <f t="shared" si="127"/>
        <v>0</v>
      </c>
      <c r="H325" s="768"/>
      <c r="I325" s="611"/>
      <c r="J325" s="611"/>
      <c r="K325" s="611"/>
      <c r="L325" s="611"/>
      <c r="M325" s="611"/>
      <c r="N325" s="143"/>
      <c r="O325" s="143"/>
      <c r="P325" s="143"/>
      <c r="Q325" s="143"/>
      <c r="R325" s="143"/>
      <c r="S325" s="143"/>
      <c r="T325" s="143"/>
      <c r="U325" s="143"/>
      <c r="V325" s="143"/>
      <c r="W325" s="103">
        <f t="shared" si="128"/>
        <v>0</v>
      </c>
      <c r="X325" s="611"/>
      <c r="Y325" s="611"/>
      <c r="Z325" s="611"/>
      <c r="AA325" s="611"/>
      <c r="AB325" s="611"/>
      <c r="AC325" s="143"/>
      <c r="AD325" s="143"/>
      <c r="AE325" s="143"/>
      <c r="AF325" s="143"/>
      <c r="AG325" s="143"/>
      <c r="AH325" s="143"/>
      <c r="AI325" s="143"/>
      <c r="AJ325" s="103">
        <f t="shared" si="129"/>
        <v>0</v>
      </c>
      <c r="AK325" s="136"/>
      <c r="AL325" s="136"/>
      <c r="AM325" s="136"/>
      <c r="AN325" s="105">
        <f t="shared" si="130"/>
        <v>0</v>
      </c>
      <c r="AO325" s="143"/>
      <c r="AP325" s="143"/>
      <c r="AQ325" s="143"/>
      <c r="AR325" s="146"/>
      <c r="AS325" s="224">
        <f t="shared" si="131"/>
        <v>0</v>
      </c>
      <c r="AT325" s="1133"/>
      <c r="AU325" s="126"/>
      <c r="AV325" s="126"/>
      <c r="AW325" s="126"/>
      <c r="AX325" s="126"/>
      <c r="AY325" s="126"/>
      <c r="AZ325" s="274"/>
      <c r="BA325" s="274"/>
      <c r="BB325" s="274"/>
      <c r="BC325" s="274"/>
      <c r="BD325" s="222">
        <f t="shared" si="132"/>
        <v>0</v>
      </c>
      <c r="BE325" s="456">
        <f t="shared" si="133"/>
        <v>0</v>
      </c>
      <c r="BF325" s="132"/>
      <c r="BG325" s="140">
        <f t="shared" si="134"/>
        <v>0</v>
      </c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30">
        <f t="shared" si="135"/>
        <v>0</v>
      </c>
      <c r="BV325" s="132"/>
    </row>
    <row r="326" ht="14.25" customHeight="1">
      <c r="A326" s="132"/>
      <c r="B326" s="215">
        <v>46312</v>
      </c>
      <c r="C326" s="133"/>
      <c r="D326" s="136"/>
      <c r="E326" s="135"/>
      <c r="F326" s="135"/>
      <c r="G326" s="147">
        <f t="shared" si="127"/>
        <v>0</v>
      </c>
      <c r="H326" s="768"/>
      <c r="I326" s="611"/>
      <c r="J326" s="611"/>
      <c r="K326" s="611"/>
      <c r="L326" s="611"/>
      <c r="M326" s="611"/>
      <c r="N326" s="143"/>
      <c r="O326" s="143"/>
      <c r="P326" s="143"/>
      <c r="Q326" s="143"/>
      <c r="R326" s="143"/>
      <c r="S326" s="143"/>
      <c r="T326" s="143"/>
      <c r="U326" s="143"/>
      <c r="V326" s="143"/>
      <c r="W326" s="103">
        <f t="shared" si="128"/>
        <v>0</v>
      </c>
      <c r="X326" s="611"/>
      <c r="Y326" s="611"/>
      <c r="Z326" s="611"/>
      <c r="AA326" s="611"/>
      <c r="AB326" s="611"/>
      <c r="AC326" s="143"/>
      <c r="AD326" s="143"/>
      <c r="AE326" s="143"/>
      <c r="AF326" s="143"/>
      <c r="AG326" s="143"/>
      <c r="AH326" s="143"/>
      <c r="AI326" s="143"/>
      <c r="AJ326" s="103">
        <f t="shared" si="129"/>
        <v>0</v>
      </c>
      <c r="AK326" s="136"/>
      <c r="AL326" s="136"/>
      <c r="AM326" s="136"/>
      <c r="AN326" s="105">
        <f t="shared" si="130"/>
        <v>0</v>
      </c>
      <c r="AO326" s="143"/>
      <c r="AP326" s="143"/>
      <c r="AQ326" s="143"/>
      <c r="AR326" s="146"/>
      <c r="AS326" s="224">
        <f t="shared" si="131"/>
        <v>0</v>
      </c>
      <c r="AT326" s="1133"/>
      <c r="AU326" s="126"/>
      <c r="AV326" s="126"/>
      <c r="AW326" s="126"/>
      <c r="AX326" s="126"/>
      <c r="AY326" s="126"/>
      <c r="AZ326" s="274"/>
      <c r="BA326" s="274"/>
      <c r="BB326" s="274"/>
      <c r="BC326" s="274"/>
      <c r="BD326" s="222">
        <f t="shared" si="132"/>
        <v>0</v>
      </c>
      <c r="BE326" s="456">
        <f t="shared" si="133"/>
        <v>0</v>
      </c>
      <c r="BF326" s="132"/>
      <c r="BG326" s="140">
        <f t="shared" si="134"/>
        <v>0</v>
      </c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30">
        <f t="shared" si="135"/>
        <v>0</v>
      </c>
      <c r="BV326" s="132"/>
    </row>
    <row r="327" ht="14.25" customHeight="1">
      <c r="A327" s="132"/>
      <c r="B327" s="215">
        <v>46313</v>
      </c>
      <c r="C327" s="133"/>
      <c r="D327" s="136"/>
      <c r="E327" s="135"/>
      <c r="F327" s="135"/>
      <c r="G327" s="147">
        <f t="shared" si="127"/>
        <v>0</v>
      </c>
      <c r="H327" s="768"/>
      <c r="I327" s="611"/>
      <c r="J327" s="611"/>
      <c r="K327" s="611"/>
      <c r="L327" s="611"/>
      <c r="M327" s="611"/>
      <c r="N327" s="143"/>
      <c r="O327" s="143"/>
      <c r="P327" s="143"/>
      <c r="Q327" s="143"/>
      <c r="R327" s="143"/>
      <c r="S327" s="143"/>
      <c r="T327" s="143"/>
      <c r="U327" s="143"/>
      <c r="V327" s="143"/>
      <c r="W327" s="103">
        <f t="shared" si="128"/>
        <v>0</v>
      </c>
      <c r="X327" s="611"/>
      <c r="Y327" s="611"/>
      <c r="Z327" s="611"/>
      <c r="AA327" s="611"/>
      <c r="AB327" s="611"/>
      <c r="AC327" s="143"/>
      <c r="AD327" s="143"/>
      <c r="AE327" s="143"/>
      <c r="AF327" s="143"/>
      <c r="AG327" s="143"/>
      <c r="AH327" s="143"/>
      <c r="AI327" s="143"/>
      <c r="AJ327" s="103">
        <f t="shared" si="129"/>
        <v>0</v>
      </c>
      <c r="AK327" s="136"/>
      <c r="AL327" s="136"/>
      <c r="AM327" s="136"/>
      <c r="AN327" s="105">
        <f t="shared" si="130"/>
        <v>0</v>
      </c>
      <c r="AO327" s="143"/>
      <c r="AP327" s="143"/>
      <c r="AQ327" s="143"/>
      <c r="AR327" s="146"/>
      <c r="AS327" s="224">
        <f t="shared" si="131"/>
        <v>0</v>
      </c>
      <c r="AT327" s="1133"/>
      <c r="AU327" s="126"/>
      <c r="AV327" s="126"/>
      <c r="AW327" s="126"/>
      <c r="AX327" s="126"/>
      <c r="AY327" s="126"/>
      <c r="AZ327" s="274"/>
      <c r="BA327" s="274"/>
      <c r="BB327" s="274"/>
      <c r="BC327" s="274"/>
      <c r="BD327" s="222">
        <f t="shared" si="132"/>
        <v>0</v>
      </c>
      <c r="BE327" s="456">
        <f t="shared" si="133"/>
        <v>0</v>
      </c>
      <c r="BF327" s="132"/>
      <c r="BG327" s="140">
        <f t="shared" si="134"/>
        <v>0</v>
      </c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30">
        <f t="shared" si="135"/>
        <v>0</v>
      </c>
      <c r="BV327" s="132"/>
    </row>
    <row r="328" ht="14.25" customHeight="1">
      <c r="A328" s="132"/>
      <c r="B328" s="215">
        <v>46314</v>
      </c>
      <c r="C328" s="133"/>
      <c r="D328" s="136"/>
      <c r="E328" s="135"/>
      <c r="F328" s="135"/>
      <c r="G328" s="147">
        <f t="shared" si="127"/>
        <v>0</v>
      </c>
      <c r="H328" s="768"/>
      <c r="I328" s="611"/>
      <c r="J328" s="611"/>
      <c r="K328" s="611"/>
      <c r="L328" s="611"/>
      <c r="M328" s="611"/>
      <c r="N328" s="143"/>
      <c r="O328" s="143"/>
      <c r="P328" s="143"/>
      <c r="Q328" s="143"/>
      <c r="R328" s="143"/>
      <c r="S328" s="143"/>
      <c r="T328" s="143"/>
      <c r="U328" s="143"/>
      <c r="V328" s="143"/>
      <c r="W328" s="103">
        <f t="shared" si="128"/>
        <v>0</v>
      </c>
      <c r="X328" s="611"/>
      <c r="Y328" s="611"/>
      <c r="Z328" s="611"/>
      <c r="AA328" s="611"/>
      <c r="AB328" s="611"/>
      <c r="AC328" s="143"/>
      <c r="AD328" s="143"/>
      <c r="AE328" s="143"/>
      <c r="AF328" s="143"/>
      <c r="AG328" s="143"/>
      <c r="AH328" s="143"/>
      <c r="AI328" s="143"/>
      <c r="AJ328" s="103">
        <f t="shared" si="129"/>
        <v>0</v>
      </c>
      <c r="AK328" s="136"/>
      <c r="AL328" s="136"/>
      <c r="AM328" s="136"/>
      <c r="AN328" s="105">
        <f t="shared" si="130"/>
        <v>0</v>
      </c>
      <c r="AO328" s="143"/>
      <c r="AP328" s="143"/>
      <c r="AQ328" s="143"/>
      <c r="AR328" s="146"/>
      <c r="AS328" s="224">
        <f t="shared" si="131"/>
        <v>0</v>
      </c>
      <c r="AT328" s="1133"/>
      <c r="AU328" s="126"/>
      <c r="AV328" s="126"/>
      <c r="AW328" s="126"/>
      <c r="AX328" s="126"/>
      <c r="AY328" s="126"/>
      <c r="AZ328" s="274"/>
      <c r="BA328" s="274"/>
      <c r="BB328" s="274"/>
      <c r="BC328" s="274"/>
      <c r="BD328" s="222">
        <f t="shared" si="132"/>
        <v>0</v>
      </c>
      <c r="BE328" s="456">
        <f t="shared" si="133"/>
        <v>0</v>
      </c>
      <c r="BF328" s="132"/>
      <c r="BG328" s="140">
        <f t="shared" si="134"/>
        <v>0</v>
      </c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30">
        <f t="shared" si="135"/>
        <v>0</v>
      </c>
      <c r="BV328" s="132"/>
    </row>
    <row r="329" ht="14.25" customHeight="1">
      <c r="A329" s="132"/>
      <c r="B329" s="215">
        <v>46315</v>
      </c>
      <c r="C329" s="133"/>
      <c r="D329" s="136"/>
      <c r="E329" s="135"/>
      <c r="F329" s="135"/>
      <c r="G329" s="147">
        <f t="shared" si="127"/>
        <v>0</v>
      </c>
      <c r="H329" s="768"/>
      <c r="I329" s="611"/>
      <c r="J329" s="611"/>
      <c r="K329" s="611"/>
      <c r="L329" s="611"/>
      <c r="M329" s="611"/>
      <c r="N329" s="143"/>
      <c r="O329" s="143"/>
      <c r="P329" s="143"/>
      <c r="Q329" s="143"/>
      <c r="R329" s="143"/>
      <c r="S329" s="143"/>
      <c r="T329" s="143"/>
      <c r="U329" s="143"/>
      <c r="V329" s="143"/>
      <c r="W329" s="103">
        <f t="shared" si="128"/>
        <v>0</v>
      </c>
      <c r="X329" s="611"/>
      <c r="Y329" s="611"/>
      <c r="Z329" s="611"/>
      <c r="AA329" s="611"/>
      <c r="AB329" s="611"/>
      <c r="AC329" s="143"/>
      <c r="AD329" s="143"/>
      <c r="AE329" s="143"/>
      <c r="AF329" s="143"/>
      <c r="AG329" s="143"/>
      <c r="AH329" s="143"/>
      <c r="AI329" s="143"/>
      <c r="AJ329" s="103">
        <f t="shared" si="129"/>
        <v>0</v>
      </c>
      <c r="AK329" s="136"/>
      <c r="AL329" s="136"/>
      <c r="AM329" s="136"/>
      <c r="AN329" s="105">
        <f t="shared" si="130"/>
        <v>0</v>
      </c>
      <c r="AO329" s="143"/>
      <c r="AP329" s="143"/>
      <c r="AQ329" s="143"/>
      <c r="AR329" s="146"/>
      <c r="AS329" s="224">
        <f t="shared" si="131"/>
        <v>0</v>
      </c>
      <c r="AT329" s="1133"/>
      <c r="AU329" s="126"/>
      <c r="AV329" s="126"/>
      <c r="AW329" s="126"/>
      <c r="AX329" s="126"/>
      <c r="AY329" s="126"/>
      <c r="AZ329" s="274"/>
      <c r="BA329" s="274"/>
      <c r="BB329" s="274"/>
      <c r="BC329" s="274"/>
      <c r="BD329" s="222">
        <f t="shared" si="132"/>
        <v>0</v>
      </c>
      <c r="BE329" s="456">
        <f t="shared" si="133"/>
        <v>0</v>
      </c>
      <c r="BF329" s="132"/>
      <c r="BG329" s="140">
        <f t="shared" si="134"/>
        <v>0</v>
      </c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30">
        <f t="shared" si="135"/>
        <v>0</v>
      </c>
      <c r="BV329" s="132"/>
    </row>
    <row r="330" ht="14.25" customHeight="1">
      <c r="A330" s="132"/>
      <c r="B330" s="215">
        <v>46316</v>
      </c>
      <c r="C330" s="133"/>
      <c r="D330" s="136"/>
      <c r="E330" s="135"/>
      <c r="F330" s="135"/>
      <c r="G330" s="147">
        <f t="shared" si="127"/>
        <v>0</v>
      </c>
      <c r="H330" s="768"/>
      <c r="I330" s="611"/>
      <c r="J330" s="611"/>
      <c r="K330" s="611"/>
      <c r="L330" s="611"/>
      <c r="M330" s="611"/>
      <c r="N330" s="143"/>
      <c r="O330" s="143"/>
      <c r="P330" s="143"/>
      <c r="Q330" s="143"/>
      <c r="R330" s="143"/>
      <c r="S330" s="143"/>
      <c r="T330" s="143"/>
      <c r="U330" s="143"/>
      <c r="V330" s="143"/>
      <c r="W330" s="103">
        <f t="shared" si="128"/>
        <v>0</v>
      </c>
      <c r="X330" s="611"/>
      <c r="Y330" s="611"/>
      <c r="Z330" s="611"/>
      <c r="AA330" s="611"/>
      <c r="AB330" s="611"/>
      <c r="AC330" s="143"/>
      <c r="AD330" s="143"/>
      <c r="AE330" s="143"/>
      <c r="AF330" s="143"/>
      <c r="AG330" s="143"/>
      <c r="AH330" s="143"/>
      <c r="AI330" s="143"/>
      <c r="AJ330" s="103">
        <f t="shared" si="129"/>
        <v>0</v>
      </c>
      <c r="AK330" s="136"/>
      <c r="AL330" s="136"/>
      <c r="AM330" s="136"/>
      <c r="AN330" s="105">
        <f t="shared" si="130"/>
        <v>0</v>
      </c>
      <c r="AO330" s="143"/>
      <c r="AP330" s="143"/>
      <c r="AQ330" s="143"/>
      <c r="AR330" s="146"/>
      <c r="AS330" s="224">
        <f t="shared" si="131"/>
        <v>0</v>
      </c>
      <c r="AT330" s="1133"/>
      <c r="AU330" s="126"/>
      <c r="AV330" s="126"/>
      <c r="AW330" s="126"/>
      <c r="AX330" s="126"/>
      <c r="AY330" s="126"/>
      <c r="AZ330" s="274"/>
      <c r="BA330" s="274"/>
      <c r="BB330" s="274"/>
      <c r="BC330" s="274"/>
      <c r="BD330" s="222">
        <f t="shared" si="132"/>
        <v>0</v>
      </c>
      <c r="BE330" s="456">
        <f t="shared" si="133"/>
        <v>0</v>
      </c>
      <c r="BF330" s="132"/>
      <c r="BG330" s="140">
        <f t="shared" si="134"/>
        <v>0</v>
      </c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30">
        <f t="shared" si="135"/>
        <v>0</v>
      </c>
      <c r="BV330" s="132"/>
    </row>
    <row r="331" ht="14.25" customHeight="1">
      <c r="A331" s="132"/>
      <c r="B331" s="215">
        <v>46317</v>
      </c>
      <c r="C331" s="133"/>
      <c r="D331" s="136"/>
      <c r="E331" s="135"/>
      <c r="F331" s="135"/>
      <c r="G331" s="147">
        <f t="shared" si="127"/>
        <v>0</v>
      </c>
      <c r="H331" s="768"/>
      <c r="I331" s="611"/>
      <c r="J331" s="611"/>
      <c r="K331" s="611"/>
      <c r="L331" s="611"/>
      <c r="M331" s="611"/>
      <c r="N331" s="143"/>
      <c r="O331" s="143"/>
      <c r="P331" s="143"/>
      <c r="Q331" s="143"/>
      <c r="R331" s="143"/>
      <c r="S331" s="143"/>
      <c r="T331" s="143"/>
      <c r="U331" s="143"/>
      <c r="V331" s="143"/>
      <c r="W331" s="103">
        <f t="shared" si="128"/>
        <v>0</v>
      </c>
      <c r="X331" s="611"/>
      <c r="Y331" s="611"/>
      <c r="Z331" s="611"/>
      <c r="AA331" s="611"/>
      <c r="AB331" s="611"/>
      <c r="AC331" s="143"/>
      <c r="AD331" s="143"/>
      <c r="AE331" s="143"/>
      <c r="AF331" s="143"/>
      <c r="AG331" s="143"/>
      <c r="AH331" s="143"/>
      <c r="AI331" s="143"/>
      <c r="AJ331" s="103">
        <f t="shared" si="129"/>
        <v>0</v>
      </c>
      <c r="AK331" s="136"/>
      <c r="AL331" s="136"/>
      <c r="AM331" s="136"/>
      <c r="AN331" s="105">
        <f t="shared" si="130"/>
        <v>0</v>
      </c>
      <c r="AO331" s="143"/>
      <c r="AP331" s="143"/>
      <c r="AQ331" s="143"/>
      <c r="AR331" s="146"/>
      <c r="AS331" s="224">
        <f t="shared" si="131"/>
        <v>0</v>
      </c>
      <c r="AT331" s="1133"/>
      <c r="AU331" s="126"/>
      <c r="AV331" s="126"/>
      <c r="AW331" s="126"/>
      <c r="AX331" s="126"/>
      <c r="AY331" s="126"/>
      <c r="AZ331" s="274"/>
      <c r="BA331" s="274"/>
      <c r="BB331" s="274"/>
      <c r="BC331" s="274"/>
      <c r="BD331" s="222">
        <f t="shared" si="132"/>
        <v>0</v>
      </c>
      <c r="BE331" s="456">
        <f t="shared" si="133"/>
        <v>0</v>
      </c>
      <c r="BF331" s="132"/>
      <c r="BG331" s="140">
        <f t="shared" si="134"/>
        <v>0</v>
      </c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30">
        <f t="shared" si="135"/>
        <v>0</v>
      </c>
      <c r="BV331" s="132"/>
    </row>
    <row r="332" ht="14.25" customHeight="1">
      <c r="A332" s="132"/>
      <c r="B332" s="215">
        <v>46318</v>
      </c>
      <c r="C332" s="133"/>
      <c r="D332" s="136"/>
      <c r="E332" s="135"/>
      <c r="F332" s="135"/>
      <c r="G332" s="147">
        <f t="shared" si="127"/>
        <v>0</v>
      </c>
      <c r="H332" s="768"/>
      <c r="I332" s="611"/>
      <c r="J332" s="611"/>
      <c r="K332" s="611"/>
      <c r="L332" s="611"/>
      <c r="M332" s="611"/>
      <c r="N332" s="143"/>
      <c r="O332" s="143"/>
      <c r="P332" s="143"/>
      <c r="Q332" s="143"/>
      <c r="R332" s="143"/>
      <c r="S332" s="143"/>
      <c r="T332" s="143"/>
      <c r="U332" s="143"/>
      <c r="V332" s="143"/>
      <c r="W332" s="103">
        <f t="shared" si="128"/>
        <v>0</v>
      </c>
      <c r="X332" s="611"/>
      <c r="Y332" s="611"/>
      <c r="Z332" s="611"/>
      <c r="AA332" s="611"/>
      <c r="AB332" s="611"/>
      <c r="AC332" s="143"/>
      <c r="AD332" s="143"/>
      <c r="AE332" s="143"/>
      <c r="AF332" s="143"/>
      <c r="AG332" s="143"/>
      <c r="AH332" s="143"/>
      <c r="AI332" s="143"/>
      <c r="AJ332" s="103">
        <f t="shared" si="129"/>
        <v>0</v>
      </c>
      <c r="AK332" s="136"/>
      <c r="AL332" s="136"/>
      <c r="AM332" s="136"/>
      <c r="AN332" s="105">
        <f t="shared" si="130"/>
        <v>0</v>
      </c>
      <c r="AO332" s="143"/>
      <c r="AP332" s="143"/>
      <c r="AQ332" s="143"/>
      <c r="AR332" s="146"/>
      <c r="AS332" s="224">
        <f t="shared" si="131"/>
        <v>0</v>
      </c>
      <c r="AT332" s="1133"/>
      <c r="AU332" s="126"/>
      <c r="AV332" s="126"/>
      <c r="AW332" s="126"/>
      <c r="AX332" s="126"/>
      <c r="AY332" s="126"/>
      <c r="AZ332" s="274"/>
      <c r="BA332" s="274"/>
      <c r="BB332" s="274"/>
      <c r="BC332" s="274"/>
      <c r="BD332" s="222">
        <f t="shared" si="132"/>
        <v>0</v>
      </c>
      <c r="BE332" s="456">
        <f t="shared" si="133"/>
        <v>0</v>
      </c>
      <c r="BF332" s="132"/>
      <c r="BG332" s="140">
        <f t="shared" si="134"/>
        <v>0</v>
      </c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30">
        <f t="shared" si="135"/>
        <v>0</v>
      </c>
      <c r="BV332" s="132"/>
    </row>
    <row r="333" ht="14.25" customHeight="1">
      <c r="A333" s="132"/>
      <c r="B333" s="215">
        <v>46319</v>
      </c>
      <c r="C333" s="133"/>
      <c r="D333" s="136"/>
      <c r="E333" s="135"/>
      <c r="F333" s="135"/>
      <c r="G333" s="147">
        <f t="shared" si="127"/>
        <v>0</v>
      </c>
      <c r="H333" s="768"/>
      <c r="I333" s="611"/>
      <c r="J333" s="611"/>
      <c r="K333" s="611"/>
      <c r="L333" s="611"/>
      <c r="M333" s="611"/>
      <c r="N333" s="143"/>
      <c r="O333" s="143"/>
      <c r="P333" s="143"/>
      <c r="Q333" s="143"/>
      <c r="R333" s="143"/>
      <c r="S333" s="143"/>
      <c r="T333" s="143"/>
      <c r="U333" s="143"/>
      <c r="V333" s="143"/>
      <c r="W333" s="103">
        <f t="shared" si="128"/>
        <v>0</v>
      </c>
      <c r="X333" s="611"/>
      <c r="Y333" s="611"/>
      <c r="Z333" s="611"/>
      <c r="AA333" s="611"/>
      <c r="AB333" s="611"/>
      <c r="AC333" s="143"/>
      <c r="AD333" s="143"/>
      <c r="AE333" s="143"/>
      <c r="AF333" s="143"/>
      <c r="AG333" s="143"/>
      <c r="AH333" s="143"/>
      <c r="AI333" s="143"/>
      <c r="AJ333" s="103">
        <f t="shared" si="129"/>
        <v>0</v>
      </c>
      <c r="AK333" s="136"/>
      <c r="AL333" s="136"/>
      <c r="AM333" s="136"/>
      <c r="AN333" s="105">
        <f t="shared" si="130"/>
        <v>0</v>
      </c>
      <c r="AO333" s="143"/>
      <c r="AP333" s="143"/>
      <c r="AQ333" s="143"/>
      <c r="AR333" s="146"/>
      <c r="AS333" s="224">
        <f t="shared" si="131"/>
        <v>0</v>
      </c>
      <c r="AT333" s="1133"/>
      <c r="AU333" s="126"/>
      <c r="AV333" s="126"/>
      <c r="AW333" s="126"/>
      <c r="AX333" s="126"/>
      <c r="AY333" s="126"/>
      <c r="AZ333" s="274"/>
      <c r="BA333" s="274"/>
      <c r="BB333" s="274"/>
      <c r="BC333" s="274"/>
      <c r="BD333" s="222">
        <f t="shared" si="132"/>
        <v>0</v>
      </c>
      <c r="BE333" s="456">
        <f t="shared" si="133"/>
        <v>0</v>
      </c>
      <c r="BF333" s="132"/>
      <c r="BG333" s="140">
        <f t="shared" si="134"/>
        <v>0</v>
      </c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30">
        <f t="shared" si="135"/>
        <v>0</v>
      </c>
      <c r="BV333" s="132"/>
    </row>
    <row r="334" ht="14.25" customHeight="1">
      <c r="A334" s="132"/>
      <c r="B334" s="215">
        <v>46320</v>
      </c>
      <c r="C334" s="133"/>
      <c r="D334" s="136"/>
      <c r="E334" s="135"/>
      <c r="F334" s="135"/>
      <c r="G334" s="147">
        <f t="shared" si="127"/>
        <v>0</v>
      </c>
      <c r="H334" s="768"/>
      <c r="I334" s="611"/>
      <c r="J334" s="611"/>
      <c r="K334" s="611"/>
      <c r="L334" s="611"/>
      <c r="M334" s="611"/>
      <c r="N334" s="143"/>
      <c r="O334" s="143"/>
      <c r="P334" s="143"/>
      <c r="Q334" s="143"/>
      <c r="R334" s="143"/>
      <c r="S334" s="143"/>
      <c r="T334" s="143"/>
      <c r="U334" s="143"/>
      <c r="V334" s="143"/>
      <c r="W334" s="103">
        <f t="shared" si="128"/>
        <v>0</v>
      </c>
      <c r="X334" s="611"/>
      <c r="Y334" s="611"/>
      <c r="Z334" s="611"/>
      <c r="AA334" s="611"/>
      <c r="AB334" s="611"/>
      <c r="AC334" s="143"/>
      <c r="AD334" s="143"/>
      <c r="AE334" s="143"/>
      <c r="AF334" s="143"/>
      <c r="AG334" s="143"/>
      <c r="AH334" s="143"/>
      <c r="AI334" s="143"/>
      <c r="AJ334" s="103">
        <f t="shared" si="129"/>
        <v>0</v>
      </c>
      <c r="AK334" s="136"/>
      <c r="AL334" s="136"/>
      <c r="AM334" s="136"/>
      <c r="AN334" s="105">
        <f t="shared" si="130"/>
        <v>0</v>
      </c>
      <c r="AO334" s="143"/>
      <c r="AP334" s="143"/>
      <c r="AQ334" s="143"/>
      <c r="AR334" s="146"/>
      <c r="AS334" s="224">
        <f t="shared" si="131"/>
        <v>0</v>
      </c>
      <c r="AT334" s="1133"/>
      <c r="AU334" s="126"/>
      <c r="AV334" s="126"/>
      <c r="AW334" s="126"/>
      <c r="AX334" s="126"/>
      <c r="AY334" s="126"/>
      <c r="AZ334" s="274"/>
      <c r="BA334" s="274"/>
      <c r="BB334" s="274"/>
      <c r="BC334" s="274"/>
      <c r="BD334" s="222">
        <f t="shared" si="132"/>
        <v>0</v>
      </c>
      <c r="BE334" s="456">
        <f t="shared" si="133"/>
        <v>0</v>
      </c>
      <c r="BF334" s="132"/>
      <c r="BG334" s="140">
        <f t="shared" si="134"/>
        <v>0</v>
      </c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30">
        <f t="shared" si="135"/>
        <v>0</v>
      </c>
      <c r="BV334" s="132"/>
    </row>
    <row r="335" ht="14.25" customHeight="1">
      <c r="A335" s="132"/>
      <c r="B335" s="215">
        <v>46321</v>
      </c>
      <c r="C335" s="133"/>
      <c r="D335" s="136"/>
      <c r="E335" s="135"/>
      <c r="F335" s="135"/>
      <c r="G335" s="147">
        <f t="shared" si="127"/>
        <v>0</v>
      </c>
      <c r="H335" s="768"/>
      <c r="I335" s="611"/>
      <c r="J335" s="611"/>
      <c r="K335" s="611"/>
      <c r="L335" s="611"/>
      <c r="M335" s="611"/>
      <c r="N335" s="143"/>
      <c r="O335" s="143"/>
      <c r="P335" s="143"/>
      <c r="Q335" s="143"/>
      <c r="R335" s="143"/>
      <c r="S335" s="143"/>
      <c r="T335" s="143"/>
      <c r="U335" s="143"/>
      <c r="V335" s="143"/>
      <c r="W335" s="103">
        <f t="shared" si="128"/>
        <v>0</v>
      </c>
      <c r="X335" s="611"/>
      <c r="Y335" s="611"/>
      <c r="Z335" s="611"/>
      <c r="AA335" s="611"/>
      <c r="AB335" s="611"/>
      <c r="AC335" s="143"/>
      <c r="AD335" s="143"/>
      <c r="AE335" s="143"/>
      <c r="AF335" s="143"/>
      <c r="AG335" s="143"/>
      <c r="AH335" s="143"/>
      <c r="AI335" s="143"/>
      <c r="AJ335" s="103">
        <f t="shared" si="129"/>
        <v>0</v>
      </c>
      <c r="AK335" s="136"/>
      <c r="AL335" s="136"/>
      <c r="AM335" s="136"/>
      <c r="AN335" s="105">
        <f t="shared" si="130"/>
        <v>0</v>
      </c>
      <c r="AO335" s="143"/>
      <c r="AP335" s="143"/>
      <c r="AQ335" s="143"/>
      <c r="AR335" s="146"/>
      <c r="AS335" s="224">
        <f t="shared" si="131"/>
        <v>0</v>
      </c>
      <c r="AT335" s="1133"/>
      <c r="AU335" s="126"/>
      <c r="AV335" s="126"/>
      <c r="AW335" s="126"/>
      <c r="AX335" s="126"/>
      <c r="AY335" s="126"/>
      <c r="AZ335" s="274"/>
      <c r="BA335" s="274"/>
      <c r="BB335" s="274"/>
      <c r="BC335" s="274"/>
      <c r="BD335" s="222">
        <f t="shared" si="132"/>
        <v>0</v>
      </c>
      <c r="BE335" s="456">
        <f t="shared" si="133"/>
        <v>0</v>
      </c>
      <c r="BF335" s="132"/>
      <c r="BG335" s="140">
        <f t="shared" si="134"/>
        <v>0</v>
      </c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30">
        <f t="shared" si="135"/>
        <v>0</v>
      </c>
      <c r="BV335" s="132"/>
    </row>
    <row r="336" ht="15.75" customHeight="1">
      <c r="A336" s="132"/>
      <c r="B336" s="215">
        <v>46322</v>
      </c>
      <c r="C336" s="133"/>
      <c r="D336" s="136"/>
      <c r="E336" s="135"/>
      <c r="F336" s="135"/>
      <c r="G336" s="147">
        <f t="shared" si="127"/>
        <v>0</v>
      </c>
      <c r="H336" s="768"/>
      <c r="I336" s="611"/>
      <c r="J336" s="611"/>
      <c r="K336" s="611"/>
      <c r="L336" s="611"/>
      <c r="M336" s="611"/>
      <c r="N336" s="143"/>
      <c r="O336" s="143"/>
      <c r="P336" s="143"/>
      <c r="Q336" s="143"/>
      <c r="R336" s="143"/>
      <c r="S336" s="143"/>
      <c r="T336" s="143"/>
      <c r="U336" s="143"/>
      <c r="V336" s="143"/>
      <c r="W336" s="103">
        <f t="shared" si="128"/>
        <v>0</v>
      </c>
      <c r="X336" s="611"/>
      <c r="Y336" s="611"/>
      <c r="Z336" s="611"/>
      <c r="AA336" s="611"/>
      <c r="AB336" s="611"/>
      <c r="AC336" s="143"/>
      <c r="AD336" s="143"/>
      <c r="AE336" s="143"/>
      <c r="AF336" s="143"/>
      <c r="AG336" s="143"/>
      <c r="AH336" s="143"/>
      <c r="AI336" s="143"/>
      <c r="AJ336" s="103">
        <f t="shared" si="129"/>
        <v>0</v>
      </c>
      <c r="AK336" s="136"/>
      <c r="AL336" s="136"/>
      <c r="AM336" s="136"/>
      <c r="AN336" s="105">
        <f t="shared" si="130"/>
        <v>0</v>
      </c>
      <c r="AO336" s="143"/>
      <c r="AP336" s="143"/>
      <c r="AQ336" s="143"/>
      <c r="AR336" s="146"/>
      <c r="AS336" s="224">
        <f t="shared" si="131"/>
        <v>0</v>
      </c>
      <c r="AT336" s="1133"/>
      <c r="AU336" s="126"/>
      <c r="AV336" s="126"/>
      <c r="AW336" s="126"/>
      <c r="AX336" s="126"/>
      <c r="AY336" s="126"/>
      <c r="AZ336" s="274"/>
      <c r="BA336" s="274"/>
      <c r="BB336" s="274"/>
      <c r="BC336" s="274"/>
      <c r="BD336" s="222">
        <f t="shared" si="132"/>
        <v>0</v>
      </c>
      <c r="BE336" s="456">
        <f t="shared" si="133"/>
        <v>0</v>
      </c>
      <c r="BF336" s="132"/>
      <c r="BG336" s="140">
        <f t="shared" si="134"/>
        <v>0</v>
      </c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30">
        <f t="shared" si="135"/>
        <v>0</v>
      </c>
      <c r="BV336" s="132"/>
    </row>
    <row r="337" ht="14.25" customHeight="1">
      <c r="A337" s="671"/>
      <c r="B337" s="215">
        <v>46323</v>
      </c>
      <c r="C337" s="133"/>
      <c r="D337" s="136"/>
      <c r="E337" s="135"/>
      <c r="F337" s="135"/>
      <c r="G337" s="147">
        <f t="shared" si="127"/>
        <v>0</v>
      </c>
      <c r="H337" s="768"/>
      <c r="I337" s="611"/>
      <c r="J337" s="611"/>
      <c r="K337" s="611"/>
      <c r="L337" s="611"/>
      <c r="M337" s="611"/>
      <c r="N337" s="143"/>
      <c r="O337" s="143"/>
      <c r="P337" s="143"/>
      <c r="Q337" s="143"/>
      <c r="R337" s="143"/>
      <c r="S337" s="143"/>
      <c r="T337" s="143"/>
      <c r="U337" s="143"/>
      <c r="V337" s="143"/>
      <c r="W337" s="103">
        <f t="shared" si="128"/>
        <v>0</v>
      </c>
      <c r="X337" s="611"/>
      <c r="Y337" s="611"/>
      <c r="Z337" s="611"/>
      <c r="AA337" s="611"/>
      <c r="AB337" s="611"/>
      <c r="AC337" s="143"/>
      <c r="AD337" s="143"/>
      <c r="AE337" s="143"/>
      <c r="AF337" s="143"/>
      <c r="AG337" s="143"/>
      <c r="AH337" s="143"/>
      <c r="AI337" s="143"/>
      <c r="AJ337" s="103">
        <f t="shared" si="129"/>
        <v>0</v>
      </c>
      <c r="AK337" s="136"/>
      <c r="AL337" s="136"/>
      <c r="AM337" s="136"/>
      <c r="AN337" s="105">
        <f t="shared" si="130"/>
        <v>0</v>
      </c>
      <c r="AO337" s="143"/>
      <c r="AP337" s="143"/>
      <c r="AQ337" s="143"/>
      <c r="AR337" s="146"/>
      <c r="AS337" s="224">
        <f t="shared" si="131"/>
        <v>0</v>
      </c>
      <c r="AT337" s="1133"/>
      <c r="AU337" s="126"/>
      <c r="AV337" s="126"/>
      <c r="AW337" s="126"/>
      <c r="AX337" s="126"/>
      <c r="AY337" s="126"/>
      <c r="AZ337" s="274"/>
      <c r="BA337" s="274"/>
      <c r="BB337" s="274"/>
      <c r="BC337" s="274"/>
      <c r="BD337" s="222">
        <f t="shared" si="132"/>
        <v>0</v>
      </c>
      <c r="BE337" s="456">
        <f t="shared" si="133"/>
        <v>0</v>
      </c>
      <c r="BF337" s="132"/>
      <c r="BG337" s="140">
        <f t="shared" si="134"/>
        <v>0</v>
      </c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30">
        <f t="shared" si="135"/>
        <v>0</v>
      </c>
      <c r="BV337" s="132"/>
    </row>
    <row r="338" ht="14.25" customHeight="1">
      <c r="A338" s="132"/>
      <c r="B338" s="215">
        <v>46324</v>
      </c>
      <c r="C338" s="133"/>
      <c r="D338" s="136"/>
      <c r="E338" s="135"/>
      <c r="F338" s="135"/>
      <c r="G338" s="147">
        <f t="shared" si="127"/>
        <v>0</v>
      </c>
      <c r="H338" s="768"/>
      <c r="I338" s="611"/>
      <c r="J338" s="611"/>
      <c r="K338" s="611"/>
      <c r="L338" s="611"/>
      <c r="M338" s="611"/>
      <c r="N338" s="143"/>
      <c r="O338" s="143"/>
      <c r="P338" s="143"/>
      <c r="Q338" s="143"/>
      <c r="R338" s="143"/>
      <c r="S338" s="143"/>
      <c r="T338" s="143"/>
      <c r="U338" s="143"/>
      <c r="V338" s="143"/>
      <c r="W338" s="103">
        <f t="shared" si="128"/>
        <v>0</v>
      </c>
      <c r="X338" s="611"/>
      <c r="Y338" s="611"/>
      <c r="Z338" s="611"/>
      <c r="AA338" s="611"/>
      <c r="AB338" s="611"/>
      <c r="AC338" s="143"/>
      <c r="AD338" s="143"/>
      <c r="AE338" s="143"/>
      <c r="AF338" s="143"/>
      <c r="AG338" s="143"/>
      <c r="AH338" s="143"/>
      <c r="AI338" s="143"/>
      <c r="AJ338" s="103">
        <f t="shared" si="129"/>
        <v>0</v>
      </c>
      <c r="AK338" s="136"/>
      <c r="AL338" s="136"/>
      <c r="AM338" s="136"/>
      <c r="AN338" s="105">
        <f t="shared" si="130"/>
        <v>0</v>
      </c>
      <c r="AO338" s="143"/>
      <c r="AP338" s="143"/>
      <c r="AQ338" s="143"/>
      <c r="AR338" s="146"/>
      <c r="AS338" s="224">
        <f t="shared" si="131"/>
        <v>0</v>
      </c>
      <c r="AT338" s="1133"/>
      <c r="AU338" s="126"/>
      <c r="AV338" s="126"/>
      <c r="AW338" s="126"/>
      <c r="AX338" s="126"/>
      <c r="AY338" s="126"/>
      <c r="AZ338" s="274"/>
      <c r="BA338" s="274"/>
      <c r="BB338" s="274"/>
      <c r="BC338" s="274"/>
      <c r="BD338" s="222">
        <f t="shared" si="132"/>
        <v>0</v>
      </c>
      <c r="BE338" s="456">
        <f t="shared" si="133"/>
        <v>0</v>
      </c>
      <c r="BF338" s="132"/>
      <c r="BG338" s="140">
        <f t="shared" si="134"/>
        <v>0</v>
      </c>
      <c r="BH338" s="141"/>
      <c r="BI338" s="141"/>
      <c r="BJ338" s="141"/>
      <c r="BK338" s="141"/>
      <c r="BL338" s="141"/>
      <c r="BM338" s="141"/>
      <c r="BN338" s="141"/>
      <c r="BO338" s="141"/>
      <c r="BP338" s="141"/>
      <c r="BQ338" s="141"/>
      <c r="BR338" s="141"/>
      <c r="BS338" s="141"/>
      <c r="BT338" s="141"/>
      <c r="BU338" s="130">
        <f t="shared" si="135"/>
        <v>0</v>
      </c>
      <c r="BV338" s="132"/>
    </row>
    <row r="339" ht="14.25" customHeight="1">
      <c r="A339" s="132"/>
      <c r="B339" s="215">
        <v>46325</v>
      </c>
      <c r="C339" s="133"/>
      <c r="D339" s="136"/>
      <c r="E339" s="135"/>
      <c r="F339" s="135"/>
      <c r="G339" s="147">
        <f t="shared" si="127"/>
        <v>0</v>
      </c>
      <c r="H339" s="768"/>
      <c r="I339" s="611"/>
      <c r="J339" s="611"/>
      <c r="K339" s="611"/>
      <c r="L339" s="611"/>
      <c r="M339" s="611"/>
      <c r="N339" s="143"/>
      <c r="O339" s="143"/>
      <c r="P339" s="143"/>
      <c r="Q339" s="143"/>
      <c r="R339" s="143"/>
      <c r="S339" s="143"/>
      <c r="T339" s="143"/>
      <c r="U339" s="143"/>
      <c r="V339" s="143"/>
      <c r="W339" s="103">
        <f t="shared" si="128"/>
        <v>0</v>
      </c>
      <c r="X339" s="611"/>
      <c r="Y339" s="611"/>
      <c r="Z339" s="611"/>
      <c r="AA339" s="611"/>
      <c r="AB339" s="611"/>
      <c r="AC339" s="143"/>
      <c r="AD339" s="143"/>
      <c r="AE339" s="143"/>
      <c r="AF339" s="143"/>
      <c r="AG339" s="143"/>
      <c r="AH339" s="143"/>
      <c r="AI339" s="143"/>
      <c r="AJ339" s="103">
        <f t="shared" si="129"/>
        <v>0</v>
      </c>
      <c r="AK339" s="136"/>
      <c r="AL339" s="136"/>
      <c r="AM339" s="136"/>
      <c r="AN339" s="105">
        <f t="shared" si="130"/>
        <v>0</v>
      </c>
      <c r="AO339" s="143"/>
      <c r="AP339" s="143"/>
      <c r="AQ339" s="143"/>
      <c r="AR339" s="146"/>
      <c r="AS339" s="224">
        <f t="shared" si="131"/>
        <v>0</v>
      </c>
      <c r="AT339" s="1133"/>
      <c r="AU339" s="126"/>
      <c r="AV339" s="126"/>
      <c r="AW339" s="126"/>
      <c r="AX339" s="126"/>
      <c r="AY339" s="126"/>
      <c r="AZ339" s="274"/>
      <c r="BA339" s="274"/>
      <c r="BB339" s="274"/>
      <c r="BC339" s="274"/>
      <c r="BD339" s="222">
        <f t="shared" si="132"/>
        <v>0</v>
      </c>
      <c r="BE339" s="456">
        <f t="shared" si="133"/>
        <v>0</v>
      </c>
      <c r="BF339" s="132"/>
      <c r="BG339" s="140">
        <f t="shared" si="134"/>
        <v>0</v>
      </c>
      <c r="BH339" s="141"/>
      <c r="BI339" s="141"/>
      <c r="BJ339" s="141"/>
      <c r="BK339" s="141"/>
      <c r="BL339" s="141"/>
      <c r="BM339" s="141"/>
      <c r="BN339" s="141"/>
      <c r="BO339" s="141"/>
      <c r="BP339" s="141"/>
      <c r="BQ339" s="141"/>
      <c r="BR339" s="141"/>
      <c r="BS339" s="141"/>
      <c r="BT339" s="141"/>
      <c r="BU339" s="130">
        <f t="shared" si="135"/>
        <v>0</v>
      </c>
      <c r="BV339" s="132"/>
    </row>
    <row r="340" ht="14.25" customHeight="1">
      <c r="A340" s="3"/>
      <c r="B340" s="215">
        <v>46326</v>
      </c>
      <c r="C340" s="277"/>
      <c r="D340" s="278"/>
      <c r="E340" s="279"/>
      <c r="F340" s="279"/>
      <c r="G340" s="147">
        <f t="shared" si="127"/>
        <v>0</v>
      </c>
      <c r="H340" s="788"/>
      <c r="I340" s="613"/>
      <c r="J340" s="613"/>
      <c r="K340" s="613"/>
      <c r="L340" s="613"/>
      <c r="M340" s="613"/>
      <c r="N340" s="157"/>
      <c r="O340" s="157"/>
      <c r="P340" s="157"/>
      <c r="Q340" s="157"/>
      <c r="R340" s="157"/>
      <c r="S340" s="157"/>
      <c r="T340" s="157"/>
      <c r="U340" s="157"/>
      <c r="V340" s="157"/>
      <c r="W340" s="103">
        <f t="shared" si="128"/>
        <v>0</v>
      </c>
      <c r="X340" s="613"/>
      <c r="Y340" s="613"/>
      <c r="Z340" s="613"/>
      <c r="AA340" s="613"/>
      <c r="AB340" s="613"/>
      <c r="AC340" s="157"/>
      <c r="AD340" s="157"/>
      <c r="AE340" s="157"/>
      <c r="AF340" s="157"/>
      <c r="AG340" s="157"/>
      <c r="AH340" s="157"/>
      <c r="AI340" s="157"/>
      <c r="AJ340" s="103">
        <f t="shared" si="129"/>
        <v>0</v>
      </c>
      <c r="AK340" s="278"/>
      <c r="AL340" s="278"/>
      <c r="AM340" s="278"/>
      <c r="AN340" s="105">
        <f t="shared" si="130"/>
        <v>0</v>
      </c>
      <c r="AO340" s="157"/>
      <c r="AP340" s="157"/>
      <c r="AQ340" s="157"/>
      <c r="AR340" s="160"/>
      <c r="AS340" s="224">
        <f t="shared" si="131"/>
        <v>0</v>
      </c>
      <c r="AT340" s="1134"/>
      <c r="AU340" s="138"/>
      <c r="AV340" s="138"/>
      <c r="AW340" s="138"/>
      <c r="AX340" s="138"/>
      <c r="AY340" s="138"/>
      <c r="AZ340" s="296"/>
      <c r="BA340" s="296"/>
      <c r="BB340" s="296"/>
      <c r="BC340" s="296"/>
      <c r="BD340" s="222">
        <f t="shared" si="132"/>
        <v>0</v>
      </c>
      <c r="BE340" s="1139">
        <f t="shared" si="133"/>
        <v>0</v>
      </c>
      <c r="BF340" s="3"/>
      <c r="BG340" s="281">
        <f t="shared" si="134"/>
        <v>0</v>
      </c>
      <c r="BH340" s="282"/>
      <c r="BI340" s="282"/>
      <c r="BJ340" s="282"/>
      <c r="BK340" s="282"/>
      <c r="BL340" s="282"/>
      <c r="BM340" s="282"/>
      <c r="BN340" s="282"/>
      <c r="BO340" s="282"/>
      <c r="BP340" s="282"/>
      <c r="BQ340" s="129"/>
      <c r="BR340" s="282"/>
      <c r="BS340" s="282"/>
      <c r="BT340" s="282"/>
      <c r="BU340" s="164">
        <f t="shared" si="135"/>
        <v>0</v>
      </c>
      <c r="BV340" s="3"/>
    </row>
    <row r="341" ht="14.25" customHeight="1">
      <c r="A341" s="3"/>
      <c r="B341" s="2" t="s">
        <v>84</v>
      </c>
      <c r="C341" s="166">
        <f ref="C341:I341" t="shared" si="136">SUM(C310:C340)</f>
        <v>0</v>
      </c>
      <c r="D341" s="166">
        <f t="shared" si="136"/>
        <v>0</v>
      </c>
      <c r="E341" s="166">
        <f t="shared" si="136"/>
        <v>0</v>
      </c>
      <c r="F341" s="166">
        <f t="shared" si="136"/>
        <v>0</v>
      </c>
      <c r="G341" s="166">
        <f t="shared" si="136"/>
        <v>0</v>
      </c>
      <c r="H341" s="166">
        <f t="shared" si="136"/>
        <v>0</v>
      </c>
      <c r="I341" s="166">
        <f t="shared" si="136"/>
        <v>0</v>
      </c>
      <c r="J341" s="166"/>
      <c r="K341" s="166"/>
      <c r="L341" s="166"/>
      <c r="M341" s="166"/>
      <c r="N341" s="166">
        <f ref="N341:W341" t="shared" si="137">SUM(N310:N340)</f>
        <v>0</v>
      </c>
      <c r="O341" s="166">
        <f t="shared" si="137"/>
        <v>0</v>
      </c>
      <c r="P341" s="166">
        <f t="shared" si="137"/>
        <v>0</v>
      </c>
      <c r="Q341" s="166">
        <f t="shared" si="137"/>
        <v>0</v>
      </c>
      <c r="R341" s="166">
        <f t="shared" si="137"/>
        <v>0</v>
      </c>
      <c r="S341" s="166">
        <f t="shared" si="137"/>
        <v>0</v>
      </c>
      <c r="T341" s="166">
        <f t="shared" si="137"/>
        <v>0</v>
      </c>
      <c r="U341" s="166">
        <f t="shared" si="137"/>
        <v>0</v>
      </c>
      <c r="V341" s="166">
        <f t="shared" si="137"/>
        <v>0</v>
      </c>
      <c r="W341" s="166">
        <f t="shared" si="137"/>
        <v>0</v>
      </c>
      <c r="X341" s="617"/>
      <c r="Y341" s="617"/>
      <c r="Z341" s="617"/>
      <c r="AA341" s="617"/>
      <c r="AB341" s="617"/>
      <c r="AC341" s="166">
        <f ref="AC341:AL341" t="shared" si="138">SUM(AC310:AC340)</f>
        <v>0</v>
      </c>
      <c r="AD341" s="166">
        <f t="shared" si="138"/>
        <v>0</v>
      </c>
      <c r="AE341" s="166">
        <f t="shared" si="138"/>
        <v>0</v>
      </c>
      <c r="AF341" s="166">
        <f t="shared" si="138"/>
        <v>0</v>
      </c>
      <c r="AG341" s="166">
        <f t="shared" si="138"/>
        <v>0</v>
      </c>
      <c r="AH341" s="166">
        <f t="shared" si="138"/>
        <v>0</v>
      </c>
      <c r="AI341" s="166">
        <f t="shared" si="138"/>
        <v>0</v>
      </c>
      <c r="AJ341" s="166">
        <f t="shared" si="138"/>
        <v>0</v>
      </c>
      <c r="AK341" s="166">
        <f t="shared" si="138"/>
        <v>0</v>
      </c>
      <c r="AL341" s="166">
        <f t="shared" si="138"/>
        <v>0</v>
      </c>
      <c r="AM341" s="166"/>
      <c r="AN341" s="166">
        <f ref="AN341:BE341" t="shared" si="139">SUM(AN310:AN340)</f>
        <v>0</v>
      </c>
      <c r="AO341" s="166">
        <f t="shared" si="139"/>
        <v>0</v>
      </c>
      <c r="AP341" s="166">
        <f t="shared" si="139"/>
        <v>0</v>
      </c>
      <c r="AQ341" s="166">
        <f t="shared" si="139"/>
        <v>0</v>
      </c>
      <c r="AR341" s="166">
        <f t="shared" si="139"/>
        <v>0</v>
      </c>
      <c r="AS341" s="166">
        <f t="shared" si="139"/>
        <v>0</v>
      </c>
      <c r="AT341" s="165">
        <f t="shared" si="139"/>
        <v>0</v>
      </c>
      <c r="AU341" s="165">
        <f t="shared" si="139"/>
        <v>0</v>
      </c>
      <c r="AV341" s="165">
        <f t="shared" si="139"/>
        <v>0</v>
      </c>
      <c r="AW341" s="165">
        <f t="shared" si="139"/>
        <v>0</v>
      </c>
      <c r="AX341" s="165">
        <f t="shared" si="139"/>
        <v>0</v>
      </c>
      <c r="AY341" s="165">
        <f t="shared" si="139"/>
        <v>0</v>
      </c>
      <c r="AZ341" s="166">
        <f t="shared" si="139"/>
        <v>0</v>
      </c>
      <c r="BA341" s="166">
        <f t="shared" si="139"/>
        <v>0</v>
      </c>
      <c r="BB341" s="166">
        <f t="shared" si="139"/>
        <v>0</v>
      </c>
      <c r="BC341" s="166">
        <f t="shared" si="139"/>
        <v>0</v>
      </c>
      <c r="BD341" s="166">
        <f t="shared" si="139"/>
        <v>0</v>
      </c>
      <c r="BE341" s="617">
        <f t="shared" si="139"/>
        <v>0</v>
      </c>
      <c r="BF341" s="132"/>
      <c r="BG341" s="166">
        <f ref="BG341:BU341" t="shared" si="140">SUM(BG310:BG340)</f>
        <v>0</v>
      </c>
      <c r="BH341" s="166">
        <f t="shared" si="140"/>
        <v>0</v>
      </c>
      <c r="BI341" s="166">
        <f t="shared" si="140"/>
        <v>0</v>
      </c>
      <c r="BJ341" s="166">
        <f t="shared" si="140"/>
        <v>0</v>
      </c>
      <c r="BK341" s="166">
        <f t="shared" si="140"/>
        <v>0</v>
      </c>
      <c r="BL341" s="166">
        <f t="shared" si="140"/>
        <v>0</v>
      </c>
      <c r="BM341" s="166">
        <f t="shared" si="140"/>
        <v>0</v>
      </c>
      <c r="BN341" s="166">
        <f t="shared" si="140"/>
        <v>0</v>
      </c>
      <c r="BO341" s="166">
        <f t="shared" si="140"/>
        <v>0</v>
      </c>
      <c r="BP341" s="166">
        <f t="shared" si="140"/>
        <v>0</v>
      </c>
      <c r="BQ341" s="166">
        <f t="shared" si="140"/>
        <v>0</v>
      </c>
      <c r="BR341" s="166">
        <f t="shared" si="140"/>
        <v>0</v>
      </c>
      <c r="BS341" s="166">
        <f t="shared" si="140"/>
        <v>0</v>
      </c>
      <c r="BT341" s="166">
        <f t="shared" si="140"/>
        <v>0</v>
      </c>
      <c r="BU341" s="166">
        <f t="shared" si="140"/>
        <v>0</v>
      </c>
      <c r="BV341" s="132"/>
    </row>
    <row r="342" ht="14.25" customHeight="1">
      <c r="A342" s="1"/>
      <c r="B342" s="2"/>
      <c r="C342" s="3"/>
      <c r="D342" s="3"/>
      <c r="E342" s="3"/>
      <c r="F342" s="3"/>
      <c r="G342" s="4"/>
      <c r="H342" s="1"/>
      <c r="I342" s="1"/>
      <c r="J342" s="1"/>
      <c r="K342" s="1"/>
      <c r="L342" s="1"/>
      <c r="M342" s="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1"/>
      <c r="Y342" s="1"/>
      <c r="Z342" s="1"/>
      <c r="AA342" s="1"/>
      <c r="AB342" s="1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4"/>
      <c r="AO342" s="3"/>
      <c r="AP342" s="3"/>
      <c r="AQ342" s="3"/>
      <c r="AR342" s="3"/>
      <c r="AS342" s="3"/>
      <c r="AT342" s="1"/>
      <c r="AU342" s="3"/>
      <c r="AV342" s="3"/>
      <c r="AW342" s="3"/>
      <c r="AX342" s="3"/>
      <c r="AY342" s="3"/>
      <c r="AZ342" s="3"/>
      <c r="BA342" s="3"/>
      <c r="BB342" s="3"/>
      <c r="BC342" s="3"/>
      <c r="BD342" s="4"/>
      <c r="BE342" s="1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</row>
    <row r="343" ht="14.25" customHeight="1">
      <c r="A343" s="1"/>
      <c r="B343" s="2"/>
      <c r="C343" s="3"/>
      <c r="D343" s="3"/>
      <c r="E343" s="3"/>
      <c r="F343" s="3"/>
      <c r="G343" s="4"/>
      <c r="H343" s="1"/>
      <c r="I343" s="1"/>
      <c r="J343" s="1"/>
      <c r="K343" s="1"/>
      <c r="L343" s="1"/>
      <c r="M343" s="1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1"/>
      <c r="Y343" s="1"/>
      <c r="Z343" s="1"/>
      <c r="AA343" s="1"/>
      <c r="AB343" s="1"/>
      <c r="AC343" s="3"/>
      <c r="AD343" s="3"/>
      <c r="AE343" s="3"/>
      <c r="AF343" s="3"/>
      <c r="AG343" s="3"/>
      <c r="AH343" s="3"/>
      <c r="AI343" s="3"/>
      <c r="AJ343" s="176"/>
      <c r="AK343" s="3"/>
      <c r="AL343" s="3"/>
      <c r="AM343" s="3"/>
      <c r="AN343" s="4"/>
      <c r="AO343" s="3"/>
      <c r="AP343" s="3"/>
      <c r="AQ343" s="3"/>
      <c r="AR343" s="3"/>
      <c r="AS343" s="3"/>
      <c r="AT343" s="1"/>
      <c r="AU343" s="3"/>
      <c r="AV343" s="3"/>
      <c r="AW343" s="3"/>
      <c r="AX343" s="3"/>
      <c r="AY343" s="3"/>
      <c r="AZ343" s="3"/>
      <c r="BA343" s="3"/>
      <c r="BB343" s="3"/>
      <c r="BC343" s="3"/>
      <c r="BD343" s="305"/>
      <c r="BE343" s="1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</row>
    <row r="344" ht="14.25" customHeight="1">
      <c r="A344" s="3"/>
      <c r="B344" s="491">
        <v>45962</v>
      </c>
      <c r="C344" s="94"/>
      <c r="D344" s="104"/>
      <c r="E344" s="97"/>
      <c r="F344" s="97"/>
      <c r="G344" s="265">
        <f ref="G344:G373" t="shared" si="141">+C344+D344+E344+F344</f>
        <v>0</v>
      </c>
      <c r="H344" s="778"/>
      <c r="I344" s="619"/>
      <c r="J344" s="619"/>
      <c r="K344" s="619"/>
      <c r="L344" s="619"/>
      <c r="M344" s="619"/>
      <c r="N344" s="186"/>
      <c r="O344" s="186"/>
      <c r="P344" s="186"/>
      <c r="Q344" s="186"/>
      <c r="R344" s="186"/>
      <c r="S344" s="186"/>
      <c r="T344" s="186"/>
      <c r="U344" s="186"/>
      <c r="V344" s="186"/>
      <c r="W344" s="103">
        <f ref="W344:W373" t="shared" si="142">SUM(H344:V344)</f>
        <v>0</v>
      </c>
      <c r="X344" s="619"/>
      <c r="Y344" s="619"/>
      <c r="Z344" s="619"/>
      <c r="AA344" s="619"/>
      <c r="AB344" s="619"/>
      <c r="AC344" s="186"/>
      <c r="AD344" s="186"/>
      <c r="AE344" s="186"/>
      <c r="AF344" s="186"/>
      <c r="AG344" s="186"/>
      <c r="AH344" s="186"/>
      <c r="AI344" s="186"/>
      <c r="AJ344" s="103">
        <f ref="AJ344:AJ373" t="shared" si="143">SUM(X344:AI344)</f>
        <v>0</v>
      </c>
      <c r="AK344" s="104"/>
      <c r="AL344" s="104"/>
      <c r="AM344" s="104"/>
      <c r="AN344" s="191">
        <f ref="AN344:AN373" t="shared" si="144">+AK344+AL344+AM344</f>
        <v>0</v>
      </c>
      <c r="AO344" s="186"/>
      <c r="AP344" s="186"/>
      <c r="AQ344" s="186"/>
      <c r="AR344" s="193"/>
      <c r="AS344" s="266">
        <f ref="AS344:AS373" t="shared" si="145">+G344-W344-AJ344-AN344-AO344-AP344-AQ344-AR344</f>
        <v>0</v>
      </c>
      <c r="AT344" s="427"/>
      <c r="AU344" s="109"/>
      <c r="AV344" s="109"/>
      <c r="AW344" s="109"/>
      <c r="AX344" s="127"/>
      <c r="AY344" s="109"/>
      <c r="AZ344" s="127"/>
      <c r="BA344" s="127"/>
      <c r="BB344" s="127"/>
      <c r="BC344" s="109"/>
      <c r="BD344" s="222">
        <f ref="BD344:BD373" t="shared" si="146">SUM(AT344:BC344)-BB344</f>
        <v>0</v>
      </c>
      <c r="BE344" s="1051">
        <f ref="BE344:BE373" t="shared" si="147">+AS344-BD344</f>
        <v>0</v>
      </c>
      <c r="BF344" s="3"/>
      <c r="BG344" s="114">
        <f ref="BG344:BG373" t="shared" si="148">SUM(BH344:BT344)</f>
        <v>0</v>
      </c>
      <c r="BH344" s="115"/>
      <c r="BI344" s="115"/>
      <c r="BJ344" s="115"/>
      <c r="BK344" s="115"/>
      <c r="BL344" s="115"/>
      <c r="BM344" s="115"/>
      <c r="BN344" s="115"/>
      <c r="BO344" s="115"/>
      <c r="BP344" s="115"/>
      <c r="BQ344" s="115"/>
      <c r="BR344" s="115"/>
      <c r="BS344" s="115"/>
      <c r="BT344" s="115"/>
      <c r="BU344" s="116">
        <f ref="BU344:BU373" t="shared" si="149">+BE344-BG344</f>
        <v>0</v>
      </c>
      <c r="BV344" s="3"/>
    </row>
    <row r="345" ht="14.25" customHeight="1">
      <c r="A345" s="3"/>
      <c r="B345" s="491">
        <v>45963</v>
      </c>
      <c r="C345" s="118"/>
      <c r="D345" s="123"/>
      <c r="E345" s="120"/>
      <c r="F345" s="120"/>
      <c r="G345" s="147">
        <f t="shared" si="141"/>
        <v>0</v>
      </c>
      <c r="H345" s="768"/>
      <c r="I345" s="611"/>
      <c r="J345" s="611"/>
      <c r="K345" s="611"/>
      <c r="L345" s="611"/>
      <c r="M345" s="611"/>
      <c r="N345" s="143"/>
      <c r="O345" s="143"/>
      <c r="P345" s="143"/>
      <c r="Q345" s="143"/>
      <c r="R345" s="143"/>
      <c r="S345" s="143"/>
      <c r="T345" s="143"/>
      <c r="U345" s="143"/>
      <c r="V345" s="143"/>
      <c r="W345" s="103">
        <f t="shared" si="142"/>
        <v>0</v>
      </c>
      <c r="X345" s="611"/>
      <c r="Y345" s="611"/>
      <c r="Z345" s="611"/>
      <c r="AA345" s="611"/>
      <c r="AB345" s="611"/>
      <c r="AC345" s="143"/>
      <c r="AD345" s="143"/>
      <c r="AE345" s="143"/>
      <c r="AF345" s="143"/>
      <c r="AG345" s="143"/>
      <c r="AH345" s="143"/>
      <c r="AI345" s="143"/>
      <c r="AJ345" s="103">
        <f t="shared" si="143"/>
        <v>0</v>
      </c>
      <c r="AK345" s="123"/>
      <c r="AL345" s="123"/>
      <c r="AM345" s="123"/>
      <c r="AN345" s="105">
        <f t="shared" si="144"/>
        <v>0</v>
      </c>
      <c r="AO345" s="143"/>
      <c r="AP345" s="143"/>
      <c r="AQ345" s="143"/>
      <c r="AR345" s="146"/>
      <c r="AS345" s="224">
        <f t="shared" si="145"/>
        <v>0</v>
      </c>
      <c r="AT345" s="433"/>
      <c r="AU345" s="126"/>
      <c r="AV345" s="126"/>
      <c r="AW345" s="126"/>
      <c r="AX345" s="127"/>
      <c r="AY345" s="126"/>
      <c r="AZ345" s="127"/>
      <c r="BA345" s="127"/>
      <c r="BB345" s="127"/>
      <c r="BC345" s="126"/>
      <c r="BD345" s="222">
        <f t="shared" si="146"/>
        <v>0</v>
      </c>
      <c r="BE345" s="1055">
        <f t="shared" si="147"/>
        <v>0</v>
      </c>
      <c r="BF345" s="3"/>
      <c r="BG345" s="113">
        <f t="shared" si="148"/>
        <v>0</v>
      </c>
      <c r="BH345" s="129"/>
      <c r="BI345" s="129"/>
      <c r="BJ345" s="129"/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30">
        <f t="shared" si="149"/>
        <v>0</v>
      </c>
      <c r="BV345" s="3"/>
    </row>
    <row r="346" ht="14.25" customHeight="1">
      <c r="A346" s="3"/>
      <c r="B346" s="491">
        <v>45964</v>
      </c>
      <c r="C346" s="118"/>
      <c r="D346" s="123"/>
      <c r="E346" s="120"/>
      <c r="F346" s="120"/>
      <c r="G346" s="147">
        <f t="shared" si="141"/>
        <v>0</v>
      </c>
      <c r="H346" s="768"/>
      <c r="I346" s="611"/>
      <c r="J346" s="611"/>
      <c r="K346" s="611"/>
      <c r="L346" s="611"/>
      <c r="M346" s="611"/>
      <c r="N346" s="143"/>
      <c r="O346" s="143"/>
      <c r="P346" s="143"/>
      <c r="Q346" s="143"/>
      <c r="R346" s="143"/>
      <c r="S346" s="143"/>
      <c r="T346" s="143"/>
      <c r="U346" s="143"/>
      <c r="V346" s="143"/>
      <c r="W346" s="103">
        <f t="shared" si="142"/>
        <v>0</v>
      </c>
      <c r="X346" s="611"/>
      <c r="Y346" s="611"/>
      <c r="Z346" s="611"/>
      <c r="AA346" s="611"/>
      <c r="AB346" s="611"/>
      <c r="AC346" s="143"/>
      <c r="AD346" s="143"/>
      <c r="AE346" s="143"/>
      <c r="AF346" s="143"/>
      <c r="AG346" s="143"/>
      <c r="AH346" s="143"/>
      <c r="AI346" s="143"/>
      <c r="AJ346" s="103">
        <f t="shared" si="143"/>
        <v>0</v>
      </c>
      <c r="AK346" s="123"/>
      <c r="AL346" s="123"/>
      <c r="AM346" s="123"/>
      <c r="AN346" s="105">
        <f t="shared" si="144"/>
        <v>0</v>
      </c>
      <c r="AO346" s="143"/>
      <c r="AP346" s="143"/>
      <c r="AQ346" s="143"/>
      <c r="AR346" s="146"/>
      <c r="AS346" s="224">
        <f t="shared" si="145"/>
        <v>0</v>
      </c>
      <c r="AT346" s="433"/>
      <c r="AU346" s="126"/>
      <c r="AV346" s="126"/>
      <c r="AW346" s="126"/>
      <c r="AX346" s="127"/>
      <c r="AY346" s="126"/>
      <c r="AZ346" s="127"/>
      <c r="BA346" s="127"/>
      <c r="BB346" s="127"/>
      <c r="BC346" s="126"/>
      <c r="BD346" s="222">
        <f t="shared" si="146"/>
        <v>0</v>
      </c>
      <c r="BE346" s="1055">
        <f t="shared" si="147"/>
        <v>0</v>
      </c>
      <c r="BF346" s="3"/>
      <c r="BG346" s="113">
        <f t="shared" si="148"/>
        <v>0</v>
      </c>
      <c r="BH346" s="129"/>
      <c r="BI346" s="129"/>
      <c r="BJ346" s="129"/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30">
        <f t="shared" si="149"/>
        <v>0</v>
      </c>
      <c r="BV346" s="3"/>
    </row>
    <row r="347" ht="14.25" customHeight="1">
      <c r="A347" s="3"/>
      <c r="B347" s="491">
        <v>45965</v>
      </c>
      <c r="C347" s="118"/>
      <c r="D347" s="123"/>
      <c r="E347" s="120"/>
      <c r="F347" s="120"/>
      <c r="G347" s="147">
        <f t="shared" si="141"/>
        <v>0</v>
      </c>
      <c r="H347" s="768"/>
      <c r="I347" s="611"/>
      <c r="J347" s="611"/>
      <c r="K347" s="611"/>
      <c r="L347" s="611"/>
      <c r="M347" s="611"/>
      <c r="N347" s="143"/>
      <c r="O347" s="143"/>
      <c r="P347" s="143"/>
      <c r="Q347" s="143"/>
      <c r="R347" s="143"/>
      <c r="S347" s="143"/>
      <c r="T347" s="143"/>
      <c r="U347" s="143"/>
      <c r="V347" s="143"/>
      <c r="W347" s="103">
        <f t="shared" si="142"/>
        <v>0</v>
      </c>
      <c r="X347" s="611"/>
      <c r="Y347" s="611"/>
      <c r="Z347" s="611"/>
      <c r="AA347" s="611"/>
      <c r="AB347" s="611"/>
      <c r="AC347" s="143"/>
      <c r="AD347" s="143"/>
      <c r="AE347" s="143"/>
      <c r="AF347" s="143"/>
      <c r="AG347" s="143"/>
      <c r="AH347" s="143"/>
      <c r="AI347" s="143"/>
      <c r="AJ347" s="103">
        <f t="shared" si="143"/>
        <v>0</v>
      </c>
      <c r="AK347" s="123"/>
      <c r="AL347" s="123"/>
      <c r="AM347" s="123"/>
      <c r="AN347" s="105">
        <f t="shared" si="144"/>
        <v>0</v>
      </c>
      <c r="AO347" s="143"/>
      <c r="AP347" s="143"/>
      <c r="AQ347" s="143"/>
      <c r="AR347" s="146"/>
      <c r="AS347" s="224">
        <f t="shared" si="145"/>
        <v>0</v>
      </c>
      <c r="AT347" s="433"/>
      <c r="AU347" s="126"/>
      <c r="AV347" s="126"/>
      <c r="AW347" s="126"/>
      <c r="AX347" s="127"/>
      <c r="AY347" s="126"/>
      <c r="AZ347" s="127"/>
      <c r="BA347" s="127"/>
      <c r="BB347" s="127"/>
      <c r="BC347" s="126"/>
      <c r="BD347" s="222">
        <f t="shared" si="146"/>
        <v>0</v>
      </c>
      <c r="BE347" s="1055">
        <f t="shared" si="147"/>
        <v>0</v>
      </c>
      <c r="BF347" s="3"/>
      <c r="BG347" s="113">
        <f t="shared" si="148"/>
        <v>0</v>
      </c>
      <c r="BH347" s="129"/>
      <c r="BI347" s="129"/>
      <c r="BJ347" s="129"/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30">
        <f t="shared" si="149"/>
        <v>0</v>
      </c>
      <c r="BV347" s="3"/>
    </row>
    <row r="348" ht="14.25" customHeight="1">
      <c r="A348" s="3"/>
      <c r="B348" s="491">
        <v>45966</v>
      </c>
      <c r="C348" s="118"/>
      <c r="D348" s="123"/>
      <c r="E348" s="120"/>
      <c r="F348" s="120"/>
      <c r="G348" s="147">
        <f t="shared" si="141"/>
        <v>0</v>
      </c>
      <c r="H348" s="768"/>
      <c r="I348" s="611"/>
      <c r="J348" s="611"/>
      <c r="K348" s="611"/>
      <c r="L348" s="611"/>
      <c r="M348" s="611"/>
      <c r="N348" s="143"/>
      <c r="O348" s="143"/>
      <c r="P348" s="143"/>
      <c r="Q348" s="143"/>
      <c r="R348" s="143"/>
      <c r="S348" s="143"/>
      <c r="T348" s="143"/>
      <c r="U348" s="143"/>
      <c r="V348" s="143"/>
      <c r="W348" s="103">
        <f t="shared" si="142"/>
        <v>0</v>
      </c>
      <c r="X348" s="611"/>
      <c r="Y348" s="611"/>
      <c r="Z348" s="611"/>
      <c r="AA348" s="611"/>
      <c r="AB348" s="611"/>
      <c r="AC348" s="143"/>
      <c r="AD348" s="143"/>
      <c r="AE348" s="143"/>
      <c r="AF348" s="143"/>
      <c r="AG348" s="143"/>
      <c r="AH348" s="143"/>
      <c r="AI348" s="143"/>
      <c r="AJ348" s="103">
        <f t="shared" si="143"/>
        <v>0</v>
      </c>
      <c r="AK348" s="123"/>
      <c r="AL348" s="123"/>
      <c r="AM348" s="123"/>
      <c r="AN348" s="105">
        <f t="shared" si="144"/>
        <v>0</v>
      </c>
      <c r="AO348" s="143"/>
      <c r="AP348" s="143"/>
      <c r="AQ348" s="143"/>
      <c r="AR348" s="146"/>
      <c r="AS348" s="224">
        <f t="shared" si="145"/>
        <v>0</v>
      </c>
      <c r="AT348" s="433"/>
      <c r="AU348" s="126"/>
      <c r="AV348" s="126"/>
      <c r="AW348" s="126"/>
      <c r="AX348" s="127"/>
      <c r="AY348" s="126"/>
      <c r="AZ348" s="127"/>
      <c r="BA348" s="127"/>
      <c r="BB348" s="127"/>
      <c r="BC348" s="126"/>
      <c r="BD348" s="222">
        <f t="shared" si="146"/>
        <v>0</v>
      </c>
      <c r="BE348" s="1055">
        <f t="shared" si="147"/>
        <v>0</v>
      </c>
      <c r="BF348" s="3"/>
      <c r="BG348" s="113">
        <f t="shared" si="148"/>
        <v>0</v>
      </c>
      <c r="BH348" s="129"/>
      <c r="BI348" s="129"/>
      <c r="BJ348" s="129"/>
      <c r="BK348" s="129"/>
      <c r="BL348" s="129"/>
      <c r="BM348" s="129"/>
      <c r="BN348" s="129"/>
      <c r="BO348" s="129"/>
      <c r="BP348" s="129"/>
      <c r="BQ348" s="129"/>
      <c r="BR348" s="129"/>
      <c r="BS348" s="129"/>
      <c r="BT348" s="129"/>
      <c r="BU348" s="130">
        <f t="shared" si="149"/>
        <v>0</v>
      </c>
      <c r="BV348" s="3"/>
    </row>
    <row r="349" ht="14.25" customHeight="1">
      <c r="A349" s="3"/>
      <c r="B349" s="491">
        <v>45967</v>
      </c>
      <c r="C349" s="118"/>
      <c r="D349" s="123"/>
      <c r="E349" s="120"/>
      <c r="F349" s="120"/>
      <c r="G349" s="147">
        <f t="shared" si="141"/>
        <v>0</v>
      </c>
      <c r="H349" s="768"/>
      <c r="I349" s="611"/>
      <c r="J349" s="611"/>
      <c r="K349" s="611"/>
      <c r="L349" s="611"/>
      <c r="M349" s="611"/>
      <c r="N349" s="143"/>
      <c r="O349" s="143"/>
      <c r="P349" s="143"/>
      <c r="Q349" s="143"/>
      <c r="R349" s="143"/>
      <c r="S349" s="143"/>
      <c r="T349" s="143"/>
      <c r="U349" s="143"/>
      <c r="V349" s="143"/>
      <c r="W349" s="103">
        <f t="shared" si="142"/>
        <v>0</v>
      </c>
      <c r="X349" s="611"/>
      <c r="Y349" s="611"/>
      <c r="Z349" s="611"/>
      <c r="AA349" s="611"/>
      <c r="AB349" s="611"/>
      <c r="AC349" s="143"/>
      <c r="AD349" s="143"/>
      <c r="AE349" s="143"/>
      <c r="AF349" s="143"/>
      <c r="AG349" s="143"/>
      <c r="AH349" s="143"/>
      <c r="AI349" s="143"/>
      <c r="AJ349" s="103">
        <f t="shared" si="143"/>
        <v>0</v>
      </c>
      <c r="AK349" s="123"/>
      <c r="AL349" s="123"/>
      <c r="AM349" s="123"/>
      <c r="AN349" s="105">
        <f t="shared" si="144"/>
        <v>0</v>
      </c>
      <c r="AO349" s="143"/>
      <c r="AP349" s="143"/>
      <c r="AQ349" s="143"/>
      <c r="AR349" s="146"/>
      <c r="AS349" s="224">
        <f t="shared" si="145"/>
        <v>0</v>
      </c>
      <c r="AT349" s="433"/>
      <c r="AU349" s="126"/>
      <c r="AV349" s="126"/>
      <c r="AW349" s="126"/>
      <c r="AX349" s="127"/>
      <c r="AY349" s="126"/>
      <c r="AZ349" s="127"/>
      <c r="BA349" s="127"/>
      <c r="BB349" s="127"/>
      <c r="BC349" s="126"/>
      <c r="BD349" s="222">
        <f t="shared" si="146"/>
        <v>0</v>
      </c>
      <c r="BE349" s="1055">
        <f t="shared" si="147"/>
        <v>0</v>
      </c>
      <c r="BF349" s="3"/>
      <c r="BG349" s="113">
        <f t="shared" si="148"/>
        <v>0</v>
      </c>
      <c r="BH349" s="129"/>
      <c r="BI349" s="129"/>
      <c r="BJ349" s="129"/>
      <c r="BK349" s="129"/>
      <c r="BL349" s="129"/>
      <c r="BM349" s="129"/>
      <c r="BN349" s="129"/>
      <c r="BO349" s="129"/>
      <c r="BP349" s="129"/>
      <c r="BQ349" s="129"/>
      <c r="BR349" s="129"/>
      <c r="BS349" s="129"/>
      <c r="BT349" s="129"/>
      <c r="BU349" s="130">
        <f t="shared" si="149"/>
        <v>0</v>
      </c>
      <c r="BV349" s="3"/>
    </row>
    <row r="350" ht="14.25" customHeight="1">
      <c r="A350" s="132"/>
      <c r="B350" s="491">
        <v>45968</v>
      </c>
      <c r="C350" s="133"/>
      <c r="D350" s="136"/>
      <c r="E350" s="135"/>
      <c r="F350" s="135"/>
      <c r="G350" s="147">
        <f t="shared" si="141"/>
        <v>0</v>
      </c>
      <c r="H350" s="768"/>
      <c r="I350" s="611"/>
      <c r="J350" s="611"/>
      <c r="K350" s="611"/>
      <c r="L350" s="611"/>
      <c r="M350" s="611"/>
      <c r="N350" s="143"/>
      <c r="O350" s="143"/>
      <c r="P350" s="143"/>
      <c r="Q350" s="143"/>
      <c r="R350" s="143"/>
      <c r="S350" s="143"/>
      <c r="T350" s="143"/>
      <c r="U350" s="143"/>
      <c r="V350" s="143"/>
      <c r="W350" s="103">
        <f t="shared" si="142"/>
        <v>0</v>
      </c>
      <c r="X350" s="611"/>
      <c r="Y350" s="611"/>
      <c r="Z350" s="611"/>
      <c r="AA350" s="611"/>
      <c r="AB350" s="611"/>
      <c r="AC350" s="143"/>
      <c r="AD350" s="143"/>
      <c r="AE350" s="143"/>
      <c r="AF350" s="143"/>
      <c r="AG350" s="143"/>
      <c r="AH350" s="143"/>
      <c r="AI350" s="143"/>
      <c r="AJ350" s="103">
        <f t="shared" si="143"/>
        <v>0</v>
      </c>
      <c r="AK350" s="136"/>
      <c r="AL350" s="136"/>
      <c r="AM350" s="136"/>
      <c r="AN350" s="105">
        <f t="shared" si="144"/>
        <v>0</v>
      </c>
      <c r="AO350" s="143"/>
      <c r="AP350" s="143"/>
      <c r="AQ350" s="143"/>
      <c r="AR350" s="146"/>
      <c r="AS350" s="224">
        <f t="shared" si="145"/>
        <v>0</v>
      </c>
      <c r="AT350" s="433"/>
      <c r="AU350" s="126"/>
      <c r="AV350" s="126"/>
      <c r="AW350" s="126"/>
      <c r="AX350" s="127"/>
      <c r="AY350" s="126"/>
      <c r="AZ350" s="127"/>
      <c r="BA350" s="127"/>
      <c r="BB350" s="127"/>
      <c r="BC350" s="126"/>
      <c r="BD350" s="222">
        <f t="shared" si="146"/>
        <v>0</v>
      </c>
      <c r="BE350" s="456">
        <f t="shared" si="147"/>
        <v>0</v>
      </c>
      <c r="BF350" s="132"/>
      <c r="BG350" s="140">
        <f t="shared" si="148"/>
        <v>0</v>
      </c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30">
        <f t="shared" si="149"/>
        <v>0</v>
      </c>
      <c r="BV350" s="132"/>
    </row>
    <row r="351" ht="14.25" customHeight="1">
      <c r="A351" s="132"/>
      <c r="B351" s="491">
        <v>45969</v>
      </c>
      <c r="C351" s="133"/>
      <c r="D351" s="136"/>
      <c r="E351" s="135"/>
      <c r="F351" s="135"/>
      <c r="G351" s="147">
        <f t="shared" si="141"/>
        <v>0</v>
      </c>
      <c r="H351" s="768"/>
      <c r="I351" s="611"/>
      <c r="J351" s="611"/>
      <c r="K351" s="611"/>
      <c r="L351" s="611"/>
      <c r="M351" s="611"/>
      <c r="N351" s="143"/>
      <c r="O351" s="143"/>
      <c r="P351" s="143"/>
      <c r="Q351" s="143"/>
      <c r="R351" s="143"/>
      <c r="S351" s="143"/>
      <c r="T351" s="143"/>
      <c r="U351" s="143"/>
      <c r="V351" s="143"/>
      <c r="W351" s="103">
        <f t="shared" si="142"/>
        <v>0</v>
      </c>
      <c r="X351" s="611"/>
      <c r="Y351" s="611"/>
      <c r="Z351" s="611"/>
      <c r="AA351" s="611"/>
      <c r="AB351" s="611"/>
      <c r="AC351" s="143"/>
      <c r="AD351" s="143"/>
      <c r="AE351" s="143"/>
      <c r="AF351" s="143"/>
      <c r="AG351" s="143"/>
      <c r="AH351" s="143"/>
      <c r="AI351" s="143"/>
      <c r="AJ351" s="103">
        <f t="shared" si="143"/>
        <v>0</v>
      </c>
      <c r="AK351" s="136"/>
      <c r="AL351" s="136"/>
      <c r="AM351" s="136"/>
      <c r="AN351" s="105">
        <f t="shared" si="144"/>
        <v>0</v>
      </c>
      <c r="AO351" s="143"/>
      <c r="AP351" s="143"/>
      <c r="AQ351" s="143"/>
      <c r="AR351" s="146"/>
      <c r="AS351" s="224">
        <f t="shared" si="145"/>
        <v>0</v>
      </c>
      <c r="AT351" s="433"/>
      <c r="AU351" s="126"/>
      <c r="AV351" s="126"/>
      <c r="AW351" s="126"/>
      <c r="AX351" s="127"/>
      <c r="AY351" s="126"/>
      <c r="AZ351" s="127"/>
      <c r="BA351" s="127"/>
      <c r="BB351" s="127"/>
      <c r="BC351" s="126"/>
      <c r="BD351" s="222">
        <f t="shared" si="146"/>
        <v>0</v>
      </c>
      <c r="BE351" s="456">
        <f t="shared" si="147"/>
        <v>0</v>
      </c>
      <c r="BF351" s="132"/>
      <c r="BG351" s="140">
        <f t="shared" si="148"/>
        <v>0</v>
      </c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30">
        <f t="shared" si="149"/>
        <v>0</v>
      </c>
      <c r="BV351" s="132"/>
    </row>
    <row r="352" ht="14.25" customHeight="1">
      <c r="A352" s="132"/>
      <c r="B352" s="491">
        <v>45970</v>
      </c>
      <c r="C352" s="133"/>
      <c r="D352" s="136"/>
      <c r="E352" s="135"/>
      <c r="F352" s="135"/>
      <c r="G352" s="147">
        <f t="shared" si="141"/>
        <v>0</v>
      </c>
      <c r="H352" s="768"/>
      <c r="I352" s="611"/>
      <c r="J352" s="611"/>
      <c r="K352" s="611"/>
      <c r="L352" s="611"/>
      <c r="M352" s="611"/>
      <c r="N352" s="143"/>
      <c r="O352" s="143"/>
      <c r="P352" s="143"/>
      <c r="Q352" s="143"/>
      <c r="R352" s="143"/>
      <c r="S352" s="143"/>
      <c r="T352" s="143"/>
      <c r="U352" s="143"/>
      <c r="V352" s="143"/>
      <c r="W352" s="103">
        <f t="shared" si="142"/>
        <v>0</v>
      </c>
      <c r="X352" s="611"/>
      <c r="Y352" s="611"/>
      <c r="Z352" s="611"/>
      <c r="AA352" s="611"/>
      <c r="AB352" s="611"/>
      <c r="AC352" s="143"/>
      <c r="AD352" s="143"/>
      <c r="AE352" s="143"/>
      <c r="AF352" s="143"/>
      <c r="AG352" s="143"/>
      <c r="AH352" s="143"/>
      <c r="AI352" s="143"/>
      <c r="AJ352" s="103">
        <f t="shared" si="143"/>
        <v>0</v>
      </c>
      <c r="AK352" s="136"/>
      <c r="AL352" s="136"/>
      <c r="AM352" s="136"/>
      <c r="AN352" s="105">
        <f t="shared" si="144"/>
        <v>0</v>
      </c>
      <c r="AO352" s="143"/>
      <c r="AP352" s="143"/>
      <c r="AQ352" s="143"/>
      <c r="AR352" s="146"/>
      <c r="AS352" s="224">
        <f t="shared" si="145"/>
        <v>0</v>
      </c>
      <c r="AT352" s="433"/>
      <c r="AU352" s="126"/>
      <c r="AV352" s="126"/>
      <c r="AW352" s="126"/>
      <c r="AX352" s="127"/>
      <c r="AY352" s="126"/>
      <c r="AZ352" s="127"/>
      <c r="BA352" s="127"/>
      <c r="BB352" s="127"/>
      <c r="BC352" s="126"/>
      <c r="BD352" s="222">
        <f t="shared" si="146"/>
        <v>0</v>
      </c>
      <c r="BE352" s="456">
        <f t="shared" si="147"/>
        <v>0</v>
      </c>
      <c r="BF352" s="132"/>
      <c r="BG352" s="140">
        <f t="shared" si="148"/>
        <v>0</v>
      </c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30">
        <f t="shared" si="149"/>
        <v>0</v>
      </c>
      <c r="BV352" s="132"/>
    </row>
    <row r="353" ht="14.25" customHeight="1">
      <c r="A353" s="132"/>
      <c r="B353" s="491">
        <v>45971</v>
      </c>
      <c r="C353" s="133"/>
      <c r="D353" s="136"/>
      <c r="E353" s="135"/>
      <c r="F353" s="135"/>
      <c r="G353" s="147">
        <f t="shared" si="141"/>
        <v>0</v>
      </c>
      <c r="H353" s="768"/>
      <c r="I353" s="611"/>
      <c r="J353" s="611"/>
      <c r="K353" s="611"/>
      <c r="L353" s="611"/>
      <c r="M353" s="611"/>
      <c r="N353" s="143"/>
      <c r="O353" s="143"/>
      <c r="P353" s="143"/>
      <c r="Q353" s="143"/>
      <c r="R353" s="143"/>
      <c r="S353" s="143"/>
      <c r="T353" s="143"/>
      <c r="U353" s="143"/>
      <c r="V353" s="143"/>
      <c r="W353" s="103">
        <f t="shared" si="142"/>
        <v>0</v>
      </c>
      <c r="X353" s="611"/>
      <c r="Y353" s="611"/>
      <c r="Z353" s="611"/>
      <c r="AA353" s="611"/>
      <c r="AB353" s="611"/>
      <c r="AC353" s="143"/>
      <c r="AD353" s="143"/>
      <c r="AE353" s="143"/>
      <c r="AF353" s="143"/>
      <c r="AG353" s="143"/>
      <c r="AH353" s="143"/>
      <c r="AI353" s="143"/>
      <c r="AJ353" s="103">
        <f t="shared" si="143"/>
        <v>0</v>
      </c>
      <c r="AK353" s="136"/>
      <c r="AL353" s="136"/>
      <c r="AM353" s="136"/>
      <c r="AN353" s="105">
        <f t="shared" si="144"/>
        <v>0</v>
      </c>
      <c r="AO353" s="143"/>
      <c r="AP353" s="143"/>
      <c r="AQ353" s="143"/>
      <c r="AR353" s="146"/>
      <c r="AS353" s="224">
        <f t="shared" si="145"/>
        <v>0</v>
      </c>
      <c r="AT353" s="433"/>
      <c r="AU353" s="126"/>
      <c r="AV353" s="126"/>
      <c r="AW353" s="126"/>
      <c r="AX353" s="127"/>
      <c r="AY353" s="126"/>
      <c r="AZ353" s="127"/>
      <c r="BA353" s="127"/>
      <c r="BB353" s="127"/>
      <c r="BC353" s="126"/>
      <c r="BD353" s="222">
        <f t="shared" si="146"/>
        <v>0</v>
      </c>
      <c r="BE353" s="456">
        <f t="shared" si="147"/>
        <v>0</v>
      </c>
      <c r="BF353" s="132"/>
      <c r="BG353" s="140">
        <f t="shared" si="148"/>
        <v>0</v>
      </c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30">
        <f t="shared" si="149"/>
        <v>0</v>
      </c>
      <c r="BV353" s="132"/>
    </row>
    <row r="354" ht="14.25" customHeight="1">
      <c r="A354" s="132"/>
      <c r="B354" s="491">
        <v>45972</v>
      </c>
      <c r="C354" s="133"/>
      <c r="D354" s="136"/>
      <c r="E354" s="135"/>
      <c r="F354" s="135"/>
      <c r="G354" s="147">
        <f t="shared" si="141"/>
        <v>0</v>
      </c>
      <c r="H354" s="768"/>
      <c r="I354" s="611"/>
      <c r="J354" s="611"/>
      <c r="K354" s="611"/>
      <c r="L354" s="611"/>
      <c r="M354" s="611"/>
      <c r="N354" s="143"/>
      <c r="O354" s="143"/>
      <c r="P354" s="143"/>
      <c r="Q354" s="143"/>
      <c r="R354" s="143"/>
      <c r="S354" s="143"/>
      <c r="T354" s="143"/>
      <c r="U354" s="143"/>
      <c r="V354" s="143"/>
      <c r="W354" s="103">
        <f t="shared" si="142"/>
        <v>0</v>
      </c>
      <c r="X354" s="611"/>
      <c r="Y354" s="611"/>
      <c r="Z354" s="611"/>
      <c r="AA354" s="611"/>
      <c r="AB354" s="611"/>
      <c r="AC354" s="143"/>
      <c r="AD354" s="143"/>
      <c r="AE354" s="143"/>
      <c r="AF354" s="143"/>
      <c r="AG354" s="143"/>
      <c r="AH354" s="143"/>
      <c r="AI354" s="143"/>
      <c r="AJ354" s="103">
        <f t="shared" si="143"/>
        <v>0</v>
      </c>
      <c r="AK354" s="136"/>
      <c r="AL354" s="136"/>
      <c r="AM354" s="136"/>
      <c r="AN354" s="105">
        <f t="shared" si="144"/>
        <v>0</v>
      </c>
      <c r="AO354" s="143"/>
      <c r="AP354" s="143"/>
      <c r="AQ354" s="143"/>
      <c r="AR354" s="146"/>
      <c r="AS354" s="224">
        <f t="shared" si="145"/>
        <v>0</v>
      </c>
      <c r="AT354" s="433"/>
      <c r="AU354" s="126"/>
      <c r="AV354" s="126"/>
      <c r="AW354" s="126"/>
      <c r="AX354" s="127"/>
      <c r="AY354" s="126"/>
      <c r="AZ354" s="127"/>
      <c r="BA354" s="127"/>
      <c r="BB354" s="127"/>
      <c r="BC354" s="126"/>
      <c r="BD354" s="222">
        <f t="shared" si="146"/>
        <v>0</v>
      </c>
      <c r="BE354" s="456">
        <f t="shared" si="147"/>
        <v>0</v>
      </c>
      <c r="BF354" s="132"/>
      <c r="BG354" s="140">
        <f t="shared" si="148"/>
        <v>0</v>
      </c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30">
        <f t="shared" si="149"/>
        <v>0</v>
      </c>
      <c r="BV354" s="132"/>
    </row>
    <row r="355" ht="14.25" customHeight="1">
      <c r="A355" s="132"/>
      <c r="B355" s="491">
        <v>45973</v>
      </c>
      <c r="C355" s="133"/>
      <c r="D355" s="136"/>
      <c r="E355" s="135"/>
      <c r="F355" s="135"/>
      <c r="G355" s="147">
        <f t="shared" si="141"/>
        <v>0</v>
      </c>
      <c r="H355" s="768"/>
      <c r="I355" s="611"/>
      <c r="J355" s="611"/>
      <c r="K355" s="611"/>
      <c r="L355" s="611"/>
      <c r="M355" s="611"/>
      <c r="N355" s="143"/>
      <c r="O355" s="143"/>
      <c r="P355" s="143"/>
      <c r="Q355" s="143"/>
      <c r="R355" s="143"/>
      <c r="S355" s="143"/>
      <c r="T355" s="143"/>
      <c r="U355" s="143"/>
      <c r="V355" s="143"/>
      <c r="W355" s="103">
        <f t="shared" si="142"/>
        <v>0</v>
      </c>
      <c r="X355" s="611"/>
      <c r="Y355" s="611"/>
      <c r="Z355" s="611"/>
      <c r="AA355" s="611"/>
      <c r="AB355" s="611"/>
      <c r="AC355" s="143"/>
      <c r="AD355" s="143"/>
      <c r="AE355" s="143"/>
      <c r="AF355" s="143"/>
      <c r="AG355" s="143"/>
      <c r="AH355" s="143"/>
      <c r="AI355" s="143"/>
      <c r="AJ355" s="103">
        <f t="shared" si="143"/>
        <v>0</v>
      </c>
      <c r="AK355" s="136"/>
      <c r="AL355" s="136"/>
      <c r="AM355" s="136"/>
      <c r="AN355" s="105">
        <f t="shared" si="144"/>
        <v>0</v>
      </c>
      <c r="AO355" s="143"/>
      <c r="AP355" s="143"/>
      <c r="AQ355" s="143"/>
      <c r="AR355" s="146"/>
      <c r="AS355" s="224">
        <f t="shared" si="145"/>
        <v>0</v>
      </c>
      <c r="AT355" s="433"/>
      <c r="AU355" s="126"/>
      <c r="AV355" s="126"/>
      <c r="AW355" s="126"/>
      <c r="AX355" s="127"/>
      <c r="AY355" s="126"/>
      <c r="AZ355" s="127"/>
      <c r="BA355" s="127"/>
      <c r="BB355" s="127"/>
      <c r="BC355" s="126"/>
      <c r="BD355" s="222">
        <f t="shared" si="146"/>
        <v>0</v>
      </c>
      <c r="BE355" s="456">
        <f t="shared" si="147"/>
        <v>0</v>
      </c>
      <c r="BF355" s="132"/>
      <c r="BG355" s="140">
        <f t="shared" si="148"/>
        <v>0</v>
      </c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30">
        <f t="shared" si="149"/>
        <v>0</v>
      </c>
      <c r="BV355" s="132"/>
    </row>
    <row r="356" ht="14.25" customHeight="1">
      <c r="A356" s="132"/>
      <c r="B356" s="491">
        <v>45974</v>
      </c>
      <c r="C356" s="133"/>
      <c r="D356" s="136"/>
      <c r="E356" s="135"/>
      <c r="F356" s="135"/>
      <c r="G356" s="147">
        <f t="shared" si="141"/>
        <v>0</v>
      </c>
      <c r="H356" s="768"/>
      <c r="I356" s="611"/>
      <c r="J356" s="611"/>
      <c r="K356" s="611"/>
      <c r="L356" s="611"/>
      <c r="M356" s="611"/>
      <c r="N356" s="143"/>
      <c r="O356" s="143"/>
      <c r="P356" s="143"/>
      <c r="Q356" s="143"/>
      <c r="R356" s="143"/>
      <c r="S356" s="143"/>
      <c r="T356" s="143"/>
      <c r="U356" s="143"/>
      <c r="V356" s="143"/>
      <c r="W356" s="103">
        <f t="shared" si="142"/>
        <v>0</v>
      </c>
      <c r="X356" s="611"/>
      <c r="Y356" s="611"/>
      <c r="Z356" s="611"/>
      <c r="AA356" s="611"/>
      <c r="AB356" s="611"/>
      <c r="AC356" s="143"/>
      <c r="AD356" s="143"/>
      <c r="AE356" s="143"/>
      <c r="AF356" s="143"/>
      <c r="AG356" s="143"/>
      <c r="AH356" s="143"/>
      <c r="AI356" s="143"/>
      <c r="AJ356" s="103">
        <f t="shared" si="143"/>
        <v>0</v>
      </c>
      <c r="AK356" s="136"/>
      <c r="AL356" s="136"/>
      <c r="AM356" s="136"/>
      <c r="AN356" s="105">
        <f t="shared" si="144"/>
        <v>0</v>
      </c>
      <c r="AO356" s="143"/>
      <c r="AP356" s="143"/>
      <c r="AQ356" s="143"/>
      <c r="AR356" s="146"/>
      <c r="AS356" s="224">
        <f t="shared" si="145"/>
        <v>0</v>
      </c>
      <c r="AT356" s="433"/>
      <c r="AU356" s="126"/>
      <c r="AV356" s="126"/>
      <c r="AW356" s="126"/>
      <c r="AX356" s="127"/>
      <c r="AY356" s="126"/>
      <c r="AZ356" s="127"/>
      <c r="BA356" s="127"/>
      <c r="BB356" s="127"/>
      <c r="BC356" s="126"/>
      <c r="BD356" s="222">
        <f t="shared" si="146"/>
        <v>0</v>
      </c>
      <c r="BE356" s="456">
        <f t="shared" si="147"/>
        <v>0</v>
      </c>
      <c r="BF356" s="132"/>
      <c r="BG356" s="140">
        <f t="shared" si="148"/>
        <v>0</v>
      </c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30">
        <f t="shared" si="149"/>
        <v>0</v>
      </c>
      <c r="BV356" s="132"/>
    </row>
    <row r="357" ht="14.25" customHeight="1">
      <c r="A357" s="132"/>
      <c r="B357" s="491">
        <v>45975</v>
      </c>
      <c r="C357" s="133"/>
      <c r="D357" s="136"/>
      <c r="E357" s="135"/>
      <c r="F357" s="135"/>
      <c r="G357" s="147">
        <f t="shared" si="141"/>
        <v>0</v>
      </c>
      <c r="H357" s="768"/>
      <c r="I357" s="611"/>
      <c r="J357" s="611"/>
      <c r="K357" s="611"/>
      <c r="L357" s="611"/>
      <c r="M357" s="611"/>
      <c r="N357" s="143"/>
      <c r="O357" s="143"/>
      <c r="P357" s="143"/>
      <c r="Q357" s="143"/>
      <c r="R357" s="143"/>
      <c r="S357" s="143"/>
      <c r="T357" s="143"/>
      <c r="U357" s="143"/>
      <c r="V357" s="143"/>
      <c r="W357" s="103">
        <f t="shared" si="142"/>
        <v>0</v>
      </c>
      <c r="X357" s="611"/>
      <c r="Y357" s="611"/>
      <c r="Z357" s="611"/>
      <c r="AA357" s="611"/>
      <c r="AB357" s="611"/>
      <c r="AC357" s="143"/>
      <c r="AD357" s="143"/>
      <c r="AE357" s="143"/>
      <c r="AF357" s="143"/>
      <c r="AG357" s="143"/>
      <c r="AH357" s="143"/>
      <c r="AI357" s="143"/>
      <c r="AJ357" s="103">
        <f t="shared" si="143"/>
        <v>0</v>
      </c>
      <c r="AK357" s="136"/>
      <c r="AL357" s="136"/>
      <c r="AM357" s="136"/>
      <c r="AN357" s="105">
        <f t="shared" si="144"/>
        <v>0</v>
      </c>
      <c r="AO357" s="143"/>
      <c r="AP357" s="143"/>
      <c r="AQ357" s="143"/>
      <c r="AR357" s="146"/>
      <c r="AS357" s="224">
        <f t="shared" si="145"/>
        <v>0</v>
      </c>
      <c r="AT357" s="433"/>
      <c r="AU357" s="126"/>
      <c r="AV357" s="126"/>
      <c r="AW357" s="126"/>
      <c r="AX357" s="127"/>
      <c r="AY357" s="126"/>
      <c r="AZ357" s="127"/>
      <c r="BA357" s="127"/>
      <c r="BB357" s="127"/>
      <c r="BC357" s="126"/>
      <c r="BD357" s="222">
        <f t="shared" si="146"/>
        <v>0</v>
      </c>
      <c r="BE357" s="456">
        <f t="shared" si="147"/>
        <v>0</v>
      </c>
      <c r="BF357" s="132"/>
      <c r="BG357" s="140">
        <f t="shared" si="148"/>
        <v>0</v>
      </c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30">
        <f t="shared" si="149"/>
        <v>0</v>
      </c>
      <c r="BV357" s="132"/>
    </row>
    <row r="358" ht="14.25" customHeight="1">
      <c r="A358" s="132"/>
      <c r="B358" s="491">
        <v>45976</v>
      </c>
      <c r="C358" s="133"/>
      <c r="D358" s="136"/>
      <c r="E358" s="135"/>
      <c r="F358" s="135"/>
      <c r="G358" s="147">
        <f t="shared" si="141"/>
        <v>0</v>
      </c>
      <c r="H358" s="768"/>
      <c r="I358" s="611"/>
      <c r="J358" s="611"/>
      <c r="K358" s="611"/>
      <c r="L358" s="611"/>
      <c r="M358" s="611"/>
      <c r="N358" s="143"/>
      <c r="O358" s="143"/>
      <c r="P358" s="143"/>
      <c r="Q358" s="143"/>
      <c r="R358" s="143"/>
      <c r="S358" s="143"/>
      <c r="T358" s="143"/>
      <c r="U358" s="143"/>
      <c r="V358" s="143"/>
      <c r="W358" s="103">
        <f t="shared" si="142"/>
        <v>0</v>
      </c>
      <c r="X358" s="611"/>
      <c r="Y358" s="611"/>
      <c r="Z358" s="611"/>
      <c r="AA358" s="611"/>
      <c r="AB358" s="611"/>
      <c r="AC358" s="143"/>
      <c r="AD358" s="143"/>
      <c r="AE358" s="143"/>
      <c r="AF358" s="143"/>
      <c r="AG358" s="143"/>
      <c r="AH358" s="143"/>
      <c r="AI358" s="143"/>
      <c r="AJ358" s="103">
        <f t="shared" si="143"/>
        <v>0</v>
      </c>
      <c r="AK358" s="136"/>
      <c r="AL358" s="136"/>
      <c r="AM358" s="136"/>
      <c r="AN358" s="105">
        <f t="shared" si="144"/>
        <v>0</v>
      </c>
      <c r="AO358" s="143"/>
      <c r="AP358" s="143"/>
      <c r="AQ358" s="143"/>
      <c r="AR358" s="146"/>
      <c r="AS358" s="224">
        <f t="shared" si="145"/>
        <v>0</v>
      </c>
      <c r="AT358" s="433"/>
      <c r="AU358" s="126"/>
      <c r="AV358" s="126"/>
      <c r="AW358" s="126"/>
      <c r="AX358" s="127"/>
      <c r="AY358" s="126"/>
      <c r="AZ358" s="127"/>
      <c r="BA358" s="127"/>
      <c r="BB358" s="127"/>
      <c r="BC358" s="126"/>
      <c r="BD358" s="222">
        <f t="shared" si="146"/>
        <v>0</v>
      </c>
      <c r="BE358" s="456">
        <f t="shared" si="147"/>
        <v>0</v>
      </c>
      <c r="BF358" s="132"/>
      <c r="BG358" s="140">
        <f t="shared" si="148"/>
        <v>0</v>
      </c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385"/>
      <c r="BS358" s="141"/>
      <c r="BT358" s="141"/>
      <c r="BU358" s="130">
        <f t="shared" si="149"/>
        <v>0</v>
      </c>
      <c r="BV358" s="132"/>
    </row>
    <row r="359" ht="14.25" customHeight="1">
      <c r="A359" s="132"/>
      <c r="B359" s="491">
        <v>45977</v>
      </c>
      <c r="C359" s="133"/>
      <c r="D359" s="136"/>
      <c r="E359" s="135"/>
      <c r="F359" s="135"/>
      <c r="G359" s="147">
        <f t="shared" si="141"/>
        <v>0</v>
      </c>
      <c r="H359" s="768"/>
      <c r="I359" s="611"/>
      <c r="J359" s="611"/>
      <c r="K359" s="611"/>
      <c r="L359" s="611"/>
      <c r="M359" s="611"/>
      <c r="N359" s="143"/>
      <c r="O359" s="143"/>
      <c r="P359" s="143"/>
      <c r="Q359" s="143"/>
      <c r="R359" s="143"/>
      <c r="S359" s="143"/>
      <c r="T359" s="143"/>
      <c r="U359" s="143"/>
      <c r="V359" s="143"/>
      <c r="W359" s="103">
        <f t="shared" si="142"/>
        <v>0</v>
      </c>
      <c r="X359" s="611"/>
      <c r="Y359" s="611"/>
      <c r="Z359" s="611"/>
      <c r="AA359" s="611"/>
      <c r="AB359" s="611"/>
      <c r="AC359" s="143"/>
      <c r="AD359" s="143"/>
      <c r="AE359" s="143"/>
      <c r="AF359" s="143"/>
      <c r="AG359" s="143"/>
      <c r="AH359" s="143"/>
      <c r="AI359" s="143"/>
      <c r="AJ359" s="103">
        <f t="shared" si="143"/>
        <v>0</v>
      </c>
      <c r="AK359" s="136"/>
      <c r="AL359" s="136"/>
      <c r="AM359" s="136"/>
      <c r="AN359" s="105">
        <f t="shared" si="144"/>
        <v>0</v>
      </c>
      <c r="AO359" s="143"/>
      <c r="AP359" s="143"/>
      <c r="AQ359" s="143"/>
      <c r="AR359" s="146"/>
      <c r="AS359" s="224">
        <f t="shared" si="145"/>
        <v>0</v>
      </c>
      <c r="AT359" s="433"/>
      <c r="AU359" s="126"/>
      <c r="AV359" s="126"/>
      <c r="AW359" s="126"/>
      <c r="AX359" s="127"/>
      <c r="AY359" s="126"/>
      <c r="AZ359" s="127"/>
      <c r="BA359" s="127"/>
      <c r="BB359" s="127"/>
      <c r="BC359" s="126"/>
      <c r="BD359" s="222">
        <f t="shared" si="146"/>
        <v>0</v>
      </c>
      <c r="BE359" s="456">
        <f t="shared" si="147"/>
        <v>0</v>
      </c>
      <c r="BF359" s="132"/>
      <c r="BG359" s="140">
        <f t="shared" si="148"/>
        <v>0</v>
      </c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30">
        <f t="shared" si="149"/>
        <v>0</v>
      </c>
      <c r="BV359" s="132"/>
    </row>
    <row r="360" ht="14.25" customHeight="1">
      <c r="A360" s="132"/>
      <c r="B360" s="491">
        <v>45978</v>
      </c>
      <c r="C360" s="133"/>
      <c r="D360" s="136"/>
      <c r="E360" s="135"/>
      <c r="F360" s="135"/>
      <c r="G360" s="147">
        <f t="shared" si="141"/>
        <v>0</v>
      </c>
      <c r="H360" s="768"/>
      <c r="I360" s="611"/>
      <c r="J360" s="611"/>
      <c r="K360" s="611"/>
      <c r="L360" s="611"/>
      <c r="M360" s="611"/>
      <c r="N360" s="143"/>
      <c r="O360" s="143"/>
      <c r="P360" s="143"/>
      <c r="Q360" s="143"/>
      <c r="R360" s="143"/>
      <c r="S360" s="143"/>
      <c r="T360" s="143"/>
      <c r="U360" s="143"/>
      <c r="V360" s="143"/>
      <c r="W360" s="103">
        <f t="shared" si="142"/>
        <v>0</v>
      </c>
      <c r="X360" s="611"/>
      <c r="Y360" s="611"/>
      <c r="Z360" s="611"/>
      <c r="AA360" s="611"/>
      <c r="AB360" s="611"/>
      <c r="AC360" s="143"/>
      <c r="AD360" s="143"/>
      <c r="AE360" s="143"/>
      <c r="AF360" s="143"/>
      <c r="AG360" s="143"/>
      <c r="AH360" s="143"/>
      <c r="AI360" s="143"/>
      <c r="AJ360" s="103">
        <f t="shared" si="143"/>
        <v>0</v>
      </c>
      <c r="AK360" s="136"/>
      <c r="AL360" s="136"/>
      <c r="AM360" s="136"/>
      <c r="AN360" s="105">
        <f t="shared" si="144"/>
        <v>0</v>
      </c>
      <c r="AO360" s="143"/>
      <c r="AP360" s="143"/>
      <c r="AQ360" s="143"/>
      <c r="AR360" s="146"/>
      <c r="AS360" s="224">
        <f t="shared" si="145"/>
        <v>0</v>
      </c>
      <c r="AT360" s="433"/>
      <c r="AU360" s="126"/>
      <c r="AV360" s="126"/>
      <c r="AW360" s="126"/>
      <c r="AX360" s="127"/>
      <c r="AY360" s="126"/>
      <c r="AZ360" s="127"/>
      <c r="BA360" s="127"/>
      <c r="BB360" s="127"/>
      <c r="BC360" s="126"/>
      <c r="BD360" s="222">
        <f t="shared" si="146"/>
        <v>0</v>
      </c>
      <c r="BE360" s="456">
        <f t="shared" si="147"/>
        <v>0</v>
      </c>
      <c r="BF360" s="132"/>
      <c r="BG360" s="140">
        <f t="shared" si="148"/>
        <v>0</v>
      </c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30">
        <f t="shared" si="149"/>
        <v>0</v>
      </c>
      <c r="BV360" s="132"/>
    </row>
    <row r="361" ht="14.25" customHeight="1">
      <c r="A361" s="132"/>
      <c r="B361" s="491">
        <v>45979</v>
      </c>
      <c r="C361" s="133"/>
      <c r="D361" s="136"/>
      <c r="E361" s="135"/>
      <c r="F361" s="135"/>
      <c r="G361" s="147">
        <f t="shared" si="141"/>
        <v>0</v>
      </c>
      <c r="H361" s="768"/>
      <c r="I361" s="611"/>
      <c r="J361" s="611"/>
      <c r="K361" s="611"/>
      <c r="L361" s="611"/>
      <c r="M361" s="611"/>
      <c r="N361" s="143"/>
      <c r="O361" s="143"/>
      <c r="P361" s="143"/>
      <c r="Q361" s="143"/>
      <c r="R361" s="143"/>
      <c r="S361" s="143"/>
      <c r="T361" s="143"/>
      <c r="U361" s="143"/>
      <c r="V361" s="143"/>
      <c r="W361" s="103">
        <f t="shared" si="142"/>
        <v>0</v>
      </c>
      <c r="X361" s="611"/>
      <c r="Y361" s="611"/>
      <c r="Z361" s="611"/>
      <c r="AA361" s="611"/>
      <c r="AB361" s="611"/>
      <c r="AC361" s="143"/>
      <c r="AD361" s="143"/>
      <c r="AE361" s="143"/>
      <c r="AF361" s="143"/>
      <c r="AG361" s="143"/>
      <c r="AH361" s="143"/>
      <c r="AI361" s="143"/>
      <c r="AJ361" s="103">
        <f t="shared" si="143"/>
        <v>0</v>
      </c>
      <c r="AK361" s="136"/>
      <c r="AL361" s="136"/>
      <c r="AM361" s="136"/>
      <c r="AN361" s="105">
        <f t="shared" si="144"/>
        <v>0</v>
      </c>
      <c r="AO361" s="143"/>
      <c r="AP361" s="143"/>
      <c r="AQ361" s="143"/>
      <c r="AR361" s="146"/>
      <c r="AS361" s="224">
        <f t="shared" si="145"/>
        <v>0</v>
      </c>
      <c r="AT361" s="433"/>
      <c r="AU361" s="126"/>
      <c r="AV361" s="126"/>
      <c r="AW361" s="126"/>
      <c r="AX361" s="127"/>
      <c r="AY361" s="126"/>
      <c r="AZ361" s="127"/>
      <c r="BA361" s="127"/>
      <c r="BB361" s="127"/>
      <c r="BC361" s="126"/>
      <c r="BD361" s="222">
        <f t="shared" si="146"/>
        <v>0</v>
      </c>
      <c r="BE361" s="456">
        <f t="shared" si="147"/>
        <v>0</v>
      </c>
      <c r="BF361" s="132"/>
      <c r="BG361" s="140">
        <f t="shared" si="148"/>
        <v>0</v>
      </c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30">
        <f t="shared" si="149"/>
        <v>0</v>
      </c>
      <c r="BV361" s="132"/>
    </row>
    <row r="362" ht="14.25" customHeight="1">
      <c r="A362" s="132"/>
      <c r="B362" s="491">
        <v>45980</v>
      </c>
      <c r="C362" s="133"/>
      <c r="D362" s="136"/>
      <c r="E362" s="135"/>
      <c r="F362" s="135"/>
      <c r="G362" s="147">
        <f t="shared" si="141"/>
        <v>0</v>
      </c>
      <c r="H362" s="768"/>
      <c r="I362" s="611"/>
      <c r="J362" s="611"/>
      <c r="K362" s="611"/>
      <c r="L362" s="611"/>
      <c r="M362" s="611"/>
      <c r="N362" s="143"/>
      <c r="O362" s="143"/>
      <c r="P362" s="143"/>
      <c r="Q362" s="143"/>
      <c r="R362" s="143"/>
      <c r="S362" s="143"/>
      <c r="T362" s="143"/>
      <c r="U362" s="143"/>
      <c r="V362" s="143"/>
      <c r="W362" s="103">
        <f t="shared" si="142"/>
        <v>0</v>
      </c>
      <c r="X362" s="611"/>
      <c r="Y362" s="611"/>
      <c r="Z362" s="611"/>
      <c r="AA362" s="611"/>
      <c r="AB362" s="611"/>
      <c r="AC362" s="143"/>
      <c r="AD362" s="143"/>
      <c r="AE362" s="143"/>
      <c r="AF362" s="143"/>
      <c r="AG362" s="143"/>
      <c r="AH362" s="143"/>
      <c r="AI362" s="143"/>
      <c r="AJ362" s="103">
        <f t="shared" si="143"/>
        <v>0</v>
      </c>
      <c r="AK362" s="136"/>
      <c r="AL362" s="136"/>
      <c r="AM362" s="136"/>
      <c r="AN362" s="105">
        <f t="shared" si="144"/>
        <v>0</v>
      </c>
      <c r="AO362" s="143"/>
      <c r="AP362" s="143"/>
      <c r="AQ362" s="143"/>
      <c r="AR362" s="146"/>
      <c r="AS362" s="224">
        <f t="shared" si="145"/>
        <v>0</v>
      </c>
      <c r="AT362" s="433"/>
      <c r="AU362" s="126"/>
      <c r="AV362" s="126"/>
      <c r="AW362" s="126"/>
      <c r="AX362" s="127"/>
      <c r="AY362" s="126"/>
      <c r="AZ362" s="127"/>
      <c r="BA362" s="127"/>
      <c r="BB362" s="127"/>
      <c r="BC362" s="126"/>
      <c r="BD362" s="222">
        <f t="shared" si="146"/>
        <v>0</v>
      </c>
      <c r="BE362" s="456">
        <f t="shared" si="147"/>
        <v>0</v>
      </c>
      <c r="BF362" s="132"/>
      <c r="BG362" s="140">
        <f t="shared" si="148"/>
        <v>0</v>
      </c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30">
        <f t="shared" si="149"/>
        <v>0</v>
      </c>
      <c r="BV362" s="132"/>
    </row>
    <row r="363" ht="14.25" customHeight="1">
      <c r="A363" s="132"/>
      <c r="B363" s="491">
        <v>45981</v>
      </c>
      <c r="C363" s="133"/>
      <c r="D363" s="136"/>
      <c r="E363" s="135"/>
      <c r="F363" s="135"/>
      <c r="G363" s="147">
        <f t="shared" si="141"/>
        <v>0</v>
      </c>
      <c r="H363" s="768"/>
      <c r="I363" s="611"/>
      <c r="J363" s="611"/>
      <c r="K363" s="611"/>
      <c r="L363" s="611"/>
      <c r="M363" s="611"/>
      <c r="N363" s="143"/>
      <c r="O363" s="143"/>
      <c r="P363" s="143"/>
      <c r="Q363" s="143"/>
      <c r="R363" s="143"/>
      <c r="S363" s="143"/>
      <c r="T363" s="143"/>
      <c r="U363" s="143"/>
      <c r="V363" s="143"/>
      <c r="W363" s="103">
        <f t="shared" si="142"/>
        <v>0</v>
      </c>
      <c r="X363" s="611"/>
      <c r="Y363" s="611"/>
      <c r="Z363" s="611"/>
      <c r="AA363" s="611"/>
      <c r="AB363" s="611"/>
      <c r="AC363" s="143"/>
      <c r="AD363" s="143"/>
      <c r="AE363" s="143"/>
      <c r="AF363" s="143"/>
      <c r="AG363" s="143"/>
      <c r="AH363" s="143"/>
      <c r="AI363" s="143"/>
      <c r="AJ363" s="103">
        <f t="shared" si="143"/>
        <v>0</v>
      </c>
      <c r="AK363" s="136"/>
      <c r="AL363" s="136"/>
      <c r="AM363" s="136"/>
      <c r="AN363" s="105">
        <f t="shared" si="144"/>
        <v>0</v>
      </c>
      <c r="AO363" s="143"/>
      <c r="AP363" s="143"/>
      <c r="AQ363" s="143"/>
      <c r="AR363" s="146"/>
      <c r="AS363" s="224">
        <f t="shared" si="145"/>
        <v>0</v>
      </c>
      <c r="AT363" s="433"/>
      <c r="AU363" s="126"/>
      <c r="AV363" s="126"/>
      <c r="AW363" s="126"/>
      <c r="AX363" s="127"/>
      <c r="AY363" s="126"/>
      <c r="AZ363" s="127"/>
      <c r="BA363" s="127"/>
      <c r="BB363" s="127"/>
      <c r="BC363" s="126"/>
      <c r="BD363" s="222">
        <f t="shared" si="146"/>
        <v>0</v>
      </c>
      <c r="BE363" s="456">
        <f t="shared" si="147"/>
        <v>0</v>
      </c>
      <c r="BF363" s="132"/>
      <c r="BG363" s="140">
        <f t="shared" si="148"/>
        <v>0</v>
      </c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30">
        <f t="shared" si="149"/>
        <v>0</v>
      </c>
      <c r="BV363" s="132"/>
    </row>
    <row r="364" ht="14.25" customHeight="1">
      <c r="A364" s="132"/>
      <c r="B364" s="491">
        <v>45982</v>
      </c>
      <c r="C364" s="133"/>
      <c r="D364" s="136"/>
      <c r="E364" s="135"/>
      <c r="F364" s="135"/>
      <c r="G364" s="147">
        <f t="shared" si="141"/>
        <v>0</v>
      </c>
      <c r="H364" s="768"/>
      <c r="I364" s="611"/>
      <c r="J364" s="611"/>
      <c r="K364" s="611"/>
      <c r="L364" s="611"/>
      <c r="M364" s="611"/>
      <c r="N364" s="143"/>
      <c r="O364" s="143"/>
      <c r="P364" s="143"/>
      <c r="Q364" s="143"/>
      <c r="R364" s="143"/>
      <c r="S364" s="143"/>
      <c r="T364" s="143"/>
      <c r="U364" s="143"/>
      <c r="V364" s="143"/>
      <c r="W364" s="103">
        <f t="shared" si="142"/>
        <v>0</v>
      </c>
      <c r="X364" s="611"/>
      <c r="Y364" s="611"/>
      <c r="Z364" s="611"/>
      <c r="AA364" s="611"/>
      <c r="AB364" s="611"/>
      <c r="AC364" s="143"/>
      <c r="AD364" s="143"/>
      <c r="AE364" s="143"/>
      <c r="AF364" s="143"/>
      <c r="AG364" s="143"/>
      <c r="AH364" s="143"/>
      <c r="AI364" s="143"/>
      <c r="AJ364" s="103">
        <f t="shared" si="143"/>
        <v>0</v>
      </c>
      <c r="AK364" s="136"/>
      <c r="AL364" s="136"/>
      <c r="AM364" s="136"/>
      <c r="AN364" s="105">
        <f t="shared" si="144"/>
        <v>0</v>
      </c>
      <c r="AO364" s="143"/>
      <c r="AP364" s="143"/>
      <c r="AQ364" s="143"/>
      <c r="AR364" s="146"/>
      <c r="AS364" s="224">
        <f t="shared" si="145"/>
        <v>0</v>
      </c>
      <c r="AT364" s="433"/>
      <c r="AU364" s="126"/>
      <c r="AV364" s="126"/>
      <c r="AW364" s="126"/>
      <c r="AX364" s="127"/>
      <c r="AY364" s="126"/>
      <c r="AZ364" s="127"/>
      <c r="BA364" s="127"/>
      <c r="BB364" s="127"/>
      <c r="BC364" s="126"/>
      <c r="BD364" s="222">
        <f t="shared" si="146"/>
        <v>0</v>
      </c>
      <c r="BE364" s="456">
        <f t="shared" si="147"/>
        <v>0</v>
      </c>
      <c r="BF364" s="132"/>
      <c r="BG364" s="140">
        <f t="shared" si="148"/>
        <v>0</v>
      </c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30">
        <f t="shared" si="149"/>
        <v>0</v>
      </c>
      <c r="BV364" s="132"/>
    </row>
    <row r="365" ht="14.25" customHeight="1">
      <c r="A365" s="132"/>
      <c r="B365" s="491">
        <v>45983</v>
      </c>
      <c r="C365" s="133"/>
      <c r="D365" s="136"/>
      <c r="E365" s="135"/>
      <c r="F365" s="135"/>
      <c r="G365" s="147">
        <f t="shared" si="141"/>
        <v>0</v>
      </c>
      <c r="H365" s="768"/>
      <c r="I365" s="611"/>
      <c r="J365" s="611"/>
      <c r="K365" s="611"/>
      <c r="L365" s="611"/>
      <c r="M365" s="611"/>
      <c r="N365" s="143"/>
      <c r="O365" s="231"/>
      <c r="P365" s="143"/>
      <c r="Q365" s="143"/>
      <c r="R365" s="143"/>
      <c r="S365" s="143"/>
      <c r="T365" s="143"/>
      <c r="U365" s="143"/>
      <c r="V365" s="143"/>
      <c r="W365" s="103">
        <f t="shared" si="142"/>
        <v>0</v>
      </c>
      <c r="X365" s="611"/>
      <c r="Y365" s="611"/>
      <c r="Z365" s="611"/>
      <c r="AA365" s="611"/>
      <c r="AB365" s="611"/>
      <c r="AC365" s="143"/>
      <c r="AD365" s="143"/>
      <c r="AE365" s="143"/>
      <c r="AF365" s="143"/>
      <c r="AG365" s="143"/>
      <c r="AH365" s="143"/>
      <c r="AI365" s="143"/>
      <c r="AJ365" s="103">
        <f t="shared" si="143"/>
        <v>0</v>
      </c>
      <c r="AK365" s="136"/>
      <c r="AL365" s="136"/>
      <c r="AM365" s="136"/>
      <c r="AN365" s="105">
        <f t="shared" si="144"/>
        <v>0</v>
      </c>
      <c r="AO365" s="143"/>
      <c r="AP365" s="143"/>
      <c r="AQ365" s="143"/>
      <c r="AR365" s="146"/>
      <c r="AS365" s="224">
        <f t="shared" si="145"/>
        <v>0</v>
      </c>
      <c r="AT365" s="433"/>
      <c r="AU365" s="126"/>
      <c r="AV365" s="126"/>
      <c r="AW365" s="126"/>
      <c r="AX365" s="127"/>
      <c r="AY365" s="126"/>
      <c r="AZ365" s="127"/>
      <c r="BA365" s="127"/>
      <c r="BB365" s="127"/>
      <c r="BC365" s="126"/>
      <c r="BD365" s="222">
        <f t="shared" si="146"/>
        <v>0</v>
      </c>
      <c r="BE365" s="456">
        <f t="shared" si="147"/>
        <v>0</v>
      </c>
      <c r="BF365" s="132"/>
      <c r="BG365" s="140">
        <f t="shared" si="148"/>
        <v>0</v>
      </c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30">
        <f t="shared" si="149"/>
        <v>0</v>
      </c>
      <c r="BV365" s="132"/>
    </row>
    <row r="366" ht="14.25" customHeight="1">
      <c r="A366" s="132"/>
      <c r="B366" s="491">
        <v>45984</v>
      </c>
      <c r="C366" s="133"/>
      <c r="D366" s="136"/>
      <c r="E366" s="135"/>
      <c r="F366" s="135"/>
      <c r="G366" s="147">
        <f t="shared" si="141"/>
        <v>0</v>
      </c>
      <c r="H366" s="768"/>
      <c r="I366" s="611"/>
      <c r="J366" s="611"/>
      <c r="K366" s="611"/>
      <c r="L366" s="611"/>
      <c r="M366" s="611"/>
      <c r="N366" s="143"/>
      <c r="O366" s="143"/>
      <c r="P366" s="143"/>
      <c r="Q366" s="143"/>
      <c r="R366" s="143"/>
      <c r="S366" s="143"/>
      <c r="T366" s="143"/>
      <c r="U366" s="143"/>
      <c r="V366" s="143"/>
      <c r="W366" s="103">
        <f t="shared" si="142"/>
        <v>0</v>
      </c>
      <c r="X366" s="611"/>
      <c r="Y366" s="611"/>
      <c r="Z366" s="611"/>
      <c r="AA366" s="611"/>
      <c r="AB366" s="611"/>
      <c r="AC366" s="143"/>
      <c r="AD366" s="143"/>
      <c r="AE366" s="143"/>
      <c r="AF366" s="143"/>
      <c r="AG366" s="143"/>
      <c r="AH366" s="143"/>
      <c r="AI366" s="143"/>
      <c r="AJ366" s="103">
        <f t="shared" si="143"/>
        <v>0</v>
      </c>
      <c r="AK366" s="136"/>
      <c r="AL366" s="136"/>
      <c r="AM366" s="136"/>
      <c r="AN366" s="105">
        <f t="shared" si="144"/>
        <v>0</v>
      </c>
      <c r="AO366" s="143"/>
      <c r="AP366" s="143"/>
      <c r="AQ366" s="143"/>
      <c r="AR366" s="146"/>
      <c r="AS366" s="224">
        <f t="shared" si="145"/>
        <v>0</v>
      </c>
      <c r="AT366" s="433"/>
      <c r="AU366" s="126"/>
      <c r="AV366" s="126"/>
      <c r="AW366" s="126"/>
      <c r="AX366" s="127"/>
      <c r="AY366" s="126"/>
      <c r="AZ366" s="127"/>
      <c r="BA366" s="127"/>
      <c r="BB366" s="127"/>
      <c r="BC366" s="126"/>
      <c r="BD366" s="222">
        <f t="shared" si="146"/>
        <v>0</v>
      </c>
      <c r="BE366" s="456">
        <f t="shared" si="147"/>
        <v>0</v>
      </c>
      <c r="BF366" s="132"/>
      <c r="BG366" s="140">
        <f t="shared" si="148"/>
        <v>0</v>
      </c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30">
        <f t="shared" si="149"/>
        <v>0</v>
      </c>
      <c r="BV366" s="132"/>
    </row>
    <row r="367" ht="14.25" customHeight="1">
      <c r="A367" s="132"/>
      <c r="B367" s="491">
        <v>45985</v>
      </c>
      <c r="C367" s="133"/>
      <c r="D367" s="136"/>
      <c r="E367" s="135"/>
      <c r="F367" s="135"/>
      <c r="G367" s="147">
        <f t="shared" si="141"/>
        <v>0</v>
      </c>
      <c r="H367" s="768"/>
      <c r="I367" s="611"/>
      <c r="J367" s="611"/>
      <c r="K367" s="611"/>
      <c r="L367" s="611"/>
      <c r="M367" s="611"/>
      <c r="N367" s="143"/>
      <c r="P367" s="143"/>
      <c r="Q367" s="143"/>
      <c r="R367" s="143"/>
      <c r="S367" s="143"/>
      <c r="T367" s="143"/>
      <c r="U367" s="143"/>
      <c r="V367" s="143"/>
      <c r="W367" s="103">
        <f t="shared" si="142"/>
        <v>0</v>
      </c>
      <c r="X367" s="611"/>
      <c r="Y367" s="611"/>
      <c r="Z367" s="611"/>
      <c r="AA367" s="611"/>
      <c r="AB367" s="611"/>
      <c r="AC367" s="143"/>
      <c r="AD367" s="143"/>
      <c r="AE367" s="143"/>
      <c r="AF367" s="143"/>
      <c r="AG367" s="143"/>
      <c r="AH367" s="143"/>
      <c r="AI367" s="143"/>
      <c r="AJ367" s="103">
        <f t="shared" si="143"/>
        <v>0</v>
      </c>
      <c r="AK367" s="136"/>
      <c r="AL367" s="136"/>
      <c r="AM367" s="136"/>
      <c r="AN367" s="105">
        <f t="shared" si="144"/>
        <v>0</v>
      </c>
      <c r="AO367" s="143"/>
      <c r="AP367" s="143"/>
      <c r="AQ367" s="143"/>
      <c r="AR367" s="146"/>
      <c r="AS367" s="224">
        <f t="shared" si="145"/>
        <v>0</v>
      </c>
      <c r="AT367" s="433"/>
      <c r="AU367" s="126"/>
      <c r="AV367" s="126"/>
      <c r="AW367" s="126"/>
      <c r="AX367" s="127"/>
      <c r="AY367" s="126"/>
      <c r="AZ367" s="127"/>
      <c r="BA367" s="127"/>
      <c r="BB367" s="127"/>
      <c r="BC367" s="126"/>
      <c r="BD367" s="222">
        <f t="shared" si="146"/>
        <v>0</v>
      </c>
      <c r="BE367" s="456">
        <f t="shared" si="147"/>
        <v>0</v>
      </c>
      <c r="BF367" s="132"/>
      <c r="BG367" s="140">
        <f t="shared" si="148"/>
        <v>0</v>
      </c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30">
        <f t="shared" si="149"/>
        <v>0</v>
      </c>
      <c r="BV367" s="132"/>
    </row>
    <row r="368" ht="14.25" customHeight="1">
      <c r="A368" s="132"/>
      <c r="B368" s="491">
        <v>45986</v>
      </c>
      <c r="C368" s="133"/>
      <c r="D368" s="136"/>
      <c r="E368" s="135"/>
      <c r="F368" s="135"/>
      <c r="G368" s="147">
        <f t="shared" si="141"/>
        <v>0</v>
      </c>
      <c r="H368" s="768"/>
      <c r="I368" s="611"/>
      <c r="J368" s="611"/>
      <c r="K368" s="611"/>
      <c r="L368" s="611"/>
      <c r="M368" s="611"/>
      <c r="N368" s="143"/>
      <c r="O368" s="143"/>
      <c r="P368" s="143"/>
      <c r="Q368" s="143"/>
      <c r="R368" s="143"/>
      <c r="S368" s="143"/>
      <c r="T368" s="143"/>
      <c r="U368" s="143"/>
      <c r="V368" s="143"/>
      <c r="W368" s="103">
        <f t="shared" si="142"/>
        <v>0</v>
      </c>
      <c r="X368" s="611"/>
      <c r="Y368" s="611"/>
      <c r="Z368" s="611"/>
      <c r="AA368" s="611"/>
      <c r="AB368" s="611"/>
      <c r="AC368" s="143"/>
      <c r="AD368" s="143"/>
      <c r="AE368" s="143"/>
      <c r="AF368" s="143"/>
      <c r="AG368" s="143"/>
      <c r="AH368" s="143"/>
      <c r="AI368" s="143"/>
      <c r="AJ368" s="103">
        <f t="shared" si="143"/>
        <v>0</v>
      </c>
      <c r="AK368" s="136"/>
      <c r="AL368" s="136"/>
      <c r="AM368" s="136"/>
      <c r="AN368" s="105">
        <f t="shared" si="144"/>
        <v>0</v>
      </c>
      <c r="AO368" s="143"/>
      <c r="AP368" s="143"/>
      <c r="AQ368" s="143"/>
      <c r="AR368" s="146"/>
      <c r="AS368" s="224">
        <f t="shared" si="145"/>
        <v>0</v>
      </c>
      <c r="AT368" s="433"/>
      <c r="AU368" s="126"/>
      <c r="AV368" s="126"/>
      <c r="AW368" s="126"/>
      <c r="AX368" s="127"/>
      <c r="AY368" s="126"/>
      <c r="AZ368" s="127"/>
      <c r="BA368" s="127"/>
      <c r="BB368" s="127"/>
      <c r="BC368" s="126"/>
      <c r="BD368" s="222">
        <f t="shared" si="146"/>
        <v>0</v>
      </c>
      <c r="BE368" s="456">
        <f t="shared" si="147"/>
        <v>0</v>
      </c>
      <c r="BF368" s="132"/>
      <c r="BG368" s="140">
        <f t="shared" si="148"/>
        <v>0</v>
      </c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30">
        <f t="shared" si="149"/>
        <v>0</v>
      </c>
      <c r="BV368" s="132"/>
    </row>
    <row r="369" ht="14.25" customHeight="1">
      <c r="A369" s="132"/>
      <c r="B369" s="491">
        <v>45987</v>
      </c>
      <c r="C369" s="133"/>
      <c r="D369" s="136"/>
      <c r="E369" s="135"/>
      <c r="F369" s="135"/>
      <c r="G369" s="147">
        <f t="shared" si="141"/>
        <v>0</v>
      </c>
      <c r="H369" s="768"/>
      <c r="I369" s="611"/>
      <c r="J369" s="611"/>
      <c r="K369" s="611"/>
      <c r="L369" s="611"/>
      <c r="M369" s="611"/>
      <c r="N369" s="143"/>
      <c r="O369" s="143"/>
      <c r="P369" s="143"/>
      <c r="Q369" s="143"/>
      <c r="R369" s="143"/>
      <c r="S369" s="143"/>
      <c r="T369" s="143"/>
      <c r="U369" s="143"/>
      <c r="V369" s="143"/>
      <c r="W369" s="103">
        <f t="shared" si="142"/>
        <v>0</v>
      </c>
      <c r="X369" s="611"/>
      <c r="Y369" s="611"/>
      <c r="Z369" s="611"/>
      <c r="AA369" s="611"/>
      <c r="AB369" s="611"/>
      <c r="AC369" s="143"/>
      <c r="AD369" s="143"/>
      <c r="AE369" s="143"/>
      <c r="AF369" s="143"/>
      <c r="AG369" s="143"/>
      <c r="AH369" s="143"/>
      <c r="AI369" s="143"/>
      <c r="AJ369" s="103">
        <f t="shared" si="143"/>
        <v>0</v>
      </c>
      <c r="AK369" s="136"/>
      <c r="AL369" s="136"/>
      <c r="AM369" s="136"/>
      <c r="AN369" s="105">
        <f t="shared" si="144"/>
        <v>0</v>
      </c>
      <c r="AO369" s="143"/>
      <c r="AP369" s="143"/>
      <c r="AQ369" s="143"/>
      <c r="AR369" s="146"/>
      <c r="AS369" s="224">
        <f t="shared" si="145"/>
        <v>0</v>
      </c>
      <c r="AT369" s="433"/>
      <c r="AU369" s="126"/>
      <c r="AV369" s="126"/>
      <c r="AW369" s="126"/>
      <c r="AX369" s="127"/>
      <c r="AY369" s="126"/>
      <c r="AZ369" s="127"/>
      <c r="BA369" s="127"/>
      <c r="BB369" s="127"/>
      <c r="BC369" s="126"/>
      <c r="BD369" s="222">
        <f t="shared" si="146"/>
        <v>0</v>
      </c>
      <c r="BE369" s="456">
        <f t="shared" si="147"/>
        <v>0</v>
      </c>
      <c r="BF369" s="132"/>
      <c r="BG369" s="140">
        <f t="shared" si="148"/>
        <v>0</v>
      </c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30">
        <f t="shared" si="149"/>
        <v>0</v>
      </c>
      <c r="BV369" s="132"/>
    </row>
    <row r="370" ht="14.25" customHeight="1">
      <c r="A370" s="132"/>
      <c r="B370" s="491">
        <v>45988</v>
      </c>
      <c r="C370" s="133"/>
      <c r="D370" s="136"/>
      <c r="E370" s="135"/>
      <c r="F370" s="135"/>
      <c r="G370" s="147">
        <f t="shared" si="141"/>
        <v>0</v>
      </c>
      <c r="H370" s="768"/>
      <c r="I370" s="611"/>
      <c r="J370" s="611"/>
      <c r="K370" s="611"/>
      <c r="L370" s="611"/>
      <c r="M370" s="611"/>
      <c r="N370" s="143"/>
      <c r="O370" s="143"/>
      <c r="P370" s="143"/>
      <c r="Q370" s="143"/>
      <c r="R370" s="143"/>
      <c r="S370" s="143"/>
      <c r="T370" s="143"/>
      <c r="U370" s="143"/>
      <c r="V370" s="143"/>
      <c r="W370" s="103">
        <f t="shared" si="142"/>
        <v>0</v>
      </c>
      <c r="X370" s="611"/>
      <c r="Y370" s="611"/>
      <c r="Z370" s="611"/>
      <c r="AA370" s="611"/>
      <c r="AB370" s="611"/>
      <c r="AC370" s="143"/>
      <c r="AD370" s="143"/>
      <c r="AE370" s="143"/>
      <c r="AF370" s="143"/>
      <c r="AG370" s="143"/>
      <c r="AH370" s="143"/>
      <c r="AI370" s="143"/>
      <c r="AJ370" s="103">
        <f t="shared" si="143"/>
        <v>0</v>
      </c>
      <c r="AK370" s="136"/>
      <c r="AL370" s="136"/>
      <c r="AM370" s="136"/>
      <c r="AN370" s="105">
        <f t="shared" si="144"/>
        <v>0</v>
      </c>
      <c r="AO370" s="143"/>
      <c r="AP370" s="143"/>
      <c r="AQ370" s="143"/>
      <c r="AR370" s="146"/>
      <c r="AS370" s="224">
        <f t="shared" si="145"/>
        <v>0</v>
      </c>
      <c r="AT370" s="433"/>
      <c r="AU370" s="126"/>
      <c r="AV370" s="126"/>
      <c r="AW370" s="126"/>
      <c r="AX370" s="127"/>
      <c r="AY370" s="126"/>
      <c r="AZ370" s="127"/>
      <c r="BA370" s="127"/>
      <c r="BB370" s="127"/>
      <c r="BC370" s="126"/>
      <c r="BD370" s="222">
        <f t="shared" si="146"/>
        <v>0</v>
      </c>
      <c r="BE370" s="456">
        <f t="shared" si="147"/>
        <v>0</v>
      </c>
      <c r="BF370" s="132"/>
      <c r="BG370" s="140">
        <f t="shared" si="148"/>
        <v>0</v>
      </c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30">
        <f t="shared" si="149"/>
        <v>0</v>
      </c>
      <c r="BV370" s="132"/>
    </row>
    <row r="371" ht="14.25" customHeight="1">
      <c r="A371" s="132"/>
      <c r="B371" s="491">
        <v>45989</v>
      </c>
      <c r="C371" s="133"/>
      <c r="D371" s="136"/>
      <c r="E371" s="135"/>
      <c r="F371" s="135"/>
      <c r="G371" s="147">
        <f t="shared" si="141"/>
        <v>0</v>
      </c>
      <c r="H371" s="768"/>
      <c r="I371" s="611"/>
      <c r="J371" s="611"/>
      <c r="K371" s="611"/>
      <c r="L371" s="611"/>
      <c r="M371" s="611"/>
      <c r="N371" s="143"/>
      <c r="O371" s="143"/>
      <c r="P371" s="143"/>
      <c r="Q371" s="143"/>
      <c r="R371" s="143"/>
      <c r="S371" s="143"/>
      <c r="T371" s="143"/>
      <c r="U371" s="143"/>
      <c r="V371" s="143"/>
      <c r="W371" s="103">
        <f t="shared" si="142"/>
        <v>0</v>
      </c>
      <c r="X371" s="611"/>
      <c r="Y371" s="611"/>
      <c r="Z371" s="611"/>
      <c r="AA371" s="611"/>
      <c r="AB371" s="611"/>
      <c r="AC371" s="143"/>
      <c r="AD371" s="143"/>
      <c r="AE371" s="143"/>
      <c r="AF371" s="143"/>
      <c r="AG371" s="143"/>
      <c r="AH371" s="143"/>
      <c r="AI371" s="143"/>
      <c r="AJ371" s="103">
        <f t="shared" si="143"/>
        <v>0</v>
      </c>
      <c r="AK371" s="136"/>
      <c r="AL371" s="136"/>
      <c r="AM371" s="136"/>
      <c r="AN371" s="105">
        <f t="shared" si="144"/>
        <v>0</v>
      </c>
      <c r="AO371" s="143"/>
      <c r="AP371" s="143"/>
      <c r="AQ371" s="143"/>
      <c r="AR371" s="146"/>
      <c r="AS371" s="224">
        <f t="shared" si="145"/>
        <v>0</v>
      </c>
      <c r="AT371" s="433"/>
      <c r="AU371" s="126"/>
      <c r="AV371" s="126"/>
      <c r="AW371" s="126"/>
      <c r="AX371" s="127"/>
      <c r="AY371" s="126"/>
      <c r="AZ371" s="127"/>
      <c r="BA371" s="127"/>
      <c r="BB371" s="127"/>
      <c r="BC371" s="126"/>
      <c r="BD371" s="222">
        <f t="shared" si="146"/>
        <v>0</v>
      </c>
      <c r="BE371" s="456">
        <f t="shared" si="147"/>
        <v>0</v>
      </c>
      <c r="BF371" s="132"/>
      <c r="BG371" s="140">
        <f t="shared" si="148"/>
        <v>0</v>
      </c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41"/>
      <c r="BU371" s="130">
        <f t="shared" si="149"/>
        <v>0</v>
      </c>
      <c r="BV371" s="132"/>
    </row>
    <row r="372" ht="14.25" customHeight="1">
      <c r="A372" s="132"/>
      <c r="B372" s="491">
        <v>45990</v>
      </c>
      <c r="C372" s="133"/>
      <c r="D372" s="136"/>
      <c r="E372" s="135"/>
      <c r="F372" s="135"/>
      <c r="G372" s="147">
        <f t="shared" si="141"/>
        <v>0</v>
      </c>
      <c r="H372" s="768"/>
      <c r="I372" s="611"/>
      <c r="J372" s="611"/>
      <c r="K372" s="611"/>
      <c r="L372" s="611"/>
      <c r="M372" s="611"/>
      <c r="N372" s="143"/>
      <c r="O372" s="143"/>
      <c r="P372" s="143"/>
      <c r="Q372" s="143"/>
      <c r="R372" s="143"/>
      <c r="S372" s="143"/>
      <c r="T372" s="143"/>
      <c r="U372" s="143"/>
      <c r="V372" s="143"/>
      <c r="W372" s="103">
        <f t="shared" si="142"/>
        <v>0</v>
      </c>
      <c r="X372" s="611"/>
      <c r="Y372" s="611"/>
      <c r="Z372" s="611"/>
      <c r="AA372" s="611"/>
      <c r="AB372" s="611"/>
      <c r="AC372" s="143"/>
      <c r="AD372" s="143"/>
      <c r="AE372" s="143"/>
      <c r="AF372" s="143"/>
      <c r="AG372" s="143"/>
      <c r="AH372" s="143"/>
      <c r="AI372" s="143"/>
      <c r="AJ372" s="103">
        <f t="shared" si="143"/>
        <v>0</v>
      </c>
      <c r="AK372" s="136"/>
      <c r="AL372" s="136"/>
      <c r="AM372" s="136"/>
      <c r="AN372" s="105">
        <f t="shared" si="144"/>
        <v>0</v>
      </c>
      <c r="AO372" s="143"/>
      <c r="AP372" s="143"/>
      <c r="AQ372" s="143"/>
      <c r="AR372" s="146"/>
      <c r="AS372" s="224">
        <f t="shared" si="145"/>
        <v>0</v>
      </c>
      <c r="AT372" s="433"/>
      <c r="AU372" s="126"/>
      <c r="AV372" s="126"/>
      <c r="AW372" s="126"/>
      <c r="AX372" s="127"/>
      <c r="AY372" s="126"/>
      <c r="AZ372" s="127"/>
      <c r="BA372" s="127"/>
      <c r="BB372" s="127"/>
      <c r="BC372" s="126"/>
      <c r="BD372" s="222">
        <f t="shared" si="146"/>
        <v>0</v>
      </c>
      <c r="BE372" s="456">
        <f t="shared" si="147"/>
        <v>0</v>
      </c>
      <c r="BF372" s="132"/>
      <c r="BG372" s="140">
        <f t="shared" si="148"/>
        <v>0</v>
      </c>
      <c r="BH372" s="141"/>
      <c r="BI372" s="141"/>
      <c r="BJ372" s="141"/>
      <c r="BK372" s="141"/>
      <c r="BL372" s="141"/>
      <c r="BM372" s="141"/>
      <c r="BN372" s="141"/>
      <c r="BO372" s="141"/>
      <c r="BP372" s="141"/>
      <c r="BQ372" s="141"/>
      <c r="BR372" s="141"/>
      <c r="BS372" s="141"/>
      <c r="BT372" s="141"/>
      <c r="BU372" s="130">
        <f t="shared" si="149"/>
        <v>0</v>
      </c>
      <c r="BV372" s="132"/>
    </row>
    <row r="373" ht="14.25" customHeight="1">
      <c r="A373" s="132"/>
      <c r="B373" s="491">
        <v>45991</v>
      </c>
      <c r="C373" s="133"/>
      <c r="D373" s="136"/>
      <c r="E373" s="135"/>
      <c r="F373" s="135"/>
      <c r="G373" s="147">
        <f t="shared" si="141"/>
        <v>0</v>
      </c>
      <c r="H373" s="768"/>
      <c r="I373" s="611"/>
      <c r="J373" s="611"/>
      <c r="K373" s="611"/>
      <c r="L373" s="611"/>
      <c r="M373" s="611"/>
      <c r="N373" s="143"/>
      <c r="O373" s="143"/>
      <c r="P373" s="143"/>
      <c r="Q373" s="143"/>
      <c r="R373" s="143"/>
      <c r="S373" s="143"/>
      <c r="T373" s="143"/>
      <c r="U373" s="143"/>
      <c r="V373" s="143"/>
      <c r="W373" s="103">
        <f t="shared" si="142"/>
        <v>0</v>
      </c>
      <c r="X373" s="611"/>
      <c r="Y373" s="611"/>
      <c r="Z373" s="611"/>
      <c r="AA373" s="611"/>
      <c r="AB373" s="611"/>
      <c r="AC373" s="143"/>
      <c r="AD373" s="143"/>
      <c r="AE373" s="143"/>
      <c r="AF373" s="143"/>
      <c r="AG373" s="143"/>
      <c r="AH373" s="143"/>
      <c r="AI373" s="143"/>
      <c r="AJ373" s="103">
        <f t="shared" si="143"/>
        <v>0</v>
      </c>
      <c r="AK373" s="136"/>
      <c r="AL373" s="136"/>
      <c r="AM373" s="136"/>
      <c r="AN373" s="105">
        <f t="shared" si="144"/>
        <v>0</v>
      </c>
      <c r="AO373" s="143"/>
      <c r="AP373" s="143"/>
      <c r="AQ373" s="143"/>
      <c r="AR373" s="146"/>
      <c r="AS373" s="224">
        <f t="shared" si="145"/>
        <v>0</v>
      </c>
      <c r="AT373" s="435"/>
      <c r="AU373" s="138"/>
      <c r="AV373" s="138"/>
      <c r="AW373" s="138"/>
      <c r="AX373" s="127"/>
      <c r="AY373" s="138"/>
      <c r="AZ373" s="127"/>
      <c r="BA373" s="127"/>
      <c r="BB373" s="127"/>
      <c r="BC373" s="138"/>
      <c r="BD373" s="222">
        <f t="shared" si="146"/>
        <v>0</v>
      </c>
      <c r="BE373" s="456">
        <f t="shared" si="147"/>
        <v>0</v>
      </c>
      <c r="BF373" s="132"/>
      <c r="BG373" s="140">
        <f t="shared" si="148"/>
        <v>0</v>
      </c>
      <c r="BH373" s="141"/>
      <c r="BI373" s="141"/>
      <c r="BJ373" s="141"/>
      <c r="BK373" s="141"/>
      <c r="BL373" s="141"/>
      <c r="BM373" s="141"/>
      <c r="BN373" s="141"/>
      <c r="BO373" s="141"/>
      <c r="BP373" s="141"/>
      <c r="BQ373" s="141"/>
      <c r="BR373" s="141"/>
      <c r="BS373" s="141"/>
      <c r="BT373" s="141"/>
      <c r="BU373" s="130">
        <f t="shared" si="149"/>
        <v>0</v>
      </c>
      <c r="BV373" s="132"/>
    </row>
    <row r="374" ht="14.25" customHeight="1">
      <c r="A374" s="3"/>
      <c r="B374" s="2" t="s">
        <v>85</v>
      </c>
      <c r="C374" s="166">
        <f ref="C374:Z374" t="shared" si="150">SUM(C343:C373)</f>
        <v>0</v>
      </c>
      <c r="D374" s="166">
        <f t="shared" si="150"/>
        <v>0</v>
      </c>
      <c r="E374" s="166">
        <f t="shared" si="150"/>
        <v>0</v>
      </c>
      <c r="F374" s="166">
        <f t="shared" si="150"/>
        <v>0</v>
      </c>
      <c r="G374" s="166">
        <f t="shared" si="150"/>
        <v>0</v>
      </c>
      <c r="H374" s="166">
        <f t="shared" si="150"/>
        <v>0</v>
      </c>
      <c r="I374" s="166">
        <f t="shared" si="150"/>
        <v>0</v>
      </c>
      <c r="J374" s="166">
        <f t="shared" si="150"/>
        <v>0</v>
      </c>
      <c r="K374" s="166">
        <f t="shared" si="150"/>
        <v>0</v>
      </c>
      <c r="L374" s="166">
        <f t="shared" si="150"/>
        <v>0</v>
      </c>
      <c r="M374" s="166">
        <f t="shared" si="150"/>
        <v>0</v>
      </c>
      <c r="N374" s="166">
        <f t="shared" si="150"/>
        <v>0</v>
      </c>
      <c r="O374" s="166">
        <f t="shared" si="150"/>
        <v>0</v>
      </c>
      <c r="P374" s="166">
        <f t="shared" si="150"/>
        <v>0</v>
      </c>
      <c r="Q374" s="166">
        <f t="shared" si="150"/>
        <v>0</v>
      </c>
      <c r="R374" s="166">
        <f t="shared" si="150"/>
        <v>0</v>
      </c>
      <c r="S374" s="166">
        <f t="shared" si="150"/>
        <v>0</v>
      </c>
      <c r="T374" s="166">
        <f t="shared" si="150"/>
        <v>0</v>
      </c>
      <c r="U374" s="166">
        <f t="shared" si="150"/>
        <v>0</v>
      </c>
      <c r="V374" s="166">
        <f t="shared" si="150"/>
        <v>0</v>
      </c>
      <c r="W374" s="166">
        <f t="shared" si="150"/>
        <v>0</v>
      </c>
      <c r="X374" s="166">
        <f t="shared" si="150"/>
        <v>0</v>
      </c>
      <c r="Y374" s="166">
        <f t="shared" si="150"/>
        <v>0</v>
      </c>
      <c r="Z374" s="166">
        <f t="shared" si="150"/>
        <v>0</v>
      </c>
      <c r="AA374" s="617"/>
      <c r="AB374" s="617"/>
      <c r="AC374" s="166">
        <f ref="AC374:AL374" t="shared" si="151">SUM(AC343:AC373)</f>
        <v>0</v>
      </c>
      <c r="AD374" s="166">
        <f t="shared" si="151"/>
        <v>0</v>
      </c>
      <c r="AE374" s="166">
        <f t="shared" si="151"/>
        <v>0</v>
      </c>
      <c r="AF374" s="166">
        <f t="shared" si="151"/>
        <v>0</v>
      </c>
      <c r="AG374" s="166">
        <f t="shared" si="151"/>
        <v>0</v>
      </c>
      <c r="AH374" s="166">
        <f t="shared" si="151"/>
        <v>0</v>
      </c>
      <c r="AI374" s="166">
        <f t="shared" si="151"/>
        <v>0</v>
      </c>
      <c r="AJ374" s="166">
        <f t="shared" si="151"/>
        <v>0</v>
      </c>
      <c r="AK374" s="166">
        <f t="shared" si="151"/>
        <v>0</v>
      </c>
      <c r="AL374" s="166">
        <f t="shared" si="151"/>
        <v>0</v>
      </c>
      <c r="AM374" s="166"/>
      <c r="AN374" s="166">
        <f ref="AN374:BE374" t="shared" si="152">SUM(AN343:AN373)</f>
        <v>0</v>
      </c>
      <c r="AO374" s="166">
        <f t="shared" si="152"/>
        <v>0</v>
      </c>
      <c r="AP374" s="166">
        <f t="shared" si="152"/>
        <v>0</v>
      </c>
      <c r="AQ374" s="166">
        <f t="shared" si="152"/>
        <v>0</v>
      </c>
      <c r="AR374" s="166">
        <f t="shared" si="152"/>
        <v>0</v>
      </c>
      <c r="AS374" s="166">
        <f t="shared" si="152"/>
        <v>0</v>
      </c>
      <c r="AT374" s="165">
        <f t="shared" si="152"/>
        <v>0</v>
      </c>
      <c r="AU374" s="165">
        <f t="shared" si="152"/>
        <v>0</v>
      </c>
      <c r="AV374" s="165">
        <f t="shared" si="152"/>
        <v>0</v>
      </c>
      <c r="AW374" s="165">
        <f t="shared" si="152"/>
        <v>0</v>
      </c>
      <c r="AX374" s="165">
        <f t="shared" si="152"/>
        <v>0</v>
      </c>
      <c r="AY374" s="165">
        <f t="shared" si="152"/>
        <v>0</v>
      </c>
      <c r="AZ374" s="165">
        <f t="shared" si="152"/>
        <v>0</v>
      </c>
      <c r="BA374" s="165">
        <f t="shared" si="152"/>
        <v>0</v>
      </c>
      <c r="BB374" s="165">
        <f t="shared" si="152"/>
        <v>0</v>
      </c>
      <c r="BC374" s="165">
        <f t="shared" si="152"/>
        <v>0</v>
      </c>
      <c r="BD374" s="166">
        <f t="shared" si="152"/>
        <v>0</v>
      </c>
      <c r="BE374" s="617">
        <f t="shared" si="152"/>
        <v>0</v>
      </c>
      <c r="BF374" s="132"/>
      <c r="BG374" s="166">
        <f ref="BG374:BU374" t="shared" si="153">SUM(BG343:BG373)</f>
        <v>0</v>
      </c>
      <c r="BH374" s="166">
        <f t="shared" si="153"/>
        <v>0</v>
      </c>
      <c r="BI374" s="166">
        <f t="shared" si="153"/>
        <v>0</v>
      </c>
      <c r="BJ374" s="166">
        <f t="shared" si="153"/>
        <v>0</v>
      </c>
      <c r="BK374" s="166">
        <f t="shared" si="153"/>
        <v>0</v>
      </c>
      <c r="BL374" s="166">
        <f t="shared" si="153"/>
        <v>0</v>
      </c>
      <c r="BM374" s="166">
        <f t="shared" si="153"/>
        <v>0</v>
      </c>
      <c r="BN374" s="166">
        <f t="shared" si="153"/>
        <v>0</v>
      </c>
      <c r="BO374" s="166">
        <f t="shared" si="153"/>
        <v>0</v>
      </c>
      <c r="BP374" s="166">
        <f t="shared" si="153"/>
        <v>0</v>
      </c>
      <c r="BQ374" s="166">
        <f t="shared" si="153"/>
        <v>0</v>
      </c>
      <c r="BR374" s="166">
        <f t="shared" si="153"/>
        <v>0</v>
      </c>
      <c r="BS374" s="166">
        <f t="shared" si="153"/>
        <v>0</v>
      </c>
      <c r="BT374" s="166">
        <f t="shared" si="153"/>
        <v>0</v>
      </c>
      <c r="BU374" s="166">
        <f t="shared" si="153"/>
        <v>0</v>
      </c>
      <c r="BV374" s="132"/>
    </row>
    <row r="375" ht="14.25" customHeight="1">
      <c r="A375" s="1"/>
      <c r="B375" s="2"/>
      <c r="C375" s="3"/>
      <c r="D375" s="3"/>
      <c r="E375" s="3"/>
      <c r="F375" s="3"/>
      <c r="G375" s="4"/>
      <c r="H375" s="1"/>
      <c r="I375" s="1"/>
      <c r="J375" s="1"/>
      <c r="K375" s="1"/>
      <c r="L375" s="1"/>
      <c r="M375" s="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1"/>
      <c r="Y375" s="1"/>
      <c r="Z375" s="1"/>
      <c r="AA375" s="1"/>
      <c r="AB375" s="1"/>
      <c r="AC375" s="3"/>
      <c r="AD375" s="3"/>
      <c r="AE375" s="3"/>
      <c r="AF375" s="3"/>
      <c r="AG375" s="3"/>
      <c r="AH375" s="3"/>
      <c r="AI375" s="3"/>
      <c r="AJ375" s="96"/>
      <c r="AK375" s="96"/>
      <c r="AL375" s="3"/>
      <c r="AM375" s="3"/>
      <c r="AN375" s="4"/>
      <c r="AO375" s="3"/>
      <c r="AP375" s="3"/>
      <c r="AQ375" s="3"/>
      <c r="AR375" s="3"/>
      <c r="AS375" s="3"/>
      <c r="AT375" s="1"/>
      <c r="AU375" s="3"/>
      <c r="AV375" s="3"/>
      <c r="AW375" s="3"/>
      <c r="AX375" s="3"/>
      <c r="AY375" s="3"/>
      <c r="AZ375" s="3"/>
      <c r="BA375" s="3"/>
      <c r="BB375" s="3"/>
      <c r="BC375" s="132"/>
      <c r="BD375" s="4"/>
      <c r="BE375" s="1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</row>
    <row r="376" ht="14.25" customHeight="1">
      <c r="A376" s="1"/>
      <c r="B376" s="2"/>
      <c r="C376" s="3"/>
      <c r="D376" s="3"/>
      <c r="E376" s="3"/>
      <c r="F376" s="3"/>
      <c r="G376" s="4"/>
      <c r="H376" s="1"/>
      <c r="I376" s="1"/>
      <c r="J376" s="1"/>
      <c r="K376" s="1"/>
      <c r="L376" s="1"/>
      <c r="M376" s="1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1"/>
      <c r="Y376" s="1"/>
      <c r="Z376" s="1"/>
      <c r="AA376" s="1"/>
      <c r="AB376" s="1"/>
      <c r="AC376" s="3"/>
      <c r="AD376" s="3"/>
      <c r="AE376" s="3"/>
      <c r="AF376" s="3"/>
      <c r="AG376" s="3"/>
      <c r="AH376" s="3"/>
      <c r="AI376" s="3"/>
      <c r="AJ376" s="176"/>
      <c r="AK376" s="176"/>
      <c r="AL376" s="3"/>
      <c r="AM376" s="3"/>
      <c r="AN376" s="4"/>
      <c r="AO376" s="3"/>
      <c r="AP376" s="3"/>
      <c r="AQ376" s="3"/>
      <c r="AR376" s="3"/>
      <c r="AS376" s="3"/>
      <c r="AT376" s="1"/>
      <c r="AU376" s="3"/>
      <c r="AV376" s="3"/>
      <c r="AW376" s="3"/>
      <c r="AX376" s="3"/>
      <c r="AY376" s="3"/>
      <c r="AZ376" s="3"/>
      <c r="BA376" s="3"/>
      <c r="BB376" s="3"/>
      <c r="BC376" s="132"/>
      <c r="BD376" s="4"/>
      <c r="BE376" s="1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</row>
    <row r="377" ht="14.25" customHeight="1">
      <c r="A377" s="3"/>
      <c r="B377" s="215">
        <v>46357</v>
      </c>
      <c r="C377" s="94"/>
      <c r="D377" s="104"/>
      <c r="E377" s="97"/>
      <c r="F377" s="97"/>
      <c r="G377" s="265">
        <f ref="G377:G407" t="shared" si="154">+C377+D377+E377+F377</f>
        <v>0</v>
      </c>
      <c r="H377" s="778"/>
      <c r="I377" s="619"/>
      <c r="J377" s="619"/>
      <c r="K377" s="619"/>
      <c r="L377" s="619"/>
      <c r="M377" s="619"/>
      <c r="N377" s="186"/>
      <c r="O377" s="186"/>
      <c r="P377" s="186"/>
      <c r="Q377" s="186"/>
      <c r="R377" s="186"/>
      <c r="S377" s="186"/>
      <c r="T377" s="186"/>
      <c r="U377" s="186"/>
      <c r="V377" s="186"/>
      <c r="W377" s="103">
        <f ref="W377:W407" t="shared" si="155">SUM(H377:V377)</f>
        <v>0</v>
      </c>
      <c r="X377" s="619"/>
      <c r="Y377" s="619"/>
      <c r="Z377" s="619"/>
      <c r="AA377" s="619"/>
      <c r="AB377" s="619"/>
      <c r="AC377" s="186"/>
      <c r="AD377" s="186"/>
      <c r="AE377" s="186"/>
      <c r="AF377" s="186"/>
      <c r="AG377" s="186"/>
      <c r="AH377" s="186"/>
      <c r="AI377" s="186"/>
      <c r="AJ377" s="103">
        <f ref="AJ377:AJ407" t="shared" si="156">SUM(X377:AI377)</f>
        <v>0</v>
      </c>
      <c r="AK377" s="104"/>
      <c r="AL377" s="104"/>
      <c r="AM377" s="104"/>
      <c r="AN377" s="191">
        <f ref="AN377:AN407" t="shared" si="157">SUM(AK377:AM377)</f>
        <v>0</v>
      </c>
      <c r="AO377" s="186"/>
      <c r="AP377" s="186"/>
      <c r="AQ377" s="186"/>
      <c r="AR377" s="193"/>
      <c r="AS377" s="266">
        <f ref="AS377:AS407" t="shared" si="158">+G377-W377-AJ377-AN377-AO377-AP377-AQ377-AR377</f>
        <v>0</v>
      </c>
      <c r="AT377" s="427"/>
      <c r="AU377" s="270"/>
      <c r="AV377" s="109"/>
      <c r="AW377" s="109"/>
      <c r="AX377" s="127"/>
      <c r="AY377" s="109"/>
      <c r="AZ377" s="127"/>
      <c r="BA377" s="127"/>
      <c r="BB377" s="127"/>
      <c r="BC377" s="109"/>
      <c r="BD377" s="272">
        <f ref="BD377:BD407" t="shared" si="159">SUM(AT377:BC377)-BB377</f>
        <v>0</v>
      </c>
      <c r="BE377" s="1051">
        <f ref="BE377:BE407" t="shared" si="160">+AS377-BD377</f>
        <v>0</v>
      </c>
      <c r="BF377" s="3"/>
      <c r="BG377" s="114">
        <f ref="BG377:BG407" t="shared" si="161">SUM(BH377:BT377)</f>
        <v>0</v>
      </c>
      <c r="BH377" s="115"/>
      <c r="BI377" s="115"/>
      <c r="BJ377" s="115"/>
      <c r="BK377" s="115"/>
      <c r="BL377" s="115"/>
      <c r="BM377" s="115"/>
      <c r="BN377" s="115"/>
      <c r="BO377" s="115"/>
      <c r="BP377" s="115"/>
      <c r="BQ377" s="115"/>
      <c r="BR377" s="115"/>
      <c r="BS377" s="115"/>
      <c r="BT377" s="115"/>
      <c r="BU377" s="116">
        <f ref="BU377:BU407" t="shared" si="162">+BE377-BG377</f>
        <v>0</v>
      </c>
      <c r="BV377" s="3"/>
    </row>
    <row r="378" ht="14.25" customHeight="1">
      <c r="A378" s="3"/>
      <c r="B378" s="215">
        <v>46358</v>
      </c>
      <c r="C378" s="118"/>
      <c r="D378" s="123"/>
      <c r="E378" s="120"/>
      <c r="F378" s="120"/>
      <c r="G378" s="147">
        <f t="shared" si="154"/>
        <v>0</v>
      </c>
      <c r="H378" s="768"/>
      <c r="I378" s="611"/>
      <c r="J378" s="611"/>
      <c r="K378" s="611"/>
      <c r="L378" s="611"/>
      <c r="M378" s="611"/>
      <c r="N378" s="143"/>
      <c r="O378" s="143"/>
      <c r="P378" s="143"/>
      <c r="Q378" s="143"/>
      <c r="R378" s="143"/>
      <c r="S378" s="143"/>
      <c r="T378" s="143"/>
      <c r="U378" s="143"/>
      <c r="V378" s="143"/>
      <c r="W378" s="103">
        <f t="shared" si="155"/>
        <v>0</v>
      </c>
      <c r="X378" s="611"/>
      <c r="Y378" s="611"/>
      <c r="Z378" s="611"/>
      <c r="AA378" s="611"/>
      <c r="AB378" s="611"/>
      <c r="AC378" s="143"/>
      <c r="AD378" s="143"/>
      <c r="AE378" s="143"/>
      <c r="AF378" s="143"/>
      <c r="AG378" s="143"/>
      <c r="AH378" s="143"/>
      <c r="AI378" s="143"/>
      <c r="AJ378" s="103">
        <f t="shared" si="156"/>
        <v>0</v>
      </c>
      <c r="AK378" s="123"/>
      <c r="AL378" s="123"/>
      <c r="AM378" s="123"/>
      <c r="AN378" s="105">
        <f t="shared" si="157"/>
        <v>0</v>
      </c>
      <c r="AO378" s="143"/>
      <c r="AP378" s="143"/>
      <c r="AQ378" s="143"/>
      <c r="AR378" s="146"/>
      <c r="AS378" s="224">
        <f t="shared" si="158"/>
        <v>0</v>
      </c>
      <c r="AT378" s="433"/>
      <c r="AU378" s="275"/>
      <c r="AV378" s="126"/>
      <c r="AW378" s="126"/>
      <c r="AX378" s="127"/>
      <c r="AY378" s="126"/>
      <c r="AZ378" s="127"/>
      <c r="BA378" s="127"/>
      <c r="BB378" s="127"/>
      <c r="BC378" s="126"/>
      <c r="BD378" s="222">
        <f t="shared" si="159"/>
        <v>0</v>
      </c>
      <c r="BE378" s="1055">
        <f t="shared" si="160"/>
        <v>0</v>
      </c>
      <c r="BF378" s="3"/>
      <c r="BG378" s="113">
        <f t="shared" si="161"/>
        <v>0</v>
      </c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30">
        <f t="shared" si="162"/>
        <v>0</v>
      </c>
      <c r="BV378" s="3"/>
    </row>
    <row r="379" ht="14.25" customHeight="1">
      <c r="A379" s="132"/>
      <c r="B379" s="215">
        <v>46359</v>
      </c>
      <c r="C379" s="133"/>
      <c r="D379" s="136"/>
      <c r="E379" s="135"/>
      <c r="F379" s="135"/>
      <c r="G379" s="147">
        <f t="shared" si="154"/>
        <v>0</v>
      </c>
      <c r="H379" s="768"/>
      <c r="I379" s="611"/>
      <c r="J379" s="611"/>
      <c r="K379" s="611"/>
      <c r="L379" s="611"/>
      <c r="M379" s="611"/>
      <c r="N379" s="143"/>
      <c r="O379" s="143"/>
      <c r="P379" s="143"/>
      <c r="Q379" s="143"/>
      <c r="R379" s="143"/>
      <c r="S379" s="143"/>
      <c r="T379" s="143"/>
      <c r="U379" s="143"/>
      <c r="V379" s="143"/>
      <c r="W379" s="103">
        <f t="shared" si="155"/>
        <v>0</v>
      </c>
      <c r="X379" s="611"/>
      <c r="Y379" s="611"/>
      <c r="Z379" s="611"/>
      <c r="AA379" s="611"/>
      <c r="AB379" s="611"/>
      <c r="AC379" s="143"/>
      <c r="AD379" s="143"/>
      <c r="AE379" s="143"/>
      <c r="AF379" s="143"/>
      <c r="AG379" s="143"/>
      <c r="AH379" s="143"/>
      <c r="AI379" s="143"/>
      <c r="AJ379" s="103">
        <f t="shared" si="156"/>
        <v>0</v>
      </c>
      <c r="AK379" s="136"/>
      <c r="AL379" s="136"/>
      <c r="AM379" s="136"/>
      <c r="AN379" s="105">
        <f t="shared" si="157"/>
        <v>0</v>
      </c>
      <c r="AO379" s="143"/>
      <c r="AP379" s="143"/>
      <c r="AQ379" s="143"/>
      <c r="AR379" s="146"/>
      <c r="AS379" s="224">
        <f t="shared" si="158"/>
        <v>0</v>
      </c>
      <c r="AT379" s="433"/>
      <c r="AU379" s="275"/>
      <c r="AV379" s="126"/>
      <c r="AW379" s="126"/>
      <c r="AX379" s="127"/>
      <c r="AY379" s="126"/>
      <c r="AZ379" s="127"/>
      <c r="BA379" s="127"/>
      <c r="BB379" s="127"/>
      <c r="BC379" s="126"/>
      <c r="BD379" s="222">
        <f t="shared" si="159"/>
        <v>0</v>
      </c>
      <c r="BE379" s="456">
        <f t="shared" si="160"/>
        <v>0</v>
      </c>
      <c r="BF379" s="132"/>
      <c r="BG379" s="140">
        <f t="shared" si="161"/>
        <v>0</v>
      </c>
      <c r="BH379" s="141"/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30">
        <f t="shared" si="162"/>
        <v>0</v>
      </c>
      <c r="BV379" s="132"/>
    </row>
    <row r="380" ht="14.25" customHeight="1">
      <c r="A380" s="132"/>
      <c r="B380" s="215">
        <v>46360</v>
      </c>
      <c r="C380" s="133"/>
      <c r="D380" s="136"/>
      <c r="E380" s="135"/>
      <c r="F380" s="135"/>
      <c r="G380" s="147">
        <f t="shared" si="154"/>
        <v>0</v>
      </c>
      <c r="H380" s="768"/>
      <c r="I380" s="611"/>
      <c r="J380" s="611"/>
      <c r="K380" s="611"/>
      <c r="L380" s="611"/>
      <c r="M380" s="611"/>
      <c r="N380" s="143"/>
      <c r="O380" s="143"/>
      <c r="P380" s="143"/>
      <c r="Q380" s="143"/>
      <c r="R380" s="143"/>
      <c r="S380" s="143"/>
      <c r="T380" s="143"/>
      <c r="U380" s="143"/>
      <c r="V380" s="143"/>
      <c r="W380" s="103">
        <f t="shared" si="155"/>
        <v>0</v>
      </c>
      <c r="X380" s="611"/>
      <c r="Y380" s="611"/>
      <c r="Z380" s="611"/>
      <c r="AA380" s="611"/>
      <c r="AB380" s="611"/>
      <c r="AC380" s="143"/>
      <c r="AD380" s="143"/>
      <c r="AE380" s="143"/>
      <c r="AF380" s="143"/>
      <c r="AG380" s="143"/>
      <c r="AH380" s="143"/>
      <c r="AI380" s="143"/>
      <c r="AJ380" s="103">
        <f t="shared" si="156"/>
        <v>0</v>
      </c>
      <c r="AK380" s="136"/>
      <c r="AL380" s="136"/>
      <c r="AM380" s="136"/>
      <c r="AN380" s="105">
        <f t="shared" si="157"/>
        <v>0</v>
      </c>
      <c r="AO380" s="143"/>
      <c r="AP380" s="143"/>
      <c r="AQ380" s="143"/>
      <c r="AR380" s="146"/>
      <c r="AS380" s="224">
        <f t="shared" si="158"/>
        <v>0</v>
      </c>
      <c r="AT380" s="433"/>
      <c r="AU380" s="275"/>
      <c r="AV380" s="126"/>
      <c r="AW380" s="126"/>
      <c r="AX380" s="127"/>
      <c r="AY380" s="126"/>
      <c r="AZ380" s="127"/>
      <c r="BA380" s="127"/>
      <c r="BB380" s="127"/>
      <c r="BC380" s="126"/>
      <c r="BD380" s="222">
        <f t="shared" si="159"/>
        <v>0</v>
      </c>
      <c r="BE380" s="456">
        <f t="shared" si="160"/>
        <v>0</v>
      </c>
      <c r="BF380" s="132"/>
      <c r="BG380" s="140">
        <f t="shared" si="161"/>
        <v>0</v>
      </c>
      <c r="BH380" s="141"/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30">
        <f t="shared" si="162"/>
        <v>0</v>
      </c>
      <c r="BV380" s="132"/>
    </row>
    <row r="381" ht="14.25" customHeight="1">
      <c r="A381" s="132"/>
      <c r="B381" s="215">
        <v>46361</v>
      </c>
      <c r="C381" s="133"/>
      <c r="D381" s="136"/>
      <c r="E381" s="135"/>
      <c r="F381" s="135"/>
      <c r="G381" s="147">
        <f t="shared" si="154"/>
        <v>0</v>
      </c>
      <c r="H381" s="768"/>
      <c r="I381" s="611"/>
      <c r="J381" s="611"/>
      <c r="K381" s="611"/>
      <c r="L381" s="611"/>
      <c r="M381" s="611"/>
      <c r="N381" s="143"/>
      <c r="O381" s="143"/>
      <c r="P381" s="143"/>
      <c r="Q381" s="143"/>
      <c r="R381" s="143"/>
      <c r="S381" s="143"/>
      <c r="T381" s="143"/>
      <c r="U381" s="143"/>
      <c r="V381" s="143"/>
      <c r="W381" s="103">
        <f t="shared" si="155"/>
        <v>0</v>
      </c>
      <c r="X381" s="611"/>
      <c r="Y381" s="611"/>
      <c r="Z381" s="611"/>
      <c r="AA381" s="611"/>
      <c r="AB381" s="611"/>
      <c r="AC381" s="143"/>
      <c r="AD381" s="143"/>
      <c r="AE381" s="143"/>
      <c r="AF381" s="143"/>
      <c r="AG381" s="143"/>
      <c r="AH381" s="143"/>
      <c r="AI381" s="143"/>
      <c r="AJ381" s="103">
        <f t="shared" si="156"/>
        <v>0</v>
      </c>
      <c r="AK381" s="136"/>
      <c r="AL381" s="136"/>
      <c r="AM381" s="136"/>
      <c r="AN381" s="105">
        <f t="shared" si="157"/>
        <v>0</v>
      </c>
      <c r="AO381" s="143"/>
      <c r="AP381" s="143"/>
      <c r="AQ381" s="143"/>
      <c r="AR381" s="146"/>
      <c r="AS381" s="224">
        <f t="shared" si="158"/>
        <v>0</v>
      </c>
      <c r="AT381" s="433"/>
      <c r="AU381" s="275"/>
      <c r="AV381" s="126"/>
      <c r="AW381" s="126"/>
      <c r="AX381" s="127"/>
      <c r="AY381" s="126"/>
      <c r="AZ381" s="127"/>
      <c r="BA381" s="127"/>
      <c r="BB381" s="127"/>
      <c r="BC381" s="126"/>
      <c r="BD381" s="222">
        <f t="shared" si="159"/>
        <v>0</v>
      </c>
      <c r="BE381" s="456">
        <f t="shared" si="160"/>
        <v>0</v>
      </c>
      <c r="BF381" s="132"/>
      <c r="BG381" s="140">
        <f t="shared" si="161"/>
        <v>0</v>
      </c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30">
        <f t="shared" si="162"/>
        <v>0</v>
      </c>
      <c r="BV381" s="132"/>
    </row>
    <row r="382" ht="14.25" customHeight="1">
      <c r="A382" s="132"/>
      <c r="B382" s="215">
        <v>46362</v>
      </c>
      <c r="C382" s="133"/>
      <c r="D382" s="136"/>
      <c r="E382" s="135"/>
      <c r="F382" s="135"/>
      <c r="G382" s="147">
        <f t="shared" si="154"/>
        <v>0</v>
      </c>
      <c r="H382" s="768"/>
      <c r="I382" s="611"/>
      <c r="J382" s="611"/>
      <c r="K382" s="611"/>
      <c r="L382" s="611"/>
      <c r="M382" s="611"/>
      <c r="N382" s="143"/>
      <c r="O382" s="143"/>
      <c r="P382" s="143"/>
      <c r="Q382" s="143"/>
      <c r="R382" s="143"/>
      <c r="S382" s="143"/>
      <c r="T382" s="143"/>
      <c r="U382" s="143"/>
      <c r="V382" s="143"/>
      <c r="W382" s="103">
        <f t="shared" si="155"/>
        <v>0</v>
      </c>
      <c r="X382" s="611"/>
      <c r="Y382" s="611"/>
      <c r="Z382" s="611"/>
      <c r="AA382" s="611"/>
      <c r="AB382" s="611"/>
      <c r="AC382" s="143"/>
      <c r="AD382" s="143"/>
      <c r="AE382" s="143"/>
      <c r="AF382" s="143"/>
      <c r="AG382" s="143"/>
      <c r="AH382" s="143"/>
      <c r="AI382" s="143"/>
      <c r="AJ382" s="103">
        <f t="shared" si="156"/>
        <v>0</v>
      </c>
      <c r="AK382" s="136"/>
      <c r="AL382" s="136"/>
      <c r="AM382" s="136"/>
      <c r="AN382" s="105">
        <f t="shared" si="157"/>
        <v>0</v>
      </c>
      <c r="AO382" s="143"/>
      <c r="AP382" s="143"/>
      <c r="AQ382" s="143"/>
      <c r="AR382" s="146"/>
      <c r="AS382" s="224">
        <f t="shared" si="158"/>
        <v>0</v>
      </c>
      <c r="AT382" s="433"/>
      <c r="AU382" s="275"/>
      <c r="AV382" s="126"/>
      <c r="AW382" s="126"/>
      <c r="AX382" s="127"/>
      <c r="AY382" s="126"/>
      <c r="AZ382" s="127"/>
      <c r="BA382" s="127"/>
      <c r="BB382" s="127"/>
      <c r="BC382" s="126"/>
      <c r="BD382" s="222">
        <f t="shared" si="159"/>
        <v>0</v>
      </c>
      <c r="BE382" s="456">
        <f t="shared" si="160"/>
        <v>0</v>
      </c>
      <c r="BF382" s="132"/>
      <c r="BG382" s="140">
        <f t="shared" si="161"/>
        <v>0</v>
      </c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30">
        <f t="shared" si="162"/>
        <v>0</v>
      </c>
      <c r="BV382" s="132"/>
    </row>
    <row r="383" ht="14.25" customHeight="1">
      <c r="A383" s="132"/>
      <c r="B383" s="215">
        <v>46363</v>
      </c>
      <c r="C383" s="133"/>
      <c r="D383" s="136"/>
      <c r="E383" s="135"/>
      <c r="F383" s="135"/>
      <c r="G383" s="147">
        <f t="shared" si="154"/>
        <v>0</v>
      </c>
      <c r="H383" s="768"/>
      <c r="I383" s="611"/>
      <c r="J383" s="611"/>
      <c r="K383" s="611"/>
      <c r="L383" s="611"/>
      <c r="M383" s="611"/>
      <c r="N383" s="143"/>
      <c r="O383" s="143"/>
      <c r="P383" s="143"/>
      <c r="Q383" s="143"/>
      <c r="R383" s="143"/>
      <c r="S383" s="143"/>
      <c r="T383" s="143"/>
      <c r="U383" s="143"/>
      <c r="V383" s="143"/>
      <c r="W383" s="103">
        <f t="shared" si="155"/>
        <v>0</v>
      </c>
      <c r="X383" s="611"/>
      <c r="Y383" s="611"/>
      <c r="Z383" s="611"/>
      <c r="AA383" s="611"/>
      <c r="AB383" s="611"/>
      <c r="AC383" s="143"/>
      <c r="AD383" s="143"/>
      <c r="AE383" s="143"/>
      <c r="AF383" s="143"/>
      <c r="AG383" s="143"/>
      <c r="AH383" s="143"/>
      <c r="AI383" s="143"/>
      <c r="AJ383" s="103">
        <f t="shared" si="156"/>
        <v>0</v>
      </c>
      <c r="AK383" s="136"/>
      <c r="AL383" s="136"/>
      <c r="AM383" s="136"/>
      <c r="AN383" s="105">
        <f t="shared" si="157"/>
        <v>0</v>
      </c>
      <c r="AO383" s="143"/>
      <c r="AP383" s="143"/>
      <c r="AQ383" s="143"/>
      <c r="AR383" s="146"/>
      <c r="AS383" s="224">
        <f t="shared" si="158"/>
        <v>0</v>
      </c>
      <c r="AT383" s="433"/>
      <c r="AU383" s="275"/>
      <c r="AV383" s="126"/>
      <c r="AW383" s="126"/>
      <c r="AX383" s="127"/>
      <c r="AY383" s="126"/>
      <c r="AZ383" s="127"/>
      <c r="BA383" s="127"/>
      <c r="BB383" s="127"/>
      <c r="BC383" s="126"/>
      <c r="BD383" s="222">
        <f t="shared" si="159"/>
        <v>0</v>
      </c>
      <c r="BE383" s="456">
        <f t="shared" si="160"/>
        <v>0</v>
      </c>
      <c r="BF383" s="132"/>
      <c r="BG383" s="140">
        <f t="shared" si="161"/>
        <v>0</v>
      </c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30">
        <f t="shared" si="162"/>
        <v>0</v>
      </c>
      <c r="BV383" s="132"/>
    </row>
    <row r="384" ht="14.25" customHeight="1">
      <c r="A384" s="132"/>
      <c r="B384" s="215">
        <v>46364</v>
      </c>
      <c r="C384" s="133"/>
      <c r="D384" s="136"/>
      <c r="E384" s="135"/>
      <c r="F384" s="135"/>
      <c r="G384" s="147">
        <f t="shared" si="154"/>
        <v>0</v>
      </c>
      <c r="H384" s="768"/>
      <c r="I384" s="611"/>
      <c r="J384" s="611"/>
      <c r="K384" s="611"/>
      <c r="L384" s="611"/>
      <c r="M384" s="611"/>
      <c r="N384" s="143"/>
      <c r="O384" s="143"/>
      <c r="P384" s="143"/>
      <c r="Q384" s="143"/>
      <c r="R384" s="143"/>
      <c r="S384" s="143"/>
      <c r="T384" s="143"/>
      <c r="U384" s="143"/>
      <c r="V384" s="143"/>
      <c r="W384" s="103">
        <f t="shared" si="155"/>
        <v>0</v>
      </c>
      <c r="X384" s="611"/>
      <c r="Y384" s="611"/>
      <c r="Z384" s="611"/>
      <c r="AA384" s="611"/>
      <c r="AB384" s="611"/>
      <c r="AC384" s="143"/>
      <c r="AD384" s="143"/>
      <c r="AE384" s="143"/>
      <c r="AF384" s="143"/>
      <c r="AG384" s="143"/>
      <c r="AH384" s="143"/>
      <c r="AI384" s="143"/>
      <c r="AJ384" s="103">
        <f t="shared" si="156"/>
        <v>0</v>
      </c>
      <c r="AK384" s="136"/>
      <c r="AL384" s="136"/>
      <c r="AM384" s="136"/>
      <c r="AN384" s="105">
        <f t="shared" si="157"/>
        <v>0</v>
      </c>
      <c r="AO384" s="143"/>
      <c r="AP384" s="143"/>
      <c r="AQ384" s="143"/>
      <c r="AR384" s="146"/>
      <c r="AS384" s="224">
        <f t="shared" si="158"/>
        <v>0</v>
      </c>
      <c r="AT384" s="433"/>
      <c r="AU384" s="275"/>
      <c r="AV384" s="126"/>
      <c r="AW384" s="126"/>
      <c r="AX384" s="127"/>
      <c r="AY384" s="126"/>
      <c r="AZ384" s="127"/>
      <c r="BA384" s="127"/>
      <c r="BB384" s="127"/>
      <c r="BC384" s="126"/>
      <c r="BD384" s="222">
        <f t="shared" si="159"/>
        <v>0</v>
      </c>
      <c r="BE384" s="456">
        <f t="shared" si="160"/>
        <v>0</v>
      </c>
      <c r="BF384" s="132"/>
      <c r="BG384" s="140">
        <f t="shared" si="161"/>
        <v>0</v>
      </c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30">
        <f t="shared" si="162"/>
        <v>0</v>
      </c>
      <c r="BV384" s="132"/>
    </row>
    <row r="385" ht="14.25" customHeight="1">
      <c r="A385" s="132"/>
      <c r="B385" s="215">
        <v>46365</v>
      </c>
      <c r="C385" s="133"/>
      <c r="D385" s="136"/>
      <c r="E385" s="135"/>
      <c r="F385" s="135"/>
      <c r="G385" s="147">
        <f t="shared" si="154"/>
        <v>0</v>
      </c>
      <c r="H385" s="768"/>
      <c r="I385" s="611"/>
      <c r="J385" s="611"/>
      <c r="K385" s="611"/>
      <c r="L385" s="611"/>
      <c r="M385" s="611"/>
      <c r="N385" s="143"/>
      <c r="O385" s="143"/>
      <c r="P385" s="143"/>
      <c r="Q385" s="143"/>
      <c r="R385" s="143"/>
      <c r="S385" s="143"/>
      <c r="T385" s="143"/>
      <c r="U385" s="143"/>
      <c r="V385" s="143"/>
      <c r="W385" s="103">
        <f t="shared" si="155"/>
        <v>0</v>
      </c>
      <c r="X385" s="611"/>
      <c r="Y385" s="611"/>
      <c r="Z385" s="611"/>
      <c r="AA385" s="611"/>
      <c r="AB385" s="611"/>
      <c r="AC385" s="143"/>
      <c r="AD385" s="143"/>
      <c r="AE385" s="143"/>
      <c r="AF385" s="143"/>
      <c r="AG385" s="143"/>
      <c r="AH385" s="143"/>
      <c r="AI385" s="143"/>
      <c r="AJ385" s="103">
        <f t="shared" si="156"/>
        <v>0</v>
      </c>
      <c r="AK385" s="136"/>
      <c r="AL385" s="136"/>
      <c r="AM385" s="136"/>
      <c r="AN385" s="105">
        <f t="shared" si="157"/>
        <v>0</v>
      </c>
      <c r="AO385" s="143"/>
      <c r="AP385" s="143"/>
      <c r="AQ385" s="143"/>
      <c r="AR385" s="146"/>
      <c r="AS385" s="224">
        <f t="shared" si="158"/>
        <v>0</v>
      </c>
      <c r="AT385" s="433"/>
      <c r="AU385" s="275"/>
      <c r="AV385" s="126"/>
      <c r="AW385" s="126"/>
      <c r="AX385" s="127"/>
      <c r="AY385" s="126"/>
      <c r="AZ385" s="127"/>
      <c r="BA385" s="127"/>
      <c r="BB385" s="127"/>
      <c r="BC385" s="126"/>
      <c r="BD385" s="222">
        <f t="shared" si="159"/>
        <v>0</v>
      </c>
      <c r="BE385" s="456">
        <f t="shared" si="160"/>
        <v>0</v>
      </c>
      <c r="BF385" s="132"/>
      <c r="BG385" s="140">
        <f t="shared" si="161"/>
        <v>0</v>
      </c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30">
        <f t="shared" si="162"/>
        <v>0</v>
      </c>
      <c r="BV385" s="132"/>
    </row>
    <row r="386" ht="14.25" customHeight="1">
      <c r="A386" s="132"/>
      <c r="B386" s="215">
        <v>46366</v>
      </c>
      <c r="C386" s="133"/>
      <c r="D386" s="136"/>
      <c r="E386" s="135"/>
      <c r="F386" s="135"/>
      <c r="G386" s="147">
        <f t="shared" si="154"/>
        <v>0</v>
      </c>
      <c r="H386" s="768"/>
      <c r="I386" s="611"/>
      <c r="J386" s="611"/>
      <c r="K386" s="611"/>
      <c r="L386" s="611"/>
      <c r="M386" s="611"/>
      <c r="N386" s="143"/>
      <c r="O386" s="143"/>
      <c r="P386" s="143"/>
      <c r="Q386" s="143"/>
      <c r="R386" s="143"/>
      <c r="S386" s="143"/>
      <c r="T386" s="143"/>
      <c r="U386" s="143"/>
      <c r="V386" s="143"/>
      <c r="W386" s="103">
        <f t="shared" si="155"/>
        <v>0</v>
      </c>
      <c r="X386" s="611"/>
      <c r="Y386" s="611"/>
      <c r="Z386" s="611"/>
      <c r="AA386" s="611"/>
      <c r="AB386" s="611"/>
      <c r="AC386" s="143"/>
      <c r="AD386" s="143"/>
      <c r="AE386" s="143"/>
      <c r="AF386" s="143"/>
      <c r="AG386" s="143"/>
      <c r="AH386" s="143"/>
      <c r="AI386" s="143"/>
      <c r="AJ386" s="103">
        <f t="shared" si="156"/>
        <v>0</v>
      </c>
      <c r="AK386" s="136"/>
      <c r="AL386" s="136"/>
      <c r="AM386" s="136"/>
      <c r="AN386" s="105">
        <f t="shared" si="157"/>
        <v>0</v>
      </c>
      <c r="AO386" s="143"/>
      <c r="AP386" s="143"/>
      <c r="AQ386" s="143"/>
      <c r="AR386" s="146"/>
      <c r="AS386" s="224">
        <f t="shared" si="158"/>
        <v>0</v>
      </c>
      <c r="AT386" s="433"/>
      <c r="AU386" s="275"/>
      <c r="AV386" s="126"/>
      <c r="AW386" s="126"/>
      <c r="AX386" s="127"/>
      <c r="AY386" s="126"/>
      <c r="AZ386" s="127"/>
      <c r="BA386" s="127"/>
      <c r="BB386" s="127"/>
      <c r="BC386" s="126"/>
      <c r="BD386" s="222">
        <f t="shared" si="159"/>
        <v>0</v>
      </c>
      <c r="BE386" s="456">
        <f t="shared" si="160"/>
        <v>0</v>
      </c>
      <c r="BF386" s="132"/>
      <c r="BG386" s="140">
        <f t="shared" si="161"/>
        <v>0</v>
      </c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30">
        <f t="shared" si="162"/>
        <v>0</v>
      </c>
      <c r="BV386" s="132"/>
    </row>
    <row r="387" ht="14.25" customHeight="1">
      <c r="A387" s="132"/>
      <c r="B387" s="215">
        <v>46367</v>
      </c>
      <c r="C387" s="133"/>
      <c r="D387" s="136"/>
      <c r="E387" s="135"/>
      <c r="F387" s="135"/>
      <c r="G387" s="147">
        <f t="shared" si="154"/>
        <v>0</v>
      </c>
      <c r="H387" s="768"/>
      <c r="I387" s="611"/>
      <c r="J387" s="611"/>
      <c r="K387" s="611"/>
      <c r="L387" s="611"/>
      <c r="M387" s="611"/>
      <c r="N387" s="143"/>
      <c r="O387" s="143"/>
      <c r="P387" s="143"/>
      <c r="Q387" s="143"/>
      <c r="R387" s="143"/>
      <c r="S387" s="143"/>
      <c r="T387" s="143"/>
      <c r="U387" s="143"/>
      <c r="V387" s="143"/>
      <c r="W387" s="103">
        <f t="shared" si="155"/>
        <v>0</v>
      </c>
      <c r="X387" s="611"/>
      <c r="Y387" s="611"/>
      <c r="Z387" s="611"/>
      <c r="AA387" s="611"/>
      <c r="AB387" s="611"/>
      <c r="AC387" s="143"/>
      <c r="AD387" s="143"/>
      <c r="AE387" s="143"/>
      <c r="AF387" s="143"/>
      <c r="AG387" s="143"/>
      <c r="AH387" s="143"/>
      <c r="AI387" s="143"/>
      <c r="AJ387" s="103">
        <f t="shared" si="156"/>
        <v>0</v>
      </c>
      <c r="AK387" s="136"/>
      <c r="AL387" s="136"/>
      <c r="AM387" s="136"/>
      <c r="AN387" s="105">
        <f t="shared" si="157"/>
        <v>0</v>
      </c>
      <c r="AO387" s="143"/>
      <c r="AP387" s="143"/>
      <c r="AQ387" s="143"/>
      <c r="AR387" s="146"/>
      <c r="AS387" s="224">
        <f t="shared" si="158"/>
        <v>0</v>
      </c>
      <c r="AT387" s="433"/>
      <c r="AU387" s="275"/>
      <c r="AV387" s="126"/>
      <c r="AW387" s="126"/>
      <c r="AX387" s="127"/>
      <c r="AY387" s="126"/>
      <c r="AZ387" s="127"/>
      <c r="BA387" s="127"/>
      <c r="BB387" s="127"/>
      <c r="BC387" s="126"/>
      <c r="BD387" s="222">
        <f t="shared" si="159"/>
        <v>0</v>
      </c>
      <c r="BE387" s="456">
        <f t="shared" si="160"/>
        <v>0</v>
      </c>
      <c r="BF387" s="132"/>
      <c r="BG387" s="140">
        <f t="shared" si="161"/>
        <v>0</v>
      </c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30">
        <f t="shared" si="162"/>
        <v>0</v>
      </c>
      <c r="BV387" s="132"/>
    </row>
    <row r="388" ht="14.25" customHeight="1">
      <c r="A388" s="132"/>
      <c r="B388" s="215">
        <v>46368</v>
      </c>
      <c r="C388" s="133"/>
      <c r="D388" s="136"/>
      <c r="E388" s="135"/>
      <c r="F388" s="135"/>
      <c r="G388" s="147">
        <f t="shared" si="154"/>
        <v>0</v>
      </c>
      <c r="H388" s="768"/>
      <c r="I388" s="611"/>
      <c r="J388" s="611"/>
      <c r="K388" s="611"/>
      <c r="L388" s="611"/>
      <c r="M388" s="611"/>
      <c r="N388" s="143"/>
      <c r="O388" s="143"/>
      <c r="P388" s="143"/>
      <c r="Q388" s="143"/>
      <c r="R388" s="143"/>
      <c r="S388" s="143"/>
      <c r="T388" s="143"/>
      <c r="U388" s="143"/>
      <c r="V388" s="143"/>
      <c r="W388" s="103">
        <f t="shared" si="155"/>
        <v>0</v>
      </c>
      <c r="X388" s="611"/>
      <c r="Y388" s="611"/>
      <c r="Z388" s="611"/>
      <c r="AA388" s="611"/>
      <c r="AB388" s="611"/>
      <c r="AC388" s="143"/>
      <c r="AD388" s="143"/>
      <c r="AE388" s="143"/>
      <c r="AF388" s="143"/>
      <c r="AG388" s="143"/>
      <c r="AH388" s="143"/>
      <c r="AI388" s="143"/>
      <c r="AJ388" s="103">
        <f t="shared" si="156"/>
        <v>0</v>
      </c>
      <c r="AK388" s="136"/>
      <c r="AL388" s="136"/>
      <c r="AM388" s="136"/>
      <c r="AN388" s="105">
        <f t="shared" si="157"/>
        <v>0</v>
      </c>
      <c r="AO388" s="143"/>
      <c r="AP388" s="143"/>
      <c r="AQ388" s="143"/>
      <c r="AR388" s="146"/>
      <c r="AS388" s="224">
        <f t="shared" si="158"/>
        <v>0</v>
      </c>
      <c r="AT388" s="433"/>
      <c r="AU388" s="275"/>
      <c r="AV388" s="126"/>
      <c r="AW388" s="126"/>
      <c r="AX388" s="127"/>
      <c r="AY388" s="126"/>
      <c r="AZ388" s="127"/>
      <c r="BA388" s="127"/>
      <c r="BB388" s="127"/>
      <c r="BC388" s="126"/>
      <c r="BD388" s="222">
        <f t="shared" si="159"/>
        <v>0</v>
      </c>
      <c r="BE388" s="456">
        <f t="shared" si="160"/>
        <v>0</v>
      </c>
      <c r="BF388" s="132"/>
      <c r="BG388" s="140">
        <f t="shared" si="161"/>
        <v>0</v>
      </c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30">
        <f t="shared" si="162"/>
        <v>0</v>
      </c>
      <c r="BV388" s="132"/>
    </row>
    <row r="389" ht="14.25" customHeight="1">
      <c r="A389" s="132"/>
      <c r="B389" s="215">
        <v>46369</v>
      </c>
      <c r="C389" s="133"/>
      <c r="D389" s="136"/>
      <c r="E389" s="135"/>
      <c r="F389" s="135"/>
      <c r="G389" s="147">
        <f t="shared" si="154"/>
        <v>0</v>
      </c>
      <c r="H389" s="768"/>
      <c r="I389" s="611"/>
      <c r="J389" s="611"/>
      <c r="K389" s="611"/>
      <c r="L389" s="611"/>
      <c r="M389" s="611"/>
      <c r="N389" s="143"/>
      <c r="O389" s="143"/>
      <c r="P389" s="143"/>
      <c r="Q389" s="143"/>
      <c r="R389" s="143"/>
      <c r="S389" s="143"/>
      <c r="T389" s="143"/>
      <c r="U389" s="143"/>
      <c r="V389" s="143"/>
      <c r="W389" s="103">
        <f t="shared" si="155"/>
        <v>0</v>
      </c>
      <c r="X389" s="611"/>
      <c r="Y389" s="611"/>
      <c r="Z389" s="611"/>
      <c r="AA389" s="611"/>
      <c r="AB389" s="611"/>
      <c r="AC389" s="143"/>
      <c r="AD389" s="143"/>
      <c r="AE389" s="143"/>
      <c r="AF389" s="143"/>
      <c r="AG389" s="143"/>
      <c r="AH389" s="143"/>
      <c r="AI389" s="143"/>
      <c r="AJ389" s="103">
        <f t="shared" si="156"/>
        <v>0</v>
      </c>
      <c r="AK389" s="136"/>
      <c r="AL389" s="136"/>
      <c r="AM389" s="136"/>
      <c r="AN389" s="105">
        <f t="shared" si="157"/>
        <v>0</v>
      </c>
      <c r="AO389" s="143"/>
      <c r="AP389" s="143"/>
      <c r="AQ389" s="143"/>
      <c r="AR389" s="146"/>
      <c r="AS389" s="224">
        <f t="shared" si="158"/>
        <v>0</v>
      </c>
      <c r="AT389" s="433"/>
      <c r="AU389" s="275"/>
      <c r="AV389" s="126"/>
      <c r="AW389" s="126"/>
      <c r="AX389" s="127"/>
      <c r="AY389" s="126"/>
      <c r="AZ389" s="127"/>
      <c r="BA389" s="127"/>
      <c r="BB389" s="127"/>
      <c r="BC389" s="126"/>
      <c r="BD389" s="222">
        <f t="shared" si="159"/>
        <v>0</v>
      </c>
      <c r="BE389" s="456">
        <f t="shared" si="160"/>
        <v>0</v>
      </c>
      <c r="BF389" s="132"/>
      <c r="BG389" s="140">
        <f t="shared" si="161"/>
        <v>0</v>
      </c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30">
        <f t="shared" si="162"/>
        <v>0</v>
      </c>
      <c r="BV389" s="132"/>
    </row>
    <row r="390" ht="14.25" customHeight="1">
      <c r="A390" s="132"/>
      <c r="B390" s="215">
        <v>46370</v>
      </c>
      <c r="C390" s="133"/>
      <c r="D390" s="136"/>
      <c r="E390" s="135"/>
      <c r="F390" s="135"/>
      <c r="G390" s="147">
        <f t="shared" si="154"/>
        <v>0</v>
      </c>
      <c r="H390" s="768"/>
      <c r="I390" s="611"/>
      <c r="J390" s="611"/>
      <c r="K390" s="611"/>
      <c r="L390" s="611"/>
      <c r="M390" s="611"/>
      <c r="N390" s="143"/>
      <c r="O390" s="143"/>
      <c r="P390" s="143"/>
      <c r="Q390" s="143"/>
      <c r="R390" s="143"/>
      <c r="S390" s="143"/>
      <c r="T390" s="143"/>
      <c r="U390" s="143"/>
      <c r="V390" s="143"/>
      <c r="W390" s="103">
        <f t="shared" si="155"/>
        <v>0</v>
      </c>
      <c r="X390" s="611"/>
      <c r="Y390" s="611"/>
      <c r="Z390" s="611"/>
      <c r="AA390" s="611"/>
      <c r="AB390" s="611"/>
      <c r="AC390" s="143"/>
      <c r="AD390" s="143"/>
      <c r="AE390" s="143"/>
      <c r="AF390" s="143"/>
      <c r="AG390" s="143"/>
      <c r="AH390" s="143"/>
      <c r="AI390" s="143"/>
      <c r="AJ390" s="103">
        <f t="shared" si="156"/>
        <v>0</v>
      </c>
      <c r="AK390" s="136"/>
      <c r="AL390" s="136"/>
      <c r="AM390" s="136"/>
      <c r="AN390" s="105">
        <f t="shared" si="157"/>
        <v>0</v>
      </c>
      <c r="AO390" s="143"/>
      <c r="AP390" s="143"/>
      <c r="AQ390" s="143"/>
      <c r="AR390" s="146"/>
      <c r="AS390" s="224">
        <f t="shared" si="158"/>
        <v>0</v>
      </c>
      <c r="AT390" s="433"/>
      <c r="AU390" s="275"/>
      <c r="AV390" s="126"/>
      <c r="AW390" s="126"/>
      <c r="AX390" s="127"/>
      <c r="AY390" s="126"/>
      <c r="AZ390" s="127"/>
      <c r="BA390" s="127"/>
      <c r="BB390" s="127"/>
      <c r="BC390" s="126"/>
      <c r="BD390" s="222">
        <f t="shared" si="159"/>
        <v>0</v>
      </c>
      <c r="BE390" s="456">
        <f t="shared" si="160"/>
        <v>0</v>
      </c>
      <c r="BF390" s="132"/>
      <c r="BG390" s="140">
        <f t="shared" si="161"/>
        <v>0</v>
      </c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30">
        <f t="shared" si="162"/>
        <v>0</v>
      </c>
      <c r="BV390" s="132"/>
    </row>
    <row r="391" ht="14.25" customHeight="1">
      <c r="A391" s="132"/>
      <c r="B391" s="215">
        <v>46371</v>
      </c>
      <c r="C391" s="133"/>
      <c r="D391" s="136"/>
      <c r="E391" s="135"/>
      <c r="F391" s="135"/>
      <c r="G391" s="147">
        <f t="shared" si="154"/>
        <v>0</v>
      </c>
      <c r="H391" s="768"/>
      <c r="I391" s="611"/>
      <c r="J391" s="611"/>
      <c r="K391" s="611"/>
      <c r="L391" s="611"/>
      <c r="M391" s="611"/>
      <c r="N391" s="143"/>
      <c r="O391" s="143"/>
      <c r="P391" s="143"/>
      <c r="Q391" s="143"/>
      <c r="R391" s="143"/>
      <c r="S391" s="143"/>
      <c r="T391" s="143"/>
      <c r="U391" s="143"/>
      <c r="V391" s="143"/>
      <c r="W391" s="103">
        <f t="shared" si="155"/>
        <v>0</v>
      </c>
      <c r="X391" s="611"/>
      <c r="Y391" s="611"/>
      <c r="Z391" s="611"/>
      <c r="AA391" s="611"/>
      <c r="AB391" s="611"/>
      <c r="AC391" s="143"/>
      <c r="AD391" s="143"/>
      <c r="AE391" s="143"/>
      <c r="AF391" s="143"/>
      <c r="AG391" s="143"/>
      <c r="AH391" s="143"/>
      <c r="AI391" s="143"/>
      <c r="AJ391" s="103">
        <f t="shared" si="156"/>
        <v>0</v>
      </c>
      <c r="AK391" s="136"/>
      <c r="AL391" s="136"/>
      <c r="AM391" s="136"/>
      <c r="AN391" s="105">
        <f t="shared" si="157"/>
        <v>0</v>
      </c>
      <c r="AO391" s="143"/>
      <c r="AP391" s="143"/>
      <c r="AQ391" s="143"/>
      <c r="AR391" s="146"/>
      <c r="AS391" s="224">
        <f t="shared" si="158"/>
        <v>0</v>
      </c>
      <c r="AT391" s="433"/>
      <c r="AU391" s="275"/>
      <c r="AV391" s="126"/>
      <c r="AW391" s="126"/>
      <c r="AX391" s="127"/>
      <c r="AY391" s="126"/>
      <c r="AZ391" s="127"/>
      <c r="BA391" s="127"/>
      <c r="BB391" s="127"/>
      <c r="BC391" s="126"/>
      <c r="BD391" s="222">
        <f t="shared" si="159"/>
        <v>0</v>
      </c>
      <c r="BE391" s="456">
        <f t="shared" si="160"/>
        <v>0</v>
      </c>
      <c r="BF391" s="132"/>
      <c r="BG391" s="140">
        <f t="shared" si="161"/>
        <v>0</v>
      </c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30">
        <f t="shared" si="162"/>
        <v>0</v>
      </c>
      <c r="BV391" s="132"/>
    </row>
    <row r="392" ht="14.25" customHeight="1">
      <c r="A392" s="132"/>
      <c r="B392" s="215">
        <v>46372</v>
      </c>
      <c r="C392" s="133"/>
      <c r="D392" s="136"/>
      <c r="E392" s="135"/>
      <c r="F392" s="135"/>
      <c r="G392" s="147">
        <f t="shared" si="154"/>
        <v>0</v>
      </c>
      <c r="H392" s="768"/>
      <c r="I392" s="611"/>
      <c r="J392" s="611"/>
      <c r="K392" s="611"/>
      <c r="L392" s="611"/>
      <c r="M392" s="611"/>
      <c r="N392" s="143"/>
      <c r="O392" s="143"/>
      <c r="P392" s="143"/>
      <c r="Q392" s="143"/>
      <c r="R392" s="143"/>
      <c r="S392" s="143"/>
      <c r="T392" s="143"/>
      <c r="U392" s="143"/>
      <c r="V392" s="143"/>
      <c r="W392" s="103">
        <f t="shared" si="155"/>
        <v>0</v>
      </c>
      <c r="X392" s="611"/>
      <c r="Y392" s="611"/>
      <c r="Z392" s="611"/>
      <c r="AA392" s="611"/>
      <c r="AB392" s="611"/>
      <c r="AC392" s="143"/>
      <c r="AD392" s="143"/>
      <c r="AE392" s="143"/>
      <c r="AF392" s="143"/>
      <c r="AG392" s="143"/>
      <c r="AH392" s="143"/>
      <c r="AI392" s="143"/>
      <c r="AJ392" s="103">
        <f t="shared" si="156"/>
        <v>0</v>
      </c>
      <c r="AK392" s="136"/>
      <c r="AL392" s="136"/>
      <c r="AM392" s="136"/>
      <c r="AN392" s="105">
        <f t="shared" si="157"/>
        <v>0</v>
      </c>
      <c r="AO392" s="143"/>
      <c r="AP392" s="143"/>
      <c r="AQ392" s="143"/>
      <c r="AR392" s="146"/>
      <c r="AS392" s="224">
        <f t="shared" si="158"/>
        <v>0</v>
      </c>
      <c r="AT392" s="433"/>
      <c r="AU392" s="275"/>
      <c r="AV392" s="126"/>
      <c r="AW392" s="126"/>
      <c r="AX392" s="127"/>
      <c r="AY392" s="126"/>
      <c r="AZ392" s="127"/>
      <c r="BA392" s="127"/>
      <c r="BB392" s="127"/>
      <c r="BC392" s="126"/>
      <c r="BD392" s="222">
        <f t="shared" si="159"/>
        <v>0</v>
      </c>
      <c r="BE392" s="456">
        <f t="shared" si="160"/>
        <v>0</v>
      </c>
      <c r="BF392" s="132"/>
      <c r="BG392" s="140">
        <f t="shared" si="161"/>
        <v>0</v>
      </c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30">
        <f t="shared" si="162"/>
        <v>0</v>
      </c>
      <c r="BV392" s="132"/>
    </row>
    <row r="393" ht="14.25" customHeight="1">
      <c r="A393" s="132"/>
      <c r="B393" s="215">
        <v>46373</v>
      </c>
      <c r="C393" s="133"/>
      <c r="D393" s="136"/>
      <c r="E393" s="135"/>
      <c r="F393" s="135"/>
      <c r="G393" s="147">
        <f t="shared" si="154"/>
        <v>0</v>
      </c>
      <c r="H393" s="768"/>
      <c r="I393" s="611"/>
      <c r="J393" s="611"/>
      <c r="K393" s="611"/>
      <c r="L393" s="611"/>
      <c r="M393" s="611"/>
      <c r="N393" s="143"/>
      <c r="O393" s="143"/>
      <c r="P393" s="143"/>
      <c r="Q393" s="143"/>
      <c r="R393" s="143"/>
      <c r="S393" s="143"/>
      <c r="T393" s="143"/>
      <c r="U393" s="143"/>
      <c r="V393" s="143"/>
      <c r="W393" s="103">
        <f t="shared" si="155"/>
        <v>0</v>
      </c>
      <c r="X393" s="611"/>
      <c r="Y393" s="611"/>
      <c r="Z393" s="611"/>
      <c r="AA393" s="611"/>
      <c r="AB393" s="611"/>
      <c r="AC393" s="143"/>
      <c r="AD393" s="143"/>
      <c r="AE393" s="143"/>
      <c r="AF393" s="143"/>
      <c r="AG393" s="143"/>
      <c r="AH393" s="143"/>
      <c r="AI393" s="143"/>
      <c r="AJ393" s="103">
        <f t="shared" si="156"/>
        <v>0</v>
      </c>
      <c r="AK393" s="136"/>
      <c r="AL393" s="136"/>
      <c r="AM393" s="136"/>
      <c r="AN393" s="105">
        <f t="shared" si="157"/>
        <v>0</v>
      </c>
      <c r="AO393" s="143"/>
      <c r="AP393" s="143"/>
      <c r="AQ393" s="143"/>
      <c r="AR393" s="146"/>
      <c r="AS393" s="224">
        <f t="shared" si="158"/>
        <v>0</v>
      </c>
      <c r="AT393" s="433"/>
      <c r="AU393" s="275"/>
      <c r="AV393" s="126"/>
      <c r="AW393" s="126"/>
      <c r="AX393" s="127"/>
      <c r="AY393" s="126"/>
      <c r="AZ393" s="127"/>
      <c r="BA393" s="127"/>
      <c r="BB393" s="127"/>
      <c r="BC393" s="126"/>
      <c r="BD393" s="222">
        <f t="shared" si="159"/>
        <v>0</v>
      </c>
      <c r="BE393" s="456">
        <f t="shared" si="160"/>
        <v>0</v>
      </c>
      <c r="BF393" s="132"/>
      <c r="BG393" s="140">
        <f t="shared" si="161"/>
        <v>0</v>
      </c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30">
        <f t="shared" si="162"/>
        <v>0</v>
      </c>
      <c r="BV393" s="132"/>
    </row>
    <row r="394" ht="14.25" customHeight="1">
      <c r="A394" s="132"/>
      <c r="B394" s="215">
        <v>46374</v>
      </c>
      <c r="C394" s="133"/>
      <c r="D394" s="136"/>
      <c r="E394" s="135"/>
      <c r="F394" s="135"/>
      <c r="G394" s="147">
        <f t="shared" si="154"/>
        <v>0</v>
      </c>
      <c r="H394" s="768"/>
      <c r="I394" s="611"/>
      <c r="J394" s="611"/>
      <c r="K394" s="611"/>
      <c r="L394" s="611"/>
      <c r="M394" s="611"/>
      <c r="N394" s="143"/>
      <c r="O394" s="143"/>
      <c r="P394" s="143"/>
      <c r="Q394" s="143"/>
      <c r="R394" s="143"/>
      <c r="S394" s="143"/>
      <c r="T394" s="143"/>
      <c r="U394" s="143"/>
      <c r="V394" s="143"/>
      <c r="W394" s="103">
        <f t="shared" si="155"/>
        <v>0</v>
      </c>
      <c r="X394" s="611"/>
      <c r="Y394" s="611"/>
      <c r="Z394" s="611"/>
      <c r="AA394" s="611"/>
      <c r="AB394" s="611"/>
      <c r="AC394" s="143"/>
      <c r="AD394" s="143"/>
      <c r="AE394" s="143"/>
      <c r="AF394" s="143"/>
      <c r="AG394" s="143"/>
      <c r="AH394" s="143"/>
      <c r="AI394" s="143"/>
      <c r="AJ394" s="103">
        <f t="shared" si="156"/>
        <v>0</v>
      </c>
      <c r="AK394" s="136"/>
      <c r="AL394" s="136"/>
      <c r="AM394" s="136"/>
      <c r="AN394" s="105">
        <f t="shared" si="157"/>
        <v>0</v>
      </c>
      <c r="AO394" s="143"/>
      <c r="AP394" s="143"/>
      <c r="AQ394" s="143"/>
      <c r="AR394" s="146"/>
      <c r="AS394" s="224">
        <f t="shared" si="158"/>
        <v>0</v>
      </c>
      <c r="AT394" s="433"/>
      <c r="AU394" s="275"/>
      <c r="AV394" s="126"/>
      <c r="AW394" s="1140"/>
      <c r="AX394" s="127"/>
      <c r="AY394" s="126"/>
      <c r="AZ394" s="127"/>
      <c r="BA394" s="127"/>
      <c r="BB394" s="127"/>
      <c r="BC394" s="126"/>
      <c r="BD394" s="222">
        <f t="shared" si="159"/>
        <v>0</v>
      </c>
      <c r="BE394" s="456">
        <f t="shared" si="160"/>
        <v>0</v>
      </c>
      <c r="BF394" s="132"/>
      <c r="BG394" s="140">
        <f t="shared" si="161"/>
        <v>0</v>
      </c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30">
        <f t="shared" si="162"/>
        <v>0</v>
      </c>
      <c r="BV394" s="132"/>
    </row>
    <row r="395" ht="14.25" customHeight="1">
      <c r="A395" s="132"/>
      <c r="B395" s="215">
        <v>46375</v>
      </c>
      <c r="C395" s="133"/>
      <c r="D395" s="136"/>
      <c r="E395" s="135"/>
      <c r="F395" s="135"/>
      <c r="G395" s="147">
        <f t="shared" si="154"/>
        <v>0</v>
      </c>
      <c r="H395" s="768"/>
      <c r="I395" s="611"/>
      <c r="J395" s="611"/>
      <c r="K395" s="611"/>
      <c r="L395" s="611"/>
      <c r="M395" s="611"/>
      <c r="N395" s="143"/>
      <c r="O395" s="143"/>
      <c r="P395" s="143"/>
      <c r="Q395" s="143"/>
      <c r="R395" s="143"/>
      <c r="S395" s="143"/>
      <c r="T395" s="143"/>
      <c r="U395" s="143"/>
      <c r="V395" s="143"/>
      <c r="W395" s="103">
        <f t="shared" si="155"/>
        <v>0</v>
      </c>
      <c r="X395" s="611"/>
      <c r="Y395" s="611"/>
      <c r="Z395" s="611"/>
      <c r="AA395" s="611"/>
      <c r="AB395" s="611"/>
      <c r="AC395" s="143"/>
      <c r="AD395" s="143"/>
      <c r="AE395" s="143"/>
      <c r="AF395" s="143"/>
      <c r="AG395" s="143"/>
      <c r="AH395" s="143"/>
      <c r="AI395" s="143"/>
      <c r="AJ395" s="103">
        <f t="shared" si="156"/>
        <v>0</v>
      </c>
      <c r="AK395" s="136"/>
      <c r="AL395" s="136"/>
      <c r="AM395" s="136"/>
      <c r="AN395" s="105">
        <f t="shared" si="157"/>
        <v>0</v>
      </c>
      <c r="AO395" s="143"/>
      <c r="AP395" s="143"/>
      <c r="AQ395" s="143"/>
      <c r="AR395" s="146"/>
      <c r="AS395" s="224">
        <f t="shared" si="158"/>
        <v>0</v>
      </c>
      <c r="AT395" s="433"/>
      <c r="AU395" s="275"/>
      <c r="AV395" s="126"/>
      <c r="AW395" s="126"/>
      <c r="AX395" s="127"/>
      <c r="AY395" s="126"/>
      <c r="AZ395" s="127"/>
      <c r="BA395" s="127"/>
      <c r="BB395" s="127"/>
      <c r="BC395" s="126"/>
      <c r="BD395" s="222">
        <f t="shared" si="159"/>
        <v>0</v>
      </c>
      <c r="BE395" s="456">
        <f t="shared" si="160"/>
        <v>0</v>
      </c>
      <c r="BF395" s="132"/>
      <c r="BG395" s="140">
        <f t="shared" si="161"/>
        <v>0</v>
      </c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30">
        <f t="shared" si="162"/>
        <v>0</v>
      </c>
      <c r="BV395" s="132"/>
    </row>
    <row r="396" ht="14.25" customHeight="1">
      <c r="A396" s="132"/>
      <c r="B396" s="215">
        <v>46376</v>
      </c>
      <c r="C396" s="133"/>
      <c r="D396" s="136"/>
      <c r="E396" s="135"/>
      <c r="F396" s="135"/>
      <c r="G396" s="147">
        <f t="shared" si="154"/>
        <v>0</v>
      </c>
      <c r="H396" s="768"/>
      <c r="I396" s="611"/>
      <c r="J396" s="611"/>
      <c r="K396" s="611"/>
      <c r="L396" s="611"/>
      <c r="M396" s="611"/>
      <c r="N396" s="143"/>
      <c r="O396" s="143"/>
      <c r="P396" s="143"/>
      <c r="Q396" s="143"/>
      <c r="R396" s="143"/>
      <c r="S396" s="143"/>
      <c r="T396" s="143"/>
      <c r="U396" s="143"/>
      <c r="V396" s="143"/>
      <c r="W396" s="103">
        <f t="shared" si="155"/>
        <v>0</v>
      </c>
      <c r="X396" s="611"/>
      <c r="Y396" s="611"/>
      <c r="Z396" s="611"/>
      <c r="AA396" s="611"/>
      <c r="AB396" s="611"/>
      <c r="AC396" s="143"/>
      <c r="AD396" s="143"/>
      <c r="AE396" s="143"/>
      <c r="AF396" s="143"/>
      <c r="AG396" s="143"/>
      <c r="AH396" s="143"/>
      <c r="AI396" s="143"/>
      <c r="AJ396" s="103">
        <f t="shared" si="156"/>
        <v>0</v>
      </c>
      <c r="AK396" s="136"/>
      <c r="AL396" s="136"/>
      <c r="AM396" s="136"/>
      <c r="AN396" s="105">
        <f t="shared" si="157"/>
        <v>0</v>
      </c>
      <c r="AO396" s="143"/>
      <c r="AP396" s="143"/>
      <c r="AQ396" s="143"/>
      <c r="AR396" s="146"/>
      <c r="AS396" s="224">
        <f t="shared" si="158"/>
        <v>0</v>
      </c>
      <c r="AT396" s="433"/>
      <c r="AU396" s="275"/>
      <c r="AV396" s="126"/>
      <c r="AW396" s="126"/>
      <c r="AX396" s="127"/>
      <c r="AY396" s="126"/>
      <c r="AZ396" s="127"/>
      <c r="BA396" s="127"/>
      <c r="BB396" s="127"/>
      <c r="BC396" s="126"/>
      <c r="BD396" s="222">
        <f t="shared" si="159"/>
        <v>0</v>
      </c>
      <c r="BE396" s="456">
        <f t="shared" si="160"/>
        <v>0</v>
      </c>
      <c r="BF396" s="132"/>
      <c r="BG396" s="140">
        <f t="shared" si="161"/>
        <v>0</v>
      </c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30">
        <f t="shared" si="162"/>
        <v>0</v>
      </c>
      <c r="BV396" s="132"/>
    </row>
    <row r="397" ht="14.25" customHeight="1">
      <c r="A397" s="132"/>
      <c r="B397" s="215">
        <v>46377</v>
      </c>
      <c r="C397" s="133"/>
      <c r="D397" s="136"/>
      <c r="E397" s="135"/>
      <c r="F397" s="135"/>
      <c r="G397" s="147">
        <f t="shared" si="154"/>
        <v>0</v>
      </c>
      <c r="H397" s="768"/>
      <c r="I397" s="611"/>
      <c r="J397" s="611"/>
      <c r="K397" s="611"/>
      <c r="L397" s="611"/>
      <c r="M397" s="611"/>
      <c r="N397" s="143"/>
      <c r="O397" s="143"/>
      <c r="P397" s="143"/>
      <c r="Q397" s="143"/>
      <c r="R397" s="143"/>
      <c r="S397" s="143"/>
      <c r="T397" s="143"/>
      <c r="U397" s="143"/>
      <c r="V397" s="143"/>
      <c r="W397" s="103">
        <f t="shared" si="155"/>
        <v>0</v>
      </c>
      <c r="X397" s="611"/>
      <c r="Y397" s="611"/>
      <c r="Z397" s="611"/>
      <c r="AA397" s="611"/>
      <c r="AB397" s="611"/>
      <c r="AC397" s="143"/>
      <c r="AD397" s="143"/>
      <c r="AE397" s="143"/>
      <c r="AF397" s="143"/>
      <c r="AG397" s="143"/>
      <c r="AH397" s="143"/>
      <c r="AI397" s="143"/>
      <c r="AJ397" s="103">
        <f t="shared" si="156"/>
        <v>0</v>
      </c>
      <c r="AK397" s="136"/>
      <c r="AL397" s="136"/>
      <c r="AM397" s="136"/>
      <c r="AN397" s="105">
        <f t="shared" si="157"/>
        <v>0</v>
      </c>
      <c r="AO397" s="143"/>
      <c r="AP397" s="143"/>
      <c r="AQ397" s="143"/>
      <c r="AR397" s="146"/>
      <c r="AS397" s="224">
        <f t="shared" si="158"/>
        <v>0</v>
      </c>
      <c r="AT397" s="433"/>
      <c r="AU397" s="275"/>
      <c r="AV397" s="126"/>
      <c r="AW397" s="126"/>
      <c r="AX397" s="127"/>
      <c r="AY397" s="126"/>
      <c r="AZ397" s="127"/>
      <c r="BA397" s="127"/>
      <c r="BB397" s="127"/>
      <c r="BC397" s="126"/>
      <c r="BD397" s="222">
        <f t="shared" si="159"/>
        <v>0</v>
      </c>
      <c r="BE397" s="456">
        <f t="shared" si="160"/>
        <v>0</v>
      </c>
      <c r="BF397" s="132"/>
      <c r="BG397" s="140">
        <f t="shared" si="161"/>
        <v>0</v>
      </c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30">
        <f t="shared" si="162"/>
        <v>0</v>
      </c>
      <c r="BV397" s="132"/>
    </row>
    <row r="398" ht="14.25" customHeight="1">
      <c r="A398" s="132"/>
      <c r="B398" s="215">
        <v>46378</v>
      </c>
      <c r="C398" s="133"/>
      <c r="D398" s="136"/>
      <c r="E398" s="135"/>
      <c r="F398" s="135"/>
      <c r="G398" s="147">
        <f t="shared" si="154"/>
        <v>0</v>
      </c>
      <c r="H398" s="768"/>
      <c r="I398" s="611"/>
      <c r="J398" s="611"/>
      <c r="K398" s="611"/>
      <c r="L398" s="611"/>
      <c r="M398" s="611"/>
      <c r="N398" s="143"/>
      <c r="O398" s="143"/>
      <c r="P398" s="143"/>
      <c r="Q398" s="143"/>
      <c r="R398" s="143"/>
      <c r="S398" s="143"/>
      <c r="T398" s="143"/>
      <c r="U398" s="143"/>
      <c r="V398" s="143"/>
      <c r="W398" s="103">
        <f t="shared" si="155"/>
        <v>0</v>
      </c>
      <c r="X398" s="611"/>
      <c r="Y398" s="611"/>
      <c r="Z398" s="611"/>
      <c r="AA398" s="611"/>
      <c r="AB398" s="611"/>
      <c r="AC398" s="143"/>
      <c r="AD398" s="143"/>
      <c r="AE398" s="143"/>
      <c r="AF398" s="143"/>
      <c r="AG398" s="143"/>
      <c r="AH398" s="143"/>
      <c r="AI398" s="143"/>
      <c r="AJ398" s="103">
        <f t="shared" si="156"/>
        <v>0</v>
      </c>
      <c r="AK398" s="136"/>
      <c r="AL398" s="136"/>
      <c r="AM398" s="136"/>
      <c r="AN398" s="105">
        <f t="shared" si="157"/>
        <v>0</v>
      </c>
      <c r="AO398" s="143"/>
      <c r="AP398" s="143"/>
      <c r="AQ398" s="143"/>
      <c r="AR398" s="146"/>
      <c r="AS398" s="224">
        <f t="shared" si="158"/>
        <v>0</v>
      </c>
      <c r="AT398" s="433"/>
      <c r="AU398" s="275"/>
      <c r="AV398" s="126"/>
      <c r="AW398" s="126"/>
      <c r="AX398" s="127"/>
      <c r="AY398" s="126"/>
      <c r="AZ398" s="127"/>
      <c r="BA398" s="127"/>
      <c r="BB398" s="127"/>
      <c r="BC398" s="126"/>
      <c r="BD398" s="222">
        <f t="shared" si="159"/>
        <v>0</v>
      </c>
      <c r="BE398" s="456">
        <f t="shared" si="160"/>
        <v>0</v>
      </c>
      <c r="BF398" s="132"/>
      <c r="BG398" s="140">
        <f t="shared" si="161"/>
        <v>0</v>
      </c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30">
        <f t="shared" si="162"/>
        <v>0</v>
      </c>
      <c r="BV398" s="132"/>
    </row>
    <row r="399" ht="14.25" customHeight="1">
      <c r="A399" s="132"/>
      <c r="B399" s="215">
        <v>46379</v>
      </c>
      <c r="C399" s="133"/>
      <c r="D399" s="136"/>
      <c r="E399" s="135"/>
      <c r="F399" s="135"/>
      <c r="G399" s="147">
        <f t="shared" si="154"/>
        <v>0</v>
      </c>
      <c r="H399" s="768"/>
      <c r="I399" s="611"/>
      <c r="J399" s="611"/>
      <c r="K399" s="611"/>
      <c r="L399" s="611"/>
      <c r="M399" s="611"/>
      <c r="N399" s="143"/>
      <c r="O399" s="143"/>
      <c r="P399" s="143"/>
      <c r="Q399" s="143"/>
      <c r="R399" s="143"/>
      <c r="S399" s="143"/>
      <c r="T399" s="143"/>
      <c r="U399" s="143"/>
      <c r="V399" s="143"/>
      <c r="W399" s="103">
        <f t="shared" si="155"/>
        <v>0</v>
      </c>
      <c r="X399" s="611"/>
      <c r="Y399" s="611"/>
      <c r="Z399" s="611"/>
      <c r="AA399" s="611"/>
      <c r="AB399" s="611"/>
      <c r="AC399" s="143"/>
      <c r="AD399" s="143"/>
      <c r="AE399" s="143"/>
      <c r="AF399" s="143"/>
      <c r="AG399" s="143"/>
      <c r="AH399" s="143"/>
      <c r="AI399" s="143"/>
      <c r="AJ399" s="103">
        <f t="shared" si="156"/>
        <v>0</v>
      </c>
      <c r="AK399" s="136"/>
      <c r="AL399" s="136"/>
      <c r="AM399" s="136"/>
      <c r="AN399" s="105">
        <f t="shared" si="157"/>
        <v>0</v>
      </c>
      <c r="AO399" s="143"/>
      <c r="AP399" s="143"/>
      <c r="AQ399" s="143"/>
      <c r="AR399" s="146"/>
      <c r="AS399" s="224">
        <f t="shared" si="158"/>
        <v>0</v>
      </c>
      <c r="AT399" s="433"/>
      <c r="AU399" s="275"/>
      <c r="AV399" s="126"/>
      <c r="AW399" s="126"/>
      <c r="AX399" s="127"/>
      <c r="AY399" s="126"/>
      <c r="AZ399" s="127"/>
      <c r="BA399" s="127"/>
      <c r="BB399" s="127"/>
      <c r="BC399" s="126"/>
      <c r="BD399" s="222">
        <f t="shared" si="159"/>
        <v>0</v>
      </c>
      <c r="BE399" s="456">
        <f t="shared" si="160"/>
        <v>0</v>
      </c>
      <c r="BF399" s="132"/>
      <c r="BG399" s="140">
        <f t="shared" si="161"/>
        <v>0</v>
      </c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30">
        <f t="shared" si="162"/>
        <v>0</v>
      </c>
      <c r="BV399" s="132"/>
    </row>
    <row r="400" ht="14.25" customHeight="1">
      <c r="A400" s="132"/>
      <c r="B400" s="215">
        <v>46380</v>
      </c>
      <c r="C400" s="133"/>
      <c r="D400" s="136"/>
      <c r="E400" s="135"/>
      <c r="F400" s="135"/>
      <c r="G400" s="147">
        <f t="shared" si="154"/>
        <v>0</v>
      </c>
      <c r="H400" s="768"/>
      <c r="I400" s="611"/>
      <c r="J400" s="611"/>
      <c r="K400" s="611"/>
      <c r="L400" s="611"/>
      <c r="M400" s="611"/>
      <c r="N400" s="143"/>
      <c r="O400" s="143"/>
      <c r="P400" s="143"/>
      <c r="Q400" s="143"/>
      <c r="R400" s="143"/>
      <c r="S400" s="143"/>
      <c r="T400" s="143"/>
      <c r="U400" s="143"/>
      <c r="V400" s="143"/>
      <c r="W400" s="103">
        <f t="shared" si="155"/>
        <v>0</v>
      </c>
      <c r="X400" s="611"/>
      <c r="Y400" s="611"/>
      <c r="Z400" s="611"/>
      <c r="AA400" s="611"/>
      <c r="AB400" s="611"/>
      <c r="AC400" s="143"/>
      <c r="AD400" s="143"/>
      <c r="AE400" s="143"/>
      <c r="AF400" s="143"/>
      <c r="AG400" s="143"/>
      <c r="AH400" s="143"/>
      <c r="AI400" s="143"/>
      <c r="AJ400" s="103">
        <f t="shared" si="156"/>
        <v>0</v>
      </c>
      <c r="AK400" s="136"/>
      <c r="AL400" s="136"/>
      <c r="AM400" s="136"/>
      <c r="AN400" s="105">
        <f t="shared" si="157"/>
        <v>0</v>
      </c>
      <c r="AO400" s="143"/>
      <c r="AP400" s="143"/>
      <c r="AQ400" s="143"/>
      <c r="AR400" s="146"/>
      <c r="AS400" s="224">
        <f t="shared" si="158"/>
        <v>0</v>
      </c>
      <c r="AT400" s="433"/>
      <c r="AU400" s="275"/>
      <c r="AV400" s="126"/>
      <c r="AW400" s="126"/>
      <c r="AX400" s="127"/>
      <c r="AY400" s="126"/>
      <c r="AZ400" s="127"/>
      <c r="BA400" s="127"/>
      <c r="BB400" s="127"/>
      <c r="BC400" s="126"/>
      <c r="BD400" s="222">
        <f t="shared" si="159"/>
        <v>0</v>
      </c>
      <c r="BE400" s="456">
        <f t="shared" si="160"/>
        <v>0</v>
      </c>
      <c r="BF400" s="132"/>
      <c r="BG400" s="140">
        <f t="shared" si="161"/>
        <v>0</v>
      </c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30">
        <f t="shared" si="162"/>
        <v>0</v>
      </c>
      <c r="BV400" s="132"/>
    </row>
    <row r="401" ht="14.25" customHeight="1">
      <c r="A401" s="132"/>
      <c r="B401" s="215">
        <v>46381</v>
      </c>
      <c r="C401" s="133"/>
      <c r="D401" s="136"/>
      <c r="E401" s="135"/>
      <c r="F401" s="135"/>
      <c r="G401" s="147">
        <f t="shared" si="154"/>
        <v>0</v>
      </c>
      <c r="H401" s="768"/>
      <c r="I401" s="611"/>
      <c r="J401" s="611"/>
      <c r="K401" s="611"/>
      <c r="L401" s="611"/>
      <c r="M401" s="611"/>
      <c r="N401" s="143"/>
      <c r="O401" s="143"/>
      <c r="P401" s="143"/>
      <c r="Q401" s="143"/>
      <c r="R401" s="143"/>
      <c r="S401" s="143"/>
      <c r="T401" s="143"/>
      <c r="U401" s="143"/>
      <c r="V401" s="143"/>
      <c r="W401" s="103">
        <f t="shared" si="155"/>
        <v>0</v>
      </c>
      <c r="X401" s="611"/>
      <c r="Y401" s="611"/>
      <c r="Z401" s="611"/>
      <c r="AA401" s="611"/>
      <c r="AB401" s="611"/>
      <c r="AC401" s="143"/>
      <c r="AD401" s="143"/>
      <c r="AE401" s="143"/>
      <c r="AF401" s="143"/>
      <c r="AG401" s="143"/>
      <c r="AH401" s="143"/>
      <c r="AI401" s="143"/>
      <c r="AJ401" s="103">
        <f t="shared" si="156"/>
        <v>0</v>
      </c>
      <c r="AK401" s="136"/>
      <c r="AL401" s="136"/>
      <c r="AM401" s="136"/>
      <c r="AN401" s="105">
        <f t="shared" si="157"/>
        <v>0</v>
      </c>
      <c r="AO401" s="143"/>
      <c r="AP401" s="143"/>
      <c r="AQ401" s="143"/>
      <c r="AR401" s="146"/>
      <c r="AS401" s="224">
        <f t="shared" si="158"/>
        <v>0</v>
      </c>
      <c r="AT401" s="433"/>
      <c r="AU401" s="275"/>
      <c r="AV401" s="126"/>
      <c r="AW401" s="126"/>
      <c r="AX401" s="127"/>
      <c r="AY401" s="126"/>
      <c r="AZ401" s="127"/>
      <c r="BA401" s="127"/>
      <c r="BB401" s="127"/>
      <c r="BC401" s="126"/>
      <c r="BD401" s="222">
        <f t="shared" si="159"/>
        <v>0</v>
      </c>
      <c r="BE401" s="456">
        <f t="shared" si="160"/>
        <v>0</v>
      </c>
      <c r="BF401" s="132"/>
      <c r="BG401" s="140">
        <f t="shared" si="161"/>
        <v>0</v>
      </c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30">
        <f t="shared" si="162"/>
        <v>0</v>
      </c>
      <c r="BV401" s="132"/>
    </row>
    <row r="402" ht="14.25" customHeight="1">
      <c r="A402" s="132"/>
      <c r="B402" s="215">
        <v>46382</v>
      </c>
      <c r="C402" s="133"/>
      <c r="D402" s="136"/>
      <c r="E402" s="135"/>
      <c r="F402" s="135"/>
      <c r="G402" s="147">
        <f t="shared" si="154"/>
        <v>0</v>
      </c>
      <c r="H402" s="768"/>
      <c r="I402" s="611"/>
      <c r="J402" s="611"/>
      <c r="K402" s="611"/>
      <c r="L402" s="611"/>
      <c r="M402" s="611"/>
      <c r="N402" s="143"/>
      <c r="O402" s="143"/>
      <c r="P402" s="143"/>
      <c r="Q402" s="143"/>
      <c r="R402" s="143"/>
      <c r="S402" s="143"/>
      <c r="T402" s="143"/>
      <c r="U402" s="143"/>
      <c r="V402" s="143"/>
      <c r="W402" s="103">
        <f t="shared" si="155"/>
        <v>0</v>
      </c>
      <c r="X402" s="611"/>
      <c r="Y402" s="611"/>
      <c r="Z402" s="611"/>
      <c r="AA402" s="611"/>
      <c r="AB402" s="611"/>
      <c r="AC402" s="143"/>
      <c r="AD402" s="143"/>
      <c r="AE402" s="143"/>
      <c r="AF402" s="143"/>
      <c r="AG402" s="143"/>
      <c r="AH402" s="143"/>
      <c r="AI402" s="143"/>
      <c r="AJ402" s="103">
        <f t="shared" si="156"/>
        <v>0</v>
      </c>
      <c r="AK402" s="136"/>
      <c r="AL402" s="136"/>
      <c r="AM402" s="136"/>
      <c r="AN402" s="105">
        <f t="shared" si="157"/>
        <v>0</v>
      </c>
      <c r="AO402" s="143"/>
      <c r="AP402" s="143"/>
      <c r="AQ402" s="143"/>
      <c r="AR402" s="146"/>
      <c r="AS402" s="224">
        <f t="shared" si="158"/>
        <v>0</v>
      </c>
      <c r="AT402" s="433"/>
      <c r="AU402" s="275"/>
      <c r="AV402" s="126"/>
      <c r="AW402" s="126"/>
      <c r="AX402" s="127"/>
      <c r="AY402" s="126"/>
      <c r="AZ402" s="127"/>
      <c r="BA402" s="127"/>
      <c r="BB402" s="127"/>
      <c r="BC402" s="126"/>
      <c r="BD402" s="222">
        <f t="shared" si="159"/>
        <v>0</v>
      </c>
      <c r="BE402" s="456">
        <f t="shared" si="160"/>
        <v>0</v>
      </c>
      <c r="BF402" s="132"/>
      <c r="BG402" s="140">
        <f t="shared" si="161"/>
        <v>0</v>
      </c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30">
        <f t="shared" si="162"/>
        <v>0</v>
      </c>
      <c r="BV402" s="132"/>
    </row>
    <row r="403" ht="14.25" customHeight="1">
      <c r="A403" s="132"/>
      <c r="B403" s="215">
        <v>46383</v>
      </c>
      <c r="C403" s="133"/>
      <c r="D403" s="136"/>
      <c r="E403" s="135"/>
      <c r="F403" s="135"/>
      <c r="G403" s="147">
        <f t="shared" si="154"/>
        <v>0</v>
      </c>
      <c r="H403" s="768"/>
      <c r="I403" s="611"/>
      <c r="J403" s="611"/>
      <c r="K403" s="611"/>
      <c r="L403" s="611"/>
      <c r="M403" s="611"/>
      <c r="N403" s="143"/>
      <c r="O403" s="143"/>
      <c r="P403" s="143"/>
      <c r="Q403" s="143"/>
      <c r="R403" s="143"/>
      <c r="S403" s="143"/>
      <c r="T403" s="143"/>
      <c r="U403" s="143"/>
      <c r="V403" s="143"/>
      <c r="W403" s="103">
        <f t="shared" si="155"/>
        <v>0</v>
      </c>
      <c r="X403" s="611"/>
      <c r="Y403" s="611"/>
      <c r="Z403" s="611"/>
      <c r="AA403" s="611"/>
      <c r="AB403" s="611"/>
      <c r="AC403" s="143"/>
      <c r="AD403" s="143"/>
      <c r="AE403" s="143"/>
      <c r="AF403" s="143"/>
      <c r="AG403" s="143"/>
      <c r="AH403" s="143"/>
      <c r="AI403" s="143"/>
      <c r="AJ403" s="103">
        <f t="shared" si="156"/>
        <v>0</v>
      </c>
      <c r="AK403" s="136"/>
      <c r="AL403" s="136"/>
      <c r="AM403" s="136"/>
      <c r="AN403" s="105">
        <f t="shared" si="157"/>
        <v>0</v>
      </c>
      <c r="AO403" s="143"/>
      <c r="AP403" s="143"/>
      <c r="AQ403" s="143"/>
      <c r="AR403" s="146"/>
      <c r="AS403" s="224">
        <f t="shared" si="158"/>
        <v>0</v>
      </c>
      <c r="AT403" s="433"/>
      <c r="AU403" s="275"/>
      <c r="AV403" s="126"/>
      <c r="AW403" s="126"/>
      <c r="AX403" s="127"/>
      <c r="AY403" s="126"/>
      <c r="AZ403" s="127"/>
      <c r="BA403" s="127"/>
      <c r="BB403" s="127"/>
      <c r="BC403" s="126"/>
      <c r="BD403" s="222">
        <f t="shared" si="159"/>
        <v>0</v>
      </c>
      <c r="BE403" s="456">
        <f t="shared" si="160"/>
        <v>0</v>
      </c>
      <c r="BF403" s="132"/>
      <c r="BG403" s="140">
        <f t="shared" si="161"/>
        <v>0</v>
      </c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30">
        <f t="shared" si="162"/>
        <v>0</v>
      </c>
      <c r="BV403" s="132"/>
    </row>
    <row r="404" ht="14.25" customHeight="1">
      <c r="A404" s="132"/>
      <c r="B404" s="215">
        <v>46384</v>
      </c>
      <c r="C404" s="133"/>
      <c r="D404" s="136"/>
      <c r="E404" s="135"/>
      <c r="F404" s="135"/>
      <c r="G404" s="147">
        <f t="shared" si="154"/>
        <v>0</v>
      </c>
      <c r="H404" s="768"/>
      <c r="I404" s="611"/>
      <c r="J404" s="611"/>
      <c r="K404" s="611"/>
      <c r="L404" s="611"/>
      <c r="M404" s="611"/>
      <c r="N404" s="143"/>
      <c r="O404" s="143"/>
      <c r="P404" s="143"/>
      <c r="Q404" s="143"/>
      <c r="R404" s="143"/>
      <c r="S404" s="143"/>
      <c r="T404" s="143"/>
      <c r="U404" s="143"/>
      <c r="V404" s="143"/>
      <c r="W404" s="103">
        <f t="shared" si="155"/>
        <v>0</v>
      </c>
      <c r="X404" s="611"/>
      <c r="Y404" s="611"/>
      <c r="Z404" s="611"/>
      <c r="AA404" s="611"/>
      <c r="AB404" s="611"/>
      <c r="AC404" s="143"/>
      <c r="AD404" s="143"/>
      <c r="AE404" s="143"/>
      <c r="AF404" s="143"/>
      <c r="AG404" s="143"/>
      <c r="AH404" s="143"/>
      <c r="AI404" s="143"/>
      <c r="AJ404" s="103">
        <f t="shared" si="156"/>
        <v>0</v>
      </c>
      <c r="AK404" s="136"/>
      <c r="AL404" s="136"/>
      <c r="AM404" s="136"/>
      <c r="AN404" s="105">
        <f t="shared" si="157"/>
        <v>0</v>
      </c>
      <c r="AO404" s="143"/>
      <c r="AP404" s="143"/>
      <c r="AQ404" s="143"/>
      <c r="AR404" s="146"/>
      <c r="AS404" s="224">
        <f t="shared" si="158"/>
        <v>0</v>
      </c>
      <c r="AT404" s="433"/>
      <c r="AU404" s="275"/>
      <c r="AV404" s="126"/>
      <c r="AW404" s="126"/>
      <c r="AX404" s="127"/>
      <c r="AY404" s="126"/>
      <c r="AZ404" s="127"/>
      <c r="BA404" s="127"/>
      <c r="BB404" s="127"/>
      <c r="BC404" s="126"/>
      <c r="BD404" s="222">
        <f t="shared" si="159"/>
        <v>0</v>
      </c>
      <c r="BE404" s="456">
        <f t="shared" si="160"/>
        <v>0</v>
      </c>
      <c r="BF404" s="132"/>
      <c r="BG404" s="140">
        <f t="shared" si="161"/>
        <v>0</v>
      </c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30">
        <f t="shared" si="162"/>
        <v>0</v>
      </c>
      <c r="BV404" s="132"/>
    </row>
    <row r="405" ht="14.25" customHeight="1">
      <c r="A405" s="132"/>
      <c r="B405" s="215">
        <v>46385</v>
      </c>
      <c r="C405" s="133"/>
      <c r="D405" s="136"/>
      <c r="E405" s="135"/>
      <c r="F405" s="135"/>
      <c r="G405" s="147">
        <f t="shared" si="154"/>
        <v>0</v>
      </c>
      <c r="H405" s="768"/>
      <c r="I405" s="611"/>
      <c r="J405" s="611"/>
      <c r="K405" s="611"/>
      <c r="L405" s="611"/>
      <c r="M405" s="611"/>
      <c r="N405" s="143"/>
      <c r="O405" s="143"/>
      <c r="P405" s="143"/>
      <c r="Q405" s="143"/>
      <c r="R405" s="143"/>
      <c r="S405" s="143"/>
      <c r="T405" s="143"/>
      <c r="U405" s="143"/>
      <c r="V405" s="143"/>
      <c r="W405" s="103">
        <f t="shared" si="155"/>
        <v>0</v>
      </c>
      <c r="X405" s="611"/>
      <c r="Y405" s="611"/>
      <c r="Z405" s="611"/>
      <c r="AA405" s="611"/>
      <c r="AB405" s="611"/>
      <c r="AC405" s="143"/>
      <c r="AD405" s="143"/>
      <c r="AE405" s="143"/>
      <c r="AF405" s="143"/>
      <c r="AG405" s="143"/>
      <c r="AH405" s="143"/>
      <c r="AI405" s="143"/>
      <c r="AJ405" s="103">
        <f t="shared" si="156"/>
        <v>0</v>
      </c>
      <c r="AK405" s="136"/>
      <c r="AL405" s="136"/>
      <c r="AM405" s="136"/>
      <c r="AN405" s="105">
        <f t="shared" si="157"/>
        <v>0</v>
      </c>
      <c r="AO405" s="143"/>
      <c r="AP405" s="143"/>
      <c r="AQ405" s="143"/>
      <c r="AR405" s="146"/>
      <c r="AS405" s="224">
        <f t="shared" si="158"/>
        <v>0</v>
      </c>
      <c r="AT405" s="433"/>
      <c r="AU405" s="275"/>
      <c r="AV405" s="126"/>
      <c r="AW405" s="126"/>
      <c r="AX405" s="127"/>
      <c r="AY405" s="126"/>
      <c r="AZ405" s="127"/>
      <c r="BA405" s="127"/>
      <c r="BB405" s="127"/>
      <c r="BC405" s="126"/>
      <c r="BD405" s="222">
        <f t="shared" si="159"/>
        <v>0</v>
      </c>
      <c r="BE405" s="456">
        <f t="shared" si="160"/>
        <v>0</v>
      </c>
      <c r="BF405" s="132"/>
      <c r="BG405" s="140">
        <f t="shared" si="161"/>
        <v>0</v>
      </c>
      <c r="BH405" s="141"/>
      <c r="BI405" s="141"/>
      <c r="BJ405" s="141"/>
      <c r="BK405" s="141"/>
      <c r="BL405" s="141"/>
      <c r="BM405" s="141"/>
      <c r="BN405" s="141"/>
      <c r="BO405" s="141"/>
      <c r="BP405" s="141"/>
      <c r="BQ405" s="141"/>
      <c r="BR405" s="141"/>
      <c r="BS405" s="141"/>
      <c r="BT405" s="141"/>
      <c r="BU405" s="130">
        <f t="shared" si="162"/>
        <v>0</v>
      </c>
      <c r="BV405" s="132"/>
    </row>
    <row r="406" ht="14.25" customHeight="1">
      <c r="A406" s="132"/>
      <c r="B406" s="215">
        <v>46386</v>
      </c>
      <c r="C406" s="133"/>
      <c r="D406" s="136"/>
      <c r="E406" s="135"/>
      <c r="F406" s="135"/>
      <c r="G406" s="147">
        <f t="shared" si="154"/>
        <v>0</v>
      </c>
      <c r="H406" s="768"/>
      <c r="I406" s="611"/>
      <c r="J406" s="611"/>
      <c r="K406" s="611"/>
      <c r="L406" s="611"/>
      <c r="M406" s="611"/>
      <c r="N406" s="143"/>
      <c r="P406" s="143"/>
      <c r="Q406" s="143"/>
      <c r="R406" s="143"/>
      <c r="S406" s="143"/>
      <c r="T406" s="143"/>
      <c r="U406" s="143"/>
      <c r="V406" s="143"/>
      <c r="W406" s="103">
        <f t="shared" si="155"/>
        <v>0</v>
      </c>
      <c r="X406" s="611"/>
      <c r="Y406" s="611"/>
      <c r="Z406" s="611"/>
      <c r="AA406" s="611"/>
      <c r="AB406" s="611"/>
      <c r="AC406" s="143"/>
      <c r="AD406" s="143"/>
      <c r="AE406" s="143"/>
      <c r="AF406" s="143"/>
      <c r="AG406" s="143"/>
      <c r="AH406" s="143"/>
      <c r="AI406" s="143"/>
      <c r="AJ406" s="103">
        <f t="shared" si="156"/>
        <v>0</v>
      </c>
      <c r="AK406" s="136"/>
      <c r="AL406" s="136"/>
      <c r="AM406" s="136"/>
      <c r="AN406" s="105">
        <f t="shared" si="157"/>
        <v>0</v>
      </c>
      <c r="AO406" s="143"/>
      <c r="AP406" s="143"/>
      <c r="AQ406" s="143"/>
      <c r="AR406" s="146"/>
      <c r="AS406" s="224">
        <f t="shared" si="158"/>
        <v>0</v>
      </c>
      <c r="AT406" s="433"/>
      <c r="AU406" s="275"/>
      <c r="AV406" s="126"/>
      <c r="AW406" s="126"/>
      <c r="AX406" s="127"/>
      <c r="AY406" s="126"/>
      <c r="AZ406" s="127"/>
      <c r="BA406" s="127"/>
      <c r="BB406" s="127"/>
      <c r="BC406" s="126"/>
      <c r="BD406" s="222">
        <f t="shared" si="159"/>
        <v>0</v>
      </c>
      <c r="BE406" s="456">
        <f t="shared" si="160"/>
        <v>0</v>
      </c>
      <c r="BF406" s="132"/>
      <c r="BG406" s="140">
        <f t="shared" si="161"/>
        <v>0</v>
      </c>
      <c r="BH406" s="141"/>
      <c r="BI406" s="141"/>
      <c r="BJ406" s="141"/>
      <c r="BK406" s="141"/>
      <c r="BL406" s="141"/>
      <c r="BM406" s="141"/>
      <c r="BN406" s="141"/>
      <c r="BO406" s="141"/>
      <c r="BP406" s="141"/>
      <c r="BQ406" s="141"/>
      <c r="BR406" s="141"/>
      <c r="BS406" s="141"/>
      <c r="BT406" s="141"/>
      <c r="BU406" s="130">
        <f t="shared" si="162"/>
        <v>0</v>
      </c>
      <c r="BV406" s="132"/>
    </row>
    <row r="407" ht="14.25" customHeight="1">
      <c r="A407" s="132"/>
      <c r="B407" s="215">
        <v>46387</v>
      </c>
      <c r="C407" s="159"/>
      <c r="D407" s="159"/>
      <c r="E407" s="156"/>
      <c r="F407" s="156"/>
      <c r="G407" s="147">
        <f t="shared" si="154"/>
        <v>0</v>
      </c>
      <c r="H407" s="788"/>
      <c r="I407" s="613"/>
      <c r="J407" s="613"/>
      <c r="K407" s="613"/>
      <c r="L407" s="613"/>
      <c r="M407" s="613"/>
      <c r="N407" s="157"/>
      <c r="O407" s="157"/>
      <c r="P407" s="157"/>
      <c r="Q407" s="157"/>
      <c r="R407" s="157"/>
      <c r="S407" s="157"/>
      <c r="T407" s="157"/>
      <c r="U407" s="157"/>
      <c r="V407" s="157"/>
      <c r="W407" s="103">
        <f t="shared" si="155"/>
        <v>0</v>
      </c>
      <c r="X407" s="613"/>
      <c r="Y407" s="613"/>
      <c r="Z407" s="613"/>
      <c r="AA407" s="613"/>
      <c r="AB407" s="613"/>
      <c r="AC407" s="157"/>
      <c r="AD407" s="157"/>
      <c r="AE407" s="157"/>
      <c r="AF407" s="157"/>
      <c r="AG407" s="157"/>
      <c r="AH407" s="157"/>
      <c r="AI407" s="157"/>
      <c r="AJ407" s="103">
        <f t="shared" si="156"/>
        <v>0</v>
      </c>
      <c r="AK407" s="136"/>
      <c r="AL407" s="136"/>
      <c r="AM407" s="159"/>
      <c r="AN407" s="105">
        <f t="shared" si="157"/>
        <v>0</v>
      </c>
      <c r="AO407" s="157"/>
      <c r="AP407" s="157"/>
      <c r="AQ407" s="157"/>
      <c r="AR407" s="160"/>
      <c r="AS407" s="224">
        <f t="shared" si="158"/>
        <v>0</v>
      </c>
      <c r="AT407" s="435"/>
      <c r="AU407" s="297"/>
      <c r="AV407" s="138"/>
      <c r="AW407" s="138"/>
      <c r="AX407" s="127"/>
      <c r="AY407" s="138"/>
      <c r="AZ407" s="127"/>
      <c r="BA407" s="127"/>
      <c r="BB407" s="127"/>
      <c r="BC407" s="138"/>
      <c r="BD407" s="222">
        <f t="shared" si="159"/>
        <v>0</v>
      </c>
      <c r="BE407" s="501">
        <f t="shared" si="160"/>
        <v>0</v>
      </c>
      <c r="BF407" s="132"/>
      <c r="BG407" s="162">
        <f t="shared" si="161"/>
        <v>0</v>
      </c>
      <c r="BH407" s="163"/>
      <c r="BI407" s="163"/>
      <c r="BJ407" s="163"/>
      <c r="BK407" s="163"/>
      <c r="BL407" s="163"/>
      <c r="BM407" s="163"/>
      <c r="BN407" s="163"/>
      <c r="BO407" s="163"/>
      <c r="BP407" s="163"/>
      <c r="BQ407" s="141"/>
      <c r="BR407" s="163"/>
      <c r="BS407" s="163"/>
      <c r="BT407" s="163"/>
      <c r="BU407" s="164">
        <f t="shared" si="162"/>
        <v>0</v>
      </c>
      <c r="BV407" s="132"/>
    </row>
    <row r="408" ht="14.25" customHeight="1">
      <c r="A408" s="3"/>
      <c r="B408" s="2" t="s">
        <v>86</v>
      </c>
      <c r="C408" s="166">
        <f ref="C408:P408" t="shared" si="163">SUM(C377:C407)</f>
        <v>0</v>
      </c>
      <c r="D408" s="166">
        <f t="shared" si="163"/>
        <v>0</v>
      </c>
      <c r="E408" s="166">
        <f t="shared" si="163"/>
        <v>0</v>
      </c>
      <c r="F408" s="166">
        <f t="shared" si="163"/>
        <v>0</v>
      </c>
      <c r="G408" s="166">
        <f t="shared" si="163"/>
        <v>0</v>
      </c>
      <c r="H408" s="166">
        <f t="shared" si="163"/>
        <v>0</v>
      </c>
      <c r="I408" s="166">
        <f t="shared" si="163"/>
        <v>0</v>
      </c>
      <c r="J408" s="166">
        <f t="shared" si="163"/>
        <v>0</v>
      </c>
      <c r="K408" s="166">
        <f t="shared" si="163"/>
        <v>0</v>
      </c>
      <c r="L408" s="166">
        <f t="shared" si="163"/>
        <v>0</v>
      </c>
      <c r="M408" s="166">
        <f t="shared" si="163"/>
        <v>0</v>
      </c>
      <c r="N408" s="166">
        <f t="shared" si="163"/>
        <v>0</v>
      </c>
      <c r="O408" s="166">
        <f t="shared" si="163"/>
        <v>0</v>
      </c>
      <c r="P408" s="166">
        <f t="shared" si="163"/>
        <v>0</v>
      </c>
      <c r="Q408" s="166"/>
      <c r="R408" s="166"/>
      <c r="S408" s="166">
        <f ref="S408:BE408" t="shared" si="164">SUM(S377:S407)</f>
        <v>0</v>
      </c>
      <c r="T408" s="166">
        <f t="shared" si="164"/>
        <v>0</v>
      </c>
      <c r="U408" s="166">
        <f t="shared" si="164"/>
        <v>0</v>
      </c>
      <c r="V408" s="166">
        <f t="shared" si="164"/>
        <v>0</v>
      </c>
      <c r="W408" s="166">
        <f t="shared" si="164"/>
        <v>0</v>
      </c>
      <c r="X408" s="617">
        <f t="shared" si="164"/>
        <v>0</v>
      </c>
      <c r="Y408" s="617">
        <f t="shared" si="164"/>
        <v>0</v>
      </c>
      <c r="Z408" s="617">
        <f t="shared" si="164"/>
        <v>0</v>
      </c>
      <c r="AA408" s="617">
        <f t="shared" si="164"/>
        <v>0</v>
      </c>
      <c r="AB408" s="617">
        <f t="shared" si="164"/>
        <v>0</v>
      </c>
      <c r="AC408" s="166">
        <f t="shared" si="164"/>
        <v>0</v>
      </c>
      <c r="AD408" s="166">
        <f t="shared" si="164"/>
        <v>0</v>
      </c>
      <c r="AE408" s="166">
        <f t="shared" si="164"/>
        <v>0</v>
      </c>
      <c r="AF408" s="166">
        <f t="shared" si="164"/>
        <v>0</v>
      </c>
      <c r="AG408" s="166">
        <f t="shared" si="164"/>
        <v>0</v>
      </c>
      <c r="AH408" s="166">
        <f t="shared" si="164"/>
        <v>0</v>
      </c>
      <c r="AI408" s="166">
        <f t="shared" si="164"/>
        <v>0</v>
      </c>
      <c r="AJ408" s="166">
        <f t="shared" si="164"/>
        <v>0</v>
      </c>
      <c r="AK408" s="166">
        <f t="shared" si="164"/>
        <v>0</v>
      </c>
      <c r="AL408" s="166">
        <f t="shared" si="164"/>
        <v>0</v>
      </c>
      <c r="AM408" s="166">
        <f t="shared" si="164"/>
        <v>0</v>
      </c>
      <c r="AN408" s="166">
        <f t="shared" si="164"/>
        <v>0</v>
      </c>
      <c r="AO408" s="166">
        <f t="shared" si="164"/>
        <v>0</v>
      </c>
      <c r="AP408" s="166">
        <f t="shared" si="164"/>
        <v>0</v>
      </c>
      <c r="AQ408" s="166">
        <f t="shared" si="164"/>
        <v>0</v>
      </c>
      <c r="AR408" s="166">
        <f t="shared" si="164"/>
        <v>0</v>
      </c>
      <c r="AS408" s="166">
        <f t="shared" si="164"/>
        <v>0</v>
      </c>
      <c r="AT408" s="1068">
        <f t="shared" si="164"/>
        <v>0</v>
      </c>
      <c r="AU408" s="165">
        <f t="shared" si="164"/>
        <v>0</v>
      </c>
      <c r="AV408" s="165">
        <f t="shared" si="164"/>
        <v>0</v>
      </c>
      <c r="AW408" s="165">
        <f t="shared" si="164"/>
        <v>0</v>
      </c>
      <c r="AX408" s="165">
        <f t="shared" si="164"/>
        <v>0</v>
      </c>
      <c r="AY408" s="165">
        <f t="shared" si="164"/>
        <v>0</v>
      </c>
      <c r="AZ408" s="165">
        <f t="shared" si="164"/>
        <v>0</v>
      </c>
      <c r="BA408" s="165">
        <f t="shared" si="164"/>
        <v>0</v>
      </c>
      <c r="BB408" s="165">
        <f t="shared" si="164"/>
        <v>0</v>
      </c>
      <c r="BC408" s="165">
        <f t="shared" si="164"/>
        <v>0</v>
      </c>
      <c r="BD408" s="166">
        <f t="shared" si="164"/>
        <v>0</v>
      </c>
      <c r="BE408" s="617">
        <f t="shared" si="164"/>
        <v>0</v>
      </c>
      <c r="BF408" s="132"/>
      <c r="BG408" s="166">
        <f ref="BG408:BU408" t="shared" si="165">SUM(BG377:BG407)</f>
        <v>0</v>
      </c>
      <c r="BH408" s="166">
        <f t="shared" si="165"/>
        <v>0</v>
      </c>
      <c r="BI408" s="166">
        <f t="shared" si="165"/>
        <v>0</v>
      </c>
      <c r="BJ408" s="166">
        <f t="shared" si="165"/>
        <v>0</v>
      </c>
      <c r="BK408" s="166">
        <f t="shared" si="165"/>
        <v>0</v>
      </c>
      <c r="BL408" s="166">
        <f t="shared" si="165"/>
        <v>0</v>
      </c>
      <c r="BM408" s="166">
        <f t="shared" si="165"/>
        <v>0</v>
      </c>
      <c r="BN408" s="166">
        <f t="shared" si="165"/>
        <v>0</v>
      </c>
      <c r="BO408" s="166">
        <f t="shared" si="165"/>
        <v>0</v>
      </c>
      <c r="BP408" s="166">
        <f t="shared" si="165"/>
        <v>0</v>
      </c>
      <c r="BQ408" s="166">
        <f t="shared" si="165"/>
        <v>0</v>
      </c>
      <c r="BR408" s="166">
        <f t="shared" si="165"/>
        <v>0</v>
      </c>
      <c r="BS408" s="166">
        <f t="shared" si="165"/>
        <v>0</v>
      </c>
      <c r="BT408" s="166">
        <f t="shared" si="165"/>
        <v>0</v>
      </c>
      <c r="BU408" s="166">
        <f t="shared" si="165"/>
        <v>0</v>
      </c>
      <c r="BV408" s="132"/>
    </row>
  </sheetData>
  <pageMargins left="0.7" right="0.7" top="0.75" bottom="0.75" header="0" footer="0"/>
  <pageSetup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5623"/>
  </sheetPr>
  <dimension ref="A1:BX405"/>
  <sheetViews>
    <sheetView showGridLines="0" zoomScale="35" zoomScaleNormal="35" workbookViewId="0">
      <pane xSplit="2" ySplit="5" topLeftCell="C111" activePane="bottomRight" state="frozen"/>
      <selection pane="topRight" activeCell="C1" sqref="C1"/>
      <selection pane="bottomLeft" activeCell="A6" sqref="A6"/>
      <selection pane="bottomRight" activeCell="BT139" sqref="BT139:BT145"/>
    </sheetView>
  </sheetViews>
  <sheetFormatPr baseColWidth="10" defaultColWidth="14.42578125" defaultRowHeight="15" customHeight="1" x14ac:dyDescent="0.25"/>
  <cols>
    <col min="1" max="1" width="1.7109375" customWidth="1"/>
    <col min="2" max="2" width="11.7109375" customWidth="1"/>
    <col min="3" max="4" width="13.42578125" customWidth="1"/>
    <col min="5" max="5" hidden="1" width="12.42578125" customWidth="1"/>
    <col min="6" max="6" hidden="1" width="13.85546875" customWidth="1"/>
    <col min="7" max="7" width="13.42578125" customWidth="1"/>
    <col min="8" max="8" width="14.85546875" customWidth="1"/>
    <col min="9" max="9" width="19.28515625" customWidth="1"/>
    <col min="10" max="10" hidden="1" width="25.28515625" customWidth="1"/>
    <col min="11" max="12" width="13.42578125" customWidth="1"/>
    <col min="13" max="13" width="17.28515625" customWidth="1"/>
    <col min="14" max="14" width="15.42578125" customWidth="1"/>
    <col min="15" max="15" hidden="1" width="30.140625" customWidth="1"/>
    <col min="16" max="16" hidden="1" width="8.42578125" customWidth="1"/>
    <col min="17" max="17" hidden="1" width="10.7109375" customWidth="1"/>
    <col min="18" max="18" hidden="1" width="6.85546875" customWidth="1"/>
    <col min="19" max="20" hidden="1" width="7.85546875" customWidth="1"/>
    <col min="21" max="21" width="18" customWidth="1"/>
    <col min="22" max="23" width="11.5703125" customWidth="1"/>
    <col min="24" max="24" hidden="1" width="29.5703125" customWidth="1"/>
    <col min="25" max="26" width="18" customWidth="1"/>
    <col min="27" max="27" hidden="1" width="11.28515625" customWidth="1"/>
    <col min="28" max="32" hidden="1" width="4.85546875" customWidth="1"/>
    <col min="33" max="33" width="17.28515625" customWidth="1"/>
    <col min="34" max="34" width="11.42578125" customWidth="1"/>
    <col min="36" max="36" width="12" customWidth="1"/>
    <col min="37" max="38" width="12.85546875" customWidth="1"/>
    <col min="39" max="39" hidden="1" width="12.85546875" customWidth="1"/>
    <col min="40" max="40" width="16.42578125" customWidth="1"/>
    <col min="41" max="42" width="13.7109375" customWidth="1"/>
    <col min="43" max="44" hidden="1" width="15.140625" customWidth="1"/>
    <col min="45" max="45" width="12.7109375" customWidth="1"/>
    <col min="46" max="46" width="13.140625" customWidth="1"/>
    <col min="47" max="47" width="14.7109375" customWidth="1"/>
    <col min="48" max="48" width="16.85546875" customWidth="1"/>
    <col min="49" max="49" hidden="1" width="13.140625" customWidth="1"/>
    <col min="50" max="51" hidden="1" width="11.85546875" customWidth="1"/>
    <col min="52" max="52" hidden="1" width="12.85546875" customWidth="1"/>
    <col min="53" max="53" width="11.85546875" customWidth="1"/>
    <col min="54" max="55" hidden="1" width="11.85546875" customWidth="1"/>
    <col min="56" max="56" hidden="1" width="12.85546875" customWidth="1"/>
    <col min="57" max="57" width="11.85546875" customWidth="1"/>
    <col min="58" max="58" width="13" customWidth="1"/>
    <col min="59" max="59" width="16.42578125" customWidth="1"/>
    <col min="60" max="60" width="4" customWidth="1"/>
    <col min="61" max="61" width="11.42578125" customWidth="1"/>
    <col min="62" max="63" width="12.7109375" customWidth="1"/>
    <col min="64" max="67" hidden="1" width="12.7109375" customWidth="1"/>
    <col min="68" max="68" hidden="1" width="15" customWidth="1"/>
    <col min="69" max="70" hidden="1" width="14.42578125" customWidth="1"/>
    <col min="71" max="71" width="12.7109375" customWidth="1"/>
    <col min="72" max="72" width="15.42578125" customWidth="1"/>
    <col min="73" max="74" width="12.7109375" customWidth="1"/>
    <col min="75" max="75" width="11.42578125" customWidth="1"/>
    <col min="76" max="76" width="2.140625" customWidth="1"/>
  </cols>
  <sheetData>
    <row r="1" ht="12" customHeight="1">
      <c r="A1" s="14"/>
      <c r="B1" s="20" t="s">
        <v>1</v>
      </c>
      <c r="C1" s="14"/>
      <c r="D1" s="14"/>
      <c r="E1" s="14"/>
      <c r="F1" s="14"/>
      <c r="G1" s="15"/>
      <c r="H1" s="15"/>
      <c r="I1" s="15"/>
      <c r="J1" s="14"/>
      <c r="K1" s="14"/>
      <c r="L1" s="14"/>
      <c r="M1" s="14"/>
      <c r="N1" s="14"/>
      <c r="O1" s="14"/>
      <c r="P1" s="14"/>
      <c r="Q1" s="15"/>
      <c r="R1" s="15"/>
      <c r="S1" s="15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6"/>
      <c r="AO1" s="16"/>
      <c r="AP1" s="16"/>
      <c r="AQ1" s="16"/>
      <c r="AR1" s="16"/>
      <c r="AS1" s="16"/>
      <c r="AT1" s="16"/>
      <c r="AU1" s="17"/>
      <c r="AV1" s="17"/>
      <c r="AW1" s="17"/>
      <c r="AX1" s="17"/>
      <c r="AY1" s="691"/>
      <c r="AZ1" s="691"/>
      <c r="BA1" s="17"/>
      <c r="BB1" s="14"/>
      <c r="BC1" s="14"/>
      <c r="BD1" s="14"/>
      <c r="BE1" s="14"/>
      <c r="BF1" s="16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</row>
    <row r="2" ht="13.5" customHeight="1">
      <c r="A2" s="313"/>
      <c r="B2" s="314"/>
      <c r="C2" s="315" t="s">
        <v>216</v>
      </c>
      <c r="D2" s="313"/>
      <c r="E2" s="313"/>
      <c r="F2" s="313"/>
      <c r="G2" s="316"/>
      <c r="H2" s="316"/>
      <c r="I2" s="316"/>
      <c r="J2" s="313"/>
      <c r="K2" s="313"/>
      <c r="L2" s="313"/>
      <c r="M2" s="313"/>
      <c r="N2" s="313"/>
      <c r="O2" s="313"/>
      <c r="P2" s="313"/>
      <c r="Q2" s="316"/>
      <c r="R2" s="316"/>
      <c r="S2" s="316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"/>
      <c r="AO2" s="3"/>
      <c r="AP2" s="3"/>
      <c r="AQ2" s="3">
        <f>383.18-375</f>
        <v>8.180000000000007</v>
      </c>
      <c r="AR2" s="3"/>
      <c r="AS2" s="3"/>
      <c r="AT2" s="3"/>
      <c r="AU2" s="1"/>
      <c r="AV2" s="1"/>
      <c r="AW2" s="1"/>
      <c r="AX2" s="1"/>
      <c r="AY2" s="1"/>
      <c r="AZ2" s="1"/>
      <c r="BA2" s="318"/>
      <c r="BB2" s="313"/>
      <c r="BC2" s="313"/>
      <c r="BD2" s="313"/>
      <c r="BE2" s="313"/>
      <c r="BF2" s="3"/>
      <c r="BG2" s="313"/>
      <c r="BH2" s="313"/>
      <c r="BI2" s="313" t="s">
        <v>3</v>
      </c>
      <c r="BJ2" s="313"/>
      <c r="BK2" s="313"/>
      <c r="BL2" s="313"/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</row>
    <row r="3" ht="12" customHeight="1">
      <c r="A3" s="22"/>
      <c r="B3" s="22"/>
      <c r="C3" s="22"/>
      <c r="D3" s="22"/>
      <c r="E3" s="22"/>
      <c r="F3" s="22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5" t="s">
        <v>4</v>
      </c>
      <c r="AK3" s="22"/>
      <c r="AL3" s="22"/>
      <c r="AM3" s="22"/>
      <c r="AN3" s="26" t="s">
        <v>5</v>
      </c>
      <c r="AO3" s="24"/>
      <c r="AP3" s="24"/>
      <c r="AQ3" s="24"/>
      <c r="AR3" s="24"/>
      <c r="AS3" s="24"/>
      <c r="AT3" s="27"/>
      <c r="AU3" s="325"/>
      <c r="AV3" s="321"/>
      <c r="AW3" s="321"/>
      <c r="AX3" s="321"/>
      <c r="AY3" s="321"/>
      <c r="AZ3" s="321"/>
      <c r="BA3" s="1141"/>
      <c r="BB3" s="27"/>
      <c r="BC3" s="27"/>
      <c r="BD3" s="27"/>
      <c r="BE3" s="27"/>
      <c r="BF3" s="27"/>
      <c r="BG3" s="27"/>
      <c r="BH3" s="27"/>
      <c r="BI3" s="27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7"/>
      <c r="BX3" s="22"/>
    </row>
    <row r="4" ht="13.5" customHeight="1">
      <c r="A4" s="33"/>
      <c r="B4" s="1142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569" t="s">
        <v>8</v>
      </c>
      <c r="H4" s="1143" t="s">
        <v>10</v>
      </c>
      <c r="I4" s="25" t="s">
        <v>10</v>
      </c>
      <c r="J4" s="25" t="s">
        <v>10</v>
      </c>
      <c r="K4" s="25" t="s">
        <v>10</v>
      </c>
      <c r="L4" s="25" t="s">
        <v>10</v>
      </c>
      <c r="M4" s="25" t="s">
        <v>10</v>
      </c>
      <c r="N4" s="571" t="s">
        <v>10</v>
      </c>
      <c r="O4" s="571" t="s">
        <v>10</v>
      </c>
      <c r="P4" s="571" t="s">
        <v>10</v>
      </c>
      <c r="Q4" s="571" t="s">
        <v>10</v>
      </c>
      <c r="R4" s="571" t="s">
        <v>10</v>
      </c>
      <c r="S4" s="571" t="s">
        <v>10</v>
      </c>
      <c r="T4" s="571" t="s">
        <v>10</v>
      </c>
      <c r="U4" s="571" t="s">
        <v>11</v>
      </c>
      <c r="V4" s="571" t="s">
        <v>10</v>
      </c>
      <c r="W4" s="571" t="s">
        <v>12</v>
      </c>
      <c r="X4" s="571" t="s">
        <v>12</v>
      </c>
      <c r="Y4" s="571" t="s">
        <v>12</v>
      </c>
      <c r="Z4" s="571" t="s">
        <v>12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708" t="s">
        <v>12</v>
      </c>
      <c r="AJ4" s="709" t="s">
        <v>12</v>
      </c>
      <c r="AK4" s="572" t="s">
        <v>13</v>
      </c>
      <c r="AL4" s="573" t="s">
        <v>13</v>
      </c>
      <c r="AM4" s="573" t="s">
        <v>13</v>
      </c>
      <c r="AN4" s="605" t="s">
        <v>14</v>
      </c>
      <c r="AO4" s="574" t="s">
        <v>15</v>
      </c>
      <c r="AP4" s="574" t="s">
        <v>15</v>
      </c>
      <c r="AQ4" s="575" t="s">
        <v>134</v>
      </c>
      <c r="AR4" s="575" t="s">
        <v>134</v>
      </c>
      <c r="AS4" s="576" t="s">
        <v>16</v>
      </c>
      <c r="AT4" s="51" t="s">
        <v>4</v>
      </c>
      <c r="AU4" s="1144" t="s">
        <v>17</v>
      </c>
      <c r="AV4" s="59" t="s">
        <v>17</v>
      </c>
      <c r="AW4" s="59" t="s">
        <v>20</v>
      </c>
      <c r="AX4" s="59" t="s">
        <v>20</v>
      </c>
      <c r="AY4" s="59" t="s">
        <v>20</v>
      </c>
      <c r="AZ4" s="59" t="s">
        <v>20</v>
      </c>
      <c r="BA4" s="739" t="s">
        <v>20</v>
      </c>
      <c r="BB4" s="715" t="s">
        <v>20</v>
      </c>
      <c r="BC4" s="715" t="s">
        <v>21</v>
      </c>
      <c r="BD4" s="59" t="s">
        <v>22</v>
      </c>
      <c r="BE4" s="59" t="s">
        <v>24</v>
      </c>
      <c r="BF4" s="51" t="s">
        <v>5</v>
      </c>
      <c r="BG4" s="58" t="s">
        <v>25</v>
      </c>
      <c r="BH4" s="33"/>
      <c r="BI4" s="58" t="s">
        <v>4</v>
      </c>
      <c r="BJ4" s="59" t="s">
        <v>26</v>
      </c>
      <c r="BK4" s="59" t="s">
        <v>89</v>
      </c>
      <c r="BL4" s="59" t="s">
        <v>90</v>
      </c>
      <c r="BM4" s="59" t="s">
        <v>91</v>
      </c>
      <c r="BN4" s="59" t="s">
        <v>92</v>
      </c>
      <c r="BO4" s="59" t="s">
        <v>93</v>
      </c>
      <c r="BP4" s="59" t="s">
        <v>94</v>
      </c>
      <c r="BQ4" s="59" t="s">
        <v>95</v>
      </c>
      <c r="BR4" s="59" t="s">
        <v>95</v>
      </c>
      <c r="BS4" s="59" t="s">
        <v>27</v>
      </c>
      <c r="BT4" s="59" t="s">
        <v>28</v>
      </c>
      <c r="BU4" s="59" t="s">
        <v>28</v>
      </c>
      <c r="BV4" s="59" t="s">
        <v>28</v>
      </c>
      <c r="BW4" s="60" t="s">
        <v>29</v>
      </c>
      <c r="BX4" s="33"/>
    </row>
    <row r="5" ht="18.75" customHeight="1">
      <c r="A5" s="33"/>
      <c r="B5" s="1145"/>
      <c r="C5" s="584" t="s">
        <v>30</v>
      </c>
      <c r="D5" s="584" t="s">
        <v>31</v>
      </c>
      <c r="E5" s="585" t="s">
        <v>32</v>
      </c>
      <c r="F5" s="586" t="s">
        <v>33</v>
      </c>
      <c r="G5" s="587" t="s">
        <v>34</v>
      </c>
      <c r="H5" s="362" t="s">
        <v>147</v>
      </c>
      <c r="I5" s="362" t="s">
        <v>139</v>
      </c>
      <c r="J5" s="362" t="s">
        <v>217</v>
      </c>
      <c r="K5" s="362" t="s">
        <v>103</v>
      </c>
      <c r="L5" s="1146" t="s">
        <v>35</v>
      </c>
      <c r="M5" s="362" t="s">
        <v>179</v>
      </c>
      <c r="N5" s="588" t="s">
        <v>106</v>
      </c>
      <c r="O5" s="361"/>
      <c r="P5" s="588" t="s">
        <v>57</v>
      </c>
      <c r="Q5" s="588" t="s">
        <v>58</v>
      </c>
      <c r="R5" s="588" t="s">
        <v>59</v>
      </c>
      <c r="S5" s="588" t="s">
        <v>46</v>
      </c>
      <c r="T5" s="588" t="s">
        <v>47</v>
      </c>
      <c r="U5" s="595" t="s">
        <v>48</v>
      </c>
      <c r="V5" s="591" t="s">
        <v>218</v>
      </c>
      <c r="W5" s="361" t="s">
        <v>219</v>
      </c>
      <c r="X5" s="596" t="s">
        <v>220</v>
      </c>
      <c r="Y5" s="733" t="s">
        <v>221</v>
      </c>
      <c r="Z5" s="733" t="s">
        <v>222</v>
      </c>
      <c r="AA5" s="733" t="s">
        <v>53</v>
      </c>
      <c r="AB5" s="733" t="s">
        <v>54</v>
      </c>
      <c r="AC5" s="733" t="s">
        <v>55</v>
      </c>
      <c r="AD5" s="733" t="s">
        <v>56</v>
      </c>
      <c r="AE5" s="733" t="s">
        <v>57</v>
      </c>
      <c r="AF5" s="733" t="s">
        <v>58</v>
      </c>
      <c r="AG5" s="733" t="s">
        <v>223</v>
      </c>
      <c r="AH5" s="733" t="s">
        <v>224</v>
      </c>
      <c r="AI5" s="733" t="s">
        <v>225</v>
      </c>
      <c r="AJ5" s="595" t="s">
        <v>30</v>
      </c>
      <c r="AK5" s="599" t="s">
        <v>30</v>
      </c>
      <c r="AL5" s="600" t="s">
        <v>31</v>
      </c>
      <c r="AM5" s="600" t="s">
        <v>32</v>
      </c>
      <c r="AN5" s="90" t="s">
        <v>34</v>
      </c>
      <c r="AO5" s="601" t="s">
        <v>48</v>
      </c>
      <c r="AP5" s="601" t="s">
        <v>31</v>
      </c>
      <c r="AQ5" s="602" t="s">
        <v>31</v>
      </c>
      <c r="AR5" s="602" t="s">
        <v>32</v>
      </c>
      <c r="AS5" s="603" t="s">
        <v>60</v>
      </c>
      <c r="AT5" s="81" t="s">
        <v>61</v>
      </c>
      <c r="AU5" s="1144" t="s">
        <v>62</v>
      </c>
      <c r="AV5" s="605" t="s">
        <v>65</v>
      </c>
      <c r="AW5" s="605" t="s">
        <v>158</v>
      </c>
      <c r="AX5" s="605" t="s">
        <v>66</v>
      </c>
      <c r="AY5" s="605" t="s">
        <v>67</v>
      </c>
      <c r="AZ5" s="605" t="s">
        <v>68</v>
      </c>
      <c r="BA5" s="739" t="s">
        <v>31</v>
      </c>
      <c r="BB5" s="739" t="s">
        <v>32</v>
      </c>
      <c r="BC5" s="739" t="s">
        <v>32</v>
      </c>
      <c r="BD5" s="605"/>
      <c r="BE5" s="605" t="s">
        <v>69</v>
      </c>
      <c r="BF5" s="81" t="s">
        <v>70</v>
      </c>
      <c r="BG5" s="89" t="s">
        <v>71</v>
      </c>
      <c r="BH5" s="33"/>
      <c r="BI5" s="89" t="s">
        <v>72</v>
      </c>
      <c r="BJ5" s="90"/>
      <c r="BK5" s="90" t="s">
        <v>125</v>
      </c>
      <c r="BL5" s="90"/>
      <c r="BM5" s="90" t="s">
        <v>126</v>
      </c>
      <c r="BN5" s="90" t="s">
        <v>127</v>
      </c>
      <c r="BO5" s="90" t="s">
        <v>128</v>
      </c>
      <c r="BP5" s="90" t="s">
        <v>129</v>
      </c>
      <c r="BQ5" s="90" t="s">
        <v>130</v>
      </c>
      <c r="BR5" s="90" t="s">
        <v>131</v>
      </c>
      <c r="BS5" s="90" t="s">
        <v>73</v>
      </c>
      <c r="BT5" s="90" t="s">
        <v>74</v>
      </c>
      <c r="BU5" s="90" t="s">
        <v>75</v>
      </c>
      <c r="BV5" s="90" t="s">
        <v>52</v>
      </c>
      <c r="BW5" s="91"/>
      <c r="BX5" s="33"/>
    </row>
    <row r="6" ht="14.25" customHeight="1">
      <c r="A6" s="3"/>
      <c r="B6" s="444">
        <v>46023</v>
      </c>
      <c r="C6" s="890">
        <f>5414.43-D6-0</f>
      </c>
      <c r="D6" s="897">
        <v>1150.3</v>
      </c>
      <c r="E6" s="120"/>
      <c r="F6" s="120"/>
      <c r="G6" s="147">
        <f ref="G6:G36" t="shared" si="0">+C6+D6+E6+F6</f>
        <v>0</v>
      </c>
      <c r="H6" s="1147">
        <v>186.29</v>
      </c>
      <c r="I6" s="894"/>
      <c r="J6" s="143"/>
      <c r="K6" s="1148">
        <v>1139.04</v>
      </c>
      <c r="L6" s="894"/>
      <c r="M6" s="1050"/>
      <c r="N6" s="143"/>
      <c r="O6" s="186"/>
      <c r="P6" s="143"/>
      <c r="Q6" s="143"/>
      <c r="R6" s="143"/>
      <c r="S6" s="143"/>
      <c r="T6" s="143"/>
      <c r="U6" s="103">
        <f ref="U6:U36" t="shared" si="1">SUM(H6:T6)</f>
        <v>0</v>
      </c>
      <c r="V6" s="186"/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6"/>
      <c r="AH6" s="186"/>
      <c r="AI6" s="186"/>
      <c r="AJ6" s="103">
        <f ref="AJ6:AJ36" t="shared" si="2">SUM(V6:AI6)</f>
        <v>0</v>
      </c>
      <c r="AK6" s="983">
        <v>656.13</v>
      </c>
      <c r="AL6" s="897">
        <v>503.1</v>
      </c>
      <c r="AM6" s="104"/>
      <c r="AN6" s="105">
        <f ref="AN6:AN36" t="shared" si="3">SUM(AK6:AM6)</f>
        <v>0</v>
      </c>
      <c r="AO6" s="984">
        <v>113.38</v>
      </c>
      <c r="AP6" s="912"/>
      <c r="AQ6" s="186"/>
      <c r="AR6" s="186"/>
      <c r="AS6" s="193"/>
      <c r="AT6" s="224">
        <f ref="AT6:AT36" t="shared" si="4">+G6-U6-AJ6-AN6-AO6-AQ6-AR6-AS6</f>
        <v>0</v>
      </c>
      <c r="AU6" s="1814">
        <v>2169.3</v>
      </c>
      <c r="AV6" s="1687"/>
      <c r="AW6" s="1815"/>
      <c r="AX6" s="1687"/>
      <c r="AY6" s="1687"/>
      <c r="AZ6" s="1688"/>
      <c r="BA6" s="1814">
        <v>646.4</v>
      </c>
      <c r="BB6" s="1548"/>
      <c r="BC6" s="1548"/>
      <c r="BD6" s="1548"/>
      <c r="BE6" s="1537"/>
      <c r="BF6" s="222">
        <f ref="BF6:BF36" t="shared" si="5">SUM(AU6:BE6)-BD6</f>
        <v>0</v>
      </c>
      <c r="BG6" s="114">
        <f ref="BG6:BG36" t="shared" si="6">+AT6-BF6</f>
        <v>0</v>
      </c>
      <c r="BH6" s="3"/>
      <c r="BI6" s="114">
        <f ref="BI6:BI36" t="shared" si="7">SUM(BJ6:BV6)</f>
        <v>0</v>
      </c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898"/>
      <c r="BU6" s="115"/>
      <c r="BV6" s="115"/>
      <c r="BW6" s="116">
        <f ref="BW6:BW36" t="shared" si="8">+BG6-BI6</f>
        <v>0</v>
      </c>
      <c r="BX6" s="3"/>
    </row>
    <row r="7" ht="14.25" customHeight="1">
      <c r="A7" s="3"/>
      <c r="B7" s="444">
        <v>46024</v>
      </c>
      <c r="C7" s="900">
        <f>6706.24-D7-0</f>
      </c>
      <c r="D7" s="901">
        <v>2695.4</v>
      </c>
      <c r="E7" s="120"/>
      <c r="F7" s="120"/>
      <c r="G7" s="147">
        <f t="shared" si="0"/>
        <v>0</v>
      </c>
      <c r="H7" s="1149">
        <v>400.3</v>
      </c>
      <c r="I7" s="905"/>
      <c r="J7" s="143"/>
      <c r="K7" s="905"/>
      <c r="L7" s="905"/>
      <c r="M7" s="1054"/>
      <c r="N7" s="143"/>
      <c r="O7" s="143"/>
      <c r="P7" s="143"/>
      <c r="Q7" s="143"/>
      <c r="R7" s="143"/>
      <c r="S7" s="143"/>
      <c r="T7" s="143"/>
      <c r="U7" s="103">
        <f t="shared" si="1"/>
        <v>0</v>
      </c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03">
        <f t="shared" si="2"/>
        <v>0</v>
      </c>
      <c r="AK7" s="906">
        <v>1321.24</v>
      </c>
      <c r="AL7" s="907">
        <v>1036.9</v>
      </c>
      <c r="AM7" s="123"/>
      <c r="AN7" s="105">
        <f t="shared" si="3"/>
        <v>0</v>
      </c>
      <c r="AO7" s="904"/>
      <c r="AP7" s="912"/>
      <c r="AQ7" s="143"/>
      <c r="AR7" s="143"/>
      <c r="AS7" s="146"/>
      <c r="AT7" s="224">
        <f t="shared" si="4"/>
        <v>0</v>
      </c>
      <c r="AU7" s="1814">
        <v>2264.3</v>
      </c>
      <c r="AV7" s="1690"/>
      <c r="AW7" s="1816"/>
      <c r="AX7" s="1690"/>
      <c r="AY7" s="1690"/>
      <c r="AZ7" s="1688"/>
      <c r="BA7" s="1814">
        <v>1657.2</v>
      </c>
      <c r="BB7" s="1548"/>
      <c r="BC7" s="1548"/>
      <c r="BD7" s="1548"/>
      <c r="BE7" s="1546"/>
      <c r="BF7" s="222">
        <f t="shared" si="5"/>
        <v>0</v>
      </c>
      <c r="BG7" s="113">
        <f t="shared" si="6"/>
        <v>0</v>
      </c>
      <c r="BH7" s="3"/>
      <c r="BI7" s="113">
        <f t="shared" si="7"/>
        <v>0</v>
      </c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914"/>
      <c r="BU7" s="131">
        <v>25</v>
      </c>
      <c r="BV7" s="129"/>
      <c r="BW7" s="130">
        <f t="shared" si="8"/>
        <v>0</v>
      </c>
      <c r="BX7" s="3"/>
    </row>
    <row r="8" ht="14.25" customHeight="1">
      <c r="A8" s="3"/>
      <c r="B8" s="444">
        <v>46025</v>
      </c>
      <c r="C8" s="900">
        <f>7738.97-D8-0</f>
      </c>
      <c r="D8" s="901">
        <v>2007.1</v>
      </c>
      <c r="E8" s="120"/>
      <c r="F8" s="120"/>
      <c r="G8" s="147">
        <f t="shared" si="0"/>
        <v>0</v>
      </c>
      <c r="H8" s="1149">
        <v>628.4</v>
      </c>
      <c r="I8" s="905"/>
      <c r="J8" s="143"/>
      <c r="K8" s="905"/>
      <c r="L8" s="905"/>
      <c r="M8" s="1054"/>
      <c r="N8" s="143"/>
      <c r="O8" s="143"/>
      <c r="P8" s="143"/>
      <c r="Q8" s="143"/>
      <c r="R8" s="143"/>
      <c r="S8" s="143"/>
      <c r="T8" s="143"/>
      <c r="U8" s="103">
        <f t="shared" si="1"/>
        <v>0</v>
      </c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03">
        <f t="shared" si="2"/>
        <v>0</v>
      </c>
      <c r="AK8" s="906">
        <v>3637.88</v>
      </c>
      <c r="AL8" s="907">
        <v>233.1</v>
      </c>
      <c r="AM8" s="123"/>
      <c r="AN8" s="105">
        <f t="shared" si="3"/>
        <v>0</v>
      </c>
      <c r="AO8" s="904"/>
      <c r="AP8" s="912"/>
      <c r="AQ8" s="143"/>
      <c r="AR8" s="143"/>
      <c r="AS8" s="146"/>
      <c r="AT8" s="224">
        <f t="shared" si="4"/>
        <v>0</v>
      </c>
      <c r="AU8" s="1814">
        <v>1465.6</v>
      </c>
      <c r="AV8" s="1690"/>
      <c r="AW8" s="1816"/>
      <c r="AX8" s="1690"/>
      <c r="AY8" s="1690"/>
      <c r="AZ8" s="1688"/>
      <c r="BA8" s="1814">
        <v>1773</v>
      </c>
      <c r="BB8" s="1548"/>
      <c r="BC8" s="1548"/>
      <c r="BD8" s="1548"/>
      <c r="BE8" s="1546"/>
      <c r="BF8" s="222">
        <f t="shared" si="5"/>
        <v>0</v>
      </c>
      <c r="BG8" s="113">
        <f t="shared" si="6"/>
        <v>0</v>
      </c>
      <c r="BH8" s="3"/>
      <c r="BI8" s="113">
        <f t="shared" si="7"/>
        <v>0</v>
      </c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914"/>
      <c r="BU8" s="129"/>
      <c r="BV8" s="129"/>
      <c r="BW8" s="130">
        <f t="shared" si="8"/>
        <v>0</v>
      </c>
      <c r="BX8" s="3"/>
    </row>
    <row r="9" ht="14.25" customHeight="1">
      <c r="A9" s="3"/>
      <c r="B9" s="444">
        <v>46026</v>
      </c>
      <c r="C9" s="900">
        <f>8462.42-D9-0</f>
      </c>
      <c r="D9" s="907">
        <v>2976.5</v>
      </c>
      <c r="E9" s="120"/>
      <c r="F9" s="120"/>
      <c r="G9" s="147">
        <f t="shared" si="0"/>
        <v>0</v>
      </c>
      <c r="H9" s="1149">
        <v>47.67</v>
      </c>
      <c r="I9" s="905"/>
      <c r="J9" s="143"/>
      <c r="K9" s="905"/>
      <c r="L9" s="992">
        <v>169.07</v>
      </c>
      <c r="M9" s="1054"/>
      <c r="N9" s="143"/>
      <c r="O9" s="143"/>
      <c r="P9" s="143"/>
      <c r="Q9" s="143"/>
      <c r="R9" s="143"/>
      <c r="S9" s="143"/>
      <c r="T9" s="143"/>
      <c r="U9" s="103">
        <f t="shared" si="1"/>
        <v>0</v>
      </c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03">
        <f t="shared" si="2"/>
        <v>0</v>
      </c>
      <c r="AK9" s="906">
        <v>1482.64</v>
      </c>
      <c r="AL9" s="907">
        <v>1016.3</v>
      </c>
      <c r="AM9" s="123"/>
      <c r="AN9" s="105">
        <f t="shared" si="3"/>
        <v>0</v>
      </c>
      <c r="AO9" s="988">
        <v>45.53</v>
      </c>
      <c r="AP9" s="912"/>
      <c r="AQ9" s="143"/>
      <c r="AR9" s="143"/>
      <c r="AS9" s="146"/>
      <c r="AT9" s="224">
        <f t="shared" si="4"/>
        <v>0</v>
      </c>
      <c r="AU9" s="1814">
        <v>3741</v>
      </c>
      <c r="AV9" s="1690"/>
      <c r="AW9" s="1817"/>
      <c r="AX9" s="1690"/>
      <c r="AY9" s="1690"/>
      <c r="AZ9" s="1688"/>
      <c r="BA9" s="1814">
        <v>1959.2</v>
      </c>
      <c r="BB9" s="1548"/>
      <c r="BC9" s="1548"/>
      <c r="BD9" s="1548"/>
      <c r="BE9" s="1546"/>
      <c r="BF9" s="222">
        <f t="shared" si="5"/>
        <v>0</v>
      </c>
      <c r="BG9" s="113">
        <f t="shared" si="6"/>
        <v>0</v>
      </c>
      <c r="BH9" s="3"/>
      <c r="BI9" s="113">
        <f t="shared" si="7"/>
        <v>0</v>
      </c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914"/>
      <c r="BU9" s="129"/>
      <c r="BV9" s="129"/>
      <c r="BW9" s="130">
        <f t="shared" si="8"/>
        <v>0</v>
      </c>
      <c r="BX9" s="3"/>
    </row>
    <row r="10" ht="15" customHeight="1">
      <c r="A10" s="3"/>
      <c r="B10" s="444">
        <v>46027</v>
      </c>
      <c r="C10" s="900">
        <f>6476.85-D10-0</f>
      </c>
      <c r="D10" s="901">
        <v>2029.1</v>
      </c>
      <c r="E10" s="120"/>
      <c r="F10" s="120"/>
      <c r="G10" s="147">
        <f t="shared" si="0"/>
        <v>0</v>
      </c>
      <c r="H10" s="1149">
        <v>315.33</v>
      </c>
      <c r="I10" s="905"/>
      <c r="J10" s="143"/>
      <c r="K10" s="905"/>
      <c r="L10" s="905"/>
      <c r="M10" s="1054"/>
      <c r="N10" s="143"/>
      <c r="O10" s="143"/>
      <c r="P10" s="143"/>
      <c r="Q10" s="143"/>
      <c r="R10" s="143"/>
      <c r="S10" s="143"/>
      <c r="T10" s="143"/>
      <c r="U10" s="103">
        <f t="shared" si="1"/>
        <v>0</v>
      </c>
      <c r="V10" s="145">
        <v>230.72</v>
      </c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03">
        <f t="shared" si="2"/>
        <v>0</v>
      </c>
      <c r="AK10" s="906">
        <v>698.55</v>
      </c>
      <c r="AL10" s="907">
        <v>796.9</v>
      </c>
      <c r="AM10" s="123"/>
      <c r="AN10" s="105">
        <f t="shared" si="3"/>
        <v>0</v>
      </c>
      <c r="AO10" s="988">
        <v>17.16</v>
      </c>
      <c r="AP10" s="912"/>
      <c r="AQ10" s="143"/>
      <c r="AR10" s="143"/>
      <c r="AS10" s="146"/>
      <c r="AT10" s="224">
        <f t="shared" si="4"/>
        <v>0</v>
      </c>
      <c r="AU10" s="1814">
        <v>2217.5</v>
      </c>
      <c r="AV10" s="1690">
        <v>952</v>
      </c>
      <c r="AW10" s="1817"/>
      <c r="AX10" s="1690"/>
      <c r="AY10" s="1690"/>
      <c r="AZ10" s="1688"/>
      <c r="BA10" s="1814">
        <v>1232.2</v>
      </c>
      <c r="BB10" s="1548"/>
      <c r="BC10" s="1548"/>
      <c r="BD10" s="1548"/>
      <c r="BE10" s="1546"/>
      <c r="BF10" s="222">
        <f t="shared" si="5"/>
        <v>0</v>
      </c>
      <c r="BG10" s="113">
        <f t="shared" si="6"/>
        <v>0</v>
      </c>
      <c r="BH10" s="3"/>
      <c r="BI10" s="113">
        <f t="shared" si="7"/>
        <v>0</v>
      </c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908"/>
      <c r="BU10" s="131">
        <v>25</v>
      </c>
      <c r="BV10" s="129"/>
      <c r="BW10" s="130">
        <f t="shared" si="8"/>
        <v>0</v>
      </c>
      <c r="BX10" s="3"/>
    </row>
    <row r="11" ht="14.25" customHeight="1">
      <c r="A11" s="3"/>
      <c r="B11" s="444">
        <v>46028</v>
      </c>
      <c r="C11" s="900">
        <f>8579.45-D11-0</f>
      </c>
      <c r="D11" s="901">
        <v>2315.2</v>
      </c>
      <c r="E11" s="120"/>
      <c r="F11" s="120"/>
      <c r="G11" s="147">
        <f t="shared" si="0"/>
        <v>0</v>
      </c>
      <c r="H11" s="1149">
        <v>604.26</v>
      </c>
      <c r="I11" s="905"/>
      <c r="J11" s="143"/>
      <c r="K11" s="905"/>
      <c r="L11" s="905"/>
      <c r="M11" s="1054"/>
      <c r="N11" s="143"/>
      <c r="O11" s="143"/>
      <c r="P11" s="143"/>
      <c r="Q11" s="143"/>
      <c r="R11" s="143"/>
      <c r="S11" s="143"/>
      <c r="T11" s="143"/>
      <c r="U11" s="103">
        <f t="shared" si="1"/>
        <v>0</v>
      </c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03">
        <f t="shared" si="2"/>
        <v>0</v>
      </c>
      <c r="AK11" s="911">
        <v>2159.27</v>
      </c>
      <c r="AL11" s="907">
        <v>840.7</v>
      </c>
      <c r="AM11" s="123"/>
      <c r="AN11" s="105">
        <f t="shared" si="3"/>
        <v>0</v>
      </c>
      <c r="AO11" s="988">
        <v>7</v>
      </c>
      <c r="AP11" s="912"/>
      <c r="AQ11" s="143"/>
      <c r="AR11" s="143"/>
      <c r="AS11" s="146">
        <v>0.38</v>
      </c>
      <c r="AT11" s="224">
        <f t="shared" si="4"/>
        <v>0</v>
      </c>
      <c r="AU11" s="1814">
        <v>2541.4</v>
      </c>
      <c r="AV11" s="1690">
        <v>952</v>
      </c>
      <c r="AW11" s="1816"/>
      <c r="AX11" s="1690"/>
      <c r="AY11" s="1690"/>
      <c r="AZ11" s="1688"/>
      <c r="BA11" s="1814">
        <v>1474.5</v>
      </c>
      <c r="BB11" s="1548"/>
      <c r="BC11" s="1548"/>
      <c r="BD11" s="1548"/>
      <c r="BE11" s="1546"/>
      <c r="BF11" s="222">
        <f t="shared" si="5"/>
        <v>0</v>
      </c>
      <c r="BG11" s="113">
        <f t="shared" si="6"/>
        <v>0</v>
      </c>
      <c r="BH11" s="3"/>
      <c r="BI11" s="113">
        <f t="shared" si="7"/>
        <v>0</v>
      </c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914"/>
      <c r="BU11" s="129"/>
      <c r="BV11" s="129"/>
      <c r="BW11" s="130">
        <f t="shared" si="8"/>
        <v>0</v>
      </c>
      <c r="BX11" s="3"/>
    </row>
    <row r="12" ht="14.25" customHeight="1">
      <c r="A12" s="3"/>
      <c r="B12" s="444">
        <v>46029</v>
      </c>
      <c r="C12" s="900">
        <f>5668.42-D12-0</f>
      </c>
      <c r="D12" s="901">
        <v>2075.3</v>
      </c>
      <c r="E12" s="120"/>
      <c r="F12" s="120"/>
      <c r="G12" s="147">
        <f t="shared" si="0"/>
        <v>0</v>
      </c>
      <c r="H12" s="1149">
        <v>235.41</v>
      </c>
      <c r="I12" s="905"/>
      <c r="J12" s="143"/>
      <c r="K12" s="905"/>
      <c r="L12" s="905"/>
      <c r="M12" s="1054"/>
      <c r="N12" s="143"/>
      <c r="O12" s="143"/>
      <c r="P12" s="143"/>
      <c r="Q12" s="143"/>
      <c r="R12" s="143"/>
      <c r="S12" s="143"/>
      <c r="T12" s="143"/>
      <c r="U12" s="103">
        <f t="shared" si="1"/>
        <v>0</v>
      </c>
      <c r="V12" s="145">
        <v>166.77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03">
        <f t="shared" si="2"/>
        <v>0</v>
      </c>
      <c r="AK12" s="911">
        <v>380.78</v>
      </c>
      <c r="AL12" s="907">
        <v>731.8</v>
      </c>
      <c r="AM12" s="123"/>
      <c r="AN12" s="105">
        <f t="shared" si="3"/>
        <v>0</v>
      </c>
      <c r="AO12" s="988">
        <v>10.09</v>
      </c>
      <c r="AP12" s="912"/>
      <c r="AQ12" s="143"/>
      <c r="AR12" s="143"/>
      <c r="AS12" s="146"/>
      <c r="AT12" s="224">
        <f t="shared" si="4"/>
        <v>0</v>
      </c>
      <c r="AU12" s="1814">
        <v>1828.2</v>
      </c>
      <c r="AV12" s="1690">
        <v>952</v>
      </c>
      <c r="AW12" s="1817"/>
      <c r="AX12" s="1690"/>
      <c r="AY12" s="1690"/>
      <c r="AZ12" s="1688"/>
      <c r="BA12" s="1814">
        <v>1342.3</v>
      </c>
      <c r="BB12" s="1548"/>
      <c r="BC12" s="1548"/>
      <c r="BD12" s="1548"/>
      <c r="BE12" s="1546"/>
      <c r="BF12" s="222">
        <f t="shared" si="5"/>
        <v>0</v>
      </c>
      <c r="BG12" s="113">
        <f t="shared" si="6"/>
        <v>0</v>
      </c>
      <c r="BH12" s="3"/>
      <c r="BI12" s="113">
        <f t="shared" si="7"/>
        <v>0</v>
      </c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908"/>
      <c r="BU12" s="131">
        <v>25</v>
      </c>
      <c r="BV12" s="129"/>
      <c r="BW12" s="130">
        <f t="shared" si="8"/>
        <v>0</v>
      </c>
      <c r="BX12" s="3"/>
    </row>
    <row r="13" ht="14.25" customHeight="1">
      <c r="A13" s="3"/>
      <c r="B13" s="444">
        <v>46030</v>
      </c>
      <c r="C13" s="900">
        <f>7098.80-D13-0</f>
      </c>
      <c r="D13" s="901">
        <v>2399.2</v>
      </c>
      <c r="E13" s="120"/>
      <c r="F13" s="120"/>
      <c r="G13" s="147">
        <f t="shared" si="0"/>
        <v>0</v>
      </c>
      <c r="H13" s="1150">
        <v>541.47</v>
      </c>
      <c r="I13" s="988">
        <v>80.98</v>
      </c>
      <c r="J13" s="143"/>
      <c r="K13" s="999"/>
      <c r="L13" s="905"/>
      <c r="M13" s="1054"/>
      <c r="N13" s="143"/>
      <c r="O13" s="143"/>
      <c r="P13" s="143"/>
      <c r="Q13" s="143"/>
      <c r="R13" s="143"/>
      <c r="S13" s="143"/>
      <c r="T13" s="143"/>
      <c r="U13" s="103">
        <f t="shared" si="1"/>
        <v>0</v>
      </c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03">
        <f t="shared" si="2"/>
        <v>0</v>
      </c>
      <c r="AK13" s="906">
        <v>2387.03</v>
      </c>
      <c r="AL13" s="907">
        <v>729.7</v>
      </c>
      <c r="AM13" s="123"/>
      <c r="AN13" s="105">
        <f t="shared" si="3"/>
        <v>0</v>
      </c>
      <c r="AO13" s="988">
        <v>7</v>
      </c>
      <c r="AP13" s="912"/>
      <c r="AQ13" s="143"/>
      <c r="AR13" s="143"/>
      <c r="AS13" s="146"/>
      <c r="AT13" s="224">
        <f t="shared" si="4"/>
        <v>0</v>
      </c>
      <c r="AU13" s="1814">
        <v>731.2</v>
      </c>
      <c r="AV13" s="1690">
        <v>952</v>
      </c>
      <c r="AW13" s="1817"/>
      <c r="AX13" s="1690"/>
      <c r="AY13" s="1690"/>
      <c r="AZ13" s="1688"/>
      <c r="BA13" s="1814">
        <v>1668.5</v>
      </c>
      <c r="BB13" s="1548"/>
      <c r="BC13" s="1548"/>
      <c r="BD13" s="1548"/>
      <c r="BE13" s="1546"/>
      <c r="BF13" s="222">
        <f t="shared" si="5"/>
        <v>0</v>
      </c>
      <c r="BG13" s="113">
        <f t="shared" si="6"/>
        <v>0</v>
      </c>
      <c r="BH13" s="3"/>
      <c r="BI13" s="113">
        <f t="shared" si="7"/>
        <v>0</v>
      </c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914"/>
      <c r="BU13" s="129"/>
      <c r="BV13" s="129"/>
      <c r="BW13" s="130">
        <f t="shared" si="8"/>
        <v>0</v>
      </c>
      <c r="BX13" s="3"/>
    </row>
    <row r="14" ht="14.25" customHeight="1">
      <c r="A14" s="3"/>
      <c r="B14" s="444">
        <v>46031</v>
      </c>
      <c r="C14" s="900">
        <f>8304.20-D14-0</f>
      </c>
      <c r="D14" s="901">
        <v>2852.8</v>
      </c>
      <c r="E14" s="120"/>
      <c r="F14" s="120"/>
      <c r="G14" s="147">
        <f t="shared" si="0"/>
        <v>0</v>
      </c>
      <c r="H14" s="1151">
        <v>398.22</v>
      </c>
      <c r="I14" s="992">
        <v>438.91</v>
      </c>
      <c r="J14" s="143"/>
      <c r="K14" s="992">
        <v>1438.41</v>
      </c>
      <c r="L14" s="905"/>
      <c r="M14" s="1054"/>
      <c r="N14" s="143"/>
      <c r="O14" s="143"/>
      <c r="P14" s="143"/>
      <c r="Q14" s="143"/>
      <c r="R14" s="143"/>
      <c r="S14" s="143"/>
      <c r="T14" s="143"/>
      <c r="U14" s="103">
        <f t="shared" si="1"/>
        <v>0</v>
      </c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03">
        <f t="shared" si="2"/>
        <v>0</v>
      </c>
      <c r="AK14" s="911">
        <v>377</v>
      </c>
      <c r="AL14" s="907">
        <v>1063.8</v>
      </c>
      <c r="AM14" s="123"/>
      <c r="AN14" s="105">
        <f t="shared" si="3"/>
        <v>0</v>
      </c>
      <c r="AO14" s="988">
        <v>157.8</v>
      </c>
      <c r="AP14" s="912"/>
      <c r="AQ14" s="143"/>
      <c r="AR14" s="143"/>
      <c r="AS14" s="146"/>
      <c r="AT14" s="224">
        <f t="shared" si="4"/>
        <v>0</v>
      </c>
      <c r="AU14" s="1814">
        <v>1664.1</v>
      </c>
      <c r="AV14" s="1690">
        <v>952</v>
      </c>
      <c r="AW14" s="1816"/>
      <c r="AX14" s="1690"/>
      <c r="AY14" s="1690"/>
      <c r="AZ14" s="1688"/>
      <c r="BA14" s="1814">
        <v>1787.8</v>
      </c>
      <c r="BB14" s="1548"/>
      <c r="BC14" s="1548"/>
      <c r="BD14" s="1548"/>
      <c r="BE14" s="1546"/>
      <c r="BF14" s="222">
        <f t="shared" si="5"/>
        <v>0</v>
      </c>
      <c r="BG14" s="113">
        <f t="shared" si="6"/>
        <v>0</v>
      </c>
      <c r="BH14" s="3"/>
      <c r="BI14" s="113">
        <f t="shared" si="7"/>
        <v>0</v>
      </c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908"/>
      <c r="BU14" s="131">
        <v>25</v>
      </c>
      <c r="BV14" s="129"/>
      <c r="BW14" s="130">
        <f t="shared" si="8"/>
        <v>0</v>
      </c>
      <c r="BX14" s="3"/>
    </row>
    <row r="15" ht="14.25" customHeight="1">
      <c r="A15" s="3"/>
      <c r="B15" s="444">
        <v>46032</v>
      </c>
      <c r="C15" s="900">
        <f>5411.78-D15-0</f>
      </c>
      <c r="D15" s="901">
        <v>2287.6</v>
      </c>
      <c r="E15" s="120"/>
      <c r="F15" s="120"/>
      <c r="G15" s="147">
        <f t="shared" si="0"/>
        <v>0</v>
      </c>
      <c r="H15" s="1150"/>
      <c r="I15" s="904"/>
      <c r="J15" s="143"/>
      <c r="K15" s="992">
        <v>721.05</v>
      </c>
      <c r="L15" s="905"/>
      <c r="M15" s="1054"/>
      <c r="N15" s="143"/>
      <c r="O15" s="143"/>
      <c r="P15" s="143"/>
      <c r="Q15" s="143"/>
      <c r="R15" s="143"/>
      <c r="S15" s="143"/>
      <c r="T15" s="143"/>
      <c r="U15" s="103">
        <f t="shared" si="1"/>
        <v>0</v>
      </c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03">
        <f t="shared" si="2"/>
        <v>0</v>
      </c>
      <c r="AK15" s="906">
        <v>1457.61</v>
      </c>
      <c r="AL15" s="907">
        <v>734.8</v>
      </c>
      <c r="AM15" s="123"/>
      <c r="AN15" s="105">
        <f t="shared" si="3"/>
        <v>0</v>
      </c>
      <c r="AO15" s="988">
        <v>75.59</v>
      </c>
      <c r="AP15" s="912"/>
      <c r="AQ15" s="143"/>
      <c r="AR15" s="143"/>
      <c r="AS15" s="146"/>
      <c r="AT15" s="224">
        <f t="shared" si="4"/>
        <v>0</v>
      </c>
      <c r="AU15" s="1814">
        <v>869.9</v>
      </c>
      <c r="AV15" s="1816"/>
      <c r="AW15" s="1816"/>
      <c r="AX15" s="1816"/>
      <c r="AY15" s="1816"/>
      <c r="AZ15" s="1816"/>
      <c r="BA15" s="1814">
        <v>1551</v>
      </c>
      <c r="BB15" s="1816"/>
      <c r="BC15" s="1816"/>
      <c r="BD15" s="1816"/>
      <c r="BE15" s="1816"/>
      <c r="BF15" s="222">
        <f t="shared" si="5"/>
        <v>0</v>
      </c>
      <c r="BG15" s="113">
        <f t="shared" si="6"/>
        <v>0</v>
      </c>
      <c r="BH15" s="3"/>
      <c r="BI15" s="113">
        <f t="shared" si="7"/>
        <v>0</v>
      </c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914"/>
      <c r="BU15" s="129"/>
      <c r="BV15" s="129"/>
      <c r="BW15" s="130">
        <f t="shared" si="8"/>
        <v>0</v>
      </c>
      <c r="BX15" s="3"/>
    </row>
    <row r="16" ht="14.25" customHeight="1">
      <c r="A16" s="3"/>
      <c r="B16" s="444">
        <v>46033</v>
      </c>
      <c r="C16" s="900">
        <f>6070.76-D16-0</f>
      </c>
      <c r="D16" s="901">
        <v>3216.5</v>
      </c>
      <c r="E16" s="120"/>
      <c r="F16" s="120"/>
      <c r="G16" s="147">
        <f t="shared" si="0"/>
        <v>0</v>
      </c>
      <c r="H16" s="1059">
        <v>234.48</v>
      </c>
      <c r="I16" s="905"/>
      <c r="J16" s="143"/>
      <c r="K16" s="905"/>
      <c r="L16" s="905"/>
      <c r="M16" s="1054"/>
      <c r="N16" s="143"/>
      <c r="O16" s="143"/>
      <c r="P16" s="143"/>
      <c r="Q16" s="143"/>
      <c r="R16" s="143"/>
      <c r="S16" s="143"/>
      <c r="T16" s="143"/>
      <c r="U16" s="103">
        <f t="shared" si="1"/>
        <v>0</v>
      </c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03">
        <f t="shared" si="2"/>
        <v>0</v>
      </c>
      <c r="AK16" s="911">
        <v>1498.03</v>
      </c>
      <c r="AL16" s="907">
        <v>872.5</v>
      </c>
      <c r="AM16" s="123"/>
      <c r="AN16" s="105">
        <f t="shared" si="3"/>
        <v>0</v>
      </c>
      <c r="AO16" s="904"/>
      <c r="AP16" s="912"/>
      <c r="AQ16" s="143"/>
      <c r="AR16" s="143"/>
      <c r="AS16" s="146"/>
      <c r="AT16" s="224">
        <f t="shared" si="4"/>
        <v>0</v>
      </c>
      <c r="AU16" s="1814">
        <v>1121.7</v>
      </c>
      <c r="AV16" s="1816"/>
      <c r="AW16" s="1816"/>
      <c r="AX16" s="1816"/>
      <c r="AY16" s="1816"/>
      <c r="AZ16" s="1816"/>
      <c r="BA16" s="1814">
        <v>2341.7</v>
      </c>
      <c r="BB16" s="1816"/>
      <c r="BC16" s="1816"/>
      <c r="BD16" s="1816"/>
      <c r="BE16" s="1816"/>
      <c r="BF16" s="222">
        <f t="shared" si="5"/>
        <v>0</v>
      </c>
      <c r="BG16" s="113">
        <f t="shared" si="6"/>
        <v>0</v>
      </c>
      <c r="BH16" s="3"/>
      <c r="BI16" s="113">
        <f t="shared" si="7"/>
        <v>0</v>
      </c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908"/>
      <c r="BU16" s="129"/>
      <c r="BV16" s="129"/>
      <c r="BW16" s="130">
        <f t="shared" si="8"/>
        <v>0</v>
      </c>
      <c r="BX16" s="3"/>
    </row>
    <row r="17" ht="14.25" customHeight="1">
      <c r="A17" s="3"/>
      <c r="B17" s="444">
        <v>46034</v>
      </c>
      <c r="C17" s="900">
        <f>7774.95-D17-0</f>
      </c>
      <c r="D17" s="901">
        <v>2792.6</v>
      </c>
      <c r="E17" s="120"/>
      <c r="F17" s="120"/>
      <c r="G17" s="147">
        <f t="shared" si="0"/>
        <v>0</v>
      </c>
      <c r="H17" s="1149">
        <v>1681.5</v>
      </c>
      <c r="I17" s="992">
        <v>244.87</v>
      </c>
      <c r="J17" s="143"/>
      <c r="K17" s="992">
        <v>301.05</v>
      </c>
      <c r="L17" s="992">
        <v>49.15</v>
      </c>
      <c r="M17" s="1054"/>
      <c r="N17" s="143"/>
      <c r="O17" s="143"/>
      <c r="P17" s="143"/>
      <c r="Q17" s="143"/>
      <c r="R17" s="143"/>
      <c r="S17" s="143"/>
      <c r="T17" s="143"/>
      <c r="U17" s="103">
        <f t="shared" si="1"/>
        <v>0</v>
      </c>
      <c r="V17" s="145">
        <v>152.1</v>
      </c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03">
        <f t="shared" si="2"/>
        <v>0</v>
      </c>
      <c r="AK17" s="911">
        <v>823.8</v>
      </c>
      <c r="AL17" s="907">
        <v>740.6</v>
      </c>
      <c r="AM17" s="123"/>
      <c r="AN17" s="105">
        <f t="shared" si="3"/>
        <v>0</v>
      </c>
      <c r="AO17" s="988">
        <v>33.07</v>
      </c>
      <c r="AP17" s="912"/>
      <c r="AQ17" s="143"/>
      <c r="AR17" s="143"/>
      <c r="AS17" s="146"/>
      <c r="AT17" s="224">
        <f t="shared" si="4"/>
        <v>0</v>
      </c>
      <c r="AU17" s="1814">
        <v>1671.8</v>
      </c>
      <c r="AV17" s="1816"/>
      <c r="AW17" s="1816"/>
      <c r="AX17" s="1816"/>
      <c r="AY17" s="1816"/>
      <c r="AZ17" s="1816"/>
      <c r="BA17" s="1814">
        <v>2049.5</v>
      </c>
      <c r="BB17" s="1816"/>
      <c r="BC17" s="1816"/>
      <c r="BD17" s="1816"/>
      <c r="BE17" s="1816"/>
      <c r="BF17" s="222">
        <f t="shared" si="5"/>
        <v>0</v>
      </c>
      <c r="BG17" s="113">
        <f t="shared" si="6"/>
        <v>0</v>
      </c>
      <c r="BH17" s="3"/>
      <c r="BI17" s="113">
        <f t="shared" si="7"/>
        <v>0</v>
      </c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908"/>
      <c r="BU17" s="131">
        <v>25</v>
      </c>
      <c r="BV17" s="129"/>
      <c r="BW17" s="130">
        <f t="shared" si="8"/>
        <v>0</v>
      </c>
      <c r="BX17" s="3"/>
    </row>
    <row r="18" ht="14.25" customHeight="1">
      <c r="A18" s="3"/>
      <c r="B18" s="444">
        <v>46035</v>
      </c>
      <c r="C18" s="900">
        <f>9234.26-D18-0</f>
      </c>
      <c r="D18" s="901">
        <v>2446</v>
      </c>
      <c r="E18" s="120"/>
      <c r="F18" s="120"/>
      <c r="G18" s="147">
        <f t="shared" si="0"/>
        <v>0</v>
      </c>
      <c r="H18" s="1150">
        <v>390.35</v>
      </c>
      <c r="I18" s="905"/>
      <c r="J18" s="143"/>
      <c r="K18" s="988">
        <v>990.11</v>
      </c>
      <c r="L18" s="905"/>
      <c r="M18" s="1054"/>
      <c r="N18" s="143"/>
      <c r="O18" s="143"/>
      <c r="P18" s="143"/>
      <c r="Q18" s="143"/>
      <c r="R18" s="143"/>
      <c r="S18" s="143"/>
      <c r="T18" s="143"/>
      <c r="U18" s="103">
        <f t="shared" si="1"/>
        <v>0</v>
      </c>
      <c r="V18" s="143"/>
      <c r="W18" s="145">
        <v>833.4</v>
      </c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03">
        <f t="shared" si="2"/>
        <v>0</v>
      </c>
      <c r="AK18" s="911">
        <v>926.02</v>
      </c>
      <c r="AL18" s="907">
        <v>938.6</v>
      </c>
      <c r="AM18" s="123"/>
      <c r="AN18" s="105">
        <f t="shared" si="3"/>
        <v>0</v>
      </c>
      <c r="AO18" s="988">
        <v>117.81</v>
      </c>
      <c r="AP18" s="912"/>
      <c r="AQ18" s="143"/>
      <c r="AR18" s="143"/>
      <c r="AS18" s="146"/>
      <c r="AT18" s="224">
        <f t="shared" si="4"/>
        <v>0</v>
      </c>
      <c r="AU18" s="1814">
        <v>1543.6</v>
      </c>
      <c r="AV18" s="1816">
        <v>1904</v>
      </c>
      <c r="AW18" s="1816"/>
      <c r="AX18" s="1816"/>
      <c r="AY18" s="1816"/>
      <c r="AZ18" s="1816"/>
      <c r="BA18" s="1814">
        <v>1589.8</v>
      </c>
      <c r="BB18" s="1816"/>
      <c r="BC18" s="1816"/>
      <c r="BD18" s="1816"/>
      <c r="BE18" s="1816"/>
      <c r="BF18" s="222">
        <f t="shared" si="5"/>
        <v>0</v>
      </c>
      <c r="BG18" s="113">
        <f t="shared" si="6"/>
        <v>0</v>
      </c>
      <c r="BH18" s="3"/>
      <c r="BI18" s="113">
        <f t="shared" si="7"/>
        <v>0</v>
      </c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914"/>
      <c r="BU18" s="129"/>
      <c r="BV18" s="129"/>
      <c r="BW18" s="130">
        <f t="shared" si="8"/>
        <v>0</v>
      </c>
      <c r="BX18" s="3"/>
    </row>
    <row r="19" ht="14.25" customHeight="1">
      <c r="A19" s="132"/>
      <c r="B19" s="444">
        <v>46036</v>
      </c>
      <c r="C19" s="900">
        <f>7210.62-D19-0</f>
      </c>
      <c r="D19" s="901">
        <v>2409</v>
      </c>
      <c r="E19" s="135"/>
      <c r="F19" s="135"/>
      <c r="G19" s="147">
        <f t="shared" si="0"/>
        <v>0</v>
      </c>
      <c r="H19" s="1152">
        <v>639.3</v>
      </c>
      <c r="I19" s="905"/>
      <c r="J19" s="143"/>
      <c r="K19" s="992">
        <v>706.94</v>
      </c>
      <c r="L19" s="905"/>
      <c r="M19" s="1054"/>
      <c r="N19" s="143"/>
      <c r="O19" s="143"/>
      <c r="P19" s="143"/>
      <c r="Q19" s="143"/>
      <c r="R19" s="143"/>
      <c r="S19" s="143"/>
      <c r="T19" s="143"/>
      <c r="U19" s="103">
        <f t="shared" si="1"/>
        <v>0</v>
      </c>
      <c r="V19" s="145">
        <v>185.21</v>
      </c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03">
        <f t="shared" si="2"/>
        <v>0</v>
      </c>
      <c r="AK19" s="906">
        <v>1074.77</v>
      </c>
      <c r="AL19" s="907">
        <v>570.4</v>
      </c>
      <c r="AM19" s="136"/>
      <c r="AN19" s="105">
        <f t="shared" si="3"/>
        <v>0</v>
      </c>
      <c r="AO19" s="988">
        <v>82.14</v>
      </c>
      <c r="AP19" s="912"/>
      <c r="AQ19" s="143"/>
      <c r="AR19" s="143"/>
      <c r="AS19" s="146">
        <v>0.37</v>
      </c>
      <c r="AT19" s="224">
        <f t="shared" si="4"/>
        <v>0</v>
      </c>
      <c r="AU19" s="1818">
        <v>2088</v>
      </c>
      <c r="AV19" s="1816"/>
      <c r="AW19" s="1816"/>
      <c r="AX19" s="1816"/>
      <c r="AY19" s="1816"/>
      <c r="AZ19" s="1816"/>
      <c r="BA19" s="1819">
        <v>1837.6</v>
      </c>
      <c r="BB19" s="1816"/>
      <c r="BC19" s="1816"/>
      <c r="BD19" s="1816"/>
      <c r="BE19" s="1816"/>
      <c r="BF19" s="222">
        <f t="shared" si="5"/>
        <v>0</v>
      </c>
      <c r="BG19" s="140">
        <f t="shared" si="6"/>
        <v>0</v>
      </c>
      <c r="BH19" s="132"/>
      <c r="BI19" s="140">
        <f t="shared" si="7"/>
        <v>0</v>
      </c>
      <c r="BJ19" s="141"/>
      <c r="BK19" s="141"/>
      <c r="BL19" s="141"/>
      <c r="BM19" s="141"/>
      <c r="BN19" s="141"/>
      <c r="BO19" s="141"/>
      <c r="BP19" s="141"/>
      <c r="BQ19" s="141"/>
      <c r="BR19" s="141"/>
      <c r="BS19" s="141"/>
      <c r="BT19" s="908"/>
      <c r="BU19" s="150">
        <v>25</v>
      </c>
      <c r="BV19" s="141"/>
      <c r="BW19" s="130">
        <f t="shared" si="8"/>
        <v>0</v>
      </c>
      <c r="BX19" s="132"/>
    </row>
    <row r="20" ht="14.25" customHeight="1">
      <c r="A20" s="132"/>
      <c r="B20" s="444">
        <v>46037</v>
      </c>
      <c r="C20" s="900">
        <f>8055.14-D20-0</f>
      </c>
      <c r="D20" s="901">
        <v>2649.3</v>
      </c>
      <c r="E20" s="135"/>
      <c r="F20" s="135"/>
      <c r="G20" s="147">
        <f t="shared" si="0"/>
        <v>0</v>
      </c>
      <c r="H20" s="1149">
        <v>150.44</v>
      </c>
      <c r="I20" s="992">
        <v>122.01</v>
      </c>
      <c r="J20" s="143"/>
      <c r="K20" s="992">
        <v>336.06</v>
      </c>
      <c r="L20" s="905"/>
      <c r="M20" s="1054"/>
      <c r="N20" s="143"/>
      <c r="O20" s="143"/>
      <c r="P20" s="143"/>
      <c r="Q20" s="143"/>
      <c r="R20" s="143"/>
      <c r="S20" s="143"/>
      <c r="T20" s="143"/>
      <c r="U20" s="103">
        <f t="shared" si="1"/>
        <v>0</v>
      </c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03">
        <f t="shared" si="2"/>
        <v>0</v>
      </c>
      <c r="AK20" s="906">
        <v>985.64</v>
      </c>
      <c r="AL20" s="907">
        <v>773.8</v>
      </c>
      <c r="AM20" s="136"/>
      <c r="AN20" s="105">
        <f t="shared" si="3"/>
        <v>0</v>
      </c>
      <c r="AO20" s="988">
        <v>49.24</v>
      </c>
      <c r="AP20" s="912"/>
      <c r="AQ20" s="143"/>
      <c r="AR20" s="143"/>
      <c r="AS20" s="146">
        <v>2.89</v>
      </c>
      <c r="AT20" s="224">
        <f t="shared" si="4"/>
        <v>0</v>
      </c>
      <c r="AU20" s="1818">
        <v>1855.5</v>
      </c>
      <c r="AV20" s="1816">
        <v>1904</v>
      </c>
      <c r="AW20" s="1816"/>
      <c r="AX20" s="1816"/>
      <c r="AY20" s="1816"/>
      <c r="AZ20" s="1816"/>
      <c r="BA20" s="1819">
        <v>1875.5</v>
      </c>
      <c r="BB20" s="1816"/>
      <c r="BC20" s="1816"/>
      <c r="BD20" s="1816"/>
      <c r="BE20" s="1816"/>
      <c r="BF20" s="222">
        <f t="shared" si="5"/>
        <v>0</v>
      </c>
      <c r="BG20" s="140">
        <f t="shared" si="6"/>
        <v>0</v>
      </c>
      <c r="BH20" s="132"/>
      <c r="BI20" s="140">
        <f t="shared" si="7"/>
        <v>0</v>
      </c>
      <c r="BJ20" s="141"/>
      <c r="BK20" s="141"/>
      <c r="BL20" s="141"/>
      <c r="BM20" s="141"/>
      <c r="BN20" s="141"/>
      <c r="BO20" s="141"/>
      <c r="BP20" s="141"/>
      <c r="BQ20" s="141"/>
      <c r="BR20" s="141"/>
      <c r="BS20" s="141"/>
      <c r="BT20" s="914"/>
      <c r="BU20" s="141"/>
      <c r="BV20" s="141"/>
      <c r="BW20" s="130">
        <f t="shared" si="8"/>
        <v>0</v>
      </c>
      <c r="BX20" s="132"/>
    </row>
    <row r="21" ht="14.25" customHeight="1">
      <c r="A21" s="132"/>
      <c r="B21" s="444">
        <v>46038</v>
      </c>
      <c r="C21" s="900">
        <f>6486.47-D21-0</f>
      </c>
      <c r="D21" s="901">
        <v>2266.3</v>
      </c>
      <c r="E21" s="135"/>
      <c r="F21" s="135"/>
      <c r="G21" s="147">
        <f t="shared" si="0"/>
        <v>0</v>
      </c>
      <c r="H21" s="1150">
        <v>376.96</v>
      </c>
      <c r="I21" s="992">
        <v>409.84</v>
      </c>
      <c r="J21" s="143"/>
      <c r="K21" s="905"/>
      <c r="L21" s="905"/>
      <c r="M21" s="1054"/>
      <c r="N21" s="143"/>
      <c r="O21" s="143"/>
      <c r="P21" s="143"/>
      <c r="Q21" s="143"/>
      <c r="R21" s="143"/>
      <c r="S21" s="143"/>
      <c r="T21" s="143"/>
      <c r="U21" s="103">
        <f t="shared" si="1"/>
        <v>0</v>
      </c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03">
        <f t="shared" si="2"/>
        <v>0</v>
      </c>
      <c r="AK21" s="911">
        <v>864.84</v>
      </c>
      <c r="AL21" s="907">
        <v>610.4</v>
      </c>
      <c r="AM21" s="136"/>
      <c r="AN21" s="105">
        <f t="shared" si="3"/>
        <v>0</v>
      </c>
      <c r="AO21" s="904"/>
      <c r="AP21" s="912"/>
      <c r="AQ21" s="143"/>
      <c r="AR21" s="143"/>
      <c r="AS21" s="149">
        <v>5.28</v>
      </c>
      <c r="AT21" s="224">
        <f t="shared" si="4"/>
        <v>0</v>
      </c>
      <c r="AU21" s="1818">
        <v>2320.5</v>
      </c>
      <c r="AV21" s="1816"/>
      <c r="AW21" s="1816"/>
      <c r="AX21" s="1816"/>
      <c r="AY21" s="1816"/>
      <c r="AZ21" s="1816"/>
      <c r="BA21" s="1819">
        <v>1650</v>
      </c>
      <c r="BB21" s="1816"/>
      <c r="BC21" s="1816"/>
      <c r="BD21" s="1816"/>
      <c r="BE21" s="1816"/>
      <c r="BF21" s="222">
        <f t="shared" si="5"/>
        <v>0</v>
      </c>
      <c r="BG21" s="140">
        <f t="shared" si="6"/>
        <v>0</v>
      </c>
      <c r="BH21" s="132"/>
      <c r="BI21" s="140">
        <f t="shared" si="7"/>
        <v>0</v>
      </c>
      <c r="BJ21" s="141"/>
      <c r="BK21" s="141"/>
      <c r="BL21" s="141"/>
      <c r="BM21" s="141"/>
      <c r="BN21" s="141"/>
      <c r="BO21" s="141"/>
      <c r="BP21" s="141"/>
      <c r="BQ21" s="141"/>
      <c r="BR21" s="141"/>
      <c r="BS21" s="141"/>
      <c r="BT21" s="1056"/>
      <c r="BU21" s="141">
        <v>247.9</v>
      </c>
      <c r="BV21" s="141"/>
      <c r="BW21" s="130">
        <f t="shared" si="8"/>
        <v>0</v>
      </c>
      <c r="BX21" s="132"/>
    </row>
    <row r="22" ht="14.25" customHeight="1">
      <c r="A22" s="132"/>
      <c r="B22" s="444">
        <v>46039</v>
      </c>
      <c r="C22" s="900">
        <f>5867.82-D22-0</f>
      </c>
      <c r="D22" s="901">
        <v>2632.3</v>
      </c>
      <c r="E22" s="135"/>
      <c r="F22" s="135"/>
      <c r="G22" s="147">
        <f t="shared" si="0"/>
        <v>0</v>
      </c>
      <c r="H22" s="1152">
        <v>307.23</v>
      </c>
      <c r="I22" s="904"/>
      <c r="J22" s="143"/>
      <c r="K22" s="905"/>
      <c r="L22" s="905"/>
      <c r="M22" s="1054"/>
      <c r="N22" s="143"/>
      <c r="O22" s="143"/>
      <c r="P22" s="143"/>
      <c r="Q22" s="143"/>
      <c r="R22" s="143"/>
      <c r="S22" s="143"/>
      <c r="T22" s="143"/>
      <c r="U22" s="103">
        <f t="shared" si="1"/>
        <v>0</v>
      </c>
      <c r="V22" s="145">
        <v>126.55</v>
      </c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03">
        <f t="shared" si="2"/>
        <v>0</v>
      </c>
      <c r="AK22" s="906">
        <v>137.54</v>
      </c>
      <c r="AL22" s="907">
        <v>616</v>
      </c>
      <c r="AM22" s="136"/>
      <c r="AN22" s="105">
        <f t="shared" si="3"/>
        <v>0</v>
      </c>
      <c r="AO22" s="988">
        <v>10.48</v>
      </c>
      <c r="AP22" s="912"/>
      <c r="AQ22" s="143"/>
      <c r="AR22" s="143"/>
      <c r="AS22" s="146"/>
      <c r="AT22" s="224">
        <f t="shared" si="4"/>
        <v>0</v>
      </c>
      <c r="AU22" s="1818">
        <v>2382.8</v>
      </c>
      <c r="AV22" s="1816">
        <v>1060.8</v>
      </c>
      <c r="AW22" s="1816"/>
      <c r="AX22" s="1816"/>
      <c r="AY22" s="1816"/>
      <c r="AZ22" s="1816"/>
      <c r="BA22" s="1819">
        <v>1230.5</v>
      </c>
      <c r="BB22" s="1816"/>
      <c r="BC22" s="1816"/>
      <c r="BD22" s="1816"/>
      <c r="BE22" s="1816"/>
      <c r="BF22" s="222">
        <f t="shared" si="5"/>
        <v>0</v>
      </c>
      <c r="BG22" s="140">
        <f t="shared" si="6"/>
        <v>0</v>
      </c>
      <c r="BH22" s="132"/>
      <c r="BI22" s="140">
        <f t="shared" si="7"/>
        <v>0</v>
      </c>
      <c r="BJ22" s="141"/>
      <c r="BK22" s="141"/>
      <c r="BL22" s="141"/>
      <c r="BM22" s="141"/>
      <c r="BN22" s="141"/>
      <c r="BO22" s="141"/>
      <c r="BP22" s="141"/>
      <c r="BQ22" s="141"/>
      <c r="BR22" s="141"/>
      <c r="BS22" s="141"/>
      <c r="BT22" s="914"/>
      <c r="BU22" s="141"/>
      <c r="BV22" s="141"/>
      <c r="BW22" s="130">
        <f t="shared" si="8"/>
        <v>0</v>
      </c>
      <c r="BX22" s="132"/>
    </row>
    <row r="23" ht="14.25" customHeight="1">
      <c r="A23" s="132"/>
      <c r="B23" s="444">
        <v>46040</v>
      </c>
      <c r="C23" s="900">
        <f>6626.40-D23-0</f>
      </c>
      <c r="D23" s="901">
        <v>3105.7</v>
      </c>
      <c r="E23" s="135"/>
      <c r="F23" s="135"/>
      <c r="G23" s="147">
        <f t="shared" si="0"/>
        <v>0</v>
      </c>
      <c r="H23" s="1149">
        <v>209.94</v>
      </c>
      <c r="I23" s="905"/>
      <c r="J23" s="143"/>
      <c r="K23" s="992">
        <v>640.82</v>
      </c>
      <c r="L23" s="905"/>
      <c r="M23" s="1054"/>
      <c r="N23" s="143"/>
      <c r="O23" s="143"/>
      <c r="P23" s="143"/>
      <c r="Q23" s="143"/>
      <c r="R23" s="143"/>
      <c r="S23" s="143"/>
      <c r="T23" s="143"/>
      <c r="U23" s="103">
        <f t="shared" si="1"/>
        <v>0</v>
      </c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03">
        <f t="shared" si="2"/>
        <v>0</v>
      </c>
      <c r="AK23" s="911">
        <v>845.76</v>
      </c>
      <c r="AL23" s="907">
        <v>913.6</v>
      </c>
      <c r="AM23" s="136"/>
      <c r="AN23" s="105">
        <f t="shared" si="3"/>
        <v>0</v>
      </c>
      <c r="AO23" s="988">
        <v>70.18</v>
      </c>
      <c r="AP23" s="912"/>
      <c r="AQ23" s="143"/>
      <c r="AR23" s="143"/>
      <c r="AS23" s="146"/>
      <c r="AT23" s="224">
        <f t="shared" si="4"/>
        <v>0</v>
      </c>
      <c r="AU23" s="1818">
        <v>1754</v>
      </c>
      <c r="AV23" s="1816"/>
      <c r="AW23" s="1816"/>
      <c r="AX23" s="1816"/>
      <c r="AY23" s="1816"/>
      <c r="AZ23" s="1816"/>
      <c r="BA23" s="1819">
        <v>2189.6</v>
      </c>
      <c r="BB23" s="1816"/>
      <c r="BC23" s="1816"/>
      <c r="BD23" s="1816"/>
      <c r="BE23" s="1816"/>
      <c r="BF23" s="222">
        <f t="shared" si="5"/>
        <v>0</v>
      </c>
      <c r="BG23" s="140">
        <f t="shared" si="6"/>
        <v>0</v>
      </c>
      <c r="BH23" s="132"/>
      <c r="BI23" s="140">
        <f t="shared" si="7"/>
        <v>0</v>
      </c>
      <c r="BJ23" s="141"/>
      <c r="BK23" s="141"/>
      <c r="BL23" s="141"/>
      <c r="BM23" s="141"/>
      <c r="BN23" s="141"/>
      <c r="BO23" s="141"/>
      <c r="BP23" s="141"/>
      <c r="BQ23" s="141"/>
      <c r="BR23" s="141"/>
      <c r="BS23" s="141"/>
      <c r="BT23" s="908"/>
      <c r="BU23" s="141"/>
      <c r="BV23" s="141"/>
      <c r="BW23" s="130">
        <f t="shared" si="8"/>
        <v>0</v>
      </c>
      <c r="BX23" s="132"/>
    </row>
    <row r="24" ht="14.25" customHeight="1">
      <c r="A24" s="132"/>
      <c r="B24" s="444">
        <v>46041</v>
      </c>
      <c r="C24" s="900">
        <f>6097.93-D24-0</f>
      </c>
      <c r="D24" s="901">
        <v>2340.5</v>
      </c>
      <c r="E24" s="135"/>
      <c r="F24" s="135"/>
      <c r="G24" s="147">
        <f t="shared" si="0"/>
        <v>0</v>
      </c>
      <c r="H24" s="1149">
        <v>1229.93</v>
      </c>
      <c r="I24" s="905"/>
      <c r="J24" s="143"/>
      <c r="K24" s="905"/>
      <c r="L24" s="905"/>
      <c r="M24" s="1054"/>
      <c r="N24" s="143"/>
      <c r="O24" s="143"/>
      <c r="P24" s="143"/>
      <c r="Q24" s="143"/>
      <c r="R24" s="143"/>
      <c r="S24" s="143"/>
      <c r="T24" s="143"/>
      <c r="U24" s="103">
        <f t="shared" si="1"/>
        <v>0</v>
      </c>
      <c r="V24" s="145">
        <v>829.04</v>
      </c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03">
        <f t="shared" si="2"/>
        <v>0</v>
      </c>
      <c r="AK24" s="906">
        <v>653.89</v>
      </c>
      <c r="AL24" s="907">
        <v>377.9</v>
      </c>
      <c r="AM24" s="136"/>
      <c r="AN24" s="105">
        <f t="shared" si="3"/>
        <v>0</v>
      </c>
      <c r="AO24" s="988">
        <v>17.77</v>
      </c>
      <c r="AP24" s="912"/>
      <c r="AQ24" s="143"/>
      <c r="AR24" s="143"/>
      <c r="AS24" s="146"/>
      <c r="AT24" s="224">
        <f t="shared" si="4"/>
        <v>0</v>
      </c>
      <c r="AU24" s="1818">
        <v>1035.3</v>
      </c>
      <c r="AV24" s="1816"/>
      <c r="AW24" s="1816"/>
      <c r="AX24" s="1816"/>
      <c r="AY24" s="1816"/>
      <c r="AZ24" s="1816"/>
      <c r="BA24" s="1819">
        <v>1962.6</v>
      </c>
      <c r="BB24" s="1816"/>
      <c r="BC24" s="1816"/>
      <c r="BD24" s="1816"/>
      <c r="BE24" s="1816"/>
      <c r="BF24" s="222">
        <f t="shared" si="5"/>
        <v>0</v>
      </c>
      <c r="BG24" s="140">
        <f t="shared" si="6"/>
        <v>0</v>
      </c>
      <c r="BH24" s="132"/>
      <c r="BI24" s="140">
        <f t="shared" si="7"/>
        <v>0</v>
      </c>
      <c r="BJ24" s="141"/>
      <c r="BK24" s="141"/>
      <c r="BL24" s="141"/>
      <c r="BM24" s="141"/>
      <c r="BN24" s="141"/>
      <c r="BO24" s="141"/>
      <c r="BP24" s="141"/>
      <c r="BQ24" s="141"/>
      <c r="BR24" s="141"/>
      <c r="BS24" s="141"/>
      <c r="BT24" s="908"/>
      <c r="BU24" s="150">
        <v>25</v>
      </c>
      <c r="BV24" s="141"/>
      <c r="BW24" s="130">
        <f t="shared" si="8"/>
        <v>0</v>
      </c>
      <c r="BX24" s="132"/>
    </row>
    <row r="25" ht="14.25" customHeight="1">
      <c r="A25" s="132"/>
      <c r="B25" s="444">
        <v>46042</v>
      </c>
      <c r="C25" s="900">
        <f>9526.87-D25-0</f>
      </c>
      <c r="D25" s="901">
        <v>2179.6</v>
      </c>
      <c r="E25" s="135"/>
      <c r="F25" s="135"/>
      <c r="G25" s="147">
        <f t="shared" si="0"/>
        <v>0</v>
      </c>
      <c r="H25" s="1152">
        <v>1024.7</v>
      </c>
      <c r="I25" s="905"/>
      <c r="J25" s="143"/>
      <c r="K25" s="905"/>
      <c r="L25" s="905"/>
      <c r="M25" s="1054"/>
      <c r="N25" s="143"/>
      <c r="O25" s="143"/>
      <c r="P25" s="143"/>
      <c r="Q25" s="143"/>
      <c r="R25" s="143"/>
      <c r="S25" s="143"/>
      <c r="T25" s="143"/>
      <c r="U25" s="103">
        <f t="shared" si="1"/>
        <v>0</v>
      </c>
      <c r="V25" s="145">
        <v>654.36</v>
      </c>
      <c r="W25" s="145">
        <v>833.4</v>
      </c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03">
        <f t="shared" si="2"/>
        <v>0</v>
      </c>
      <c r="AK25" s="906">
        <v>643.53</v>
      </c>
      <c r="AL25" s="907">
        <v>548.2</v>
      </c>
      <c r="AM25" s="136"/>
      <c r="AN25" s="105">
        <f t="shared" si="3"/>
        <v>0</v>
      </c>
      <c r="AO25" s="988">
        <v>14.02</v>
      </c>
      <c r="AP25" s="912"/>
      <c r="AQ25" s="143"/>
      <c r="AR25" s="143"/>
      <c r="AS25" s="149">
        <v>1.5</v>
      </c>
      <c r="AT25" s="224">
        <f t="shared" si="4"/>
        <v>0</v>
      </c>
      <c r="AU25" s="1818">
        <v>4203.7</v>
      </c>
      <c r="AV25" s="1816"/>
      <c r="AW25" s="1816"/>
      <c r="AX25" s="1816"/>
      <c r="AY25" s="1816"/>
      <c r="AZ25" s="1816"/>
      <c r="BA25" s="1819">
        <v>1629.3</v>
      </c>
      <c r="BB25" s="1816"/>
      <c r="BC25" s="1816"/>
      <c r="BD25" s="1816"/>
      <c r="BE25" s="1816"/>
      <c r="BF25" s="222">
        <f t="shared" si="5"/>
        <v>0</v>
      </c>
      <c r="BG25" s="140">
        <f t="shared" si="6"/>
        <v>0</v>
      </c>
      <c r="BH25" s="132"/>
      <c r="BI25" s="140">
        <f t="shared" si="7"/>
        <v>0</v>
      </c>
      <c r="BJ25" s="141"/>
      <c r="BK25" s="141"/>
      <c r="BL25" s="141"/>
      <c r="BM25" s="141"/>
      <c r="BN25" s="141"/>
      <c r="BO25" s="141"/>
      <c r="BP25" s="141"/>
      <c r="BQ25" s="141"/>
      <c r="BR25" s="141"/>
      <c r="BS25" s="141"/>
      <c r="BT25" s="908"/>
      <c r="BU25" s="141"/>
      <c r="BV25" s="141"/>
      <c r="BW25" s="130">
        <f t="shared" si="8"/>
        <v>0</v>
      </c>
      <c r="BX25" s="132"/>
    </row>
    <row r="26" ht="14.25" customHeight="1">
      <c r="A26" s="132"/>
      <c r="B26" s="444">
        <v>46043</v>
      </c>
      <c r="C26" s="900">
        <f>7988.40-D26-0</f>
      </c>
      <c r="D26" s="901">
        <v>2243.2</v>
      </c>
      <c r="E26" s="135"/>
      <c r="F26" s="135"/>
      <c r="G26" s="147">
        <f t="shared" si="0"/>
        <v>0</v>
      </c>
      <c r="H26" s="1151">
        <v>480.35</v>
      </c>
      <c r="I26" s="992">
        <v>65.05</v>
      </c>
      <c r="J26" s="143"/>
      <c r="K26" s="987">
        <v>418.08</v>
      </c>
      <c r="L26" s="905"/>
      <c r="M26" s="1054"/>
      <c r="N26" s="143"/>
      <c r="O26" s="143"/>
      <c r="P26" s="143"/>
      <c r="Q26" s="143"/>
      <c r="R26" s="143"/>
      <c r="S26" s="143"/>
      <c r="T26" s="143"/>
      <c r="U26" s="103">
        <f t="shared" si="1"/>
        <v>0</v>
      </c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03">
        <f t="shared" si="2"/>
        <v>0</v>
      </c>
      <c r="AK26" s="911">
        <v>144.67</v>
      </c>
      <c r="AL26" s="907">
        <v>694.7</v>
      </c>
      <c r="AM26" s="136"/>
      <c r="AN26" s="105">
        <f t="shared" si="3"/>
        <v>0</v>
      </c>
      <c r="AO26" s="988">
        <v>57.83</v>
      </c>
      <c r="AP26" s="912"/>
      <c r="AQ26" s="143"/>
      <c r="AR26" s="143"/>
      <c r="AS26" s="146"/>
      <c r="AT26" s="224">
        <f t="shared" si="4"/>
        <v>0</v>
      </c>
      <c r="AU26" s="1818">
        <v>2650.2</v>
      </c>
      <c r="AV26" s="1816">
        <v>1904</v>
      </c>
      <c r="AW26" s="1816"/>
      <c r="AX26" s="1816"/>
      <c r="AY26" s="1816"/>
      <c r="AZ26" s="1816"/>
      <c r="BA26" s="1819">
        <v>1548.5</v>
      </c>
      <c r="BB26" s="1816"/>
      <c r="BC26" s="1816"/>
      <c r="BD26" s="1816"/>
      <c r="BE26" s="1816"/>
      <c r="BF26" s="222">
        <f t="shared" si="5"/>
        <v>0</v>
      </c>
      <c r="BG26" s="140">
        <f t="shared" si="6"/>
        <v>0</v>
      </c>
      <c r="BH26" s="132"/>
      <c r="BI26" s="140">
        <f t="shared" si="7"/>
        <v>0</v>
      </c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914"/>
      <c r="BU26" s="150">
        <v>25</v>
      </c>
      <c r="BV26" s="141"/>
      <c r="BW26" s="130">
        <f t="shared" si="8"/>
        <v>0</v>
      </c>
      <c r="BX26" s="132"/>
    </row>
    <row r="27" ht="14.25" customHeight="1">
      <c r="A27" s="132"/>
      <c r="B27" s="444">
        <v>46044</v>
      </c>
      <c r="C27" s="900">
        <f>7268.20-D27-0</f>
      </c>
      <c r="D27" s="901">
        <v>2289.7</v>
      </c>
      <c r="E27" s="135"/>
      <c r="F27" s="135"/>
      <c r="G27" s="147">
        <f t="shared" si="0"/>
        <v>0</v>
      </c>
      <c r="H27" s="1151">
        <v>963.12</v>
      </c>
      <c r="I27" s="992">
        <v>94.2</v>
      </c>
      <c r="J27" s="143"/>
      <c r="K27" s="905"/>
      <c r="L27" s="904"/>
      <c r="M27" s="1054"/>
      <c r="N27" s="143"/>
      <c r="O27" s="143"/>
      <c r="P27" s="143"/>
      <c r="Q27" s="143"/>
      <c r="R27" s="143"/>
      <c r="S27" s="143"/>
      <c r="T27" s="143"/>
      <c r="U27" s="103">
        <f t="shared" si="1"/>
        <v>0</v>
      </c>
      <c r="V27" s="145">
        <v>180.95</v>
      </c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03">
        <f t="shared" si="2"/>
        <v>0</v>
      </c>
      <c r="AK27" s="906">
        <v>1396.75</v>
      </c>
      <c r="AL27" s="907">
        <v>748.7</v>
      </c>
      <c r="AM27" s="136"/>
      <c r="AN27" s="105">
        <f t="shared" si="3"/>
        <v>0</v>
      </c>
      <c r="AO27" s="988">
        <v>11.62</v>
      </c>
      <c r="AP27" s="912"/>
      <c r="AQ27" s="143"/>
      <c r="AR27" s="143"/>
      <c r="AS27" s="146"/>
      <c r="AT27" s="224">
        <f t="shared" si="4"/>
        <v>0</v>
      </c>
      <c r="AU27" s="1818">
        <v>1278.3</v>
      </c>
      <c r="AV27" s="1816">
        <v>1060.8</v>
      </c>
      <c r="AW27" s="1816"/>
      <c r="AX27" s="1816"/>
      <c r="AY27" s="1816"/>
      <c r="AZ27" s="1816"/>
      <c r="BA27" s="1819">
        <v>1538.4</v>
      </c>
      <c r="BB27" s="1816"/>
      <c r="BC27" s="1816"/>
      <c r="BD27" s="1816"/>
      <c r="BE27" s="1816"/>
      <c r="BF27" s="222">
        <f t="shared" si="5"/>
        <v>0</v>
      </c>
      <c r="BG27" s="140">
        <f t="shared" si="6"/>
        <v>0</v>
      </c>
      <c r="BH27" s="132"/>
      <c r="BI27" s="140">
        <f t="shared" si="7"/>
        <v>0</v>
      </c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914"/>
      <c r="BU27" s="141"/>
      <c r="BV27" s="141"/>
      <c r="BW27" s="130">
        <f t="shared" si="8"/>
        <v>0</v>
      </c>
      <c r="BX27" s="132"/>
    </row>
    <row r="28" ht="14.25" customHeight="1">
      <c r="A28" s="132"/>
      <c r="B28" s="444">
        <v>46045</v>
      </c>
      <c r="C28" s="900">
        <f>8159.75-D28-0</f>
      </c>
      <c r="D28" s="901">
        <v>2562.21</v>
      </c>
      <c r="E28" s="135"/>
      <c r="F28" s="135"/>
      <c r="G28" s="147">
        <f t="shared" si="0"/>
        <v>0</v>
      </c>
      <c r="H28" s="1151">
        <v>558.47</v>
      </c>
      <c r="I28" s="904"/>
      <c r="J28" s="143"/>
      <c r="K28" s="992">
        <v>817.11</v>
      </c>
      <c r="L28" s="905"/>
      <c r="M28" s="1054"/>
      <c r="N28" s="143"/>
      <c r="O28" s="143"/>
      <c r="P28" s="143"/>
      <c r="Q28" s="143"/>
      <c r="R28" s="143"/>
      <c r="S28" s="143"/>
      <c r="T28" s="143"/>
      <c r="U28" s="103">
        <f t="shared" si="1"/>
        <v>0</v>
      </c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03">
        <f t="shared" si="2"/>
        <v>0</v>
      </c>
      <c r="AK28" s="906">
        <v>1205.4</v>
      </c>
      <c r="AL28" s="907">
        <v>656.7</v>
      </c>
      <c r="AM28" s="136"/>
      <c r="AN28" s="105">
        <f t="shared" si="3"/>
        <v>0</v>
      </c>
      <c r="AO28" s="988">
        <v>85.67</v>
      </c>
      <c r="AP28" s="912"/>
      <c r="AQ28" s="143"/>
      <c r="AR28" s="143"/>
      <c r="AS28" s="146">
        <v>0.4</v>
      </c>
      <c r="AT28" s="224">
        <f t="shared" si="4"/>
        <v>0</v>
      </c>
      <c r="AU28" s="1818">
        <v>2118.4</v>
      </c>
      <c r="AV28" s="1816"/>
      <c r="AW28" s="1816"/>
      <c r="AX28" s="1816"/>
      <c r="AY28" s="1816"/>
      <c r="AZ28" s="1816"/>
      <c r="BA28" s="1819">
        <v>1902.5</v>
      </c>
      <c r="BB28" s="1816"/>
      <c r="BC28" s="1816"/>
      <c r="BD28" s="1816"/>
      <c r="BE28" s="1816"/>
      <c r="BF28" s="222">
        <f t="shared" si="5"/>
        <v>0</v>
      </c>
      <c r="BG28" s="140">
        <f t="shared" si="6"/>
        <v>0</v>
      </c>
      <c r="BH28" s="132"/>
      <c r="BI28" s="140">
        <f t="shared" si="7"/>
        <v>0</v>
      </c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056"/>
      <c r="BU28" s="141">
        <v>812</v>
      </c>
      <c r="BV28" s="141"/>
      <c r="BW28" s="130">
        <f t="shared" si="8"/>
        <v>0</v>
      </c>
      <c r="BX28" s="132"/>
    </row>
    <row r="29" ht="14.25" customHeight="1">
      <c r="A29" s="132"/>
      <c r="B29" s="444">
        <v>46046</v>
      </c>
      <c r="C29" s="900">
        <f>11331.07-D29-0</f>
      </c>
      <c r="D29" s="901">
        <v>3042</v>
      </c>
      <c r="E29" s="135"/>
      <c r="F29" s="135"/>
      <c r="G29" s="147">
        <f t="shared" si="0"/>
        <v>0</v>
      </c>
      <c r="H29" s="1150">
        <v>346.62</v>
      </c>
      <c r="I29" s="905"/>
      <c r="J29" s="143"/>
      <c r="K29" s="992">
        <v>400.81</v>
      </c>
      <c r="L29" s="904"/>
      <c r="M29" s="1054"/>
      <c r="N29" s="143"/>
      <c r="O29" s="143"/>
      <c r="P29" s="143"/>
      <c r="Q29" s="143"/>
      <c r="R29" s="143"/>
      <c r="S29" s="143"/>
      <c r="T29" s="143"/>
      <c r="U29" s="103">
        <f t="shared" si="1"/>
        <v>0</v>
      </c>
      <c r="V29" s="145">
        <v>3606.98</v>
      </c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03">
        <f t="shared" si="2"/>
        <v>0</v>
      </c>
      <c r="AK29" s="906">
        <v>2011.51</v>
      </c>
      <c r="AL29" s="907">
        <v>689.6</v>
      </c>
      <c r="AM29" s="136"/>
      <c r="AN29" s="105">
        <f t="shared" si="3"/>
        <v>0</v>
      </c>
      <c r="AO29" s="988">
        <v>28.24</v>
      </c>
      <c r="AP29" s="912"/>
      <c r="AQ29" s="143"/>
      <c r="AR29" s="143"/>
      <c r="AS29" s="146"/>
      <c r="AT29" s="224">
        <f t="shared" si="4"/>
        <v>0</v>
      </c>
      <c r="AU29" s="1818">
        <v>1951.3</v>
      </c>
      <c r="AV29" s="1816"/>
      <c r="AW29" s="1816"/>
      <c r="AX29" s="1816"/>
      <c r="AY29" s="1816"/>
      <c r="AZ29" s="1816"/>
      <c r="BA29" s="1819">
        <v>2350.3</v>
      </c>
      <c r="BB29" s="1816"/>
      <c r="BC29" s="1816"/>
      <c r="BD29" s="1816"/>
      <c r="BE29" s="1816"/>
      <c r="BF29" s="222">
        <f t="shared" si="5"/>
        <v>0</v>
      </c>
      <c r="BG29" s="140">
        <f t="shared" si="6"/>
        <v>0</v>
      </c>
      <c r="BH29" s="132"/>
      <c r="BI29" s="140">
        <f t="shared" si="7"/>
        <v>0</v>
      </c>
      <c r="BJ29" s="141"/>
      <c r="BK29" s="141"/>
      <c r="BL29" s="141"/>
      <c r="BM29" s="141"/>
      <c r="BN29" s="141"/>
      <c r="BO29" s="141"/>
      <c r="BP29" s="141"/>
      <c r="BQ29" s="141"/>
      <c r="BR29" s="141"/>
      <c r="BS29" s="141"/>
      <c r="BT29" s="914"/>
      <c r="BU29" s="141"/>
      <c r="BV29" s="141"/>
      <c r="BW29" s="130">
        <f t="shared" si="8"/>
        <v>0</v>
      </c>
      <c r="BX29" s="132"/>
    </row>
    <row r="30" ht="14.25" customHeight="1">
      <c r="A30" s="132"/>
      <c r="B30" s="444">
        <v>46047</v>
      </c>
      <c r="C30" s="900">
        <f>5732.99-D30-0</f>
      </c>
      <c r="D30" s="901">
        <v>3146.3</v>
      </c>
      <c r="E30" s="135"/>
      <c r="F30" s="135"/>
      <c r="G30" s="147">
        <f t="shared" si="0"/>
        <v>0</v>
      </c>
      <c r="H30" s="1059">
        <v>216.67</v>
      </c>
      <c r="I30" s="905"/>
      <c r="J30" s="143"/>
      <c r="K30" s="905"/>
      <c r="L30" s="905"/>
      <c r="M30" s="1054"/>
      <c r="N30" s="143"/>
      <c r="O30" s="143"/>
      <c r="P30" s="143"/>
      <c r="Q30" s="143"/>
      <c r="R30" s="143"/>
      <c r="S30" s="143"/>
      <c r="T30" s="143"/>
      <c r="U30" s="103">
        <f t="shared" si="1"/>
        <v>0</v>
      </c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03">
        <f t="shared" si="2"/>
        <v>0</v>
      </c>
      <c r="AK30" s="911">
        <v>392.16</v>
      </c>
      <c r="AL30" s="907">
        <v>860.2</v>
      </c>
      <c r="AM30" s="136"/>
      <c r="AN30" s="105">
        <f t="shared" si="3"/>
        <v>0</v>
      </c>
      <c r="AO30" s="988"/>
      <c r="AP30" s="912"/>
      <c r="AQ30" s="143"/>
      <c r="AR30" s="143"/>
      <c r="AS30" s="146"/>
      <c r="AT30" s="224">
        <f t="shared" si="4"/>
        <v>0</v>
      </c>
      <c r="AU30" s="1818">
        <v>1977.9</v>
      </c>
      <c r="AV30" s="1816"/>
      <c r="AW30" s="1816"/>
      <c r="AX30" s="1816"/>
      <c r="AY30" s="1816"/>
      <c r="AZ30" s="1816"/>
      <c r="BA30" s="1819">
        <v>2284</v>
      </c>
      <c r="BB30" s="1816"/>
      <c r="BC30" s="1816"/>
      <c r="BD30" s="1816"/>
      <c r="BE30" s="1816"/>
      <c r="BF30" s="222">
        <f t="shared" si="5"/>
        <v>0</v>
      </c>
      <c r="BG30" s="140">
        <f t="shared" si="6"/>
        <v>0</v>
      </c>
      <c r="BH30" s="132"/>
      <c r="BI30" s="140">
        <f t="shared" si="7"/>
        <v>0</v>
      </c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908"/>
      <c r="BU30" s="141"/>
      <c r="BV30" s="141"/>
      <c r="BW30" s="130">
        <f t="shared" si="8"/>
        <v>0</v>
      </c>
      <c r="BX30" s="132"/>
    </row>
    <row r="31" ht="14.25" customHeight="1">
      <c r="A31" s="132"/>
      <c r="B31" s="444">
        <v>46048</v>
      </c>
      <c r="C31" s="900">
        <f>8448.90-D31-0</f>
      </c>
      <c r="D31" s="901">
        <v>3121.5</v>
      </c>
      <c r="E31" s="135"/>
      <c r="F31" s="135"/>
      <c r="G31" s="147">
        <f t="shared" si="0"/>
        <v>0</v>
      </c>
      <c r="H31" s="1150">
        <v>686.97</v>
      </c>
      <c r="I31" s="905"/>
      <c r="J31" s="143"/>
      <c r="K31" s="992">
        <v>330.17</v>
      </c>
      <c r="L31" s="905"/>
      <c r="M31" s="1054"/>
      <c r="N31" s="143"/>
      <c r="O31" s="143"/>
      <c r="P31" s="143"/>
      <c r="Q31" s="143"/>
      <c r="R31" s="143"/>
      <c r="S31" s="143"/>
      <c r="T31" s="143"/>
      <c r="U31" s="103">
        <f t="shared" si="1"/>
        <v>0</v>
      </c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03">
        <f t="shared" si="2"/>
        <v>0</v>
      </c>
      <c r="AK31" s="906">
        <v>1721.59</v>
      </c>
      <c r="AL31" s="907">
        <v>822.1</v>
      </c>
      <c r="AM31" s="136"/>
      <c r="AN31" s="105">
        <f t="shared" si="3"/>
        <v>0</v>
      </c>
      <c r="AO31" s="988">
        <v>34.62</v>
      </c>
      <c r="AP31" s="912"/>
      <c r="AQ31" s="143"/>
      <c r="AR31" s="143"/>
      <c r="AS31" s="146"/>
      <c r="AT31" s="224">
        <f t="shared" si="4"/>
        <v>0</v>
      </c>
      <c r="AU31" s="1818">
        <v>2529</v>
      </c>
      <c r="AV31" s="1816"/>
      <c r="AW31" s="1816"/>
      <c r="AX31" s="1816"/>
      <c r="AY31" s="1816"/>
      <c r="AZ31" s="1816"/>
      <c r="BA31" s="1819">
        <v>2298.1</v>
      </c>
      <c r="BB31" s="1816"/>
      <c r="BC31" s="1816"/>
      <c r="BD31" s="1816"/>
      <c r="BE31" s="1816"/>
      <c r="BF31" s="222">
        <f t="shared" si="5"/>
        <v>0</v>
      </c>
      <c r="BG31" s="140">
        <f t="shared" si="6"/>
        <v>0</v>
      </c>
      <c r="BH31" s="132"/>
      <c r="BI31" s="140">
        <f t="shared" si="7"/>
        <v>0</v>
      </c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908"/>
      <c r="BU31" s="150">
        <v>25</v>
      </c>
      <c r="BV31" s="141"/>
      <c r="BW31" s="130">
        <f t="shared" si="8"/>
        <v>0</v>
      </c>
      <c r="BX31" s="132"/>
    </row>
    <row r="32" ht="14.25" customHeight="1">
      <c r="A32" s="132"/>
      <c r="B32" s="444">
        <v>46049</v>
      </c>
      <c r="C32" s="900">
        <f>7332.60-D32-0</f>
      </c>
      <c r="D32" s="901">
        <v>2460.3</v>
      </c>
      <c r="E32" s="135"/>
      <c r="F32" s="135"/>
      <c r="G32" s="147">
        <f t="shared" si="0"/>
        <v>0</v>
      </c>
      <c r="H32" s="1149">
        <v>447.77</v>
      </c>
      <c r="I32" s="905"/>
      <c r="J32" s="143"/>
      <c r="K32" s="905"/>
      <c r="L32" s="905"/>
      <c r="M32" s="1054"/>
      <c r="N32" s="143"/>
      <c r="O32" s="143"/>
      <c r="P32" s="143"/>
      <c r="Q32" s="143"/>
      <c r="R32" s="143"/>
      <c r="S32" s="143"/>
      <c r="T32" s="143"/>
      <c r="U32" s="103">
        <f t="shared" si="1"/>
        <v>0</v>
      </c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03">
        <f t="shared" si="2"/>
        <v>0</v>
      </c>
      <c r="AK32" s="906">
        <v>407.03</v>
      </c>
      <c r="AL32" s="907">
        <v>445</v>
      </c>
      <c r="AM32" s="136"/>
      <c r="AN32" s="105">
        <f t="shared" si="3"/>
        <v>0</v>
      </c>
      <c r="AO32" s="988">
        <v>14.8</v>
      </c>
      <c r="AP32" s="912"/>
      <c r="AQ32" s="143"/>
      <c r="AR32" s="143"/>
      <c r="AS32" s="146"/>
      <c r="AT32" s="224">
        <f t="shared" si="4"/>
        <v>0</v>
      </c>
      <c r="AU32" s="1818">
        <v>1989.9</v>
      </c>
      <c r="AV32" s="1816">
        <v>2012.8</v>
      </c>
      <c r="AW32" s="1816"/>
      <c r="AX32" s="1816"/>
      <c r="AY32" s="1816"/>
      <c r="AZ32" s="1816"/>
      <c r="BA32" s="1819">
        <v>2014.9</v>
      </c>
      <c r="BB32" s="1816"/>
      <c r="BC32" s="1816"/>
      <c r="BD32" s="1816"/>
      <c r="BE32" s="1816"/>
      <c r="BF32" s="222">
        <f t="shared" si="5"/>
        <v>0</v>
      </c>
      <c r="BG32" s="140">
        <f t="shared" si="6"/>
        <v>0</v>
      </c>
      <c r="BH32" s="132"/>
      <c r="BI32" s="140">
        <f t="shared" si="7"/>
        <v>0</v>
      </c>
      <c r="BJ32" s="141"/>
      <c r="BK32" s="141"/>
      <c r="BL32" s="141"/>
      <c r="BM32" s="141"/>
      <c r="BN32" s="141"/>
      <c r="BO32" s="141"/>
      <c r="BP32" s="141"/>
      <c r="BQ32" s="141"/>
      <c r="BR32" s="141"/>
      <c r="BS32" s="141"/>
      <c r="BT32" s="908"/>
      <c r="BU32" s="141"/>
      <c r="BV32" s="141"/>
      <c r="BW32" s="130">
        <f t="shared" si="8"/>
        <v>0</v>
      </c>
      <c r="BX32" s="132"/>
    </row>
    <row r="33" ht="14.25" customHeight="1">
      <c r="A33" s="132"/>
      <c r="B33" s="444">
        <v>46050</v>
      </c>
      <c r="C33" s="900">
        <f>8460.46-D33-0</f>
      </c>
      <c r="D33" s="901">
        <v>2067.8</v>
      </c>
      <c r="E33" s="135"/>
      <c r="F33" s="135"/>
      <c r="G33" s="147">
        <f t="shared" si="0"/>
        <v>0</v>
      </c>
      <c r="H33" s="1150">
        <v>617.23</v>
      </c>
      <c r="I33" s="905"/>
      <c r="J33" s="143"/>
      <c r="K33" s="992">
        <v>417.74</v>
      </c>
      <c r="L33" s="992">
        <v>216.18</v>
      </c>
      <c r="M33" s="1054"/>
      <c r="N33" s="143"/>
      <c r="O33" s="143"/>
      <c r="P33" s="143"/>
      <c r="Q33" s="143"/>
      <c r="R33" s="143"/>
      <c r="S33" s="143"/>
      <c r="T33" s="143"/>
      <c r="U33" s="103">
        <f t="shared" si="1"/>
        <v>0</v>
      </c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03">
        <f t="shared" si="2"/>
        <v>0</v>
      </c>
      <c r="AK33" s="911">
        <v>557.93</v>
      </c>
      <c r="AL33" s="907">
        <v>545.2</v>
      </c>
      <c r="AM33" s="136"/>
      <c r="AN33" s="105">
        <f t="shared" si="3"/>
        <v>0</v>
      </c>
      <c r="AO33" s="988">
        <v>73.63</v>
      </c>
      <c r="AP33" s="912"/>
      <c r="AQ33" s="143"/>
      <c r="AR33" s="143"/>
      <c r="AS33" s="146"/>
      <c r="AT33" s="224">
        <f t="shared" si="4"/>
        <v>0</v>
      </c>
      <c r="AU33" s="1818">
        <v>2445</v>
      </c>
      <c r="AV33" s="1816">
        <v>2040</v>
      </c>
      <c r="AW33" s="1816"/>
      <c r="AX33" s="1816"/>
      <c r="AY33" s="1816"/>
      <c r="AZ33" s="1816"/>
      <c r="BA33" s="1819">
        <v>1521.7</v>
      </c>
      <c r="BB33" s="1816"/>
      <c r="BC33" s="1816"/>
      <c r="BD33" s="1816"/>
      <c r="BE33" s="1816"/>
      <c r="BF33" s="222">
        <f t="shared" si="5"/>
        <v>0</v>
      </c>
      <c r="BG33" s="140">
        <f t="shared" si="6"/>
        <v>0</v>
      </c>
      <c r="BH33" s="132"/>
      <c r="BI33" s="140">
        <f t="shared" si="7"/>
        <v>0</v>
      </c>
      <c r="BJ33" s="141"/>
      <c r="BK33" s="141"/>
      <c r="BL33" s="141"/>
      <c r="BM33" s="141"/>
      <c r="BN33" s="141"/>
      <c r="BO33" s="141"/>
      <c r="BP33" s="141"/>
      <c r="BQ33" s="141"/>
      <c r="BR33" s="141"/>
      <c r="BS33" s="141"/>
      <c r="BT33" s="908"/>
      <c r="BU33" s="150">
        <v>25</v>
      </c>
      <c r="BV33" s="141"/>
      <c r="BW33" s="130">
        <f t="shared" si="8"/>
        <v>0</v>
      </c>
      <c r="BX33" s="132"/>
    </row>
    <row r="34" ht="14.25" customHeight="1">
      <c r="A34" s="132"/>
      <c r="B34" s="444">
        <v>46051</v>
      </c>
      <c r="C34" s="900">
        <f>8772.14-D34-0</f>
      </c>
      <c r="D34" s="907">
        <v>2085.5</v>
      </c>
      <c r="E34" s="135"/>
      <c r="F34" s="135"/>
      <c r="G34" s="147">
        <f t="shared" si="0"/>
        <v>0</v>
      </c>
      <c r="H34" s="1150">
        <v>623.24</v>
      </c>
      <c r="I34" s="905"/>
      <c r="J34" s="143"/>
      <c r="K34" s="987">
        <v>689.11</v>
      </c>
      <c r="L34" s="905"/>
      <c r="M34" s="1054"/>
      <c r="N34" s="143"/>
      <c r="O34" s="143"/>
      <c r="P34" s="143"/>
      <c r="Q34" s="143"/>
      <c r="R34" s="143"/>
      <c r="S34" s="143"/>
      <c r="T34" s="143"/>
      <c r="U34" s="103">
        <f t="shared" si="1"/>
        <v>0</v>
      </c>
      <c r="V34" s="143"/>
      <c r="W34" s="145">
        <v>833.4</v>
      </c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03">
        <f t="shared" si="2"/>
        <v>0</v>
      </c>
      <c r="AK34" s="906">
        <v>482.57</v>
      </c>
      <c r="AL34" s="907">
        <v>503.3</v>
      </c>
      <c r="AM34" s="136"/>
      <c r="AN34" s="105">
        <f t="shared" si="3"/>
        <v>0</v>
      </c>
      <c r="AO34" s="988">
        <v>79.24</v>
      </c>
      <c r="AP34" s="912"/>
      <c r="AQ34" s="143"/>
      <c r="AR34" s="143"/>
      <c r="AS34" s="149">
        <v>2.29</v>
      </c>
      <c r="AT34" s="224">
        <f t="shared" si="4"/>
        <v>0</v>
      </c>
      <c r="AU34" s="1818">
        <v>3024.8</v>
      </c>
      <c r="AV34" s="1816">
        <v>952</v>
      </c>
      <c r="AW34" s="1816"/>
      <c r="AX34" s="1816"/>
      <c r="AY34" s="1816"/>
      <c r="AZ34" s="1816"/>
      <c r="BA34" s="1819">
        <v>1580.4</v>
      </c>
      <c r="BB34" s="1816"/>
      <c r="BC34" s="1816"/>
      <c r="BD34" s="1816"/>
      <c r="BE34" s="1816"/>
      <c r="BF34" s="222">
        <f t="shared" si="5"/>
        <v>0</v>
      </c>
      <c r="BG34" s="140">
        <f t="shared" si="6"/>
        <v>0</v>
      </c>
      <c r="BH34" s="132"/>
      <c r="BI34" s="140">
        <f t="shared" si="7"/>
        <v>0</v>
      </c>
      <c r="BJ34" s="141"/>
      <c r="BK34" s="141"/>
      <c r="BL34" s="141"/>
      <c r="BM34" s="141"/>
      <c r="BN34" s="141"/>
      <c r="BO34" s="141"/>
      <c r="BP34" s="141"/>
      <c r="BQ34" s="141"/>
      <c r="BR34" s="141"/>
      <c r="BS34" s="141"/>
      <c r="BT34" s="914"/>
      <c r="BU34" s="141"/>
      <c r="BV34" s="141"/>
      <c r="BW34" s="130">
        <f t="shared" si="8"/>
        <v>0</v>
      </c>
      <c r="BX34" s="132"/>
    </row>
    <row r="35" ht="14.25" customHeight="1">
      <c r="A35" s="132"/>
      <c r="B35" s="444">
        <v>46052</v>
      </c>
      <c r="C35" s="900">
        <f>6354.64-D35-0</f>
      </c>
      <c r="D35" s="907">
        <v>2326.3</v>
      </c>
      <c r="E35" s="135"/>
      <c r="F35" s="135"/>
      <c r="G35" s="147">
        <f t="shared" si="0"/>
        <v>0</v>
      </c>
      <c r="H35" s="1149">
        <v>127.88</v>
      </c>
      <c r="I35" s="992">
        <v>401.75</v>
      </c>
      <c r="J35" s="143"/>
      <c r="K35" s="905"/>
      <c r="L35" s="905"/>
      <c r="M35" s="1060"/>
      <c r="N35" s="143"/>
      <c r="O35" s="143"/>
      <c r="P35" s="143"/>
      <c r="Q35" s="143"/>
      <c r="R35" s="143"/>
      <c r="S35" s="143"/>
      <c r="T35" s="143"/>
      <c r="U35" s="103">
        <f t="shared" si="1"/>
        <v>0</v>
      </c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03">
        <f t="shared" si="2"/>
        <v>0</v>
      </c>
      <c r="AK35" s="911">
        <v>1477.1</v>
      </c>
      <c r="AL35" s="907">
        <v>926</v>
      </c>
      <c r="AM35" s="136"/>
      <c r="AN35" s="105">
        <f t="shared" si="3"/>
        <v>0</v>
      </c>
      <c r="AO35" s="988">
        <v>7.8</v>
      </c>
      <c r="AP35" s="912"/>
      <c r="AQ35" s="143"/>
      <c r="AR35" s="143"/>
      <c r="AS35" s="146"/>
      <c r="AT35" s="224">
        <f t="shared" si="4"/>
        <v>0</v>
      </c>
      <c r="AU35" s="1818">
        <v>928</v>
      </c>
      <c r="AV35" s="1816">
        <v>1060.8</v>
      </c>
      <c r="AW35" s="1816"/>
      <c r="AX35" s="1816"/>
      <c r="AY35" s="1816"/>
      <c r="AZ35" s="1816"/>
      <c r="BA35" s="1819">
        <v>1399.8</v>
      </c>
      <c r="BB35" s="1816"/>
      <c r="BC35" s="1816"/>
      <c r="BD35" s="1816"/>
      <c r="BE35" s="1816"/>
      <c r="BF35" s="222">
        <f t="shared" si="5"/>
        <v>0</v>
      </c>
      <c r="BG35" s="140">
        <f t="shared" si="6"/>
        <v>0</v>
      </c>
      <c r="BH35" s="132"/>
      <c r="BI35" s="140">
        <f t="shared" si="7"/>
        <v>0</v>
      </c>
      <c r="BJ35" s="141"/>
      <c r="BK35" s="141"/>
      <c r="BL35" s="141"/>
      <c r="BM35" s="141"/>
      <c r="BN35" s="141"/>
      <c r="BO35" s="141"/>
      <c r="BP35" s="141"/>
      <c r="BQ35" s="141"/>
      <c r="BR35" s="141"/>
      <c r="BS35" s="141"/>
      <c r="BT35" s="908"/>
      <c r="BU35" s="150">
        <v>25</v>
      </c>
      <c r="BV35" s="141"/>
      <c r="BW35" s="130">
        <f t="shared" si="8"/>
        <v>0</v>
      </c>
      <c r="BX35" s="132"/>
    </row>
    <row r="36" ht="14.25" customHeight="1">
      <c r="A36" s="132"/>
      <c r="B36" s="444">
        <v>46053</v>
      </c>
      <c r="C36" s="918">
        <f>7290.81-D36-0</f>
      </c>
      <c r="D36" s="919">
        <v>3085.8</v>
      </c>
      <c r="E36" s="156"/>
      <c r="F36" s="156"/>
      <c r="G36" s="147">
        <f t="shared" si="0"/>
        <v>0</v>
      </c>
      <c r="H36" s="1153">
        <v>458.38</v>
      </c>
      <c r="I36" s="1002">
        <v>203.92</v>
      </c>
      <c r="J36" s="157"/>
      <c r="K36" s="923"/>
      <c r="L36" s="923"/>
      <c r="M36" s="1066"/>
      <c r="N36" s="157"/>
      <c r="O36" s="157"/>
      <c r="P36" s="157"/>
      <c r="Q36" s="157"/>
      <c r="R36" s="157"/>
      <c r="S36" s="157"/>
      <c r="T36" s="157"/>
      <c r="U36" s="103">
        <f t="shared" si="1"/>
        <v>0</v>
      </c>
      <c r="V36" s="158">
        <v>584.96</v>
      </c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03">
        <f t="shared" si="2"/>
        <v>0</v>
      </c>
      <c r="AK36" s="924">
        <v>856.18</v>
      </c>
      <c r="AL36" s="907">
        <v>880</v>
      </c>
      <c r="AM36" s="159"/>
      <c r="AN36" s="105">
        <f t="shared" si="3"/>
        <v>0</v>
      </c>
      <c r="AO36" s="922">
        <v>5.53</v>
      </c>
      <c r="AP36" s="912"/>
      <c r="AQ36" s="157"/>
      <c r="AR36" s="157"/>
      <c r="AS36" s="160"/>
      <c r="AT36" s="224">
        <f t="shared" si="4"/>
        <v>0</v>
      </c>
      <c r="AU36" s="1818">
        <v>1002.1</v>
      </c>
      <c r="AV36" s="1816">
        <v>952</v>
      </c>
      <c r="AW36" s="1816"/>
      <c r="AX36" s="1816"/>
      <c r="AY36" s="1816"/>
      <c r="AZ36" s="1816"/>
      <c r="BA36" s="1819">
        <v>2205.8</v>
      </c>
      <c r="BB36" s="1816"/>
      <c r="BC36" s="1816"/>
      <c r="BD36" s="1816"/>
      <c r="BE36" s="1816"/>
      <c r="BF36" s="222">
        <f t="shared" si="5"/>
        <v>0</v>
      </c>
      <c r="BG36" s="162">
        <f t="shared" si="6"/>
        <v>0</v>
      </c>
      <c r="BH36" s="132"/>
      <c r="BI36" s="162">
        <f t="shared" si="7"/>
        <v>0</v>
      </c>
      <c r="BJ36" s="163"/>
      <c r="BK36" s="163"/>
      <c r="BL36" s="163"/>
      <c r="BM36" s="163"/>
      <c r="BN36" s="163"/>
      <c r="BO36" s="163"/>
      <c r="BP36" s="163"/>
      <c r="BQ36" s="163"/>
      <c r="BR36" s="163"/>
      <c r="BS36" s="141"/>
      <c r="BT36" s="1154"/>
      <c r="BU36" s="163">
        <v>152.9</v>
      </c>
      <c r="BV36" s="163"/>
      <c r="BW36" s="164">
        <f t="shared" si="8"/>
        <v>0</v>
      </c>
      <c r="BX36" s="132"/>
    </row>
    <row r="37" ht="14.25" customHeight="1">
      <c r="A37" s="3" t="s">
        <v>226</v>
      </c>
      <c r="B37" s="2" t="s">
        <v>186</v>
      </c>
      <c r="C37" s="166">
        <f ref="C37:K37" t="shared" si="9">SUM(C6:C36)</f>
        <v>0</v>
      </c>
      <c r="D37" s="166">
        <f t="shared" si="9"/>
        <v>0</v>
      </c>
      <c r="E37" s="166">
        <f t="shared" si="9"/>
        <v>0</v>
      </c>
      <c r="F37" s="166">
        <f t="shared" si="9"/>
        <v>0</v>
      </c>
      <c r="G37" s="166">
        <f t="shared" si="9"/>
        <v>0</v>
      </c>
      <c r="H37" s="166">
        <f t="shared" si="9"/>
        <v>0</v>
      </c>
      <c r="I37" s="166">
        <f t="shared" si="9"/>
        <v>0</v>
      </c>
      <c r="J37" s="166">
        <f t="shared" si="9"/>
        <v>0</v>
      </c>
      <c r="K37" s="166">
        <f t="shared" si="9"/>
        <v>0</v>
      </c>
      <c r="L37" s="166"/>
      <c r="M37" s="166">
        <f ref="M37:AO37" t="shared" si="10">SUM(M6:M36)</f>
        <v>0</v>
      </c>
      <c r="N37" s="166">
        <f t="shared" si="10"/>
        <v>0</v>
      </c>
      <c r="O37" s="166">
        <f t="shared" si="10"/>
        <v>0</v>
      </c>
      <c r="P37" s="166">
        <f t="shared" si="10"/>
        <v>0</v>
      </c>
      <c r="Q37" s="166">
        <f t="shared" si="10"/>
        <v>0</v>
      </c>
      <c r="R37" s="166">
        <f t="shared" si="10"/>
        <v>0</v>
      </c>
      <c r="S37" s="166">
        <f t="shared" si="10"/>
        <v>0</v>
      </c>
      <c r="T37" s="166">
        <f t="shared" si="10"/>
        <v>0</v>
      </c>
      <c r="U37" s="166">
        <f t="shared" si="10"/>
        <v>0</v>
      </c>
      <c r="V37" s="166">
        <f t="shared" si="10"/>
        <v>0</v>
      </c>
      <c r="W37" s="166">
        <f t="shared" si="10"/>
        <v>0</v>
      </c>
      <c r="X37" s="166">
        <f t="shared" si="10"/>
        <v>0</v>
      </c>
      <c r="Y37" s="166">
        <f t="shared" si="10"/>
        <v>0</v>
      </c>
      <c r="Z37" s="166">
        <f t="shared" si="10"/>
        <v>0</v>
      </c>
      <c r="AA37" s="166">
        <f t="shared" si="10"/>
        <v>0</v>
      </c>
      <c r="AB37" s="166">
        <f t="shared" si="10"/>
        <v>0</v>
      </c>
      <c r="AC37" s="166">
        <f t="shared" si="10"/>
        <v>0</v>
      </c>
      <c r="AD37" s="166">
        <f t="shared" si="10"/>
        <v>0</v>
      </c>
      <c r="AE37" s="166">
        <f t="shared" si="10"/>
        <v>0</v>
      </c>
      <c r="AF37" s="166">
        <f t="shared" si="10"/>
        <v>0</v>
      </c>
      <c r="AG37" s="166">
        <f t="shared" si="10"/>
        <v>0</v>
      </c>
      <c r="AH37" s="166">
        <f t="shared" si="10"/>
        <v>0</v>
      </c>
      <c r="AI37" s="166">
        <f t="shared" si="10"/>
        <v>0</v>
      </c>
      <c r="AJ37" s="166">
        <f t="shared" si="10"/>
        <v>0</v>
      </c>
      <c r="AK37" s="166">
        <f t="shared" si="10"/>
        <v>0</v>
      </c>
      <c r="AL37" s="166">
        <f t="shared" si="10"/>
        <v>0</v>
      </c>
      <c r="AM37" s="166">
        <f t="shared" si="10"/>
        <v>0</v>
      </c>
      <c r="AN37" s="166">
        <f t="shared" si="10"/>
        <v>0</v>
      </c>
      <c r="AO37" s="166">
        <f t="shared" si="10"/>
        <v>0</v>
      </c>
      <c r="AP37" s="166"/>
      <c r="AQ37" s="166">
        <f ref="AQ37:BG37" t="shared" si="11">SUM(AQ6:AQ36)</f>
        <v>0</v>
      </c>
      <c r="AR37" s="166">
        <f t="shared" si="11"/>
        <v>0</v>
      </c>
      <c r="AS37" s="166">
        <f t="shared" si="11"/>
        <v>0</v>
      </c>
      <c r="AT37" s="166">
        <f t="shared" si="11"/>
        <v>0</v>
      </c>
      <c r="AU37" s="1068">
        <f t="shared" si="11"/>
        <v>0</v>
      </c>
      <c r="AV37" s="1068">
        <f t="shared" si="11"/>
        <v>0</v>
      </c>
      <c r="AW37" s="1068">
        <f t="shared" si="11"/>
        <v>0</v>
      </c>
      <c r="AX37" s="1068">
        <f t="shared" si="11"/>
        <v>0</v>
      </c>
      <c r="AY37" s="1068">
        <f t="shared" si="11"/>
        <v>0</v>
      </c>
      <c r="AZ37" s="1068">
        <f t="shared" si="11"/>
        <v>0</v>
      </c>
      <c r="BA37" s="1068">
        <f t="shared" si="11"/>
        <v>0</v>
      </c>
      <c r="BB37" s="165">
        <f t="shared" si="11"/>
        <v>0</v>
      </c>
      <c r="BC37" s="165">
        <f t="shared" si="11"/>
        <v>0</v>
      </c>
      <c r="BD37" s="165">
        <f t="shared" si="11"/>
        <v>0</v>
      </c>
      <c r="BE37" s="165">
        <f t="shared" si="11"/>
        <v>0</v>
      </c>
      <c r="BF37" s="166">
        <f t="shared" si="11"/>
        <v>0</v>
      </c>
      <c r="BG37" s="166">
        <f t="shared" si="11"/>
        <v>0</v>
      </c>
      <c r="BH37" s="3"/>
      <c r="BI37" s="172">
        <f>SUM(BI6:BI36)</f>
        <v>0</v>
      </c>
      <c r="BJ37" s="165"/>
      <c r="BK37" s="165"/>
      <c r="BL37" s="165"/>
      <c r="BM37" s="165"/>
      <c r="BN37" s="165"/>
      <c r="BO37" s="165"/>
      <c r="BP37" s="165"/>
      <c r="BQ37" s="165"/>
      <c r="BR37" s="165"/>
      <c r="BS37" s="166"/>
      <c r="BT37" s="165">
        <f ref="BT37:BW37" t="shared" si="12">SUM(BT6:BT36)</f>
        <v>0</v>
      </c>
      <c r="BU37" s="165">
        <f t="shared" si="12"/>
        <v>0</v>
      </c>
      <c r="BV37" s="165">
        <f t="shared" si="12"/>
        <v>0</v>
      </c>
      <c r="BW37" s="165">
        <f t="shared" si="12"/>
        <v>0</v>
      </c>
      <c r="BX37" s="3"/>
    </row>
    <row r="38" ht="14.25" customHeight="1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7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4"/>
      <c r="AO38" s="3"/>
      <c r="AP38" s="3"/>
      <c r="AQ38" s="3"/>
      <c r="AR38" s="3"/>
      <c r="AS38" s="3"/>
      <c r="AT38" s="4"/>
      <c r="AU38" s="380"/>
      <c r="AV38" s="380"/>
      <c r="AW38" s="380"/>
      <c r="AX38" s="1"/>
      <c r="AY38" s="1"/>
      <c r="AZ38" s="1"/>
      <c r="BA38" s="380"/>
      <c r="BB38" s="132"/>
      <c r="BC38" s="132"/>
      <c r="BD38" s="132"/>
      <c r="BE38" s="132"/>
      <c r="BF38" s="4"/>
      <c r="BG38" s="3"/>
      <c r="BH38" s="3"/>
      <c r="BI38" s="17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173"/>
      <c r="BX38" s="3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176"/>
      <c r="AK39" s="3"/>
      <c r="AL39" s="3"/>
      <c r="AM39" s="3"/>
      <c r="AN39" s="4"/>
      <c r="AO39" s="3"/>
      <c r="AP39" s="3"/>
      <c r="AQ39" s="3"/>
      <c r="AR39" s="3"/>
      <c r="AS39" s="3"/>
      <c r="AT39" s="4"/>
      <c r="AU39" s="380"/>
      <c r="AV39" s="380"/>
      <c r="AW39" s="380"/>
      <c r="AX39" s="1"/>
      <c r="AY39" s="1"/>
      <c r="AZ39" s="1"/>
      <c r="BA39" s="380"/>
      <c r="BB39" s="132"/>
      <c r="BC39" s="132"/>
      <c r="BD39" s="132"/>
      <c r="BE39" s="132"/>
      <c r="BF39" s="177"/>
      <c r="BG39" s="3"/>
      <c r="BH39" s="3"/>
      <c r="BI39" s="178"/>
      <c r="BJ39" s="176"/>
      <c r="BK39" s="176"/>
      <c r="BL39" s="176"/>
      <c r="BM39" s="176"/>
      <c r="BN39" s="176"/>
      <c r="BO39" s="176"/>
      <c r="BP39" s="176"/>
      <c r="BQ39" s="176"/>
      <c r="BR39" s="176"/>
      <c r="BS39" s="176"/>
      <c r="BT39" s="176"/>
      <c r="BU39" s="176"/>
      <c r="BV39" s="176"/>
      <c r="BW39" s="178"/>
      <c r="BX39" s="3"/>
    </row>
    <row r="40" ht="14.25" customHeight="1">
      <c r="A40" s="3"/>
      <c r="B40" s="179">
        <v>46054</v>
      </c>
      <c r="C40" s="94">
        <f>7857.63-D40-0</f>
      </c>
      <c r="D40" s="95">
        <v>3176.5</v>
      </c>
      <c r="E40" s="97"/>
      <c r="F40" s="97"/>
      <c r="G40" s="216">
        <f ref="G40:G68" t="shared" si="13">+C40+D40+E40+F40</f>
        <v>0</v>
      </c>
      <c r="H40" s="192">
        <v>555.02</v>
      </c>
      <c r="I40" s="1155"/>
      <c r="J40" s="186"/>
      <c r="K40" s="186"/>
      <c r="L40" s="186"/>
      <c r="M40" s="186"/>
      <c r="N40" s="186"/>
      <c r="O40" s="1156"/>
      <c r="P40" s="186"/>
      <c r="Q40" s="186"/>
      <c r="R40" s="186"/>
      <c r="S40" s="186"/>
      <c r="T40" s="186"/>
      <c r="U40" s="189">
        <f ref="U40:U68" t="shared" si="14">SUM(H40:T40)</f>
        <v>0</v>
      </c>
      <c r="V40" s="190"/>
      <c r="W40" s="180"/>
      <c r="X40" s="1157"/>
      <c r="Y40" s="1157"/>
      <c r="Z40" s="1156"/>
      <c r="AA40" s="186"/>
      <c r="AB40" s="186"/>
      <c r="AC40" s="186"/>
      <c r="AD40" s="186"/>
      <c r="AE40" s="186"/>
      <c r="AF40" s="186"/>
      <c r="AG40" s="186"/>
      <c r="AH40" s="186"/>
      <c r="AI40" s="186"/>
      <c r="AJ40" s="103">
        <f ref="AJ40:AJ68" t="shared" si="15">SUM(V40:AI40)</f>
        <v>0</v>
      </c>
      <c r="AK40" s="95">
        <v>1754.41</v>
      </c>
      <c r="AL40" s="95">
        <v>930.8</v>
      </c>
      <c r="AM40" s="104"/>
      <c r="AN40" s="191">
        <f ref="AN40:AN68" t="shared" si="16">SUM(AK40:AM40)</f>
        <v>0</v>
      </c>
      <c r="AO40" s="186"/>
      <c r="AP40" s="186"/>
      <c r="AQ40" s="186"/>
      <c r="AR40" s="186"/>
      <c r="AS40" s="193">
        <v>2.7</v>
      </c>
      <c r="AT40" s="620">
        <f ref="AT40:AT68" t="shared" si="17">+G40-U40-AJ40-AN40-AO40-AQ40-AR40-AS40-AP40</f>
        <v>0</v>
      </c>
      <c r="AU40" s="1685">
        <v>2371.8</v>
      </c>
      <c r="AV40" s="1687"/>
      <c r="AW40" s="1687"/>
      <c r="AX40" s="1687"/>
      <c r="AY40" s="1687"/>
      <c r="AZ40" s="1688"/>
      <c r="BA40" s="1685">
        <v>2240.9</v>
      </c>
      <c r="BB40" s="1548"/>
      <c r="BC40" s="1548"/>
      <c r="BD40" s="1548"/>
      <c r="BE40" s="1537"/>
      <c r="BF40" s="222">
        <f ref="BF40:BF68" t="shared" si="18">SUM(AU40:BE40)-BD40</f>
        <v>0</v>
      </c>
      <c r="BG40" s="114">
        <f ref="BG40:BG68" t="shared" si="19">+AT40-BF40</f>
        <v>0</v>
      </c>
      <c r="BH40" s="3"/>
      <c r="BI40" s="114">
        <f ref="BI40:BI68" t="shared" si="20">SUM(BJ40:BV40)</f>
        <v>0</v>
      </c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6">
        <f ref="BW40:BW68" t="shared" si="21">+BG40-BI40</f>
        <v>0</v>
      </c>
      <c r="BX40" s="3"/>
    </row>
    <row r="41" ht="14.25" customHeight="1">
      <c r="A41" s="3"/>
      <c r="B41" s="179">
        <v>46055</v>
      </c>
      <c r="C41" s="118">
        <f>8541.12-D41-0</f>
      </c>
      <c r="D41" s="119">
        <v>3144.8</v>
      </c>
      <c r="E41" s="120"/>
      <c r="F41" s="120"/>
      <c r="G41" s="147">
        <f t="shared" si="13"/>
        <v>0</v>
      </c>
      <c r="H41" s="199">
        <v>954.45</v>
      </c>
      <c r="I41" s="553"/>
      <c r="J41" s="143"/>
      <c r="K41" s="143"/>
      <c r="L41" s="143"/>
      <c r="M41" s="143"/>
      <c r="N41" s="143"/>
      <c r="O41" s="824"/>
      <c r="P41" s="143"/>
      <c r="Q41" s="143"/>
      <c r="R41" s="143"/>
      <c r="S41" s="143"/>
      <c r="T41" s="143"/>
      <c r="U41" s="103">
        <f t="shared" si="14"/>
        <v>0</v>
      </c>
      <c r="V41" s="136"/>
      <c r="W41" s="133"/>
      <c r="X41" s="820"/>
      <c r="Y41" s="824"/>
      <c r="Z41" s="824"/>
      <c r="AA41" s="143"/>
      <c r="AB41" s="143"/>
      <c r="AC41" s="143"/>
      <c r="AD41" s="143"/>
      <c r="AE41" s="143"/>
      <c r="AF41" s="143"/>
      <c r="AG41" s="143"/>
      <c r="AH41" s="143"/>
      <c r="AI41" s="143"/>
      <c r="AJ41" s="103">
        <f t="shared" si="15"/>
        <v>0</v>
      </c>
      <c r="AK41" s="119">
        <v>772</v>
      </c>
      <c r="AL41" s="119">
        <v>614.1</v>
      </c>
      <c r="AM41" s="123"/>
      <c r="AN41" s="105">
        <f t="shared" si="16"/>
        <v>0</v>
      </c>
      <c r="AO41" s="145">
        <v>14</v>
      </c>
      <c r="AP41" s="143"/>
      <c r="AQ41" s="143"/>
      <c r="AR41" s="143"/>
      <c r="AS41" s="146"/>
      <c r="AT41" s="621">
        <f t="shared" si="17"/>
        <v>0</v>
      </c>
      <c r="AU41" s="1553">
        <v>1726.9</v>
      </c>
      <c r="AV41" s="1690">
        <v>1904</v>
      </c>
      <c r="AW41" s="1690"/>
      <c r="AX41" s="1690"/>
      <c r="AY41" s="1690"/>
      <c r="AZ41" s="1688"/>
      <c r="BA41" s="1553">
        <v>2529.4</v>
      </c>
      <c r="BB41" s="1548"/>
      <c r="BC41" s="1548"/>
      <c r="BD41" s="1548"/>
      <c r="BE41" s="1546"/>
      <c r="BF41" s="222">
        <f t="shared" si="18"/>
        <v>0</v>
      </c>
      <c r="BG41" s="113">
        <f t="shared" si="19"/>
        <v>0</v>
      </c>
      <c r="BH41" s="3"/>
      <c r="BI41" s="113">
        <f t="shared" si="20"/>
        <v>0</v>
      </c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31">
        <v>25</v>
      </c>
      <c r="BV41" s="129"/>
      <c r="BW41" s="130">
        <f t="shared" si="21"/>
        <v>0</v>
      </c>
      <c r="BX41" s="3"/>
    </row>
    <row r="42" ht="14.25" customHeight="1">
      <c r="A42" s="3"/>
      <c r="B42" s="179">
        <v>46056</v>
      </c>
      <c r="C42" s="118">
        <f>6203.70-D42-0</f>
      </c>
      <c r="D42" s="119">
        <v>2362.4</v>
      </c>
      <c r="E42" s="120"/>
      <c r="F42" s="120"/>
      <c r="G42" s="147">
        <f t="shared" si="13"/>
        <v>0</v>
      </c>
      <c r="H42" s="144">
        <v>914.83</v>
      </c>
      <c r="I42" s="634">
        <v>257.7</v>
      </c>
      <c r="J42" s="143"/>
      <c r="K42" s="145">
        <v>805.39</v>
      </c>
      <c r="L42" s="143"/>
      <c r="M42" s="143"/>
      <c r="N42" s="143"/>
      <c r="O42" s="824"/>
      <c r="P42" s="143"/>
      <c r="Q42" s="143"/>
      <c r="R42" s="143"/>
      <c r="S42" s="143"/>
      <c r="T42" s="143"/>
      <c r="U42" s="103">
        <f t="shared" si="14"/>
        <v>0</v>
      </c>
      <c r="V42" s="136"/>
      <c r="W42" s="133"/>
      <c r="X42" s="820"/>
      <c r="Y42" s="824"/>
      <c r="Z42" s="824"/>
      <c r="AA42" s="143"/>
      <c r="AB42" s="143"/>
      <c r="AC42" s="143"/>
      <c r="AD42" s="143"/>
      <c r="AE42" s="143"/>
      <c r="AF42" s="143"/>
      <c r="AG42" s="143"/>
      <c r="AH42" s="143"/>
      <c r="AI42" s="143"/>
      <c r="AJ42" s="103">
        <f t="shared" si="15"/>
        <v>0</v>
      </c>
      <c r="AK42" s="119">
        <v>175.6</v>
      </c>
      <c r="AL42" s="226">
        <v>341.2</v>
      </c>
      <c r="AM42" s="123"/>
      <c r="AN42" s="105">
        <f t="shared" si="16"/>
        <v>0</v>
      </c>
      <c r="AO42" s="145">
        <v>84.44</v>
      </c>
      <c r="AP42" s="143"/>
      <c r="AQ42" s="143"/>
      <c r="AR42" s="143"/>
      <c r="AS42" s="146"/>
      <c r="AT42" s="621">
        <f t="shared" si="17"/>
        <v>0</v>
      </c>
      <c r="AU42" s="1553">
        <v>1603.3</v>
      </c>
      <c r="AV42" s="1690"/>
      <c r="AW42" s="1690"/>
      <c r="AX42" s="1690"/>
      <c r="AY42" s="1690"/>
      <c r="AZ42" s="1688"/>
      <c r="BA42" s="1553">
        <v>2020.5</v>
      </c>
      <c r="BB42" s="1548"/>
      <c r="BC42" s="1548"/>
      <c r="BD42" s="1548"/>
      <c r="BE42" s="1546"/>
      <c r="BF42" s="222">
        <f t="shared" si="18"/>
        <v>0</v>
      </c>
      <c r="BG42" s="113">
        <f t="shared" si="19"/>
        <v>0</v>
      </c>
      <c r="BH42" s="3"/>
      <c r="BI42" s="113">
        <f t="shared" si="20"/>
        <v>0</v>
      </c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30">
        <f t="shared" si="21"/>
        <v>0</v>
      </c>
      <c r="BX42" s="3"/>
    </row>
    <row r="43" ht="14.25" customHeight="1">
      <c r="A43" s="3"/>
      <c r="B43" s="179">
        <v>46057</v>
      </c>
      <c r="C43" s="118">
        <f>5352.53-D43-0</f>
      </c>
      <c r="D43" s="119">
        <v>2494.5</v>
      </c>
      <c r="E43" s="120"/>
      <c r="F43" s="120"/>
      <c r="G43" s="147">
        <f t="shared" si="13"/>
        <v>0</v>
      </c>
      <c r="H43" s="144">
        <v>699.51</v>
      </c>
      <c r="I43" s="634">
        <v>320.94</v>
      </c>
      <c r="J43" s="143"/>
      <c r="K43" s="143"/>
      <c r="L43" s="143"/>
      <c r="M43" s="143"/>
      <c r="N43" s="143"/>
      <c r="O43" s="824"/>
      <c r="P43" s="143"/>
      <c r="Q43" s="143"/>
      <c r="R43" s="143"/>
      <c r="S43" s="143"/>
      <c r="T43" s="143"/>
      <c r="U43" s="103">
        <f t="shared" si="14"/>
        <v>0</v>
      </c>
      <c r="V43" s="136"/>
      <c r="W43" s="133"/>
      <c r="X43" s="820"/>
      <c r="Y43" s="824"/>
      <c r="Z43" s="824"/>
      <c r="AA43" s="143"/>
      <c r="AB43" s="143"/>
      <c r="AC43" s="143"/>
      <c r="AD43" s="143"/>
      <c r="AE43" s="143"/>
      <c r="AF43" s="143"/>
      <c r="AG43" s="143"/>
      <c r="AH43" s="143"/>
      <c r="AI43" s="143"/>
      <c r="AJ43" s="103">
        <f t="shared" si="15"/>
        <v>0</v>
      </c>
      <c r="AK43" s="119">
        <v>459.01</v>
      </c>
      <c r="AL43" s="119">
        <v>1045.2</v>
      </c>
      <c r="AM43" s="123"/>
      <c r="AN43" s="105">
        <f t="shared" si="16"/>
        <v>0</v>
      </c>
      <c r="AO43" s="145">
        <v>1.46</v>
      </c>
      <c r="AP43" s="143"/>
      <c r="AQ43" s="143"/>
      <c r="AR43" s="143"/>
      <c r="AS43" s="146"/>
      <c r="AT43" s="621">
        <f t="shared" si="17"/>
        <v>0</v>
      </c>
      <c r="AU43" s="1553">
        <v>1371.8</v>
      </c>
      <c r="AV43" s="1690"/>
      <c r="AW43" s="1690"/>
      <c r="AX43" s="1690"/>
      <c r="AY43" s="1690"/>
      <c r="AZ43" s="1688"/>
      <c r="BA43" s="1553">
        <v>1428.5</v>
      </c>
      <c r="BB43" s="1548"/>
      <c r="BC43" s="1548"/>
      <c r="BD43" s="1548"/>
      <c r="BE43" s="1546"/>
      <c r="BF43" s="222">
        <f t="shared" si="18"/>
        <v>0</v>
      </c>
      <c r="BG43" s="113">
        <f t="shared" si="19"/>
        <v>0</v>
      </c>
      <c r="BH43" s="3"/>
      <c r="BI43" s="113">
        <f t="shared" si="20"/>
        <v>0</v>
      </c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31">
        <v>25</v>
      </c>
      <c r="BV43" s="129"/>
      <c r="BW43" s="130">
        <f t="shared" si="21"/>
        <v>0</v>
      </c>
      <c r="BX43" s="3"/>
    </row>
    <row r="44" ht="14.25" customHeight="1">
      <c r="A44" s="3"/>
      <c r="B44" s="179">
        <v>46058</v>
      </c>
      <c r="C44" s="118">
        <f>7954.74-D44-0</f>
      </c>
      <c r="D44" s="119">
        <v>2335</v>
      </c>
      <c r="E44" s="120"/>
      <c r="F44" s="120"/>
      <c r="G44" s="147">
        <f t="shared" si="13"/>
        <v>0</v>
      </c>
      <c r="H44" s="144">
        <v>1595.91</v>
      </c>
      <c r="I44" s="634">
        <v>215.5</v>
      </c>
      <c r="J44" s="143"/>
      <c r="K44" s="145">
        <v>346.41</v>
      </c>
      <c r="L44" s="143"/>
      <c r="M44" s="143"/>
      <c r="N44" s="143"/>
      <c r="O44" s="824"/>
      <c r="P44" s="143"/>
      <c r="Q44" s="143"/>
      <c r="R44" s="143"/>
      <c r="S44" s="143"/>
      <c r="T44" s="143"/>
      <c r="U44" s="103">
        <f t="shared" si="14"/>
        <v>0</v>
      </c>
      <c r="V44" s="136"/>
      <c r="W44" s="133"/>
      <c r="X44" s="820"/>
      <c r="Y44" s="824"/>
      <c r="Z44" s="824"/>
      <c r="AA44" s="143"/>
      <c r="AB44" s="143"/>
      <c r="AC44" s="143"/>
      <c r="AD44" s="143"/>
      <c r="AE44" s="143"/>
      <c r="AF44" s="143"/>
      <c r="AG44" s="143"/>
      <c r="AH44" s="143"/>
      <c r="AI44" s="143"/>
      <c r="AJ44" s="103">
        <f t="shared" si="15"/>
        <v>0</v>
      </c>
      <c r="AK44" s="119">
        <v>1922.29</v>
      </c>
      <c r="AL44" s="119">
        <v>412.5</v>
      </c>
      <c r="AM44" s="123"/>
      <c r="AN44" s="105">
        <f t="shared" si="16"/>
        <v>0</v>
      </c>
      <c r="AO44" s="145">
        <v>36.31</v>
      </c>
      <c r="AP44" s="143"/>
      <c r="AQ44" s="143"/>
      <c r="AR44" s="143"/>
      <c r="AS44" s="149">
        <v>5.43</v>
      </c>
      <c r="AT44" s="621">
        <f t="shared" si="17"/>
        <v>0</v>
      </c>
      <c r="AU44" s="1553">
        <v>1497.8</v>
      </c>
      <c r="AV44" s="1690"/>
      <c r="AW44" s="1690"/>
      <c r="AX44" s="1690"/>
      <c r="AY44" s="1690"/>
      <c r="AZ44" s="1688"/>
      <c r="BA44" s="1553">
        <v>1921.9</v>
      </c>
      <c r="BB44" s="1548"/>
      <c r="BC44" s="1548"/>
      <c r="BD44" s="1548"/>
      <c r="BE44" s="1546"/>
      <c r="BF44" s="222">
        <f t="shared" si="18"/>
        <v>0</v>
      </c>
      <c r="BG44" s="113">
        <f t="shared" si="19"/>
        <v>0</v>
      </c>
      <c r="BH44" s="3"/>
      <c r="BI44" s="113">
        <f t="shared" si="20"/>
        <v>0</v>
      </c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30">
        <f t="shared" si="21"/>
        <v>0</v>
      </c>
      <c r="BX44" s="3"/>
    </row>
    <row r="45" ht="15.75" customHeight="1">
      <c r="A45" s="132"/>
      <c r="B45" s="179">
        <v>46059</v>
      </c>
      <c r="C45" s="133">
        <f>9934.13-D45-0</f>
      </c>
      <c r="D45" s="134">
        <v>2956.2</v>
      </c>
      <c r="E45" s="135"/>
      <c r="F45" s="135"/>
      <c r="G45" s="147">
        <f t="shared" si="13"/>
        <v>0</v>
      </c>
      <c r="H45" s="144">
        <v>714.71</v>
      </c>
      <c r="I45" s="633">
        <v>555.36</v>
      </c>
      <c r="J45" s="143"/>
      <c r="K45" s="143"/>
      <c r="L45" s="143"/>
      <c r="M45" s="143"/>
      <c r="N45" s="143"/>
      <c r="O45" s="136"/>
      <c r="P45" s="143"/>
      <c r="Q45" s="143"/>
      <c r="R45" s="143"/>
      <c r="S45" s="143"/>
      <c r="T45" s="143"/>
      <c r="U45" s="103">
        <f t="shared" si="14"/>
        <v>0</v>
      </c>
      <c r="V45" s="136"/>
      <c r="W45" s="132"/>
      <c r="X45" s="132"/>
      <c r="Y45" s="132"/>
      <c r="Z45" s="136"/>
      <c r="AA45" s="143"/>
      <c r="AB45" s="143"/>
      <c r="AC45" s="143"/>
      <c r="AD45" s="143"/>
      <c r="AE45" s="143"/>
      <c r="AF45" s="143"/>
      <c r="AG45" s="143"/>
      <c r="AH45" s="143"/>
      <c r="AI45" s="143"/>
      <c r="AJ45" s="103">
        <f t="shared" si="15"/>
        <v>0</v>
      </c>
      <c r="AK45" s="134">
        <v>847.27</v>
      </c>
      <c r="AL45" s="134">
        <v>647.8</v>
      </c>
      <c r="AM45" s="136"/>
      <c r="AN45" s="105">
        <f t="shared" si="16"/>
        <v>0</v>
      </c>
      <c r="AO45" s="145">
        <v>14</v>
      </c>
      <c r="AP45" s="143"/>
      <c r="AQ45" s="143"/>
      <c r="AR45" s="143"/>
      <c r="AS45" s="146"/>
      <c r="AT45" s="621">
        <f t="shared" si="17"/>
        <v>0</v>
      </c>
      <c r="AU45" s="1553">
        <v>2917.6</v>
      </c>
      <c r="AV45" s="1690">
        <v>1904</v>
      </c>
      <c r="AW45" s="1690"/>
      <c r="AX45" s="1690"/>
      <c r="AY45" s="1690"/>
      <c r="AZ45" s="1688"/>
      <c r="BA45" s="1553">
        <v>2304</v>
      </c>
      <c r="BB45" s="1548"/>
      <c r="BC45" s="1548"/>
      <c r="BD45" s="1548"/>
      <c r="BE45" s="1546"/>
      <c r="BF45" s="222">
        <f t="shared" si="18"/>
        <v>0</v>
      </c>
      <c r="BG45" s="140">
        <f t="shared" si="19"/>
        <v>0</v>
      </c>
      <c r="BH45" s="132"/>
      <c r="BI45" s="140">
        <f t="shared" si="20"/>
        <v>0</v>
      </c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50">
        <v>25</v>
      </c>
      <c r="BV45" s="141"/>
      <c r="BW45" s="130">
        <f t="shared" si="21"/>
        <v>0</v>
      </c>
      <c r="BX45" s="132"/>
    </row>
    <row r="46" ht="14.25" customHeight="1">
      <c r="A46" s="132"/>
      <c r="B46" s="179">
        <v>46060</v>
      </c>
      <c r="C46" s="133">
        <f>8084.55-D46-0</f>
      </c>
      <c r="D46" s="134">
        <v>3223.9</v>
      </c>
      <c r="E46" s="135"/>
      <c r="F46" s="135"/>
      <c r="G46" s="147">
        <f t="shared" si="13"/>
        <v>0</v>
      </c>
      <c r="H46" s="199">
        <v>21.5</v>
      </c>
      <c r="I46" s="633"/>
      <c r="J46" s="143"/>
      <c r="K46" s="145">
        <v>349.21</v>
      </c>
      <c r="L46" s="143"/>
      <c r="M46" s="143"/>
      <c r="N46" s="143"/>
      <c r="O46" s="122"/>
      <c r="P46" s="143"/>
      <c r="Q46" s="143"/>
      <c r="R46" s="143"/>
      <c r="S46" s="143"/>
      <c r="T46" s="143"/>
      <c r="U46" s="103">
        <f t="shared" si="14"/>
        <v>0</v>
      </c>
      <c r="V46" s="136"/>
      <c r="W46" s="133"/>
      <c r="X46" s="133"/>
      <c r="Y46" s="122"/>
      <c r="Z46" s="122"/>
      <c r="AA46" s="143"/>
      <c r="AB46" s="143"/>
      <c r="AC46" s="143"/>
      <c r="AD46" s="143"/>
      <c r="AE46" s="143"/>
      <c r="AF46" s="143"/>
      <c r="AG46" s="143"/>
      <c r="AH46" s="143"/>
      <c r="AI46" s="143"/>
      <c r="AJ46" s="103">
        <f t="shared" si="15"/>
        <v>0</v>
      </c>
      <c r="AK46" s="134">
        <v>515.14</v>
      </c>
      <c r="AL46" s="134">
        <v>1132.5</v>
      </c>
      <c r="AM46" s="136"/>
      <c r="AN46" s="105">
        <f t="shared" si="16"/>
        <v>0</v>
      </c>
      <c r="AO46" s="145">
        <v>44.61</v>
      </c>
      <c r="AP46" s="143"/>
      <c r="AQ46" s="143"/>
      <c r="AR46" s="143"/>
      <c r="AS46" s="146">
        <v>0.2</v>
      </c>
      <c r="AT46" s="621">
        <f t="shared" si="17"/>
        <v>0</v>
      </c>
      <c r="AU46" s="1553">
        <v>3931</v>
      </c>
      <c r="AV46" s="1690"/>
      <c r="AW46" s="1690"/>
      <c r="AX46" s="1690"/>
      <c r="AY46" s="1690"/>
      <c r="AZ46" s="1688"/>
      <c r="BA46" s="1553">
        <v>2090.3</v>
      </c>
      <c r="BB46" s="1548"/>
      <c r="BC46" s="1548"/>
      <c r="BD46" s="1548"/>
      <c r="BE46" s="1546"/>
      <c r="BF46" s="222">
        <f t="shared" si="18"/>
        <v>0</v>
      </c>
      <c r="BG46" s="140">
        <f t="shared" si="19"/>
        <v>0</v>
      </c>
      <c r="BH46" s="132"/>
      <c r="BI46" s="140">
        <f t="shared" si="20"/>
        <v>0</v>
      </c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30">
        <f t="shared" si="21"/>
        <v>0</v>
      </c>
      <c r="BX46" s="132"/>
    </row>
    <row r="47" ht="14.25" customHeight="1">
      <c r="A47" s="132"/>
      <c r="B47" s="179">
        <v>46061</v>
      </c>
      <c r="C47" s="133">
        <f>6276.06-D47-0</f>
      </c>
      <c r="D47" s="134">
        <v>3089.3</v>
      </c>
      <c r="E47" s="135"/>
      <c r="F47" s="135"/>
      <c r="G47" s="147">
        <f t="shared" si="13"/>
        <v>0</v>
      </c>
      <c r="H47" s="199">
        <v>287.11</v>
      </c>
      <c r="I47" s="231"/>
      <c r="J47" s="143"/>
      <c r="K47" s="143"/>
      <c r="L47" s="143"/>
      <c r="M47" s="143"/>
      <c r="N47" s="143"/>
      <c r="O47" s="122"/>
      <c r="P47" s="143"/>
      <c r="Q47" s="143"/>
      <c r="R47" s="143"/>
      <c r="S47" s="143"/>
      <c r="T47" s="143"/>
      <c r="U47" s="103">
        <f t="shared" si="14"/>
        <v>0</v>
      </c>
      <c r="V47" s="136"/>
      <c r="W47" s="133"/>
      <c r="X47" s="133"/>
      <c r="Y47" s="122"/>
      <c r="Z47" s="122"/>
      <c r="AA47" s="143"/>
      <c r="AB47" s="143"/>
      <c r="AC47" s="143"/>
      <c r="AD47" s="143"/>
      <c r="AE47" s="143"/>
      <c r="AF47" s="143"/>
      <c r="AG47" s="143"/>
      <c r="AH47" s="143"/>
      <c r="AI47" s="143"/>
      <c r="AJ47" s="103">
        <f t="shared" si="15"/>
        <v>0</v>
      </c>
      <c r="AK47" s="134">
        <v>758.81</v>
      </c>
      <c r="AL47" s="134">
        <v>1138.1</v>
      </c>
      <c r="AM47" s="136"/>
      <c r="AN47" s="105">
        <f t="shared" si="16"/>
        <v>0</v>
      </c>
      <c r="AO47" s="143"/>
      <c r="AP47" s="143"/>
      <c r="AQ47" s="143"/>
      <c r="AR47" s="143"/>
      <c r="AS47" s="146">
        <v>0.19</v>
      </c>
      <c r="AT47" s="621">
        <f t="shared" si="17"/>
        <v>0</v>
      </c>
      <c r="AU47" s="1553">
        <v>2098.1</v>
      </c>
      <c r="AV47" s="1690"/>
      <c r="AW47" s="1690"/>
      <c r="AX47" s="1690"/>
      <c r="AY47" s="1690"/>
      <c r="AZ47" s="1688"/>
      <c r="BA47" s="1553">
        <v>1992.8</v>
      </c>
      <c r="BB47" s="1548"/>
      <c r="BC47" s="1548"/>
      <c r="BD47" s="1548"/>
      <c r="BE47" s="1546"/>
      <c r="BF47" s="222">
        <f t="shared" si="18"/>
        <v>0</v>
      </c>
      <c r="BG47" s="140">
        <f t="shared" si="19"/>
        <v>0</v>
      </c>
      <c r="BH47" s="132"/>
      <c r="BI47" s="140">
        <f t="shared" si="20"/>
        <v>0</v>
      </c>
      <c r="BJ47" s="141"/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30">
        <f t="shared" si="21"/>
        <v>0</v>
      </c>
      <c r="BX47" s="132"/>
    </row>
    <row r="48" ht="14.25" customHeight="1">
      <c r="A48" s="132"/>
      <c r="B48" s="179">
        <v>46062</v>
      </c>
      <c r="C48" s="133">
        <f>8109.21-D48-0</f>
      </c>
      <c r="D48" s="134">
        <v>2956.8</v>
      </c>
      <c r="E48" s="135"/>
      <c r="F48" s="135"/>
      <c r="G48" s="147">
        <f t="shared" si="13"/>
        <v>0</v>
      </c>
      <c r="H48" s="199">
        <v>882.8</v>
      </c>
      <c r="I48" s="634">
        <v>296.48</v>
      </c>
      <c r="J48" s="143"/>
      <c r="K48" s="143"/>
      <c r="L48" s="143"/>
      <c r="M48" s="143"/>
      <c r="N48" s="143"/>
      <c r="O48" s="122"/>
      <c r="P48" s="143"/>
      <c r="Q48" s="143"/>
      <c r="R48" s="143"/>
      <c r="S48" s="143"/>
      <c r="T48" s="143"/>
      <c r="U48" s="103">
        <f t="shared" si="14"/>
        <v>0</v>
      </c>
      <c r="V48" s="99"/>
      <c r="W48" s="99"/>
      <c r="X48" s="99"/>
      <c r="Y48" s="122"/>
      <c r="Z48" s="122"/>
      <c r="AA48" s="143"/>
      <c r="AB48" s="143"/>
      <c r="AC48" s="143"/>
      <c r="AD48" s="143"/>
      <c r="AE48" s="143"/>
      <c r="AF48" s="143"/>
      <c r="AG48" s="143"/>
      <c r="AH48" s="143"/>
      <c r="AI48" s="143"/>
      <c r="AJ48" s="103">
        <f t="shared" si="15"/>
        <v>0</v>
      </c>
      <c r="AK48" s="134">
        <v>1309.45</v>
      </c>
      <c r="AL48" s="134">
        <v>890.3</v>
      </c>
      <c r="AM48" s="136"/>
      <c r="AN48" s="105">
        <f t="shared" si="16"/>
        <v>0</v>
      </c>
      <c r="AO48" s="143"/>
      <c r="AP48" s="143"/>
      <c r="AQ48" s="143"/>
      <c r="AR48" s="143"/>
      <c r="AS48" s="146"/>
      <c r="AT48" s="621">
        <f t="shared" si="17"/>
        <v>0</v>
      </c>
      <c r="AU48" s="1553">
        <v>2663.7</v>
      </c>
      <c r="AV48" s="1690"/>
      <c r="AW48" s="1690"/>
      <c r="AX48" s="1690"/>
      <c r="AY48" s="1690"/>
      <c r="AZ48" s="1688"/>
      <c r="BA48" s="1553">
        <v>2064.7</v>
      </c>
      <c r="BB48" s="1548"/>
      <c r="BC48" s="1548"/>
      <c r="BD48" s="1548"/>
      <c r="BE48" s="1546"/>
      <c r="BF48" s="222">
        <f t="shared" si="18"/>
        <v>0</v>
      </c>
      <c r="BG48" s="140">
        <f t="shared" si="19"/>
        <v>0</v>
      </c>
      <c r="BH48" s="132"/>
      <c r="BI48" s="140">
        <f t="shared" si="20"/>
        <v>0</v>
      </c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30">
        <f t="shared" si="21"/>
        <v>0</v>
      </c>
      <c r="BX48" s="132"/>
    </row>
    <row r="49" ht="14.25" customHeight="1">
      <c r="A49" s="132"/>
      <c r="B49" s="179">
        <v>46063</v>
      </c>
      <c r="C49" s="133">
        <f>10564.41-D49-0</f>
      </c>
      <c r="D49" s="134">
        <v>3147.5</v>
      </c>
      <c r="E49" s="135"/>
      <c r="F49" s="135"/>
      <c r="G49" s="147">
        <f t="shared" si="13"/>
        <v>0</v>
      </c>
      <c r="H49" s="144">
        <v>1864.41</v>
      </c>
      <c r="I49" s="634">
        <v>485.13</v>
      </c>
      <c r="J49" s="143"/>
      <c r="K49" s="145">
        <v>349.38</v>
      </c>
      <c r="L49" s="143"/>
      <c r="M49" s="143"/>
      <c r="N49" s="143"/>
      <c r="O49" s="122"/>
      <c r="P49" s="143"/>
      <c r="Q49" s="143"/>
      <c r="R49" s="143"/>
      <c r="S49" s="143"/>
      <c r="T49" s="143"/>
      <c r="U49" s="103">
        <f t="shared" si="14"/>
        <v>0</v>
      </c>
      <c r="V49" s="136"/>
      <c r="W49" s="133"/>
      <c r="X49" s="133"/>
      <c r="Y49" s="122"/>
      <c r="Z49" s="122"/>
      <c r="AA49" s="143"/>
      <c r="AB49" s="143"/>
      <c r="AC49" s="143"/>
      <c r="AD49" s="143"/>
      <c r="AE49" s="143"/>
      <c r="AF49" s="143"/>
      <c r="AG49" s="143"/>
      <c r="AH49" s="143"/>
      <c r="AI49" s="143"/>
      <c r="AJ49" s="103">
        <f t="shared" si="15"/>
        <v>0</v>
      </c>
      <c r="AK49" s="134">
        <v>1105.91</v>
      </c>
      <c r="AL49" s="134">
        <v>800.8</v>
      </c>
      <c r="AM49" s="136"/>
      <c r="AN49" s="105">
        <f t="shared" si="16"/>
        <v>0</v>
      </c>
      <c r="AO49" s="145">
        <v>44.43</v>
      </c>
      <c r="AP49" s="143"/>
      <c r="AQ49" s="143"/>
      <c r="AR49" s="143"/>
      <c r="AS49" s="146"/>
      <c r="AT49" s="621">
        <f t="shared" si="17"/>
        <v>0</v>
      </c>
      <c r="AU49" s="1553">
        <v>941.8</v>
      </c>
      <c r="AV49" s="1690">
        <v>1060.8</v>
      </c>
      <c r="AW49" s="1690"/>
      <c r="AX49" s="1690"/>
      <c r="AY49" s="1690"/>
      <c r="AZ49" s="1688"/>
      <c r="BA49" s="1553">
        <v>2344.7</v>
      </c>
      <c r="BB49" s="1548"/>
      <c r="BC49" s="1548"/>
      <c r="BD49" s="1548"/>
      <c r="BE49" s="1546"/>
      <c r="BF49" s="222">
        <f t="shared" si="18"/>
        <v>0</v>
      </c>
      <c r="BG49" s="140">
        <f t="shared" si="19"/>
        <v>0</v>
      </c>
      <c r="BH49" s="132"/>
      <c r="BI49" s="140">
        <f t="shared" si="20"/>
        <v>0</v>
      </c>
      <c r="BJ49" s="141"/>
      <c r="BK49" s="141"/>
      <c r="BL49" s="141"/>
      <c r="BM49" s="141"/>
      <c r="BN49" s="141"/>
      <c r="BO49" s="141"/>
      <c r="BP49" s="141"/>
      <c r="BQ49" s="141"/>
      <c r="BR49" s="141"/>
      <c r="BS49" s="141"/>
      <c r="BT49" s="150"/>
      <c r="BU49" s="141">
        <v>1565</v>
      </c>
      <c r="BV49" s="141"/>
      <c r="BW49" s="130">
        <f t="shared" si="21"/>
        <v>0</v>
      </c>
      <c r="BX49" s="132"/>
    </row>
    <row r="50" ht="14.25" customHeight="1">
      <c r="A50" s="132"/>
      <c r="B50" s="179">
        <v>46064</v>
      </c>
      <c r="C50" s="133">
        <f>9954.83-D50-0</f>
      </c>
      <c r="D50" s="134">
        <v>2624.8</v>
      </c>
      <c r="E50" s="135"/>
      <c r="F50" s="135"/>
      <c r="G50" s="147">
        <f t="shared" si="13"/>
        <v>0</v>
      </c>
      <c r="H50" s="144">
        <v>1261.18</v>
      </c>
      <c r="I50" s="231"/>
      <c r="J50" s="143"/>
      <c r="K50" s="145">
        <v>695.85</v>
      </c>
      <c r="L50" s="143"/>
      <c r="M50" s="143"/>
      <c r="N50" s="143"/>
      <c r="O50" s="122"/>
      <c r="P50" s="143"/>
      <c r="Q50" s="143"/>
      <c r="R50" s="143"/>
      <c r="S50" s="143"/>
      <c r="T50" s="143"/>
      <c r="U50" s="103">
        <f t="shared" si="14"/>
        <v>0</v>
      </c>
      <c r="V50" s="136"/>
      <c r="W50" s="230">
        <v>809.4</v>
      </c>
      <c r="X50" s="133"/>
      <c r="Y50" s="122"/>
      <c r="Z50" s="122"/>
      <c r="AA50" s="143"/>
      <c r="AB50" s="143"/>
      <c r="AC50" s="143"/>
      <c r="AD50" s="143"/>
      <c r="AE50" s="143"/>
      <c r="AF50" s="143"/>
      <c r="AG50" s="143"/>
      <c r="AH50" s="143"/>
      <c r="AI50" s="143"/>
      <c r="AJ50" s="103">
        <f t="shared" si="15"/>
        <v>0</v>
      </c>
      <c r="AK50" s="134">
        <v>861.14</v>
      </c>
      <c r="AL50" s="134">
        <v>766</v>
      </c>
      <c r="AM50" s="136"/>
      <c r="AN50" s="105">
        <f t="shared" si="16"/>
        <v>0</v>
      </c>
      <c r="AO50" s="145">
        <v>86.95</v>
      </c>
      <c r="AP50" s="143"/>
      <c r="AQ50" s="143"/>
      <c r="AR50" s="143"/>
      <c r="AS50" s="146"/>
      <c r="AT50" s="621">
        <f t="shared" si="17"/>
        <v>0</v>
      </c>
      <c r="AU50" s="1553">
        <v>1686.6</v>
      </c>
      <c r="AV50" s="1690">
        <v>1904</v>
      </c>
      <c r="AW50" s="1690"/>
      <c r="AX50" s="1690"/>
      <c r="AY50" s="1690"/>
      <c r="AZ50" s="1688"/>
      <c r="BA50" s="1553">
        <v>1857.7</v>
      </c>
      <c r="BB50" s="1548"/>
      <c r="BC50" s="1548"/>
      <c r="BD50" s="1548"/>
      <c r="BE50" s="1546"/>
      <c r="BF50" s="222">
        <f t="shared" si="18"/>
        <v>0</v>
      </c>
      <c r="BG50" s="140">
        <f t="shared" si="19"/>
        <v>0</v>
      </c>
      <c r="BH50" s="132"/>
      <c r="BI50" s="140">
        <f t="shared" si="20"/>
        <v>0</v>
      </c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50">
        <v>25</v>
      </c>
      <c r="BV50" s="141"/>
      <c r="BW50" s="130">
        <f t="shared" si="21"/>
        <v>0</v>
      </c>
      <c r="BX50" s="132"/>
    </row>
    <row r="51" ht="12.75" customHeight="1">
      <c r="A51" s="132"/>
      <c r="B51" s="179">
        <v>46065</v>
      </c>
      <c r="C51" s="133">
        <f>8078.48-D51-0</f>
      </c>
      <c r="D51" s="134">
        <v>2592.8</v>
      </c>
      <c r="E51" s="135"/>
      <c r="F51" s="135"/>
      <c r="G51" s="147">
        <f t="shared" si="13"/>
        <v>0</v>
      </c>
      <c r="H51" s="199">
        <v>1757.59</v>
      </c>
      <c r="I51" s="633"/>
      <c r="J51" s="143"/>
      <c r="K51" s="143"/>
      <c r="L51" s="143"/>
      <c r="M51" s="143"/>
      <c r="N51" s="143"/>
      <c r="O51" s="133"/>
      <c r="P51" s="143"/>
      <c r="Q51" s="143"/>
      <c r="R51" s="143"/>
      <c r="S51" s="143"/>
      <c r="T51" s="143"/>
      <c r="U51" s="103">
        <f t="shared" si="14"/>
        <v>0</v>
      </c>
      <c r="V51" s="136"/>
      <c r="W51" s="136"/>
      <c r="X51" s="136"/>
      <c r="Y51" s="133"/>
      <c r="Z51" s="133"/>
      <c r="AA51" s="143"/>
      <c r="AB51" s="143"/>
      <c r="AC51" s="143"/>
      <c r="AD51" s="143"/>
      <c r="AE51" s="143"/>
      <c r="AF51" s="143"/>
      <c r="AG51" s="143"/>
      <c r="AH51" s="143"/>
      <c r="AI51" s="143"/>
      <c r="AJ51" s="103">
        <f t="shared" si="15"/>
        <v>0</v>
      </c>
      <c r="AK51" s="134">
        <v>1147.92</v>
      </c>
      <c r="AL51" s="134">
        <v>454.6</v>
      </c>
      <c r="AM51" s="136"/>
      <c r="AN51" s="105">
        <f t="shared" si="16"/>
        <v>0</v>
      </c>
      <c r="AO51" s="145"/>
      <c r="AP51" s="143"/>
      <c r="AQ51" s="143"/>
      <c r="AR51" s="143"/>
      <c r="AS51" s="146"/>
      <c r="AT51" s="621">
        <f t="shared" si="17"/>
        <v>0</v>
      </c>
      <c r="AU51" s="1553">
        <v>2578.8</v>
      </c>
      <c r="AV51" s="1690"/>
      <c r="AW51" s="1690"/>
      <c r="AX51" s="1690"/>
      <c r="AY51" s="1690"/>
      <c r="AZ51" s="1688"/>
      <c r="BA51" s="1553">
        <v>2139.7</v>
      </c>
      <c r="BB51" s="1548"/>
      <c r="BC51" s="1548"/>
      <c r="BD51" s="1548"/>
      <c r="BE51" s="1546"/>
      <c r="BF51" s="222">
        <f t="shared" si="18"/>
        <v>0</v>
      </c>
      <c r="BG51" s="140">
        <f t="shared" si="19"/>
        <v>0</v>
      </c>
      <c r="BH51" s="132"/>
      <c r="BI51" s="140">
        <f t="shared" si="20"/>
        <v>0</v>
      </c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41"/>
      <c r="BW51" s="130">
        <f t="shared" si="21"/>
        <v>0</v>
      </c>
      <c r="BX51" s="132"/>
    </row>
    <row r="52" ht="14.25" customHeight="1">
      <c r="A52" s="132"/>
      <c r="B52" s="179">
        <v>46066</v>
      </c>
      <c r="C52" s="133">
        <f>10851.11-D52-0</f>
      </c>
      <c r="D52" s="134">
        <v>3744.4</v>
      </c>
      <c r="E52" s="135"/>
      <c r="F52" s="135"/>
      <c r="G52" s="147">
        <f t="shared" si="13"/>
        <v>0</v>
      </c>
      <c r="H52" s="199">
        <v>503.05</v>
      </c>
      <c r="I52" s="634">
        <v>365.8</v>
      </c>
      <c r="J52" s="143"/>
      <c r="K52" s="145">
        <v>382.32</v>
      </c>
      <c r="L52" s="143"/>
      <c r="M52" s="143"/>
      <c r="N52" s="143"/>
      <c r="O52" s="122"/>
      <c r="P52" s="143"/>
      <c r="Q52" s="143"/>
      <c r="R52" s="143"/>
      <c r="S52" s="143"/>
      <c r="T52" s="143"/>
      <c r="U52" s="103">
        <f t="shared" si="14"/>
        <v>0</v>
      </c>
      <c r="V52" s="136"/>
      <c r="W52" s="136"/>
      <c r="X52" s="136"/>
      <c r="Y52" s="122"/>
      <c r="Z52" s="122"/>
      <c r="AA52" s="143"/>
      <c r="AB52" s="143"/>
      <c r="AC52" s="143"/>
      <c r="AD52" s="143"/>
      <c r="AE52" s="143"/>
      <c r="AF52" s="143"/>
      <c r="AG52" s="143"/>
      <c r="AH52" s="143"/>
      <c r="AI52" s="143"/>
      <c r="AJ52" s="103">
        <f t="shared" si="15"/>
        <v>0</v>
      </c>
      <c r="AK52" s="134">
        <v>1577.37</v>
      </c>
      <c r="AL52" s="134">
        <v>1143.6</v>
      </c>
      <c r="AM52" s="136"/>
      <c r="AN52" s="105">
        <f t="shared" si="16"/>
        <v>0</v>
      </c>
      <c r="AO52" s="145">
        <v>54.08</v>
      </c>
      <c r="AP52" s="143"/>
      <c r="AQ52" s="143"/>
      <c r="AR52" s="143"/>
      <c r="AS52" s="146"/>
      <c r="AT52" s="621">
        <f t="shared" si="17"/>
        <v>0</v>
      </c>
      <c r="AU52" s="1553">
        <v>2295</v>
      </c>
      <c r="AV52" s="1690">
        <v>1904</v>
      </c>
      <c r="AW52" s="1690"/>
      <c r="AX52" s="1690"/>
      <c r="AY52" s="1690"/>
      <c r="AZ52" s="1688"/>
      <c r="BA52" s="1553">
        <v>2600.8</v>
      </c>
      <c r="BB52" s="1548"/>
      <c r="BC52" s="1548"/>
      <c r="BD52" s="1548"/>
      <c r="BE52" s="1546"/>
      <c r="BF52" s="222">
        <f t="shared" si="18"/>
        <v>0</v>
      </c>
      <c r="BG52" s="140">
        <f t="shared" si="19"/>
        <v>0</v>
      </c>
      <c r="BH52" s="132"/>
      <c r="BI52" s="140">
        <f t="shared" si="20"/>
        <v>0</v>
      </c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50">
        <v>25</v>
      </c>
      <c r="BV52" s="141"/>
      <c r="BW52" s="130">
        <f t="shared" si="21"/>
        <v>0</v>
      </c>
      <c r="BX52" s="132"/>
    </row>
    <row r="53" ht="14.25" customHeight="1">
      <c r="A53" s="132"/>
      <c r="B53" s="179">
        <v>46067</v>
      </c>
      <c r="C53" s="133">
        <f>7685.23-D53-0</f>
      </c>
      <c r="D53" s="134">
        <v>3839</v>
      </c>
      <c r="E53" s="135"/>
      <c r="F53" s="135"/>
      <c r="G53" s="147">
        <f t="shared" si="13"/>
        <v>0</v>
      </c>
      <c r="H53" s="199">
        <v>309</v>
      </c>
      <c r="I53" s="633"/>
      <c r="J53" s="143"/>
      <c r="K53" s="145">
        <v>710.15</v>
      </c>
      <c r="L53" s="143"/>
      <c r="M53" s="140"/>
      <c r="N53" s="143"/>
      <c r="O53" s="122"/>
      <c r="P53" s="143"/>
      <c r="Q53" s="143"/>
      <c r="R53" s="143"/>
      <c r="S53" s="143"/>
      <c r="T53" s="143"/>
      <c r="U53" s="103">
        <f t="shared" si="14"/>
        <v>0</v>
      </c>
      <c r="V53" s="136"/>
      <c r="W53" s="136"/>
      <c r="X53" s="136"/>
      <c r="Y53" s="122"/>
      <c r="Z53" s="122"/>
      <c r="AA53" s="143"/>
      <c r="AB53" s="143"/>
      <c r="AC53" s="143"/>
      <c r="AD53" s="143"/>
      <c r="AE53" s="143"/>
      <c r="AF53" s="143"/>
      <c r="AG53" s="143"/>
      <c r="AH53" s="143"/>
      <c r="AI53" s="143"/>
      <c r="AJ53" s="103">
        <f t="shared" si="15"/>
        <v>0</v>
      </c>
      <c r="AK53" s="134">
        <v>796.71</v>
      </c>
      <c r="AL53" s="134">
        <v>1110</v>
      </c>
      <c r="AM53" s="136"/>
      <c r="AN53" s="105">
        <f t="shared" si="16"/>
        <v>0</v>
      </c>
      <c r="AO53" s="145">
        <v>74.45</v>
      </c>
      <c r="AP53" s="143"/>
      <c r="AQ53" s="143"/>
      <c r="AR53" s="143"/>
      <c r="AS53" s="146">
        <v>2.35</v>
      </c>
      <c r="AT53" s="621">
        <f t="shared" si="17"/>
        <v>0</v>
      </c>
      <c r="AU53" s="1553">
        <v>1953.5</v>
      </c>
      <c r="AV53" s="1690"/>
      <c r="AW53" s="1690"/>
      <c r="AX53" s="1690"/>
      <c r="AY53" s="1690"/>
      <c r="AZ53" s="1688"/>
      <c r="BA53" s="1553">
        <v>2729</v>
      </c>
      <c r="BB53" s="1548"/>
      <c r="BC53" s="1548"/>
      <c r="BD53" s="1548"/>
      <c r="BE53" s="1546"/>
      <c r="BF53" s="222">
        <f t="shared" si="18"/>
        <v>0</v>
      </c>
      <c r="BG53" s="140">
        <f t="shared" si="19"/>
        <v>0</v>
      </c>
      <c r="BH53" s="132"/>
      <c r="BI53" s="140">
        <f t="shared" si="20"/>
        <v>0</v>
      </c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30">
        <f t="shared" si="21"/>
        <v>0</v>
      </c>
      <c r="BX53" s="132"/>
    </row>
    <row r="54" ht="14.25" customHeight="1">
      <c r="A54" s="132"/>
      <c r="B54" s="179">
        <v>46068</v>
      </c>
      <c r="C54" s="133">
        <f>7482.94-D54-0</f>
      </c>
      <c r="D54" s="134">
        <v>3623.7</v>
      </c>
      <c r="E54" s="135"/>
      <c r="F54" s="135"/>
      <c r="G54" s="147">
        <f t="shared" si="13"/>
        <v>0</v>
      </c>
      <c r="H54" s="144"/>
      <c r="I54" s="633"/>
      <c r="J54" s="143"/>
      <c r="K54" s="143"/>
      <c r="L54" s="145">
        <v>232.22</v>
      </c>
      <c r="M54" s="143"/>
      <c r="N54" s="143"/>
      <c r="O54" s="122"/>
      <c r="P54" s="143"/>
      <c r="Q54" s="143"/>
      <c r="R54" s="143"/>
      <c r="S54" s="143"/>
      <c r="T54" s="143"/>
      <c r="U54" s="103">
        <f t="shared" si="14"/>
        <v>0</v>
      </c>
      <c r="V54" s="136"/>
      <c r="W54" s="136"/>
      <c r="X54" s="136"/>
      <c r="Y54" s="122"/>
      <c r="Z54" s="122"/>
      <c r="AA54" s="143"/>
      <c r="AB54" s="143"/>
      <c r="AC54" s="143"/>
      <c r="AD54" s="143"/>
      <c r="AE54" s="143"/>
      <c r="AF54" s="143"/>
      <c r="AG54" s="143"/>
      <c r="AH54" s="143"/>
      <c r="AI54" s="143"/>
      <c r="AJ54" s="103">
        <f t="shared" si="15"/>
        <v>0</v>
      </c>
      <c r="AK54" s="134">
        <v>638.42</v>
      </c>
      <c r="AL54" s="134">
        <v>1139.9</v>
      </c>
      <c r="AM54" s="136"/>
      <c r="AN54" s="105">
        <f t="shared" si="16"/>
        <v>0</v>
      </c>
      <c r="AO54" s="145">
        <v>7.16</v>
      </c>
      <c r="AP54" s="143"/>
      <c r="AQ54" s="143"/>
      <c r="AR54" s="143"/>
      <c r="AS54" s="149">
        <v>3.2</v>
      </c>
      <c r="AT54" s="621">
        <f t="shared" si="17"/>
        <v>0</v>
      </c>
      <c r="AU54" s="1553">
        <v>2981.5</v>
      </c>
      <c r="AV54" s="1690"/>
      <c r="AW54" s="1690"/>
      <c r="AX54" s="1690"/>
      <c r="AY54" s="1690"/>
      <c r="AZ54" s="1688"/>
      <c r="BA54" s="1553">
        <v>2478.6</v>
      </c>
      <c r="BB54" s="1548"/>
      <c r="BC54" s="1548"/>
      <c r="BD54" s="1548"/>
      <c r="BE54" s="1546"/>
      <c r="BF54" s="222">
        <f t="shared" si="18"/>
        <v>0</v>
      </c>
      <c r="BG54" s="140">
        <f t="shared" si="19"/>
        <v>0</v>
      </c>
      <c r="BH54" s="132"/>
      <c r="BI54" s="140">
        <f t="shared" si="20"/>
        <v>0</v>
      </c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30">
        <f t="shared" si="21"/>
        <v>0</v>
      </c>
      <c r="BX54" s="132"/>
    </row>
    <row r="55" ht="14.25" customHeight="1">
      <c r="A55" s="132"/>
      <c r="B55" s="179">
        <v>46069</v>
      </c>
      <c r="C55" s="133">
        <f>9296.84-D55-0</f>
      </c>
      <c r="D55" s="134">
        <v>3439.1</v>
      </c>
      <c r="E55" s="135"/>
      <c r="F55" s="135"/>
      <c r="G55" s="147">
        <f t="shared" si="13"/>
        <v>0</v>
      </c>
      <c r="H55" s="144">
        <v>718.78</v>
      </c>
      <c r="I55" s="633"/>
      <c r="J55" s="143"/>
      <c r="K55" s="145">
        <v>396.49</v>
      </c>
      <c r="L55" s="143"/>
      <c r="M55" s="140"/>
      <c r="N55" s="143"/>
      <c r="O55" s="122"/>
      <c r="P55" s="143"/>
      <c r="Q55" s="143"/>
      <c r="R55" s="143"/>
      <c r="S55" s="143"/>
      <c r="T55" s="143"/>
      <c r="U55" s="103">
        <f t="shared" si="14"/>
        <v>0</v>
      </c>
      <c r="V55" s="134">
        <v>1628.08</v>
      </c>
      <c r="W55" s="136"/>
      <c r="X55" s="136"/>
      <c r="Y55" s="122"/>
      <c r="Z55" s="122"/>
      <c r="AA55" s="143"/>
      <c r="AB55" s="143"/>
      <c r="AC55" s="143"/>
      <c r="AD55" s="143"/>
      <c r="AE55" s="143"/>
      <c r="AF55" s="143"/>
      <c r="AG55" s="143"/>
      <c r="AH55" s="143"/>
      <c r="AI55" s="143"/>
      <c r="AJ55" s="103">
        <f t="shared" si="15"/>
        <v>0</v>
      </c>
      <c r="AK55" s="134">
        <v>490</v>
      </c>
      <c r="AL55" s="134">
        <v>1196.9</v>
      </c>
      <c r="AM55" s="136"/>
      <c r="AN55" s="105">
        <f t="shared" si="16"/>
        <v>0</v>
      </c>
      <c r="AO55" s="145">
        <v>12.92</v>
      </c>
      <c r="AP55" s="145">
        <v>3.39</v>
      </c>
      <c r="AQ55" s="143"/>
      <c r="AR55" s="143"/>
      <c r="AS55" s="146">
        <v>1.11</v>
      </c>
      <c r="AT55" s="621">
        <f t="shared" si="17"/>
        <v>0</v>
      </c>
      <c r="AU55" s="1553">
        <v>2594.1</v>
      </c>
      <c r="AV55" s="1690"/>
      <c r="AW55" s="1690"/>
      <c r="AX55" s="1690"/>
      <c r="AY55" s="1690"/>
      <c r="AZ55" s="1688"/>
      <c r="BA55" s="1553">
        <v>2237.3</v>
      </c>
      <c r="BB55" s="1548"/>
      <c r="BC55" s="1548"/>
      <c r="BD55" s="1548"/>
      <c r="BE55" s="1546"/>
      <c r="BF55" s="222">
        <f t="shared" si="18"/>
        <v>0</v>
      </c>
      <c r="BG55" s="140">
        <f t="shared" si="19"/>
        <v>0</v>
      </c>
      <c r="BH55" s="132"/>
      <c r="BI55" s="140">
        <f t="shared" si="20"/>
        <v>0</v>
      </c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50">
        <v>25</v>
      </c>
      <c r="BV55" s="141"/>
      <c r="BW55" s="130">
        <f t="shared" si="21"/>
        <v>0</v>
      </c>
      <c r="BX55" s="132"/>
    </row>
    <row r="56" ht="14.25" customHeight="1">
      <c r="A56" s="132"/>
      <c r="B56" s="179">
        <v>46070</v>
      </c>
      <c r="C56" s="133">
        <f>7823.95-D56-0</f>
      </c>
      <c r="D56" s="134">
        <v>2825</v>
      </c>
      <c r="E56" s="135"/>
      <c r="F56" s="135"/>
      <c r="G56" s="147">
        <f t="shared" si="13"/>
        <v>0</v>
      </c>
      <c r="H56" s="144">
        <v>298.99</v>
      </c>
      <c r="I56" s="646">
        <v>361.43</v>
      </c>
      <c r="J56" s="143"/>
      <c r="K56" s="143"/>
      <c r="L56" s="143"/>
      <c r="M56" s="140"/>
      <c r="N56" s="143"/>
      <c r="O56" s="122"/>
      <c r="P56" s="143"/>
      <c r="Q56" s="143"/>
      <c r="R56" s="143"/>
      <c r="S56" s="143"/>
      <c r="T56" s="143"/>
      <c r="U56" s="103">
        <f t="shared" si="14"/>
        <v>0</v>
      </c>
      <c r="V56" s="136"/>
      <c r="W56" s="133"/>
      <c r="X56" s="133"/>
      <c r="Y56" s="122"/>
      <c r="Z56" s="122"/>
      <c r="AA56" s="143"/>
      <c r="AB56" s="143"/>
      <c r="AC56" s="143"/>
      <c r="AD56" s="143"/>
      <c r="AE56" s="143"/>
      <c r="AF56" s="143"/>
      <c r="AG56" s="143"/>
      <c r="AH56" s="143"/>
      <c r="AI56" s="143"/>
      <c r="AJ56" s="103">
        <f t="shared" si="15"/>
        <v>0</v>
      </c>
      <c r="AK56" s="134">
        <v>3225.51</v>
      </c>
      <c r="AL56" s="134">
        <v>663.5</v>
      </c>
      <c r="AM56" s="136"/>
      <c r="AN56" s="105">
        <f t="shared" si="16"/>
        <v>0</v>
      </c>
      <c r="AO56" s="145">
        <v>14</v>
      </c>
      <c r="AP56" s="143"/>
      <c r="AQ56" s="143"/>
      <c r="AR56" s="143"/>
      <c r="AS56" s="146"/>
      <c r="AT56" s="621">
        <f t="shared" si="17"/>
        <v>0</v>
      </c>
      <c r="AU56" s="1553">
        <v>1099</v>
      </c>
      <c r="AV56" s="1690"/>
      <c r="AW56" s="1690"/>
      <c r="AX56" s="1690"/>
      <c r="AY56" s="1690"/>
      <c r="AZ56" s="1688"/>
      <c r="BA56" s="1553">
        <v>2160.7</v>
      </c>
      <c r="BB56" s="1548"/>
      <c r="BC56" s="1548"/>
      <c r="BD56" s="1548"/>
      <c r="BE56" s="1546"/>
      <c r="BF56" s="222">
        <f t="shared" si="18"/>
        <v>0</v>
      </c>
      <c r="BG56" s="140">
        <f t="shared" si="19"/>
        <v>0</v>
      </c>
      <c r="BH56" s="132"/>
      <c r="BI56" s="140">
        <f t="shared" si="20"/>
        <v>0</v>
      </c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30">
        <f t="shared" si="21"/>
        <v>0</v>
      </c>
      <c r="BX56" s="132"/>
    </row>
    <row r="57" ht="14.25" customHeight="1">
      <c r="A57" s="132"/>
      <c r="B57" s="179">
        <v>46071</v>
      </c>
      <c r="C57" s="133">
        <f>7418.25-D57-0</f>
      </c>
      <c r="D57" s="134">
        <v>3002.3</v>
      </c>
      <c r="E57" s="135"/>
      <c r="F57" s="135"/>
      <c r="G57" s="147">
        <f t="shared" si="13"/>
        <v>0</v>
      </c>
      <c r="H57" s="199">
        <v>1079.17</v>
      </c>
      <c r="I57" s="634">
        <v>77.51</v>
      </c>
      <c r="J57" s="143"/>
      <c r="K57" s="145">
        <v>444.61</v>
      </c>
      <c r="L57" s="143"/>
      <c r="M57" s="140"/>
      <c r="N57" s="143"/>
      <c r="O57" s="122"/>
      <c r="P57" s="143"/>
      <c r="Q57" s="143"/>
      <c r="R57" s="143"/>
      <c r="S57" s="143"/>
      <c r="T57" s="143"/>
      <c r="U57" s="103">
        <f t="shared" si="14"/>
        <v>0</v>
      </c>
      <c r="V57" s="136"/>
      <c r="W57" s="133"/>
      <c r="X57" s="133"/>
      <c r="Y57" s="122"/>
      <c r="Z57" s="122"/>
      <c r="AA57" s="143"/>
      <c r="AB57" s="143"/>
      <c r="AC57" s="143"/>
      <c r="AD57" s="143"/>
      <c r="AE57" s="143"/>
      <c r="AF57" s="143"/>
      <c r="AG57" s="143"/>
      <c r="AH57" s="143"/>
      <c r="AI57" s="143"/>
      <c r="AJ57" s="103">
        <f t="shared" si="15"/>
        <v>0</v>
      </c>
      <c r="AK57" s="134">
        <v>842.96</v>
      </c>
      <c r="AL57" s="134">
        <v>872</v>
      </c>
      <c r="AM57" s="136"/>
      <c r="AN57" s="105">
        <f t="shared" si="16"/>
        <v>0</v>
      </c>
      <c r="AO57" s="145">
        <v>46.62</v>
      </c>
      <c r="AP57" s="143"/>
      <c r="AQ57" s="143"/>
      <c r="AR57" s="143"/>
      <c r="AS57" s="146"/>
      <c r="AT57" s="621">
        <f t="shared" si="17"/>
        <v>0</v>
      </c>
      <c r="AU57" s="1553">
        <v>1900.1</v>
      </c>
      <c r="AV57" s="1690"/>
      <c r="AW57" s="1690"/>
      <c r="AX57" s="1690"/>
      <c r="AY57" s="1690"/>
      <c r="AZ57" s="1688"/>
      <c r="BA57" s="1553">
        <v>2129.1</v>
      </c>
      <c r="BB57" s="1548"/>
      <c r="BC57" s="1548"/>
      <c r="BD57" s="1548"/>
      <c r="BE57" s="1546"/>
      <c r="BF57" s="222">
        <f t="shared" si="18"/>
        <v>0</v>
      </c>
      <c r="BG57" s="140">
        <f t="shared" si="19"/>
        <v>0</v>
      </c>
      <c r="BH57" s="132"/>
      <c r="BI57" s="140">
        <f t="shared" si="20"/>
        <v>0</v>
      </c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50">
        <v>25</v>
      </c>
      <c r="BV57" s="141"/>
      <c r="BW57" s="130">
        <f t="shared" si="21"/>
        <v>0</v>
      </c>
      <c r="BX57" s="132"/>
    </row>
    <row r="58" ht="14.25" customHeight="1">
      <c r="A58" s="132"/>
      <c r="B58" s="179">
        <v>46072</v>
      </c>
      <c r="C58" s="133">
        <f>7765.44-D58-0</f>
      </c>
      <c r="D58" s="134">
        <v>2654</v>
      </c>
      <c r="E58" s="135"/>
      <c r="F58" s="135"/>
      <c r="G58" s="147">
        <f t="shared" si="13"/>
        <v>0</v>
      </c>
      <c r="H58" s="144">
        <v>1119.69</v>
      </c>
      <c r="I58" s="633"/>
      <c r="J58" s="143"/>
      <c r="K58" s="145">
        <v>350.19</v>
      </c>
      <c r="L58" s="143"/>
      <c r="M58" s="143"/>
      <c r="N58" s="143"/>
      <c r="O58" s="122"/>
      <c r="P58" s="143"/>
      <c r="Q58" s="143"/>
      <c r="R58" s="143"/>
      <c r="S58" s="143"/>
      <c r="T58" s="143"/>
      <c r="U58" s="103">
        <f t="shared" si="14"/>
        <v>0</v>
      </c>
      <c r="V58" s="143"/>
      <c r="W58" s="144"/>
      <c r="X58" s="133"/>
      <c r="Y58" s="122"/>
      <c r="Z58" s="122"/>
      <c r="AA58" s="143"/>
      <c r="AB58" s="143"/>
      <c r="AC58" s="143"/>
      <c r="AD58" s="143"/>
      <c r="AE58" s="143"/>
      <c r="AF58" s="143"/>
      <c r="AG58" s="143"/>
      <c r="AH58" s="143"/>
      <c r="AI58" s="143"/>
      <c r="AJ58" s="103">
        <f t="shared" si="15"/>
        <v>0</v>
      </c>
      <c r="AK58" s="134">
        <v>622.17</v>
      </c>
      <c r="AL58" s="134">
        <v>618.8</v>
      </c>
      <c r="AM58" s="136"/>
      <c r="AN58" s="105">
        <f t="shared" si="16"/>
        <v>0</v>
      </c>
      <c r="AO58" s="145">
        <v>44.43</v>
      </c>
      <c r="AP58" s="143"/>
      <c r="AQ58" s="143"/>
      <c r="AR58" s="143"/>
      <c r="AS58" s="146"/>
      <c r="AT58" s="621">
        <f t="shared" si="17"/>
        <v>0</v>
      </c>
      <c r="AU58" s="1553">
        <v>2974.9</v>
      </c>
      <c r="AV58" s="1690"/>
      <c r="AW58" s="1690"/>
      <c r="AX58" s="1690"/>
      <c r="AY58" s="1690"/>
      <c r="AZ58" s="1688"/>
      <c r="BA58" s="1553">
        <v>2033</v>
      </c>
      <c r="BB58" s="1548"/>
      <c r="BC58" s="1548"/>
      <c r="BD58" s="1548"/>
      <c r="BE58" s="1546"/>
      <c r="BF58" s="222">
        <f t="shared" si="18"/>
        <v>0</v>
      </c>
      <c r="BG58" s="140">
        <f t="shared" si="19"/>
        <v>0</v>
      </c>
      <c r="BH58" s="132"/>
      <c r="BI58" s="140">
        <f t="shared" si="20"/>
        <v>0</v>
      </c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30">
        <f t="shared" si="21"/>
        <v>0</v>
      </c>
      <c r="BX58" s="132"/>
    </row>
    <row r="59" ht="14.25" customHeight="1">
      <c r="A59" s="132"/>
      <c r="B59" s="179">
        <v>46073</v>
      </c>
      <c r="C59" s="133">
        <f>9292.43-D59-0</f>
      </c>
      <c r="D59" s="134">
        <v>3696.9</v>
      </c>
      <c r="E59" s="135"/>
      <c r="F59" s="135"/>
      <c r="G59" s="147">
        <f t="shared" si="13"/>
        <v>0</v>
      </c>
      <c r="H59" s="199">
        <v>806.95</v>
      </c>
      <c r="I59" s="633">
        <v>535.46</v>
      </c>
      <c r="J59" s="663"/>
      <c r="K59" s="143"/>
      <c r="L59" s="143"/>
      <c r="M59" s="143"/>
      <c r="N59" s="143"/>
      <c r="O59" s="136"/>
      <c r="P59" s="143"/>
      <c r="Q59" s="143"/>
      <c r="R59" s="143"/>
      <c r="S59" s="143"/>
      <c r="T59" s="143"/>
      <c r="U59" s="103">
        <f t="shared" si="14"/>
        <v>0</v>
      </c>
      <c r="V59" s="143"/>
      <c r="W59" s="143"/>
      <c r="X59" s="136"/>
      <c r="Y59" s="136"/>
      <c r="Z59" s="136"/>
      <c r="AA59" s="143"/>
      <c r="AB59" s="143"/>
      <c r="AC59" s="143"/>
      <c r="AD59" s="143"/>
      <c r="AE59" s="143"/>
      <c r="AF59" s="143"/>
      <c r="AG59" s="143"/>
      <c r="AH59" s="143"/>
      <c r="AI59" s="143"/>
      <c r="AJ59" s="103">
        <f t="shared" si="15"/>
        <v>0</v>
      </c>
      <c r="AK59" s="134">
        <v>470.01</v>
      </c>
      <c r="AL59" s="134">
        <v>737.5</v>
      </c>
      <c r="AM59" s="136"/>
      <c r="AN59" s="105">
        <f t="shared" si="16"/>
        <v>0</v>
      </c>
      <c r="AO59" s="145">
        <v>28</v>
      </c>
      <c r="AP59" s="143"/>
      <c r="AQ59" s="143"/>
      <c r="AR59" s="143"/>
      <c r="AS59" s="149">
        <v>2.69</v>
      </c>
      <c r="AT59" s="621">
        <f t="shared" si="17"/>
        <v>0</v>
      </c>
      <c r="AU59" s="1553">
        <v>1837.4</v>
      </c>
      <c r="AV59" s="1690">
        <v>1890</v>
      </c>
      <c r="AW59" s="1690"/>
      <c r="AX59" s="1690"/>
      <c r="AY59" s="1690"/>
      <c r="AZ59" s="1688"/>
      <c r="BA59" s="1553">
        <v>2955.8</v>
      </c>
      <c r="BB59" s="1548"/>
      <c r="BC59" s="1548"/>
      <c r="BD59" s="1548"/>
      <c r="BE59" s="1546"/>
      <c r="BF59" s="222">
        <f t="shared" si="18"/>
        <v>0</v>
      </c>
      <c r="BG59" s="140">
        <f t="shared" si="19"/>
        <v>0</v>
      </c>
      <c r="BH59" s="132"/>
      <c r="BI59" s="140">
        <f t="shared" si="20"/>
        <v>0</v>
      </c>
      <c r="BJ59" s="141"/>
      <c r="BK59" s="141"/>
      <c r="BL59" s="141"/>
      <c r="BM59" s="141"/>
      <c r="BN59" s="141"/>
      <c r="BO59" s="141"/>
      <c r="BP59" s="141"/>
      <c r="BQ59" s="141"/>
      <c r="BR59" s="152"/>
      <c r="BS59" s="141"/>
      <c r="BT59" s="141"/>
      <c r="BU59" s="150">
        <v>25</v>
      </c>
      <c r="BV59" s="141"/>
      <c r="BW59" s="130">
        <f t="shared" si="21"/>
        <v>0</v>
      </c>
      <c r="BX59" s="132"/>
    </row>
    <row r="60" ht="14.25" customHeight="1">
      <c r="A60" s="132"/>
      <c r="B60" s="179">
        <v>46074</v>
      </c>
      <c r="C60" s="133">
        <f>6477.20-D60-0</f>
      </c>
      <c r="D60" s="134">
        <v>3266.1</v>
      </c>
      <c r="E60" s="135"/>
      <c r="F60" s="135"/>
      <c r="G60" s="147">
        <f t="shared" si="13"/>
        <v>0</v>
      </c>
      <c r="H60" s="199">
        <v>355.19</v>
      </c>
      <c r="I60" s="633"/>
      <c r="J60" s="143"/>
      <c r="K60" s="143"/>
      <c r="L60" s="143"/>
      <c r="M60" s="143"/>
      <c r="N60" s="143"/>
      <c r="O60" s="122"/>
      <c r="P60" s="143"/>
      <c r="Q60" s="143"/>
      <c r="R60" s="143"/>
      <c r="S60" s="143"/>
      <c r="T60" s="143"/>
      <c r="U60" s="103">
        <f t="shared" si="14"/>
        <v>0</v>
      </c>
      <c r="V60" s="143"/>
      <c r="W60" s="144"/>
      <c r="X60" s="133"/>
      <c r="Y60" s="122"/>
      <c r="Z60" s="122"/>
      <c r="AA60" s="143"/>
      <c r="AB60" s="143"/>
      <c r="AC60" s="143"/>
      <c r="AD60" s="143"/>
      <c r="AE60" s="143"/>
      <c r="AF60" s="143"/>
      <c r="AG60" s="143"/>
      <c r="AH60" s="143"/>
      <c r="AI60" s="143"/>
      <c r="AJ60" s="103">
        <f t="shared" si="15"/>
        <v>0</v>
      </c>
      <c r="AK60" s="134">
        <v>719.04</v>
      </c>
      <c r="AL60" s="134">
        <v>1012.6</v>
      </c>
      <c r="AM60" s="136"/>
      <c r="AN60" s="105">
        <f t="shared" si="16"/>
        <v>0</v>
      </c>
      <c r="AO60" s="145"/>
      <c r="AP60" s="143">
        <v>4.8</v>
      </c>
      <c r="AQ60" s="143"/>
      <c r="AR60" s="143"/>
      <c r="AS60" s="146"/>
      <c r="AT60" s="621">
        <f t="shared" si="17"/>
        <v>0</v>
      </c>
      <c r="AU60" s="1553"/>
      <c r="AV60" s="1690"/>
      <c r="AW60" s="1690"/>
      <c r="AX60" s="1690"/>
      <c r="AY60" s="1690"/>
      <c r="AZ60" s="1688"/>
      <c r="BA60" s="1553">
        <v>1264.8</v>
      </c>
      <c r="BB60" s="1548"/>
      <c r="BC60" s="1548"/>
      <c r="BD60" s="1548"/>
      <c r="BE60" s="1546"/>
      <c r="BF60" s="222">
        <f t="shared" si="18"/>
        <v>0</v>
      </c>
      <c r="BG60" s="140">
        <f t="shared" si="19"/>
        <v>0</v>
      </c>
      <c r="BH60" s="132"/>
      <c r="BI60" s="140">
        <f t="shared" si="20"/>
        <v>0</v>
      </c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>
        <v>3120</v>
      </c>
      <c r="BV60" s="150"/>
      <c r="BW60" s="130">
        <f t="shared" si="21"/>
        <v>0</v>
      </c>
      <c r="BX60" s="132"/>
    </row>
    <row r="61" ht="14.25" customHeight="1">
      <c r="A61" s="132"/>
      <c r="B61" s="179">
        <v>46075</v>
      </c>
      <c r="C61" s="133">
        <f>6279.18-D61-0</f>
      </c>
      <c r="D61" s="134">
        <v>3164</v>
      </c>
      <c r="E61" s="135"/>
      <c r="F61" s="135"/>
      <c r="G61" s="147">
        <f t="shared" si="13"/>
        <v>0</v>
      </c>
      <c r="H61" s="144"/>
      <c r="I61" s="633"/>
      <c r="J61" s="143"/>
      <c r="K61" s="145">
        <v>491.9</v>
      </c>
      <c r="L61" s="143"/>
      <c r="M61" s="140"/>
      <c r="N61" s="143"/>
      <c r="O61" s="122"/>
      <c r="P61" s="143"/>
      <c r="Q61" s="143"/>
      <c r="R61" s="143"/>
      <c r="S61" s="143"/>
      <c r="T61" s="143"/>
      <c r="U61" s="103">
        <f t="shared" si="14"/>
        <v>0</v>
      </c>
      <c r="V61" s="140"/>
      <c r="W61" s="457"/>
      <c r="X61" s="133"/>
      <c r="Y61" s="122"/>
      <c r="Z61" s="122"/>
      <c r="AA61" s="143"/>
      <c r="AB61" s="143"/>
      <c r="AC61" s="143"/>
      <c r="AD61" s="143"/>
      <c r="AE61" s="143"/>
      <c r="AF61" s="143"/>
      <c r="AG61" s="143"/>
      <c r="AH61" s="143"/>
      <c r="AI61" s="143"/>
      <c r="AJ61" s="103">
        <f t="shared" si="15"/>
        <v>0</v>
      </c>
      <c r="AK61" s="134">
        <v>410.65</v>
      </c>
      <c r="AL61" s="134">
        <v>976.4</v>
      </c>
      <c r="AM61" s="136"/>
      <c r="AN61" s="105">
        <f t="shared" si="16"/>
        <v>0</v>
      </c>
      <c r="AO61" s="145">
        <v>51.57</v>
      </c>
      <c r="AP61" s="143"/>
      <c r="AQ61" s="143"/>
      <c r="AR61" s="143"/>
      <c r="AS61" s="146">
        <v>0.53</v>
      </c>
      <c r="AT61" s="621">
        <f t="shared" si="17"/>
        <v>0</v>
      </c>
      <c r="AU61" s="1553">
        <v>2160.5</v>
      </c>
      <c r="AV61" s="1690"/>
      <c r="AW61" s="1690"/>
      <c r="AX61" s="1690"/>
      <c r="AY61" s="1690"/>
      <c r="AZ61" s="1688"/>
      <c r="BA61" s="1553">
        <v>2186.4</v>
      </c>
      <c r="BB61" s="1548"/>
      <c r="BC61" s="1548"/>
      <c r="BD61" s="1548"/>
      <c r="BE61" s="1546"/>
      <c r="BF61" s="222">
        <f t="shared" si="18"/>
        <v>0</v>
      </c>
      <c r="BG61" s="140">
        <f t="shared" si="19"/>
        <v>0</v>
      </c>
      <c r="BH61" s="132"/>
      <c r="BI61" s="140">
        <f t="shared" si="20"/>
        <v>0</v>
      </c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30">
        <f t="shared" si="21"/>
        <v>0</v>
      </c>
      <c r="BX61" s="132"/>
    </row>
    <row r="62" ht="14.25" customHeight="1">
      <c r="A62" s="132"/>
      <c r="B62" s="179">
        <v>46076</v>
      </c>
      <c r="C62" s="133">
        <f>6115.20-D62-0</f>
      </c>
      <c r="D62" s="134">
        <v>2724.2</v>
      </c>
      <c r="E62" s="135"/>
      <c r="F62" s="135"/>
      <c r="G62" s="147">
        <f t="shared" si="13"/>
        <v>0</v>
      </c>
      <c r="H62" s="144">
        <v>1304.8</v>
      </c>
      <c r="I62" s="634">
        <v>201.95</v>
      </c>
      <c r="J62" s="143"/>
      <c r="K62" s="145">
        <v>414.53</v>
      </c>
      <c r="L62" s="143"/>
      <c r="M62" s="140"/>
      <c r="N62" s="143"/>
      <c r="O62" s="122"/>
      <c r="P62" s="143"/>
      <c r="Q62" s="143"/>
      <c r="R62" s="143"/>
      <c r="S62" s="143"/>
      <c r="T62" s="143"/>
      <c r="U62" s="103">
        <f t="shared" si="14"/>
        <v>0</v>
      </c>
      <c r="V62" s="140"/>
      <c r="W62" s="457"/>
      <c r="X62" s="133"/>
      <c r="Y62" s="122"/>
      <c r="Z62" s="122"/>
      <c r="AA62" s="143"/>
      <c r="AB62" s="143"/>
      <c r="AC62" s="143"/>
      <c r="AD62" s="143"/>
      <c r="AE62" s="143"/>
      <c r="AF62" s="143"/>
      <c r="AG62" s="143"/>
      <c r="AH62" s="143"/>
      <c r="AI62" s="143"/>
      <c r="AJ62" s="103">
        <f t="shared" si="15"/>
        <v>0</v>
      </c>
      <c r="AK62" s="134">
        <v>1010.1</v>
      </c>
      <c r="AL62" s="134">
        <v>1016.2</v>
      </c>
      <c r="AM62" s="136"/>
      <c r="AN62" s="105">
        <f t="shared" si="16"/>
        <v>0</v>
      </c>
      <c r="AO62" s="145">
        <v>43.46</v>
      </c>
      <c r="AP62" s="143"/>
      <c r="AQ62" s="143"/>
      <c r="AR62" s="143"/>
      <c r="AS62" s="149">
        <v>5.14</v>
      </c>
      <c r="AT62" s="621">
        <f t="shared" si="17"/>
        <v>0</v>
      </c>
      <c r="AU62" s="1553">
        <v>386</v>
      </c>
      <c r="AV62" s="1690"/>
      <c r="AW62" s="1690"/>
      <c r="AX62" s="1690"/>
      <c r="AY62" s="1690"/>
      <c r="AZ62" s="1688"/>
      <c r="BA62" s="1553">
        <v>1706.9</v>
      </c>
      <c r="BB62" s="1548"/>
      <c r="BC62" s="1548"/>
      <c r="BD62" s="1548"/>
      <c r="BE62" s="1546"/>
      <c r="BF62" s="222">
        <f t="shared" si="18"/>
        <v>0</v>
      </c>
      <c r="BG62" s="140">
        <f t="shared" si="19"/>
        <v>0</v>
      </c>
      <c r="BH62" s="132"/>
      <c r="BI62" s="140">
        <f t="shared" si="20"/>
        <v>0</v>
      </c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50">
        <v>25</v>
      </c>
      <c r="BV62" s="141"/>
      <c r="BW62" s="130">
        <f t="shared" si="21"/>
        <v>0</v>
      </c>
      <c r="BX62" s="132"/>
    </row>
    <row r="63" ht="14.25" customHeight="1">
      <c r="A63" s="132"/>
      <c r="B63" s="179">
        <v>46077</v>
      </c>
      <c r="C63" s="133">
        <f>8754.30-D63-0</f>
      </c>
      <c r="D63" s="134">
        <v>2283.7</v>
      </c>
      <c r="E63" s="135"/>
      <c r="F63" s="135"/>
      <c r="G63" s="147">
        <f t="shared" si="13"/>
        <v>0</v>
      </c>
      <c r="H63" s="199">
        <v>978.11</v>
      </c>
      <c r="I63" s="646">
        <v>403.42</v>
      </c>
      <c r="J63" s="143"/>
      <c r="K63" s="145">
        <v>419.1</v>
      </c>
      <c r="L63" s="143"/>
      <c r="M63" s="143"/>
      <c r="N63" s="143"/>
      <c r="O63" s="122"/>
      <c r="P63" s="143"/>
      <c r="Q63" s="143"/>
      <c r="R63" s="143"/>
      <c r="S63" s="143"/>
      <c r="T63" s="143"/>
      <c r="U63" s="103">
        <f t="shared" si="14"/>
        <v>0</v>
      </c>
      <c r="V63" s="143"/>
      <c r="W63" s="144"/>
      <c r="X63" s="133"/>
      <c r="Y63" s="122"/>
      <c r="Z63" s="122"/>
      <c r="AA63" s="143"/>
      <c r="AB63" s="143"/>
      <c r="AC63" s="143"/>
      <c r="AD63" s="143"/>
      <c r="AE63" s="143"/>
      <c r="AF63" s="143"/>
      <c r="AG63" s="143"/>
      <c r="AH63" s="143"/>
      <c r="AI63" s="143"/>
      <c r="AJ63" s="103">
        <f t="shared" si="15"/>
        <v>0</v>
      </c>
      <c r="AK63" s="134">
        <v>1748.97</v>
      </c>
      <c r="AL63" s="134">
        <v>627.1</v>
      </c>
      <c r="AM63" s="136"/>
      <c r="AN63" s="105">
        <f t="shared" si="16"/>
        <v>0</v>
      </c>
      <c r="AO63" s="145">
        <v>72.66</v>
      </c>
      <c r="AP63" s="143"/>
      <c r="AQ63" s="143"/>
      <c r="AR63" s="143"/>
      <c r="AS63" s="146"/>
      <c r="AT63" s="621">
        <f t="shared" si="17"/>
        <v>0</v>
      </c>
      <c r="AU63" s="1553">
        <v>958.3</v>
      </c>
      <c r="AV63" s="1690">
        <v>1890</v>
      </c>
      <c r="AW63" s="1690"/>
      <c r="AX63" s="1690"/>
      <c r="AY63" s="1690"/>
      <c r="AZ63" s="1688"/>
      <c r="BA63" s="1553">
        <v>1654.3</v>
      </c>
      <c r="BB63" s="1548"/>
      <c r="BC63" s="1548"/>
      <c r="BD63" s="1548"/>
      <c r="BE63" s="1546"/>
      <c r="BF63" s="222">
        <f t="shared" si="18"/>
        <v>0</v>
      </c>
      <c r="BG63" s="140">
        <f t="shared" si="19"/>
        <v>0</v>
      </c>
      <c r="BH63" s="132"/>
      <c r="BI63" s="140">
        <f t="shared" si="20"/>
        <v>0</v>
      </c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30">
        <f t="shared" si="21"/>
        <v>0</v>
      </c>
      <c r="BX63" s="132"/>
    </row>
    <row r="64" ht="14.25" customHeight="1">
      <c r="A64" s="132"/>
      <c r="B64" s="179">
        <v>46078</v>
      </c>
      <c r="C64" s="133">
        <f>5971.67-D64-0</f>
      </c>
      <c r="D64" s="134">
        <v>1844.3</v>
      </c>
      <c r="E64" s="135"/>
      <c r="F64" s="135"/>
      <c r="G64" s="147">
        <f t="shared" si="13"/>
        <v>0</v>
      </c>
      <c r="H64" s="199">
        <v>178.1</v>
      </c>
      <c r="I64" s="634">
        <v>411.71</v>
      </c>
      <c r="J64" s="143"/>
      <c r="K64" s="145">
        <v>371.83</v>
      </c>
      <c r="L64" s="143"/>
      <c r="M64" s="143"/>
      <c r="N64" s="143"/>
      <c r="O64" s="122"/>
      <c r="P64" s="143"/>
      <c r="Q64" s="143"/>
      <c r="R64" s="143"/>
      <c r="S64" s="143"/>
      <c r="T64" s="143"/>
      <c r="U64" s="103">
        <f t="shared" si="14"/>
        <v>0</v>
      </c>
      <c r="V64" s="143"/>
      <c r="W64" s="144"/>
      <c r="X64" s="133"/>
      <c r="Y64" s="122"/>
      <c r="Z64" s="122"/>
      <c r="AA64" s="143"/>
      <c r="AB64" s="143"/>
      <c r="AC64" s="143"/>
      <c r="AD64" s="143"/>
      <c r="AE64" s="143"/>
      <c r="AF64" s="143"/>
      <c r="AG64" s="143"/>
      <c r="AH64" s="143"/>
      <c r="AI64" s="143"/>
      <c r="AJ64" s="103">
        <f t="shared" si="15"/>
        <v>0</v>
      </c>
      <c r="AK64" s="134">
        <v>1000.34</v>
      </c>
      <c r="AL64" s="134">
        <v>366.3</v>
      </c>
      <c r="AM64" s="136"/>
      <c r="AN64" s="105">
        <f t="shared" si="16"/>
        <v>0</v>
      </c>
      <c r="AO64" s="145">
        <v>38.98</v>
      </c>
      <c r="AP64" s="143"/>
      <c r="AQ64" s="143"/>
      <c r="AR64" s="143"/>
      <c r="AS64" s="149">
        <v>10.87</v>
      </c>
      <c r="AT64" s="621">
        <f t="shared" si="17"/>
        <v>0</v>
      </c>
      <c r="AU64" s="1553">
        <v>2089.7</v>
      </c>
      <c r="AV64" s="1690"/>
      <c r="AW64" s="1690"/>
      <c r="AX64" s="1690"/>
      <c r="AY64" s="1690"/>
      <c r="AZ64" s="1688"/>
      <c r="BA64" s="1553">
        <v>1476.5</v>
      </c>
      <c r="BB64" s="1548"/>
      <c r="BC64" s="1548"/>
      <c r="BD64" s="1548"/>
      <c r="BE64" s="1546"/>
      <c r="BF64" s="222">
        <f t="shared" si="18"/>
        <v>0</v>
      </c>
      <c r="BG64" s="140">
        <f t="shared" si="19"/>
        <v>0</v>
      </c>
      <c r="BH64" s="132"/>
      <c r="BI64" s="140">
        <f t="shared" si="20"/>
        <v>0</v>
      </c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50">
        <v>25</v>
      </c>
      <c r="BV64" s="141"/>
      <c r="BW64" s="130">
        <f t="shared" si="21"/>
        <v>0</v>
      </c>
      <c r="BX64" s="132"/>
    </row>
    <row r="65" ht="14.25" customHeight="1">
      <c r="A65" s="132"/>
      <c r="B65" s="179">
        <v>46079</v>
      </c>
      <c r="C65" s="133">
        <f>8285.97-D65-0</f>
      </c>
      <c r="D65" s="134">
        <v>1621.3</v>
      </c>
      <c r="E65" s="135"/>
      <c r="F65" s="135"/>
      <c r="G65" s="147">
        <f t="shared" si="13"/>
        <v>0</v>
      </c>
      <c r="H65" s="144">
        <v>491.01</v>
      </c>
      <c r="I65" s="634">
        <v>275.42</v>
      </c>
      <c r="J65" s="143"/>
      <c r="K65" s="145">
        <v>826.43</v>
      </c>
      <c r="L65" s="143"/>
      <c r="M65" s="143"/>
      <c r="N65" s="143"/>
      <c r="O65" s="122"/>
      <c r="P65" s="143"/>
      <c r="Q65" s="143"/>
      <c r="R65" s="143"/>
      <c r="S65" s="143"/>
      <c r="T65" s="143"/>
      <c r="U65" s="103">
        <f t="shared" si="14"/>
        <v>0</v>
      </c>
      <c r="V65" s="143"/>
      <c r="W65" s="144"/>
      <c r="X65" s="133"/>
      <c r="Y65" s="122"/>
      <c r="Z65" s="122"/>
      <c r="AA65" s="143"/>
      <c r="AB65" s="143"/>
      <c r="AC65" s="143"/>
      <c r="AD65" s="143"/>
      <c r="AE65" s="143"/>
      <c r="AF65" s="143"/>
      <c r="AG65" s="143"/>
      <c r="AH65" s="143"/>
      <c r="AI65" s="143"/>
      <c r="AJ65" s="103">
        <f t="shared" si="15"/>
        <v>0</v>
      </c>
      <c r="AK65" s="134">
        <v>553.48</v>
      </c>
      <c r="AL65" s="134">
        <v>232.9</v>
      </c>
      <c r="AM65" s="136"/>
      <c r="AN65" s="105">
        <f t="shared" si="16"/>
        <v>0</v>
      </c>
      <c r="AO65" s="145">
        <v>123.66</v>
      </c>
      <c r="AP65" s="143"/>
      <c r="AQ65" s="143"/>
      <c r="AR65" s="143"/>
      <c r="AS65" s="149">
        <v>0.5</v>
      </c>
      <c r="AT65" s="621">
        <f t="shared" si="17"/>
        <v>0</v>
      </c>
      <c r="AU65" s="1553">
        <v>1451.3</v>
      </c>
      <c r="AV65" s="1690">
        <v>2943</v>
      </c>
      <c r="AW65" s="1690"/>
      <c r="AX65" s="1690"/>
      <c r="AY65" s="1690"/>
      <c r="AZ65" s="1688"/>
      <c r="BA65" s="1553">
        <v>1386.3</v>
      </c>
      <c r="BB65" s="1548"/>
      <c r="BC65" s="1548"/>
      <c r="BD65" s="1548"/>
      <c r="BE65" s="1546"/>
      <c r="BF65" s="222">
        <f t="shared" si="18"/>
        <v>0</v>
      </c>
      <c r="BG65" s="140">
        <f t="shared" si="19"/>
        <v>0</v>
      </c>
      <c r="BH65" s="132"/>
      <c r="BI65" s="140">
        <f t="shared" si="20"/>
        <v>0</v>
      </c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41"/>
      <c r="BW65" s="130">
        <f t="shared" si="21"/>
        <v>0</v>
      </c>
      <c r="BX65" s="132"/>
    </row>
    <row r="66" ht="14.25" customHeight="1">
      <c r="A66" s="132"/>
      <c r="B66" s="179">
        <v>46080</v>
      </c>
      <c r="C66" s="133">
        <f>7110.45-D66-0</f>
      </c>
      <c r="D66" s="134">
        <v>1912.7</v>
      </c>
      <c r="E66" s="135"/>
      <c r="F66" s="135"/>
      <c r="G66" s="147">
        <f t="shared" si="13"/>
        <v>0</v>
      </c>
      <c r="H66" s="633">
        <v>1306.73</v>
      </c>
      <c r="I66" s="145">
        <v>352.95</v>
      </c>
      <c r="J66" s="143"/>
      <c r="K66" s="145">
        <v>357.74</v>
      </c>
      <c r="L66" s="143"/>
      <c r="M66" s="143"/>
      <c r="N66" s="143"/>
      <c r="O66" s="122"/>
      <c r="P66" s="143"/>
      <c r="Q66" s="143"/>
      <c r="R66" s="143"/>
      <c r="S66" s="143"/>
      <c r="T66" s="143"/>
      <c r="U66" s="103">
        <f t="shared" si="14"/>
        <v>0</v>
      </c>
      <c r="V66" s="143"/>
      <c r="W66" s="144"/>
      <c r="X66" s="133"/>
      <c r="Y66" s="122"/>
      <c r="Z66" s="122"/>
      <c r="AA66" s="143"/>
      <c r="AB66" s="143"/>
      <c r="AC66" s="143"/>
      <c r="AD66" s="143"/>
      <c r="AE66" s="143"/>
      <c r="AF66" s="143"/>
      <c r="AG66" s="143"/>
      <c r="AH66" s="143"/>
      <c r="AI66" s="143"/>
      <c r="AJ66" s="103">
        <f t="shared" si="15"/>
        <v>0</v>
      </c>
      <c r="AK66" s="134">
        <v>586.6</v>
      </c>
      <c r="AL66" s="134">
        <v>383.3</v>
      </c>
      <c r="AM66" s="136"/>
      <c r="AN66" s="105">
        <f t="shared" si="16"/>
        <v>0</v>
      </c>
      <c r="AO66" s="145">
        <v>50.26</v>
      </c>
      <c r="AP66" s="143"/>
      <c r="AQ66" s="143"/>
      <c r="AR66" s="143"/>
      <c r="AS66" s="149">
        <v>1.93</v>
      </c>
      <c r="AT66" s="621">
        <f t="shared" si="17"/>
        <v>0</v>
      </c>
      <c r="AU66" s="1553">
        <v>1489.1</v>
      </c>
      <c r="AV66" s="1690">
        <v>1053</v>
      </c>
      <c r="AW66" s="1690"/>
      <c r="AX66" s="1690"/>
      <c r="AY66" s="1690"/>
      <c r="AZ66" s="1688"/>
      <c r="BA66" s="1553">
        <v>1527.1</v>
      </c>
      <c r="BB66" s="1548"/>
      <c r="BC66" s="1548"/>
      <c r="BD66" s="1548"/>
      <c r="BE66" s="1546"/>
      <c r="BF66" s="222">
        <f t="shared" si="18"/>
        <v>0</v>
      </c>
      <c r="BG66" s="140">
        <f t="shared" si="19"/>
        <v>0</v>
      </c>
      <c r="BH66" s="132"/>
      <c r="BI66" s="140">
        <f t="shared" si="20"/>
        <v>0</v>
      </c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30">
        <f t="shared" si="21"/>
        <v>0</v>
      </c>
      <c r="BX66" s="132"/>
    </row>
    <row r="67" ht="14.25" customHeight="1">
      <c r="A67" s="132"/>
      <c r="B67" s="179">
        <v>46081</v>
      </c>
      <c r="C67" s="133">
        <f>5159.37-D67-0</f>
      </c>
      <c r="D67" s="134">
        <v>1826.6</v>
      </c>
      <c r="E67" s="135"/>
      <c r="F67" s="135"/>
      <c r="G67" s="147">
        <f t="shared" si="13"/>
        <v>0</v>
      </c>
      <c r="H67" s="199">
        <v>498.01</v>
      </c>
      <c r="I67" s="633"/>
      <c r="J67" s="143"/>
      <c r="K67" s="145">
        <v>381.72</v>
      </c>
      <c r="L67" s="143"/>
      <c r="M67" s="143"/>
      <c r="N67" s="143"/>
      <c r="O67" s="132"/>
      <c r="P67" s="143"/>
      <c r="Q67" s="143"/>
      <c r="R67" s="143"/>
      <c r="S67" s="143"/>
      <c r="T67" s="143"/>
      <c r="U67" s="103">
        <f t="shared" si="14"/>
        <v>0</v>
      </c>
      <c r="V67" s="143"/>
      <c r="W67" s="144"/>
      <c r="X67" s="133"/>
      <c r="Y67" s="132"/>
      <c r="Z67" s="132"/>
      <c r="AA67" s="143"/>
      <c r="AB67" s="143"/>
      <c r="AC67" s="143"/>
      <c r="AD67" s="143"/>
      <c r="AE67" s="143"/>
      <c r="AF67" s="143"/>
      <c r="AG67" s="143"/>
      <c r="AH67" s="143"/>
      <c r="AI67" s="143"/>
      <c r="AJ67" s="103">
        <f t="shared" si="15"/>
        <v>0</v>
      </c>
      <c r="AK67" s="134">
        <v>679.75</v>
      </c>
      <c r="AL67" s="134">
        <v>489.1</v>
      </c>
      <c r="AM67" s="136"/>
      <c r="AN67" s="105">
        <f t="shared" si="16"/>
        <v>0</v>
      </c>
      <c r="AO67" s="145">
        <v>36.98</v>
      </c>
      <c r="AP67" s="143"/>
      <c r="AQ67" s="143"/>
      <c r="AR67" s="143"/>
      <c r="AS67" s="146"/>
      <c r="AT67" s="621">
        <f t="shared" si="17"/>
        <v>0</v>
      </c>
      <c r="AU67" s="1553">
        <v>1731.4</v>
      </c>
      <c r="AV67" s="1690"/>
      <c r="AW67" s="1690"/>
      <c r="AX67" s="1690"/>
      <c r="AY67" s="1690"/>
      <c r="AZ67" s="1688"/>
      <c r="BA67" s="1690">
        <v>1315.5</v>
      </c>
      <c r="BB67" s="1548"/>
      <c r="BC67" s="1548"/>
      <c r="BD67" s="1548"/>
      <c r="BE67" s="1546"/>
      <c r="BF67" s="222">
        <f t="shared" si="18"/>
        <v>0</v>
      </c>
      <c r="BG67" s="140">
        <f t="shared" si="19"/>
        <v>0</v>
      </c>
      <c r="BH67" s="132"/>
      <c r="BI67" s="140">
        <f t="shared" si="20"/>
        <v>0</v>
      </c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50">
        <v>25</v>
      </c>
      <c r="BV67" s="141"/>
      <c r="BW67" s="130">
        <f t="shared" si="21"/>
        <v>0</v>
      </c>
      <c r="BX67" s="132"/>
    </row>
    <row r="68" ht="14.25" customHeight="1">
      <c r="A68" s="132"/>
      <c r="B68" s="197"/>
      <c r="C68" s="133"/>
      <c r="D68" s="136"/>
      <c r="E68" s="135"/>
      <c r="F68" s="135"/>
      <c r="G68" s="147">
        <f t="shared" si="13"/>
        <v>0</v>
      </c>
      <c r="H68" s="144"/>
      <c r="I68" s="633"/>
      <c r="J68" s="143"/>
      <c r="K68" s="143"/>
      <c r="L68" s="143"/>
      <c r="M68" s="143"/>
      <c r="N68" s="143"/>
      <c r="O68" s="132"/>
      <c r="P68" s="143"/>
      <c r="Q68" s="143"/>
      <c r="R68" s="143"/>
      <c r="S68" s="143"/>
      <c r="T68" s="143"/>
      <c r="U68" s="103">
        <f t="shared" si="14"/>
        <v>0</v>
      </c>
      <c r="V68" s="143"/>
      <c r="W68" s="144"/>
      <c r="X68" s="133"/>
      <c r="Y68" s="132"/>
      <c r="Z68" s="132"/>
      <c r="AA68" s="143"/>
      <c r="AB68" s="143"/>
      <c r="AC68" s="143"/>
      <c r="AD68" s="143"/>
      <c r="AE68" s="143"/>
      <c r="AF68" s="143"/>
      <c r="AG68" s="143"/>
      <c r="AH68" s="143"/>
      <c r="AI68" s="143"/>
      <c r="AJ68" s="103">
        <f t="shared" si="15"/>
        <v>0</v>
      </c>
      <c r="AK68" s="136"/>
      <c r="AL68" s="136"/>
      <c r="AM68" s="136"/>
      <c r="AN68" s="105">
        <f t="shared" si="16"/>
        <v>0</v>
      </c>
      <c r="AO68" s="143"/>
      <c r="AP68" s="143"/>
      <c r="AQ68" s="143"/>
      <c r="AR68" s="143"/>
      <c r="AS68" s="146"/>
      <c r="AT68" s="621">
        <f t="shared" si="17"/>
        <v>0</v>
      </c>
      <c r="AU68" s="1692"/>
      <c r="AV68" s="1692"/>
      <c r="AW68" s="1692"/>
      <c r="AX68" s="1692"/>
      <c r="AY68" s="1692"/>
      <c r="AZ68" s="1688"/>
      <c r="BA68" s="1692"/>
      <c r="BB68" s="1548"/>
      <c r="BC68" s="1548"/>
      <c r="BD68" s="1548"/>
      <c r="BE68" s="1557"/>
      <c r="BF68" s="222">
        <f t="shared" si="18"/>
        <v>0</v>
      </c>
      <c r="BG68" s="140">
        <f t="shared" si="19"/>
        <v>0</v>
      </c>
      <c r="BH68" s="132"/>
      <c r="BI68" s="140">
        <f t="shared" si="20"/>
        <v>0</v>
      </c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30">
        <f t="shared" si="21"/>
        <v>0</v>
      </c>
      <c r="BX68" s="132"/>
    </row>
    <row r="69" ht="14.25" customHeight="1">
      <c r="A69" s="3"/>
      <c r="B69" s="2"/>
      <c r="C69" s="166">
        <f ref="C69:D69" t="shared" si="22">SUM(C40:C68)</f>
        <v>0</v>
      </c>
      <c r="D69" s="166">
        <f t="shared" si="22"/>
        <v>0</v>
      </c>
      <c r="E69" s="166">
        <f ref="E69:G69" t="shared" si="23">SUM(E40:E67)</f>
        <v>0</v>
      </c>
      <c r="F69" s="166">
        <f t="shared" si="23"/>
        <v>0</v>
      </c>
      <c r="G69" s="166">
        <f t="shared" si="23"/>
        <v>0</v>
      </c>
      <c r="H69" s="166">
        <f ref="H69:I69" t="shared" si="24">SUM(H40:H68)</f>
        <v>0</v>
      </c>
      <c r="I69" s="166">
        <f t="shared" si="24"/>
        <v>0</v>
      </c>
      <c r="J69" s="166">
        <f ref="J69:K69" t="shared" si="25">SUM(J40:J67)</f>
        <v>0</v>
      </c>
      <c r="K69" s="166">
        <f t="shared" si="25"/>
        <v>0</v>
      </c>
      <c r="L69" s="166"/>
      <c r="M69" s="166">
        <f ref="M69:V69" t="shared" si="26">SUM(M40:M67)</f>
        <v>0</v>
      </c>
      <c r="N69" s="166">
        <f t="shared" si="26"/>
        <v>0</v>
      </c>
      <c r="O69" s="166">
        <f t="shared" si="26"/>
        <v>0</v>
      </c>
      <c r="P69" s="166">
        <f t="shared" si="26"/>
        <v>0</v>
      </c>
      <c r="Q69" s="166">
        <f t="shared" si="26"/>
        <v>0</v>
      </c>
      <c r="R69" s="166">
        <f t="shared" si="26"/>
        <v>0</v>
      </c>
      <c r="S69" s="166">
        <f t="shared" si="26"/>
        <v>0</v>
      </c>
      <c r="T69" s="166">
        <f t="shared" si="26"/>
        <v>0</v>
      </c>
      <c r="U69" s="166">
        <f t="shared" si="26"/>
        <v>0</v>
      </c>
      <c r="V69" s="166">
        <f t="shared" si="26"/>
        <v>0</v>
      </c>
      <c r="W69" s="166"/>
      <c r="X69" s="166">
        <f>SUM(X40:X67)</f>
        <v>0</v>
      </c>
      <c r="Y69" s="166"/>
      <c r="Z69" s="166">
        <f ref="Z69:AJ69" t="shared" si="27">SUM(Z40:Z67)</f>
        <v>0</v>
      </c>
      <c r="AA69" s="166">
        <f t="shared" si="27"/>
        <v>0</v>
      </c>
      <c r="AB69" s="166">
        <f t="shared" si="27"/>
        <v>0</v>
      </c>
      <c r="AC69" s="166">
        <f t="shared" si="27"/>
        <v>0</v>
      </c>
      <c r="AD69" s="166">
        <f t="shared" si="27"/>
        <v>0</v>
      </c>
      <c r="AE69" s="166">
        <f t="shared" si="27"/>
        <v>0</v>
      </c>
      <c r="AF69" s="166">
        <f t="shared" si="27"/>
        <v>0</v>
      </c>
      <c r="AG69" s="166">
        <f t="shared" si="27"/>
        <v>0</v>
      </c>
      <c r="AH69" s="166">
        <f t="shared" si="27"/>
        <v>0</v>
      </c>
      <c r="AI69" s="166">
        <f t="shared" si="27"/>
        <v>0</v>
      </c>
      <c r="AJ69" s="166">
        <f t="shared" si="27"/>
        <v>0</v>
      </c>
      <c r="AK69" s="166">
        <f ref="AK69:AL69" t="shared" si="28">SUM(AK40:AK68)</f>
        <v>0</v>
      </c>
      <c r="AL69" s="166">
        <f t="shared" si="28"/>
        <v>0</v>
      </c>
      <c r="AM69" s="166">
        <f ref="AM69:AO69" t="shared" si="29">SUM(AM40:AM67)</f>
        <v>0</v>
      </c>
      <c r="AN69" s="166">
        <f t="shared" si="29"/>
        <v>0</v>
      </c>
      <c r="AO69" s="166">
        <f t="shared" si="29"/>
        <v>0</v>
      </c>
      <c r="AP69" s="166"/>
      <c r="AQ69" s="166">
        <f ref="AQ69:AT69" t="shared" si="30">SUM(AQ40:AQ67)</f>
        <v>0</v>
      </c>
      <c r="AR69" s="166">
        <f t="shared" si="30"/>
        <v>0</v>
      </c>
      <c r="AS69" s="166">
        <f t="shared" si="30"/>
        <v>0</v>
      </c>
      <c r="AT69" s="166">
        <f t="shared" si="30"/>
        <v>0</v>
      </c>
      <c r="AU69" s="1068">
        <f>SUM(AU40:AU68)</f>
        <v>0</v>
      </c>
      <c r="AV69" s="1068">
        <f ref="AV69:AZ69" t="shared" si="31">SUM(AV40:AV67)</f>
        <v>0</v>
      </c>
      <c r="AW69" s="1068">
        <f t="shared" si="31"/>
        <v>0</v>
      </c>
      <c r="AX69" s="1068">
        <f t="shared" si="31"/>
        <v>0</v>
      </c>
      <c r="AY69" s="1068">
        <f t="shared" si="31"/>
        <v>0</v>
      </c>
      <c r="AZ69" s="1068">
        <f t="shared" si="31"/>
        <v>0</v>
      </c>
      <c r="BA69" s="1068">
        <f>SUM(BA40:BA68)</f>
        <v>0</v>
      </c>
      <c r="BB69" s="165">
        <f ref="BB69:BG69" t="shared" si="32">SUM(BB40:BB67)</f>
        <v>0</v>
      </c>
      <c r="BC69" s="165">
        <f t="shared" si="32"/>
        <v>0</v>
      </c>
      <c r="BD69" s="165">
        <f t="shared" si="32"/>
        <v>0</v>
      </c>
      <c r="BE69" s="165">
        <f t="shared" si="32"/>
        <v>0</v>
      </c>
      <c r="BF69" s="166">
        <f t="shared" si="32"/>
        <v>0</v>
      </c>
      <c r="BG69" s="166">
        <f t="shared" si="32"/>
        <v>0</v>
      </c>
      <c r="BH69" s="235"/>
      <c r="BI69" s="166">
        <f ref="BI69:BW69" t="shared" si="33">SUM(BI40:BI67)</f>
        <v>0</v>
      </c>
      <c r="BJ69" s="166">
        <f t="shared" si="33"/>
        <v>0</v>
      </c>
      <c r="BK69" s="166">
        <f t="shared" si="33"/>
        <v>0</v>
      </c>
      <c r="BL69" s="166">
        <f t="shared" si="33"/>
        <v>0</v>
      </c>
      <c r="BM69" s="166">
        <f t="shared" si="33"/>
        <v>0</v>
      </c>
      <c r="BN69" s="166">
        <f t="shared" si="33"/>
        <v>0</v>
      </c>
      <c r="BO69" s="166">
        <f t="shared" si="33"/>
        <v>0</v>
      </c>
      <c r="BP69" s="166">
        <f t="shared" si="33"/>
        <v>0</v>
      </c>
      <c r="BQ69" s="166">
        <f t="shared" si="33"/>
        <v>0</v>
      </c>
      <c r="BR69" s="166">
        <f t="shared" si="33"/>
        <v>0</v>
      </c>
      <c r="BS69" s="166">
        <f t="shared" si="33"/>
        <v>0</v>
      </c>
      <c r="BT69" s="166">
        <f t="shared" si="33"/>
        <v>0</v>
      </c>
      <c r="BU69" s="166">
        <f t="shared" si="33"/>
        <v>0</v>
      </c>
      <c r="BV69" s="166">
        <f t="shared" si="33"/>
        <v>0</v>
      </c>
      <c r="BW69" s="166">
        <f t="shared" si="33"/>
        <v>0</v>
      </c>
      <c r="BX69" s="235"/>
    </row>
    <row r="70" ht="14.25" customHeight="1">
      <c r="A70" s="1"/>
      <c r="B70" s="206"/>
      <c r="C70" s="3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4"/>
      <c r="AO70" s="3"/>
      <c r="AP70" s="3"/>
      <c r="AQ70" s="3"/>
      <c r="AR70" s="3"/>
      <c r="AS70" s="3"/>
      <c r="AT70" s="317"/>
      <c r="AU70" s="776"/>
      <c r="AV70" s="772"/>
      <c r="AW70" s="772"/>
      <c r="AX70" s="772"/>
      <c r="AY70" s="772"/>
      <c r="AZ70" s="772"/>
      <c r="BA70" s="772"/>
      <c r="BB70" s="628"/>
      <c r="BC70" s="628"/>
      <c r="BD70" s="628"/>
      <c r="BE70" s="628"/>
      <c r="BF70" s="4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ht="14.25" customHeight="1">
      <c r="A71" s="205"/>
      <c r="B71" s="2"/>
      <c r="C71" s="207"/>
      <c r="D71" s="207"/>
      <c r="E71" s="207"/>
      <c r="F71" s="207"/>
      <c r="G71" s="208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9"/>
      <c r="AK71" s="207"/>
      <c r="AL71" s="207"/>
      <c r="AM71" s="207"/>
      <c r="AN71" s="208"/>
      <c r="AO71" s="207"/>
      <c r="AP71" s="207"/>
      <c r="AQ71" s="207"/>
      <c r="AR71" s="207"/>
      <c r="AS71" s="207"/>
      <c r="AT71" s="317"/>
      <c r="AU71" s="776"/>
      <c r="AV71" s="440"/>
      <c r="AW71" s="205"/>
      <c r="AX71" s="205"/>
      <c r="AY71" s="440"/>
      <c r="AZ71" s="440"/>
      <c r="BA71" s="440"/>
      <c r="BB71" s="316"/>
      <c r="BC71" s="316"/>
      <c r="BD71" s="316"/>
      <c r="BE71" s="208"/>
      <c r="BF71" s="207"/>
      <c r="BG71" s="207"/>
      <c r="BH71" s="207"/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</row>
    <row r="72" ht="14.25" customHeight="1">
      <c r="A72" s="3"/>
      <c r="B72" s="93">
        <v>46082</v>
      </c>
      <c r="C72" s="96">
        <f>5054.96-D72-0</f>
      </c>
      <c r="D72" s="95">
        <v>2191.1</v>
      </c>
      <c r="E72" s="97"/>
      <c r="F72" s="97"/>
      <c r="G72" s="265">
        <f ref="G72:G102" t="shared" si="34">+C72+D72+E72+F72</f>
        <v>0</v>
      </c>
      <c r="H72" s="187"/>
      <c r="I72" s="188">
        <v>98.49</v>
      </c>
      <c r="J72" s="186"/>
      <c r="K72" s="186"/>
      <c r="L72" s="188">
        <v>117.3</v>
      </c>
      <c r="M72" s="186"/>
      <c r="N72" s="186"/>
      <c r="O72" s="101"/>
      <c r="P72" s="186"/>
      <c r="Q72" s="186"/>
      <c r="R72" s="186"/>
      <c r="S72" s="186"/>
      <c r="T72" s="186"/>
      <c r="U72" s="103">
        <f ref="U72:U102" t="shared" si="35">SUM(H72:T72)</f>
        <v>0</v>
      </c>
      <c r="V72" s="186"/>
      <c r="W72" s="186"/>
      <c r="X72" s="543"/>
      <c r="Y72" s="101"/>
      <c r="Z72" s="101"/>
      <c r="AA72" s="186"/>
      <c r="AB72" s="186"/>
      <c r="AC72" s="186"/>
      <c r="AD72" s="186"/>
      <c r="AE72" s="186"/>
      <c r="AF72" s="186"/>
      <c r="AG72" s="186"/>
      <c r="AH72" s="186"/>
      <c r="AI72" s="186"/>
      <c r="AJ72" s="103">
        <f ref="AJ72:AJ102" t="shared" si="36">SUM(V72:AI72)</f>
        <v>0</v>
      </c>
      <c r="AK72" s="95">
        <v>585.17</v>
      </c>
      <c r="AL72" s="95">
        <v>456.4</v>
      </c>
      <c r="AM72" s="104"/>
      <c r="AN72" s="191">
        <f ref="AN72:AN102" t="shared" si="37">SUM(AK72:AM72)</f>
        <v>0</v>
      </c>
      <c r="AO72" s="188">
        <v>3.62</v>
      </c>
      <c r="AP72" s="186"/>
      <c r="AQ72" s="186"/>
      <c r="AR72" s="186"/>
      <c r="AS72" s="193">
        <v>0.16</v>
      </c>
      <c r="AT72" s="219">
        <f ref="AT72:AT102" t="shared" si="38">+G72-U72-AJ72-AN72-AO72-AQ72-AR72-AS72</f>
        <v>0</v>
      </c>
      <c r="AU72" s="1685">
        <v>2060.1</v>
      </c>
      <c r="AV72" s="1687"/>
      <c r="AW72" s="1687"/>
      <c r="AX72" s="1687"/>
      <c r="AY72" s="1687"/>
      <c r="AZ72" s="1688"/>
      <c r="BA72" s="1685">
        <v>1732.4</v>
      </c>
      <c r="BB72" s="1548"/>
      <c r="BC72" s="1548"/>
      <c r="BD72" s="1548"/>
      <c r="BE72" s="1537"/>
      <c r="BF72" s="272">
        <f ref="BF72:BF102" t="shared" si="39">SUM(AU72:BE72)-BD72</f>
        <v>0</v>
      </c>
      <c r="BG72" s="114">
        <f ref="BG72:BG102" t="shared" si="40">+AT72-BF72</f>
        <v>0</v>
      </c>
      <c r="BH72" s="3"/>
      <c r="BI72" s="114">
        <f ref="BI72:BI102" t="shared" si="41">SUM(BJ72:BV72)</f>
        <v>0</v>
      </c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96"/>
      <c r="BU72" s="115"/>
      <c r="BV72" s="115"/>
      <c r="BW72" s="116">
        <f ref="BW72:BW102" t="shared" si="42">+BG72-BI72</f>
        <v>0</v>
      </c>
      <c r="BX72" s="3"/>
    </row>
    <row r="73" ht="14.25" customHeight="1">
      <c r="A73" s="3"/>
      <c r="B73" s="93">
        <v>46083</v>
      </c>
      <c r="C73" s="3">
        <f>6064.05-D73-0</f>
      </c>
      <c r="D73" s="119">
        <v>2589.7</v>
      </c>
      <c r="E73" s="120"/>
      <c r="F73" s="120"/>
      <c r="G73" s="147">
        <f t="shared" si="34"/>
        <v>0</v>
      </c>
      <c r="H73" s="199">
        <v>1150.29</v>
      </c>
      <c r="I73" s="145">
        <v>270.68</v>
      </c>
      <c r="J73" s="136"/>
      <c r="K73" s="143"/>
      <c r="L73" s="143"/>
      <c r="M73" s="143"/>
      <c r="N73" s="143"/>
      <c r="O73" s="99"/>
      <c r="P73" s="143"/>
      <c r="Q73" s="143"/>
      <c r="R73" s="143"/>
      <c r="S73" s="143"/>
      <c r="T73" s="143"/>
      <c r="U73" s="103">
        <f t="shared" si="35"/>
        <v>0</v>
      </c>
      <c r="V73" s="143"/>
      <c r="W73" s="143"/>
      <c r="X73" s="99"/>
      <c r="Y73" s="99"/>
      <c r="Z73" s="99"/>
      <c r="AA73" s="143"/>
      <c r="AB73" s="143"/>
      <c r="AC73" s="143"/>
      <c r="AD73" s="143"/>
      <c r="AE73" s="143"/>
      <c r="AF73" s="143"/>
      <c r="AG73" s="143"/>
      <c r="AH73" s="143"/>
      <c r="AI73" s="143"/>
      <c r="AJ73" s="103">
        <f t="shared" si="36"/>
        <v>0</v>
      </c>
      <c r="AK73" s="119">
        <v>32.98</v>
      </c>
      <c r="AL73" s="119">
        <v>584.5</v>
      </c>
      <c r="AM73" s="123"/>
      <c r="AN73" s="105">
        <f t="shared" si="37"/>
        <v>0</v>
      </c>
      <c r="AO73" s="145"/>
      <c r="AP73" s="143"/>
      <c r="AQ73" s="143"/>
      <c r="AR73" s="143"/>
      <c r="AS73" s="146">
        <v>0.97</v>
      </c>
      <c r="AT73" s="224">
        <f t="shared" si="38"/>
        <v>0</v>
      </c>
      <c r="AU73" s="1553">
        <v>1994.4</v>
      </c>
      <c r="AV73" s="1690"/>
      <c r="AW73" s="1690"/>
      <c r="AX73" s="1690"/>
      <c r="AY73" s="1690"/>
      <c r="AZ73" s="1688"/>
      <c r="BA73" s="1553">
        <v>2005.2</v>
      </c>
      <c r="BB73" s="1548"/>
      <c r="BC73" s="1548"/>
      <c r="BD73" s="1548"/>
      <c r="BE73" s="1546"/>
      <c r="BF73" s="222">
        <f t="shared" si="39"/>
        <v>0</v>
      </c>
      <c r="BG73" s="113">
        <f t="shared" si="40"/>
        <v>0</v>
      </c>
      <c r="BH73" s="3"/>
      <c r="BI73" s="113">
        <f t="shared" si="41"/>
        <v>0</v>
      </c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31"/>
      <c r="BU73" s="131">
        <v>25</v>
      </c>
      <c r="BV73" s="129"/>
      <c r="BW73" s="130">
        <f t="shared" si="42"/>
        <v>0</v>
      </c>
      <c r="BX73" s="3"/>
    </row>
    <row r="74" ht="14.25" customHeight="1">
      <c r="A74" s="3"/>
      <c r="B74" s="93">
        <v>46084</v>
      </c>
      <c r="C74" s="118">
        <f>4796.22-D74-0</f>
      </c>
      <c r="D74" s="119">
        <v>1612.7</v>
      </c>
      <c r="E74" s="120"/>
      <c r="F74" s="120"/>
      <c r="G74" s="147">
        <f t="shared" si="34"/>
        <v>0</v>
      </c>
      <c r="H74" s="199">
        <v>455.47</v>
      </c>
      <c r="I74" s="145">
        <v>293.66</v>
      </c>
      <c r="J74" s="136"/>
      <c r="K74" s="145">
        <v>376.31</v>
      </c>
      <c r="L74" s="143"/>
      <c r="M74" s="143"/>
      <c r="N74" s="143"/>
      <c r="O74" s="99"/>
      <c r="P74" s="143"/>
      <c r="Q74" s="143"/>
      <c r="R74" s="143"/>
      <c r="S74" s="143"/>
      <c r="T74" s="143"/>
      <c r="U74" s="103">
        <f t="shared" si="35"/>
        <v>0</v>
      </c>
      <c r="V74" s="143"/>
      <c r="W74" s="143"/>
      <c r="X74" s="99"/>
      <c r="Y74" s="99"/>
      <c r="Z74" s="99"/>
      <c r="AA74" s="143"/>
      <c r="AB74" s="143"/>
      <c r="AC74" s="143"/>
      <c r="AD74" s="143"/>
      <c r="AE74" s="143"/>
      <c r="AF74" s="143"/>
      <c r="AG74" s="143"/>
      <c r="AH74" s="143"/>
      <c r="AI74" s="143"/>
      <c r="AJ74" s="103">
        <f t="shared" si="36"/>
        <v>0</v>
      </c>
      <c r="AK74" s="119">
        <v>703.02</v>
      </c>
      <c r="AL74" s="119">
        <v>373.2</v>
      </c>
      <c r="AM74" s="123"/>
      <c r="AN74" s="105">
        <f t="shared" si="37"/>
        <v>0</v>
      </c>
      <c r="AO74" s="145">
        <v>36.45</v>
      </c>
      <c r="AP74" s="143"/>
      <c r="AQ74" s="143"/>
      <c r="AR74" s="143"/>
      <c r="AS74" s="146"/>
      <c r="AT74" s="224">
        <f t="shared" si="38"/>
        <v>0</v>
      </c>
      <c r="AU74" s="1553">
        <v>1318.3</v>
      </c>
      <c r="AV74" s="1690"/>
      <c r="AW74" s="1690"/>
      <c r="AX74" s="1690"/>
      <c r="AY74" s="1690"/>
      <c r="AZ74" s="1688"/>
      <c r="BA74" s="1553">
        <v>1238.3</v>
      </c>
      <c r="BB74" s="1548"/>
      <c r="BC74" s="1548"/>
      <c r="BD74" s="1548"/>
      <c r="BE74" s="1546"/>
      <c r="BF74" s="222">
        <f t="shared" si="39"/>
        <v>0</v>
      </c>
      <c r="BG74" s="113">
        <f t="shared" si="40"/>
        <v>0</v>
      </c>
      <c r="BH74" s="3"/>
      <c r="BI74" s="113">
        <f t="shared" si="41"/>
        <v>0</v>
      </c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30">
        <f t="shared" si="42"/>
        <v>0</v>
      </c>
      <c r="BX74" s="3"/>
    </row>
    <row r="75" ht="14.25" customHeight="1">
      <c r="A75" s="3"/>
      <c r="B75" s="93">
        <v>46085</v>
      </c>
      <c r="C75" s="118">
        <f>6240.80-D75-0</f>
      </c>
      <c r="D75" s="119">
        <v>1562.3</v>
      </c>
      <c r="E75" s="120"/>
      <c r="F75" s="120"/>
      <c r="G75" s="147">
        <f t="shared" si="34"/>
        <v>0</v>
      </c>
      <c r="H75" s="144">
        <v>587.06</v>
      </c>
      <c r="I75" s="143"/>
      <c r="J75" s="136"/>
      <c r="K75" s="145">
        <v>388.45</v>
      </c>
      <c r="L75" s="143"/>
      <c r="M75" s="143"/>
      <c r="N75" s="143"/>
      <c r="O75" s="99"/>
      <c r="P75" s="143"/>
      <c r="Q75" s="143"/>
      <c r="R75" s="143"/>
      <c r="S75" s="143"/>
      <c r="T75" s="143"/>
      <c r="U75" s="103">
        <f t="shared" si="35"/>
        <v>0</v>
      </c>
      <c r="V75" s="143"/>
      <c r="W75" s="199">
        <v>559.6</v>
      </c>
      <c r="X75" s="133"/>
      <c r="Y75" s="122"/>
      <c r="Z75" s="99"/>
      <c r="AA75" s="143"/>
      <c r="AB75" s="143"/>
      <c r="AC75" s="143"/>
      <c r="AD75" s="143"/>
      <c r="AE75" s="143"/>
      <c r="AF75" s="143"/>
      <c r="AG75" s="143"/>
      <c r="AH75" s="143"/>
      <c r="AI75" s="143"/>
      <c r="AJ75" s="103">
        <f t="shared" si="36"/>
        <v>0</v>
      </c>
      <c r="AK75" s="119">
        <v>419.72</v>
      </c>
      <c r="AL75" s="119">
        <v>459.9</v>
      </c>
      <c r="AM75" s="123"/>
      <c r="AN75" s="105">
        <f t="shared" si="37"/>
        <v>0</v>
      </c>
      <c r="AO75" s="145">
        <v>59.63</v>
      </c>
      <c r="AP75" s="143"/>
      <c r="AQ75" s="143"/>
      <c r="AR75" s="143"/>
      <c r="AS75" s="146"/>
      <c r="AT75" s="224">
        <f t="shared" si="38"/>
        <v>0</v>
      </c>
      <c r="AU75" s="1553">
        <v>1694</v>
      </c>
      <c r="AV75" s="1690">
        <v>945</v>
      </c>
      <c r="AW75" s="1690"/>
      <c r="AX75" s="1690"/>
      <c r="AY75" s="1690"/>
      <c r="AZ75" s="1688"/>
      <c r="BA75" s="1553">
        <v>1102.4</v>
      </c>
      <c r="BB75" s="1548"/>
      <c r="BC75" s="1548"/>
      <c r="BD75" s="1548"/>
      <c r="BE75" s="1546"/>
      <c r="BF75" s="222">
        <f t="shared" si="39"/>
        <v>0</v>
      </c>
      <c r="BG75" s="113">
        <f t="shared" si="40"/>
        <v>0</v>
      </c>
      <c r="BH75" s="3"/>
      <c r="BI75" s="113">
        <f t="shared" si="41"/>
        <v>0</v>
      </c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31"/>
      <c r="BU75" s="131">
        <v>25</v>
      </c>
      <c r="BV75" s="129"/>
      <c r="BW75" s="130">
        <f t="shared" si="42"/>
        <v>0</v>
      </c>
      <c r="BX75" s="3"/>
    </row>
    <row r="76" ht="14.25" customHeight="1">
      <c r="A76" s="3"/>
      <c r="B76" s="93">
        <v>46086</v>
      </c>
      <c r="C76" s="118">
        <f>6419.70-D76-0</f>
      </c>
      <c r="D76" s="119">
        <v>2185.5</v>
      </c>
      <c r="E76" s="120"/>
      <c r="F76" s="120"/>
      <c r="G76" s="147">
        <f t="shared" si="34"/>
        <v>0</v>
      </c>
      <c r="H76" s="144">
        <v>388.06</v>
      </c>
      <c r="I76" s="143">
        <v>600.12</v>
      </c>
      <c r="J76" s="136"/>
      <c r="K76" s="145">
        <v>406</v>
      </c>
      <c r="L76" s="145">
        <v>62.3</v>
      </c>
      <c r="M76" s="143"/>
      <c r="N76" s="143"/>
      <c r="O76" s="99"/>
      <c r="P76" s="143"/>
      <c r="Q76" s="143"/>
      <c r="R76" s="143"/>
      <c r="S76" s="143"/>
      <c r="T76" s="143"/>
      <c r="U76" s="103">
        <f t="shared" si="35"/>
        <v>0</v>
      </c>
      <c r="V76" s="143"/>
      <c r="W76" s="145"/>
      <c r="X76" s="99"/>
      <c r="Y76" s="99"/>
      <c r="Z76" s="99"/>
      <c r="AA76" s="143"/>
      <c r="AB76" s="143"/>
      <c r="AC76" s="143"/>
      <c r="AD76" s="143"/>
      <c r="AE76" s="143"/>
      <c r="AF76" s="143"/>
      <c r="AG76" s="143"/>
      <c r="AH76" s="143"/>
      <c r="AI76" s="143"/>
      <c r="AJ76" s="103">
        <f t="shared" si="36"/>
        <v>0</v>
      </c>
      <c r="AK76" s="119">
        <v>787.23</v>
      </c>
      <c r="AL76" s="119">
        <v>407.7</v>
      </c>
      <c r="AM76" s="123"/>
      <c r="AN76" s="105">
        <f t="shared" si="37"/>
        <v>0</v>
      </c>
      <c r="AO76" s="145">
        <v>21.18</v>
      </c>
      <c r="AP76" s="143"/>
      <c r="AQ76" s="143"/>
      <c r="AR76" s="143"/>
      <c r="AS76" s="146"/>
      <c r="AT76" s="224">
        <f t="shared" si="38"/>
        <v>0</v>
      </c>
      <c r="AU76" s="1553">
        <v>1969.3</v>
      </c>
      <c r="AV76" s="1690"/>
      <c r="AW76" s="1690"/>
      <c r="AX76" s="1690"/>
      <c r="AY76" s="1690"/>
      <c r="AZ76" s="1688"/>
      <c r="BA76" s="1553">
        <v>1775.9</v>
      </c>
      <c r="BB76" s="1548"/>
      <c r="BC76" s="1548"/>
      <c r="BD76" s="1548"/>
      <c r="BE76" s="1546"/>
      <c r="BF76" s="222">
        <f t="shared" si="39"/>
        <v>0</v>
      </c>
      <c r="BG76" s="113">
        <f t="shared" si="40"/>
        <v>0</v>
      </c>
      <c r="BH76" s="3"/>
      <c r="BI76" s="113">
        <f t="shared" si="41"/>
        <v>0</v>
      </c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30">
        <f t="shared" si="42"/>
        <v>0</v>
      </c>
      <c r="BX76" s="3"/>
    </row>
    <row r="77" ht="14.25" customHeight="1">
      <c r="A77" s="132"/>
      <c r="B77" s="93">
        <v>46087</v>
      </c>
      <c r="C77" s="118">
        <f>8317.59-D77-0</f>
      </c>
      <c r="D77" s="119">
        <v>2520.1</v>
      </c>
      <c r="E77" s="135"/>
      <c r="F77" s="135"/>
      <c r="G77" s="147">
        <f t="shared" si="34"/>
        <v>0</v>
      </c>
      <c r="H77" s="144">
        <v>340.59</v>
      </c>
      <c r="I77" s="145">
        <v>356.18</v>
      </c>
      <c r="J77" s="136"/>
      <c r="K77" s="143"/>
      <c r="L77" s="143"/>
      <c r="M77" s="143"/>
      <c r="N77" s="143"/>
      <c r="O77" s="99"/>
      <c r="P77" s="143"/>
      <c r="Q77" s="143"/>
      <c r="R77" s="143"/>
      <c r="S77" s="143"/>
      <c r="T77" s="143"/>
      <c r="U77" s="103">
        <f t="shared" si="35"/>
        <v>0</v>
      </c>
      <c r="V77" s="143"/>
      <c r="W77" s="143"/>
      <c r="X77" s="99"/>
      <c r="Y77" s="99"/>
      <c r="Z77" s="99"/>
      <c r="AA77" s="143"/>
      <c r="AB77" s="143"/>
      <c r="AC77" s="143"/>
      <c r="AD77" s="143"/>
      <c r="AE77" s="143"/>
      <c r="AF77" s="143"/>
      <c r="AG77" s="143"/>
      <c r="AH77" s="143"/>
      <c r="AI77" s="143"/>
      <c r="AJ77" s="1158">
        <f t="shared" si="36"/>
        <v>0</v>
      </c>
      <c r="AK77" s="134">
        <v>485.7</v>
      </c>
      <c r="AL77" s="134">
        <v>321.2</v>
      </c>
      <c r="AM77" s="136"/>
      <c r="AN77" s="105">
        <f t="shared" si="37"/>
        <v>0</v>
      </c>
      <c r="AO77" s="145">
        <v>84.6</v>
      </c>
      <c r="AP77" s="143"/>
      <c r="AQ77" s="143"/>
      <c r="AR77" s="143"/>
      <c r="AS77" s="146"/>
      <c r="AT77" s="224">
        <f t="shared" si="38"/>
        <v>0</v>
      </c>
      <c r="AU77" s="1553">
        <v>2221.4</v>
      </c>
      <c r="AV77" s="1690">
        <v>2169.99</v>
      </c>
      <c r="AW77" s="1690"/>
      <c r="AX77" s="1690"/>
      <c r="AY77" s="1690"/>
      <c r="AZ77" s="1688"/>
      <c r="BA77" s="1553">
        <v>2231.1</v>
      </c>
      <c r="BB77" s="1548"/>
      <c r="BC77" s="1548"/>
      <c r="BD77" s="1548"/>
      <c r="BE77" s="1546"/>
      <c r="BF77" s="222">
        <f t="shared" si="39"/>
        <v>0</v>
      </c>
      <c r="BG77" s="140">
        <f t="shared" si="40"/>
        <v>0</v>
      </c>
      <c r="BH77" s="132"/>
      <c r="BI77" s="140">
        <f t="shared" si="41"/>
        <v>0</v>
      </c>
      <c r="BJ77" s="141"/>
      <c r="BK77" s="141"/>
      <c r="BL77" s="141"/>
      <c r="BM77" s="141"/>
      <c r="BN77" s="141"/>
      <c r="BO77" s="141"/>
      <c r="BP77" s="141"/>
      <c r="BQ77" s="141"/>
      <c r="BR77" s="141"/>
      <c r="BS77" s="141"/>
      <c r="BT77" s="150"/>
      <c r="BU77" s="141">
        <v>104.95</v>
      </c>
      <c r="BV77" s="141"/>
      <c r="BW77" s="635">
        <f t="shared" si="42"/>
        <v>0</v>
      </c>
      <c r="BX77" s="132"/>
    </row>
    <row r="78" ht="14.25" customHeight="1">
      <c r="A78" s="132"/>
      <c r="B78" s="93">
        <v>46088</v>
      </c>
      <c r="C78" s="133">
        <f>8220.42-D78-0</f>
      </c>
      <c r="D78" s="134">
        <v>1645.4</v>
      </c>
      <c r="E78" s="135"/>
      <c r="F78" s="135"/>
      <c r="G78" s="147">
        <f t="shared" si="34"/>
        <v>0</v>
      </c>
      <c r="H78" s="199">
        <v>274.63</v>
      </c>
      <c r="I78" s="143"/>
      <c r="J78" s="136"/>
      <c r="K78" s="145">
        <v>1013.44</v>
      </c>
      <c r="L78" s="143"/>
      <c r="M78" s="143"/>
      <c r="N78" s="143"/>
      <c r="O78" s="99"/>
      <c r="P78" s="143"/>
      <c r="Q78" s="143"/>
      <c r="R78" s="143"/>
      <c r="S78" s="143"/>
      <c r="T78" s="143"/>
      <c r="U78" s="103">
        <f t="shared" si="35"/>
        <v>0</v>
      </c>
      <c r="V78" s="143"/>
      <c r="W78" s="143"/>
      <c r="X78" s="99"/>
      <c r="Y78" s="99"/>
      <c r="Z78" s="99"/>
      <c r="AA78" s="143"/>
      <c r="AB78" s="143"/>
      <c r="AC78" s="143"/>
      <c r="AD78" s="143"/>
      <c r="AE78" s="143"/>
      <c r="AF78" s="143"/>
      <c r="AG78" s="143"/>
      <c r="AH78" s="143"/>
      <c r="AI78" s="143"/>
      <c r="AJ78" s="103">
        <f t="shared" si="36"/>
        <v>0</v>
      </c>
      <c r="AK78" s="134">
        <v>1450.84</v>
      </c>
      <c r="AL78" s="134">
        <v>260.2</v>
      </c>
      <c r="AM78" s="136"/>
      <c r="AN78" s="105">
        <f t="shared" si="37"/>
        <v>0</v>
      </c>
      <c r="AO78" s="145">
        <v>81.01</v>
      </c>
      <c r="AP78" s="143"/>
      <c r="AQ78" s="143"/>
      <c r="AR78" s="143"/>
      <c r="AS78" s="146">
        <v>0.22</v>
      </c>
      <c r="AT78" s="224">
        <f t="shared" si="38"/>
        <v>0</v>
      </c>
      <c r="AU78" s="1553">
        <v>2523.2</v>
      </c>
      <c r="AV78" s="1690">
        <v>1231.62</v>
      </c>
      <c r="AW78" s="1690"/>
      <c r="AX78" s="1690"/>
      <c r="AY78" s="1690"/>
      <c r="AZ78" s="1688"/>
      <c r="BA78" s="1553">
        <v>1383.3</v>
      </c>
      <c r="BB78" s="1548"/>
      <c r="BC78" s="1548"/>
      <c r="BD78" s="1548"/>
      <c r="BE78" s="1546"/>
      <c r="BF78" s="222">
        <f t="shared" si="39"/>
        <v>0</v>
      </c>
      <c r="BG78" s="140">
        <f t="shared" si="40"/>
        <v>0</v>
      </c>
      <c r="BH78" s="132"/>
      <c r="BI78" s="140">
        <f t="shared" si="41"/>
        <v>0</v>
      </c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30">
        <f t="shared" si="42"/>
        <v>0</v>
      </c>
      <c r="BX78" s="132"/>
    </row>
    <row r="79" ht="14.25" customHeight="1">
      <c r="A79" s="132"/>
      <c r="B79" s="93">
        <v>46089</v>
      </c>
      <c r="C79" s="133">
        <f>3826.54-D79-0</f>
      </c>
      <c r="D79" s="134">
        <v>1020.8</v>
      </c>
      <c r="E79" s="135"/>
      <c r="F79" s="135"/>
      <c r="G79" s="147">
        <f t="shared" si="34"/>
        <v>0</v>
      </c>
      <c r="H79" s="199">
        <v>314.39</v>
      </c>
      <c r="I79" s="143"/>
      <c r="J79" s="136"/>
      <c r="K79" s="143"/>
      <c r="L79" s="143"/>
      <c r="M79" s="143"/>
      <c r="N79" s="143"/>
      <c r="O79" s="99"/>
      <c r="P79" s="143"/>
      <c r="Q79" s="143"/>
      <c r="R79" s="143"/>
      <c r="S79" s="143"/>
      <c r="T79" s="143"/>
      <c r="U79" s="103">
        <f t="shared" si="35"/>
        <v>0</v>
      </c>
      <c r="V79" s="143"/>
      <c r="W79" s="143"/>
      <c r="X79" s="136"/>
      <c r="Y79" s="99"/>
      <c r="Z79" s="99"/>
      <c r="AA79" s="143"/>
      <c r="AB79" s="143"/>
      <c r="AC79" s="143"/>
      <c r="AD79" s="143"/>
      <c r="AE79" s="143"/>
      <c r="AF79" s="143"/>
      <c r="AG79" s="143"/>
      <c r="AH79" s="143"/>
      <c r="AI79" s="143"/>
      <c r="AJ79" s="103">
        <f t="shared" si="36"/>
        <v>0</v>
      </c>
      <c r="AK79" s="134">
        <v>329.05</v>
      </c>
      <c r="AL79" s="134">
        <v>230.9</v>
      </c>
      <c r="AM79" s="136"/>
      <c r="AN79" s="105">
        <f t="shared" si="37"/>
        <v>0</v>
      </c>
      <c r="AO79" s="143"/>
      <c r="AP79" s="143"/>
      <c r="AQ79" s="143"/>
      <c r="AR79" s="143"/>
      <c r="AS79" s="146"/>
      <c r="AT79" s="224">
        <f t="shared" si="38"/>
        <v>0</v>
      </c>
      <c r="AU79" s="1553">
        <v>2181.5</v>
      </c>
      <c r="AV79" s="1690"/>
      <c r="AW79" s="1690"/>
      <c r="AX79" s="1690"/>
      <c r="AY79" s="1690"/>
      <c r="AZ79" s="1688"/>
      <c r="BA79" s="1553">
        <v>768.6</v>
      </c>
      <c r="BB79" s="1548"/>
      <c r="BC79" s="1548"/>
      <c r="BD79" s="1548"/>
      <c r="BE79" s="1546"/>
      <c r="BF79" s="222">
        <f t="shared" si="39"/>
        <v>0</v>
      </c>
      <c r="BG79" s="140">
        <f t="shared" si="40"/>
        <v>0</v>
      </c>
      <c r="BH79" s="132"/>
      <c r="BI79" s="140">
        <f t="shared" si="41"/>
        <v>0</v>
      </c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30">
        <f t="shared" si="42"/>
        <v>0</v>
      </c>
      <c r="BX79" s="132"/>
    </row>
    <row r="80" ht="14.25" customHeight="1">
      <c r="A80" s="132"/>
      <c r="B80" s="93">
        <v>46090</v>
      </c>
      <c r="C80" s="133">
        <f>3787.98-D80-0</f>
      </c>
      <c r="D80" s="134">
        <v>790.6</v>
      </c>
      <c r="E80" s="135"/>
      <c r="F80" s="135"/>
      <c r="G80" s="147">
        <f t="shared" si="34"/>
        <v>0</v>
      </c>
      <c r="H80" s="199">
        <v>1245.81</v>
      </c>
      <c r="I80" s="145">
        <v>356.72</v>
      </c>
      <c r="J80" s="136"/>
      <c r="K80" s="143"/>
      <c r="L80" s="143"/>
      <c r="M80" s="143"/>
      <c r="N80" s="143"/>
      <c r="O80" s="99"/>
      <c r="P80" s="143"/>
      <c r="Q80" s="143"/>
      <c r="R80" s="143"/>
      <c r="S80" s="143"/>
      <c r="T80" s="143"/>
      <c r="U80" s="103">
        <f t="shared" si="35"/>
        <v>0</v>
      </c>
      <c r="V80" s="143"/>
      <c r="W80" s="143"/>
      <c r="X80" s="99"/>
      <c r="Y80" s="99"/>
      <c r="Z80" s="99"/>
      <c r="AA80" s="143"/>
      <c r="AB80" s="143"/>
      <c r="AC80" s="143"/>
      <c r="AD80" s="143"/>
      <c r="AE80" s="143"/>
      <c r="AF80" s="143"/>
      <c r="AG80" s="143"/>
      <c r="AH80" s="143"/>
      <c r="AI80" s="143"/>
      <c r="AJ80" s="103">
        <f t="shared" si="36"/>
        <v>0</v>
      </c>
      <c r="AK80" s="134">
        <v>812.62</v>
      </c>
      <c r="AL80" s="134">
        <v>281.3</v>
      </c>
      <c r="AM80" s="136"/>
      <c r="AN80" s="105">
        <f t="shared" si="37"/>
        <v>0</v>
      </c>
      <c r="AO80" s="143"/>
      <c r="AP80" s="143"/>
      <c r="AQ80" s="143"/>
      <c r="AR80" s="143"/>
      <c r="AS80" s="146"/>
      <c r="AT80" s="224">
        <f t="shared" si="38"/>
        <v>0</v>
      </c>
      <c r="AU80" s="1553">
        <v>582.2</v>
      </c>
      <c r="AV80" s="1690"/>
      <c r="AW80" s="1690"/>
      <c r="AX80" s="1690"/>
      <c r="AY80" s="1690"/>
      <c r="AZ80" s="1688"/>
      <c r="BA80" s="1553">
        <v>509</v>
      </c>
      <c r="BB80" s="1548"/>
      <c r="BC80" s="1548"/>
      <c r="BD80" s="1548"/>
      <c r="BE80" s="1546"/>
      <c r="BF80" s="222">
        <f t="shared" si="39"/>
        <v>0</v>
      </c>
      <c r="BG80" s="140">
        <f t="shared" si="40"/>
        <v>0</v>
      </c>
      <c r="BH80" s="132"/>
      <c r="BI80" s="140">
        <f t="shared" si="41"/>
        <v>0</v>
      </c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30">
        <f t="shared" si="42"/>
        <v>0</v>
      </c>
      <c r="BX80" s="132"/>
    </row>
    <row r="81" ht="15" customHeight="1">
      <c r="A81" s="132"/>
      <c r="B81" s="93">
        <v>46091</v>
      </c>
      <c r="C81" s="133">
        <f>4612.36-D81-0</f>
      </c>
      <c r="D81" s="134">
        <v>787</v>
      </c>
      <c r="E81" s="135"/>
      <c r="F81" s="135"/>
      <c r="G81" s="147">
        <f t="shared" si="34"/>
        <v>0</v>
      </c>
      <c r="H81" s="199">
        <v>457.84</v>
      </c>
      <c r="I81" s="145">
        <v>476.04</v>
      </c>
      <c r="J81" s="136"/>
      <c r="K81" s="143"/>
      <c r="L81" s="143"/>
      <c r="M81" s="143"/>
      <c r="N81" s="143"/>
      <c r="O81" s="99"/>
      <c r="P81" s="143"/>
      <c r="Q81" s="143"/>
      <c r="R81" s="143"/>
      <c r="S81" s="143"/>
      <c r="T81" s="143"/>
      <c r="U81" s="103">
        <f t="shared" si="35"/>
        <v>0</v>
      </c>
      <c r="V81" s="143"/>
      <c r="W81" s="143"/>
      <c r="X81" s="99"/>
      <c r="Y81" s="99"/>
      <c r="Z81" s="99"/>
      <c r="AA81" s="143"/>
      <c r="AB81" s="143"/>
      <c r="AC81" s="143"/>
      <c r="AD81" s="143"/>
      <c r="AE81" s="143"/>
      <c r="AF81" s="143"/>
      <c r="AG81" s="143"/>
      <c r="AH81" s="143"/>
      <c r="AI81" s="143"/>
      <c r="AJ81" s="103">
        <f t="shared" si="36"/>
        <v>0</v>
      </c>
      <c r="AK81" s="134">
        <v>1011.94</v>
      </c>
      <c r="AL81" s="134">
        <v>118</v>
      </c>
      <c r="AM81" s="136"/>
      <c r="AN81" s="105">
        <f t="shared" si="37"/>
        <v>0</v>
      </c>
      <c r="AO81" s="143"/>
      <c r="AP81" s="143"/>
      <c r="AQ81" s="143"/>
      <c r="AR81" s="143"/>
      <c r="AS81" s="146"/>
      <c r="AT81" s="224">
        <f t="shared" si="38"/>
        <v>0</v>
      </c>
      <c r="AU81" s="1553">
        <v>1929.6</v>
      </c>
      <c r="AV81" s="1690"/>
      <c r="AW81" s="1690"/>
      <c r="AX81" s="1690"/>
      <c r="AY81" s="1690"/>
      <c r="AZ81" s="1688"/>
      <c r="BA81" s="1553">
        <v>593.9</v>
      </c>
      <c r="BB81" s="1548"/>
      <c r="BC81" s="1548"/>
      <c r="BD81" s="1548"/>
      <c r="BE81" s="1546"/>
      <c r="BF81" s="222">
        <f t="shared" si="39"/>
        <v>0</v>
      </c>
      <c r="BG81" s="140">
        <f t="shared" si="40"/>
        <v>0</v>
      </c>
      <c r="BH81" s="132"/>
      <c r="BI81" s="140">
        <f t="shared" si="41"/>
        <v>0</v>
      </c>
      <c r="BJ81" s="141"/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50">
        <v>25</v>
      </c>
      <c r="BV81" s="141"/>
      <c r="BW81" s="130">
        <f t="shared" si="42"/>
        <v>0</v>
      </c>
      <c r="BX81" s="132"/>
    </row>
    <row r="82" ht="14.25" customHeight="1">
      <c r="A82" s="132"/>
      <c r="B82" s="93">
        <v>46092</v>
      </c>
      <c r="C82" s="133">
        <f>8318.26-D82-0</f>
      </c>
      <c r="D82" s="134">
        <v>1448</v>
      </c>
      <c r="E82" s="135"/>
      <c r="F82" s="135"/>
      <c r="G82" s="147">
        <f t="shared" si="34"/>
        <v>0</v>
      </c>
      <c r="H82" s="144">
        <v>2225.81</v>
      </c>
      <c r="I82" s="143"/>
      <c r="J82" s="136"/>
      <c r="K82" s="145">
        <v>500.54</v>
      </c>
      <c r="L82" s="143"/>
      <c r="M82" s="381"/>
      <c r="N82" s="143"/>
      <c r="O82" s="99"/>
      <c r="P82" s="143"/>
      <c r="Q82" s="143"/>
      <c r="R82" s="143"/>
      <c r="S82" s="143"/>
      <c r="T82" s="143"/>
      <c r="U82" s="103">
        <f t="shared" si="35"/>
        <v>0</v>
      </c>
      <c r="V82" s="143"/>
      <c r="W82" s="143"/>
      <c r="X82" s="99"/>
      <c r="Y82" s="99"/>
      <c r="Z82" s="99"/>
      <c r="AA82" s="143"/>
      <c r="AB82" s="143"/>
      <c r="AC82" s="143"/>
      <c r="AD82" s="143"/>
      <c r="AE82" s="143"/>
      <c r="AF82" s="143"/>
      <c r="AG82" s="143"/>
      <c r="AH82" s="143"/>
      <c r="AI82" s="143"/>
      <c r="AJ82" s="103">
        <f t="shared" si="36"/>
        <v>0</v>
      </c>
      <c r="AK82" s="134">
        <v>100</v>
      </c>
      <c r="AL82" s="134">
        <v>541.4</v>
      </c>
      <c r="AM82" s="136"/>
      <c r="AN82" s="105">
        <f t="shared" si="37"/>
        <v>0</v>
      </c>
      <c r="AO82" s="145">
        <v>91.66</v>
      </c>
      <c r="AP82" s="143"/>
      <c r="AQ82" s="143"/>
      <c r="AR82" s="143"/>
      <c r="AS82" s="149">
        <v>3.79</v>
      </c>
      <c r="AT82" s="224">
        <f t="shared" si="38"/>
        <v>0</v>
      </c>
      <c r="AU82" s="1553">
        <v>1494.7</v>
      </c>
      <c r="AV82" s="1690">
        <v>2490.6</v>
      </c>
      <c r="AW82" s="1690"/>
      <c r="AX82" s="1690"/>
      <c r="AY82" s="1690"/>
      <c r="AZ82" s="1688"/>
      <c r="BA82" s="1553">
        <v>843.3</v>
      </c>
      <c r="BB82" s="1548"/>
      <c r="BC82" s="1548"/>
      <c r="BD82" s="1548"/>
      <c r="BE82" s="1546"/>
      <c r="BF82" s="222">
        <f t="shared" si="39"/>
        <v>0</v>
      </c>
      <c r="BG82" s="140">
        <f t="shared" si="40"/>
        <v>0</v>
      </c>
      <c r="BH82" s="132"/>
      <c r="BI82" s="140">
        <f t="shared" si="41"/>
        <v>0</v>
      </c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50">
        <v>25</v>
      </c>
      <c r="BV82" s="141"/>
      <c r="BW82" s="130">
        <f t="shared" si="42"/>
        <v>0</v>
      </c>
      <c r="BX82" s="132"/>
    </row>
    <row r="83" ht="14.25" customHeight="1">
      <c r="A83" s="132"/>
      <c r="B83" s="93">
        <v>46093</v>
      </c>
      <c r="C83" s="132">
        <f>10079.90-D83-0</f>
      </c>
      <c r="D83" s="134">
        <v>1073.5</v>
      </c>
      <c r="E83" s="135"/>
      <c r="F83" s="135"/>
      <c r="G83" s="147">
        <f t="shared" si="34"/>
        <v>0</v>
      </c>
      <c r="H83" s="144">
        <v>619.91</v>
      </c>
      <c r="I83" s="145">
        <v>345.68</v>
      </c>
      <c r="J83" s="136"/>
      <c r="K83" s="145">
        <v>864.3</v>
      </c>
      <c r="L83" s="143"/>
      <c r="M83" s="381"/>
      <c r="N83" s="143"/>
      <c r="O83" s="99"/>
      <c r="P83" s="143"/>
      <c r="Q83" s="143"/>
      <c r="R83" s="143"/>
      <c r="S83" s="143"/>
      <c r="T83" s="143"/>
      <c r="U83" s="103">
        <f t="shared" si="35"/>
        <v>0</v>
      </c>
      <c r="V83" s="143"/>
      <c r="W83" s="143"/>
      <c r="X83" s="99"/>
      <c r="Y83" s="99"/>
      <c r="Z83" s="99"/>
      <c r="AA83" s="143"/>
      <c r="AB83" s="143"/>
      <c r="AC83" s="143"/>
      <c r="AD83" s="143"/>
      <c r="AE83" s="143"/>
      <c r="AF83" s="143"/>
      <c r="AG83" s="143"/>
      <c r="AH83" s="143"/>
      <c r="AI83" s="143"/>
      <c r="AJ83" s="103">
        <f t="shared" si="36"/>
        <v>0</v>
      </c>
      <c r="AK83" s="134">
        <v>3719.38</v>
      </c>
      <c r="AL83" s="134">
        <v>154.58</v>
      </c>
      <c r="AM83" s="136"/>
      <c r="AN83" s="105">
        <f t="shared" si="37"/>
        <v>0</v>
      </c>
      <c r="AO83" s="145">
        <v>312.93</v>
      </c>
      <c r="AP83" s="143"/>
      <c r="AQ83" s="143"/>
      <c r="AR83" s="143"/>
      <c r="AS83" s="149">
        <v>8.26</v>
      </c>
      <c r="AT83" s="224">
        <f t="shared" si="38"/>
        <v>0</v>
      </c>
      <c r="AU83" s="1553">
        <v>3198.4</v>
      </c>
      <c r="AV83" s="1690"/>
      <c r="AW83" s="1690"/>
      <c r="AX83" s="1690"/>
      <c r="AY83" s="1690"/>
      <c r="AZ83" s="1688"/>
      <c r="BA83" s="1553">
        <v>855.6</v>
      </c>
      <c r="BB83" s="1548"/>
      <c r="BC83" s="1548"/>
      <c r="BD83" s="1548"/>
      <c r="BE83" s="1546"/>
      <c r="BF83" s="222">
        <f t="shared" si="39"/>
        <v>0</v>
      </c>
      <c r="BG83" s="140">
        <f t="shared" si="40"/>
        <v>0</v>
      </c>
      <c r="BH83" s="132"/>
      <c r="BI83" s="140">
        <f t="shared" si="41"/>
        <v>0</v>
      </c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30">
        <f t="shared" si="42"/>
        <v>0</v>
      </c>
      <c r="BX83" s="132"/>
    </row>
    <row r="84" ht="14.25" customHeight="1">
      <c r="A84" s="132"/>
      <c r="B84" s="93">
        <v>46094</v>
      </c>
      <c r="C84" s="133">
        <f>6326.46-D84-0</f>
      </c>
      <c r="D84" s="134">
        <v>1227.7</v>
      </c>
      <c r="E84" s="135"/>
      <c r="F84" s="135"/>
      <c r="G84" s="147">
        <f t="shared" si="34"/>
        <v>0</v>
      </c>
      <c r="H84" s="199">
        <v>889.07</v>
      </c>
      <c r="I84" s="145">
        <v>535.79</v>
      </c>
      <c r="J84" s="136"/>
      <c r="K84" s="145">
        <v>657.26</v>
      </c>
      <c r="L84" s="145">
        <v>182.33</v>
      </c>
      <c r="M84" s="381"/>
      <c r="N84" s="143"/>
      <c r="O84" s="99"/>
      <c r="P84" s="143"/>
      <c r="Q84" s="143"/>
      <c r="R84" s="143"/>
      <c r="S84" s="143"/>
      <c r="T84" s="143"/>
      <c r="U84" s="103">
        <f t="shared" si="35"/>
        <v>0</v>
      </c>
      <c r="V84" s="143"/>
      <c r="W84" s="143"/>
      <c r="X84" s="99"/>
      <c r="Y84" s="99"/>
      <c r="Z84" s="99"/>
      <c r="AA84" s="143"/>
      <c r="AB84" s="143"/>
      <c r="AC84" s="143"/>
      <c r="AD84" s="143"/>
      <c r="AE84" s="143"/>
      <c r="AF84" s="143"/>
      <c r="AG84" s="143"/>
      <c r="AH84" s="143"/>
      <c r="AI84" s="143"/>
      <c r="AJ84" s="103">
        <f t="shared" si="36"/>
        <v>0</v>
      </c>
      <c r="AK84" s="134">
        <v>985.39</v>
      </c>
      <c r="AL84" s="134">
        <v>403.46</v>
      </c>
      <c r="AM84" s="136"/>
      <c r="AN84" s="105">
        <f t="shared" si="37"/>
        <v>0</v>
      </c>
      <c r="AO84" s="145">
        <v>145.68</v>
      </c>
      <c r="AP84" s="143"/>
      <c r="AQ84" s="143"/>
      <c r="AR84" s="143"/>
      <c r="AS84" s="146"/>
      <c r="AT84" s="224">
        <f t="shared" si="38"/>
        <v>0</v>
      </c>
      <c r="AU84" s="1553">
        <v>1678.3</v>
      </c>
      <c r="AV84" s="1690"/>
      <c r="AW84" s="1690"/>
      <c r="AX84" s="1690"/>
      <c r="AY84" s="1690"/>
      <c r="AZ84" s="1688"/>
      <c r="BA84" s="1553">
        <v>822.3</v>
      </c>
      <c r="BB84" s="1548"/>
      <c r="BC84" s="1548"/>
      <c r="BD84" s="1548"/>
      <c r="BE84" s="1546"/>
      <c r="BF84" s="222">
        <f t="shared" si="39"/>
        <v>0</v>
      </c>
      <c r="BG84" s="140">
        <f t="shared" si="40"/>
        <v>0</v>
      </c>
      <c r="BH84" s="132"/>
      <c r="BI84" s="140">
        <f t="shared" si="41"/>
        <v>0</v>
      </c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50">
        <v>25</v>
      </c>
      <c r="BV84" s="141"/>
      <c r="BW84" s="130">
        <f t="shared" si="42"/>
        <v>0</v>
      </c>
      <c r="BX84" s="132"/>
    </row>
    <row r="85" ht="14.25" customHeight="1">
      <c r="A85" s="132"/>
      <c r="B85" s="93">
        <v>46095</v>
      </c>
      <c r="C85" s="132">
        <f>4592.42-D85-0</f>
      </c>
      <c r="D85" s="134">
        <v>1131.3</v>
      </c>
      <c r="E85" s="132"/>
      <c r="F85" s="135"/>
      <c r="G85" s="147">
        <f t="shared" si="34"/>
        <v>0</v>
      </c>
      <c r="H85" s="144">
        <v>232.6</v>
      </c>
      <c r="I85" s="143"/>
      <c r="J85" s="136"/>
      <c r="K85" s="145">
        <v>454.97</v>
      </c>
      <c r="L85" s="143"/>
      <c r="M85" s="381"/>
      <c r="N85" s="143"/>
      <c r="O85" s="99"/>
      <c r="P85" s="143"/>
      <c r="Q85" s="143"/>
      <c r="R85" s="143"/>
      <c r="S85" s="143"/>
      <c r="T85" s="143"/>
      <c r="U85" s="103">
        <f t="shared" si="35"/>
        <v>0</v>
      </c>
      <c r="V85" s="143"/>
      <c r="W85" s="143"/>
      <c r="X85" s="99"/>
      <c r="Y85" s="99"/>
      <c r="Z85" s="99"/>
      <c r="AA85" s="143"/>
      <c r="AB85" s="143"/>
      <c r="AC85" s="143"/>
      <c r="AD85" s="143"/>
      <c r="AE85" s="143"/>
      <c r="AF85" s="143"/>
      <c r="AG85" s="143"/>
      <c r="AH85" s="143"/>
      <c r="AI85" s="143"/>
      <c r="AJ85" s="103">
        <f t="shared" si="36"/>
        <v>0</v>
      </c>
      <c r="AK85" s="134">
        <v>386.25</v>
      </c>
      <c r="AL85" s="134">
        <v>150.9</v>
      </c>
      <c r="AM85" s="136"/>
      <c r="AN85" s="105">
        <f t="shared" si="37"/>
        <v>0</v>
      </c>
      <c r="AO85" s="145">
        <v>34.56</v>
      </c>
      <c r="AP85" s="143"/>
      <c r="AQ85" s="143"/>
      <c r="AR85" s="143"/>
      <c r="AS85" s="146">
        <v>1.19</v>
      </c>
      <c r="AT85" s="224">
        <f t="shared" si="38"/>
        <v>0</v>
      </c>
      <c r="AU85" s="1553">
        <v>2365.2</v>
      </c>
      <c r="AV85" s="1690"/>
      <c r="AW85" s="1690"/>
      <c r="AX85" s="1690"/>
      <c r="AY85" s="1690"/>
      <c r="AZ85" s="1688"/>
      <c r="BA85" s="1553">
        <v>940.1</v>
      </c>
      <c r="BB85" s="1548"/>
      <c r="BC85" s="1548"/>
      <c r="BD85" s="1548"/>
      <c r="BE85" s="1546"/>
      <c r="BF85" s="222">
        <f t="shared" si="39"/>
        <v>0</v>
      </c>
      <c r="BG85" s="140">
        <f t="shared" si="40"/>
        <v>0</v>
      </c>
      <c r="BH85" s="132"/>
      <c r="BI85" s="140">
        <f t="shared" si="41"/>
        <v>0</v>
      </c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50">
        <v>25</v>
      </c>
      <c r="BV85" s="141"/>
      <c r="BW85" s="130">
        <f t="shared" si="42"/>
        <v>0</v>
      </c>
      <c r="BX85" s="132"/>
    </row>
    <row r="86" ht="14.25" customHeight="1">
      <c r="A86" s="132"/>
      <c r="B86" s="93">
        <v>46096</v>
      </c>
      <c r="C86" s="133">
        <f>3990.02-D86-0</f>
      </c>
      <c r="D86" s="134">
        <v>1122.6</v>
      </c>
      <c r="E86" s="135"/>
      <c r="F86" s="135"/>
      <c r="G86" s="147">
        <f t="shared" si="34"/>
        <v>0</v>
      </c>
      <c r="H86" s="199">
        <v>435.98</v>
      </c>
      <c r="I86" s="143"/>
      <c r="J86" s="136"/>
      <c r="K86" s="143"/>
      <c r="L86" s="143"/>
      <c r="M86" s="874"/>
      <c r="N86" s="143"/>
      <c r="O86" s="99"/>
      <c r="P86" s="143"/>
      <c r="Q86" s="143"/>
      <c r="R86" s="143"/>
      <c r="S86" s="143"/>
      <c r="T86" s="143"/>
      <c r="U86" s="103">
        <f t="shared" si="35"/>
        <v>0</v>
      </c>
      <c r="V86" s="143"/>
      <c r="W86" s="143"/>
      <c r="X86" s="99"/>
      <c r="Y86" s="99"/>
      <c r="Z86" s="99"/>
      <c r="AA86" s="143"/>
      <c r="AB86" s="143"/>
      <c r="AC86" s="143"/>
      <c r="AD86" s="143"/>
      <c r="AE86" s="143"/>
      <c r="AF86" s="143"/>
      <c r="AG86" s="143"/>
      <c r="AH86" s="143"/>
      <c r="AI86" s="143"/>
      <c r="AJ86" s="103">
        <f t="shared" si="36"/>
        <v>0</v>
      </c>
      <c r="AK86" s="134">
        <v>532.01</v>
      </c>
      <c r="AL86" s="134">
        <v>407.9</v>
      </c>
      <c r="AM86" s="136"/>
      <c r="AN86" s="105">
        <f t="shared" si="37"/>
        <v>0</v>
      </c>
      <c r="AO86" s="143"/>
      <c r="AP86" s="143"/>
      <c r="AQ86" s="143"/>
      <c r="AR86" s="143"/>
      <c r="AS86" s="146">
        <v>0.15</v>
      </c>
      <c r="AT86" s="224">
        <f t="shared" si="38"/>
        <v>0</v>
      </c>
      <c r="AU86" s="1553">
        <v>1791.3</v>
      </c>
      <c r="AV86" s="1690"/>
      <c r="AW86" s="1690"/>
      <c r="AX86" s="1690"/>
      <c r="AY86" s="1690"/>
      <c r="AZ86" s="1688"/>
      <c r="BA86" s="1553">
        <v>713.7</v>
      </c>
      <c r="BB86" s="1548"/>
      <c r="BC86" s="1548"/>
      <c r="BD86" s="1548"/>
      <c r="BE86" s="1546"/>
      <c r="BF86" s="222">
        <f t="shared" si="39"/>
        <v>0</v>
      </c>
      <c r="BG86" s="140">
        <f t="shared" si="40"/>
        <v>0</v>
      </c>
      <c r="BH86" s="132"/>
      <c r="BI86" s="140">
        <f t="shared" si="41"/>
        <v>0</v>
      </c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50"/>
      <c r="BU86" s="141">
        <v>108</v>
      </c>
      <c r="BV86" s="141"/>
      <c r="BW86" s="130">
        <f t="shared" si="42"/>
        <v>0</v>
      </c>
      <c r="BX86" s="132"/>
    </row>
    <row r="87" ht="14.25" customHeight="1">
      <c r="A87" s="132"/>
      <c r="B87" s="93">
        <v>46097</v>
      </c>
      <c r="C87" s="133">
        <f>7362.71-D87-0</f>
      </c>
      <c r="D87" s="134">
        <v>1667.2</v>
      </c>
      <c r="E87" s="135"/>
      <c r="F87" s="135"/>
      <c r="G87" s="147">
        <f t="shared" si="34"/>
        <v>0</v>
      </c>
      <c r="H87" s="199">
        <v>1549.75</v>
      </c>
      <c r="I87" s="143"/>
      <c r="J87" s="136"/>
      <c r="K87" s="143"/>
      <c r="L87" s="143"/>
      <c r="M87" s="143"/>
      <c r="N87" s="143"/>
      <c r="O87" s="99"/>
      <c r="P87" s="143"/>
      <c r="Q87" s="143"/>
      <c r="R87" s="143"/>
      <c r="S87" s="143"/>
      <c r="T87" s="143"/>
      <c r="U87" s="103">
        <f t="shared" si="35"/>
        <v>0</v>
      </c>
      <c r="V87" s="143"/>
      <c r="W87" s="143"/>
      <c r="X87" s="99"/>
      <c r="Y87" s="99"/>
      <c r="Z87" s="99"/>
      <c r="AA87" s="143"/>
      <c r="AB87" s="143"/>
      <c r="AC87" s="143"/>
      <c r="AD87" s="143"/>
      <c r="AE87" s="143"/>
      <c r="AF87" s="143"/>
      <c r="AG87" s="143"/>
      <c r="AH87" s="143"/>
      <c r="AI87" s="143"/>
      <c r="AJ87" s="103">
        <f t="shared" si="36"/>
        <v>0</v>
      </c>
      <c r="AK87" s="134">
        <v>1288.67</v>
      </c>
      <c r="AL87" s="134">
        <v>370.8</v>
      </c>
      <c r="AM87" s="136"/>
      <c r="AN87" s="105">
        <f t="shared" si="37"/>
        <v>0</v>
      </c>
      <c r="AO87" s="143"/>
      <c r="AP87" s="143"/>
      <c r="AQ87" s="143"/>
      <c r="AR87" s="143"/>
      <c r="AS87" s="146"/>
      <c r="AT87" s="224">
        <f t="shared" si="38"/>
        <v>0</v>
      </c>
      <c r="AU87" s="1553">
        <v>2857.1</v>
      </c>
      <c r="AV87" s="1690"/>
      <c r="AW87" s="1690"/>
      <c r="AX87" s="1690"/>
      <c r="AY87" s="1690"/>
      <c r="AZ87" s="1688"/>
      <c r="BA87" s="1553">
        <v>1294.5</v>
      </c>
      <c r="BB87" s="1548"/>
      <c r="BC87" s="1548"/>
      <c r="BD87" s="1548"/>
      <c r="BE87" s="1546"/>
      <c r="BF87" s="222">
        <f t="shared" si="39"/>
        <v>0</v>
      </c>
      <c r="BG87" s="140">
        <f t="shared" si="40"/>
        <v>0</v>
      </c>
      <c r="BH87" s="132"/>
      <c r="BI87" s="140">
        <f t="shared" si="41"/>
        <v>0</v>
      </c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30">
        <f t="shared" si="42"/>
        <v>0</v>
      </c>
      <c r="BX87" s="132"/>
    </row>
    <row r="88" ht="14.25" customHeight="1">
      <c r="A88" s="132"/>
      <c r="B88" s="93">
        <v>46098</v>
      </c>
      <c r="C88" s="133">
        <f>11771.50-D88-0</f>
      </c>
      <c r="D88" s="134">
        <v>1085.5</v>
      </c>
      <c r="E88" s="135"/>
      <c r="F88" s="135"/>
      <c r="G88" s="147">
        <f t="shared" si="34"/>
        <v>0</v>
      </c>
      <c r="H88" s="144">
        <v>931.16</v>
      </c>
      <c r="I88" s="145">
        <v>575.67</v>
      </c>
      <c r="J88" s="136"/>
      <c r="K88" s="143"/>
      <c r="L88" s="143"/>
      <c r="M88" s="143"/>
      <c r="N88" s="143"/>
      <c r="O88" s="99"/>
      <c r="P88" s="143"/>
      <c r="Q88" s="143"/>
      <c r="R88" s="143"/>
      <c r="S88" s="143"/>
      <c r="T88" s="143"/>
      <c r="U88" s="103">
        <f t="shared" si="35"/>
        <v>0</v>
      </c>
      <c r="V88" s="136"/>
      <c r="W88" s="136"/>
      <c r="X88" s="99"/>
      <c r="Y88" s="99"/>
      <c r="Z88" s="99"/>
      <c r="AA88" s="143"/>
      <c r="AB88" s="143"/>
      <c r="AC88" s="143"/>
      <c r="AD88" s="143"/>
      <c r="AE88" s="143"/>
      <c r="AF88" s="143"/>
      <c r="AG88" s="143"/>
      <c r="AH88" s="143"/>
      <c r="AI88" s="143"/>
      <c r="AJ88" s="103">
        <f t="shared" si="36"/>
        <v>0</v>
      </c>
      <c r="AK88" s="134">
        <v>3480.28</v>
      </c>
      <c r="AL88" s="134">
        <v>328.5</v>
      </c>
      <c r="AM88" s="136"/>
      <c r="AN88" s="105">
        <f t="shared" si="37"/>
        <v>0</v>
      </c>
      <c r="AO88" s="145">
        <v>24.07</v>
      </c>
      <c r="AP88" s="143"/>
      <c r="AQ88" s="143"/>
      <c r="AR88" s="143"/>
      <c r="AS88" s="146">
        <v>0.44</v>
      </c>
      <c r="AT88" s="224">
        <f t="shared" si="38"/>
        <v>0</v>
      </c>
      <c r="AU88" s="1553">
        <v>3202.4</v>
      </c>
      <c r="AV88" s="1690">
        <v>2490.46</v>
      </c>
      <c r="AW88" s="1690"/>
      <c r="AX88" s="1690"/>
      <c r="AY88" s="1690"/>
      <c r="AZ88" s="1688"/>
      <c r="BA88" s="1553">
        <v>712.3</v>
      </c>
      <c r="BB88" s="1548"/>
      <c r="BC88" s="1548"/>
      <c r="BD88" s="1548"/>
      <c r="BE88" s="1546"/>
      <c r="BF88" s="222">
        <f t="shared" si="39"/>
        <v>0</v>
      </c>
      <c r="BG88" s="140">
        <f t="shared" si="40"/>
        <v>0</v>
      </c>
      <c r="BH88" s="132"/>
      <c r="BI88" s="140">
        <f t="shared" si="41"/>
        <v>0</v>
      </c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50">
        <v>25</v>
      </c>
      <c r="BV88" s="141"/>
      <c r="BW88" s="130">
        <f t="shared" si="42"/>
        <v>0</v>
      </c>
      <c r="BX88" s="132"/>
    </row>
    <row r="89" ht="14.25" customHeight="1">
      <c r="A89" s="132"/>
      <c r="B89" s="93">
        <v>46099</v>
      </c>
      <c r="C89" s="133">
        <f>11703.53-D89-0</f>
      </c>
      <c r="D89" s="134">
        <v>1603.9</v>
      </c>
      <c r="E89" s="135"/>
      <c r="F89" s="135"/>
      <c r="G89" s="147">
        <f t="shared" si="34"/>
        <v>0</v>
      </c>
      <c r="H89" s="199">
        <v>123.71</v>
      </c>
      <c r="I89" s="143"/>
      <c r="J89" s="136"/>
      <c r="K89" s="145">
        <v>5245</v>
      </c>
      <c r="L89" s="143"/>
      <c r="M89" s="143"/>
      <c r="N89" s="143"/>
      <c r="O89" s="99"/>
      <c r="P89" s="143"/>
      <c r="Q89" s="143"/>
      <c r="R89" s="143"/>
      <c r="S89" s="143"/>
      <c r="T89" s="143"/>
      <c r="U89" s="103">
        <f t="shared" si="35"/>
        <v>0</v>
      </c>
      <c r="V89" s="136"/>
      <c r="W89" s="136"/>
      <c r="X89" s="99"/>
      <c r="Y89" s="99"/>
      <c r="Z89" s="99"/>
      <c r="AA89" s="143"/>
      <c r="AB89" s="143"/>
      <c r="AC89" s="143"/>
      <c r="AD89" s="143"/>
      <c r="AE89" s="143"/>
      <c r="AF89" s="143"/>
      <c r="AG89" s="143"/>
      <c r="AH89" s="143"/>
      <c r="AI89" s="143"/>
      <c r="AJ89" s="103">
        <f t="shared" si="36"/>
        <v>0</v>
      </c>
      <c r="AK89" s="134">
        <v>1424.99</v>
      </c>
      <c r="AL89" s="134">
        <v>442.2</v>
      </c>
      <c r="AM89" s="136"/>
      <c r="AN89" s="105">
        <f t="shared" si="37"/>
        <v>0</v>
      </c>
      <c r="AO89" s="145">
        <v>223.74</v>
      </c>
      <c r="AP89" s="143"/>
      <c r="AQ89" s="143"/>
      <c r="AR89" s="143"/>
      <c r="AS89" s="146"/>
      <c r="AT89" s="224">
        <f t="shared" si="38"/>
        <v>0</v>
      </c>
      <c r="AU89" s="1553">
        <v>2643.3</v>
      </c>
      <c r="AV89" s="1690">
        <v>413.8</v>
      </c>
      <c r="AW89" s="1690"/>
      <c r="AX89" s="1690"/>
      <c r="AY89" s="1690"/>
      <c r="AZ89" s="1688"/>
      <c r="BA89" s="1553">
        <v>1160.1</v>
      </c>
      <c r="BB89" s="1548"/>
      <c r="BC89" s="1548"/>
      <c r="BD89" s="1548"/>
      <c r="BE89" s="1546"/>
      <c r="BF89" s="222">
        <f t="shared" si="39"/>
        <v>0</v>
      </c>
      <c r="BG89" s="140">
        <f t="shared" si="40"/>
        <v>0</v>
      </c>
      <c r="BH89" s="132"/>
      <c r="BI89" s="140">
        <f t="shared" si="41"/>
        <v>0</v>
      </c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50">
        <v>25</v>
      </c>
      <c r="BV89" s="141"/>
      <c r="BW89" s="130">
        <f t="shared" si="42"/>
        <v>0</v>
      </c>
      <c r="BX89" s="132"/>
    </row>
    <row r="90" ht="14.25" customHeight="1">
      <c r="A90" s="132"/>
      <c r="B90" s="93">
        <v>46100</v>
      </c>
      <c r="C90" s="133">
        <f>8759.72-D90-0</f>
      </c>
      <c r="D90" s="134">
        <v>1130</v>
      </c>
      <c r="E90" s="135"/>
      <c r="F90" s="135"/>
      <c r="G90" s="147">
        <f t="shared" si="34"/>
        <v>0</v>
      </c>
      <c r="H90" s="144">
        <v>733.98</v>
      </c>
      <c r="I90" s="145">
        <v>308.67</v>
      </c>
      <c r="J90" s="136"/>
      <c r="K90" s="145">
        <v>3331.89</v>
      </c>
      <c r="L90" s="143"/>
      <c r="M90" s="143"/>
      <c r="N90" s="143"/>
      <c r="O90" s="99"/>
      <c r="P90" s="143"/>
      <c r="Q90" s="143"/>
      <c r="R90" s="143"/>
      <c r="S90" s="143"/>
      <c r="T90" s="143"/>
      <c r="U90" s="103">
        <f t="shared" si="35"/>
        <v>0</v>
      </c>
      <c r="V90" s="136"/>
      <c r="W90" s="136"/>
      <c r="X90" s="136"/>
      <c r="Y90" s="99"/>
      <c r="Z90" s="99"/>
      <c r="AA90" s="143"/>
      <c r="AB90" s="143"/>
      <c r="AC90" s="143"/>
      <c r="AD90" s="143"/>
      <c r="AE90" s="143"/>
      <c r="AF90" s="143"/>
      <c r="AG90" s="143"/>
      <c r="AH90" s="143"/>
      <c r="AI90" s="143"/>
      <c r="AJ90" s="103">
        <f t="shared" si="36"/>
        <v>0</v>
      </c>
      <c r="AK90" s="134">
        <v>137.49</v>
      </c>
      <c r="AL90" s="134">
        <v>102</v>
      </c>
      <c r="AM90" s="136"/>
      <c r="AN90" s="105">
        <f t="shared" si="37"/>
        <v>0</v>
      </c>
      <c r="AO90" s="145">
        <v>147.54</v>
      </c>
      <c r="AP90" s="143"/>
      <c r="AQ90" s="143"/>
      <c r="AR90" s="143"/>
      <c r="AS90" s="146">
        <v>4.5</v>
      </c>
      <c r="AT90" s="224">
        <f t="shared" si="38"/>
        <v>0</v>
      </c>
      <c r="AU90" s="1553">
        <v>3028</v>
      </c>
      <c r="AV90" s="1690"/>
      <c r="AW90" s="1690"/>
      <c r="AX90" s="1690"/>
      <c r="AY90" s="1690"/>
      <c r="AZ90" s="1688"/>
      <c r="BA90" s="1553">
        <v>964.3</v>
      </c>
      <c r="BB90" s="1548"/>
      <c r="BC90" s="1548"/>
      <c r="BD90" s="1548"/>
      <c r="BE90" s="1546"/>
      <c r="BF90" s="222">
        <f t="shared" si="39"/>
        <v>0</v>
      </c>
      <c r="BG90" s="140">
        <f t="shared" si="40"/>
        <v>0</v>
      </c>
      <c r="BH90" s="132"/>
      <c r="BI90" s="140">
        <f t="shared" si="41"/>
        <v>0</v>
      </c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30">
        <f t="shared" si="42"/>
        <v>0</v>
      </c>
      <c r="BX90" s="132"/>
    </row>
    <row r="91" ht="14.25" customHeight="1">
      <c r="A91" s="132"/>
      <c r="B91" s="93">
        <v>46101</v>
      </c>
      <c r="C91" s="133">
        <f>11768.54-D91-0</f>
      </c>
      <c r="D91" s="134">
        <v>759.4</v>
      </c>
      <c r="E91" s="135"/>
      <c r="F91" s="135"/>
      <c r="G91" s="147">
        <f t="shared" si="34"/>
        <v>0</v>
      </c>
      <c r="H91" s="144">
        <v>2060.71</v>
      </c>
      <c r="I91" s="145">
        <v>416.17</v>
      </c>
      <c r="J91" s="136"/>
      <c r="K91" s="145">
        <v>1355.78</v>
      </c>
      <c r="L91" s="143"/>
      <c r="M91" s="143"/>
      <c r="N91" s="143"/>
      <c r="O91" s="99"/>
      <c r="P91" s="143"/>
      <c r="Q91" s="143"/>
      <c r="R91" s="143"/>
      <c r="S91" s="143"/>
      <c r="T91" s="143"/>
      <c r="U91" s="103">
        <f t="shared" si="35"/>
        <v>0</v>
      </c>
      <c r="V91" s="136"/>
      <c r="W91" s="136"/>
      <c r="X91" s="99"/>
      <c r="Y91" s="99"/>
      <c r="Z91" s="99"/>
      <c r="AA91" s="143"/>
      <c r="AB91" s="143"/>
      <c r="AC91" s="143"/>
      <c r="AD91" s="143"/>
      <c r="AE91" s="143"/>
      <c r="AF91" s="143"/>
      <c r="AG91" s="143"/>
      <c r="AH91" s="143"/>
      <c r="AI91" s="143"/>
      <c r="AJ91" s="103">
        <f t="shared" si="36"/>
        <v>0</v>
      </c>
      <c r="AK91" s="134">
        <v>2134.71</v>
      </c>
      <c r="AL91" s="134">
        <v>173</v>
      </c>
      <c r="AM91" s="136"/>
      <c r="AN91" s="105">
        <f t="shared" si="37"/>
        <v>0</v>
      </c>
      <c r="AO91" s="145">
        <v>84.8</v>
      </c>
      <c r="AP91" s="143"/>
      <c r="AQ91" s="143"/>
      <c r="AR91" s="143"/>
      <c r="AS91" s="146"/>
      <c r="AT91" s="224">
        <f t="shared" si="38"/>
        <v>0</v>
      </c>
      <c r="AU91" s="1553">
        <v>1901.6</v>
      </c>
      <c r="AV91" s="1690">
        <v>2896.6</v>
      </c>
      <c r="AW91" s="1690"/>
      <c r="AX91" s="1690"/>
      <c r="AY91" s="1690"/>
      <c r="AZ91" s="1688"/>
      <c r="BA91" s="1553">
        <v>535.5</v>
      </c>
      <c r="BB91" s="1548"/>
      <c r="BC91" s="1548"/>
      <c r="BD91" s="1548"/>
      <c r="BE91" s="1546"/>
      <c r="BF91" s="222">
        <f t="shared" si="39"/>
        <v>0</v>
      </c>
      <c r="BG91" s="140">
        <f t="shared" si="40"/>
        <v>0</v>
      </c>
      <c r="BH91" s="132"/>
      <c r="BI91" s="140">
        <f t="shared" si="41"/>
        <v>0</v>
      </c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30">
        <f t="shared" si="42"/>
        <v>0</v>
      </c>
      <c r="BX91" s="132"/>
    </row>
    <row r="92" ht="14.25" customHeight="1">
      <c r="A92" s="132"/>
      <c r="B92" s="93">
        <v>46102</v>
      </c>
      <c r="C92" s="133">
        <f>4323.30-D92-0</f>
      </c>
      <c r="D92" s="134">
        <v>1122.3</v>
      </c>
      <c r="E92" s="135"/>
      <c r="F92" s="135"/>
      <c r="G92" s="147">
        <f t="shared" si="34"/>
        <v>0</v>
      </c>
      <c r="H92" s="136"/>
      <c r="I92" s="143"/>
      <c r="J92" s="136"/>
      <c r="K92" s="143"/>
      <c r="L92" s="143"/>
      <c r="M92" s="143"/>
      <c r="N92" s="143"/>
      <c r="O92" s="99"/>
      <c r="P92" s="143"/>
      <c r="Q92" s="143"/>
      <c r="R92" s="143"/>
      <c r="S92" s="143"/>
      <c r="T92" s="143"/>
      <c r="U92" s="103">
        <f t="shared" si="35"/>
        <v>0</v>
      </c>
      <c r="V92" s="136"/>
      <c r="W92" s="136"/>
      <c r="X92" s="99"/>
      <c r="Y92" s="99"/>
      <c r="Z92" s="99"/>
      <c r="AA92" s="143"/>
      <c r="AB92" s="143"/>
      <c r="AC92" s="143"/>
      <c r="AD92" s="143"/>
      <c r="AE92" s="143"/>
      <c r="AF92" s="143"/>
      <c r="AG92" s="143"/>
      <c r="AH92" s="143"/>
      <c r="AI92" s="143"/>
      <c r="AJ92" s="103">
        <f t="shared" si="36"/>
        <v>0</v>
      </c>
      <c r="AK92" s="134">
        <v>501.91</v>
      </c>
      <c r="AL92" s="134">
        <v>224.5</v>
      </c>
      <c r="AM92" s="136"/>
      <c r="AN92" s="105">
        <f t="shared" si="37"/>
        <v>0</v>
      </c>
      <c r="AO92" s="143"/>
      <c r="AP92" s="143"/>
      <c r="AQ92" s="143"/>
      <c r="AR92" s="143"/>
      <c r="AS92" s="146"/>
      <c r="AT92" s="224">
        <f t="shared" si="38"/>
        <v>0</v>
      </c>
      <c r="AU92" s="1553">
        <v>2674.2</v>
      </c>
      <c r="AV92" s="1690"/>
      <c r="AW92" s="1690"/>
      <c r="AX92" s="1690"/>
      <c r="AY92" s="1690"/>
      <c r="AZ92" s="1688"/>
      <c r="BA92" s="1553">
        <v>896.5</v>
      </c>
      <c r="BB92" s="1548"/>
      <c r="BC92" s="1548"/>
      <c r="BD92" s="1548"/>
      <c r="BE92" s="1546"/>
      <c r="BF92" s="222">
        <f t="shared" si="39"/>
        <v>0</v>
      </c>
      <c r="BG92" s="140">
        <f t="shared" si="40"/>
        <v>0</v>
      </c>
      <c r="BH92" s="132"/>
      <c r="BI92" s="140">
        <f t="shared" si="41"/>
        <v>0</v>
      </c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50">
        <v>25</v>
      </c>
      <c r="BV92" s="141"/>
      <c r="BW92" s="130">
        <f t="shared" si="42"/>
        <v>0</v>
      </c>
      <c r="BX92" s="132"/>
    </row>
    <row r="93" ht="14.25" customHeight="1">
      <c r="A93" s="132"/>
      <c r="B93" s="93">
        <v>46103</v>
      </c>
      <c r="C93" s="133">
        <f>4034.79-D93-0</f>
      </c>
      <c r="D93" s="134">
        <v>1045.9</v>
      </c>
      <c r="E93" s="135"/>
      <c r="F93" s="135"/>
      <c r="G93" s="147">
        <f t="shared" si="34"/>
        <v>0</v>
      </c>
      <c r="H93" s="199">
        <v>141.85</v>
      </c>
      <c r="I93" s="143"/>
      <c r="J93" s="136"/>
      <c r="K93" s="143"/>
      <c r="L93" s="143"/>
      <c r="M93" s="143"/>
      <c r="N93" s="143"/>
      <c r="O93" s="99"/>
      <c r="P93" s="143"/>
      <c r="Q93" s="143"/>
      <c r="R93" s="143"/>
      <c r="S93" s="143"/>
      <c r="T93" s="143"/>
      <c r="U93" s="103">
        <f t="shared" si="35"/>
        <v>0</v>
      </c>
      <c r="V93" s="136"/>
      <c r="W93" s="136"/>
      <c r="X93" s="99"/>
      <c r="Y93" s="99"/>
      <c r="Z93" s="99"/>
      <c r="AA93" s="143"/>
      <c r="AB93" s="143"/>
      <c r="AC93" s="143"/>
      <c r="AD93" s="143"/>
      <c r="AE93" s="143"/>
      <c r="AF93" s="143"/>
      <c r="AG93" s="143"/>
      <c r="AH93" s="143"/>
      <c r="AI93" s="143"/>
      <c r="AJ93" s="103">
        <f t="shared" si="36"/>
        <v>0</v>
      </c>
      <c r="AK93" s="134">
        <v>995.22</v>
      </c>
      <c r="AL93" s="134">
        <v>561.3</v>
      </c>
      <c r="AM93" s="136"/>
      <c r="AN93" s="105">
        <f t="shared" si="37"/>
        <v>0</v>
      </c>
      <c r="AO93" s="143"/>
      <c r="AP93" s="143"/>
      <c r="AQ93" s="143"/>
      <c r="AR93" s="143"/>
      <c r="AS93" s="146">
        <v>0.33</v>
      </c>
      <c r="AT93" s="224">
        <f t="shared" si="38"/>
        <v>0</v>
      </c>
      <c r="AU93" s="1553">
        <v>1851.4</v>
      </c>
      <c r="AV93" s="1690"/>
      <c r="AW93" s="1690"/>
      <c r="AX93" s="1690"/>
      <c r="AY93" s="1690"/>
      <c r="AZ93" s="1688"/>
      <c r="BA93" s="1553">
        <v>483.4</v>
      </c>
      <c r="BB93" s="1548"/>
      <c r="BC93" s="1548"/>
      <c r="BD93" s="1548"/>
      <c r="BE93" s="1546"/>
      <c r="BF93" s="222">
        <f t="shared" si="39"/>
        <v>0</v>
      </c>
      <c r="BG93" s="140">
        <f t="shared" si="40"/>
        <v>0</v>
      </c>
      <c r="BH93" s="132"/>
      <c r="BI93" s="140">
        <f t="shared" si="41"/>
        <v>0</v>
      </c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30">
        <f t="shared" si="42"/>
        <v>0</v>
      </c>
      <c r="BX93" s="132"/>
    </row>
    <row r="94" ht="14.25" customHeight="1">
      <c r="A94" s="132"/>
      <c r="B94" s="93">
        <v>46104</v>
      </c>
      <c r="C94" s="133">
        <f>8923.34-D94-0</f>
      </c>
      <c r="D94" s="134">
        <v>1146.9</v>
      </c>
      <c r="E94" s="135"/>
      <c r="F94" s="135"/>
      <c r="G94" s="147">
        <f t="shared" si="34"/>
        <v>0</v>
      </c>
      <c r="H94" s="144">
        <v>561.3</v>
      </c>
      <c r="I94" s="143"/>
      <c r="J94" s="136"/>
      <c r="K94" s="145">
        <v>198.37</v>
      </c>
      <c r="L94" s="143"/>
      <c r="M94" s="143"/>
      <c r="N94" s="143"/>
      <c r="O94" s="99"/>
      <c r="P94" s="143"/>
      <c r="Q94" s="143"/>
      <c r="R94" s="143"/>
      <c r="S94" s="143"/>
      <c r="T94" s="143"/>
      <c r="U94" s="103">
        <f t="shared" si="35"/>
        <v>0</v>
      </c>
      <c r="V94" s="136"/>
      <c r="W94" s="136"/>
      <c r="X94" s="99"/>
      <c r="Y94" s="99"/>
      <c r="Z94" s="99"/>
      <c r="AA94" s="143"/>
      <c r="AB94" s="143"/>
      <c r="AC94" s="143"/>
      <c r="AD94" s="143"/>
      <c r="AE94" s="143"/>
      <c r="AF94" s="143"/>
      <c r="AG94" s="143"/>
      <c r="AH94" s="143"/>
      <c r="AI94" s="143"/>
      <c r="AJ94" s="103">
        <f t="shared" si="36"/>
        <v>0</v>
      </c>
      <c r="AK94" s="134">
        <v>1937.68</v>
      </c>
      <c r="AL94" s="134">
        <v>354.4</v>
      </c>
      <c r="AM94" s="136"/>
      <c r="AN94" s="105">
        <f t="shared" si="37"/>
        <v>0</v>
      </c>
      <c r="AO94" s="145">
        <v>36.32</v>
      </c>
      <c r="AP94" s="143"/>
      <c r="AQ94" s="143"/>
      <c r="AR94" s="143"/>
      <c r="AS94" s="146"/>
      <c r="AT94" s="224">
        <f t="shared" si="38"/>
        <v>0</v>
      </c>
      <c r="AU94" s="1553">
        <v>1912.2</v>
      </c>
      <c r="AV94" s="1690">
        <v>2896.6</v>
      </c>
      <c r="AW94" s="1690"/>
      <c r="AX94" s="1690"/>
      <c r="AY94" s="1690"/>
      <c r="AZ94" s="1688"/>
      <c r="BA94" s="1553">
        <v>792.2</v>
      </c>
      <c r="BB94" s="1548"/>
      <c r="BC94" s="1548"/>
      <c r="BD94" s="1548"/>
      <c r="BE94" s="1546"/>
      <c r="BF94" s="222">
        <f t="shared" si="39"/>
        <v>0</v>
      </c>
      <c r="BG94" s="140">
        <f t="shared" si="40"/>
        <v>0</v>
      </c>
      <c r="BH94" s="132"/>
      <c r="BI94" s="140">
        <f t="shared" si="41"/>
        <v>0</v>
      </c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50">
        <v>25</v>
      </c>
      <c r="BV94" s="141"/>
      <c r="BW94" s="130">
        <f t="shared" si="42"/>
        <v>0</v>
      </c>
      <c r="BX94" s="132"/>
    </row>
    <row r="95" ht="14.25" customHeight="1">
      <c r="A95" s="132"/>
      <c r="B95" s="93">
        <v>46105</v>
      </c>
      <c r="C95" s="133">
        <f>9414.06-D95-0</f>
      </c>
      <c r="D95" s="134">
        <v>1370.3</v>
      </c>
      <c r="E95" s="135"/>
      <c r="F95" s="135"/>
      <c r="G95" s="147">
        <f t="shared" si="34"/>
        <v>0</v>
      </c>
      <c r="H95" s="144">
        <v>1176.89</v>
      </c>
      <c r="I95" s="145">
        <v>718.32</v>
      </c>
      <c r="J95" s="136"/>
      <c r="K95" s="145">
        <v>1020.89</v>
      </c>
      <c r="L95" s="145">
        <v>61.77</v>
      </c>
      <c r="M95" s="143"/>
      <c r="N95" s="143"/>
      <c r="O95" s="99"/>
      <c r="P95" s="143"/>
      <c r="Q95" s="143"/>
      <c r="R95" s="143"/>
      <c r="S95" s="143"/>
      <c r="T95" s="143"/>
      <c r="U95" s="103">
        <f t="shared" si="35"/>
        <v>0</v>
      </c>
      <c r="V95" s="136"/>
      <c r="W95" s="136"/>
      <c r="X95" s="99"/>
      <c r="Y95" s="99"/>
      <c r="Z95" s="99"/>
      <c r="AA95" s="143"/>
      <c r="AB95" s="143"/>
      <c r="AC95" s="143"/>
      <c r="AD95" s="143"/>
      <c r="AE95" s="143"/>
      <c r="AF95" s="143"/>
      <c r="AG95" s="143"/>
      <c r="AH95" s="143"/>
      <c r="AI95" s="143"/>
      <c r="AJ95" s="103">
        <f t="shared" si="36"/>
        <v>0</v>
      </c>
      <c r="AK95" s="134">
        <v>3073.98</v>
      </c>
      <c r="AL95" s="134">
        <v>355.9</v>
      </c>
      <c r="AM95" s="136"/>
      <c r="AN95" s="105">
        <f t="shared" si="37"/>
        <v>0</v>
      </c>
      <c r="AO95" s="145">
        <v>74.97</v>
      </c>
      <c r="AP95" s="143"/>
      <c r="AQ95" s="143"/>
      <c r="AR95" s="143"/>
      <c r="AS95" s="146">
        <v>0.1</v>
      </c>
      <c r="AT95" s="224">
        <f t="shared" si="38"/>
        <v>0</v>
      </c>
      <c r="AU95" s="1553">
        <v>1916.9</v>
      </c>
      <c r="AV95" s="1690"/>
      <c r="AW95" s="1690"/>
      <c r="AX95" s="1690"/>
      <c r="AY95" s="1690"/>
      <c r="AZ95" s="1688"/>
      <c r="BA95" s="1553">
        <v>1013.9</v>
      </c>
      <c r="BB95" s="1548"/>
      <c r="BC95" s="1548"/>
      <c r="BD95" s="1548"/>
      <c r="BE95" s="1546"/>
      <c r="BF95" s="222">
        <f t="shared" si="39"/>
        <v>0</v>
      </c>
      <c r="BG95" s="140">
        <f t="shared" si="40"/>
        <v>0</v>
      </c>
      <c r="BH95" s="132"/>
      <c r="BI95" s="140">
        <f t="shared" si="41"/>
        <v>0</v>
      </c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30">
        <f t="shared" si="42"/>
        <v>0</v>
      </c>
      <c r="BX95" s="132"/>
    </row>
    <row r="96" ht="14.25" customHeight="1">
      <c r="A96" s="132"/>
      <c r="B96" s="93">
        <v>46106</v>
      </c>
      <c r="C96" s="133">
        <f>8828.29-D96-0</f>
      </c>
      <c r="D96" s="134">
        <v>691.4</v>
      </c>
      <c r="E96" s="135"/>
      <c r="F96" s="135"/>
      <c r="G96" s="147">
        <f t="shared" si="34"/>
        <v>0</v>
      </c>
      <c r="H96" s="199">
        <v>92.97</v>
      </c>
      <c r="I96" s="143"/>
      <c r="J96" s="136"/>
      <c r="K96" s="145">
        <v>588.63</v>
      </c>
      <c r="L96" s="143"/>
      <c r="M96" s="143"/>
      <c r="N96" s="143"/>
      <c r="O96" s="99"/>
      <c r="P96" s="143"/>
      <c r="Q96" s="143"/>
      <c r="R96" s="143"/>
      <c r="S96" s="143"/>
      <c r="T96" s="143"/>
      <c r="U96" s="103">
        <f t="shared" si="35"/>
        <v>0</v>
      </c>
      <c r="V96" s="136"/>
      <c r="W96" s="134">
        <v>1049.4</v>
      </c>
      <c r="X96" s="99"/>
      <c r="Y96" s="99"/>
      <c r="Z96" s="99"/>
      <c r="AA96" s="143"/>
      <c r="AB96" s="143"/>
      <c r="AC96" s="143"/>
      <c r="AD96" s="143"/>
      <c r="AE96" s="143"/>
      <c r="AF96" s="143"/>
      <c r="AG96" s="143"/>
      <c r="AH96" s="143"/>
      <c r="AI96" s="143"/>
      <c r="AJ96" s="103">
        <f t="shared" si="36"/>
        <v>0</v>
      </c>
      <c r="AK96" s="134">
        <v>2959.28</v>
      </c>
      <c r="AL96" s="134">
        <v>57</v>
      </c>
      <c r="AM96" s="136"/>
      <c r="AN96" s="105">
        <f t="shared" si="37"/>
        <v>0</v>
      </c>
      <c r="AO96" s="145">
        <v>24.66</v>
      </c>
      <c r="AP96" s="143"/>
      <c r="AQ96" s="143"/>
      <c r="AR96" s="143"/>
      <c r="AS96" s="146">
        <v>0.17</v>
      </c>
      <c r="AT96" s="224">
        <f t="shared" si="38"/>
        <v>0</v>
      </c>
      <c r="AU96" s="1553">
        <v>3396.8</v>
      </c>
      <c r="AV96" s="1690"/>
      <c r="AW96" s="1690"/>
      <c r="AX96" s="1690"/>
      <c r="AY96" s="1690"/>
      <c r="AZ96" s="1688"/>
      <c r="BA96" s="1553">
        <v>633.9</v>
      </c>
      <c r="BB96" s="1548"/>
      <c r="BC96" s="1548"/>
      <c r="BD96" s="1548"/>
      <c r="BE96" s="1546"/>
      <c r="BF96" s="222">
        <f t="shared" si="39"/>
        <v>0</v>
      </c>
      <c r="BG96" s="140">
        <f t="shared" si="40"/>
        <v>0</v>
      </c>
      <c r="BH96" s="132"/>
      <c r="BI96" s="140">
        <f t="shared" si="41"/>
        <v>0</v>
      </c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50">
        <v>25</v>
      </c>
      <c r="BV96" s="141"/>
      <c r="BW96" s="130">
        <f t="shared" si="42"/>
        <v>0</v>
      </c>
      <c r="BX96" s="132"/>
    </row>
    <row r="97" ht="14.25" customHeight="1">
      <c r="A97" s="132"/>
      <c r="B97" s="93">
        <v>46107</v>
      </c>
      <c r="C97" s="133">
        <f>5997.69-D97-0</f>
      </c>
      <c r="D97" s="134">
        <v>469.1</v>
      </c>
      <c r="E97" s="135"/>
      <c r="F97" s="135"/>
      <c r="G97" s="147">
        <f t="shared" si="34"/>
        <v>0</v>
      </c>
      <c r="H97" s="199">
        <v>1419.92</v>
      </c>
      <c r="I97" s="145">
        <v>260.93</v>
      </c>
      <c r="J97" s="136"/>
      <c r="K97" s="143"/>
      <c r="L97" s="143"/>
      <c r="M97" s="143"/>
      <c r="N97" s="143"/>
      <c r="O97" s="136"/>
      <c r="P97" s="143"/>
      <c r="Q97" s="143"/>
      <c r="R97" s="143"/>
      <c r="S97" s="143"/>
      <c r="T97" s="143"/>
      <c r="U97" s="103">
        <f t="shared" si="35"/>
        <v>0</v>
      </c>
      <c r="V97" s="136"/>
      <c r="W97" s="136"/>
      <c r="X97" s="99"/>
      <c r="Y97" s="136"/>
      <c r="Z97" s="136"/>
      <c r="AA97" s="143"/>
      <c r="AB97" s="143"/>
      <c r="AC97" s="143"/>
      <c r="AD97" s="143"/>
      <c r="AE97" s="143"/>
      <c r="AF97" s="143"/>
      <c r="AG97" s="143"/>
      <c r="AH97" s="143"/>
      <c r="AI97" s="143"/>
      <c r="AJ97" s="103">
        <f t="shared" si="36"/>
        <v>0</v>
      </c>
      <c r="AK97" s="134">
        <v>1122.36</v>
      </c>
      <c r="AL97" s="134">
        <v>28.8</v>
      </c>
      <c r="AM97" s="136"/>
      <c r="AN97" s="105">
        <f t="shared" si="37"/>
        <v>0</v>
      </c>
      <c r="AO97" s="143"/>
      <c r="AP97" s="143"/>
      <c r="AQ97" s="143"/>
      <c r="AR97" s="143"/>
      <c r="AS97" s="146"/>
      <c r="AT97" s="224">
        <f t="shared" si="38"/>
        <v>0</v>
      </c>
      <c r="AU97" s="1553">
        <v>2725.2</v>
      </c>
      <c r="AV97" s="1690"/>
      <c r="AW97" s="1690"/>
      <c r="AX97" s="1690"/>
      <c r="AY97" s="1690"/>
      <c r="AZ97" s="1688"/>
      <c r="BA97" s="1553">
        <v>439.8</v>
      </c>
      <c r="BB97" s="1548"/>
      <c r="BC97" s="1548"/>
      <c r="BD97" s="1548"/>
      <c r="BE97" s="1546"/>
      <c r="BF97" s="222">
        <f t="shared" si="39"/>
        <v>0</v>
      </c>
      <c r="BG97" s="140">
        <f t="shared" si="40"/>
        <v>0</v>
      </c>
      <c r="BH97" s="132"/>
      <c r="BI97" s="140">
        <f t="shared" si="41"/>
        <v>0</v>
      </c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41"/>
      <c r="BW97" s="130">
        <f t="shared" si="42"/>
        <v>0</v>
      </c>
      <c r="BX97" s="132"/>
    </row>
    <row r="98" ht="14.25" customHeight="1">
      <c r="A98" s="132"/>
      <c r="B98" s="93">
        <v>46108</v>
      </c>
      <c r="C98" s="133">
        <f>8266.07-D98-0</f>
      </c>
      <c r="D98" s="134">
        <v>715.2</v>
      </c>
      <c r="E98" s="135"/>
      <c r="F98" s="135"/>
      <c r="G98" s="147">
        <f t="shared" si="34"/>
        <v>0</v>
      </c>
      <c r="H98" s="144">
        <v>1647.9</v>
      </c>
      <c r="I98" s="145">
        <v>448.07</v>
      </c>
      <c r="J98" s="136"/>
      <c r="K98" s="145">
        <v>611.27</v>
      </c>
      <c r="L98" s="143"/>
      <c r="M98" s="143"/>
      <c r="N98" s="143"/>
      <c r="O98" s="99"/>
      <c r="P98" s="143"/>
      <c r="Q98" s="143"/>
      <c r="R98" s="143"/>
      <c r="S98" s="143"/>
      <c r="T98" s="143"/>
      <c r="U98" s="103">
        <f t="shared" si="35"/>
        <v>0</v>
      </c>
      <c r="V98" s="136"/>
      <c r="W98" s="136"/>
      <c r="X98" s="99"/>
      <c r="Y98" s="99"/>
      <c r="Z98" s="99"/>
      <c r="AA98" s="143"/>
      <c r="AB98" s="143"/>
      <c r="AC98" s="143"/>
      <c r="AD98" s="143"/>
      <c r="AE98" s="143"/>
      <c r="AF98" s="143"/>
      <c r="AG98" s="143"/>
      <c r="AH98" s="143"/>
      <c r="AI98" s="143"/>
      <c r="AJ98" s="103">
        <f t="shared" si="36"/>
        <v>0</v>
      </c>
      <c r="AK98" s="134">
        <v>1685.17</v>
      </c>
      <c r="AL98" s="134">
        <v>144</v>
      </c>
      <c r="AM98" s="136"/>
      <c r="AN98" s="105">
        <f t="shared" si="37"/>
        <v>0</v>
      </c>
      <c r="AO98" s="145">
        <v>63.98</v>
      </c>
      <c r="AP98" s="143"/>
      <c r="AQ98" s="143"/>
      <c r="AR98" s="143"/>
      <c r="AS98" s="146"/>
      <c r="AT98" s="224">
        <f t="shared" si="38"/>
        <v>0</v>
      </c>
      <c r="AU98" s="1553">
        <v>1509.2</v>
      </c>
      <c r="AV98" s="1690">
        <v>1560.3</v>
      </c>
      <c r="AW98" s="1690"/>
      <c r="AX98" s="1690"/>
      <c r="AY98" s="1690"/>
      <c r="AZ98" s="1688"/>
      <c r="BA98" s="1553">
        <v>570.4</v>
      </c>
      <c r="BB98" s="1548"/>
      <c r="BC98" s="1548"/>
      <c r="BD98" s="1548"/>
      <c r="BE98" s="1546"/>
      <c r="BF98" s="222">
        <f t="shared" si="39"/>
        <v>0</v>
      </c>
      <c r="BG98" s="140">
        <f t="shared" si="40"/>
        <v>0</v>
      </c>
      <c r="BH98" s="132"/>
      <c r="BI98" s="140">
        <f t="shared" si="41"/>
        <v>0</v>
      </c>
      <c r="BJ98" s="141"/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50">
        <v>25</v>
      </c>
      <c r="BV98" s="141"/>
      <c r="BW98" s="130">
        <f t="shared" si="42"/>
        <v>0</v>
      </c>
      <c r="BX98" s="132"/>
    </row>
    <row r="99" ht="14.25" customHeight="1">
      <c r="A99" s="132"/>
      <c r="B99" s="93">
        <v>46109</v>
      </c>
      <c r="C99" s="133">
        <f>5921.60-D99-0</f>
      </c>
      <c r="D99" s="134">
        <v>695.5</v>
      </c>
      <c r="E99" s="135"/>
      <c r="F99" s="135"/>
      <c r="G99" s="147">
        <f t="shared" si="34"/>
        <v>0</v>
      </c>
      <c r="H99" s="199">
        <v>525.05</v>
      </c>
      <c r="I99" s="143"/>
      <c r="J99" s="136"/>
      <c r="K99" s="143"/>
      <c r="L99" s="143"/>
      <c r="M99" s="143"/>
      <c r="N99" s="143"/>
      <c r="O99" s="99"/>
      <c r="P99" s="143"/>
      <c r="Q99" s="143"/>
      <c r="R99" s="143"/>
      <c r="S99" s="143"/>
      <c r="T99" s="143"/>
      <c r="U99" s="103">
        <f t="shared" si="35"/>
        <v>0</v>
      </c>
      <c r="V99" s="133"/>
      <c r="W99" s="133"/>
      <c r="X99" s="99"/>
      <c r="Y99" s="99"/>
      <c r="Z99" s="99"/>
      <c r="AA99" s="143"/>
      <c r="AB99" s="143"/>
      <c r="AC99" s="143"/>
      <c r="AD99" s="143"/>
      <c r="AE99" s="143"/>
      <c r="AF99" s="143"/>
      <c r="AG99" s="143"/>
      <c r="AH99" s="143"/>
      <c r="AI99" s="143"/>
      <c r="AJ99" s="103">
        <f t="shared" si="36"/>
        <v>0</v>
      </c>
      <c r="AK99" s="134">
        <v>828.61</v>
      </c>
      <c r="AL99" s="134">
        <v>47</v>
      </c>
      <c r="AM99" s="136"/>
      <c r="AN99" s="105">
        <f t="shared" si="37"/>
        <v>0</v>
      </c>
      <c r="AO99" s="145">
        <v>14</v>
      </c>
      <c r="AP99" s="143"/>
      <c r="AQ99" s="143"/>
      <c r="AR99" s="143"/>
      <c r="AS99" s="146"/>
      <c r="AT99" s="224">
        <f t="shared" si="38"/>
        <v>0</v>
      </c>
      <c r="AU99" s="1553">
        <v>2298</v>
      </c>
      <c r="AV99" s="1690">
        <v>1560.3</v>
      </c>
      <c r="AW99" s="1690"/>
      <c r="AX99" s="1690"/>
      <c r="AY99" s="1690"/>
      <c r="AZ99" s="1688"/>
      <c r="BA99" s="1553">
        <v>647.8</v>
      </c>
      <c r="BB99" s="1548"/>
      <c r="BC99" s="1548"/>
      <c r="BD99" s="1548"/>
      <c r="BE99" s="1546"/>
      <c r="BF99" s="222">
        <f t="shared" si="39"/>
        <v>0</v>
      </c>
      <c r="BG99" s="140">
        <f t="shared" si="40"/>
        <v>0</v>
      </c>
      <c r="BH99" s="132"/>
      <c r="BI99" s="140">
        <f t="shared" si="41"/>
        <v>0</v>
      </c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30">
        <f t="shared" si="42"/>
        <v>0</v>
      </c>
      <c r="BX99" s="132"/>
    </row>
    <row r="100" ht="14.25" customHeight="1">
      <c r="A100" s="132"/>
      <c r="B100" s="93">
        <v>46110</v>
      </c>
      <c r="C100" s="133">
        <f>6683.35-D100-0</f>
      </c>
      <c r="D100" s="134">
        <v>614.2</v>
      </c>
      <c r="E100" s="135"/>
      <c r="F100" s="135"/>
      <c r="G100" s="147">
        <f t="shared" si="34"/>
        <v>0</v>
      </c>
      <c r="H100" s="199">
        <v>932.48</v>
      </c>
      <c r="I100" s="143"/>
      <c r="J100" s="136"/>
      <c r="K100" s="143"/>
      <c r="L100" s="143"/>
      <c r="M100" s="143"/>
      <c r="N100" s="143"/>
      <c r="O100" s="99"/>
      <c r="P100" s="143"/>
      <c r="Q100" s="143"/>
      <c r="R100" s="143"/>
      <c r="S100" s="143"/>
      <c r="T100" s="143"/>
      <c r="U100" s="103">
        <f t="shared" si="35"/>
        <v>0</v>
      </c>
      <c r="V100" s="136"/>
      <c r="W100" s="136"/>
      <c r="X100" s="99"/>
      <c r="Y100" s="99"/>
      <c r="Z100" s="99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03">
        <f t="shared" si="36"/>
        <v>0</v>
      </c>
      <c r="AK100" s="134">
        <v>1018.41</v>
      </c>
      <c r="AL100" s="134">
        <v>187.2</v>
      </c>
      <c r="AM100" s="136"/>
      <c r="AN100" s="105">
        <f t="shared" si="37"/>
        <v>0</v>
      </c>
      <c r="AO100" s="145">
        <v>7.7</v>
      </c>
      <c r="AP100" s="143"/>
      <c r="AQ100" s="143"/>
      <c r="AR100" s="143"/>
      <c r="AS100" s="146">
        <v>2.27</v>
      </c>
      <c r="AT100" s="224">
        <f t="shared" si="38"/>
        <v>0</v>
      </c>
      <c r="AU100" s="1553">
        <v>4137.6</v>
      </c>
      <c r="AV100" s="1690"/>
      <c r="AW100" s="1690"/>
      <c r="AX100" s="1690"/>
      <c r="AY100" s="1690"/>
      <c r="AZ100" s="1688"/>
      <c r="BA100" s="1553">
        <v>396.5</v>
      </c>
      <c r="BB100" s="1548"/>
      <c r="BC100" s="1548"/>
      <c r="BD100" s="1548"/>
      <c r="BE100" s="1546"/>
      <c r="BF100" s="222">
        <f t="shared" si="39"/>
        <v>0</v>
      </c>
      <c r="BG100" s="140">
        <f t="shared" si="40"/>
        <v>0</v>
      </c>
      <c r="BH100" s="132"/>
      <c r="BI100" s="140">
        <f t="shared" si="41"/>
        <v>0</v>
      </c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30">
        <f t="shared" si="42"/>
        <v>0</v>
      </c>
      <c r="BX100" s="132"/>
    </row>
    <row r="101" ht="14.25" customHeight="1">
      <c r="A101" s="132"/>
      <c r="B101" s="93">
        <v>46111</v>
      </c>
      <c r="C101" s="133">
        <f>5158.27-D101-0</f>
      </c>
      <c r="D101" s="134">
        <v>288.7</v>
      </c>
      <c r="E101" s="135"/>
      <c r="F101" s="135"/>
      <c r="G101" s="147">
        <f t="shared" si="34"/>
        <v>0</v>
      </c>
      <c r="H101" s="144">
        <v>931.14</v>
      </c>
      <c r="I101" s="145">
        <v>275.93</v>
      </c>
      <c r="J101" s="136"/>
      <c r="K101" s="143"/>
      <c r="L101" s="143"/>
      <c r="M101" s="143"/>
      <c r="N101" s="143"/>
      <c r="O101" s="99"/>
      <c r="P101" s="143"/>
      <c r="Q101" s="143"/>
      <c r="R101" s="143"/>
      <c r="S101" s="143"/>
      <c r="T101" s="143"/>
      <c r="U101" s="103">
        <f t="shared" si="35"/>
        <v>0</v>
      </c>
      <c r="V101" s="136"/>
      <c r="W101" s="136"/>
      <c r="X101" s="99"/>
      <c r="Y101" s="99"/>
      <c r="Z101" s="99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03">
        <f t="shared" si="36"/>
        <v>0</v>
      </c>
      <c r="AK101" s="134">
        <v>880.76</v>
      </c>
      <c r="AL101" s="134">
        <v>97</v>
      </c>
      <c r="AM101" s="136"/>
      <c r="AN101" s="105">
        <f t="shared" si="37"/>
        <v>0</v>
      </c>
      <c r="AO101" s="145">
        <v>8.88</v>
      </c>
      <c r="AP101" s="143"/>
      <c r="AQ101" s="143"/>
      <c r="AR101" s="143"/>
      <c r="AS101" s="146"/>
      <c r="AT101" s="224">
        <f t="shared" si="38"/>
        <v>0</v>
      </c>
      <c r="AU101" s="1553">
        <v>2747.9</v>
      </c>
      <c r="AV101" s="1690"/>
      <c r="AW101" s="1690"/>
      <c r="AX101" s="1690"/>
      <c r="AY101" s="1690"/>
      <c r="AZ101" s="1688"/>
      <c r="BA101" s="1553">
        <v>191.7</v>
      </c>
      <c r="BB101" s="1548"/>
      <c r="BC101" s="1548"/>
      <c r="BD101" s="1548"/>
      <c r="BE101" s="1546"/>
      <c r="BF101" s="222">
        <f t="shared" si="39"/>
        <v>0</v>
      </c>
      <c r="BG101" s="140">
        <f t="shared" si="40"/>
        <v>0</v>
      </c>
      <c r="BH101" s="132"/>
      <c r="BI101" s="140">
        <f t="shared" si="41"/>
        <v>0</v>
      </c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50">
        <v>25</v>
      </c>
      <c r="BV101" s="141"/>
      <c r="BW101" s="130">
        <f t="shared" si="42"/>
        <v>0</v>
      </c>
      <c r="BX101" s="132"/>
    </row>
    <row r="102" ht="14.25" customHeight="1">
      <c r="A102" s="132"/>
      <c r="B102" s="93">
        <v>46112</v>
      </c>
      <c r="C102" s="133">
        <f>6520.02-D102-0</f>
      </c>
      <c r="D102" s="134">
        <v>257.3</v>
      </c>
      <c r="E102" s="156"/>
      <c r="F102" s="156"/>
      <c r="G102" s="147">
        <f t="shared" si="34"/>
        <v>0</v>
      </c>
      <c r="H102" s="1159">
        <v>759.04</v>
      </c>
      <c r="I102" s="158">
        <v>697.35</v>
      </c>
      <c r="J102" s="159"/>
      <c r="K102" s="158">
        <v>1365.28</v>
      </c>
      <c r="L102" s="157"/>
      <c r="M102" s="157"/>
      <c r="N102" s="157"/>
      <c r="O102" s="657"/>
      <c r="P102" s="157"/>
      <c r="Q102" s="157"/>
      <c r="R102" s="157"/>
      <c r="S102" s="157"/>
      <c r="T102" s="157"/>
      <c r="U102" s="103">
        <f t="shared" si="35"/>
        <v>0</v>
      </c>
      <c r="V102" s="159"/>
      <c r="W102" s="159"/>
      <c r="X102" s="657"/>
      <c r="Y102" s="657"/>
      <c r="Z102" s="657"/>
      <c r="AA102" s="157"/>
      <c r="AB102" s="157"/>
      <c r="AC102" s="157"/>
      <c r="AD102" s="157"/>
      <c r="AE102" s="157"/>
      <c r="AF102" s="157"/>
      <c r="AG102" s="157"/>
      <c r="AH102" s="157"/>
      <c r="AI102" s="157"/>
      <c r="AJ102" s="103">
        <f t="shared" si="36"/>
        <v>0</v>
      </c>
      <c r="AK102" s="154">
        <v>566.14</v>
      </c>
      <c r="AL102" s="154"/>
      <c r="AM102" s="159"/>
      <c r="AN102" s="105">
        <f t="shared" si="37"/>
        <v>0</v>
      </c>
      <c r="AO102" s="158">
        <v>125.64</v>
      </c>
      <c r="AP102" s="157"/>
      <c r="AQ102" s="157"/>
      <c r="AR102" s="157"/>
      <c r="AS102" s="160"/>
      <c r="AT102" s="224">
        <f t="shared" si="38"/>
        <v>0</v>
      </c>
      <c r="AU102" s="1555">
        <v>1188.8</v>
      </c>
      <c r="AV102" s="1692">
        <v>1560.3</v>
      </c>
      <c r="AW102" s="1692"/>
      <c r="AX102" s="1692"/>
      <c r="AY102" s="1692"/>
      <c r="AZ102" s="1688"/>
      <c r="BA102" s="1555">
        <v>257</v>
      </c>
      <c r="BB102" s="1548"/>
      <c r="BC102" s="1548"/>
      <c r="BD102" s="1548"/>
      <c r="BE102" s="1557"/>
      <c r="BF102" s="222">
        <f t="shared" si="39"/>
        <v>0</v>
      </c>
      <c r="BG102" s="162">
        <f t="shared" si="40"/>
        <v>0</v>
      </c>
      <c r="BH102" s="132"/>
      <c r="BI102" s="162">
        <f t="shared" si="41"/>
        <v>0</v>
      </c>
      <c r="BJ102" s="163"/>
      <c r="BK102" s="163"/>
      <c r="BL102" s="163"/>
      <c r="BM102" s="163"/>
      <c r="BN102" s="163"/>
      <c r="BO102" s="163"/>
      <c r="BP102" s="163"/>
      <c r="BQ102" s="163"/>
      <c r="BR102" s="163"/>
      <c r="BS102" s="141"/>
      <c r="BT102" s="163"/>
      <c r="BU102" s="163"/>
      <c r="BV102" s="163"/>
      <c r="BW102" s="164">
        <f t="shared" si="42"/>
        <v>0</v>
      </c>
      <c r="BX102" s="132"/>
    </row>
    <row r="103" ht="14.25" customHeight="1">
      <c r="A103" s="3"/>
      <c r="B103" s="2"/>
      <c r="C103" s="284">
        <f ref="C103:K103" t="shared" si="43">SUM(C72:C102)</f>
        <v>0</v>
      </c>
      <c r="D103" s="284">
        <f t="shared" si="43"/>
        <v>0</v>
      </c>
      <c r="E103" s="284">
        <f t="shared" si="43"/>
        <v>0</v>
      </c>
      <c r="F103" s="284">
        <f t="shared" si="43"/>
        <v>0</v>
      </c>
      <c r="G103" s="284">
        <f t="shared" si="43"/>
        <v>0</v>
      </c>
      <c r="H103" s="284">
        <f t="shared" si="43"/>
        <v>0</v>
      </c>
      <c r="I103" s="284">
        <f t="shared" si="43"/>
        <v>0</v>
      </c>
      <c r="J103" s="284">
        <f t="shared" si="43"/>
        <v>0</v>
      </c>
      <c r="K103" s="284">
        <f t="shared" si="43"/>
        <v>0</v>
      </c>
      <c r="L103" s="284"/>
      <c r="M103" s="284">
        <f ref="M103:BG103" t="shared" si="44">SUM(M72:M102)</f>
        <v>0</v>
      </c>
      <c r="N103" s="284">
        <f t="shared" si="44"/>
        <v>0</v>
      </c>
      <c r="O103" s="284">
        <f t="shared" si="44"/>
        <v>0</v>
      </c>
      <c r="P103" s="284">
        <f t="shared" si="44"/>
        <v>0</v>
      </c>
      <c r="Q103" s="284">
        <f t="shared" si="44"/>
        <v>0</v>
      </c>
      <c r="R103" s="284">
        <f t="shared" si="44"/>
        <v>0</v>
      </c>
      <c r="S103" s="284">
        <f t="shared" si="44"/>
        <v>0</v>
      </c>
      <c r="T103" s="284">
        <f t="shared" si="44"/>
        <v>0</v>
      </c>
      <c r="U103" s="284">
        <f t="shared" si="44"/>
        <v>0</v>
      </c>
      <c r="V103" s="284">
        <f t="shared" si="44"/>
        <v>0</v>
      </c>
      <c r="W103" s="284">
        <f t="shared" si="44"/>
        <v>0</v>
      </c>
      <c r="X103" s="284">
        <f t="shared" si="44"/>
        <v>0</v>
      </c>
      <c r="Y103" s="284">
        <f t="shared" si="44"/>
        <v>0</v>
      </c>
      <c r="Z103" s="284">
        <f t="shared" si="44"/>
        <v>0</v>
      </c>
      <c r="AA103" s="284">
        <f t="shared" si="44"/>
        <v>0</v>
      </c>
      <c r="AB103" s="284">
        <f t="shared" si="44"/>
        <v>0</v>
      </c>
      <c r="AC103" s="284">
        <f t="shared" si="44"/>
        <v>0</v>
      </c>
      <c r="AD103" s="284">
        <f t="shared" si="44"/>
        <v>0</v>
      </c>
      <c r="AE103" s="284">
        <f t="shared" si="44"/>
        <v>0</v>
      </c>
      <c r="AF103" s="284">
        <f t="shared" si="44"/>
        <v>0</v>
      </c>
      <c r="AG103" s="284">
        <f t="shared" si="44"/>
        <v>0</v>
      </c>
      <c r="AH103" s="284">
        <f t="shared" si="44"/>
        <v>0</v>
      </c>
      <c r="AI103" s="284">
        <f t="shared" si="44"/>
        <v>0</v>
      </c>
      <c r="AJ103" s="284">
        <f t="shared" si="44"/>
        <v>0</v>
      </c>
      <c r="AK103" s="284">
        <f t="shared" si="44"/>
        <v>0</v>
      </c>
      <c r="AL103" s="284">
        <f t="shared" si="44"/>
        <v>0</v>
      </c>
      <c r="AM103" s="284">
        <f t="shared" si="44"/>
        <v>0</v>
      </c>
      <c r="AN103" s="284">
        <f t="shared" si="44"/>
        <v>0</v>
      </c>
      <c r="AO103" s="284">
        <f t="shared" si="44"/>
        <v>0</v>
      </c>
      <c r="AP103" s="284">
        <f t="shared" si="44"/>
        <v>0</v>
      </c>
      <c r="AQ103" s="284">
        <f t="shared" si="44"/>
        <v>0</v>
      </c>
      <c r="AR103" s="284">
        <f t="shared" si="44"/>
        <v>0</v>
      </c>
      <c r="AS103" s="284">
        <f t="shared" si="44"/>
        <v>0</v>
      </c>
      <c r="AT103" s="284">
        <f t="shared" si="44"/>
        <v>0</v>
      </c>
      <c r="AU103" s="669">
        <f t="shared" si="44"/>
        <v>0</v>
      </c>
      <c r="AV103" s="669">
        <f t="shared" si="44"/>
        <v>0</v>
      </c>
      <c r="AW103" s="669">
        <f t="shared" si="44"/>
        <v>0</v>
      </c>
      <c r="AX103" s="669">
        <f t="shared" si="44"/>
        <v>0</v>
      </c>
      <c r="AY103" s="669">
        <f t="shared" si="44"/>
        <v>0</v>
      </c>
      <c r="AZ103" s="669">
        <f t="shared" si="44"/>
        <v>0</v>
      </c>
      <c r="BA103" s="669">
        <f t="shared" si="44"/>
        <v>0</v>
      </c>
      <c r="BB103" s="669">
        <f t="shared" si="44"/>
        <v>0</v>
      </c>
      <c r="BC103" s="669">
        <f t="shared" si="44"/>
        <v>0</v>
      </c>
      <c r="BD103" s="669">
        <f t="shared" si="44"/>
        <v>0</v>
      </c>
      <c r="BE103" s="669">
        <f t="shared" si="44"/>
        <v>0</v>
      </c>
      <c r="BF103" s="284">
        <f t="shared" si="44"/>
        <v>0</v>
      </c>
      <c r="BG103" s="284">
        <f t="shared" si="44"/>
        <v>0</v>
      </c>
      <c r="BH103" s="3"/>
      <c r="BI103" s="172">
        <f>SUM(BI72:BI102)</f>
        <v>0</v>
      </c>
      <c r="BJ103" s="165"/>
      <c r="BK103" s="165"/>
      <c r="BL103" s="165"/>
      <c r="BM103" s="165"/>
      <c r="BN103" s="165"/>
      <c r="BO103" s="165"/>
      <c r="BP103" s="165"/>
      <c r="BQ103" s="165"/>
      <c r="BR103" s="165"/>
      <c r="BS103" s="165">
        <f ref="BS103:BV103" t="shared" si="45">SUM(BS72:BS102)</f>
        <v>0</v>
      </c>
      <c r="BT103" s="165">
        <f t="shared" si="45"/>
        <v>0</v>
      </c>
      <c r="BU103" s="165">
        <f t="shared" si="45"/>
        <v>0</v>
      </c>
      <c r="BV103" s="165">
        <f t="shared" si="45"/>
        <v>0</v>
      </c>
      <c r="BW103" s="173"/>
      <c r="BX103" s="3"/>
    </row>
    <row r="104" ht="14.25" customHeight="1">
      <c r="A104" s="1"/>
      <c r="B104" s="2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4"/>
      <c r="AO104" s="3"/>
      <c r="AP104" s="3"/>
      <c r="AQ104" s="3"/>
      <c r="AR104" s="3"/>
      <c r="AS104" s="3"/>
      <c r="AT104" s="4"/>
      <c r="AU104" s="380"/>
      <c r="AV104" s="380"/>
      <c r="AW104" s="380"/>
      <c r="AX104" s="1"/>
      <c r="AY104" s="1"/>
      <c r="AZ104" s="1"/>
      <c r="BA104" s="380"/>
      <c r="BB104" s="132"/>
      <c r="BC104" s="132"/>
      <c r="BD104" s="132"/>
      <c r="BE104" s="132"/>
      <c r="BF104" s="4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ht="14.25" customHeight="1">
      <c r="A105" s="1"/>
      <c r="B105" s="236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176"/>
      <c r="AK105" s="3"/>
      <c r="AL105" s="3"/>
      <c r="AM105" s="3"/>
      <c r="AN105" s="4"/>
      <c r="AO105" s="3"/>
      <c r="AP105" s="3"/>
      <c r="AQ105" s="3"/>
      <c r="AR105" s="3"/>
      <c r="AS105" s="3"/>
      <c r="AT105" s="177"/>
      <c r="AU105" s="790"/>
      <c r="AV105" s="790"/>
      <c r="AW105" s="790"/>
      <c r="AX105" s="790"/>
      <c r="AY105" s="790"/>
      <c r="AZ105" s="790"/>
      <c r="BA105" s="790"/>
      <c r="BB105" s="4"/>
      <c r="BC105" s="1160"/>
      <c r="BD105" s="132"/>
      <c r="BE105" s="132"/>
      <c r="BF105" s="177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ht="14.25" customHeight="1">
      <c r="A106" s="3"/>
      <c r="B106" s="306">
        <v>46113</v>
      </c>
      <c r="C106" s="94">
        <f>6217.93-D106-0</f>
      </c>
      <c r="D106" s="95">
        <v>622.6</v>
      </c>
      <c r="E106" s="97"/>
      <c r="F106" s="97"/>
      <c r="G106" s="216">
        <f ref="G106:G135" t="shared" si="46">+C106+D106+E106+F106</f>
        <v>0</v>
      </c>
      <c r="H106" s="192">
        <v>805.94</v>
      </c>
      <c r="I106" s="188">
        <v>286.64</v>
      </c>
      <c r="J106" s="186"/>
      <c r="K106" s="186"/>
      <c r="L106" s="186"/>
      <c r="M106" s="186"/>
      <c r="N106" s="186"/>
      <c r="O106" s="101"/>
      <c r="P106" s="186"/>
      <c r="Q106" s="186"/>
      <c r="R106" s="186"/>
      <c r="S106" s="186"/>
      <c r="T106" s="186"/>
      <c r="U106" s="103">
        <f ref="U106:U135" t="shared" si="47">SUM(H106:T106)</f>
        <v>0</v>
      </c>
      <c r="V106" s="190"/>
      <c r="W106" s="190"/>
      <c r="X106" s="101"/>
      <c r="Y106" s="101"/>
      <c r="Z106" s="101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03">
        <f ref="AJ106:AJ135" t="shared" si="48">SUM(V106:AI106)</f>
        <v>0</v>
      </c>
      <c r="AK106" s="95">
        <v>571.58</v>
      </c>
      <c r="AL106" s="95">
        <v>172</v>
      </c>
      <c r="AM106" s="104"/>
      <c r="AN106" s="191">
        <f ref="AN106:AN135" t="shared" si="49">SUM(AK106:AM106)</f>
        <v>0</v>
      </c>
      <c r="AO106" s="188">
        <v>14</v>
      </c>
      <c r="AP106" s="186"/>
      <c r="AQ106" s="186"/>
      <c r="AR106" s="186"/>
      <c r="AS106" s="193"/>
      <c r="AT106" s="224">
        <f ref="AT106:AT135" t="shared" si="50">+G106-U106-AJ106-AN106-AO106-AQ106-AR106-AS106</f>
        <v>0</v>
      </c>
      <c r="AU106" s="1685">
        <v>2331.8</v>
      </c>
      <c r="AV106" s="1687">
        <v>1560.3</v>
      </c>
      <c r="AW106" s="1688"/>
      <c r="AX106" s="1688"/>
      <c r="AY106" s="1688"/>
      <c r="AZ106" s="1820"/>
      <c r="BA106" s="1685">
        <v>449.7</v>
      </c>
      <c r="BB106" s="1547"/>
      <c r="BC106" s="1548"/>
      <c r="BD106" s="1548"/>
      <c r="BE106" s="1548"/>
      <c r="BF106" s="222">
        <f ref="BF106:BF135" t="shared" si="51">SUM(AU106:BE106)-BD106</f>
        <v>0</v>
      </c>
      <c r="BG106" s="114">
        <f ref="BG106:BG135" t="shared" si="52">+AT106-BF106</f>
        <v>0</v>
      </c>
      <c r="BH106" s="3"/>
      <c r="BI106" s="114">
        <f ref="BI106:BI135" t="shared" si="53">SUM(BJ106:BV106)</f>
        <v>0</v>
      </c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250"/>
      <c r="BU106" s="115">
        <v>25</v>
      </c>
      <c r="BV106" s="115"/>
      <c r="BW106" s="116">
        <f ref="BW106:BW135" t="shared" si="54">+BG106-BI106</f>
        <v>0</v>
      </c>
      <c r="BX106" s="3"/>
    </row>
    <row r="107" ht="14.25" customHeight="1">
      <c r="A107" s="5"/>
      <c r="B107" s="306">
        <v>46114</v>
      </c>
      <c r="C107" s="118">
        <f>11023.56-D107-0</f>
      </c>
      <c r="D107" s="119">
        <v>1620.9</v>
      </c>
      <c r="E107" s="120"/>
      <c r="F107" s="120"/>
      <c r="G107" s="147">
        <f t="shared" si="46"/>
        <v>0</v>
      </c>
      <c r="H107" s="144"/>
      <c r="I107" s="143"/>
      <c r="J107" s="143"/>
      <c r="K107" s="143"/>
      <c r="L107" s="143"/>
      <c r="M107" s="143"/>
      <c r="N107" s="143"/>
      <c r="O107" s="99"/>
      <c r="P107" s="143"/>
      <c r="Q107" s="143"/>
      <c r="R107" s="143"/>
      <c r="S107" s="143"/>
      <c r="T107" s="143"/>
      <c r="U107" s="103">
        <f t="shared" si="47"/>
        <v>0</v>
      </c>
      <c r="V107" s="136"/>
      <c r="W107" s="136"/>
      <c r="X107" s="99"/>
      <c r="Y107" s="99"/>
      <c r="Z107" s="99"/>
      <c r="AA107" s="143"/>
      <c r="AB107" s="143"/>
      <c r="AC107" s="143"/>
      <c r="AD107" s="143"/>
      <c r="AE107" s="143"/>
      <c r="AF107" s="143"/>
      <c r="AG107" s="143"/>
      <c r="AH107" s="143"/>
      <c r="AI107" s="143"/>
      <c r="AJ107" s="103">
        <f t="shared" si="48"/>
        <v>0</v>
      </c>
      <c r="AK107" s="119">
        <v>4020.66</v>
      </c>
      <c r="AL107" s="119">
        <v>632.4</v>
      </c>
      <c r="AM107" s="123"/>
      <c r="AN107" s="105">
        <f t="shared" si="49"/>
        <v>0</v>
      </c>
      <c r="AO107" s="145">
        <v>14</v>
      </c>
      <c r="AP107" s="143"/>
      <c r="AQ107" s="143"/>
      <c r="AR107" s="143"/>
      <c r="AS107" s="146">
        <v>0.7</v>
      </c>
      <c r="AT107" s="224">
        <f t="shared" si="50"/>
        <v>0</v>
      </c>
      <c r="AU107" s="1553">
        <v>3806.9</v>
      </c>
      <c r="AV107" s="1690">
        <v>1560.3</v>
      </c>
      <c r="AW107" s="1688"/>
      <c r="AX107" s="1688"/>
      <c r="AY107" s="1688"/>
      <c r="AZ107" s="1820"/>
      <c r="BA107" s="1553">
        <v>987.2</v>
      </c>
      <c r="BB107" s="1547"/>
      <c r="BC107" s="1548"/>
      <c r="BD107" s="1548"/>
      <c r="BE107" s="1548"/>
      <c r="BF107" s="222">
        <f t="shared" si="51"/>
        <v>0</v>
      </c>
      <c r="BG107" s="113">
        <f t="shared" si="52"/>
        <v>0</v>
      </c>
      <c r="BH107" s="3"/>
      <c r="BI107" s="113">
        <f t="shared" si="53"/>
        <v>0</v>
      </c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30">
        <f t="shared" si="54"/>
        <v>0</v>
      </c>
      <c r="BX107" s="3"/>
    </row>
    <row r="108" ht="14.25" customHeight="1">
      <c r="A108" s="3"/>
      <c r="B108" s="306">
        <v>46115</v>
      </c>
      <c r="C108" s="118">
        <f>4981.58-D108-0</f>
      </c>
      <c r="D108" s="119">
        <v>1324.5</v>
      </c>
      <c r="E108" s="120"/>
      <c r="F108" s="120"/>
      <c r="G108" s="147">
        <f t="shared" si="46"/>
        <v>0</v>
      </c>
      <c r="H108" s="144"/>
      <c r="I108" s="143"/>
      <c r="J108" s="231"/>
      <c r="K108" s="143"/>
      <c r="L108" s="143"/>
      <c r="M108" s="143"/>
      <c r="N108" s="143"/>
      <c r="O108" s="99"/>
      <c r="P108" s="143"/>
      <c r="Q108" s="143"/>
      <c r="R108" s="143"/>
      <c r="S108" s="143"/>
      <c r="T108" s="143"/>
      <c r="U108" s="103">
        <f t="shared" si="47"/>
        <v>0</v>
      </c>
      <c r="V108" s="136"/>
      <c r="W108" s="136"/>
      <c r="X108" s="99"/>
      <c r="Y108" s="99"/>
      <c r="Z108" s="99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03">
        <f t="shared" si="48"/>
        <v>0</v>
      </c>
      <c r="AK108" s="119">
        <v>1529.98</v>
      </c>
      <c r="AL108" s="119">
        <v>249.5</v>
      </c>
      <c r="AM108" s="123"/>
      <c r="AN108" s="105">
        <f t="shared" si="49"/>
        <v>0</v>
      </c>
      <c r="AO108" s="143"/>
      <c r="AP108" s="143"/>
      <c r="AQ108" s="143"/>
      <c r="AR108" s="143"/>
      <c r="AS108" s="146"/>
      <c r="AT108" s="224">
        <f t="shared" si="50"/>
        <v>0</v>
      </c>
      <c r="AU108" s="1553">
        <v>2127</v>
      </c>
      <c r="AV108" s="1690"/>
      <c r="AW108" s="1688"/>
      <c r="AX108" s="1688"/>
      <c r="AY108" s="1688"/>
      <c r="AZ108" s="1820"/>
      <c r="BA108" s="1553">
        <v>1075.3</v>
      </c>
      <c r="BB108" s="1547"/>
      <c r="BC108" s="1548"/>
      <c r="BD108" s="1548"/>
      <c r="BE108" s="1548"/>
      <c r="BF108" s="222">
        <f t="shared" si="51"/>
        <v>0</v>
      </c>
      <c r="BG108" s="113">
        <f t="shared" si="52"/>
        <v>0</v>
      </c>
      <c r="BH108" s="3"/>
      <c r="BI108" s="113">
        <f t="shared" si="53"/>
        <v>0</v>
      </c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30">
        <f t="shared" si="54"/>
        <v>0</v>
      </c>
      <c r="BX108" s="3"/>
    </row>
    <row r="109" ht="14.25" customHeight="1">
      <c r="A109" s="3"/>
      <c r="B109" s="306">
        <v>46116</v>
      </c>
      <c r="C109" s="118">
        <f>8678.34-D109-0</f>
      </c>
      <c r="D109" s="119">
        <v>1262.2</v>
      </c>
      <c r="E109" s="120"/>
      <c r="F109" s="120"/>
      <c r="G109" s="147">
        <f t="shared" si="46"/>
        <v>0</v>
      </c>
      <c r="H109" s="144"/>
      <c r="I109" s="143"/>
      <c r="J109" s="143"/>
      <c r="K109" s="143"/>
      <c r="L109" s="143"/>
      <c r="M109" s="143"/>
      <c r="N109" s="143"/>
      <c r="O109" s="99"/>
      <c r="P109" s="143"/>
      <c r="Q109" s="143"/>
      <c r="R109" s="143"/>
      <c r="S109" s="143"/>
      <c r="T109" s="143"/>
      <c r="U109" s="103">
        <f t="shared" si="47"/>
        <v>0</v>
      </c>
      <c r="V109" s="133"/>
      <c r="W109" s="133"/>
      <c r="X109" s="99"/>
      <c r="Y109" s="99"/>
      <c r="Z109" s="99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03">
        <f t="shared" si="48"/>
        <v>0</v>
      </c>
      <c r="AK109" s="119">
        <v>1959.15</v>
      </c>
      <c r="AL109" s="119">
        <v>410</v>
      </c>
      <c r="AM109" s="123"/>
      <c r="AN109" s="105">
        <f t="shared" si="49"/>
        <v>0</v>
      </c>
      <c r="AO109" s="143"/>
      <c r="AP109" s="143"/>
      <c r="AQ109" s="143"/>
      <c r="AR109" s="143"/>
      <c r="AS109" s="146"/>
      <c r="AT109" s="224">
        <f t="shared" si="50"/>
        <v>0</v>
      </c>
      <c r="AU109" s="1553">
        <v>5432.1</v>
      </c>
      <c r="AV109" s="1690"/>
      <c r="AW109" s="1688"/>
      <c r="AX109" s="1688"/>
      <c r="AY109" s="1688"/>
      <c r="AZ109" s="1820"/>
      <c r="BA109" s="1553">
        <v>850.7</v>
      </c>
      <c r="BB109" s="1547"/>
      <c r="BC109" s="1548"/>
      <c r="BD109" s="1548"/>
      <c r="BE109" s="1548"/>
      <c r="BF109" s="222">
        <f t="shared" si="51"/>
        <v>0</v>
      </c>
      <c r="BG109" s="113">
        <f t="shared" si="52"/>
        <v>0</v>
      </c>
      <c r="BH109" s="3"/>
      <c r="BI109" s="113">
        <f t="shared" si="53"/>
        <v>0</v>
      </c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31"/>
      <c r="BU109" s="129">
        <v>25</v>
      </c>
      <c r="BV109" s="129"/>
      <c r="BW109" s="130">
        <f t="shared" si="54"/>
        <v>0</v>
      </c>
      <c r="BX109" s="3"/>
    </row>
    <row r="110" ht="14.25" customHeight="1">
      <c r="A110" s="132"/>
      <c r="B110" s="306">
        <v>46117</v>
      </c>
      <c r="C110" s="133">
        <f>8619.89-D110-0</f>
      </c>
      <c r="D110" s="134">
        <v>879</v>
      </c>
      <c r="E110" s="135"/>
      <c r="F110" s="135"/>
      <c r="G110" s="147">
        <f t="shared" si="46"/>
        <v>0</v>
      </c>
      <c r="H110" s="144"/>
      <c r="I110" s="143"/>
      <c r="J110" s="143"/>
      <c r="K110" s="143"/>
      <c r="L110" s="143"/>
      <c r="M110" s="143"/>
      <c r="N110" s="143"/>
      <c r="O110" s="99"/>
      <c r="P110" s="143"/>
      <c r="Q110" s="143"/>
      <c r="R110" s="143"/>
      <c r="S110" s="143"/>
      <c r="T110" s="143"/>
      <c r="U110" s="103">
        <f t="shared" si="47"/>
        <v>0</v>
      </c>
      <c r="V110" s="136"/>
      <c r="W110" s="136"/>
      <c r="X110" s="136"/>
      <c r="Y110" s="99"/>
      <c r="Z110" s="99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03">
        <f t="shared" si="48"/>
        <v>0</v>
      </c>
      <c r="AK110" s="134">
        <v>3888.15</v>
      </c>
      <c r="AL110" s="134">
        <v>130.3</v>
      </c>
      <c r="AM110" s="136"/>
      <c r="AN110" s="105">
        <f t="shared" si="49"/>
        <v>0</v>
      </c>
      <c r="AO110" s="143"/>
      <c r="AP110" s="143"/>
      <c r="AQ110" s="143"/>
      <c r="AR110" s="143"/>
      <c r="AS110" s="146">
        <v>6.41</v>
      </c>
      <c r="AT110" s="224">
        <f t="shared" si="50"/>
        <v>0</v>
      </c>
      <c r="AU110" s="1553">
        <v>3734</v>
      </c>
      <c r="AV110" s="1690"/>
      <c r="AW110" s="1688"/>
      <c r="AX110" s="1688"/>
      <c r="AY110" s="1688"/>
      <c r="AZ110" s="1820"/>
      <c r="BA110" s="1553">
        <v>747.9</v>
      </c>
      <c r="BB110" s="1547"/>
      <c r="BC110" s="1548"/>
      <c r="BD110" s="1548"/>
      <c r="BE110" s="1548"/>
      <c r="BF110" s="222">
        <f t="shared" si="51"/>
        <v>0</v>
      </c>
      <c r="BG110" s="140">
        <f t="shared" si="52"/>
        <v>0</v>
      </c>
      <c r="BH110" s="132"/>
      <c r="BI110" s="140">
        <f t="shared" si="53"/>
        <v>0</v>
      </c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50"/>
      <c r="BT110" s="141"/>
      <c r="BU110" s="141"/>
      <c r="BV110" s="141"/>
      <c r="BW110" s="130">
        <f t="shared" si="54"/>
        <v>0</v>
      </c>
      <c r="BX110" s="132"/>
    </row>
    <row r="111" ht="14.25" customHeight="1">
      <c r="A111" s="132"/>
      <c r="B111" s="306">
        <v>46118</v>
      </c>
      <c r="C111" s="133">
        <f>8973.27-D111-0</f>
      </c>
      <c r="D111" s="134">
        <v>745.6</v>
      </c>
      <c r="E111" s="135"/>
      <c r="F111" s="135"/>
      <c r="G111" s="147">
        <f t="shared" si="46"/>
        <v>0</v>
      </c>
      <c r="H111" s="199">
        <v>1529.66</v>
      </c>
      <c r="I111" s="143"/>
      <c r="J111" s="143"/>
      <c r="K111" s="145">
        <v>2072.49</v>
      </c>
      <c r="L111" s="145">
        <v>150.04</v>
      </c>
      <c r="M111" s="143"/>
      <c r="N111" s="143"/>
      <c r="O111" s="99"/>
      <c r="P111" s="143"/>
      <c r="Q111" s="143"/>
      <c r="R111" s="143"/>
      <c r="S111" s="143"/>
      <c r="T111" s="143"/>
      <c r="U111" s="103">
        <f t="shared" si="47"/>
        <v>0</v>
      </c>
      <c r="V111" s="136"/>
      <c r="W111" s="136"/>
      <c r="X111" s="99"/>
      <c r="Y111" s="99"/>
      <c r="Z111" s="99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03">
        <f t="shared" si="48"/>
        <v>0</v>
      </c>
      <c r="AK111" s="134">
        <v>1598.92</v>
      </c>
      <c r="AL111" s="134">
        <v>219.2</v>
      </c>
      <c r="AM111" s="136"/>
      <c r="AN111" s="105">
        <f t="shared" si="49"/>
        <v>0</v>
      </c>
      <c r="AO111" s="145">
        <v>183.47</v>
      </c>
      <c r="AP111" s="143"/>
      <c r="AQ111" s="143"/>
      <c r="AR111" s="143"/>
      <c r="AS111" s="146">
        <v>0.15</v>
      </c>
      <c r="AT111" s="224">
        <f t="shared" si="50"/>
        <v>0</v>
      </c>
      <c r="AU111" s="1553">
        <v>1107.6</v>
      </c>
      <c r="AV111" s="1690">
        <v>1560.3</v>
      </c>
      <c r="AW111" s="1688"/>
      <c r="AX111" s="1688"/>
      <c r="AY111" s="1688"/>
      <c r="AZ111" s="1820"/>
      <c r="BA111" s="1553">
        <v>525.4</v>
      </c>
      <c r="BB111" s="1547"/>
      <c r="BC111" s="1548"/>
      <c r="BD111" s="1548"/>
      <c r="BE111" s="1548"/>
      <c r="BF111" s="222">
        <f t="shared" si="51"/>
        <v>0</v>
      </c>
      <c r="BG111" s="140">
        <f t="shared" si="52"/>
        <v>0</v>
      </c>
      <c r="BH111" s="132"/>
      <c r="BI111" s="140">
        <f t="shared" si="53"/>
        <v>0</v>
      </c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50"/>
      <c r="BU111" s="141">
        <v>25</v>
      </c>
      <c r="BV111" s="141"/>
      <c r="BW111" s="130">
        <f t="shared" si="54"/>
        <v>0</v>
      </c>
      <c r="BX111" s="132"/>
    </row>
    <row r="112" ht="14.25" customHeight="1">
      <c r="A112" s="132"/>
      <c r="B112" s="306">
        <v>46119</v>
      </c>
      <c r="C112" s="133">
        <f>9510.56-D112-0</f>
      </c>
      <c r="D112" s="134">
        <v>431</v>
      </c>
      <c r="E112" s="135"/>
      <c r="F112" s="135"/>
      <c r="G112" s="147">
        <f t="shared" si="46"/>
        <v>0</v>
      </c>
      <c r="H112" s="144">
        <v>510.2</v>
      </c>
      <c r="I112" s="145">
        <v>882.75</v>
      </c>
      <c r="J112" s="143"/>
      <c r="K112" s="145">
        <v>2037.48</v>
      </c>
      <c r="L112" s="143"/>
      <c r="M112" s="143"/>
      <c r="N112" s="143"/>
      <c r="O112" s="99"/>
      <c r="P112" s="143"/>
      <c r="Q112" s="143"/>
      <c r="R112" s="143"/>
      <c r="S112" s="143"/>
      <c r="T112" s="143"/>
      <c r="U112" s="103">
        <f t="shared" si="47"/>
        <v>0</v>
      </c>
      <c r="V112" s="136"/>
      <c r="W112" s="136"/>
      <c r="X112" s="99"/>
      <c r="Y112" s="99"/>
      <c r="Z112" s="99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03">
        <f t="shared" si="48"/>
        <v>0</v>
      </c>
      <c r="AK112" s="134">
        <v>1670.1</v>
      </c>
      <c r="AL112" s="134">
        <v>20</v>
      </c>
      <c r="AM112" s="136"/>
      <c r="AN112" s="105">
        <f t="shared" si="49"/>
        <v>0</v>
      </c>
      <c r="AO112" s="145">
        <v>180.6</v>
      </c>
      <c r="AP112" s="143"/>
      <c r="AQ112" s="143"/>
      <c r="AR112" s="143"/>
      <c r="AS112" s="146"/>
      <c r="AT112" s="224">
        <f t="shared" si="50"/>
        <v>0</v>
      </c>
      <c r="AU112" s="1553">
        <v>2238.1</v>
      </c>
      <c r="AV112" s="1690">
        <v>1560.3</v>
      </c>
      <c r="AW112" s="1688"/>
      <c r="AX112" s="1688"/>
      <c r="AY112" s="1688"/>
      <c r="AZ112" s="1820"/>
      <c r="BA112" s="1553">
        <v>410.2</v>
      </c>
      <c r="BB112" s="1547"/>
      <c r="BC112" s="1548"/>
      <c r="BD112" s="1548"/>
      <c r="BE112" s="1548"/>
      <c r="BF112" s="222">
        <f t="shared" si="51"/>
        <v>0</v>
      </c>
      <c r="BG112" s="140">
        <f t="shared" si="52"/>
        <v>0</v>
      </c>
      <c r="BH112" s="132"/>
      <c r="BI112" s="140">
        <f t="shared" si="53"/>
        <v>0</v>
      </c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30">
        <f t="shared" si="54"/>
        <v>0</v>
      </c>
      <c r="BX112" s="132"/>
    </row>
    <row r="113" ht="14.25" customHeight="1">
      <c r="A113" s="132"/>
      <c r="B113" s="306">
        <v>46120</v>
      </c>
      <c r="C113" s="133">
        <f>8205.72-D113-0</f>
      </c>
      <c r="D113" s="134">
        <v>912.7</v>
      </c>
      <c r="E113" s="135"/>
      <c r="F113" s="135"/>
      <c r="G113" s="147">
        <f t="shared" si="46"/>
        <v>0</v>
      </c>
      <c r="H113" s="199">
        <v>1390.66</v>
      </c>
      <c r="I113" s="143"/>
      <c r="J113" s="143"/>
      <c r="K113" s="143"/>
      <c r="L113" s="143"/>
      <c r="M113" s="143"/>
      <c r="N113" s="143"/>
      <c r="O113" s="99"/>
      <c r="P113" s="143"/>
      <c r="Q113" s="143"/>
      <c r="R113" s="143"/>
      <c r="S113" s="143"/>
      <c r="T113" s="143"/>
      <c r="U113" s="103">
        <f t="shared" si="47"/>
        <v>0</v>
      </c>
      <c r="V113" s="136"/>
      <c r="W113" s="136"/>
      <c r="X113" s="99"/>
      <c r="Y113" s="99"/>
      <c r="Z113" s="99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03">
        <f t="shared" si="48"/>
        <v>0</v>
      </c>
      <c r="AK113" s="134">
        <v>1251.98</v>
      </c>
      <c r="AL113" s="134">
        <v>258.7</v>
      </c>
      <c r="AM113" s="136"/>
      <c r="AN113" s="105">
        <f t="shared" si="49"/>
        <v>0</v>
      </c>
      <c r="AO113" s="145">
        <v>84</v>
      </c>
      <c r="AP113" s="143"/>
      <c r="AQ113" s="143"/>
      <c r="AR113" s="143"/>
      <c r="AS113" s="149">
        <v>1</v>
      </c>
      <c r="AT113" s="224">
        <f t="shared" si="50"/>
        <v>0</v>
      </c>
      <c r="AU113" s="1553">
        <v>2981.1</v>
      </c>
      <c r="AV113" s="1690">
        <v>1560.3</v>
      </c>
      <c r="AW113" s="1688"/>
      <c r="AX113" s="1688"/>
      <c r="AY113" s="1688"/>
      <c r="AZ113" s="1820"/>
      <c r="BA113" s="1553">
        <v>652.1</v>
      </c>
      <c r="BB113" s="1547"/>
      <c r="BC113" s="1548"/>
      <c r="BD113" s="1548"/>
      <c r="BE113" s="1548"/>
      <c r="BF113" s="222">
        <f t="shared" si="51"/>
        <v>0</v>
      </c>
      <c r="BG113" s="140">
        <f t="shared" si="52"/>
        <v>0</v>
      </c>
      <c r="BH113" s="132"/>
      <c r="BI113" s="140">
        <f t="shared" si="53"/>
        <v>0</v>
      </c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50"/>
      <c r="BU113" s="141">
        <v>25</v>
      </c>
      <c r="BV113" s="141"/>
      <c r="BW113" s="130">
        <f t="shared" si="54"/>
        <v>0</v>
      </c>
      <c r="BX113" s="132"/>
    </row>
    <row r="114" ht="14.25" customHeight="1">
      <c r="A114" s="132"/>
      <c r="B114" s="306">
        <v>46121</v>
      </c>
      <c r="C114" s="133">
        <f>8169.85-D114-0</f>
      </c>
      <c r="D114" s="134">
        <v>883.5</v>
      </c>
      <c r="E114" s="135"/>
      <c r="F114" s="135"/>
      <c r="G114" s="147">
        <f t="shared" si="46"/>
        <v>0</v>
      </c>
      <c r="H114" s="199">
        <v>680.64</v>
      </c>
      <c r="I114" s="143"/>
      <c r="J114" s="143"/>
      <c r="K114" s="145">
        <v>446.61</v>
      </c>
      <c r="L114" s="143"/>
      <c r="M114" s="143"/>
      <c r="N114" s="143"/>
      <c r="O114" s="99"/>
      <c r="P114" s="143"/>
      <c r="Q114" s="143"/>
      <c r="R114" s="143"/>
      <c r="S114" s="143"/>
      <c r="T114" s="143"/>
      <c r="U114" s="103">
        <f t="shared" si="47"/>
        <v>0</v>
      </c>
      <c r="V114" s="136"/>
      <c r="W114" s="136"/>
      <c r="X114" s="136"/>
      <c r="Y114" s="99"/>
      <c r="Z114" s="99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03">
        <f t="shared" si="48"/>
        <v>0</v>
      </c>
      <c r="AK114" s="134">
        <v>415.03</v>
      </c>
      <c r="AL114" s="134">
        <v>198.5</v>
      </c>
      <c r="AM114" s="136"/>
      <c r="AN114" s="105">
        <f t="shared" si="49"/>
        <v>0</v>
      </c>
      <c r="AO114" s="145">
        <v>58</v>
      </c>
      <c r="AP114" s="143"/>
      <c r="AQ114" s="143"/>
      <c r="AR114" s="143"/>
      <c r="AS114" s="146"/>
      <c r="AT114" s="224">
        <f t="shared" si="50"/>
        <v>0</v>
      </c>
      <c r="AU114" s="1553">
        <v>4054.8</v>
      </c>
      <c r="AV114" s="1690">
        <v>1630.3</v>
      </c>
      <c r="AW114" s="1688"/>
      <c r="AX114" s="1688"/>
      <c r="AY114" s="1688"/>
      <c r="AZ114" s="1820"/>
      <c r="BA114" s="1553">
        <v>685.2</v>
      </c>
      <c r="BB114" s="1547"/>
      <c r="BC114" s="1548"/>
      <c r="BD114" s="1548"/>
      <c r="BE114" s="1548"/>
      <c r="BF114" s="222">
        <f t="shared" si="51"/>
        <v>0</v>
      </c>
      <c r="BG114" s="140">
        <f t="shared" si="52"/>
        <v>0</v>
      </c>
      <c r="BH114" s="132"/>
      <c r="BI114" s="140">
        <f t="shared" si="53"/>
        <v>0</v>
      </c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30">
        <f t="shared" si="54"/>
        <v>0</v>
      </c>
      <c r="BX114" s="132"/>
    </row>
    <row r="115" ht="14.25" customHeight="1">
      <c r="A115" s="132"/>
      <c r="B115" s="306">
        <v>46122</v>
      </c>
      <c r="C115" s="133">
        <f>6117.45-D115-0</f>
      </c>
      <c r="D115" s="134">
        <v>1117.6</v>
      </c>
      <c r="E115" s="135"/>
      <c r="F115" s="135"/>
      <c r="G115" s="147">
        <f t="shared" si="46"/>
        <v>0</v>
      </c>
      <c r="H115" s="144">
        <v>882.18</v>
      </c>
      <c r="I115" s="145">
        <v>709.99</v>
      </c>
      <c r="J115" s="143"/>
      <c r="K115" s="143"/>
      <c r="L115" s="143"/>
      <c r="M115" s="143"/>
      <c r="N115" s="143"/>
      <c r="O115" s="99"/>
      <c r="P115" s="143"/>
      <c r="Q115" s="143"/>
      <c r="R115" s="143"/>
      <c r="S115" s="143"/>
      <c r="T115" s="143"/>
      <c r="U115" s="103">
        <f t="shared" si="47"/>
        <v>0</v>
      </c>
      <c r="V115" s="136"/>
      <c r="W115" s="136"/>
      <c r="X115" s="99"/>
      <c r="Y115" s="99"/>
      <c r="Z115" s="99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03">
        <f t="shared" si="48"/>
        <v>0</v>
      </c>
      <c r="AK115" s="134">
        <v>853.01</v>
      </c>
      <c r="AL115" s="134">
        <v>330.6</v>
      </c>
      <c r="AM115" s="136"/>
      <c r="AN115" s="105">
        <f t="shared" si="49"/>
        <v>0</v>
      </c>
      <c r="AO115" s="143"/>
      <c r="AP115" s="143"/>
      <c r="AQ115" s="143"/>
      <c r="AR115" s="143"/>
      <c r="AS115" s="146"/>
      <c r="AT115" s="224">
        <f t="shared" si="50"/>
        <v>0</v>
      </c>
      <c r="AU115" s="1553">
        <v>2574.4</v>
      </c>
      <c r="AV115" s="1690"/>
      <c r="AW115" s="1688"/>
      <c r="AX115" s="1688"/>
      <c r="AY115" s="1688"/>
      <c r="AZ115" s="1820"/>
      <c r="BA115" s="1553">
        <v>741.1</v>
      </c>
      <c r="BB115" s="1547"/>
      <c r="BC115" s="1548"/>
      <c r="BD115" s="1548"/>
      <c r="BE115" s="1548"/>
      <c r="BF115" s="222">
        <f t="shared" si="51"/>
        <v>0</v>
      </c>
      <c r="BG115" s="140">
        <f t="shared" si="52"/>
        <v>0</v>
      </c>
      <c r="BH115" s="132"/>
      <c r="BI115" s="140">
        <f t="shared" si="53"/>
        <v>0</v>
      </c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50"/>
      <c r="BU115" s="141">
        <v>25</v>
      </c>
      <c r="BV115" s="141"/>
      <c r="BW115" s="130">
        <f t="shared" si="54"/>
        <v>0</v>
      </c>
      <c r="BX115" s="132"/>
    </row>
    <row r="116" ht="14.25" customHeight="1">
      <c r="A116" s="132"/>
      <c r="B116" s="306">
        <v>46123</v>
      </c>
      <c r="C116" s="133">
        <f>5124.66-D116-0</f>
      </c>
      <c r="D116" s="134">
        <v>982.2</v>
      </c>
      <c r="E116" s="135"/>
      <c r="F116" s="135"/>
      <c r="G116" s="147">
        <f t="shared" si="46"/>
        <v>0</v>
      </c>
      <c r="H116" s="199">
        <v>378.61</v>
      </c>
      <c r="I116" s="143"/>
      <c r="J116" s="143"/>
      <c r="K116" s="143"/>
      <c r="L116" s="143"/>
      <c r="M116" s="143"/>
      <c r="N116" s="143"/>
      <c r="O116" s="99"/>
      <c r="P116" s="143"/>
      <c r="Q116" s="143"/>
      <c r="R116" s="143"/>
      <c r="S116" s="143"/>
      <c r="T116" s="143"/>
      <c r="U116" s="103">
        <f t="shared" si="47"/>
        <v>0</v>
      </c>
      <c r="V116" s="136"/>
      <c r="W116" s="136"/>
      <c r="X116" s="136"/>
      <c r="Y116" s="99"/>
      <c r="Z116" s="99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03">
        <f t="shared" si="48"/>
        <v>0</v>
      </c>
      <c r="AK116" s="134">
        <v>793.04</v>
      </c>
      <c r="AL116" s="134">
        <v>193.9</v>
      </c>
      <c r="AM116" s="136"/>
      <c r="AN116" s="105">
        <f t="shared" si="49"/>
        <v>0</v>
      </c>
      <c r="AO116" s="143"/>
      <c r="AP116" s="143"/>
      <c r="AQ116" s="143"/>
      <c r="AR116" s="143"/>
      <c r="AS116" s="146">
        <v>1.92</v>
      </c>
      <c r="AT116" s="224">
        <f t="shared" si="50"/>
        <v>0</v>
      </c>
      <c r="AU116" s="1553">
        <v>2968.9</v>
      </c>
      <c r="AV116" s="1690"/>
      <c r="AW116" s="1688"/>
      <c r="AX116" s="1688"/>
      <c r="AY116" s="1688"/>
      <c r="AZ116" s="1820"/>
      <c r="BA116" s="1553">
        <v>787.4</v>
      </c>
      <c r="BB116" s="1547"/>
      <c r="BC116" s="1548"/>
      <c r="BD116" s="1548"/>
      <c r="BE116" s="1548"/>
      <c r="BF116" s="222">
        <f t="shared" si="51"/>
        <v>0</v>
      </c>
      <c r="BG116" s="140">
        <f t="shared" si="52"/>
        <v>0</v>
      </c>
      <c r="BH116" s="132"/>
      <c r="BI116" s="140">
        <f t="shared" si="53"/>
        <v>0</v>
      </c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41"/>
      <c r="BW116" s="130">
        <f t="shared" si="54"/>
        <v>0</v>
      </c>
      <c r="BX116" s="132"/>
    </row>
    <row r="117" ht="14.25" customHeight="1">
      <c r="A117" s="132"/>
      <c r="B117" s="306">
        <v>46124</v>
      </c>
      <c r="C117" s="133">
        <f>5980.01-D117-0</f>
      </c>
      <c r="D117" s="134">
        <v>1006.8</v>
      </c>
      <c r="E117" s="135"/>
      <c r="F117" s="135"/>
      <c r="G117" s="147">
        <f t="shared" si="46"/>
        <v>0</v>
      </c>
      <c r="H117" s="144"/>
      <c r="I117" s="143"/>
      <c r="J117" s="143"/>
      <c r="K117" s="145">
        <v>1190.99</v>
      </c>
      <c r="L117" s="143"/>
      <c r="M117" s="143"/>
      <c r="N117" s="143"/>
      <c r="O117" s="99"/>
      <c r="P117" s="143"/>
      <c r="Q117" s="143"/>
      <c r="R117" s="143"/>
      <c r="S117" s="143"/>
      <c r="T117" s="143"/>
      <c r="U117" s="103">
        <f t="shared" si="47"/>
        <v>0</v>
      </c>
      <c r="V117" s="136"/>
      <c r="W117" s="136"/>
      <c r="X117" s="136"/>
      <c r="Y117" s="99"/>
      <c r="Z117" s="99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03">
        <f t="shared" si="48"/>
        <v>0</v>
      </c>
      <c r="AK117" s="134">
        <v>1497.94</v>
      </c>
      <c r="AL117" s="134">
        <v>370.9</v>
      </c>
      <c r="AM117" s="136"/>
      <c r="AN117" s="105">
        <f t="shared" si="49"/>
        <v>0</v>
      </c>
      <c r="AO117" s="145">
        <v>51.3</v>
      </c>
      <c r="AP117" s="143"/>
      <c r="AQ117" s="143"/>
      <c r="AR117" s="143"/>
      <c r="AS117" s="146"/>
      <c r="AT117" s="224">
        <f t="shared" si="50"/>
        <v>0</v>
      </c>
      <c r="AU117" s="1553">
        <v>2233.6</v>
      </c>
      <c r="AV117" s="1690"/>
      <c r="AW117" s="1688"/>
      <c r="AX117" s="1688"/>
      <c r="AY117" s="1688"/>
      <c r="AZ117" s="1820"/>
      <c r="BA117" s="1553">
        <v>634.7</v>
      </c>
      <c r="BB117" s="1547"/>
      <c r="BC117" s="1548"/>
      <c r="BD117" s="1548"/>
      <c r="BE117" s="1548"/>
      <c r="BF117" s="222">
        <f t="shared" si="51"/>
        <v>0</v>
      </c>
      <c r="BG117" s="140">
        <f t="shared" si="52"/>
        <v>0</v>
      </c>
      <c r="BH117" s="132"/>
      <c r="BI117" s="140">
        <f t="shared" si="53"/>
        <v>0</v>
      </c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30">
        <f t="shared" si="54"/>
        <v>0</v>
      </c>
      <c r="BX117" s="132"/>
    </row>
    <row r="118" ht="14.25" customHeight="1">
      <c r="A118" s="132"/>
      <c r="B118" s="306">
        <v>46125</v>
      </c>
      <c r="C118" s="133">
        <f>6963.81-D118-0</f>
      </c>
      <c r="D118" s="134">
        <v>1199</v>
      </c>
      <c r="E118" s="135"/>
      <c r="F118" s="135"/>
      <c r="G118" s="147">
        <f t="shared" si="46"/>
        <v>0</v>
      </c>
      <c r="H118" s="199">
        <v>1514.3</v>
      </c>
      <c r="I118" s="143"/>
      <c r="J118" s="143"/>
      <c r="K118" s="143"/>
      <c r="L118" s="143"/>
      <c r="M118" s="143"/>
      <c r="N118" s="143"/>
      <c r="O118" s="99"/>
      <c r="P118" s="143"/>
      <c r="Q118" s="143"/>
      <c r="R118" s="143"/>
      <c r="S118" s="143"/>
      <c r="T118" s="143"/>
      <c r="U118" s="103">
        <f t="shared" si="47"/>
        <v>0</v>
      </c>
      <c r="V118" s="136"/>
      <c r="W118" s="136"/>
      <c r="X118" s="99"/>
      <c r="Y118" s="99"/>
      <c r="Z118" s="99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03">
        <f t="shared" si="48"/>
        <v>0</v>
      </c>
      <c r="AK118" s="134">
        <v>740.22</v>
      </c>
      <c r="AL118" s="134">
        <v>399.8</v>
      </c>
      <c r="AM118" s="136"/>
      <c r="AN118" s="105">
        <f t="shared" si="49"/>
        <v>0</v>
      </c>
      <c r="AO118" s="145">
        <v>6</v>
      </c>
      <c r="AP118" s="143"/>
      <c r="AQ118" s="143"/>
      <c r="AR118" s="143"/>
      <c r="AS118" s="149">
        <v>3.34</v>
      </c>
      <c r="AT118" s="224">
        <f t="shared" si="50"/>
        <v>0</v>
      </c>
      <c r="AU118" s="1553">
        <v>3476</v>
      </c>
      <c r="AV118" s="1690"/>
      <c r="AW118" s="1688"/>
      <c r="AX118" s="1688"/>
      <c r="AY118" s="1688"/>
      <c r="AZ118" s="1820"/>
      <c r="BA118" s="1553">
        <v>797.9</v>
      </c>
      <c r="BB118" s="1547"/>
      <c r="BC118" s="1548"/>
      <c r="BD118" s="1548"/>
      <c r="BE118" s="1548"/>
      <c r="BF118" s="222">
        <f t="shared" si="51"/>
        <v>0</v>
      </c>
      <c r="BG118" s="140">
        <f t="shared" si="52"/>
        <v>0</v>
      </c>
      <c r="BH118" s="132"/>
      <c r="BI118" s="140">
        <f t="shared" si="53"/>
        <v>0</v>
      </c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50"/>
      <c r="BU118" s="141">
        <v>25</v>
      </c>
      <c r="BV118" s="141"/>
      <c r="BW118" s="130">
        <f t="shared" si="54"/>
        <v>0</v>
      </c>
      <c r="BX118" s="132"/>
    </row>
    <row r="119" ht="14.25" customHeight="1">
      <c r="A119" s="132"/>
      <c r="B119" s="306">
        <v>46126</v>
      </c>
      <c r="C119" s="133">
        <f>9865.91-D119-0</f>
      </c>
      <c r="D119" s="134">
        <v>695.3</v>
      </c>
      <c r="E119" s="135"/>
      <c r="F119" s="135"/>
      <c r="G119" s="147">
        <f t="shared" si="46"/>
        <v>0</v>
      </c>
      <c r="H119" s="199">
        <v>1042.03</v>
      </c>
      <c r="I119" s="145">
        <v>1147.46</v>
      </c>
      <c r="J119" s="143"/>
      <c r="K119" s="143"/>
      <c r="L119" s="143"/>
      <c r="M119" s="143"/>
      <c r="N119" s="143"/>
      <c r="O119" s="99"/>
      <c r="P119" s="143"/>
      <c r="Q119" s="143"/>
      <c r="R119" s="143"/>
      <c r="S119" s="143"/>
      <c r="T119" s="143"/>
      <c r="U119" s="103">
        <f t="shared" si="47"/>
        <v>0</v>
      </c>
      <c r="V119" s="136"/>
      <c r="W119" s="134">
        <v>1139.4</v>
      </c>
      <c r="X119" s="99"/>
      <c r="Y119" s="99"/>
      <c r="Z119" s="99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03">
        <f t="shared" si="48"/>
        <v>0</v>
      </c>
      <c r="AK119" s="134">
        <v>1993.2</v>
      </c>
      <c r="AL119" s="134">
        <v>153</v>
      </c>
      <c r="AM119" s="136"/>
      <c r="AN119" s="105">
        <f t="shared" si="49"/>
        <v>0</v>
      </c>
      <c r="AO119" s="145">
        <v>14</v>
      </c>
      <c r="AP119" s="143"/>
      <c r="AQ119" s="143"/>
      <c r="AR119" s="143"/>
      <c r="AS119" s="146">
        <v>0.2</v>
      </c>
      <c r="AT119" s="224">
        <f t="shared" si="50"/>
        <v>0</v>
      </c>
      <c r="AU119" s="1553">
        <v>2204</v>
      </c>
      <c r="AV119" s="1690">
        <v>1630.3</v>
      </c>
      <c r="AW119" s="1688"/>
      <c r="AX119" s="1688"/>
      <c r="AY119" s="1688"/>
      <c r="AZ119" s="1820"/>
      <c r="BA119" s="1553">
        <v>541.5</v>
      </c>
      <c r="BB119" s="1547"/>
      <c r="BC119" s="1548"/>
      <c r="BD119" s="1548"/>
      <c r="BE119" s="1548"/>
      <c r="BF119" s="222">
        <f t="shared" si="51"/>
        <v>0</v>
      </c>
      <c r="BG119" s="140">
        <f t="shared" si="52"/>
        <v>0</v>
      </c>
      <c r="BH119" s="132"/>
      <c r="BI119" s="140">
        <f t="shared" si="53"/>
        <v>0</v>
      </c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30">
        <f t="shared" si="54"/>
        <v>0</v>
      </c>
      <c r="BX119" s="132"/>
    </row>
    <row r="120" ht="14.25" customHeight="1">
      <c r="A120" s="132"/>
      <c r="B120" s="306">
        <v>46127</v>
      </c>
      <c r="C120" s="133">
        <f>17657.26-D120-0</f>
      </c>
      <c r="D120" s="134">
        <v>798.3</v>
      </c>
      <c r="E120" s="135"/>
      <c r="F120" s="135"/>
      <c r="G120" s="147">
        <f t="shared" si="46"/>
        <v>0</v>
      </c>
      <c r="H120" s="199">
        <v>337.65</v>
      </c>
      <c r="I120" s="143"/>
      <c r="J120" s="143"/>
      <c r="K120" s="145">
        <v>1645.56</v>
      </c>
      <c r="L120" s="143"/>
      <c r="M120" s="143"/>
      <c r="N120" s="143"/>
      <c r="O120" s="99"/>
      <c r="P120" s="143"/>
      <c r="Q120" s="143"/>
      <c r="R120" s="143"/>
      <c r="S120" s="143"/>
      <c r="T120" s="143"/>
      <c r="U120" s="103">
        <f t="shared" si="47"/>
        <v>0</v>
      </c>
      <c r="V120" s="136"/>
      <c r="W120" s="136"/>
      <c r="X120" s="99"/>
      <c r="Y120" s="99"/>
      <c r="Z120" s="99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03">
        <f t="shared" si="48"/>
        <v>0</v>
      </c>
      <c r="AK120" s="134">
        <v>730.63</v>
      </c>
      <c r="AL120" s="134">
        <v>266</v>
      </c>
      <c r="AM120" s="136"/>
      <c r="AN120" s="105">
        <f t="shared" si="49"/>
        <v>0</v>
      </c>
      <c r="AO120" s="145">
        <v>434.88</v>
      </c>
      <c r="AP120" s="143"/>
      <c r="AQ120" s="143"/>
      <c r="AR120" s="143"/>
      <c r="AS120" s="146">
        <v>0.12</v>
      </c>
      <c r="AT120" s="224">
        <f t="shared" si="50"/>
        <v>0</v>
      </c>
      <c r="AU120" s="1553">
        <v>1659.7</v>
      </c>
      <c r="AV120" s="1690">
        <v>1630.3</v>
      </c>
      <c r="AW120" s="1688"/>
      <c r="AX120" s="1688"/>
      <c r="AY120" s="1688"/>
      <c r="AZ120" s="1820"/>
      <c r="BA120" s="1553">
        <v>531.2</v>
      </c>
      <c r="BB120" s="1547"/>
      <c r="BC120" s="1548"/>
      <c r="BD120" s="1548"/>
      <c r="BE120" s="1821"/>
      <c r="BF120" s="222">
        <f t="shared" si="51"/>
        <v>0</v>
      </c>
      <c r="BG120" s="140">
        <f t="shared" si="52"/>
        <v>0</v>
      </c>
      <c r="BH120" s="132"/>
      <c r="BI120" s="140">
        <f t="shared" si="53"/>
        <v>0</v>
      </c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50"/>
      <c r="BU120" s="141">
        <v>25</v>
      </c>
      <c r="BV120" s="141"/>
      <c r="BW120" s="130">
        <f t="shared" si="54"/>
        <v>0</v>
      </c>
      <c r="BX120" s="132"/>
    </row>
    <row r="121" ht="14.25" customHeight="1">
      <c r="A121" s="132"/>
      <c r="B121" s="306">
        <v>46128</v>
      </c>
      <c r="C121" s="133">
        <f>8073.10-D121-0</f>
      </c>
      <c r="D121" s="134">
        <v>1817.4</v>
      </c>
      <c r="E121" s="135"/>
      <c r="F121" s="135"/>
      <c r="G121" s="147">
        <f t="shared" si="46"/>
        <v>0</v>
      </c>
      <c r="H121" s="144">
        <v>1487.14</v>
      </c>
      <c r="I121" s="145">
        <v>553.26</v>
      </c>
      <c r="J121" s="143"/>
      <c r="K121" s="145">
        <v>1344.45</v>
      </c>
      <c r="L121" s="143"/>
      <c r="M121" s="143"/>
      <c r="N121" s="143"/>
      <c r="O121" s="99"/>
      <c r="P121" s="143"/>
      <c r="Q121" s="143"/>
      <c r="R121" s="143"/>
      <c r="S121" s="143"/>
      <c r="T121" s="143"/>
      <c r="U121" s="103">
        <f t="shared" si="47"/>
        <v>0</v>
      </c>
      <c r="V121" s="136"/>
      <c r="W121" s="136"/>
      <c r="X121" s="99"/>
      <c r="Y121" s="99"/>
      <c r="Z121" s="99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03">
        <f t="shared" si="48"/>
        <v>0</v>
      </c>
      <c r="AK121" s="134">
        <v>726.46</v>
      </c>
      <c r="AL121" s="134">
        <v>652.4</v>
      </c>
      <c r="AM121" s="136"/>
      <c r="AN121" s="105">
        <f t="shared" si="49"/>
        <v>0</v>
      </c>
      <c r="AO121" s="145">
        <v>139.62</v>
      </c>
      <c r="AP121" s="143"/>
      <c r="AQ121" s="143"/>
      <c r="AR121" s="143"/>
      <c r="AS121" s="146">
        <v>0.2</v>
      </c>
      <c r="AT121" s="224">
        <f t="shared" si="50"/>
        <v>0</v>
      </c>
      <c r="AU121" s="1553">
        <v>2047.9</v>
      </c>
      <c r="AV121" s="1690"/>
      <c r="AW121" s="1688"/>
      <c r="AX121" s="1688"/>
      <c r="AY121" s="1688"/>
      <c r="AZ121" s="1820"/>
      <c r="BA121" s="1553">
        <v>1120.2</v>
      </c>
      <c r="BB121" s="1547"/>
      <c r="BC121" s="1548"/>
      <c r="BD121" s="1548"/>
      <c r="BE121" s="1548"/>
      <c r="BF121" s="222">
        <f t="shared" si="51"/>
        <v>0</v>
      </c>
      <c r="BG121" s="140">
        <f t="shared" si="52"/>
        <v>0</v>
      </c>
      <c r="BH121" s="132"/>
      <c r="BI121" s="140">
        <f t="shared" si="53"/>
        <v>0</v>
      </c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30">
        <f t="shared" si="54"/>
        <v>0</v>
      </c>
      <c r="BX121" s="132"/>
    </row>
    <row r="122" ht="14.25" customHeight="1">
      <c r="A122" s="132"/>
      <c r="B122" s="306">
        <v>46129</v>
      </c>
      <c r="C122" s="133">
        <f>12331.83-D122-0</f>
      </c>
      <c r="D122" s="134">
        <v>1830.7</v>
      </c>
      <c r="E122" s="135"/>
      <c r="F122" s="135"/>
      <c r="G122" s="147">
        <f t="shared" si="46"/>
        <v>0</v>
      </c>
      <c r="H122" s="199">
        <v>1137.18</v>
      </c>
      <c r="I122" s="145">
        <v>523.26</v>
      </c>
      <c r="J122" s="143"/>
      <c r="K122" s="145">
        <v>1358.66</v>
      </c>
      <c r="L122" s="143"/>
      <c r="M122" s="143"/>
      <c r="N122" s="143"/>
      <c r="O122" s="99"/>
      <c r="P122" s="143"/>
      <c r="Q122" s="143"/>
      <c r="R122" s="143"/>
      <c r="S122" s="143"/>
      <c r="T122" s="143"/>
      <c r="U122" s="103">
        <f t="shared" si="47"/>
        <v>0</v>
      </c>
      <c r="V122" s="136"/>
      <c r="W122" s="136"/>
      <c r="X122" s="99"/>
      <c r="Y122" s="99"/>
      <c r="Z122" s="99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03">
        <f t="shared" si="48"/>
        <v>0</v>
      </c>
      <c r="AK122" s="134">
        <v>1321.53</v>
      </c>
      <c r="AL122" s="134">
        <v>599.7</v>
      </c>
      <c r="AM122" s="136"/>
      <c r="AN122" s="105">
        <f t="shared" si="49"/>
        <v>0</v>
      </c>
      <c r="AO122" s="145">
        <v>162.41</v>
      </c>
      <c r="AP122" s="143"/>
      <c r="AQ122" s="143"/>
      <c r="AR122" s="143"/>
      <c r="AS122" s="146"/>
      <c r="AT122" s="224">
        <f t="shared" si="50"/>
        <v>0</v>
      </c>
      <c r="AU122" s="1553">
        <v>4344.2</v>
      </c>
      <c r="AV122" s="1690">
        <v>1630.3</v>
      </c>
      <c r="AW122" s="1688"/>
      <c r="AX122" s="1688"/>
      <c r="AY122" s="1688"/>
      <c r="AZ122" s="1820"/>
      <c r="BA122" s="1553">
        <v>1228.8</v>
      </c>
      <c r="BB122" s="1547"/>
      <c r="BC122" s="1548"/>
      <c r="BD122" s="1548"/>
      <c r="BE122" s="1548"/>
      <c r="BF122" s="222">
        <f t="shared" si="51"/>
        <v>0</v>
      </c>
      <c r="BG122" s="140">
        <f t="shared" si="52"/>
        <v>0</v>
      </c>
      <c r="BH122" s="132"/>
      <c r="BI122" s="140">
        <f t="shared" si="53"/>
        <v>0</v>
      </c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50"/>
      <c r="BU122" s="141">
        <v>25</v>
      </c>
      <c r="BV122" s="141"/>
      <c r="BW122" s="130">
        <f t="shared" si="54"/>
        <v>0</v>
      </c>
      <c r="BX122" s="132"/>
    </row>
    <row r="123" ht="14.25" customHeight="1">
      <c r="A123" s="132"/>
      <c r="B123" s="306">
        <v>46130</v>
      </c>
      <c r="C123" s="133">
        <f>9619.71-D123-0</f>
      </c>
      <c r="D123" s="134">
        <v>1698.2</v>
      </c>
      <c r="E123" s="135"/>
      <c r="F123" s="135"/>
      <c r="G123" s="147">
        <f t="shared" si="46"/>
        <v>0</v>
      </c>
      <c r="H123" s="199">
        <v>198.24</v>
      </c>
      <c r="I123" s="143"/>
      <c r="J123" s="143"/>
      <c r="K123" s="143"/>
      <c r="L123" s="143"/>
      <c r="M123" s="143"/>
      <c r="N123" s="143"/>
      <c r="O123" s="99"/>
      <c r="P123" s="143"/>
      <c r="Q123" s="143"/>
      <c r="R123" s="143"/>
      <c r="S123" s="143"/>
      <c r="T123" s="143"/>
      <c r="U123" s="103">
        <f t="shared" si="47"/>
        <v>0</v>
      </c>
      <c r="V123" s="136"/>
      <c r="W123" s="136"/>
      <c r="X123" s="99"/>
      <c r="Y123" s="99"/>
      <c r="Z123" s="99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03">
        <f t="shared" si="48"/>
        <v>0</v>
      </c>
      <c r="AK123" s="134">
        <v>1383.39</v>
      </c>
      <c r="AL123" s="134">
        <v>498.1</v>
      </c>
      <c r="AM123" s="136"/>
      <c r="AN123" s="105">
        <f t="shared" si="49"/>
        <v>0</v>
      </c>
      <c r="AO123" s="145">
        <v>28</v>
      </c>
      <c r="AP123" s="143"/>
      <c r="AQ123" s="143"/>
      <c r="AR123" s="143"/>
      <c r="AS123" s="146">
        <v>2.5</v>
      </c>
      <c r="AT123" s="224">
        <f t="shared" si="50"/>
        <v>0</v>
      </c>
      <c r="AU123" s="1553">
        <v>3049.5</v>
      </c>
      <c r="AV123" s="1690">
        <v>3260.6</v>
      </c>
      <c r="AW123" s="1688"/>
      <c r="AX123" s="1688"/>
      <c r="AY123" s="1688"/>
      <c r="AZ123" s="1820"/>
      <c r="BA123" s="1553">
        <v>1198.2</v>
      </c>
      <c r="BB123" s="1547"/>
      <c r="BC123" s="1548"/>
      <c r="BD123" s="1548"/>
      <c r="BE123" s="1548"/>
      <c r="BF123" s="222">
        <f t="shared" si="51"/>
        <v>0</v>
      </c>
      <c r="BG123" s="140">
        <f t="shared" si="52"/>
        <v>0</v>
      </c>
      <c r="BH123" s="132"/>
      <c r="BI123" s="140">
        <f t="shared" si="53"/>
        <v>0</v>
      </c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30">
        <f t="shared" si="54"/>
        <v>0</v>
      </c>
      <c r="BX123" s="132"/>
    </row>
    <row r="124" ht="14.25" customHeight="1">
      <c r="A124" s="132"/>
      <c r="B124" s="306">
        <v>46131</v>
      </c>
      <c r="C124" s="133">
        <f>5625.32-D124-0</f>
      </c>
      <c r="D124" s="134">
        <v>1761.8</v>
      </c>
      <c r="E124" s="135"/>
      <c r="F124" s="135"/>
      <c r="G124" s="147">
        <f t="shared" si="46"/>
        <v>0</v>
      </c>
      <c r="H124" s="144"/>
      <c r="I124" s="143"/>
      <c r="J124" s="143"/>
      <c r="K124" s="143"/>
      <c r="L124" s="143"/>
      <c r="M124" s="143"/>
      <c r="N124" s="143"/>
      <c r="O124" s="99"/>
      <c r="P124" s="143"/>
      <c r="Q124" s="143"/>
      <c r="R124" s="143"/>
      <c r="S124" s="143"/>
      <c r="T124" s="143"/>
      <c r="U124" s="103">
        <f t="shared" si="47"/>
        <v>0</v>
      </c>
      <c r="V124" s="136"/>
      <c r="W124" s="136"/>
      <c r="X124" s="99"/>
      <c r="Y124" s="99"/>
      <c r="Z124" s="99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03">
        <f t="shared" si="48"/>
        <v>0</v>
      </c>
      <c r="AK124" s="134">
        <v>1087.38</v>
      </c>
      <c r="AL124" s="134">
        <v>441.3</v>
      </c>
      <c r="AM124" s="136"/>
      <c r="AN124" s="105">
        <f t="shared" si="49"/>
        <v>0</v>
      </c>
      <c r="AO124" s="143"/>
      <c r="AP124" s="143"/>
      <c r="AQ124" s="143"/>
      <c r="AR124" s="143"/>
      <c r="AS124" s="146">
        <v>0.5</v>
      </c>
      <c r="AT124" s="224">
        <f t="shared" si="50"/>
        <v>0</v>
      </c>
      <c r="AU124" s="1553">
        <v>2776.1</v>
      </c>
      <c r="AV124" s="1690"/>
      <c r="AW124" s="1688"/>
      <c r="AX124" s="1688"/>
      <c r="AY124" s="1688"/>
      <c r="AZ124" s="1820"/>
      <c r="BA124" s="1553">
        <v>1318.4</v>
      </c>
      <c r="BB124" s="1547"/>
      <c r="BC124" s="1548"/>
      <c r="BD124" s="1548"/>
      <c r="BE124" s="1548"/>
      <c r="BF124" s="222">
        <f t="shared" si="51"/>
        <v>0</v>
      </c>
      <c r="BG124" s="140">
        <f t="shared" si="52"/>
        <v>0</v>
      </c>
      <c r="BH124" s="132"/>
      <c r="BI124" s="140">
        <f t="shared" si="53"/>
        <v>0</v>
      </c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30">
        <f t="shared" si="54"/>
        <v>0</v>
      </c>
      <c r="BX124" s="132"/>
    </row>
    <row r="125" ht="14.25" customHeight="1">
      <c r="A125" s="132"/>
      <c r="B125" s="306">
        <v>46132</v>
      </c>
      <c r="C125" s="133">
        <f>5845.78-D125-0</f>
      </c>
      <c r="D125" s="134">
        <v>2029.4</v>
      </c>
      <c r="E125" s="135"/>
      <c r="F125" s="135"/>
      <c r="G125" s="147">
        <f t="shared" si="46"/>
        <v>0</v>
      </c>
      <c r="H125" s="199">
        <v>343.82</v>
      </c>
      <c r="I125" s="145">
        <v>335.13</v>
      </c>
      <c r="J125" s="143"/>
      <c r="K125" s="145">
        <v>613.1</v>
      </c>
      <c r="L125" s="143"/>
      <c r="M125" s="143"/>
      <c r="N125" s="143"/>
      <c r="O125" s="99"/>
      <c r="P125" s="143"/>
      <c r="Q125" s="143"/>
      <c r="R125" s="143"/>
      <c r="S125" s="143"/>
      <c r="T125" s="143"/>
      <c r="U125" s="103">
        <f t="shared" si="47"/>
        <v>0</v>
      </c>
      <c r="V125" s="136"/>
      <c r="W125" s="136"/>
      <c r="X125" s="99"/>
      <c r="Y125" s="99"/>
      <c r="Z125" s="99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03">
        <f t="shared" si="48"/>
        <v>0</v>
      </c>
      <c r="AK125" s="134">
        <v>1641.83</v>
      </c>
      <c r="AL125" s="134">
        <v>618.2</v>
      </c>
      <c r="AM125" s="136"/>
      <c r="AN125" s="105">
        <f t="shared" si="49"/>
        <v>0</v>
      </c>
      <c r="AO125" s="145">
        <v>63.67</v>
      </c>
      <c r="AP125" s="143"/>
      <c r="AQ125" s="143"/>
      <c r="AR125" s="143"/>
      <c r="AS125" s="146"/>
      <c r="AT125" s="224">
        <f t="shared" si="50"/>
        <v>0</v>
      </c>
      <c r="AU125" s="1822">
        <v>793.9</v>
      </c>
      <c r="AV125" s="1690"/>
      <c r="AW125" s="1688"/>
      <c r="AX125" s="1688"/>
      <c r="AY125" s="1688"/>
      <c r="AZ125" s="1820"/>
      <c r="BA125" s="1822">
        <v>1409.3</v>
      </c>
      <c r="BB125" s="1547"/>
      <c r="BC125" s="1548"/>
      <c r="BD125" s="1548"/>
      <c r="BE125" s="1548"/>
      <c r="BF125" s="222">
        <f t="shared" si="51"/>
        <v>0</v>
      </c>
      <c r="BG125" s="140">
        <f t="shared" si="52"/>
        <v>0</v>
      </c>
      <c r="BH125" s="132"/>
      <c r="BI125" s="140">
        <f t="shared" si="53"/>
        <v>0</v>
      </c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50"/>
      <c r="BU125" s="141">
        <v>25</v>
      </c>
      <c r="BV125" s="141"/>
      <c r="BW125" s="130">
        <f t="shared" si="54"/>
        <v>0</v>
      </c>
      <c r="BX125" s="132"/>
    </row>
    <row r="126" ht="14.25" customHeight="1">
      <c r="A126" s="132"/>
      <c r="B126" s="306">
        <v>46133</v>
      </c>
      <c r="C126" s="133">
        <f>11339.71-D126-0</f>
      </c>
      <c r="D126" s="134">
        <v>1886.9</v>
      </c>
      <c r="E126" s="135"/>
      <c r="F126" s="135"/>
      <c r="G126" s="147">
        <f t="shared" si="46"/>
        <v>0</v>
      </c>
      <c r="H126" s="199">
        <v>844.77</v>
      </c>
      <c r="I126" s="145">
        <v>496.7</v>
      </c>
      <c r="J126" s="143"/>
      <c r="K126" s="145">
        <v>660.91</v>
      </c>
      <c r="L126" s="143"/>
      <c r="M126" s="143"/>
      <c r="N126" s="99"/>
      <c r="O126" s="99"/>
      <c r="P126" s="143"/>
      <c r="Q126" s="143"/>
      <c r="R126" s="143"/>
      <c r="S126" s="143"/>
      <c r="T126" s="143"/>
      <c r="U126" s="103">
        <f t="shared" si="47"/>
        <v>0</v>
      </c>
      <c r="V126" s="136"/>
      <c r="W126" s="136"/>
      <c r="X126" s="99"/>
      <c r="Y126" s="99"/>
      <c r="Z126" s="99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03">
        <f t="shared" si="48"/>
        <v>0</v>
      </c>
      <c r="AK126" s="134">
        <v>848.34</v>
      </c>
      <c r="AL126" s="134">
        <v>311.5</v>
      </c>
      <c r="AM126" s="136"/>
      <c r="AN126" s="105">
        <f t="shared" si="49"/>
        <v>0</v>
      </c>
      <c r="AO126" s="145">
        <v>96.64</v>
      </c>
      <c r="AP126" s="143"/>
      <c r="AQ126" s="143"/>
      <c r="AR126" s="143"/>
      <c r="AS126" s="146">
        <v>0.1</v>
      </c>
      <c r="AT126" s="224">
        <f t="shared" si="50"/>
        <v>0</v>
      </c>
      <c r="AU126" s="1822">
        <v>3244.8</v>
      </c>
      <c r="AV126" s="1690">
        <v>3260.6</v>
      </c>
      <c r="AW126" s="1688"/>
      <c r="AX126" s="1688"/>
      <c r="AY126" s="1688"/>
      <c r="AZ126" s="1820"/>
      <c r="BA126" s="1822">
        <v>1573.7</v>
      </c>
      <c r="BB126" s="1547"/>
      <c r="BC126" s="1548"/>
      <c r="BD126" s="1548"/>
      <c r="BE126" s="1548"/>
      <c r="BF126" s="222">
        <f t="shared" si="51"/>
        <v>0</v>
      </c>
      <c r="BG126" s="140">
        <f t="shared" si="52"/>
        <v>0</v>
      </c>
      <c r="BH126" s="132"/>
      <c r="BI126" s="140">
        <f t="shared" si="53"/>
        <v>0</v>
      </c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30">
        <f t="shared" si="54"/>
        <v>0</v>
      </c>
      <c r="BX126" s="132"/>
    </row>
    <row r="127" ht="14.25" customHeight="1">
      <c r="A127" s="132"/>
      <c r="B127" s="306">
        <v>46134</v>
      </c>
      <c r="C127" s="133">
        <f>6975.57-D127-0</f>
      </c>
      <c r="D127" s="134">
        <v>1746.5</v>
      </c>
      <c r="E127" s="135"/>
      <c r="F127" s="135"/>
      <c r="G127" s="147">
        <f t="shared" si="46"/>
        <v>0</v>
      </c>
      <c r="H127" s="144">
        <v>1440.23</v>
      </c>
      <c r="I127" s="143"/>
      <c r="J127" s="143"/>
      <c r="K127" s="145">
        <v>626.25</v>
      </c>
      <c r="L127" s="143"/>
      <c r="M127" s="143"/>
      <c r="N127" s="143"/>
      <c r="O127" s="99"/>
      <c r="P127" s="143"/>
      <c r="Q127" s="143"/>
      <c r="R127" s="143"/>
      <c r="S127" s="143"/>
      <c r="T127" s="143"/>
      <c r="U127" s="103">
        <f t="shared" si="47"/>
        <v>0</v>
      </c>
      <c r="V127" s="136"/>
      <c r="W127" s="136"/>
      <c r="X127" s="136"/>
      <c r="Y127" s="99"/>
      <c r="Z127" s="99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03">
        <f t="shared" si="48"/>
        <v>0</v>
      </c>
      <c r="AK127" s="134">
        <v>1150.43</v>
      </c>
      <c r="AL127" s="134">
        <v>345.6</v>
      </c>
      <c r="AM127" s="136"/>
      <c r="AN127" s="105">
        <f t="shared" si="49"/>
        <v>0</v>
      </c>
      <c r="AO127" s="145">
        <v>65.04</v>
      </c>
      <c r="AP127" s="143"/>
      <c r="AQ127" s="143"/>
      <c r="AR127" s="143"/>
      <c r="AS127" s="146"/>
      <c r="AT127" s="224">
        <f t="shared" si="50"/>
        <v>0</v>
      </c>
      <c r="AU127" s="1822">
        <v>1804.9</v>
      </c>
      <c r="AV127" s="1690"/>
      <c r="AW127" s="1688"/>
      <c r="AX127" s="1688"/>
      <c r="AY127" s="1688"/>
      <c r="AZ127" s="1820"/>
      <c r="BA127" s="1822">
        <v>1399.9</v>
      </c>
      <c r="BB127" s="1547"/>
      <c r="BC127" s="1548"/>
      <c r="BD127" s="1548"/>
      <c r="BE127" s="1548"/>
      <c r="BF127" s="222">
        <f t="shared" si="51"/>
        <v>0</v>
      </c>
      <c r="BG127" s="140">
        <f t="shared" si="52"/>
        <v>0</v>
      </c>
      <c r="BH127" s="132"/>
      <c r="BI127" s="140">
        <f t="shared" si="53"/>
        <v>0</v>
      </c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50"/>
      <c r="BU127" s="141">
        <v>142.4</v>
      </c>
      <c r="BV127" s="141"/>
      <c r="BW127" s="130">
        <f t="shared" si="54"/>
        <v>0</v>
      </c>
      <c r="BX127" s="132"/>
    </row>
    <row r="128" ht="14.25" customHeight="1">
      <c r="A128" s="132"/>
      <c r="B128" s="306">
        <v>46135</v>
      </c>
      <c r="C128" s="133">
        <f>6280.84-D128-0</f>
      </c>
      <c r="D128" s="134">
        <v>1488.2</v>
      </c>
      <c r="E128" s="135"/>
      <c r="F128" s="135"/>
      <c r="G128" s="147">
        <f t="shared" si="46"/>
        <v>0</v>
      </c>
      <c r="H128" s="199">
        <v>375.73</v>
      </c>
      <c r="I128" s="145">
        <v>380.46</v>
      </c>
      <c r="J128" s="143"/>
      <c r="K128" s="143"/>
      <c r="L128" s="143"/>
      <c r="M128" s="143"/>
      <c r="N128" s="143"/>
      <c r="O128" s="99"/>
      <c r="P128" s="143"/>
      <c r="Q128" s="143"/>
      <c r="R128" s="143"/>
      <c r="S128" s="143"/>
      <c r="T128" s="143"/>
      <c r="U128" s="103">
        <f t="shared" si="47"/>
        <v>0</v>
      </c>
      <c r="V128" s="136"/>
      <c r="W128" s="136"/>
      <c r="X128" s="99"/>
      <c r="Y128" s="99"/>
      <c r="Z128" s="99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03">
        <f t="shared" si="48"/>
        <v>0</v>
      </c>
      <c r="AK128" s="134">
        <v>816.33</v>
      </c>
      <c r="AL128" s="134">
        <v>390.3</v>
      </c>
      <c r="AM128" s="136"/>
      <c r="AN128" s="105">
        <f t="shared" si="49"/>
        <v>0</v>
      </c>
      <c r="AO128" s="143"/>
      <c r="AP128" s="143"/>
      <c r="AQ128" s="143"/>
      <c r="AR128" s="143"/>
      <c r="AS128" s="146"/>
      <c r="AT128" s="224">
        <f t="shared" si="50"/>
        <v>0</v>
      </c>
      <c r="AU128" s="1822">
        <v>3220</v>
      </c>
      <c r="AV128" s="1690"/>
      <c r="AW128" s="1688"/>
      <c r="AX128" s="1688"/>
      <c r="AY128" s="1688"/>
      <c r="AZ128" s="1820"/>
      <c r="BA128" s="1822">
        <v>1096.8</v>
      </c>
      <c r="BB128" s="1547"/>
      <c r="BC128" s="1548"/>
      <c r="BD128" s="1548"/>
      <c r="BE128" s="1548"/>
      <c r="BF128" s="222">
        <f t="shared" si="51"/>
        <v>0</v>
      </c>
      <c r="BG128" s="140">
        <f t="shared" si="52"/>
        <v>0</v>
      </c>
      <c r="BH128" s="132"/>
      <c r="BI128" s="140">
        <f t="shared" si="53"/>
        <v>0</v>
      </c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30">
        <f t="shared" si="54"/>
        <v>0</v>
      </c>
      <c r="BX128" s="132"/>
    </row>
    <row r="129" ht="14.25" customHeight="1">
      <c r="A129" s="132"/>
      <c r="B129" s="306">
        <v>46136</v>
      </c>
      <c r="C129" s="133">
        <f>11302.27-D129-0</f>
      </c>
      <c r="D129" s="134">
        <v>1995.9</v>
      </c>
      <c r="E129" s="135"/>
      <c r="F129" s="135"/>
      <c r="G129" s="147">
        <f t="shared" si="46"/>
        <v>0</v>
      </c>
      <c r="H129" s="144">
        <v>883.39</v>
      </c>
      <c r="I129" s="145">
        <v>497.55</v>
      </c>
      <c r="J129" s="143"/>
      <c r="K129" s="145">
        <v>583.26</v>
      </c>
      <c r="L129" s="143"/>
      <c r="M129" s="143"/>
      <c r="N129" s="143"/>
      <c r="O129" s="99"/>
      <c r="P129" s="143"/>
      <c r="Q129" s="143"/>
      <c r="R129" s="143"/>
      <c r="S129" s="143"/>
      <c r="T129" s="143"/>
      <c r="U129" s="103">
        <f t="shared" si="47"/>
        <v>0</v>
      </c>
      <c r="V129" s="136"/>
      <c r="W129" s="134">
        <v>1139.4</v>
      </c>
      <c r="X129" s="99"/>
      <c r="Y129" s="99"/>
      <c r="Z129" s="99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03">
        <f t="shared" si="48"/>
        <v>0</v>
      </c>
      <c r="AK129" s="134">
        <v>659.98</v>
      </c>
      <c r="AL129" s="134">
        <v>549</v>
      </c>
      <c r="AM129" s="136"/>
      <c r="AN129" s="105">
        <f t="shared" si="49"/>
        <v>0</v>
      </c>
      <c r="AO129" s="145">
        <v>74.87</v>
      </c>
      <c r="AP129" s="143"/>
      <c r="AQ129" s="143"/>
      <c r="AR129" s="143"/>
      <c r="AS129" s="149">
        <v>2.6</v>
      </c>
      <c r="AT129" s="224">
        <f t="shared" si="50"/>
        <v>0</v>
      </c>
      <c r="AU129" s="1822">
        <v>2196.1</v>
      </c>
      <c r="AV129" s="1690">
        <v>3190.6</v>
      </c>
      <c r="AW129" s="1688"/>
      <c r="AX129" s="1688"/>
      <c r="AY129" s="1688"/>
      <c r="AZ129" s="1820"/>
      <c r="BA129" s="1822">
        <v>1499.4</v>
      </c>
      <c r="BB129" s="1547"/>
      <c r="BC129" s="1548"/>
      <c r="BD129" s="1548"/>
      <c r="BE129" s="1548"/>
      <c r="BF129" s="222">
        <f t="shared" si="51"/>
        <v>0</v>
      </c>
      <c r="BG129" s="140">
        <f t="shared" si="52"/>
        <v>0</v>
      </c>
      <c r="BH129" s="132"/>
      <c r="BI129" s="140">
        <f t="shared" si="53"/>
        <v>0</v>
      </c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50"/>
      <c r="BU129" s="141">
        <v>25</v>
      </c>
      <c r="BV129" s="141"/>
      <c r="BW129" s="130">
        <f t="shared" si="54"/>
        <v>0</v>
      </c>
      <c r="BX129" s="132"/>
    </row>
    <row r="130" ht="14.25" customHeight="1">
      <c r="A130" s="132"/>
      <c r="B130" s="306">
        <v>46137</v>
      </c>
      <c r="C130" s="133">
        <f>18179.50-D130-0</f>
      </c>
      <c r="D130" s="134">
        <v>2203.7</v>
      </c>
      <c r="E130" s="135"/>
      <c r="F130" s="135"/>
      <c r="G130" s="147">
        <f t="shared" si="46"/>
        <v>0</v>
      </c>
      <c r="H130" s="199">
        <v>580.98</v>
      </c>
      <c r="I130" s="143"/>
      <c r="J130" s="143"/>
      <c r="K130" s="143"/>
      <c r="L130" s="143"/>
      <c r="M130" s="143"/>
      <c r="N130" s="143"/>
      <c r="O130" s="99"/>
      <c r="P130" s="143"/>
      <c r="Q130" s="143"/>
      <c r="R130" s="143"/>
      <c r="S130" s="143"/>
      <c r="T130" s="143"/>
      <c r="U130" s="103">
        <f t="shared" si="47"/>
        <v>0</v>
      </c>
      <c r="V130" s="136"/>
      <c r="W130" s="136"/>
      <c r="X130" s="99"/>
      <c r="Y130" s="99"/>
      <c r="Z130" s="99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03">
        <f t="shared" si="48"/>
        <v>0</v>
      </c>
      <c r="AK130" s="134">
        <v>1285.64</v>
      </c>
      <c r="AL130" s="134">
        <v>565.5</v>
      </c>
      <c r="AM130" s="136"/>
      <c r="AN130" s="105">
        <f t="shared" si="49"/>
        <v>0</v>
      </c>
      <c r="AO130" s="145">
        <v>258.32</v>
      </c>
      <c r="AP130" s="143"/>
      <c r="AQ130" s="143"/>
      <c r="AR130" s="143"/>
      <c r="AS130" s="149">
        <v>5</v>
      </c>
      <c r="AT130" s="224">
        <f t="shared" si="50"/>
        <v>0</v>
      </c>
      <c r="AU130" s="1822">
        <v>4602.4</v>
      </c>
      <c r="AV130" s="1690">
        <v>9245</v>
      </c>
      <c r="AW130" s="1688"/>
      <c r="AX130" s="1688"/>
      <c r="AY130" s="1688"/>
      <c r="AZ130" s="1820"/>
      <c r="BA130" s="1822">
        <v>1635.3</v>
      </c>
      <c r="BB130" s="1547"/>
      <c r="BC130" s="1548"/>
      <c r="BD130" s="1548"/>
      <c r="BE130" s="1548"/>
      <c r="BF130" s="222">
        <f t="shared" si="51"/>
        <v>0</v>
      </c>
      <c r="BG130" s="140">
        <f t="shared" si="52"/>
        <v>0</v>
      </c>
      <c r="BH130" s="132"/>
      <c r="BI130" s="140">
        <f t="shared" si="53"/>
        <v>0</v>
      </c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30">
        <f t="shared" si="54"/>
        <v>0</v>
      </c>
      <c r="BX130" s="132"/>
    </row>
    <row r="131" ht="14.25" customHeight="1">
      <c r="A131" s="132"/>
      <c r="B131" s="306">
        <v>46138</v>
      </c>
      <c r="C131" s="133">
        <f>5046.24-D131-0</f>
      </c>
      <c r="D131" s="134">
        <v>1639.5</v>
      </c>
      <c r="E131" s="135"/>
      <c r="F131" s="135"/>
      <c r="G131" s="147">
        <f t="shared" si="46"/>
        <v>0</v>
      </c>
      <c r="H131" s="199">
        <v>533.14</v>
      </c>
      <c r="I131" s="143"/>
      <c r="J131" s="143"/>
      <c r="K131" s="145">
        <v>637.55</v>
      </c>
      <c r="L131" s="143"/>
      <c r="M131" s="143"/>
      <c r="N131" s="143"/>
      <c r="O131" s="99"/>
      <c r="P131" s="143"/>
      <c r="Q131" s="143"/>
      <c r="R131" s="143"/>
      <c r="S131" s="143"/>
      <c r="T131" s="143"/>
      <c r="U131" s="103">
        <f t="shared" si="47"/>
        <v>0</v>
      </c>
      <c r="V131" s="136"/>
      <c r="W131" s="136"/>
      <c r="X131" s="99"/>
      <c r="Y131" s="99"/>
      <c r="Z131" s="99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03">
        <f t="shared" si="48"/>
        <v>0</v>
      </c>
      <c r="AK131" s="134">
        <v>510.64</v>
      </c>
      <c r="AL131" s="134">
        <v>654.1</v>
      </c>
      <c r="AM131" s="136"/>
      <c r="AN131" s="105">
        <f t="shared" si="49"/>
        <v>0</v>
      </c>
      <c r="AO131" s="145">
        <v>51.23</v>
      </c>
      <c r="AP131" s="143"/>
      <c r="AQ131" s="143"/>
      <c r="AR131" s="143"/>
      <c r="AS131" s="146">
        <v>0.1</v>
      </c>
      <c r="AT131" s="224">
        <f t="shared" si="50"/>
        <v>0</v>
      </c>
      <c r="AU131" s="1822">
        <v>1674.1</v>
      </c>
      <c r="AV131" s="1690"/>
      <c r="AW131" s="1688"/>
      <c r="AX131" s="1688"/>
      <c r="AY131" s="1688"/>
      <c r="AZ131" s="1820"/>
      <c r="BA131" s="1822">
        <v>983.7</v>
      </c>
      <c r="BB131" s="1547"/>
      <c r="BC131" s="1548"/>
      <c r="BD131" s="1548"/>
      <c r="BE131" s="1548"/>
      <c r="BF131" s="222">
        <f t="shared" si="51"/>
        <v>0</v>
      </c>
      <c r="BG131" s="140">
        <f t="shared" si="52"/>
        <v>0</v>
      </c>
      <c r="BH131" s="132"/>
      <c r="BI131" s="140">
        <f t="shared" si="53"/>
        <v>0</v>
      </c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30">
        <f t="shared" si="54"/>
        <v>0</v>
      </c>
      <c r="BX131" s="132"/>
    </row>
    <row r="132" ht="14.25" customHeight="1">
      <c r="A132" s="132"/>
      <c r="B132" s="306">
        <v>46139</v>
      </c>
      <c r="C132" s="133">
        <f>9204.26-D132-0</f>
      </c>
      <c r="D132" s="134">
        <v>1657.3</v>
      </c>
      <c r="E132" s="135"/>
      <c r="F132" s="135"/>
      <c r="G132" s="147">
        <f t="shared" si="46"/>
        <v>0</v>
      </c>
      <c r="H132" s="199">
        <v>1029.88</v>
      </c>
      <c r="I132" s="145">
        <v>298.98</v>
      </c>
      <c r="J132" s="143"/>
      <c r="K132" s="143"/>
      <c r="L132" s="143"/>
      <c r="M132" s="143"/>
      <c r="N132" s="143"/>
      <c r="O132" s="99"/>
      <c r="P132" s="143"/>
      <c r="Q132" s="143"/>
      <c r="R132" s="143"/>
      <c r="S132" s="143"/>
      <c r="T132" s="143"/>
      <c r="U132" s="103">
        <f t="shared" si="47"/>
        <v>0</v>
      </c>
      <c r="V132" s="136"/>
      <c r="W132" s="136"/>
      <c r="X132" s="99"/>
      <c r="Y132" s="99"/>
      <c r="Z132" s="99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03">
        <f t="shared" si="48"/>
        <v>0</v>
      </c>
      <c r="AK132" s="134">
        <v>470.03</v>
      </c>
      <c r="AL132" s="134">
        <v>302.9</v>
      </c>
      <c r="AM132" s="136"/>
      <c r="AN132" s="105">
        <f t="shared" si="49"/>
        <v>0</v>
      </c>
      <c r="AO132" s="145">
        <v>28</v>
      </c>
      <c r="AP132" s="143"/>
      <c r="AQ132" s="143"/>
      <c r="AR132" s="143"/>
      <c r="AS132" s="146"/>
      <c r="AT132" s="224">
        <f t="shared" si="50"/>
        <v>0</v>
      </c>
      <c r="AU132" s="1822">
        <v>2504.9</v>
      </c>
      <c r="AV132" s="1690">
        <v>3190.6</v>
      </c>
      <c r="AW132" s="1688"/>
      <c r="AX132" s="1688"/>
      <c r="AY132" s="1688"/>
      <c r="AZ132" s="1820"/>
      <c r="BA132" s="1822">
        <v>1352.6</v>
      </c>
      <c r="BB132" s="1547"/>
      <c r="BC132" s="1548"/>
      <c r="BD132" s="1548"/>
      <c r="BE132" s="1548"/>
      <c r="BF132" s="222">
        <f t="shared" si="51"/>
        <v>0</v>
      </c>
      <c r="BG132" s="140">
        <f t="shared" si="52"/>
        <v>0</v>
      </c>
      <c r="BH132" s="132"/>
      <c r="BI132" s="140">
        <f t="shared" si="53"/>
        <v>0</v>
      </c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50"/>
      <c r="BU132" s="141">
        <v>25</v>
      </c>
      <c r="BV132" s="141"/>
      <c r="BW132" s="130">
        <f t="shared" si="54"/>
        <v>0</v>
      </c>
      <c r="BX132" s="132"/>
    </row>
    <row r="133" ht="14.25" customHeight="1">
      <c r="A133" s="132"/>
      <c r="B133" s="306">
        <v>46140</v>
      </c>
      <c r="C133" s="133">
        <f>8503.03-D133-0</f>
      </c>
      <c r="D133" s="134">
        <v>1915.7</v>
      </c>
      <c r="E133" s="135"/>
      <c r="F133" s="135"/>
      <c r="G133" s="147">
        <f t="shared" si="46"/>
        <v>0</v>
      </c>
      <c r="H133" s="144">
        <v>1805.6</v>
      </c>
      <c r="I133" s="145">
        <v>490.58</v>
      </c>
      <c r="J133" s="143"/>
      <c r="K133" s="145">
        <v>673.55</v>
      </c>
      <c r="L133" s="143"/>
      <c r="M133" s="143"/>
      <c r="N133" s="143"/>
      <c r="O133" s="99"/>
      <c r="P133" s="143"/>
      <c r="Q133" s="143"/>
      <c r="R133" s="143"/>
      <c r="S133" s="143"/>
      <c r="T133" s="143"/>
      <c r="U133" s="103">
        <f t="shared" si="47"/>
        <v>0</v>
      </c>
      <c r="V133" s="136"/>
      <c r="W133" s="136"/>
      <c r="X133" s="99"/>
      <c r="Y133" s="99"/>
      <c r="Z133" s="99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03">
        <f t="shared" si="48"/>
        <v>0</v>
      </c>
      <c r="AK133" s="134">
        <v>1525.1</v>
      </c>
      <c r="AL133" s="134">
        <v>110</v>
      </c>
      <c r="AM133" s="136"/>
      <c r="AN133" s="105">
        <f t="shared" si="49"/>
        <v>0</v>
      </c>
      <c r="AO133" s="145">
        <v>54.13</v>
      </c>
      <c r="AP133" s="143"/>
      <c r="AQ133" s="143"/>
      <c r="AR133" s="143"/>
      <c r="AS133" s="146">
        <v>1</v>
      </c>
      <c r="AT133" s="224">
        <f t="shared" si="50"/>
        <v>0</v>
      </c>
      <c r="AU133" s="1822">
        <v>2037.7</v>
      </c>
      <c r="AV133" s="1690"/>
      <c r="AW133" s="1688"/>
      <c r="AX133" s="1688"/>
      <c r="AY133" s="1688"/>
      <c r="AZ133" s="1820"/>
      <c r="BA133" s="1822">
        <v>1803.5</v>
      </c>
      <c r="BB133" s="1547"/>
      <c r="BC133" s="1548"/>
      <c r="BD133" s="1548"/>
      <c r="BE133" s="1548"/>
      <c r="BF133" s="222">
        <f t="shared" si="51"/>
        <v>0</v>
      </c>
      <c r="BG133" s="140">
        <f t="shared" si="52"/>
        <v>0</v>
      </c>
      <c r="BH133" s="132"/>
      <c r="BI133" s="140">
        <f t="shared" si="53"/>
        <v>0</v>
      </c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30">
        <f t="shared" si="54"/>
        <v>0</v>
      </c>
      <c r="BX133" s="132"/>
    </row>
    <row r="134" ht="14.25" customHeight="1">
      <c r="A134" s="132"/>
      <c r="B134" s="306">
        <v>46141</v>
      </c>
      <c r="C134" s="133">
        <f>10924.06-D134-0</f>
      </c>
      <c r="D134" s="134">
        <v>2564.6</v>
      </c>
      <c r="E134" s="135"/>
      <c r="F134" s="135"/>
      <c r="G134" s="147">
        <f t="shared" si="46"/>
        <v>0</v>
      </c>
      <c r="H134" s="144"/>
      <c r="I134" s="143"/>
      <c r="J134" s="143"/>
      <c r="K134" s="145">
        <v>701.58</v>
      </c>
      <c r="L134" s="143"/>
      <c r="M134" s="143"/>
      <c r="N134" s="143"/>
      <c r="O134" s="99"/>
      <c r="P134" s="143"/>
      <c r="Q134" s="143"/>
      <c r="R134" s="143"/>
      <c r="S134" s="143"/>
      <c r="T134" s="143"/>
      <c r="U134" s="103">
        <f t="shared" si="47"/>
        <v>0</v>
      </c>
      <c r="V134" s="136"/>
      <c r="W134" s="136"/>
      <c r="X134" s="99"/>
      <c r="Y134" s="99"/>
      <c r="Z134" s="99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03">
        <f t="shared" si="48"/>
        <v>0</v>
      </c>
      <c r="AK134" s="134">
        <v>1260.13</v>
      </c>
      <c r="AL134" s="134">
        <v>567.5</v>
      </c>
      <c r="AM134" s="136"/>
      <c r="AN134" s="105">
        <f t="shared" si="49"/>
        <v>0</v>
      </c>
      <c r="AO134" s="145">
        <v>84.38</v>
      </c>
      <c r="AP134" s="143"/>
      <c r="AQ134" s="143"/>
      <c r="AR134" s="143"/>
      <c r="AS134" s="146"/>
      <c r="AT134" s="224">
        <f t="shared" si="50"/>
        <v>0</v>
      </c>
      <c r="AU134" s="1822">
        <v>3097.7</v>
      </c>
      <c r="AV134" s="1690">
        <v>3190.6</v>
      </c>
      <c r="AW134" s="1688"/>
      <c r="AX134" s="1688"/>
      <c r="AY134" s="1688"/>
      <c r="AZ134" s="1820"/>
      <c r="BA134" s="1822">
        <v>1995.9</v>
      </c>
      <c r="BB134" s="1547"/>
      <c r="BC134" s="1548"/>
      <c r="BD134" s="1548"/>
      <c r="BE134" s="1548"/>
      <c r="BF134" s="222">
        <f t="shared" si="51"/>
        <v>0</v>
      </c>
      <c r="BG134" s="140">
        <f t="shared" si="52"/>
        <v>0</v>
      </c>
      <c r="BH134" s="132"/>
      <c r="BI134" s="140">
        <f t="shared" si="53"/>
        <v>0</v>
      </c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50"/>
      <c r="BU134" s="141">
        <v>25</v>
      </c>
      <c r="BV134" s="141"/>
      <c r="BW134" s="130">
        <f t="shared" si="54"/>
        <v>0</v>
      </c>
      <c r="BX134" s="132"/>
    </row>
    <row r="135" ht="14.25" customHeight="1">
      <c r="A135" s="132"/>
      <c r="B135" s="306">
        <v>46142</v>
      </c>
      <c r="C135" s="136">
        <f>7024.50-D135-0</f>
      </c>
      <c r="D135" s="134">
        <v>2561.7</v>
      </c>
      <c r="E135" s="135"/>
      <c r="F135" s="135"/>
      <c r="G135" s="147">
        <f t="shared" si="46"/>
        <v>0</v>
      </c>
      <c r="H135" s="199"/>
      <c r="I135" s="143"/>
      <c r="J135" s="143"/>
      <c r="K135" s="143"/>
      <c r="L135" s="143"/>
      <c r="M135" s="143"/>
      <c r="N135" s="143"/>
      <c r="O135" s="99"/>
      <c r="P135" s="143"/>
      <c r="Q135" s="143"/>
      <c r="R135" s="143"/>
      <c r="S135" s="143"/>
      <c r="T135" s="143"/>
      <c r="U135" s="103">
        <f t="shared" si="47"/>
        <v>0</v>
      </c>
      <c r="V135" s="136"/>
      <c r="W135" s="136"/>
      <c r="X135" s="99"/>
      <c r="Y135" s="99"/>
      <c r="Z135" s="99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03">
        <f t="shared" si="48"/>
        <v>0</v>
      </c>
      <c r="AK135" s="134">
        <v>1425.52</v>
      </c>
      <c r="AL135" s="134">
        <v>382.5</v>
      </c>
      <c r="AM135" s="136"/>
      <c r="AN135" s="105">
        <f t="shared" si="49"/>
        <v>0</v>
      </c>
      <c r="AO135" s="143"/>
      <c r="AP135" s="143"/>
      <c r="AQ135" s="143"/>
      <c r="AR135" s="143"/>
      <c r="AS135" s="146"/>
      <c r="AT135" s="224">
        <f t="shared" si="50"/>
        <v>0</v>
      </c>
      <c r="AU135" s="1823">
        <v>2922.2</v>
      </c>
      <c r="AV135" s="1692"/>
      <c r="AW135" s="1688"/>
      <c r="AX135" s="1688"/>
      <c r="AY135" s="1688"/>
      <c r="AZ135" s="1820"/>
      <c r="BA135" s="1823">
        <v>2177.4</v>
      </c>
      <c r="BB135" s="1547"/>
      <c r="BC135" s="1548"/>
      <c r="BD135" s="1548"/>
      <c r="BE135" s="1548"/>
      <c r="BF135" s="222">
        <f t="shared" si="51"/>
        <v>0</v>
      </c>
      <c r="BG135" s="140">
        <f t="shared" si="52"/>
        <v>0</v>
      </c>
      <c r="BH135" s="132"/>
      <c r="BI135" s="140">
        <f t="shared" si="53"/>
        <v>0</v>
      </c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50"/>
      <c r="BU135" s="141">
        <v>115</v>
      </c>
      <c r="BV135" s="141"/>
      <c r="BW135" s="130">
        <f t="shared" si="54"/>
        <v>0</v>
      </c>
      <c r="BX135" s="132"/>
    </row>
    <row r="136" ht="14.25" customHeight="1">
      <c r="A136" s="3"/>
      <c r="B136" s="1161" t="s">
        <v>227</v>
      </c>
      <c r="C136" s="166">
        <f ref="C136:G136" t="shared" si="55">SUM(C106:C135)</f>
        <v>0</v>
      </c>
      <c r="D136" s="166">
        <f t="shared" si="55"/>
        <v>0</v>
      </c>
      <c r="E136" s="166">
        <f t="shared" si="55"/>
        <v>0</v>
      </c>
      <c r="F136" s="166">
        <f t="shared" si="55"/>
        <v>0</v>
      </c>
      <c r="G136" s="166">
        <f t="shared" si="55"/>
        <v>0</v>
      </c>
      <c r="H136" s="166">
        <f>SUMIF(H106:H135,"&gt;0")</f>
        <v>0</v>
      </c>
      <c r="I136" s="166">
        <f ref="I136:K136" t="shared" si="56">SUM(I106:I135)</f>
        <v>0</v>
      </c>
      <c r="J136" s="166">
        <f t="shared" si="56"/>
        <v>0</v>
      </c>
      <c r="K136" s="166">
        <f t="shared" si="56"/>
        <v>0</v>
      </c>
      <c r="L136" s="166"/>
      <c r="M136" s="166">
        <f ref="M136:N136" t="shared" si="57">SUM(M106:M135)</f>
        <v>0</v>
      </c>
      <c r="N136" s="166">
        <f t="shared" si="57"/>
        <v>0</v>
      </c>
      <c r="O136" s="166"/>
      <c r="P136" s="166">
        <f ref="P136:U136" t="shared" si="58">SUM(P106:P135)</f>
        <v>0</v>
      </c>
      <c r="Q136" s="166">
        <f t="shared" si="58"/>
        <v>0</v>
      </c>
      <c r="R136" s="166">
        <f t="shared" si="58"/>
        <v>0</v>
      </c>
      <c r="S136" s="166">
        <f t="shared" si="58"/>
        <v>0</v>
      </c>
      <c r="T136" s="166">
        <f t="shared" si="58"/>
        <v>0</v>
      </c>
      <c r="U136" s="166">
        <f t="shared" si="58"/>
        <v>0</v>
      </c>
      <c r="V136" s="166">
        <f>SUMIF(V106:V135,"&gt;0")</f>
        <v>0</v>
      </c>
      <c r="W136" s="166">
        <f ref="W136:AO136" t="shared" si="59">SUM(W106:W135)</f>
        <v>0</v>
      </c>
      <c r="X136" s="166">
        <f t="shared" si="59"/>
        <v>0</v>
      </c>
      <c r="Y136" s="166">
        <f t="shared" si="59"/>
        <v>0</v>
      </c>
      <c r="Z136" s="166">
        <f t="shared" si="59"/>
        <v>0</v>
      </c>
      <c r="AA136" s="166">
        <f t="shared" si="59"/>
        <v>0</v>
      </c>
      <c r="AB136" s="166">
        <f t="shared" si="59"/>
        <v>0</v>
      </c>
      <c r="AC136" s="166">
        <f t="shared" si="59"/>
        <v>0</v>
      </c>
      <c r="AD136" s="166">
        <f t="shared" si="59"/>
        <v>0</v>
      </c>
      <c r="AE136" s="166">
        <f t="shared" si="59"/>
        <v>0</v>
      </c>
      <c r="AF136" s="166">
        <f t="shared" si="59"/>
        <v>0</v>
      </c>
      <c r="AG136" s="166">
        <f t="shared" si="59"/>
        <v>0</v>
      </c>
      <c r="AH136" s="166">
        <f t="shared" si="59"/>
        <v>0</v>
      </c>
      <c r="AI136" s="166">
        <f t="shared" si="59"/>
        <v>0</v>
      </c>
      <c r="AJ136" s="166">
        <f t="shared" si="59"/>
        <v>0</v>
      </c>
      <c r="AK136" s="166">
        <f t="shared" si="59"/>
        <v>0</v>
      </c>
      <c r="AL136" s="166">
        <f t="shared" si="59"/>
        <v>0</v>
      </c>
      <c r="AM136" s="166">
        <f t="shared" si="59"/>
        <v>0</v>
      </c>
      <c r="AN136" s="166">
        <f t="shared" si="59"/>
        <v>0</v>
      </c>
      <c r="AO136" s="166">
        <f t="shared" si="59"/>
        <v>0</v>
      </c>
      <c r="AP136" s="166"/>
      <c r="AQ136" s="166">
        <f ref="AQ136:BG136" t="shared" si="60">SUM(AQ106:AQ135)</f>
        <v>0</v>
      </c>
      <c r="AR136" s="166">
        <f t="shared" si="60"/>
        <v>0</v>
      </c>
      <c r="AS136" s="166">
        <f t="shared" si="60"/>
        <v>0</v>
      </c>
      <c r="AT136" s="166">
        <f t="shared" si="60"/>
        <v>0</v>
      </c>
      <c r="AU136" s="165">
        <f t="shared" si="60"/>
        <v>0</v>
      </c>
      <c r="AV136" s="165">
        <f t="shared" si="60"/>
        <v>0</v>
      </c>
      <c r="AW136" s="165">
        <f t="shared" si="60"/>
        <v>0</v>
      </c>
      <c r="AX136" s="165">
        <f t="shared" si="60"/>
        <v>0</v>
      </c>
      <c r="AY136" s="165">
        <f t="shared" si="60"/>
        <v>0</v>
      </c>
      <c r="AZ136" s="165">
        <f t="shared" si="60"/>
        <v>0</v>
      </c>
      <c r="BA136" s="170">
        <f t="shared" si="60"/>
        <v>0</v>
      </c>
      <c r="BB136" s="165">
        <f t="shared" si="60"/>
        <v>0</v>
      </c>
      <c r="BC136" s="165">
        <f t="shared" si="60"/>
        <v>0</v>
      </c>
      <c r="BD136" s="165">
        <f t="shared" si="60"/>
        <v>0</v>
      </c>
      <c r="BE136" s="165">
        <f t="shared" si="60"/>
        <v>0</v>
      </c>
      <c r="BF136" s="166">
        <f t="shared" si="60"/>
        <v>0</v>
      </c>
      <c r="BG136" s="166">
        <f t="shared" si="60"/>
        <v>0</v>
      </c>
      <c r="BH136" s="132"/>
      <c r="BI136" s="166">
        <f ref="BI136:BW136" t="shared" si="61">SUM(BI106:BI135)</f>
        <v>0</v>
      </c>
      <c r="BJ136" s="166">
        <f t="shared" si="61"/>
        <v>0</v>
      </c>
      <c r="BK136" s="166">
        <f t="shared" si="61"/>
        <v>0</v>
      </c>
      <c r="BL136" s="166">
        <f t="shared" si="61"/>
        <v>0</v>
      </c>
      <c r="BM136" s="166">
        <f t="shared" si="61"/>
        <v>0</v>
      </c>
      <c r="BN136" s="166">
        <f t="shared" si="61"/>
        <v>0</v>
      </c>
      <c r="BO136" s="166">
        <f t="shared" si="61"/>
        <v>0</v>
      </c>
      <c r="BP136" s="166">
        <f t="shared" si="61"/>
        <v>0</v>
      </c>
      <c r="BQ136" s="166">
        <f t="shared" si="61"/>
        <v>0</v>
      </c>
      <c r="BR136" s="166">
        <f t="shared" si="61"/>
        <v>0</v>
      </c>
      <c r="BS136" s="166">
        <f t="shared" si="61"/>
        <v>0</v>
      </c>
      <c r="BT136" s="166">
        <f t="shared" si="61"/>
        <v>0</v>
      </c>
      <c r="BU136" s="166">
        <f t="shared" si="61"/>
        <v>0</v>
      </c>
      <c r="BV136" s="166">
        <f t="shared" si="61"/>
        <v>0</v>
      </c>
      <c r="BW136" s="166">
        <f t="shared" si="61"/>
        <v>0</v>
      </c>
      <c r="BX136" s="3"/>
    </row>
    <row r="137" ht="14.25" customHeight="1">
      <c r="A137" s="1"/>
      <c r="B137" s="1162" t="s">
        <v>10</v>
      </c>
      <c r="C137" s="3"/>
      <c r="D137" s="3"/>
      <c r="E137" s="3"/>
      <c r="F137" s="3"/>
      <c r="G137" s="4"/>
      <c r="H137" s="517">
        <f ref="H137:N137" t="shared" si="62">SUMIF(H106:H135,"&lt;0")</f>
        <v>0</v>
      </c>
      <c r="I137" s="517">
        <f t="shared" si="62"/>
        <v>0</v>
      </c>
      <c r="J137" s="517">
        <f t="shared" si="62"/>
        <v>0</v>
      </c>
      <c r="K137" s="517">
        <f t="shared" si="62"/>
        <v>0</v>
      </c>
      <c r="L137" s="517">
        <f t="shared" si="62"/>
        <v>0</v>
      </c>
      <c r="M137" s="517">
        <f t="shared" si="62"/>
        <v>0</v>
      </c>
      <c r="N137" s="517">
        <f t="shared" si="62"/>
        <v>0</v>
      </c>
      <c r="O137" s="3"/>
      <c r="P137" s="3"/>
      <c r="Q137" s="3"/>
      <c r="R137" s="3"/>
      <c r="S137" s="3"/>
      <c r="T137" s="3"/>
      <c r="U137" s="3"/>
      <c r="V137" s="263">
        <f>SUMIF(V107:V136,"&lt;0")</f>
        <v>0</v>
      </c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4"/>
      <c r="AO137" s="3"/>
      <c r="AP137" s="3"/>
      <c r="AQ137" s="3"/>
      <c r="AR137" s="3"/>
      <c r="AS137" s="3"/>
      <c r="AT137" s="3"/>
      <c r="AU137" s="1"/>
      <c r="AV137" s="380"/>
      <c r="AW137" s="380"/>
      <c r="AX137" s="380"/>
      <c r="AY137" s="380"/>
      <c r="AZ137" s="380"/>
      <c r="BA137" s="1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ht="14.25" customHeight="1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176"/>
      <c r="AK138" s="3"/>
      <c r="AL138" s="3"/>
      <c r="AM138" s="3"/>
      <c r="AN138" s="4"/>
      <c r="AO138" s="3"/>
      <c r="AP138" s="3"/>
      <c r="AQ138" s="3"/>
      <c r="AR138" s="3"/>
      <c r="AS138" s="3"/>
      <c r="AT138" s="3"/>
      <c r="AU138" s="1"/>
      <c r="AV138" s="380"/>
      <c r="AW138" s="380"/>
      <c r="AX138" s="380"/>
      <c r="AY138" s="380"/>
      <c r="AZ138" s="380"/>
      <c r="BA138" s="1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</row>
    <row r="139" ht="14.25" customHeight="1">
      <c r="A139" s="132"/>
      <c r="B139" s="791">
        <v>46143</v>
      </c>
      <c r="C139" s="190">
        <f>7148.95-D139-0</f>
      </c>
      <c r="D139" s="181">
        <v>2464.3</v>
      </c>
      <c r="E139" s="182"/>
      <c r="F139" s="182"/>
      <c r="G139" s="265">
        <f ref="G139:G169" t="shared" si="63">+C139+D139+E139+F139</f>
        <v>0</v>
      </c>
      <c r="H139" s="187"/>
      <c r="I139" s="188">
        <v>846.97</v>
      </c>
      <c r="J139" s="186"/>
      <c r="K139" s="186"/>
      <c r="L139" s="188">
        <v>290.01</v>
      </c>
      <c r="M139" s="186"/>
      <c r="N139" s="186"/>
      <c r="O139" s="101"/>
      <c r="P139" s="186"/>
      <c r="Q139" s="186"/>
      <c r="R139" s="186"/>
      <c r="S139" s="186"/>
      <c r="T139" s="186"/>
      <c r="U139" s="103">
        <f ref="U139:U169" t="shared" si="64">SUM(H139:T139)</f>
        <v>0</v>
      </c>
      <c r="V139" s="190"/>
      <c r="W139" s="190"/>
      <c r="X139" s="190"/>
      <c r="Y139" s="101"/>
      <c r="Z139" s="101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03">
        <f ref="AJ139:AJ169" t="shared" si="65">SUM(V139:AI139)</f>
        <v>0</v>
      </c>
      <c r="AK139" s="181">
        <v>1487.56</v>
      </c>
      <c r="AL139" s="181">
        <v>772.3</v>
      </c>
      <c r="AM139" s="190"/>
      <c r="AN139" s="191">
        <f ref="AN139:AN169" t="shared" si="66">SUM(AK139:AM139)</f>
        <v>0</v>
      </c>
      <c r="AO139" s="186"/>
      <c r="AP139" s="186"/>
      <c r="AQ139" s="186"/>
      <c r="AR139" s="186"/>
      <c r="AS139" s="193"/>
      <c r="AT139" s="266">
        <f ref="AT139:AT169" t="shared" si="67">+G139-U139-AJ139-AN139-AO139-AQ139-AR139-AS139</f>
        <v>0</v>
      </c>
      <c r="AU139" s="1163">
        <v>2060.2</v>
      </c>
      <c r="AV139" s="1164"/>
      <c r="AW139" s="1165"/>
      <c r="AX139" s="1165"/>
      <c r="AY139" s="1165"/>
      <c r="AZ139" s="1166"/>
      <c r="BA139" s="1163">
        <v>1690.3</v>
      </c>
      <c r="BB139" s="269"/>
      <c r="BC139" s="269"/>
      <c r="BD139" s="269"/>
      <c r="BE139" s="269"/>
      <c r="BF139" s="272">
        <f ref="BF139:BF169" t="shared" si="68">SUM(AU139:BE139)-BD139</f>
        <v>0</v>
      </c>
      <c r="BG139" s="195">
        <f ref="BG139:BG169" t="shared" si="69">+AT139-BF139</f>
        <v>0</v>
      </c>
      <c r="BH139" s="132"/>
      <c r="BI139" s="195">
        <f ref="BI139:BI169" t="shared" si="70">SUM(BJ139:BV139)</f>
        <v>0</v>
      </c>
      <c r="BJ139" s="196"/>
      <c r="BK139" s="196"/>
      <c r="BL139" s="196"/>
      <c r="BM139" s="196"/>
      <c r="BN139" s="196"/>
      <c r="BO139" s="196"/>
      <c r="BP139" s="196"/>
      <c r="BQ139" s="196"/>
      <c r="BR139" s="196"/>
      <c r="BS139" s="196"/>
      <c r="BT139" s="196"/>
      <c r="BU139" s="196"/>
      <c r="BV139" s="196"/>
      <c r="BW139" s="116">
        <f ref="BW139:BW169" t="shared" si="71">+BG139-BI139</f>
        <v>0</v>
      </c>
      <c r="BX139" s="132"/>
    </row>
    <row r="140" ht="14.25" customHeight="1">
      <c r="A140" s="132"/>
      <c r="B140" s="791">
        <v>46144</v>
      </c>
      <c r="C140" s="136"/>
      <c r="D140" s="134"/>
      <c r="E140" s="135"/>
      <c r="F140" s="135"/>
      <c r="G140" s="147">
        <f t="shared" si="63"/>
        <v>0</v>
      </c>
      <c r="H140" s="199"/>
      <c r="I140" s="143"/>
      <c r="J140" s="143"/>
      <c r="K140" s="143"/>
      <c r="L140" s="143"/>
      <c r="M140" s="143"/>
      <c r="N140" s="143"/>
      <c r="O140" s="99"/>
      <c r="P140" s="143"/>
      <c r="Q140" s="143"/>
      <c r="R140" s="143"/>
      <c r="S140" s="143"/>
      <c r="T140" s="143"/>
      <c r="U140" s="103">
        <f t="shared" si="64"/>
        <v>0</v>
      </c>
      <c r="V140" s="136"/>
      <c r="W140" s="136"/>
      <c r="X140" s="136"/>
      <c r="Y140" s="99"/>
      <c r="Z140" s="99"/>
      <c r="AA140" s="143"/>
      <c r="AB140" s="143"/>
      <c r="AC140" s="143"/>
      <c r="AD140" s="143"/>
      <c r="AE140" s="143"/>
      <c r="AF140" s="143"/>
      <c r="AG140" s="143"/>
      <c r="AH140" s="143"/>
      <c r="AI140" s="143"/>
      <c r="AJ140" s="103">
        <f t="shared" si="65"/>
        <v>0</v>
      </c>
      <c r="AK140" s="134"/>
      <c r="AL140" s="134"/>
      <c r="AM140" s="136"/>
      <c r="AN140" s="105">
        <f t="shared" si="66"/>
        <v>0</v>
      </c>
      <c r="AO140" s="143"/>
      <c r="AP140" s="143"/>
      <c r="AQ140" s="143"/>
      <c r="AR140" s="143"/>
      <c r="AS140" s="149"/>
      <c r="AT140" s="224">
        <f t="shared" si="67"/>
        <v>0</v>
      </c>
      <c r="AU140" s="1167"/>
      <c r="AV140" s="1133"/>
      <c r="AW140" s="433"/>
      <c r="AX140" s="433"/>
      <c r="AY140" s="433"/>
      <c r="AZ140" s="1168"/>
      <c r="BA140" s="1167"/>
      <c r="BB140" s="274"/>
      <c r="BC140" s="274"/>
      <c r="BD140" s="274"/>
      <c r="BE140" s="274"/>
      <c r="BF140" s="222">
        <f t="shared" si="68"/>
        <v>0</v>
      </c>
      <c r="BG140" s="140">
        <f t="shared" si="69"/>
        <v>0</v>
      </c>
      <c r="BH140" s="132"/>
      <c r="BI140" s="140">
        <f t="shared" si="70"/>
        <v>0</v>
      </c>
      <c r="BJ140" s="141"/>
      <c r="BK140" s="141"/>
      <c r="BL140" s="141"/>
      <c r="BM140" s="141"/>
      <c r="BN140" s="141"/>
      <c r="BO140" s="141"/>
      <c r="BP140" s="141"/>
      <c r="BQ140" s="141"/>
      <c r="BR140" s="141"/>
      <c r="BS140" s="141"/>
      <c r="BT140" s="150"/>
      <c r="BU140" s="141"/>
      <c r="BV140" s="141"/>
      <c r="BW140" s="130">
        <f t="shared" si="71"/>
        <v>0</v>
      </c>
      <c r="BX140" s="132"/>
    </row>
    <row r="141" ht="14.25" customHeight="1">
      <c r="A141" s="132"/>
      <c r="B141" s="791">
        <v>46145</v>
      </c>
      <c r="C141" s="133"/>
      <c r="D141" s="134"/>
      <c r="E141" s="135"/>
      <c r="F141" s="135"/>
      <c r="G141" s="147">
        <f t="shared" si="63"/>
        <v>0</v>
      </c>
      <c r="H141" s="199"/>
      <c r="I141" s="143"/>
      <c r="J141" s="143"/>
      <c r="K141" s="143"/>
      <c r="L141" s="143"/>
      <c r="M141" s="143"/>
      <c r="N141" s="143"/>
      <c r="O141" s="99"/>
      <c r="P141" s="143"/>
      <c r="Q141" s="143"/>
      <c r="R141" s="143"/>
      <c r="S141" s="143"/>
      <c r="T141" s="143"/>
      <c r="U141" s="103">
        <f t="shared" si="64"/>
        <v>0</v>
      </c>
      <c r="V141" s="133"/>
      <c r="W141" s="133"/>
      <c r="X141" s="136"/>
      <c r="Y141" s="99"/>
      <c r="Z141" s="99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03">
        <f t="shared" si="65"/>
        <v>0</v>
      </c>
      <c r="AK141" s="134"/>
      <c r="AL141" s="134"/>
      <c r="AM141" s="136"/>
      <c r="AN141" s="105">
        <f t="shared" si="66"/>
        <v>0</v>
      </c>
      <c r="AO141" s="143"/>
      <c r="AP141" s="143"/>
      <c r="AQ141" s="143"/>
      <c r="AR141" s="143"/>
      <c r="AS141" s="146"/>
      <c r="AT141" s="224">
        <f t="shared" si="67"/>
        <v>0</v>
      </c>
      <c r="AU141" s="1167"/>
      <c r="AV141" s="1133"/>
      <c r="AW141" s="433"/>
      <c r="AX141" s="1133"/>
      <c r="AY141" s="433"/>
      <c r="AZ141" s="1168"/>
      <c r="BA141" s="1167"/>
      <c r="BB141" s="274"/>
      <c r="BC141" s="274"/>
      <c r="BD141" s="274"/>
      <c r="BE141" s="274"/>
      <c r="BF141" s="222">
        <f t="shared" si="68"/>
        <v>0</v>
      </c>
      <c r="BG141" s="140">
        <f t="shared" si="69"/>
        <v>0</v>
      </c>
      <c r="BH141" s="132"/>
      <c r="BI141" s="140">
        <f t="shared" si="70"/>
        <v>0</v>
      </c>
      <c r="BJ141" s="141"/>
      <c r="BK141" s="141"/>
      <c r="BL141" s="141"/>
      <c r="BM141" s="141"/>
      <c r="BN141" s="141"/>
      <c r="BO141" s="141"/>
      <c r="BP141" s="141"/>
      <c r="BQ141" s="141"/>
      <c r="BR141" s="141"/>
      <c r="BS141" s="141"/>
      <c r="BT141" s="150"/>
      <c r="BU141" s="141"/>
      <c r="BV141" s="141"/>
      <c r="BW141" s="130">
        <f t="shared" si="71"/>
        <v>0</v>
      </c>
      <c r="BX141" s="132"/>
    </row>
    <row r="142" ht="14.25" customHeight="1">
      <c r="A142" s="132"/>
      <c r="B142" s="791">
        <v>46146</v>
      </c>
      <c r="C142" s="133"/>
      <c r="D142" s="134"/>
      <c r="E142" s="135"/>
      <c r="F142" s="135"/>
      <c r="G142" s="147">
        <f t="shared" si="63"/>
        <v>0</v>
      </c>
      <c r="H142" s="199"/>
      <c r="I142" s="143"/>
      <c r="J142" s="143"/>
      <c r="K142" s="143"/>
      <c r="L142" s="143"/>
      <c r="M142" s="143"/>
      <c r="N142" s="143"/>
      <c r="O142" s="99"/>
      <c r="P142" s="143"/>
      <c r="Q142" s="143"/>
      <c r="R142" s="143"/>
      <c r="S142" s="143"/>
      <c r="T142" s="143"/>
      <c r="U142" s="103">
        <f t="shared" si="64"/>
        <v>0</v>
      </c>
      <c r="V142" s="133"/>
      <c r="W142" s="133"/>
      <c r="X142" s="136"/>
      <c r="Y142" s="99"/>
      <c r="Z142" s="99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03">
        <f t="shared" si="65"/>
        <v>0</v>
      </c>
      <c r="AK142" s="134"/>
      <c r="AL142" s="134"/>
      <c r="AM142" s="136"/>
      <c r="AN142" s="105">
        <f t="shared" si="66"/>
        <v>0</v>
      </c>
      <c r="AO142" s="143"/>
      <c r="AP142" s="143"/>
      <c r="AQ142" s="143"/>
      <c r="AR142" s="143"/>
      <c r="AS142" s="146"/>
      <c r="AT142" s="224">
        <f t="shared" si="67"/>
        <v>0</v>
      </c>
      <c r="AU142" s="1167"/>
      <c r="AV142" s="1133"/>
      <c r="AW142" s="433"/>
      <c r="AX142" s="1133"/>
      <c r="AY142" s="433"/>
      <c r="AZ142" s="1168"/>
      <c r="BA142" s="1167"/>
      <c r="BB142" s="274"/>
      <c r="BC142" s="274"/>
      <c r="BD142" s="274"/>
      <c r="BE142" s="274"/>
      <c r="BF142" s="222">
        <f t="shared" si="68"/>
        <v>0</v>
      </c>
      <c r="BG142" s="140">
        <f t="shared" si="69"/>
        <v>0</v>
      </c>
      <c r="BH142" s="132"/>
      <c r="BI142" s="140">
        <f t="shared" si="70"/>
        <v>0</v>
      </c>
      <c r="BJ142" s="141"/>
      <c r="BK142" s="141"/>
      <c r="BL142" s="141"/>
      <c r="BM142" s="141"/>
      <c r="BN142" s="141"/>
      <c r="BO142" s="141"/>
      <c r="BP142" s="141"/>
      <c r="BQ142" s="141"/>
      <c r="BR142" s="141"/>
      <c r="BS142" s="141"/>
      <c r="BT142" s="150"/>
      <c r="BU142" s="141"/>
      <c r="BV142" s="141"/>
      <c r="BW142" s="130">
        <f t="shared" si="71"/>
        <v>0</v>
      </c>
      <c r="BX142" s="132"/>
    </row>
    <row r="143" ht="14.25" customHeight="1">
      <c r="A143" s="132"/>
      <c r="B143" s="791">
        <v>46147</v>
      </c>
      <c r="C143" s="133"/>
      <c r="D143" s="134"/>
      <c r="E143" s="135"/>
      <c r="F143" s="135"/>
      <c r="G143" s="147">
        <f t="shared" si="63"/>
        <v>0</v>
      </c>
      <c r="H143" s="144"/>
      <c r="I143" s="145"/>
      <c r="J143" s="143"/>
      <c r="K143" s="145"/>
      <c r="L143" s="143"/>
      <c r="M143" s="143"/>
      <c r="N143" s="143"/>
      <c r="O143" s="99"/>
      <c r="P143" s="143"/>
      <c r="Q143" s="143"/>
      <c r="R143" s="143"/>
      <c r="S143" s="143"/>
      <c r="T143" s="143"/>
      <c r="U143" s="103">
        <f t="shared" si="64"/>
        <v>0</v>
      </c>
      <c r="V143" s="136"/>
      <c r="W143" s="136"/>
      <c r="X143" s="136"/>
      <c r="Y143" s="99"/>
      <c r="Z143" s="99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03">
        <f t="shared" si="65"/>
        <v>0</v>
      </c>
      <c r="AK143" s="134"/>
      <c r="AL143" s="134"/>
      <c r="AM143" s="136"/>
      <c r="AN143" s="105">
        <f t="shared" si="66"/>
        <v>0</v>
      </c>
      <c r="AO143" s="145"/>
      <c r="AP143" s="143"/>
      <c r="AQ143" s="143"/>
      <c r="AR143" s="143"/>
      <c r="AS143" s="146"/>
      <c r="AT143" s="224">
        <f t="shared" si="67"/>
        <v>0</v>
      </c>
      <c r="AU143" s="1167"/>
      <c r="AV143" s="1133"/>
      <c r="AW143" s="433"/>
      <c r="AX143" s="433"/>
      <c r="AY143" s="433"/>
      <c r="AZ143" s="1168"/>
      <c r="BA143" s="1167"/>
      <c r="BB143" s="274"/>
      <c r="BC143" s="274"/>
      <c r="BD143" s="274"/>
      <c r="BE143" s="274"/>
      <c r="BF143" s="222">
        <f t="shared" si="68"/>
        <v>0</v>
      </c>
      <c r="BG143" s="140">
        <f t="shared" si="69"/>
        <v>0</v>
      </c>
      <c r="BH143" s="132"/>
      <c r="BI143" s="140">
        <f t="shared" si="70"/>
        <v>0</v>
      </c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41"/>
      <c r="BU143" s="141"/>
      <c r="BV143" s="141"/>
      <c r="BW143" s="130">
        <f t="shared" si="71"/>
        <v>0</v>
      </c>
      <c r="BX143" s="132"/>
    </row>
    <row r="144" ht="14.25" customHeight="1">
      <c r="A144" s="132"/>
      <c r="B144" s="791">
        <v>46148</v>
      </c>
      <c r="C144" s="133"/>
      <c r="D144" s="134"/>
      <c r="E144" s="135"/>
      <c r="F144" s="135"/>
      <c r="G144" s="147">
        <f t="shared" si="63"/>
        <v>0</v>
      </c>
      <c r="H144" s="144"/>
      <c r="I144" s="143"/>
      <c r="J144" s="143"/>
      <c r="K144" s="145"/>
      <c r="L144" s="143"/>
      <c r="M144" s="143"/>
      <c r="N144" s="143"/>
      <c r="O144" s="99"/>
      <c r="P144" s="143"/>
      <c r="Q144" s="143"/>
      <c r="R144" s="143"/>
      <c r="S144" s="143"/>
      <c r="T144" s="143"/>
      <c r="U144" s="103">
        <f t="shared" si="64"/>
        <v>0</v>
      </c>
      <c r="V144" s="136"/>
      <c r="W144" s="136"/>
      <c r="X144" s="136"/>
      <c r="Y144" s="99"/>
      <c r="Z144" s="99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03">
        <f t="shared" si="65"/>
        <v>0</v>
      </c>
      <c r="AK144" s="134"/>
      <c r="AL144" s="134"/>
      <c r="AM144" s="136"/>
      <c r="AN144" s="105">
        <f t="shared" si="66"/>
        <v>0</v>
      </c>
      <c r="AO144" s="145"/>
      <c r="AP144" s="143"/>
      <c r="AQ144" s="143"/>
      <c r="AR144" s="143"/>
      <c r="AS144" s="146"/>
      <c r="AT144" s="224">
        <f t="shared" si="67"/>
        <v>0</v>
      </c>
      <c r="AU144" s="1167"/>
      <c r="AV144" s="1169"/>
      <c r="AW144" s="433"/>
      <c r="AX144" s="433"/>
      <c r="AY144" s="433"/>
      <c r="AZ144" s="1168"/>
      <c r="BA144" s="1167"/>
      <c r="BB144" s="274"/>
      <c r="BC144" s="274"/>
      <c r="BD144" s="274"/>
      <c r="BE144" s="274"/>
      <c r="BF144" s="222">
        <f t="shared" si="68"/>
        <v>0</v>
      </c>
      <c r="BG144" s="140">
        <f t="shared" si="69"/>
        <v>0</v>
      </c>
      <c r="BH144" s="132"/>
      <c r="BI144" s="140">
        <f t="shared" si="70"/>
        <v>0</v>
      </c>
      <c r="BJ144" s="141"/>
      <c r="BK144" s="141"/>
      <c r="BL144" s="141"/>
      <c r="BM144" s="141"/>
      <c r="BN144" s="141"/>
      <c r="BO144" s="141"/>
      <c r="BP144" s="141"/>
      <c r="BQ144" s="141"/>
      <c r="BR144" s="141"/>
      <c r="BS144" s="141"/>
      <c r="BT144" s="150"/>
      <c r="BU144" s="141"/>
      <c r="BV144" s="141"/>
      <c r="BW144" s="130">
        <f t="shared" si="71"/>
        <v>0</v>
      </c>
      <c r="BX144" s="132"/>
    </row>
    <row r="145" ht="14.25" customHeight="1">
      <c r="A145" s="132"/>
      <c r="B145" s="791">
        <v>46149</v>
      </c>
      <c r="C145" s="133"/>
      <c r="D145" s="136"/>
      <c r="E145" s="135"/>
      <c r="F145" s="135"/>
      <c r="G145" s="147">
        <f t="shared" si="63"/>
        <v>0</v>
      </c>
      <c r="H145" s="144"/>
      <c r="I145" s="143"/>
      <c r="J145" s="143"/>
      <c r="K145" s="143"/>
      <c r="L145" s="143"/>
      <c r="M145" s="143"/>
      <c r="N145" s="143"/>
      <c r="O145" s="99"/>
      <c r="P145" s="143"/>
      <c r="Q145" s="143"/>
      <c r="R145" s="143"/>
      <c r="S145" s="143"/>
      <c r="T145" s="143"/>
      <c r="U145" s="103">
        <f t="shared" si="64"/>
        <v>0</v>
      </c>
      <c r="V145" s="136"/>
      <c r="W145" s="136"/>
      <c r="X145" s="136"/>
      <c r="Y145" s="99"/>
      <c r="Z145" s="99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03">
        <f t="shared" si="65"/>
        <v>0</v>
      </c>
      <c r="AK145" s="136"/>
      <c r="AL145" s="136"/>
      <c r="AM145" s="136"/>
      <c r="AN145" s="105">
        <f t="shared" si="66"/>
        <v>0</v>
      </c>
      <c r="AO145" s="143"/>
      <c r="AP145" s="143"/>
      <c r="AQ145" s="143"/>
      <c r="AR145" s="143"/>
      <c r="AS145" s="146"/>
      <c r="AT145" s="224">
        <f t="shared" si="67"/>
        <v>0</v>
      </c>
      <c r="AU145" s="1170"/>
      <c r="AV145" s="1133"/>
      <c r="AW145" s="433"/>
      <c r="AX145" s="433"/>
      <c r="AY145" s="433"/>
      <c r="AZ145" s="1168"/>
      <c r="BA145" s="1170"/>
      <c r="BB145" s="274"/>
      <c r="BC145" s="274"/>
      <c r="BD145" s="274"/>
      <c r="BE145" s="274"/>
      <c r="BF145" s="222">
        <f t="shared" si="68"/>
        <v>0</v>
      </c>
      <c r="BG145" s="140">
        <f t="shared" si="69"/>
        <v>0</v>
      </c>
      <c r="BH145" s="132"/>
      <c r="BI145" s="140">
        <f t="shared" si="70"/>
        <v>0</v>
      </c>
      <c r="BJ145" s="141"/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30">
        <f t="shared" si="71"/>
        <v>0</v>
      </c>
      <c r="BX145" s="132"/>
    </row>
    <row r="146" ht="14.25" customHeight="1">
      <c r="A146" s="132"/>
      <c r="B146" s="791">
        <v>46150</v>
      </c>
      <c r="C146" s="133"/>
      <c r="D146" s="136"/>
      <c r="E146" s="135"/>
      <c r="F146" s="135"/>
      <c r="G146" s="147">
        <f t="shared" si="63"/>
        <v>0</v>
      </c>
      <c r="H146" s="144"/>
      <c r="I146" s="143"/>
      <c r="J146" s="143"/>
      <c r="K146" s="143"/>
      <c r="L146" s="143"/>
      <c r="M146" s="143"/>
      <c r="N146" s="143"/>
      <c r="O146" s="99"/>
      <c r="P146" s="143"/>
      <c r="Q146" s="143"/>
      <c r="R146" s="143"/>
      <c r="S146" s="143"/>
      <c r="T146" s="143"/>
      <c r="U146" s="103">
        <f t="shared" si="64"/>
        <v>0</v>
      </c>
      <c r="V146" s="136"/>
      <c r="W146" s="136"/>
      <c r="X146" s="136"/>
      <c r="Y146" s="99"/>
      <c r="Z146" s="99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03">
        <f t="shared" si="65"/>
        <v>0</v>
      </c>
      <c r="AK146" s="136"/>
      <c r="AL146" s="136"/>
      <c r="AM146" s="136"/>
      <c r="AN146" s="105">
        <f t="shared" si="66"/>
        <v>0</v>
      </c>
      <c r="AO146" s="143"/>
      <c r="AP146" s="143"/>
      <c r="AQ146" s="143"/>
      <c r="AR146" s="143"/>
      <c r="AS146" s="146"/>
      <c r="AT146" s="224">
        <f t="shared" si="67"/>
        <v>0</v>
      </c>
      <c r="AU146" s="1170"/>
      <c r="AV146" s="1133"/>
      <c r="AW146" s="433"/>
      <c r="AX146" s="433"/>
      <c r="AY146" s="433"/>
      <c r="AZ146" s="1168"/>
      <c r="BA146" s="1170"/>
      <c r="BB146" s="274"/>
      <c r="BC146" s="274"/>
      <c r="BD146" s="274"/>
      <c r="BE146" s="274"/>
      <c r="BF146" s="222">
        <f t="shared" si="68"/>
        <v>0</v>
      </c>
      <c r="BG146" s="140">
        <f t="shared" si="69"/>
        <v>0</v>
      </c>
      <c r="BH146" s="132"/>
      <c r="BI146" s="140">
        <f t="shared" si="70"/>
        <v>0</v>
      </c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41"/>
      <c r="BV146" s="141"/>
      <c r="BW146" s="130">
        <f t="shared" si="71"/>
        <v>0</v>
      </c>
      <c r="BX146" s="132"/>
    </row>
    <row r="147" ht="14.25" customHeight="1">
      <c r="A147" s="132"/>
      <c r="B147" s="791">
        <v>46151</v>
      </c>
      <c r="C147" s="133"/>
      <c r="D147" s="136"/>
      <c r="E147" s="135"/>
      <c r="F147" s="135"/>
      <c r="G147" s="147">
        <f t="shared" si="63"/>
        <v>0</v>
      </c>
      <c r="H147" s="144"/>
      <c r="I147" s="143"/>
      <c r="J147" s="143"/>
      <c r="K147" s="143"/>
      <c r="L147" s="143"/>
      <c r="M147" s="143"/>
      <c r="N147" s="143"/>
      <c r="O147" s="99"/>
      <c r="P147" s="143"/>
      <c r="Q147" s="143"/>
      <c r="R147" s="143"/>
      <c r="S147" s="143"/>
      <c r="T147" s="143"/>
      <c r="U147" s="103">
        <f t="shared" si="64"/>
        <v>0</v>
      </c>
      <c r="V147" s="136"/>
      <c r="W147" s="136"/>
      <c r="X147" s="136"/>
      <c r="Y147" s="99"/>
      <c r="Z147" s="99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03">
        <f t="shared" si="65"/>
        <v>0</v>
      </c>
      <c r="AK147" s="136"/>
      <c r="AL147" s="136"/>
      <c r="AM147" s="136"/>
      <c r="AN147" s="105">
        <f t="shared" si="66"/>
        <v>0</v>
      </c>
      <c r="AO147" s="143"/>
      <c r="AP147" s="143"/>
      <c r="AQ147" s="143"/>
      <c r="AR147" s="143"/>
      <c r="AS147" s="146"/>
      <c r="AT147" s="224">
        <f t="shared" si="67"/>
        <v>0</v>
      </c>
      <c r="AU147" s="1170"/>
      <c r="AV147" s="1133"/>
      <c r="AW147" s="433"/>
      <c r="AX147" s="433"/>
      <c r="AY147" s="433"/>
      <c r="AZ147" s="1168"/>
      <c r="BA147" s="1170"/>
      <c r="BB147" s="274"/>
      <c r="BC147" s="274"/>
      <c r="BD147" s="274"/>
      <c r="BE147" s="274"/>
      <c r="BF147" s="222">
        <f t="shared" si="68"/>
        <v>0</v>
      </c>
      <c r="BG147" s="140">
        <f t="shared" si="69"/>
        <v>0</v>
      </c>
      <c r="BH147" s="132"/>
      <c r="BI147" s="140">
        <f t="shared" si="70"/>
        <v>0</v>
      </c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41"/>
      <c r="BV147" s="141"/>
      <c r="BW147" s="130">
        <f t="shared" si="71"/>
        <v>0</v>
      </c>
      <c r="BX147" s="132"/>
    </row>
    <row r="148" ht="14.25" customHeight="1">
      <c r="A148" s="132"/>
      <c r="B148" s="791">
        <v>46152</v>
      </c>
      <c r="C148" s="133"/>
      <c r="D148" s="136"/>
      <c r="E148" s="135"/>
      <c r="F148" s="135"/>
      <c r="G148" s="147">
        <f t="shared" si="63"/>
        <v>0</v>
      </c>
      <c r="H148" s="144"/>
      <c r="I148" s="143"/>
      <c r="J148" s="143"/>
      <c r="K148" s="143"/>
      <c r="L148" s="143"/>
      <c r="M148" s="143"/>
      <c r="N148" s="143"/>
      <c r="O148" s="99"/>
      <c r="P148" s="143"/>
      <c r="Q148" s="143"/>
      <c r="R148" s="143"/>
      <c r="S148" s="143"/>
      <c r="T148" s="143"/>
      <c r="U148" s="103">
        <f t="shared" si="64"/>
        <v>0</v>
      </c>
      <c r="V148" s="136"/>
      <c r="W148" s="136"/>
      <c r="X148" s="136"/>
      <c r="Y148" s="99"/>
      <c r="Z148" s="99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03">
        <f t="shared" si="65"/>
        <v>0</v>
      </c>
      <c r="AK148" s="136"/>
      <c r="AL148" s="136"/>
      <c r="AM148" s="136"/>
      <c r="AN148" s="105">
        <f t="shared" si="66"/>
        <v>0</v>
      </c>
      <c r="AO148" s="143"/>
      <c r="AP148" s="143"/>
      <c r="AQ148" s="143"/>
      <c r="AR148" s="143"/>
      <c r="AS148" s="146"/>
      <c r="AT148" s="224">
        <f t="shared" si="67"/>
        <v>0</v>
      </c>
      <c r="AU148" s="1170"/>
      <c r="AV148" s="1133"/>
      <c r="AW148" s="433"/>
      <c r="AX148" s="433"/>
      <c r="AY148" s="433"/>
      <c r="AZ148" s="1168"/>
      <c r="BA148" s="1170"/>
      <c r="BB148" s="274"/>
      <c r="BC148" s="274"/>
      <c r="BD148" s="274"/>
      <c r="BE148" s="274"/>
      <c r="BF148" s="222">
        <f t="shared" si="68"/>
        <v>0</v>
      </c>
      <c r="BG148" s="140">
        <f t="shared" si="69"/>
        <v>0</v>
      </c>
      <c r="BH148" s="132"/>
      <c r="BI148" s="140">
        <f t="shared" si="70"/>
        <v>0</v>
      </c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41"/>
      <c r="BV148" s="141"/>
      <c r="BW148" s="130">
        <f t="shared" si="71"/>
        <v>0</v>
      </c>
      <c r="BX148" s="132"/>
    </row>
    <row r="149" ht="14.25" customHeight="1">
      <c r="A149" s="132"/>
      <c r="B149" s="791">
        <v>46153</v>
      </c>
      <c r="C149" s="133"/>
      <c r="D149" s="136"/>
      <c r="E149" s="135"/>
      <c r="F149" s="135"/>
      <c r="G149" s="147">
        <f t="shared" si="63"/>
        <v>0</v>
      </c>
      <c r="H149" s="144"/>
      <c r="I149" s="143"/>
      <c r="J149" s="143"/>
      <c r="K149" s="143"/>
      <c r="L149" s="143"/>
      <c r="M149" s="143"/>
      <c r="N149" s="143"/>
      <c r="O149" s="99"/>
      <c r="P149" s="143"/>
      <c r="Q149" s="143"/>
      <c r="R149" s="143"/>
      <c r="S149" s="143"/>
      <c r="T149" s="143"/>
      <c r="U149" s="103">
        <f t="shared" si="64"/>
        <v>0</v>
      </c>
      <c r="V149" s="136"/>
      <c r="W149" s="136"/>
      <c r="X149" s="136"/>
      <c r="Y149" s="99"/>
      <c r="Z149" s="99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03">
        <f t="shared" si="65"/>
        <v>0</v>
      </c>
      <c r="AK149" s="136"/>
      <c r="AL149" s="136"/>
      <c r="AM149" s="136"/>
      <c r="AN149" s="105">
        <f t="shared" si="66"/>
        <v>0</v>
      </c>
      <c r="AO149" s="143"/>
      <c r="AP149" s="143"/>
      <c r="AQ149" s="143"/>
      <c r="AR149" s="143"/>
      <c r="AS149" s="146"/>
      <c r="AT149" s="224">
        <f t="shared" si="67"/>
        <v>0</v>
      </c>
      <c r="AU149" s="1170"/>
      <c r="AV149" s="1133"/>
      <c r="AW149" s="433"/>
      <c r="AX149" s="433"/>
      <c r="AY149" s="433"/>
      <c r="AZ149" s="1168"/>
      <c r="BA149" s="1170"/>
      <c r="BB149" s="274"/>
      <c r="BC149" s="274"/>
      <c r="BD149" s="274"/>
      <c r="BE149" s="274"/>
      <c r="BF149" s="222">
        <f t="shared" si="68"/>
        <v>0</v>
      </c>
      <c r="BG149" s="140">
        <f t="shared" si="69"/>
        <v>0</v>
      </c>
      <c r="BH149" s="132"/>
      <c r="BI149" s="140">
        <f t="shared" si="70"/>
        <v>0</v>
      </c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41"/>
      <c r="BV149" s="141"/>
      <c r="BW149" s="130">
        <f t="shared" si="71"/>
        <v>0</v>
      </c>
      <c r="BX149" s="132"/>
    </row>
    <row r="150" ht="14.25" customHeight="1">
      <c r="A150" s="132"/>
      <c r="B150" s="791">
        <v>46154</v>
      </c>
      <c r="C150" s="133"/>
      <c r="D150" s="136"/>
      <c r="E150" s="135"/>
      <c r="F150" s="135"/>
      <c r="G150" s="147">
        <f t="shared" si="63"/>
        <v>0</v>
      </c>
      <c r="H150" s="144"/>
      <c r="I150" s="143"/>
      <c r="J150" s="143"/>
      <c r="K150" s="143"/>
      <c r="L150" s="143"/>
      <c r="M150" s="143"/>
      <c r="N150" s="143"/>
      <c r="O150" s="99"/>
      <c r="P150" s="143"/>
      <c r="Q150" s="143"/>
      <c r="R150" s="143"/>
      <c r="S150" s="143"/>
      <c r="T150" s="143"/>
      <c r="U150" s="103">
        <f t="shared" si="64"/>
        <v>0</v>
      </c>
      <c r="V150" s="136"/>
      <c r="W150" s="136"/>
      <c r="X150" s="136"/>
      <c r="Y150" s="99"/>
      <c r="Z150" s="99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03">
        <f t="shared" si="65"/>
        <v>0</v>
      </c>
      <c r="AK150" s="136"/>
      <c r="AL150" s="136"/>
      <c r="AM150" s="136"/>
      <c r="AN150" s="105">
        <f t="shared" si="66"/>
        <v>0</v>
      </c>
      <c r="AO150" s="143"/>
      <c r="AP150" s="143"/>
      <c r="AQ150" s="143"/>
      <c r="AR150" s="143"/>
      <c r="AS150" s="146"/>
      <c r="AT150" s="224">
        <f t="shared" si="67"/>
        <v>0</v>
      </c>
      <c r="AU150" s="1170"/>
      <c r="AV150" s="1133"/>
      <c r="AW150" s="433"/>
      <c r="AX150" s="433"/>
      <c r="AY150" s="433"/>
      <c r="AZ150" s="1168"/>
      <c r="BA150" s="1170"/>
      <c r="BB150" s="274"/>
      <c r="BC150" s="274"/>
      <c r="BD150" s="274"/>
      <c r="BE150" s="274"/>
      <c r="BF150" s="222">
        <f t="shared" si="68"/>
        <v>0</v>
      </c>
      <c r="BG150" s="140">
        <f t="shared" si="69"/>
        <v>0</v>
      </c>
      <c r="BH150" s="132"/>
      <c r="BI150" s="140">
        <f t="shared" si="70"/>
        <v>0</v>
      </c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30">
        <f t="shared" si="71"/>
        <v>0</v>
      </c>
      <c r="BX150" s="132"/>
    </row>
    <row r="151" ht="14.25" customHeight="1">
      <c r="A151" s="132"/>
      <c r="B151" s="791">
        <v>46155</v>
      </c>
      <c r="C151" s="133"/>
      <c r="D151" s="136"/>
      <c r="E151" s="135"/>
      <c r="F151" s="135"/>
      <c r="G151" s="147">
        <f t="shared" si="63"/>
        <v>0</v>
      </c>
      <c r="H151" s="144"/>
      <c r="I151" s="143"/>
      <c r="J151" s="143"/>
      <c r="K151" s="143"/>
      <c r="L151" s="143"/>
      <c r="M151" s="143"/>
      <c r="N151" s="143"/>
      <c r="O151" s="99"/>
      <c r="P151" s="143"/>
      <c r="Q151" s="143"/>
      <c r="R151" s="143"/>
      <c r="S151" s="143"/>
      <c r="T151" s="143"/>
      <c r="U151" s="103">
        <f t="shared" si="64"/>
        <v>0</v>
      </c>
      <c r="V151" s="136"/>
      <c r="W151" s="136"/>
      <c r="X151" s="136"/>
      <c r="Y151" s="99"/>
      <c r="Z151" s="99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03">
        <f t="shared" si="65"/>
        <v>0</v>
      </c>
      <c r="AK151" s="136"/>
      <c r="AL151" s="136"/>
      <c r="AM151" s="136"/>
      <c r="AN151" s="105">
        <f t="shared" si="66"/>
        <v>0</v>
      </c>
      <c r="AO151" s="143"/>
      <c r="AP151" s="143"/>
      <c r="AQ151" s="143"/>
      <c r="AR151" s="143"/>
      <c r="AS151" s="146"/>
      <c r="AT151" s="224">
        <f t="shared" si="67"/>
        <v>0</v>
      </c>
      <c r="AU151" s="1170"/>
      <c r="AV151" s="1133"/>
      <c r="AW151" s="433"/>
      <c r="AX151" s="433"/>
      <c r="AY151" s="433"/>
      <c r="AZ151" s="1168"/>
      <c r="BA151" s="1170"/>
      <c r="BB151" s="274"/>
      <c r="BC151" s="274"/>
      <c r="BD151" s="274"/>
      <c r="BE151" s="274"/>
      <c r="BF151" s="222">
        <f t="shared" si="68"/>
        <v>0</v>
      </c>
      <c r="BG151" s="140">
        <f t="shared" si="69"/>
        <v>0</v>
      </c>
      <c r="BH151" s="132"/>
      <c r="BI151" s="140">
        <f t="shared" si="70"/>
        <v>0</v>
      </c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30">
        <f t="shared" si="71"/>
        <v>0</v>
      </c>
      <c r="BX151" s="132"/>
    </row>
    <row r="152" ht="14.25" customHeight="1">
      <c r="A152" s="132"/>
      <c r="B152" s="791">
        <v>46156</v>
      </c>
      <c r="C152" s="133"/>
      <c r="D152" s="136"/>
      <c r="E152" s="135"/>
      <c r="F152" s="135"/>
      <c r="G152" s="147">
        <f t="shared" si="63"/>
        <v>0</v>
      </c>
      <c r="H152" s="144"/>
      <c r="I152" s="143"/>
      <c r="J152" s="143"/>
      <c r="K152" s="143"/>
      <c r="L152" s="143"/>
      <c r="M152" s="143"/>
      <c r="N152" s="143"/>
      <c r="O152" s="99"/>
      <c r="P152" s="143"/>
      <c r="Q152" s="143"/>
      <c r="R152" s="143"/>
      <c r="S152" s="143"/>
      <c r="T152" s="143"/>
      <c r="U152" s="103">
        <f t="shared" si="64"/>
        <v>0</v>
      </c>
      <c r="V152" s="136"/>
      <c r="W152" s="136"/>
      <c r="X152" s="136"/>
      <c r="Y152" s="99"/>
      <c r="Z152" s="99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03">
        <f t="shared" si="65"/>
        <v>0</v>
      </c>
      <c r="AK152" s="136"/>
      <c r="AL152" s="136"/>
      <c r="AM152" s="136"/>
      <c r="AN152" s="105">
        <f t="shared" si="66"/>
        <v>0</v>
      </c>
      <c r="AO152" s="143"/>
      <c r="AP152" s="143"/>
      <c r="AQ152" s="143"/>
      <c r="AR152" s="143"/>
      <c r="AS152" s="146"/>
      <c r="AT152" s="224">
        <f t="shared" si="67"/>
        <v>0</v>
      </c>
      <c r="AU152" s="1170"/>
      <c r="AV152" s="1133"/>
      <c r="AW152" s="433"/>
      <c r="AX152" s="433"/>
      <c r="AY152" s="433"/>
      <c r="AZ152" s="1168"/>
      <c r="BA152" s="1170"/>
      <c r="BB152" s="274"/>
      <c r="BC152" s="274"/>
      <c r="BD152" s="274"/>
      <c r="BE152" s="274"/>
      <c r="BF152" s="222">
        <f t="shared" si="68"/>
        <v>0</v>
      </c>
      <c r="BG152" s="140">
        <f t="shared" si="69"/>
        <v>0</v>
      </c>
      <c r="BH152" s="132"/>
      <c r="BI152" s="140">
        <f t="shared" si="70"/>
        <v>0</v>
      </c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41"/>
      <c r="BW152" s="130">
        <f t="shared" si="71"/>
        <v>0</v>
      </c>
      <c r="BX152" s="132"/>
    </row>
    <row r="153" ht="14.25" customHeight="1">
      <c r="A153" s="132"/>
      <c r="B153" s="791">
        <v>46157</v>
      </c>
      <c r="C153" s="133"/>
      <c r="D153" s="136"/>
      <c r="E153" s="135"/>
      <c r="F153" s="135"/>
      <c r="G153" s="147">
        <f t="shared" si="63"/>
        <v>0</v>
      </c>
      <c r="H153" s="144"/>
      <c r="I153" s="143"/>
      <c r="J153" s="143"/>
      <c r="K153" s="143"/>
      <c r="L153" s="143"/>
      <c r="M153" s="143"/>
      <c r="N153" s="143"/>
      <c r="O153" s="99"/>
      <c r="P153" s="143"/>
      <c r="Q153" s="143"/>
      <c r="R153" s="143"/>
      <c r="S153" s="143"/>
      <c r="T153" s="143"/>
      <c r="U153" s="103">
        <f t="shared" si="64"/>
        <v>0</v>
      </c>
      <c r="V153" s="136"/>
      <c r="W153" s="136"/>
      <c r="X153" s="136"/>
      <c r="Y153" s="99"/>
      <c r="Z153" s="99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03">
        <f t="shared" si="65"/>
        <v>0</v>
      </c>
      <c r="AK153" s="136"/>
      <c r="AL153" s="136"/>
      <c r="AM153" s="136"/>
      <c r="AN153" s="105">
        <f t="shared" si="66"/>
        <v>0</v>
      </c>
      <c r="AO153" s="143"/>
      <c r="AP153" s="143"/>
      <c r="AQ153" s="143"/>
      <c r="AR153" s="143"/>
      <c r="AS153" s="146"/>
      <c r="AT153" s="224">
        <f t="shared" si="67"/>
        <v>0</v>
      </c>
      <c r="AU153" s="1170"/>
      <c r="AV153" s="1133"/>
      <c r="AW153" s="433"/>
      <c r="AX153" s="433"/>
      <c r="AY153" s="433"/>
      <c r="AZ153" s="1168"/>
      <c r="BA153" s="1170"/>
      <c r="BB153" s="274"/>
      <c r="BC153" s="274"/>
      <c r="BD153" s="274"/>
      <c r="BE153" s="274"/>
      <c r="BF153" s="222">
        <f t="shared" si="68"/>
        <v>0</v>
      </c>
      <c r="BG153" s="140">
        <f t="shared" si="69"/>
        <v>0</v>
      </c>
      <c r="BH153" s="132"/>
      <c r="BI153" s="140">
        <f t="shared" si="70"/>
        <v>0</v>
      </c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41"/>
      <c r="BW153" s="130">
        <f t="shared" si="71"/>
        <v>0</v>
      </c>
      <c r="BX153" s="132"/>
    </row>
    <row r="154" ht="14.25" customHeight="1">
      <c r="A154" s="132"/>
      <c r="B154" s="791">
        <v>46158</v>
      </c>
      <c r="C154" s="133"/>
      <c r="D154" s="136"/>
      <c r="E154" s="135"/>
      <c r="F154" s="135"/>
      <c r="G154" s="147">
        <f t="shared" si="63"/>
        <v>0</v>
      </c>
      <c r="H154" s="144"/>
      <c r="I154" s="143"/>
      <c r="J154" s="143"/>
      <c r="K154" s="143"/>
      <c r="L154" s="143"/>
      <c r="M154" s="143"/>
      <c r="N154" s="143"/>
      <c r="O154" s="99"/>
      <c r="P154" s="143"/>
      <c r="Q154" s="143"/>
      <c r="R154" s="143"/>
      <c r="S154" s="143"/>
      <c r="T154" s="143"/>
      <c r="U154" s="103">
        <f t="shared" si="64"/>
        <v>0</v>
      </c>
      <c r="V154" s="133"/>
      <c r="W154" s="133"/>
      <c r="X154" s="136"/>
      <c r="Y154" s="99"/>
      <c r="Z154" s="99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03">
        <f t="shared" si="65"/>
        <v>0</v>
      </c>
      <c r="AK154" s="136"/>
      <c r="AL154" s="136"/>
      <c r="AM154" s="136"/>
      <c r="AN154" s="105">
        <f t="shared" si="66"/>
        <v>0</v>
      </c>
      <c r="AO154" s="143"/>
      <c r="AP154" s="143"/>
      <c r="AQ154" s="143"/>
      <c r="AR154" s="143"/>
      <c r="AS154" s="146"/>
      <c r="AT154" s="224">
        <f t="shared" si="67"/>
        <v>0</v>
      </c>
      <c r="AU154" s="1170"/>
      <c r="AV154" s="1133"/>
      <c r="AW154" s="433"/>
      <c r="AX154" s="433"/>
      <c r="AY154" s="433"/>
      <c r="AZ154" s="1168"/>
      <c r="BA154" s="1170"/>
      <c r="BB154" s="274"/>
      <c r="BC154" s="274"/>
      <c r="BD154" s="274"/>
      <c r="BE154" s="274"/>
      <c r="BF154" s="222">
        <f t="shared" si="68"/>
        <v>0</v>
      </c>
      <c r="BG154" s="140">
        <f t="shared" si="69"/>
        <v>0</v>
      </c>
      <c r="BH154" s="132"/>
      <c r="BI154" s="140">
        <f t="shared" si="70"/>
        <v>0</v>
      </c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30">
        <f t="shared" si="71"/>
        <v>0</v>
      </c>
      <c r="BX154" s="132"/>
    </row>
    <row r="155" ht="14.25" customHeight="1">
      <c r="A155" s="132"/>
      <c r="B155" s="791">
        <v>46159</v>
      </c>
      <c r="C155" s="133"/>
      <c r="D155" s="136"/>
      <c r="E155" s="135"/>
      <c r="F155" s="135"/>
      <c r="G155" s="147">
        <f t="shared" si="63"/>
        <v>0</v>
      </c>
      <c r="H155" s="144"/>
      <c r="I155" s="143"/>
      <c r="J155" s="143"/>
      <c r="K155" s="143"/>
      <c r="L155" s="143"/>
      <c r="M155" s="143"/>
      <c r="N155" s="143"/>
      <c r="O155" s="99"/>
      <c r="P155" s="143"/>
      <c r="Q155" s="143"/>
      <c r="R155" s="143"/>
      <c r="S155" s="143"/>
      <c r="T155" s="143"/>
      <c r="U155" s="103">
        <f t="shared" si="64"/>
        <v>0</v>
      </c>
      <c r="V155" s="136"/>
      <c r="W155" s="136"/>
      <c r="X155" s="136"/>
      <c r="Y155" s="99"/>
      <c r="Z155" s="99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03">
        <f t="shared" si="65"/>
        <v>0</v>
      </c>
      <c r="AK155" s="136"/>
      <c r="AL155" s="136"/>
      <c r="AM155" s="136"/>
      <c r="AN155" s="105">
        <f t="shared" si="66"/>
        <v>0</v>
      </c>
      <c r="AO155" s="143"/>
      <c r="AP155" s="143"/>
      <c r="AQ155" s="143"/>
      <c r="AR155" s="143"/>
      <c r="AS155" s="146"/>
      <c r="AT155" s="224">
        <f t="shared" si="67"/>
        <v>0</v>
      </c>
      <c r="AU155" s="1170"/>
      <c r="AV155" s="1133"/>
      <c r="AW155" s="433"/>
      <c r="AX155" s="433"/>
      <c r="AY155" s="433"/>
      <c r="AZ155" s="1168"/>
      <c r="BA155" s="1170"/>
      <c r="BB155" s="274"/>
      <c r="BC155" s="274"/>
      <c r="BD155" s="274"/>
      <c r="BE155" s="274"/>
      <c r="BF155" s="222">
        <f t="shared" si="68"/>
        <v>0</v>
      </c>
      <c r="BG155" s="140">
        <f t="shared" si="69"/>
        <v>0</v>
      </c>
      <c r="BH155" s="132"/>
      <c r="BI155" s="140">
        <f t="shared" si="70"/>
        <v>0</v>
      </c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30">
        <f t="shared" si="71"/>
        <v>0</v>
      </c>
      <c r="BX155" s="132"/>
    </row>
    <row r="156" ht="14.25" customHeight="1">
      <c r="A156" s="132"/>
      <c r="B156" s="791">
        <v>46160</v>
      </c>
      <c r="C156" s="133"/>
      <c r="D156" s="136"/>
      <c r="E156" s="135"/>
      <c r="F156" s="135"/>
      <c r="G156" s="147">
        <f t="shared" si="63"/>
        <v>0</v>
      </c>
      <c r="H156" s="144"/>
      <c r="I156" s="143"/>
      <c r="J156" s="143"/>
      <c r="K156" s="143"/>
      <c r="L156" s="143"/>
      <c r="M156" s="143"/>
      <c r="N156" s="143"/>
      <c r="O156" s="99"/>
      <c r="P156" s="143"/>
      <c r="Q156" s="143"/>
      <c r="R156" s="143"/>
      <c r="S156" s="143"/>
      <c r="T156" s="143"/>
      <c r="U156" s="103">
        <f t="shared" si="64"/>
        <v>0</v>
      </c>
      <c r="V156" s="136"/>
      <c r="W156" s="136"/>
      <c r="X156" s="136"/>
      <c r="Y156" s="99"/>
      <c r="Z156" s="99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03">
        <f t="shared" si="65"/>
        <v>0</v>
      </c>
      <c r="AK156" s="136"/>
      <c r="AL156" s="136"/>
      <c r="AM156" s="136"/>
      <c r="AN156" s="105">
        <f t="shared" si="66"/>
        <v>0</v>
      </c>
      <c r="AO156" s="143"/>
      <c r="AP156" s="143"/>
      <c r="AQ156" s="143"/>
      <c r="AR156" s="143"/>
      <c r="AS156" s="146"/>
      <c r="AT156" s="224">
        <f t="shared" si="67"/>
        <v>0</v>
      </c>
      <c r="AU156" s="1170"/>
      <c r="AV156" s="1133"/>
      <c r="AW156" s="433"/>
      <c r="AX156" s="433"/>
      <c r="AY156" s="433"/>
      <c r="AZ156" s="1168"/>
      <c r="BA156" s="1170"/>
      <c r="BB156" s="274"/>
      <c r="BC156" s="274"/>
      <c r="BD156" s="274"/>
      <c r="BE156" s="274"/>
      <c r="BF156" s="222">
        <f t="shared" si="68"/>
        <v>0</v>
      </c>
      <c r="BG156" s="140">
        <f t="shared" si="69"/>
        <v>0</v>
      </c>
      <c r="BH156" s="132"/>
      <c r="BI156" s="140">
        <f t="shared" si="70"/>
        <v>0</v>
      </c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41"/>
      <c r="BW156" s="130">
        <f t="shared" si="71"/>
        <v>0</v>
      </c>
      <c r="BX156" s="132"/>
    </row>
    <row r="157" ht="14.25" customHeight="1">
      <c r="A157" s="132"/>
      <c r="B157" s="791">
        <v>46161</v>
      </c>
      <c r="C157" s="133"/>
      <c r="D157" s="136"/>
      <c r="E157" s="135"/>
      <c r="F157" s="135"/>
      <c r="G157" s="147">
        <f t="shared" si="63"/>
        <v>0</v>
      </c>
      <c r="H157" s="144"/>
      <c r="I157" s="143"/>
      <c r="J157" s="132"/>
      <c r="K157" s="143"/>
      <c r="L157" s="143"/>
      <c r="M157" s="143"/>
      <c r="N157" s="143"/>
      <c r="O157" s="99"/>
      <c r="P157" s="143"/>
      <c r="Q157" s="143"/>
      <c r="R157" s="143"/>
      <c r="S157" s="143"/>
      <c r="T157" s="143"/>
      <c r="U157" s="103">
        <f t="shared" si="64"/>
        <v>0</v>
      </c>
      <c r="V157" s="136"/>
      <c r="W157" s="136"/>
      <c r="X157" s="136"/>
      <c r="Y157" s="99"/>
      <c r="Z157" s="99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03">
        <f t="shared" si="65"/>
        <v>0</v>
      </c>
      <c r="AK157" s="136"/>
      <c r="AL157" s="136"/>
      <c r="AM157" s="136"/>
      <c r="AN157" s="105">
        <f t="shared" si="66"/>
        <v>0</v>
      </c>
      <c r="AO157" s="143"/>
      <c r="AP157" s="143"/>
      <c r="AQ157" s="143"/>
      <c r="AR157" s="143"/>
      <c r="AS157" s="146"/>
      <c r="AT157" s="224">
        <f t="shared" si="67"/>
        <v>0</v>
      </c>
      <c r="AU157" s="1170"/>
      <c r="AV157" s="1133"/>
      <c r="AW157" s="433"/>
      <c r="AX157" s="433"/>
      <c r="AY157" s="433"/>
      <c r="AZ157" s="1168"/>
      <c r="BA157" s="1170"/>
      <c r="BB157" s="274"/>
      <c r="BC157" s="274"/>
      <c r="BD157" s="274"/>
      <c r="BE157" s="274"/>
      <c r="BF157" s="222">
        <f t="shared" si="68"/>
        <v>0</v>
      </c>
      <c r="BG157" s="140">
        <f t="shared" si="69"/>
        <v>0</v>
      </c>
      <c r="BH157" s="132"/>
      <c r="BI157" s="140">
        <f t="shared" si="70"/>
        <v>0</v>
      </c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1"/>
      <c r="BW157" s="130">
        <f t="shared" si="71"/>
        <v>0</v>
      </c>
      <c r="BX157" s="132"/>
    </row>
    <row r="158" ht="14.25" customHeight="1">
      <c r="A158" s="132"/>
      <c r="B158" s="791">
        <v>46162</v>
      </c>
      <c r="C158" s="133"/>
      <c r="D158" s="136"/>
      <c r="E158" s="135"/>
      <c r="F158" s="135"/>
      <c r="G158" s="147">
        <f t="shared" si="63"/>
        <v>0</v>
      </c>
      <c r="H158" s="144"/>
      <c r="I158" s="143"/>
      <c r="J158" s="143"/>
      <c r="K158" s="143"/>
      <c r="L158" s="143"/>
      <c r="M158" s="143"/>
      <c r="N158" s="143"/>
      <c r="O158" s="99"/>
      <c r="P158" s="143"/>
      <c r="Q158" s="143"/>
      <c r="R158" s="143"/>
      <c r="S158" s="143"/>
      <c r="T158" s="143"/>
      <c r="U158" s="103">
        <f t="shared" si="64"/>
        <v>0</v>
      </c>
      <c r="V158" s="136"/>
      <c r="W158" s="136"/>
      <c r="X158" s="136"/>
      <c r="Y158" s="99"/>
      <c r="Z158" s="99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03">
        <f t="shared" si="65"/>
        <v>0</v>
      </c>
      <c r="AK158" s="136"/>
      <c r="AL158" s="136"/>
      <c r="AM158" s="136"/>
      <c r="AN158" s="105">
        <f t="shared" si="66"/>
        <v>0</v>
      </c>
      <c r="AO158" s="143"/>
      <c r="AP158" s="143"/>
      <c r="AQ158" s="143"/>
      <c r="AR158" s="143"/>
      <c r="AS158" s="146"/>
      <c r="AT158" s="224">
        <f t="shared" si="67"/>
        <v>0</v>
      </c>
      <c r="AU158" s="1170"/>
      <c r="AV158" s="1133"/>
      <c r="AW158" s="433"/>
      <c r="AX158" s="433"/>
      <c r="AY158" s="433"/>
      <c r="AZ158" s="1168"/>
      <c r="BA158" s="1170"/>
      <c r="BB158" s="274"/>
      <c r="BC158" s="274"/>
      <c r="BD158" s="274"/>
      <c r="BE158" s="274"/>
      <c r="BF158" s="222">
        <f t="shared" si="68"/>
        <v>0</v>
      </c>
      <c r="BG158" s="140">
        <f t="shared" si="69"/>
        <v>0</v>
      </c>
      <c r="BH158" s="132"/>
      <c r="BI158" s="140">
        <f t="shared" si="70"/>
        <v>0</v>
      </c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30">
        <f t="shared" si="71"/>
        <v>0</v>
      </c>
      <c r="BX158" s="132"/>
    </row>
    <row r="159" ht="14.25" customHeight="1">
      <c r="A159" s="132"/>
      <c r="B159" s="791">
        <v>46163</v>
      </c>
      <c r="C159" s="133"/>
      <c r="D159" s="136"/>
      <c r="E159" s="135"/>
      <c r="F159" s="135"/>
      <c r="G159" s="147">
        <f t="shared" si="63"/>
        <v>0</v>
      </c>
      <c r="H159" s="144"/>
      <c r="I159" s="143"/>
      <c r="J159" s="143"/>
      <c r="K159" s="143"/>
      <c r="L159" s="143"/>
      <c r="M159" s="143"/>
      <c r="N159" s="143"/>
      <c r="O159" s="99"/>
      <c r="P159" s="143"/>
      <c r="Q159" s="143"/>
      <c r="R159" s="143"/>
      <c r="S159" s="143"/>
      <c r="T159" s="143"/>
      <c r="U159" s="103">
        <f t="shared" si="64"/>
        <v>0</v>
      </c>
      <c r="V159" s="136"/>
      <c r="W159" s="136"/>
      <c r="X159" s="136"/>
      <c r="Y159" s="99"/>
      <c r="Z159" s="99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03">
        <f t="shared" si="65"/>
        <v>0</v>
      </c>
      <c r="AK159" s="136"/>
      <c r="AL159" s="136"/>
      <c r="AM159" s="136"/>
      <c r="AN159" s="105">
        <f t="shared" si="66"/>
        <v>0</v>
      </c>
      <c r="AO159" s="143"/>
      <c r="AP159" s="143"/>
      <c r="AQ159" s="143"/>
      <c r="AR159" s="143"/>
      <c r="AS159" s="146"/>
      <c r="AT159" s="224">
        <f t="shared" si="67"/>
        <v>0</v>
      </c>
      <c r="AU159" s="1170"/>
      <c r="AV159" s="1133"/>
      <c r="AW159" s="433"/>
      <c r="AX159" s="433"/>
      <c r="AY159" s="433"/>
      <c r="AZ159" s="1168"/>
      <c r="BA159" s="1170"/>
      <c r="BB159" s="274"/>
      <c r="BC159" s="274"/>
      <c r="BD159" s="274"/>
      <c r="BE159" s="274"/>
      <c r="BF159" s="222">
        <f t="shared" si="68"/>
        <v>0</v>
      </c>
      <c r="BG159" s="140">
        <f t="shared" si="69"/>
        <v>0</v>
      </c>
      <c r="BH159" s="132"/>
      <c r="BI159" s="140">
        <f t="shared" si="70"/>
        <v>0</v>
      </c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41"/>
      <c r="BW159" s="130">
        <f t="shared" si="71"/>
        <v>0</v>
      </c>
      <c r="BX159" s="132"/>
    </row>
    <row r="160" ht="14.25" customHeight="1">
      <c r="A160" s="132"/>
      <c r="B160" s="791">
        <v>46164</v>
      </c>
      <c r="C160" s="133"/>
      <c r="D160" s="136"/>
      <c r="E160" s="135"/>
      <c r="F160" s="135"/>
      <c r="G160" s="147">
        <f t="shared" si="63"/>
        <v>0</v>
      </c>
      <c r="H160" s="144"/>
      <c r="I160" s="143"/>
      <c r="J160" s="143"/>
      <c r="K160" s="143"/>
      <c r="L160" s="143"/>
      <c r="M160" s="143"/>
      <c r="N160" s="143"/>
      <c r="O160" s="99"/>
      <c r="P160" s="143"/>
      <c r="Q160" s="143"/>
      <c r="R160" s="143"/>
      <c r="S160" s="143"/>
      <c r="T160" s="143"/>
      <c r="U160" s="103">
        <f t="shared" si="64"/>
        <v>0</v>
      </c>
      <c r="V160" s="136"/>
      <c r="W160" s="136"/>
      <c r="X160" s="136"/>
      <c r="Y160" s="99"/>
      <c r="Z160" s="99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03">
        <f t="shared" si="65"/>
        <v>0</v>
      </c>
      <c r="AK160" s="136"/>
      <c r="AL160" s="136"/>
      <c r="AM160" s="136"/>
      <c r="AN160" s="105">
        <f t="shared" si="66"/>
        <v>0</v>
      </c>
      <c r="AO160" s="143"/>
      <c r="AP160" s="143"/>
      <c r="AQ160" s="143"/>
      <c r="AR160" s="143"/>
      <c r="AS160" s="146"/>
      <c r="AT160" s="224">
        <f t="shared" si="67"/>
        <v>0</v>
      </c>
      <c r="AU160" s="1170"/>
      <c r="AV160" s="1133"/>
      <c r="AW160" s="433"/>
      <c r="AX160" s="433"/>
      <c r="AY160" s="433"/>
      <c r="AZ160" s="1168"/>
      <c r="BA160" s="1170"/>
      <c r="BB160" s="274"/>
      <c r="BC160" s="274"/>
      <c r="BD160" s="274"/>
      <c r="BE160" s="274"/>
      <c r="BF160" s="222">
        <f t="shared" si="68"/>
        <v>0</v>
      </c>
      <c r="BG160" s="140">
        <f t="shared" si="69"/>
        <v>0</v>
      </c>
      <c r="BH160" s="132"/>
      <c r="BI160" s="140">
        <f t="shared" si="70"/>
        <v>0</v>
      </c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30">
        <f t="shared" si="71"/>
        <v>0</v>
      </c>
      <c r="BX160" s="132"/>
    </row>
    <row r="161" ht="14.25" customHeight="1">
      <c r="A161" s="132"/>
      <c r="B161" s="791">
        <v>46165</v>
      </c>
      <c r="C161" s="133"/>
      <c r="D161" s="136"/>
      <c r="E161" s="135"/>
      <c r="F161" s="135"/>
      <c r="G161" s="147">
        <f t="shared" si="63"/>
        <v>0</v>
      </c>
      <c r="H161" s="144"/>
      <c r="I161" s="143"/>
      <c r="J161" s="143"/>
      <c r="K161" s="143"/>
      <c r="L161" s="143"/>
      <c r="M161" s="143"/>
      <c r="N161" s="143"/>
      <c r="O161" s="99"/>
      <c r="P161" s="143"/>
      <c r="Q161" s="143"/>
      <c r="R161" s="143"/>
      <c r="S161" s="143"/>
      <c r="T161" s="143"/>
      <c r="U161" s="103">
        <f t="shared" si="64"/>
        <v>0</v>
      </c>
      <c r="V161" s="136"/>
      <c r="W161" s="136"/>
      <c r="X161" s="136"/>
      <c r="Y161" s="99"/>
      <c r="Z161" s="99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03">
        <f t="shared" si="65"/>
        <v>0</v>
      </c>
      <c r="AK161" s="136"/>
      <c r="AL161" s="136"/>
      <c r="AM161" s="136"/>
      <c r="AN161" s="105">
        <f t="shared" si="66"/>
        <v>0</v>
      </c>
      <c r="AO161" s="143"/>
      <c r="AP161" s="143"/>
      <c r="AQ161" s="143"/>
      <c r="AR161" s="143"/>
      <c r="AS161" s="146"/>
      <c r="AT161" s="224">
        <f t="shared" si="67"/>
        <v>0</v>
      </c>
      <c r="AU161" s="1170"/>
      <c r="AV161" s="1133"/>
      <c r="AW161" s="433"/>
      <c r="AX161" s="433"/>
      <c r="AY161" s="433"/>
      <c r="AZ161" s="1168"/>
      <c r="BA161" s="1170"/>
      <c r="BB161" s="274"/>
      <c r="BC161" s="274"/>
      <c r="BD161" s="274"/>
      <c r="BE161" s="274"/>
      <c r="BF161" s="222">
        <f t="shared" si="68"/>
        <v>0</v>
      </c>
      <c r="BG161" s="140">
        <f t="shared" si="69"/>
        <v>0</v>
      </c>
      <c r="BH161" s="132"/>
      <c r="BI161" s="140">
        <f t="shared" si="70"/>
        <v>0</v>
      </c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41"/>
      <c r="BW161" s="130">
        <f t="shared" si="71"/>
        <v>0</v>
      </c>
      <c r="BX161" s="132"/>
    </row>
    <row r="162" ht="14.25" customHeight="1">
      <c r="A162" s="132"/>
      <c r="B162" s="791">
        <v>46166</v>
      </c>
      <c r="C162" s="133"/>
      <c r="D162" s="136"/>
      <c r="E162" s="135"/>
      <c r="F162" s="135"/>
      <c r="G162" s="147">
        <f t="shared" si="63"/>
        <v>0</v>
      </c>
      <c r="H162" s="144"/>
      <c r="I162" s="143"/>
      <c r="J162" s="143"/>
      <c r="K162" s="143"/>
      <c r="L162" s="143"/>
      <c r="M162" s="143"/>
      <c r="N162" s="143"/>
      <c r="O162" s="99"/>
      <c r="P162" s="143"/>
      <c r="Q162" s="143"/>
      <c r="R162" s="143"/>
      <c r="S162" s="143"/>
      <c r="T162" s="143"/>
      <c r="U162" s="103">
        <f t="shared" si="64"/>
        <v>0</v>
      </c>
      <c r="V162" s="136"/>
      <c r="W162" s="136"/>
      <c r="X162" s="136"/>
      <c r="Y162" s="99"/>
      <c r="Z162" s="99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03">
        <f t="shared" si="65"/>
        <v>0</v>
      </c>
      <c r="AK162" s="136"/>
      <c r="AL162" s="136"/>
      <c r="AM162" s="136"/>
      <c r="AN162" s="105">
        <f t="shared" si="66"/>
        <v>0</v>
      </c>
      <c r="AO162" s="143"/>
      <c r="AP162" s="143"/>
      <c r="AQ162" s="143"/>
      <c r="AR162" s="143"/>
      <c r="AS162" s="146"/>
      <c r="AT162" s="224">
        <f t="shared" si="67"/>
        <v>0</v>
      </c>
      <c r="AU162" s="1170"/>
      <c r="AV162" s="1133"/>
      <c r="AW162" s="433"/>
      <c r="AX162" s="433"/>
      <c r="AY162" s="433"/>
      <c r="AZ162" s="1168"/>
      <c r="BA162" s="1170"/>
      <c r="BB162" s="274"/>
      <c r="BC162" s="274"/>
      <c r="BD162" s="274"/>
      <c r="BE162" s="274"/>
      <c r="BF162" s="222">
        <f t="shared" si="68"/>
        <v>0</v>
      </c>
      <c r="BG162" s="140">
        <f t="shared" si="69"/>
        <v>0</v>
      </c>
      <c r="BH162" s="132"/>
      <c r="BI162" s="140">
        <f t="shared" si="70"/>
        <v>0</v>
      </c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30">
        <f t="shared" si="71"/>
        <v>0</v>
      </c>
      <c r="BX162" s="132"/>
    </row>
    <row r="163" ht="14.25" customHeight="1">
      <c r="A163" s="132"/>
      <c r="B163" s="791">
        <v>46167</v>
      </c>
      <c r="C163" s="133"/>
      <c r="D163" s="136"/>
      <c r="E163" s="135"/>
      <c r="F163" s="135"/>
      <c r="G163" s="147">
        <f t="shared" si="63"/>
        <v>0</v>
      </c>
      <c r="H163" s="144"/>
      <c r="I163" s="143"/>
      <c r="J163" s="143"/>
      <c r="K163" s="143"/>
      <c r="L163" s="143"/>
      <c r="M163" s="143"/>
      <c r="N163" s="143"/>
      <c r="O163" s="99"/>
      <c r="P163" s="143"/>
      <c r="Q163" s="143"/>
      <c r="R163" s="143"/>
      <c r="S163" s="143"/>
      <c r="T163" s="143"/>
      <c r="U163" s="103">
        <f t="shared" si="64"/>
        <v>0</v>
      </c>
      <c r="V163" s="136"/>
      <c r="W163" s="136"/>
      <c r="X163" s="136"/>
      <c r="Y163" s="99"/>
      <c r="Z163" s="99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03">
        <f t="shared" si="65"/>
        <v>0</v>
      </c>
      <c r="AK163" s="136"/>
      <c r="AL163" s="136"/>
      <c r="AM163" s="136"/>
      <c r="AN163" s="105">
        <f t="shared" si="66"/>
        <v>0</v>
      </c>
      <c r="AO163" s="143"/>
      <c r="AP163" s="143"/>
      <c r="AQ163" s="143"/>
      <c r="AR163" s="143"/>
      <c r="AS163" s="146"/>
      <c r="AT163" s="224">
        <f t="shared" si="67"/>
        <v>0</v>
      </c>
      <c r="AU163" s="1170"/>
      <c r="AV163" s="1133"/>
      <c r="AW163" s="433"/>
      <c r="AX163" s="433"/>
      <c r="AY163" s="433"/>
      <c r="AZ163" s="1168"/>
      <c r="BA163" s="1170"/>
      <c r="BB163" s="274"/>
      <c r="BC163" s="274"/>
      <c r="BD163" s="274"/>
      <c r="BE163" s="274"/>
      <c r="BF163" s="222">
        <f t="shared" si="68"/>
        <v>0</v>
      </c>
      <c r="BG163" s="140">
        <f t="shared" si="69"/>
        <v>0</v>
      </c>
      <c r="BH163" s="132"/>
      <c r="BI163" s="140">
        <f t="shared" si="70"/>
        <v>0</v>
      </c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41"/>
      <c r="BW163" s="130">
        <f t="shared" si="71"/>
        <v>0</v>
      </c>
      <c r="BX163" s="132"/>
    </row>
    <row r="164" ht="14.25" customHeight="1">
      <c r="A164" s="132"/>
      <c r="B164" s="791">
        <v>46168</v>
      </c>
      <c r="C164" s="133"/>
      <c r="D164" s="136"/>
      <c r="E164" s="135"/>
      <c r="F164" s="135"/>
      <c r="G164" s="147">
        <f t="shared" si="63"/>
        <v>0</v>
      </c>
      <c r="H164" s="144"/>
      <c r="I164" s="143"/>
      <c r="J164" s="143"/>
      <c r="K164" s="143"/>
      <c r="L164" s="143"/>
      <c r="M164" s="143"/>
      <c r="N164" s="143"/>
      <c r="O164" s="99"/>
      <c r="P164" s="143"/>
      <c r="Q164" s="143"/>
      <c r="R164" s="143"/>
      <c r="S164" s="143"/>
      <c r="T164" s="143"/>
      <c r="U164" s="103">
        <f t="shared" si="64"/>
        <v>0</v>
      </c>
      <c r="V164" s="136"/>
      <c r="W164" s="136"/>
      <c r="X164" s="136"/>
      <c r="Y164" s="99"/>
      <c r="Z164" s="99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03">
        <f t="shared" si="65"/>
        <v>0</v>
      </c>
      <c r="AK164" s="136"/>
      <c r="AL164" s="136"/>
      <c r="AM164" s="136"/>
      <c r="AN164" s="105">
        <f t="shared" si="66"/>
        <v>0</v>
      </c>
      <c r="AO164" s="143"/>
      <c r="AP164" s="143"/>
      <c r="AQ164" s="143"/>
      <c r="AR164" s="143"/>
      <c r="AS164" s="146"/>
      <c r="AT164" s="224">
        <f t="shared" si="67"/>
        <v>0</v>
      </c>
      <c r="AU164" s="1170"/>
      <c r="AV164" s="1133"/>
      <c r="AW164" s="433"/>
      <c r="AX164" s="433"/>
      <c r="AY164" s="433"/>
      <c r="AZ164" s="1168"/>
      <c r="BA164" s="1170"/>
      <c r="BB164" s="274"/>
      <c r="BC164" s="274"/>
      <c r="BD164" s="274"/>
      <c r="BE164" s="274"/>
      <c r="BF164" s="222">
        <f t="shared" si="68"/>
        <v>0</v>
      </c>
      <c r="BG164" s="140">
        <f t="shared" si="69"/>
        <v>0</v>
      </c>
      <c r="BH164" s="132"/>
      <c r="BI164" s="140">
        <f t="shared" si="70"/>
        <v>0</v>
      </c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41"/>
      <c r="BW164" s="130">
        <f t="shared" si="71"/>
        <v>0</v>
      </c>
      <c r="BX164" s="132"/>
    </row>
    <row r="165" ht="14.25" customHeight="1">
      <c r="A165" s="132"/>
      <c r="B165" s="791">
        <v>46169</v>
      </c>
      <c r="C165" s="133"/>
      <c r="D165" s="136"/>
      <c r="E165" s="135"/>
      <c r="F165" s="135"/>
      <c r="G165" s="147">
        <f t="shared" si="63"/>
        <v>0</v>
      </c>
      <c r="H165" s="144"/>
      <c r="I165" s="143"/>
      <c r="J165" s="143"/>
      <c r="K165" s="143"/>
      <c r="L165" s="143"/>
      <c r="M165" s="143"/>
      <c r="N165" s="143"/>
      <c r="O165" s="99"/>
      <c r="P165" s="143"/>
      <c r="Q165" s="143"/>
      <c r="R165" s="143"/>
      <c r="S165" s="143"/>
      <c r="T165" s="143"/>
      <c r="U165" s="103">
        <f t="shared" si="64"/>
        <v>0</v>
      </c>
      <c r="V165" s="136"/>
      <c r="W165" s="136"/>
      <c r="X165" s="136"/>
      <c r="Y165" s="99"/>
      <c r="Z165" s="99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03">
        <f t="shared" si="65"/>
        <v>0</v>
      </c>
      <c r="AK165" s="136"/>
      <c r="AL165" s="136"/>
      <c r="AM165" s="136"/>
      <c r="AN165" s="105">
        <f t="shared" si="66"/>
        <v>0</v>
      </c>
      <c r="AO165" s="143"/>
      <c r="AP165" s="143"/>
      <c r="AQ165" s="143"/>
      <c r="AR165" s="143"/>
      <c r="AS165" s="146"/>
      <c r="AT165" s="224">
        <f t="shared" si="67"/>
        <v>0</v>
      </c>
      <c r="AU165" s="1170"/>
      <c r="AV165" s="1133"/>
      <c r="AW165" s="433"/>
      <c r="AX165" s="433"/>
      <c r="AY165" s="433"/>
      <c r="AZ165" s="1168"/>
      <c r="BA165" s="1170"/>
      <c r="BB165" s="274"/>
      <c r="BC165" s="274"/>
      <c r="BD165" s="274"/>
      <c r="BE165" s="274"/>
      <c r="BF165" s="222">
        <f t="shared" si="68"/>
        <v>0</v>
      </c>
      <c r="BG165" s="140">
        <f t="shared" si="69"/>
        <v>0</v>
      </c>
      <c r="BH165" s="132"/>
      <c r="BI165" s="140">
        <f t="shared" si="70"/>
        <v>0</v>
      </c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30">
        <f t="shared" si="71"/>
        <v>0</v>
      </c>
      <c r="BX165" s="132"/>
    </row>
    <row r="166" ht="14.25" customHeight="1">
      <c r="A166" s="132"/>
      <c r="B166" s="791">
        <v>46170</v>
      </c>
      <c r="C166" s="133"/>
      <c r="D166" s="136"/>
      <c r="E166" s="135"/>
      <c r="F166" s="135"/>
      <c r="G166" s="147">
        <f t="shared" si="63"/>
        <v>0</v>
      </c>
      <c r="H166" s="144"/>
      <c r="I166" s="143"/>
      <c r="J166" s="143"/>
      <c r="K166" s="143"/>
      <c r="L166" s="143"/>
      <c r="M166" s="143"/>
      <c r="N166" s="143"/>
      <c r="O166" s="99"/>
      <c r="P166" s="143"/>
      <c r="Q166" s="143"/>
      <c r="R166" s="143"/>
      <c r="S166" s="143"/>
      <c r="T166" s="143"/>
      <c r="U166" s="103">
        <f t="shared" si="64"/>
        <v>0</v>
      </c>
      <c r="V166" s="136"/>
      <c r="W166" s="136"/>
      <c r="X166" s="136"/>
      <c r="Y166" s="99"/>
      <c r="Z166" s="99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03">
        <f t="shared" si="65"/>
        <v>0</v>
      </c>
      <c r="AK166" s="136"/>
      <c r="AL166" s="136"/>
      <c r="AM166" s="136"/>
      <c r="AN166" s="105">
        <f t="shared" si="66"/>
        <v>0</v>
      </c>
      <c r="AO166" s="143"/>
      <c r="AP166" s="143"/>
      <c r="AQ166" s="143"/>
      <c r="AR166" s="143"/>
      <c r="AS166" s="146"/>
      <c r="AT166" s="224">
        <f t="shared" si="67"/>
        <v>0</v>
      </c>
      <c r="AU166" s="1170"/>
      <c r="AV166" s="1133"/>
      <c r="AW166" s="433"/>
      <c r="AX166" s="433"/>
      <c r="AY166" s="433"/>
      <c r="AZ166" s="1168"/>
      <c r="BA166" s="1170"/>
      <c r="BB166" s="274"/>
      <c r="BC166" s="274"/>
      <c r="BD166" s="274"/>
      <c r="BE166" s="274"/>
      <c r="BF166" s="222">
        <f t="shared" si="68"/>
        <v>0</v>
      </c>
      <c r="BG166" s="140">
        <f t="shared" si="69"/>
        <v>0</v>
      </c>
      <c r="BH166" s="132"/>
      <c r="BI166" s="140">
        <f t="shared" si="70"/>
        <v>0</v>
      </c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41"/>
      <c r="BW166" s="130">
        <f t="shared" si="71"/>
        <v>0</v>
      </c>
      <c r="BX166" s="132"/>
    </row>
    <row r="167" ht="14.25" customHeight="1">
      <c r="A167" s="132"/>
      <c r="B167" s="791">
        <v>46171</v>
      </c>
      <c r="C167" s="133"/>
      <c r="D167" s="136"/>
      <c r="E167" s="135"/>
      <c r="F167" s="135"/>
      <c r="G167" s="147">
        <f t="shared" si="63"/>
        <v>0</v>
      </c>
      <c r="H167" s="144"/>
      <c r="I167" s="143"/>
      <c r="J167" s="143"/>
      <c r="K167" s="143"/>
      <c r="L167" s="143"/>
      <c r="M167" s="143"/>
      <c r="N167" s="143"/>
      <c r="O167" s="99"/>
      <c r="P167" s="143"/>
      <c r="Q167" s="143"/>
      <c r="R167" s="143"/>
      <c r="S167" s="143"/>
      <c r="T167" s="143"/>
      <c r="U167" s="103">
        <f t="shared" si="64"/>
        <v>0</v>
      </c>
      <c r="V167" s="136"/>
      <c r="W167" s="136"/>
      <c r="X167" s="136"/>
      <c r="Y167" s="99"/>
      <c r="Z167" s="99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03">
        <f t="shared" si="65"/>
        <v>0</v>
      </c>
      <c r="AK167" s="136"/>
      <c r="AL167" s="136"/>
      <c r="AM167" s="136"/>
      <c r="AN167" s="105">
        <f t="shared" si="66"/>
        <v>0</v>
      </c>
      <c r="AO167" s="143"/>
      <c r="AP167" s="143"/>
      <c r="AQ167" s="143"/>
      <c r="AR167" s="143"/>
      <c r="AS167" s="146"/>
      <c r="AT167" s="224">
        <f t="shared" si="67"/>
        <v>0</v>
      </c>
      <c r="AU167" s="1170"/>
      <c r="AV167" s="1133"/>
      <c r="AW167" s="433"/>
      <c r="AX167" s="433"/>
      <c r="AY167" s="433"/>
      <c r="AZ167" s="1168"/>
      <c r="BA167" s="1170"/>
      <c r="BB167" s="274"/>
      <c r="BC167" s="274"/>
      <c r="BD167" s="274"/>
      <c r="BE167" s="274"/>
      <c r="BF167" s="222">
        <f t="shared" si="68"/>
        <v>0</v>
      </c>
      <c r="BG167" s="140">
        <f t="shared" si="69"/>
        <v>0</v>
      </c>
      <c r="BH167" s="132"/>
      <c r="BI167" s="140">
        <f t="shared" si="70"/>
        <v>0</v>
      </c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41"/>
      <c r="BW167" s="130">
        <f t="shared" si="71"/>
        <v>0</v>
      </c>
      <c r="BX167" s="132"/>
    </row>
    <row r="168" ht="14.25" customHeight="1">
      <c r="A168" s="132"/>
      <c r="B168" s="791">
        <v>46172</v>
      </c>
      <c r="C168" s="133"/>
      <c r="D168" s="136"/>
      <c r="E168" s="135"/>
      <c r="F168" s="135"/>
      <c r="G168" s="147">
        <f t="shared" si="63"/>
        <v>0</v>
      </c>
      <c r="H168" s="144"/>
      <c r="I168" s="143"/>
      <c r="J168" s="143"/>
      <c r="K168" s="143"/>
      <c r="L168" s="143"/>
      <c r="M168" s="143"/>
      <c r="N168" s="143"/>
      <c r="O168" s="99"/>
      <c r="P168" s="143"/>
      <c r="Q168" s="143"/>
      <c r="R168" s="143"/>
      <c r="S168" s="143"/>
      <c r="T168" s="143"/>
      <c r="U168" s="103">
        <f t="shared" si="64"/>
        <v>0</v>
      </c>
      <c r="V168" s="136"/>
      <c r="W168" s="136"/>
      <c r="X168" s="136"/>
      <c r="Y168" s="99"/>
      <c r="Z168" s="99"/>
      <c r="AA168" s="143"/>
      <c r="AB168" s="143"/>
      <c r="AC168" s="143"/>
      <c r="AD168" s="143"/>
      <c r="AE168" s="143"/>
      <c r="AF168" s="143"/>
      <c r="AG168" s="143"/>
      <c r="AH168" s="143"/>
      <c r="AI168" s="143"/>
      <c r="AJ168" s="103">
        <f t="shared" si="65"/>
        <v>0</v>
      </c>
      <c r="AK168" s="136"/>
      <c r="AL168" s="136"/>
      <c r="AM168" s="136"/>
      <c r="AN168" s="105">
        <f t="shared" si="66"/>
        <v>0</v>
      </c>
      <c r="AO168" s="143"/>
      <c r="AP168" s="143"/>
      <c r="AQ168" s="143"/>
      <c r="AR168" s="143"/>
      <c r="AS168" s="146"/>
      <c r="AT168" s="224">
        <f t="shared" si="67"/>
        <v>0</v>
      </c>
      <c r="AU168" s="1170"/>
      <c r="AV168" s="1133"/>
      <c r="AW168" s="433"/>
      <c r="AX168" s="433"/>
      <c r="AY168" s="433"/>
      <c r="AZ168" s="1168"/>
      <c r="BA168" s="1170"/>
      <c r="BB168" s="274"/>
      <c r="BC168" s="274"/>
      <c r="BD168" s="274"/>
      <c r="BE168" s="274"/>
      <c r="BF168" s="222">
        <f t="shared" si="68"/>
        <v>0</v>
      </c>
      <c r="BG168" s="140">
        <f t="shared" si="69"/>
        <v>0</v>
      </c>
      <c r="BH168" s="132"/>
      <c r="BI168" s="140">
        <f t="shared" si="70"/>
        <v>0</v>
      </c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41"/>
      <c r="BU168" s="141"/>
      <c r="BV168" s="141"/>
      <c r="BW168" s="130">
        <f t="shared" si="71"/>
        <v>0</v>
      </c>
      <c r="BX168" s="132"/>
    </row>
    <row r="169" ht="14.25" customHeight="1">
      <c r="A169" s="132"/>
      <c r="B169" s="791">
        <v>46173</v>
      </c>
      <c r="C169" s="153"/>
      <c r="D169" s="159"/>
      <c r="E169" s="156"/>
      <c r="F169" s="156"/>
      <c r="G169" s="147">
        <f t="shared" si="63"/>
        <v>0</v>
      </c>
      <c r="H169" s="612"/>
      <c r="I169" s="157"/>
      <c r="J169" s="157"/>
      <c r="K169" s="157"/>
      <c r="L169" s="157"/>
      <c r="M169" s="157"/>
      <c r="N169" s="157"/>
      <c r="O169" s="657"/>
      <c r="P169" s="157"/>
      <c r="Q169" s="157"/>
      <c r="R169" s="157"/>
      <c r="S169" s="157"/>
      <c r="T169" s="157"/>
      <c r="U169" s="103">
        <f t="shared" si="64"/>
        <v>0</v>
      </c>
      <c r="V169" s="136"/>
      <c r="W169" s="136"/>
      <c r="X169" s="136"/>
      <c r="Y169" s="99"/>
      <c r="Z169" s="657"/>
      <c r="AA169" s="157"/>
      <c r="AB169" s="157"/>
      <c r="AC169" s="157"/>
      <c r="AD169" s="157"/>
      <c r="AE169" s="157"/>
      <c r="AF169" s="157"/>
      <c r="AG169" s="157"/>
      <c r="AH169" s="157"/>
      <c r="AI169" s="157"/>
      <c r="AJ169" s="103">
        <f t="shared" si="65"/>
        <v>0</v>
      </c>
      <c r="AK169" s="159"/>
      <c r="AL169" s="159"/>
      <c r="AM169" s="159"/>
      <c r="AN169" s="624">
        <f t="shared" si="66"/>
        <v>0</v>
      </c>
      <c r="AO169" s="157"/>
      <c r="AP169" s="157"/>
      <c r="AQ169" s="157"/>
      <c r="AR169" s="157"/>
      <c r="AS169" s="160"/>
      <c r="AT169" s="1171">
        <f t="shared" si="67"/>
        <v>0</v>
      </c>
      <c r="AU169" s="1172"/>
      <c r="AV169" s="1134"/>
      <c r="AW169" s="435"/>
      <c r="AX169" s="435"/>
      <c r="AY169" s="433"/>
      <c r="AZ169" s="1168"/>
      <c r="BA169" s="1172"/>
      <c r="BB169" s="296"/>
      <c r="BC169" s="296"/>
      <c r="BD169" s="296"/>
      <c r="BE169" s="296"/>
      <c r="BF169" s="626">
        <f t="shared" si="68"/>
        <v>0</v>
      </c>
      <c r="BG169" s="162">
        <f t="shared" si="69"/>
        <v>0</v>
      </c>
      <c r="BH169" s="132"/>
      <c r="BI169" s="140">
        <f t="shared" si="70"/>
        <v>0</v>
      </c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30">
        <f t="shared" si="71"/>
        <v>0</v>
      </c>
      <c r="BX169" s="132"/>
    </row>
    <row r="170" ht="14.25" customHeight="1">
      <c r="A170" s="3"/>
      <c r="B170" s="2"/>
      <c r="C170" s="165">
        <f ref="C170:K170" t="shared" si="72">SUM(C139:C169)</f>
        <v>0</v>
      </c>
      <c r="D170" s="165">
        <f t="shared" si="72"/>
        <v>0</v>
      </c>
      <c r="E170" s="165">
        <f t="shared" si="72"/>
        <v>0</v>
      </c>
      <c r="F170" s="165">
        <f t="shared" si="72"/>
        <v>0</v>
      </c>
      <c r="G170" s="166">
        <f t="shared" si="72"/>
        <v>0</v>
      </c>
      <c r="H170" s="165">
        <f t="shared" si="72"/>
        <v>0</v>
      </c>
      <c r="I170" s="165">
        <f t="shared" si="72"/>
        <v>0</v>
      </c>
      <c r="J170" s="165">
        <f t="shared" si="72"/>
        <v>0</v>
      </c>
      <c r="K170" s="165">
        <f t="shared" si="72"/>
        <v>0</v>
      </c>
      <c r="L170" s="165"/>
      <c r="M170" s="165">
        <f ref="M170:AJ170" t="shared" si="73">SUM(M139:M169)</f>
        <v>0</v>
      </c>
      <c r="N170" s="165">
        <f t="shared" si="73"/>
        <v>0</v>
      </c>
      <c r="O170" s="165">
        <f t="shared" si="73"/>
        <v>0</v>
      </c>
      <c r="P170" s="165">
        <f t="shared" si="73"/>
        <v>0</v>
      </c>
      <c r="Q170" s="165">
        <f t="shared" si="73"/>
        <v>0</v>
      </c>
      <c r="R170" s="165">
        <f t="shared" si="73"/>
        <v>0</v>
      </c>
      <c r="S170" s="165">
        <f t="shared" si="73"/>
        <v>0</v>
      </c>
      <c r="T170" s="165">
        <f t="shared" si="73"/>
        <v>0</v>
      </c>
      <c r="U170" s="166">
        <f t="shared" si="73"/>
        <v>0</v>
      </c>
      <c r="V170" s="165">
        <f t="shared" si="73"/>
        <v>0</v>
      </c>
      <c r="W170" s="165">
        <f t="shared" si="73"/>
        <v>0</v>
      </c>
      <c r="X170" s="165">
        <f t="shared" si="73"/>
        <v>0</v>
      </c>
      <c r="Y170" s="165">
        <f t="shared" si="73"/>
        <v>0</v>
      </c>
      <c r="Z170" s="165">
        <f t="shared" si="73"/>
        <v>0</v>
      </c>
      <c r="AA170" s="165">
        <f t="shared" si="73"/>
        <v>0</v>
      </c>
      <c r="AB170" s="165">
        <f t="shared" si="73"/>
        <v>0</v>
      </c>
      <c r="AC170" s="165">
        <f t="shared" si="73"/>
        <v>0</v>
      </c>
      <c r="AD170" s="165">
        <f t="shared" si="73"/>
        <v>0</v>
      </c>
      <c r="AE170" s="165">
        <f t="shared" si="73"/>
        <v>0</v>
      </c>
      <c r="AF170" s="165">
        <f t="shared" si="73"/>
        <v>0</v>
      </c>
      <c r="AG170" s="165">
        <f t="shared" si="73"/>
        <v>0</v>
      </c>
      <c r="AH170" s="165">
        <f t="shared" si="73"/>
        <v>0</v>
      </c>
      <c r="AI170" s="165">
        <f t="shared" si="73"/>
        <v>0</v>
      </c>
      <c r="AJ170" s="165">
        <f t="shared" si="73"/>
        <v>0</v>
      </c>
      <c r="AK170" s="165">
        <f ref="AK170:AM170" t="shared" si="74">SUM(AK163:AK169)</f>
        <v>0</v>
      </c>
      <c r="AL170" s="165">
        <f t="shared" si="74"/>
        <v>0</v>
      </c>
      <c r="AM170" s="165">
        <f t="shared" si="74"/>
        <v>0</v>
      </c>
      <c r="AN170" s="165">
        <f>SUM(AN139:AN169)</f>
        <v>0</v>
      </c>
      <c r="AO170" s="165">
        <f ref="AO170:AP170" t="shared" si="75">SUM(AO163:AO169)</f>
        <v>0</v>
      </c>
      <c r="AP170" s="165">
        <f t="shared" si="75"/>
        <v>0</v>
      </c>
      <c r="AQ170" s="165">
        <f ref="AQ170:BG170" t="shared" si="76">SUM(AQ139:AQ169)</f>
        <v>0</v>
      </c>
      <c r="AR170" s="165">
        <f t="shared" si="76"/>
        <v>0</v>
      </c>
      <c r="AS170" s="165">
        <f t="shared" si="76"/>
        <v>0</v>
      </c>
      <c r="AT170" s="165">
        <f t="shared" si="76"/>
        <v>0</v>
      </c>
      <c r="AU170" s="165">
        <f t="shared" si="76"/>
        <v>0</v>
      </c>
      <c r="AV170" s="165">
        <f t="shared" si="76"/>
        <v>0</v>
      </c>
      <c r="AW170" s="165">
        <f t="shared" si="76"/>
        <v>0</v>
      </c>
      <c r="AX170" s="165">
        <f t="shared" si="76"/>
        <v>0</v>
      </c>
      <c r="AY170" s="165">
        <f t="shared" si="76"/>
        <v>0</v>
      </c>
      <c r="AZ170" s="165">
        <f t="shared" si="76"/>
        <v>0</v>
      </c>
      <c r="BA170" s="165">
        <f t="shared" si="76"/>
        <v>0</v>
      </c>
      <c r="BB170" s="165">
        <f t="shared" si="76"/>
        <v>0</v>
      </c>
      <c r="BC170" s="165">
        <f t="shared" si="76"/>
        <v>0</v>
      </c>
      <c r="BD170" s="165">
        <f t="shared" si="76"/>
        <v>0</v>
      </c>
      <c r="BE170" s="165">
        <f t="shared" si="76"/>
        <v>0</v>
      </c>
      <c r="BF170" s="165">
        <f t="shared" si="76"/>
        <v>0</v>
      </c>
      <c r="BG170" s="165">
        <f t="shared" si="76"/>
        <v>0</v>
      </c>
      <c r="BH170" s="3"/>
      <c r="BI170" s="172">
        <f>SUM(BI139:BI169)</f>
        <v>0</v>
      </c>
      <c r="BJ170" s="166"/>
      <c r="BK170" s="166"/>
      <c r="BL170" s="166"/>
      <c r="BM170" s="166"/>
      <c r="BN170" s="166"/>
      <c r="BO170" s="166"/>
      <c r="BP170" s="166"/>
      <c r="BQ170" s="166"/>
      <c r="BR170" s="166"/>
      <c r="BS170" s="166">
        <f ref="BS170:BW170" t="shared" si="77">SUM(BS139:BS169)</f>
        <v>0</v>
      </c>
      <c r="BT170" s="166">
        <f t="shared" si="77"/>
        <v>0</v>
      </c>
      <c r="BU170" s="166">
        <f t="shared" si="77"/>
        <v>0</v>
      </c>
      <c r="BV170" s="166">
        <f t="shared" si="77"/>
        <v>0</v>
      </c>
      <c r="BW170" s="1173">
        <f t="shared" si="77"/>
        <v>0</v>
      </c>
      <c r="BX170" s="3"/>
    </row>
    <row r="171" ht="14.25" customHeight="1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4"/>
      <c r="AO171" s="3"/>
      <c r="AP171" s="3"/>
      <c r="AQ171" s="3"/>
      <c r="AR171" s="3"/>
      <c r="AS171" s="3"/>
      <c r="AT171" s="4"/>
      <c r="AU171" s="380"/>
      <c r="AV171" s="380"/>
      <c r="AW171" s="380"/>
      <c r="AX171" s="380"/>
      <c r="AY171" s="380"/>
      <c r="AZ171" s="380"/>
      <c r="BA171" s="380"/>
      <c r="BB171" s="132"/>
      <c r="BC171" s="132"/>
      <c r="BD171" s="132"/>
      <c r="BE171" s="132"/>
      <c r="BF171" s="4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176"/>
      <c r="AK172" s="3"/>
      <c r="AL172" s="3"/>
      <c r="AM172" s="3"/>
      <c r="AN172" s="4"/>
      <c r="AO172" s="3"/>
      <c r="AP172" s="3"/>
      <c r="AQ172" s="3"/>
      <c r="AR172" s="3"/>
      <c r="AS172" s="3"/>
      <c r="AT172" s="177"/>
      <c r="AU172" s="790"/>
      <c r="AV172" s="1174"/>
      <c r="AW172" s="1174"/>
      <c r="AX172" s="1174"/>
      <c r="AY172" s="1174"/>
      <c r="AZ172" s="1174"/>
      <c r="BA172" s="790"/>
      <c r="BB172" s="4"/>
      <c r="BC172" s="4"/>
      <c r="BD172" s="4"/>
      <c r="BE172" s="132"/>
      <c r="BF172" s="177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</row>
    <row r="173" ht="14.25" customHeight="1">
      <c r="A173" s="3"/>
      <c r="B173" s="512">
        <v>46174</v>
      </c>
      <c r="C173" s="94"/>
      <c r="D173" s="104"/>
      <c r="E173" s="97"/>
      <c r="F173" s="97"/>
      <c r="G173" s="265">
        <f ref="G173:G202" t="shared" si="78">+C173+D173+E173+F173</f>
        <v>0</v>
      </c>
      <c r="H173" s="187"/>
      <c r="I173" s="186"/>
      <c r="J173" s="186"/>
      <c r="K173" s="186"/>
      <c r="L173" s="186"/>
      <c r="M173" s="186"/>
      <c r="N173" s="186"/>
      <c r="O173" s="101"/>
      <c r="P173" s="186"/>
      <c r="Q173" s="186"/>
      <c r="R173" s="186"/>
      <c r="S173" s="186"/>
      <c r="T173" s="186"/>
      <c r="U173" s="103">
        <f ref="U173:U202" t="shared" si="79">SUM(H173:T173)</f>
        <v>0</v>
      </c>
      <c r="V173" s="1156"/>
      <c r="W173" s="1156"/>
      <c r="X173" s="1156"/>
      <c r="Y173" s="101"/>
      <c r="Z173" s="101"/>
      <c r="AA173" s="186"/>
      <c r="AB173" s="186"/>
      <c r="AC173" s="186"/>
      <c r="AD173" s="186"/>
      <c r="AE173" s="186"/>
      <c r="AF173" s="186"/>
      <c r="AG173" s="186"/>
      <c r="AH173" s="186"/>
      <c r="AI173" s="186"/>
      <c r="AJ173" s="103">
        <f ref="AJ173:AJ202" t="shared" si="80">SUM(V173:AI173)</f>
        <v>0</v>
      </c>
      <c r="AK173" s="104"/>
      <c r="AL173" s="104"/>
      <c r="AM173" s="104"/>
      <c r="AN173" s="191">
        <f ref="AN173:AN202" t="shared" si="81">SUM(AK173:AM173)</f>
        <v>0</v>
      </c>
      <c r="AO173" s="186"/>
      <c r="AP173" s="186"/>
      <c r="AQ173" s="186"/>
      <c r="AR173" s="186"/>
      <c r="AS173" s="193"/>
      <c r="AT173" s="224">
        <f ref="AT173:AT177" t="shared" si="82">+G173-U173-AJ173-AN173-AO173-AQ173-AR173-AS173</f>
        <v>0</v>
      </c>
      <c r="AU173" s="427"/>
      <c r="AV173" s="427"/>
      <c r="AW173" s="427"/>
      <c r="AX173" s="427"/>
      <c r="AY173" s="427"/>
      <c r="AZ173" s="428"/>
      <c r="BA173" s="427"/>
      <c r="BB173" s="127"/>
      <c r="BC173" s="127"/>
      <c r="BD173" s="127"/>
      <c r="BE173" s="109"/>
      <c r="BF173" s="222">
        <f ref="BF173:BF202" t="shared" si="83">SUM(AU173:BE173)-BD173</f>
        <v>0</v>
      </c>
      <c r="BG173" s="114">
        <f ref="BG173:BG202" t="shared" si="84">+AT173-BF173</f>
        <v>0</v>
      </c>
      <c r="BH173" s="3"/>
      <c r="BI173" s="114">
        <f ref="BI173:BI202" t="shared" si="85">SUM(BJ173:BV173)</f>
        <v>0</v>
      </c>
      <c r="BJ173" s="115"/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116">
        <f ref="BW173:BW202" t="shared" si="86">+BG173-BI173</f>
        <v>0</v>
      </c>
      <c r="BX173" s="3"/>
    </row>
    <row r="174" ht="14.25" customHeight="1">
      <c r="A174" s="3"/>
      <c r="B174" s="512">
        <v>46175</v>
      </c>
      <c r="C174" s="118"/>
      <c r="D174" s="123"/>
      <c r="E174" s="120"/>
      <c r="F174" s="120"/>
      <c r="G174" s="147">
        <f t="shared" si="78"/>
        <v>0</v>
      </c>
      <c r="H174" s="144"/>
      <c r="I174" s="143"/>
      <c r="J174" s="143"/>
      <c r="K174" s="143"/>
      <c r="L174" s="143"/>
      <c r="M174" s="143"/>
      <c r="N174" s="143"/>
      <c r="O174" s="99"/>
      <c r="P174" s="143"/>
      <c r="Q174" s="143"/>
      <c r="R174" s="143"/>
      <c r="S174" s="143"/>
      <c r="T174" s="143"/>
      <c r="U174" s="103">
        <f t="shared" si="79"/>
        <v>0</v>
      </c>
      <c r="V174" s="136"/>
      <c r="W174" s="136"/>
      <c r="X174" s="821"/>
      <c r="Y174" s="99"/>
      <c r="Z174" s="99"/>
      <c r="AA174" s="143"/>
      <c r="AB174" s="143"/>
      <c r="AC174" s="143"/>
      <c r="AD174" s="143"/>
      <c r="AE174" s="143"/>
      <c r="AF174" s="143"/>
      <c r="AG174" s="143"/>
      <c r="AH174" s="143"/>
      <c r="AI174" s="143"/>
      <c r="AJ174" s="103">
        <f t="shared" si="80"/>
        <v>0</v>
      </c>
      <c r="AK174" s="123"/>
      <c r="AL174" s="123"/>
      <c r="AM174" s="123"/>
      <c r="AN174" s="105">
        <f t="shared" si="81"/>
        <v>0</v>
      </c>
      <c r="AO174" s="143"/>
      <c r="AP174" s="143"/>
      <c r="AQ174" s="143"/>
      <c r="AR174" s="143"/>
      <c r="AS174" s="146"/>
      <c r="AT174" s="224">
        <f t="shared" si="82"/>
        <v>0</v>
      </c>
      <c r="AU174" s="433"/>
      <c r="AV174" s="433"/>
      <c r="AW174" s="433"/>
      <c r="AX174" s="433"/>
      <c r="AY174" s="433"/>
      <c r="AZ174" s="428"/>
      <c r="BA174" s="433"/>
      <c r="BB174" s="127"/>
      <c r="BC174" s="127"/>
      <c r="BD174" s="127"/>
      <c r="BE174" s="126"/>
      <c r="BF174" s="222">
        <f t="shared" si="83"/>
        <v>0</v>
      </c>
      <c r="BG174" s="113">
        <f t="shared" si="84"/>
        <v>0</v>
      </c>
      <c r="BH174" s="3"/>
      <c r="BI174" s="113">
        <f t="shared" si="85"/>
        <v>0</v>
      </c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30">
        <f t="shared" si="86"/>
        <v>0</v>
      </c>
      <c r="BX174" s="3"/>
    </row>
    <row r="175" ht="14.25" customHeight="1">
      <c r="A175" s="3"/>
      <c r="B175" s="512">
        <v>46176</v>
      </c>
      <c r="C175" s="118"/>
      <c r="D175" s="123"/>
      <c r="E175" s="120"/>
      <c r="F175" s="120"/>
      <c r="G175" s="147">
        <f t="shared" si="78"/>
        <v>0</v>
      </c>
      <c r="H175" s="144"/>
      <c r="I175" s="143"/>
      <c r="J175" s="804"/>
      <c r="K175" s="143"/>
      <c r="L175" s="143"/>
      <c r="M175" s="143"/>
      <c r="N175" s="143"/>
      <c r="O175" s="99"/>
      <c r="P175" s="143"/>
      <c r="Q175" s="143"/>
      <c r="R175" s="143"/>
      <c r="S175" s="143"/>
      <c r="T175" s="143"/>
      <c r="U175" s="103">
        <f t="shared" si="79"/>
        <v>0</v>
      </c>
      <c r="V175" s="820"/>
      <c r="W175" s="820"/>
      <c r="X175" s="821"/>
      <c r="Y175" s="99"/>
      <c r="Z175" s="99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03">
        <f t="shared" si="80"/>
        <v>0</v>
      </c>
      <c r="AK175" s="123"/>
      <c r="AL175" s="123"/>
      <c r="AM175" s="123"/>
      <c r="AN175" s="105">
        <f t="shared" si="81"/>
        <v>0</v>
      </c>
      <c r="AO175" s="143"/>
      <c r="AP175" s="143"/>
      <c r="AQ175" s="143"/>
      <c r="AR175" s="143"/>
      <c r="AS175" s="146"/>
      <c r="AT175" s="224">
        <f t="shared" si="82"/>
        <v>0</v>
      </c>
      <c r="AU175" s="433"/>
      <c r="AV175" s="433"/>
      <c r="AW175" s="1175"/>
      <c r="AX175" s="433"/>
      <c r="AY175" s="1176"/>
      <c r="AZ175" s="428"/>
      <c r="BA175" s="433"/>
      <c r="BB175" s="127"/>
      <c r="BC175" s="127"/>
      <c r="BD175" s="127"/>
      <c r="BE175" s="126"/>
      <c r="BF175" s="222">
        <f t="shared" si="83"/>
        <v>0</v>
      </c>
      <c r="BG175" s="113">
        <f t="shared" si="84"/>
        <v>0</v>
      </c>
      <c r="BH175" s="3"/>
      <c r="BI175" s="113">
        <f t="shared" si="85"/>
        <v>0</v>
      </c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30">
        <f t="shared" si="86"/>
        <v>0</v>
      </c>
      <c r="BX175" s="3"/>
    </row>
    <row r="176" ht="14.25" customHeight="1">
      <c r="A176" s="132"/>
      <c r="B176" s="512">
        <v>46177</v>
      </c>
      <c r="C176" s="133"/>
      <c r="D176" s="136"/>
      <c r="E176" s="135"/>
      <c r="F176" s="135"/>
      <c r="G176" s="147">
        <f t="shared" si="78"/>
        <v>0</v>
      </c>
      <c r="H176" s="144"/>
      <c r="I176" s="143"/>
      <c r="J176" s="143"/>
      <c r="K176" s="143"/>
      <c r="L176" s="143"/>
      <c r="M176" s="143"/>
      <c r="N176" s="143"/>
      <c r="O176" s="99"/>
      <c r="P176" s="143"/>
      <c r="Q176" s="143"/>
      <c r="R176" s="143"/>
      <c r="S176" s="143"/>
      <c r="T176" s="143"/>
      <c r="U176" s="103">
        <f t="shared" si="79"/>
        <v>0</v>
      </c>
      <c r="V176" s="133"/>
      <c r="W176" s="133"/>
      <c r="X176" s="136"/>
      <c r="Y176" s="99"/>
      <c r="Z176" s="99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03">
        <f t="shared" si="80"/>
        <v>0</v>
      </c>
      <c r="AK176" s="136"/>
      <c r="AL176" s="136"/>
      <c r="AM176" s="136"/>
      <c r="AN176" s="105">
        <f t="shared" si="81"/>
        <v>0</v>
      </c>
      <c r="AO176" s="143"/>
      <c r="AP176" s="143"/>
      <c r="AQ176" s="143"/>
      <c r="AR176" s="143"/>
      <c r="AS176" s="146"/>
      <c r="AT176" s="224">
        <f t="shared" si="82"/>
        <v>0</v>
      </c>
      <c r="AU176" s="433"/>
      <c r="AV176" s="433"/>
      <c r="AW176" s="433"/>
      <c r="AX176" s="433"/>
      <c r="AY176" s="433"/>
      <c r="AZ176" s="428"/>
      <c r="BA176" s="433"/>
      <c r="BB176" s="127"/>
      <c r="BC176" s="127"/>
      <c r="BD176" s="127"/>
      <c r="BE176" s="126"/>
      <c r="BF176" s="222">
        <f t="shared" si="83"/>
        <v>0</v>
      </c>
      <c r="BG176" s="140">
        <f t="shared" si="84"/>
        <v>0</v>
      </c>
      <c r="BH176" s="132"/>
      <c r="BI176" s="140">
        <f t="shared" si="85"/>
        <v>0</v>
      </c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41"/>
      <c r="BW176" s="130">
        <f t="shared" si="86"/>
        <v>0</v>
      </c>
      <c r="BX176" s="132"/>
    </row>
    <row r="177" ht="14.25" customHeight="1">
      <c r="A177" s="132"/>
      <c r="B177" s="512">
        <v>46178</v>
      </c>
      <c r="C177" s="133"/>
      <c r="D177" s="136"/>
      <c r="E177" s="135"/>
      <c r="F177" s="135"/>
      <c r="G177" s="147">
        <f t="shared" si="78"/>
        <v>0</v>
      </c>
      <c r="H177" s="144"/>
      <c r="I177" s="143"/>
      <c r="J177" s="143"/>
      <c r="K177" s="143"/>
      <c r="L177" s="143"/>
      <c r="M177" s="143"/>
      <c r="N177" s="143"/>
      <c r="O177" s="99"/>
      <c r="P177" s="143"/>
      <c r="Q177" s="143"/>
      <c r="R177" s="143"/>
      <c r="S177" s="143"/>
      <c r="T177" s="143"/>
      <c r="U177" s="103">
        <f t="shared" si="79"/>
        <v>0</v>
      </c>
      <c r="V177" s="136"/>
      <c r="W177" s="133"/>
      <c r="X177" s="133"/>
      <c r="Y177" s="122"/>
      <c r="Z177" s="99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03">
        <f t="shared" si="80"/>
        <v>0</v>
      </c>
      <c r="AK177" s="136"/>
      <c r="AL177" s="136"/>
      <c r="AM177" s="136"/>
      <c r="AN177" s="105">
        <f t="shared" si="81"/>
        <v>0</v>
      </c>
      <c r="AO177" s="143"/>
      <c r="AP177" s="143"/>
      <c r="AQ177" s="143"/>
      <c r="AR177" s="143"/>
      <c r="AS177" s="146"/>
      <c r="AT177" s="224">
        <f t="shared" si="82"/>
        <v>0</v>
      </c>
      <c r="AU177" s="433"/>
      <c r="AV177" s="433"/>
      <c r="AW177" s="433"/>
      <c r="AX177" s="433"/>
      <c r="AY177" s="433"/>
      <c r="AZ177" s="428"/>
      <c r="BA177" s="433"/>
      <c r="BB177" s="127"/>
      <c r="BC177" s="127"/>
      <c r="BD177" s="127"/>
      <c r="BE177" s="126"/>
      <c r="BF177" s="222">
        <f t="shared" si="83"/>
        <v>0</v>
      </c>
      <c r="BG177" s="140">
        <f t="shared" si="84"/>
        <v>0</v>
      </c>
      <c r="BH177" s="132"/>
      <c r="BI177" s="140">
        <f t="shared" si="85"/>
        <v>0</v>
      </c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41"/>
      <c r="BW177" s="130">
        <f t="shared" si="86"/>
        <v>0</v>
      </c>
      <c r="BX177" s="132"/>
    </row>
    <row r="178" ht="14.25" customHeight="1">
      <c r="A178" s="132"/>
      <c r="B178" s="512">
        <v>46179</v>
      </c>
      <c r="C178" s="133"/>
      <c r="D178" s="136"/>
      <c r="E178" s="135"/>
      <c r="F178" s="135"/>
      <c r="G178" s="147">
        <f t="shared" si="78"/>
        <v>0</v>
      </c>
      <c r="H178" s="144"/>
      <c r="I178" s="143"/>
      <c r="J178" s="143"/>
      <c r="K178" s="143"/>
      <c r="L178" s="143"/>
      <c r="M178" s="143"/>
      <c r="N178" s="143"/>
      <c r="O178" s="99"/>
      <c r="P178" s="143"/>
      <c r="Q178" s="143"/>
      <c r="R178" s="143"/>
      <c r="S178" s="143"/>
      <c r="T178" s="143"/>
      <c r="U178" s="103">
        <f t="shared" si="79"/>
        <v>0</v>
      </c>
      <c r="V178" s="136"/>
      <c r="W178" s="136"/>
      <c r="X178" s="136"/>
      <c r="Y178" s="99"/>
      <c r="Z178" s="99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03">
        <f t="shared" si="80"/>
        <v>0</v>
      </c>
      <c r="AK178" s="136"/>
      <c r="AL178" s="136"/>
      <c r="AM178" s="136"/>
      <c r="AN178" s="105">
        <f t="shared" si="81"/>
        <v>0</v>
      </c>
      <c r="AO178" s="143"/>
      <c r="AP178" s="143"/>
      <c r="AQ178" s="143"/>
      <c r="AR178" s="143"/>
      <c r="AS178" s="146"/>
      <c r="AT178" s="224">
        <f ref="AT178:AT179" t="shared" si="87">+G178-U178-AJ178-AN178-AO178-AQ178-AR178-AS178-AP178</f>
        <v>0</v>
      </c>
      <c r="AU178" s="433"/>
      <c r="AV178" s="433"/>
      <c r="AW178" s="433"/>
      <c r="AX178" s="433"/>
      <c r="AY178" s="433"/>
      <c r="AZ178" s="428"/>
      <c r="BA178" s="433"/>
      <c r="BB178" s="127"/>
      <c r="BC178" s="127"/>
      <c r="BD178" s="127"/>
      <c r="BE178" s="126"/>
      <c r="BF178" s="222">
        <f t="shared" si="83"/>
        <v>0</v>
      </c>
      <c r="BG178" s="140">
        <f t="shared" si="84"/>
        <v>0</v>
      </c>
      <c r="BH178" s="132"/>
      <c r="BI178" s="140">
        <f t="shared" si="85"/>
        <v>0</v>
      </c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41"/>
      <c r="BW178" s="130">
        <f t="shared" si="86"/>
        <v>0</v>
      </c>
      <c r="BX178" s="132"/>
    </row>
    <row r="179" ht="14.25" customHeight="1">
      <c r="A179" s="132"/>
      <c r="B179" s="512">
        <v>46180</v>
      </c>
      <c r="C179" s="133"/>
      <c r="D179" s="136"/>
      <c r="E179" s="135"/>
      <c r="F179" s="135"/>
      <c r="G179" s="147">
        <f t="shared" si="78"/>
        <v>0</v>
      </c>
      <c r="H179" s="144"/>
      <c r="I179" s="143"/>
      <c r="J179" s="143"/>
      <c r="K179" s="143"/>
      <c r="L179" s="143"/>
      <c r="M179" s="143"/>
      <c r="N179" s="143"/>
      <c r="O179" s="99"/>
      <c r="P179" s="143"/>
      <c r="Q179" s="143"/>
      <c r="R179" s="143"/>
      <c r="S179" s="143"/>
      <c r="T179" s="143"/>
      <c r="U179" s="103">
        <f t="shared" si="79"/>
        <v>0</v>
      </c>
      <c r="V179" s="136"/>
      <c r="W179" s="136"/>
      <c r="X179" s="136"/>
      <c r="Y179" s="99"/>
      <c r="Z179" s="99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03">
        <f t="shared" si="80"/>
        <v>0</v>
      </c>
      <c r="AK179" s="136"/>
      <c r="AL179" s="136"/>
      <c r="AM179" s="136"/>
      <c r="AN179" s="105">
        <f t="shared" si="81"/>
        <v>0</v>
      </c>
      <c r="AO179" s="143"/>
      <c r="AP179" s="143"/>
      <c r="AQ179" s="143"/>
      <c r="AR179" s="143"/>
      <c r="AS179" s="146"/>
      <c r="AT179" s="224">
        <f t="shared" si="87"/>
        <v>0</v>
      </c>
      <c r="AU179" s="433"/>
      <c r="AV179" s="433"/>
      <c r="AW179" s="433"/>
      <c r="AX179" s="433"/>
      <c r="AY179" s="433"/>
      <c r="AZ179" s="428"/>
      <c r="BA179" s="433"/>
      <c r="BB179" s="127"/>
      <c r="BC179" s="127"/>
      <c r="BD179" s="127"/>
      <c r="BE179" s="126"/>
      <c r="BF179" s="222">
        <f t="shared" si="83"/>
        <v>0</v>
      </c>
      <c r="BG179" s="140">
        <f t="shared" si="84"/>
        <v>0</v>
      </c>
      <c r="BH179" s="132"/>
      <c r="BI179" s="140">
        <f t="shared" si="85"/>
        <v>0</v>
      </c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30">
        <f t="shared" si="86"/>
        <v>0</v>
      </c>
      <c r="BX179" s="132"/>
    </row>
    <row r="180" ht="14.25" customHeight="1">
      <c r="A180" s="132"/>
      <c r="B180" s="512">
        <v>46181</v>
      </c>
      <c r="C180" s="133"/>
      <c r="D180" s="136"/>
      <c r="E180" s="135"/>
      <c r="F180" s="135"/>
      <c r="G180" s="147">
        <f t="shared" si="78"/>
        <v>0</v>
      </c>
      <c r="H180" s="144"/>
      <c r="I180" s="143"/>
      <c r="J180" s="143"/>
      <c r="K180" s="143"/>
      <c r="L180" s="143"/>
      <c r="M180" s="143"/>
      <c r="N180" s="143"/>
      <c r="O180" s="99"/>
      <c r="P180" s="143"/>
      <c r="Q180" s="143"/>
      <c r="R180" s="143"/>
      <c r="S180" s="143"/>
      <c r="T180" s="143"/>
      <c r="U180" s="103">
        <f t="shared" si="79"/>
        <v>0</v>
      </c>
      <c r="V180" s="136"/>
      <c r="W180" s="136"/>
      <c r="X180" s="136"/>
      <c r="Y180" s="99"/>
      <c r="Z180" s="99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03">
        <f t="shared" si="80"/>
        <v>0</v>
      </c>
      <c r="AK180" s="136"/>
      <c r="AL180" s="136"/>
      <c r="AM180" s="136"/>
      <c r="AN180" s="105">
        <f t="shared" si="81"/>
        <v>0</v>
      </c>
      <c r="AO180" s="143"/>
      <c r="AP180" s="143"/>
      <c r="AQ180" s="143"/>
      <c r="AR180" s="143"/>
      <c r="AS180" s="146"/>
      <c r="AT180" s="224">
        <f ref="AT180:AT185" t="shared" si="88">+G180-U180-AJ180-AN180-AO180-AQ180-AR180-AS180</f>
        <v>0</v>
      </c>
      <c r="AU180" s="433"/>
      <c r="AV180" s="433"/>
      <c r="AW180" s="433"/>
      <c r="AX180" s="433"/>
      <c r="AY180" s="433"/>
      <c r="AZ180" s="428"/>
      <c r="BA180" s="433"/>
      <c r="BB180" s="127"/>
      <c r="BC180" s="127"/>
      <c r="BD180" s="127"/>
      <c r="BE180" s="126"/>
      <c r="BF180" s="222">
        <f t="shared" si="83"/>
        <v>0</v>
      </c>
      <c r="BG180" s="140">
        <f t="shared" si="84"/>
        <v>0</v>
      </c>
      <c r="BH180" s="132"/>
      <c r="BI180" s="140">
        <f t="shared" si="85"/>
        <v>0</v>
      </c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30">
        <f t="shared" si="86"/>
        <v>0</v>
      </c>
      <c r="BX180" s="132"/>
    </row>
    <row r="181" ht="14.25" customHeight="1">
      <c r="A181" s="132"/>
      <c r="B181" s="512">
        <v>46182</v>
      </c>
      <c r="C181" s="133"/>
      <c r="D181" s="136"/>
      <c r="E181" s="135"/>
      <c r="F181" s="135"/>
      <c r="G181" s="147">
        <f t="shared" si="78"/>
        <v>0</v>
      </c>
      <c r="H181" s="144"/>
      <c r="I181" s="143"/>
      <c r="J181" s="143"/>
      <c r="K181" s="143"/>
      <c r="L181" s="143"/>
      <c r="M181" s="143"/>
      <c r="N181" s="143"/>
      <c r="O181" s="136"/>
      <c r="P181" s="143"/>
      <c r="Q181" s="143"/>
      <c r="R181" s="143"/>
      <c r="S181" s="143"/>
      <c r="T181" s="143"/>
      <c r="U181" s="103">
        <f t="shared" si="79"/>
        <v>0</v>
      </c>
      <c r="V181" s="136"/>
      <c r="W181" s="136"/>
      <c r="X181" s="136"/>
      <c r="Y181" s="136"/>
      <c r="Z181" s="136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03">
        <f t="shared" si="80"/>
        <v>0</v>
      </c>
      <c r="AK181" s="136"/>
      <c r="AL181" s="136"/>
      <c r="AM181" s="136"/>
      <c r="AN181" s="105">
        <f t="shared" si="81"/>
        <v>0</v>
      </c>
      <c r="AO181" s="143"/>
      <c r="AP181" s="143"/>
      <c r="AQ181" s="143"/>
      <c r="AR181" s="143"/>
      <c r="AS181" s="146"/>
      <c r="AT181" s="224">
        <f t="shared" si="88"/>
        <v>0</v>
      </c>
      <c r="AU181" s="433"/>
      <c r="AV181" s="433"/>
      <c r="AW181" s="433"/>
      <c r="AX181" s="433"/>
      <c r="AY181" s="433"/>
      <c r="AZ181" s="428"/>
      <c r="BA181" s="433"/>
      <c r="BB181" s="127"/>
      <c r="BC181" s="127"/>
      <c r="BD181" s="127"/>
      <c r="BE181" s="126"/>
      <c r="BF181" s="222">
        <f t="shared" si="83"/>
        <v>0</v>
      </c>
      <c r="BG181" s="140">
        <f t="shared" si="84"/>
        <v>0</v>
      </c>
      <c r="BH181" s="132"/>
      <c r="BI181" s="140">
        <f t="shared" si="85"/>
        <v>0</v>
      </c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30">
        <f t="shared" si="86"/>
        <v>0</v>
      </c>
      <c r="BX181" s="132"/>
    </row>
    <row r="182" ht="14.25" customHeight="1">
      <c r="A182" s="132"/>
      <c r="B182" s="512">
        <v>46183</v>
      </c>
      <c r="C182" s="133"/>
      <c r="D182" s="136"/>
      <c r="E182" s="135"/>
      <c r="F182" s="135"/>
      <c r="G182" s="147">
        <f t="shared" si="78"/>
        <v>0</v>
      </c>
      <c r="H182" s="144"/>
      <c r="I182" s="143"/>
      <c r="J182" s="143"/>
      <c r="K182" s="143"/>
      <c r="L182" s="143"/>
      <c r="M182" s="143"/>
      <c r="N182" s="143"/>
      <c r="O182" s="99"/>
      <c r="P182" s="143"/>
      <c r="Q182" s="143"/>
      <c r="R182" s="143"/>
      <c r="S182" s="143"/>
      <c r="T182" s="143"/>
      <c r="U182" s="103">
        <f t="shared" si="79"/>
        <v>0</v>
      </c>
      <c r="V182" s="136"/>
      <c r="W182" s="136"/>
      <c r="X182" s="136"/>
      <c r="Y182" s="99"/>
      <c r="Z182" s="99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03">
        <f t="shared" si="80"/>
        <v>0</v>
      </c>
      <c r="AK182" s="136"/>
      <c r="AL182" s="136"/>
      <c r="AM182" s="136"/>
      <c r="AN182" s="105">
        <f t="shared" si="81"/>
        <v>0</v>
      </c>
      <c r="AO182" s="143"/>
      <c r="AP182" s="143"/>
      <c r="AQ182" s="143"/>
      <c r="AR182" s="143"/>
      <c r="AS182" s="146"/>
      <c r="AT182" s="224">
        <f t="shared" si="88"/>
        <v>0</v>
      </c>
      <c r="AU182" s="433"/>
      <c r="AV182" s="433"/>
      <c r="AW182" s="433"/>
      <c r="AX182" s="433"/>
      <c r="AY182" s="433"/>
      <c r="AZ182" s="428"/>
      <c r="BA182" s="433"/>
      <c r="BB182" s="127"/>
      <c r="BC182" s="127"/>
      <c r="BD182" s="127"/>
      <c r="BE182" s="126"/>
      <c r="BF182" s="222">
        <f t="shared" si="83"/>
        <v>0</v>
      </c>
      <c r="BG182" s="140">
        <f t="shared" si="84"/>
        <v>0</v>
      </c>
      <c r="BH182" s="132"/>
      <c r="BI182" s="140">
        <f t="shared" si="85"/>
        <v>0</v>
      </c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30">
        <f t="shared" si="86"/>
        <v>0</v>
      </c>
      <c r="BX182" s="132"/>
    </row>
    <row r="183" ht="14.25" customHeight="1">
      <c r="A183" s="132"/>
      <c r="B183" s="512">
        <v>46184</v>
      </c>
      <c r="C183" s="133"/>
      <c r="D183" s="136"/>
      <c r="E183" s="135"/>
      <c r="F183" s="135"/>
      <c r="G183" s="147">
        <f t="shared" si="78"/>
        <v>0</v>
      </c>
      <c r="H183" s="144"/>
      <c r="I183" s="143"/>
      <c r="J183" s="143"/>
      <c r="K183" s="143"/>
      <c r="L183" s="143"/>
      <c r="M183" s="143"/>
      <c r="N183" s="143"/>
      <c r="O183" s="99"/>
      <c r="P183" s="143"/>
      <c r="Q183" s="143"/>
      <c r="R183" s="143"/>
      <c r="S183" s="143"/>
      <c r="T183" s="143"/>
      <c r="U183" s="103">
        <f t="shared" si="79"/>
        <v>0</v>
      </c>
      <c r="V183" s="136"/>
      <c r="W183" s="136"/>
      <c r="X183" s="136"/>
      <c r="Y183" s="99"/>
      <c r="Z183" s="99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03">
        <f t="shared" si="80"/>
        <v>0</v>
      </c>
      <c r="AK183" s="136"/>
      <c r="AL183" s="136"/>
      <c r="AM183" s="136"/>
      <c r="AN183" s="105">
        <f t="shared" si="81"/>
        <v>0</v>
      </c>
      <c r="AO183" s="143"/>
      <c r="AP183" s="143"/>
      <c r="AQ183" s="143"/>
      <c r="AR183" s="143"/>
      <c r="AS183" s="146"/>
      <c r="AT183" s="224">
        <f t="shared" si="88"/>
        <v>0</v>
      </c>
      <c r="AU183" s="433"/>
      <c r="AV183" s="433"/>
      <c r="AW183" s="433"/>
      <c r="AX183" s="433"/>
      <c r="AY183" s="433"/>
      <c r="AZ183" s="428"/>
      <c r="BA183" s="433"/>
      <c r="BB183" s="127"/>
      <c r="BC183" s="127"/>
      <c r="BD183" s="127"/>
      <c r="BE183" s="126"/>
      <c r="BF183" s="222">
        <f t="shared" si="83"/>
        <v>0</v>
      </c>
      <c r="BG183" s="140">
        <f t="shared" si="84"/>
        <v>0</v>
      </c>
      <c r="BH183" s="132"/>
      <c r="BI183" s="140">
        <f t="shared" si="85"/>
        <v>0</v>
      </c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30">
        <f t="shared" si="86"/>
        <v>0</v>
      </c>
      <c r="BX183" s="132"/>
    </row>
    <row r="184" ht="14.25" customHeight="1">
      <c r="A184" s="132"/>
      <c r="B184" s="512">
        <v>46185</v>
      </c>
      <c r="C184" s="133"/>
      <c r="D184" s="136"/>
      <c r="E184" s="135"/>
      <c r="F184" s="135"/>
      <c r="G184" s="147">
        <f t="shared" si="78"/>
        <v>0</v>
      </c>
      <c r="H184" s="144"/>
      <c r="I184" s="143"/>
      <c r="J184" s="143"/>
      <c r="K184" s="143"/>
      <c r="L184" s="143"/>
      <c r="M184" s="143"/>
      <c r="N184" s="143"/>
      <c r="O184" s="99"/>
      <c r="P184" s="143"/>
      <c r="Q184" s="143"/>
      <c r="R184" s="143"/>
      <c r="S184" s="143"/>
      <c r="T184" s="143"/>
      <c r="U184" s="103">
        <f t="shared" si="79"/>
        <v>0</v>
      </c>
      <c r="V184" s="136"/>
      <c r="W184" s="136"/>
      <c r="X184" s="136"/>
      <c r="Y184" s="99"/>
      <c r="Z184" s="99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03">
        <f t="shared" si="80"/>
        <v>0</v>
      </c>
      <c r="AK184" s="136"/>
      <c r="AL184" s="136"/>
      <c r="AM184" s="136"/>
      <c r="AN184" s="105">
        <f t="shared" si="81"/>
        <v>0</v>
      </c>
      <c r="AO184" s="143"/>
      <c r="AP184" s="143"/>
      <c r="AQ184" s="143"/>
      <c r="AR184" s="143"/>
      <c r="AS184" s="146"/>
      <c r="AT184" s="224">
        <f t="shared" si="88"/>
        <v>0</v>
      </c>
      <c r="AU184" s="433"/>
      <c r="AV184" s="433"/>
      <c r="AW184" s="433"/>
      <c r="AX184" s="433"/>
      <c r="AY184" s="433"/>
      <c r="AZ184" s="428"/>
      <c r="BA184" s="433"/>
      <c r="BB184" s="127"/>
      <c r="BC184" s="127"/>
      <c r="BD184" s="127"/>
      <c r="BE184" s="126"/>
      <c r="BF184" s="222">
        <f t="shared" si="83"/>
        <v>0</v>
      </c>
      <c r="BG184" s="140">
        <f t="shared" si="84"/>
        <v>0</v>
      </c>
      <c r="BH184" s="132"/>
      <c r="BI184" s="140">
        <f t="shared" si="85"/>
        <v>0</v>
      </c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30">
        <f t="shared" si="86"/>
        <v>0</v>
      </c>
      <c r="BX184" s="132"/>
    </row>
    <row r="185" ht="14.25" customHeight="1">
      <c r="A185" s="132"/>
      <c r="B185" s="512">
        <v>46186</v>
      </c>
      <c r="C185" s="133"/>
      <c r="D185" s="136"/>
      <c r="E185" s="135"/>
      <c r="F185" s="135"/>
      <c r="G185" s="147">
        <f t="shared" si="78"/>
        <v>0</v>
      </c>
      <c r="H185" s="144"/>
      <c r="I185" s="143"/>
      <c r="J185" s="143"/>
      <c r="K185" s="143"/>
      <c r="L185" s="143"/>
      <c r="M185" s="143"/>
      <c r="N185" s="143"/>
      <c r="O185" s="99"/>
      <c r="P185" s="143"/>
      <c r="Q185" s="143"/>
      <c r="R185" s="143"/>
      <c r="S185" s="143"/>
      <c r="T185" s="143"/>
      <c r="U185" s="103">
        <f t="shared" si="79"/>
        <v>0</v>
      </c>
      <c r="V185" s="136"/>
      <c r="W185" s="136"/>
      <c r="X185" s="136"/>
      <c r="Y185" s="99"/>
      <c r="Z185" s="99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03">
        <f t="shared" si="80"/>
        <v>0</v>
      </c>
      <c r="AK185" s="136"/>
      <c r="AL185" s="136"/>
      <c r="AM185" s="136"/>
      <c r="AN185" s="105">
        <f t="shared" si="81"/>
        <v>0</v>
      </c>
      <c r="AO185" s="143"/>
      <c r="AP185" s="143"/>
      <c r="AQ185" s="143"/>
      <c r="AR185" s="143"/>
      <c r="AS185" s="146"/>
      <c r="AT185" s="224">
        <f t="shared" si="88"/>
        <v>0</v>
      </c>
      <c r="AU185" s="433"/>
      <c r="AV185" s="433"/>
      <c r="AW185" s="433"/>
      <c r="AX185" s="433"/>
      <c r="AY185" s="433"/>
      <c r="AZ185" s="428"/>
      <c r="BA185" s="433"/>
      <c r="BB185" s="127"/>
      <c r="BC185" s="127"/>
      <c r="BD185" s="127"/>
      <c r="BE185" s="126"/>
      <c r="BF185" s="222">
        <f t="shared" si="83"/>
        <v>0</v>
      </c>
      <c r="BG185" s="140">
        <f t="shared" si="84"/>
        <v>0</v>
      </c>
      <c r="BH185" s="132"/>
      <c r="BI185" s="140">
        <f t="shared" si="85"/>
        <v>0</v>
      </c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30">
        <f t="shared" si="86"/>
        <v>0</v>
      </c>
      <c r="BX185" s="132"/>
    </row>
    <row r="186" ht="14.25" customHeight="1">
      <c r="A186" s="132"/>
      <c r="B186" s="512">
        <v>46187</v>
      </c>
      <c r="C186" s="133"/>
      <c r="D186" s="136"/>
      <c r="E186" s="135"/>
      <c r="F186" s="135"/>
      <c r="G186" s="147">
        <f t="shared" si="78"/>
        <v>0</v>
      </c>
      <c r="H186" s="144"/>
      <c r="I186" s="143"/>
      <c r="J186" s="143"/>
      <c r="K186" s="143"/>
      <c r="L186" s="143"/>
      <c r="M186" s="143"/>
      <c r="N186" s="143"/>
      <c r="O186" s="99"/>
      <c r="P186" s="143"/>
      <c r="Q186" s="143"/>
      <c r="R186" s="143"/>
      <c r="S186" s="143"/>
      <c r="T186" s="143"/>
      <c r="U186" s="103">
        <f t="shared" si="79"/>
        <v>0</v>
      </c>
      <c r="V186" s="136"/>
      <c r="W186" s="136"/>
      <c r="X186" s="136"/>
      <c r="Y186" s="99"/>
      <c r="Z186" s="99"/>
      <c r="AA186" s="143"/>
      <c r="AB186" s="143"/>
      <c r="AC186" s="143"/>
      <c r="AD186" s="143"/>
      <c r="AE186" s="143"/>
      <c r="AF186" s="143"/>
      <c r="AG186" s="143"/>
      <c r="AH186" s="143"/>
      <c r="AI186" s="143"/>
      <c r="AJ186" s="103">
        <f t="shared" si="80"/>
        <v>0</v>
      </c>
      <c r="AK186" s="136"/>
      <c r="AL186" s="136"/>
      <c r="AM186" s="136"/>
      <c r="AN186" s="105">
        <f t="shared" si="81"/>
        <v>0</v>
      </c>
      <c r="AO186" s="143"/>
      <c r="AP186" s="143"/>
      <c r="AQ186" s="143"/>
      <c r="AR186" s="143"/>
      <c r="AS186" s="146"/>
      <c r="AT186" s="224">
        <f ref="AT186:AT187" t="shared" si="89">+G186-U186-AJ186-AN186-AO186-AQ186-AR186-AS186-AP186</f>
        <v>0</v>
      </c>
      <c r="AU186" s="433"/>
      <c r="AV186" s="433"/>
      <c r="AW186" s="433"/>
      <c r="AX186" s="433"/>
      <c r="AY186" s="433"/>
      <c r="AZ186" s="428"/>
      <c r="BA186" s="433"/>
      <c r="BB186" s="127"/>
      <c r="BC186" s="127"/>
      <c r="BD186" s="127"/>
      <c r="BE186" s="126"/>
      <c r="BF186" s="222">
        <f t="shared" si="83"/>
        <v>0</v>
      </c>
      <c r="BG186" s="140">
        <f t="shared" si="84"/>
        <v>0</v>
      </c>
      <c r="BH186" s="132"/>
      <c r="BI186" s="140">
        <f t="shared" si="85"/>
        <v>0</v>
      </c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30">
        <f t="shared" si="86"/>
        <v>0</v>
      </c>
      <c r="BX186" s="132"/>
    </row>
    <row r="187" ht="14.25" customHeight="1">
      <c r="A187" s="132"/>
      <c r="B187" s="512">
        <v>46188</v>
      </c>
      <c r="C187" s="133"/>
      <c r="D187" s="136"/>
      <c r="E187" s="135"/>
      <c r="F187" s="135"/>
      <c r="G187" s="147">
        <f t="shared" si="78"/>
        <v>0</v>
      </c>
      <c r="H187" s="144"/>
      <c r="I187" s="143"/>
      <c r="J187" s="143"/>
      <c r="K187" s="143"/>
      <c r="L187" s="143"/>
      <c r="M187" s="143"/>
      <c r="N187" s="143"/>
      <c r="O187" s="99"/>
      <c r="P187" s="143"/>
      <c r="Q187" s="143"/>
      <c r="R187" s="143"/>
      <c r="S187" s="143"/>
      <c r="T187" s="143"/>
      <c r="U187" s="103">
        <f t="shared" si="79"/>
        <v>0</v>
      </c>
      <c r="V187" s="136"/>
      <c r="W187" s="136"/>
      <c r="X187" s="136"/>
      <c r="Y187" s="99"/>
      <c r="Z187" s="99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03">
        <f t="shared" si="80"/>
        <v>0</v>
      </c>
      <c r="AK187" s="136"/>
      <c r="AL187" s="136"/>
      <c r="AM187" s="136"/>
      <c r="AN187" s="105">
        <f t="shared" si="81"/>
        <v>0</v>
      </c>
      <c r="AO187" s="143"/>
      <c r="AP187" s="143"/>
      <c r="AQ187" s="143"/>
      <c r="AR187" s="143"/>
      <c r="AS187" s="146"/>
      <c r="AT187" s="224">
        <f t="shared" si="89"/>
        <v>0</v>
      </c>
      <c r="AU187" s="433"/>
      <c r="AV187" s="433"/>
      <c r="AW187" s="433"/>
      <c r="AX187" s="433"/>
      <c r="AY187" s="433"/>
      <c r="AZ187" s="428"/>
      <c r="BA187" s="433"/>
      <c r="BB187" s="127"/>
      <c r="BC187" s="127"/>
      <c r="BD187" s="127"/>
      <c r="BE187" s="126"/>
      <c r="BF187" s="222">
        <f t="shared" si="83"/>
        <v>0</v>
      </c>
      <c r="BG187" s="140">
        <f t="shared" si="84"/>
        <v>0</v>
      </c>
      <c r="BH187" s="132"/>
      <c r="BI187" s="140">
        <f t="shared" si="85"/>
        <v>0</v>
      </c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30">
        <f t="shared" si="86"/>
        <v>0</v>
      </c>
      <c r="BX187" s="132"/>
    </row>
    <row r="188" ht="14.25" customHeight="1">
      <c r="A188" s="132"/>
      <c r="B188" s="512">
        <v>46189</v>
      </c>
      <c r="C188" s="133"/>
      <c r="D188" s="136"/>
      <c r="E188" s="135"/>
      <c r="F188" s="135"/>
      <c r="G188" s="147">
        <f t="shared" si="78"/>
        <v>0</v>
      </c>
      <c r="H188" s="144"/>
      <c r="I188" s="143"/>
      <c r="J188" s="143"/>
      <c r="K188" s="143"/>
      <c r="L188" s="143"/>
      <c r="M188" s="143"/>
      <c r="N188" s="143"/>
      <c r="O188" s="99"/>
      <c r="P188" s="143"/>
      <c r="Q188" s="143"/>
      <c r="R188" s="143"/>
      <c r="S188" s="143"/>
      <c r="T188" s="143"/>
      <c r="U188" s="103">
        <f t="shared" si="79"/>
        <v>0</v>
      </c>
      <c r="V188" s="136"/>
      <c r="W188" s="136"/>
      <c r="X188" s="136"/>
      <c r="Y188" s="99"/>
      <c r="Z188" s="99"/>
      <c r="AA188" s="143"/>
      <c r="AB188" s="143"/>
      <c r="AC188" s="143"/>
      <c r="AD188" s="143"/>
      <c r="AE188" s="143"/>
      <c r="AF188" s="143"/>
      <c r="AG188" s="143"/>
      <c r="AH188" s="143"/>
      <c r="AI188" s="143"/>
      <c r="AJ188" s="103">
        <f t="shared" si="80"/>
        <v>0</v>
      </c>
      <c r="AK188" s="136"/>
      <c r="AL188" s="136"/>
      <c r="AM188" s="136"/>
      <c r="AN188" s="105">
        <f t="shared" si="81"/>
        <v>0</v>
      </c>
      <c r="AO188" s="143"/>
      <c r="AP188" s="143"/>
      <c r="AQ188" s="143"/>
      <c r="AR188" s="143"/>
      <c r="AS188" s="146"/>
      <c r="AT188" s="224">
        <f>+G188-U188-AJ188-AN188-AO188-AQ188-AR188-AS188</f>
        <v>0</v>
      </c>
      <c r="AU188" s="433"/>
      <c r="AV188" s="433"/>
      <c r="AW188" s="433"/>
      <c r="AX188" s="433"/>
      <c r="AY188" s="433"/>
      <c r="AZ188" s="428"/>
      <c r="BA188" s="433"/>
      <c r="BB188" s="127"/>
      <c r="BC188" s="127"/>
      <c r="BD188" s="127"/>
      <c r="BE188" s="126"/>
      <c r="BF188" s="222">
        <f t="shared" si="83"/>
        <v>0</v>
      </c>
      <c r="BG188" s="140">
        <f t="shared" si="84"/>
        <v>0</v>
      </c>
      <c r="BH188" s="132"/>
      <c r="BI188" s="140">
        <f t="shared" si="85"/>
        <v>0</v>
      </c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30">
        <f t="shared" si="86"/>
        <v>0</v>
      </c>
      <c r="BX188" s="132"/>
    </row>
    <row r="189" ht="14.25" customHeight="1">
      <c r="A189" s="132"/>
      <c r="B189" s="512">
        <v>46190</v>
      </c>
      <c r="C189" s="133"/>
      <c r="D189" s="136"/>
      <c r="E189" s="135"/>
      <c r="F189" s="135"/>
      <c r="G189" s="147">
        <f t="shared" si="78"/>
        <v>0</v>
      </c>
      <c r="H189" s="144"/>
      <c r="I189" s="143"/>
      <c r="J189" s="143"/>
      <c r="K189" s="143"/>
      <c r="L189" s="143"/>
      <c r="M189" s="143"/>
      <c r="N189" s="143"/>
      <c r="O189" s="99"/>
      <c r="P189" s="143"/>
      <c r="Q189" s="143"/>
      <c r="R189" s="143"/>
      <c r="S189" s="143"/>
      <c r="T189" s="143"/>
      <c r="U189" s="103">
        <f t="shared" si="79"/>
        <v>0</v>
      </c>
      <c r="V189" s="136"/>
      <c r="W189" s="136"/>
      <c r="X189" s="136"/>
      <c r="Y189" s="99"/>
      <c r="Z189" s="99"/>
      <c r="AA189" s="143"/>
      <c r="AB189" s="143"/>
      <c r="AC189" s="143"/>
      <c r="AD189" s="143"/>
      <c r="AE189" s="143"/>
      <c r="AF189" s="143"/>
      <c r="AG189" s="143"/>
      <c r="AH189" s="143"/>
      <c r="AI189" s="143"/>
      <c r="AJ189" s="103">
        <f t="shared" si="80"/>
        <v>0</v>
      </c>
      <c r="AK189" s="136"/>
      <c r="AL189" s="136"/>
      <c r="AM189" s="136"/>
      <c r="AN189" s="105">
        <f t="shared" si="81"/>
        <v>0</v>
      </c>
      <c r="AO189" s="143"/>
      <c r="AP189" s="143"/>
      <c r="AQ189" s="143"/>
      <c r="AR189" s="143"/>
      <c r="AS189" s="146"/>
      <c r="AT189" s="224">
        <f>+G189-U189-AJ189-AN189-AO189-AQ189-AR189-AS189-AP189</f>
        <v>0</v>
      </c>
      <c r="AU189" s="433"/>
      <c r="AV189" s="433"/>
      <c r="AW189" s="433"/>
      <c r="AX189" s="433"/>
      <c r="AY189" s="433"/>
      <c r="AZ189" s="428"/>
      <c r="BA189" s="433"/>
      <c r="BB189" s="127"/>
      <c r="BC189" s="127"/>
      <c r="BD189" s="127"/>
      <c r="BE189" s="126"/>
      <c r="BF189" s="222">
        <f t="shared" si="83"/>
        <v>0</v>
      </c>
      <c r="BG189" s="140">
        <f t="shared" si="84"/>
        <v>0</v>
      </c>
      <c r="BH189" s="132"/>
      <c r="BI189" s="140">
        <f t="shared" si="85"/>
        <v>0</v>
      </c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30">
        <f t="shared" si="86"/>
        <v>0</v>
      </c>
      <c r="BX189" s="132"/>
    </row>
    <row r="190" ht="14.25" customHeight="1">
      <c r="A190" s="132"/>
      <c r="B190" s="512">
        <v>46191</v>
      </c>
      <c r="C190" s="133"/>
      <c r="D190" s="136"/>
      <c r="E190" s="135"/>
      <c r="F190" s="135"/>
      <c r="G190" s="147">
        <f t="shared" si="78"/>
        <v>0</v>
      </c>
      <c r="H190" s="144"/>
      <c r="I190" s="143"/>
      <c r="J190" s="143"/>
      <c r="K190" s="143"/>
      <c r="L190" s="143"/>
      <c r="M190" s="143"/>
      <c r="N190" s="143"/>
      <c r="O190" s="99"/>
      <c r="P190" s="143"/>
      <c r="Q190" s="143"/>
      <c r="R190" s="143"/>
      <c r="S190" s="143"/>
      <c r="T190" s="143"/>
      <c r="U190" s="103">
        <f t="shared" si="79"/>
        <v>0</v>
      </c>
      <c r="V190" s="136"/>
      <c r="W190" s="136"/>
      <c r="X190" s="136"/>
      <c r="Y190" s="99"/>
      <c r="Z190" s="99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03">
        <f t="shared" si="80"/>
        <v>0</v>
      </c>
      <c r="AK190" s="136"/>
      <c r="AL190" s="136"/>
      <c r="AM190" s="136"/>
      <c r="AN190" s="105">
        <f t="shared" si="81"/>
        <v>0</v>
      </c>
      <c r="AO190" s="143"/>
      <c r="AP190" s="143"/>
      <c r="AQ190" s="143"/>
      <c r="AR190" s="143"/>
      <c r="AS190" s="146"/>
      <c r="AT190" s="224">
        <f ref="AT190:AT191" t="shared" si="90">+G190-U190-AJ190-AN190-AO190-AQ190-AR190-AS190</f>
        <v>0</v>
      </c>
      <c r="AU190" s="433"/>
      <c r="AV190" s="433"/>
      <c r="AW190" s="433"/>
      <c r="AX190" s="433"/>
      <c r="AY190" s="433"/>
      <c r="AZ190" s="428"/>
      <c r="BA190" s="433"/>
      <c r="BB190" s="127"/>
      <c r="BC190" s="127"/>
      <c r="BD190" s="127"/>
      <c r="BE190" s="126"/>
      <c r="BF190" s="222">
        <f t="shared" si="83"/>
        <v>0</v>
      </c>
      <c r="BG190" s="140">
        <f t="shared" si="84"/>
        <v>0</v>
      </c>
      <c r="BH190" s="132"/>
      <c r="BI190" s="140">
        <f t="shared" si="85"/>
        <v>0</v>
      </c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30">
        <f t="shared" si="86"/>
        <v>0</v>
      </c>
      <c r="BX190" s="132"/>
    </row>
    <row r="191" ht="14.25" customHeight="1">
      <c r="A191" s="132"/>
      <c r="B191" s="512">
        <v>46192</v>
      </c>
      <c r="C191" s="133"/>
      <c r="D191" s="136"/>
      <c r="E191" s="135"/>
      <c r="F191" s="135"/>
      <c r="G191" s="147">
        <f t="shared" si="78"/>
        <v>0</v>
      </c>
      <c r="H191" s="144"/>
      <c r="I191" s="143"/>
      <c r="J191" s="143"/>
      <c r="K191" s="143"/>
      <c r="L191" s="143"/>
      <c r="M191" s="143"/>
      <c r="N191" s="143"/>
      <c r="O191" s="99"/>
      <c r="P191" s="143"/>
      <c r="Q191" s="143"/>
      <c r="R191" s="143"/>
      <c r="S191" s="143"/>
      <c r="T191" s="143"/>
      <c r="U191" s="103">
        <f t="shared" si="79"/>
        <v>0</v>
      </c>
      <c r="V191" s="136"/>
      <c r="W191" s="136"/>
      <c r="X191" s="136"/>
      <c r="Y191" s="99"/>
      <c r="Z191" s="99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03">
        <f t="shared" si="80"/>
        <v>0</v>
      </c>
      <c r="AK191" s="136"/>
      <c r="AL191" s="136"/>
      <c r="AM191" s="136"/>
      <c r="AN191" s="105">
        <f t="shared" si="81"/>
        <v>0</v>
      </c>
      <c r="AO191" s="143"/>
      <c r="AP191" s="143"/>
      <c r="AQ191" s="143"/>
      <c r="AR191" s="143"/>
      <c r="AS191" s="146"/>
      <c r="AT191" s="224">
        <f t="shared" si="90"/>
        <v>0</v>
      </c>
      <c r="AU191" s="433"/>
      <c r="AV191" s="433"/>
      <c r="AW191" s="433"/>
      <c r="AX191" s="433"/>
      <c r="AY191" s="433"/>
      <c r="AZ191" s="428"/>
      <c r="BA191" s="433"/>
      <c r="BB191" s="127"/>
      <c r="BC191" s="127"/>
      <c r="BD191" s="127"/>
      <c r="BE191" s="126"/>
      <c r="BF191" s="222">
        <f t="shared" si="83"/>
        <v>0</v>
      </c>
      <c r="BG191" s="140">
        <f t="shared" si="84"/>
        <v>0</v>
      </c>
      <c r="BH191" s="132"/>
      <c r="BI191" s="140">
        <f t="shared" si="85"/>
        <v>0</v>
      </c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30">
        <f t="shared" si="86"/>
        <v>0</v>
      </c>
      <c r="BX191" s="132"/>
    </row>
    <row r="192" ht="14.25" customHeight="1">
      <c r="A192" s="132"/>
      <c r="B192" s="512">
        <v>46193</v>
      </c>
      <c r="C192" s="133"/>
      <c r="D192" s="136"/>
      <c r="E192" s="135"/>
      <c r="F192" s="135"/>
      <c r="G192" s="147">
        <f t="shared" si="78"/>
        <v>0</v>
      </c>
      <c r="H192" s="144"/>
      <c r="I192" s="143"/>
      <c r="J192" s="143"/>
      <c r="K192" s="143"/>
      <c r="L192" s="143"/>
      <c r="M192" s="143"/>
      <c r="N192" s="143"/>
      <c r="O192" s="99"/>
      <c r="P192" s="143"/>
      <c r="Q192" s="143"/>
      <c r="R192" s="143"/>
      <c r="S192" s="143"/>
      <c r="T192" s="143"/>
      <c r="U192" s="103">
        <f t="shared" si="79"/>
        <v>0</v>
      </c>
      <c r="V192" s="136"/>
      <c r="W192" s="136"/>
      <c r="X192" s="136"/>
      <c r="Y192" s="99"/>
      <c r="Z192" s="99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03">
        <f t="shared" si="80"/>
        <v>0</v>
      </c>
      <c r="AK192" s="136"/>
      <c r="AL192" s="136"/>
      <c r="AM192" s="136"/>
      <c r="AN192" s="105">
        <f t="shared" si="81"/>
        <v>0</v>
      </c>
      <c r="AO192" s="143"/>
      <c r="AP192" s="143"/>
      <c r="AQ192" s="143"/>
      <c r="AR192" s="143"/>
      <c r="AS192" s="146"/>
      <c r="AT192" s="224">
        <f ref="AT192:AT202" t="shared" si="91">+G192-U192-AJ192-AN192-AO192-AQ192-AR192-AS192-AP192</f>
        <v>0</v>
      </c>
      <c r="AU192" s="433"/>
      <c r="AV192" s="433"/>
      <c r="AW192" s="433"/>
      <c r="AX192" s="433"/>
      <c r="AY192" s="433"/>
      <c r="AZ192" s="428"/>
      <c r="BA192" s="433"/>
      <c r="BB192" s="127"/>
      <c r="BC192" s="127"/>
      <c r="BD192" s="127"/>
      <c r="BE192" s="126"/>
      <c r="BF192" s="222">
        <f t="shared" si="83"/>
        <v>0</v>
      </c>
      <c r="BG192" s="140">
        <f t="shared" si="84"/>
        <v>0</v>
      </c>
      <c r="BH192" s="132"/>
      <c r="BI192" s="140">
        <f t="shared" si="85"/>
        <v>0</v>
      </c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30">
        <f t="shared" si="86"/>
        <v>0</v>
      </c>
      <c r="BX192" s="132"/>
    </row>
    <row r="193" ht="14.25" customHeight="1">
      <c r="A193" s="132"/>
      <c r="B193" s="512">
        <v>46194</v>
      </c>
      <c r="C193" s="133"/>
      <c r="D193" s="136"/>
      <c r="E193" s="135"/>
      <c r="F193" s="135"/>
      <c r="G193" s="147">
        <f t="shared" si="78"/>
        <v>0</v>
      </c>
      <c r="H193" s="144"/>
      <c r="I193" s="143"/>
      <c r="J193" s="143"/>
      <c r="K193" s="143"/>
      <c r="L193" s="143"/>
      <c r="M193" s="143"/>
      <c r="N193" s="143"/>
      <c r="O193" s="99"/>
      <c r="P193" s="143"/>
      <c r="Q193" s="143"/>
      <c r="R193" s="143"/>
      <c r="S193" s="143"/>
      <c r="T193" s="143"/>
      <c r="U193" s="103">
        <f t="shared" si="79"/>
        <v>0</v>
      </c>
      <c r="V193" s="136"/>
      <c r="W193" s="136"/>
      <c r="X193" s="136"/>
      <c r="Y193" s="99"/>
      <c r="Z193" s="99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03">
        <f t="shared" si="80"/>
        <v>0</v>
      </c>
      <c r="AK193" s="136"/>
      <c r="AL193" s="136"/>
      <c r="AM193" s="136"/>
      <c r="AN193" s="105">
        <f t="shared" si="81"/>
        <v>0</v>
      </c>
      <c r="AO193" s="143"/>
      <c r="AP193" s="143"/>
      <c r="AQ193" s="143"/>
      <c r="AR193" s="143"/>
      <c r="AS193" s="146"/>
      <c r="AT193" s="224">
        <f t="shared" si="91"/>
        <v>0</v>
      </c>
      <c r="AU193" s="433"/>
      <c r="AV193" s="433"/>
      <c r="AW193" s="433"/>
      <c r="AX193" s="433"/>
      <c r="AY193" s="433"/>
      <c r="AZ193" s="428"/>
      <c r="BA193" s="433"/>
      <c r="BB193" s="127"/>
      <c r="BC193" s="127"/>
      <c r="BD193" s="127"/>
      <c r="BE193" s="126"/>
      <c r="BF193" s="222">
        <f t="shared" si="83"/>
        <v>0</v>
      </c>
      <c r="BG193" s="140">
        <f t="shared" si="84"/>
        <v>0</v>
      </c>
      <c r="BH193" s="132"/>
      <c r="BI193" s="140">
        <f t="shared" si="85"/>
        <v>0</v>
      </c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30">
        <f t="shared" si="86"/>
        <v>0</v>
      </c>
      <c r="BX193" s="132"/>
    </row>
    <row r="194" ht="14.25" customHeight="1">
      <c r="A194" s="132"/>
      <c r="B194" s="512">
        <v>46195</v>
      </c>
      <c r="C194" s="133"/>
      <c r="D194" s="136"/>
      <c r="E194" s="135"/>
      <c r="F194" s="135"/>
      <c r="G194" s="147">
        <f t="shared" si="78"/>
        <v>0</v>
      </c>
      <c r="H194" s="144"/>
      <c r="I194" s="143"/>
      <c r="J194" s="143"/>
      <c r="K194" s="143"/>
      <c r="L194" s="143"/>
      <c r="M194" s="143"/>
      <c r="N194" s="143"/>
      <c r="O194" s="99"/>
      <c r="P194" s="143"/>
      <c r="Q194" s="143"/>
      <c r="R194" s="143"/>
      <c r="S194" s="143"/>
      <c r="T194" s="143"/>
      <c r="U194" s="103">
        <f t="shared" si="79"/>
        <v>0</v>
      </c>
      <c r="V194" s="136"/>
      <c r="W194" s="136"/>
      <c r="X194" s="136"/>
      <c r="Y194" s="99"/>
      <c r="Z194" s="99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03">
        <f t="shared" si="80"/>
        <v>0</v>
      </c>
      <c r="AK194" s="136"/>
      <c r="AL194" s="136"/>
      <c r="AM194" s="136"/>
      <c r="AN194" s="105">
        <f t="shared" si="81"/>
        <v>0</v>
      </c>
      <c r="AO194" s="143"/>
      <c r="AP194" s="143"/>
      <c r="AQ194" s="143"/>
      <c r="AR194" s="143"/>
      <c r="AS194" s="146"/>
      <c r="AT194" s="224">
        <f t="shared" si="91"/>
        <v>0</v>
      </c>
      <c r="AU194" s="433"/>
      <c r="AV194" s="433"/>
      <c r="AW194" s="433"/>
      <c r="AX194" s="433"/>
      <c r="AY194" s="433"/>
      <c r="AZ194" s="428"/>
      <c r="BA194" s="433"/>
      <c r="BB194" s="127"/>
      <c r="BC194" s="127"/>
      <c r="BD194" s="127"/>
      <c r="BE194" s="126"/>
      <c r="BF194" s="222">
        <f t="shared" si="83"/>
        <v>0</v>
      </c>
      <c r="BG194" s="140">
        <f t="shared" si="84"/>
        <v>0</v>
      </c>
      <c r="BH194" s="132"/>
      <c r="BI194" s="140">
        <f t="shared" si="85"/>
        <v>0</v>
      </c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30">
        <f t="shared" si="86"/>
        <v>0</v>
      </c>
      <c r="BX194" s="132"/>
    </row>
    <row r="195" ht="14.25" customHeight="1">
      <c r="A195" s="132"/>
      <c r="B195" s="512">
        <v>46196</v>
      </c>
      <c r="C195" s="133"/>
      <c r="D195" s="136"/>
      <c r="E195" s="135"/>
      <c r="F195" s="135"/>
      <c r="G195" s="147">
        <f t="shared" si="78"/>
        <v>0</v>
      </c>
      <c r="H195" s="144"/>
      <c r="I195" s="143"/>
      <c r="J195" s="143"/>
      <c r="K195" s="143"/>
      <c r="L195" s="143"/>
      <c r="M195" s="143"/>
      <c r="N195" s="143"/>
      <c r="O195" s="99"/>
      <c r="P195" s="143"/>
      <c r="Q195" s="143"/>
      <c r="R195" s="143"/>
      <c r="S195" s="143"/>
      <c r="T195" s="143"/>
      <c r="U195" s="103">
        <f t="shared" si="79"/>
        <v>0</v>
      </c>
      <c r="V195" s="136"/>
      <c r="W195" s="136"/>
      <c r="X195" s="136"/>
      <c r="Y195" s="99"/>
      <c r="Z195" s="99"/>
      <c r="AA195" s="143"/>
      <c r="AB195" s="143"/>
      <c r="AC195" s="143"/>
      <c r="AD195" s="143"/>
      <c r="AE195" s="143"/>
      <c r="AF195" s="143"/>
      <c r="AG195" s="143"/>
      <c r="AH195" s="143"/>
      <c r="AI195" s="143"/>
      <c r="AJ195" s="103">
        <f t="shared" si="80"/>
        <v>0</v>
      </c>
      <c r="AK195" s="136"/>
      <c r="AL195" s="136"/>
      <c r="AM195" s="136"/>
      <c r="AN195" s="105">
        <f t="shared" si="81"/>
        <v>0</v>
      </c>
      <c r="AO195" s="143"/>
      <c r="AP195" s="143"/>
      <c r="AQ195" s="143"/>
      <c r="AR195" s="143"/>
      <c r="AS195" s="146"/>
      <c r="AT195" s="224">
        <f t="shared" si="91"/>
        <v>0</v>
      </c>
      <c r="AU195" s="433"/>
      <c r="AV195" s="433"/>
      <c r="AW195" s="433"/>
      <c r="AX195" s="433"/>
      <c r="AY195" s="433"/>
      <c r="AZ195" s="428"/>
      <c r="BA195" s="433"/>
      <c r="BB195" s="127"/>
      <c r="BC195" s="127"/>
      <c r="BD195" s="127"/>
      <c r="BE195" s="126"/>
      <c r="BF195" s="222">
        <f t="shared" si="83"/>
        <v>0</v>
      </c>
      <c r="BG195" s="140">
        <f t="shared" si="84"/>
        <v>0</v>
      </c>
      <c r="BH195" s="132"/>
      <c r="BI195" s="140">
        <f t="shared" si="85"/>
        <v>0</v>
      </c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30">
        <f t="shared" si="86"/>
        <v>0</v>
      </c>
      <c r="BX195" s="132"/>
    </row>
    <row r="196" ht="14.25" customHeight="1">
      <c r="A196" s="132"/>
      <c r="B196" s="512">
        <v>46197</v>
      </c>
      <c r="C196" s="133"/>
      <c r="D196" s="136"/>
      <c r="E196" s="135"/>
      <c r="F196" s="135"/>
      <c r="G196" s="147">
        <f t="shared" si="78"/>
        <v>0</v>
      </c>
      <c r="H196" s="144"/>
      <c r="I196" s="143"/>
      <c r="J196" s="143"/>
      <c r="K196" s="143"/>
      <c r="L196" s="143"/>
      <c r="M196" s="143"/>
      <c r="N196" s="143"/>
      <c r="O196" s="99"/>
      <c r="P196" s="143"/>
      <c r="Q196" s="143"/>
      <c r="R196" s="143"/>
      <c r="S196" s="143"/>
      <c r="T196" s="143"/>
      <c r="U196" s="103">
        <f t="shared" si="79"/>
        <v>0</v>
      </c>
      <c r="V196" s="133"/>
      <c r="W196" s="133"/>
      <c r="X196" s="136"/>
      <c r="Y196" s="99"/>
      <c r="Z196" s="99"/>
      <c r="AA196" s="143"/>
      <c r="AB196" s="143"/>
      <c r="AC196" s="143"/>
      <c r="AD196" s="143"/>
      <c r="AE196" s="143"/>
      <c r="AF196" s="143"/>
      <c r="AG196" s="143"/>
      <c r="AH196" s="143"/>
      <c r="AI196" s="143"/>
      <c r="AJ196" s="103">
        <f t="shared" si="80"/>
        <v>0</v>
      </c>
      <c r="AK196" s="136"/>
      <c r="AL196" s="136"/>
      <c r="AM196" s="136"/>
      <c r="AN196" s="105">
        <f t="shared" si="81"/>
        <v>0</v>
      </c>
      <c r="AO196" s="143"/>
      <c r="AP196" s="143"/>
      <c r="AQ196" s="143"/>
      <c r="AR196" s="143"/>
      <c r="AS196" s="146"/>
      <c r="AT196" s="224">
        <f t="shared" si="91"/>
        <v>0</v>
      </c>
      <c r="AU196" s="433"/>
      <c r="AV196" s="433"/>
      <c r="AW196" s="433"/>
      <c r="AX196" s="433"/>
      <c r="AY196" s="433"/>
      <c r="AZ196" s="428"/>
      <c r="BA196" s="433"/>
      <c r="BB196" s="127"/>
      <c r="BC196" s="127"/>
      <c r="BD196" s="127"/>
      <c r="BE196" s="126"/>
      <c r="BF196" s="222">
        <f t="shared" si="83"/>
        <v>0</v>
      </c>
      <c r="BG196" s="140">
        <f t="shared" si="84"/>
        <v>0</v>
      </c>
      <c r="BH196" s="132"/>
      <c r="BI196" s="140">
        <f t="shared" si="85"/>
        <v>0</v>
      </c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30">
        <f t="shared" si="86"/>
        <v>0</v>
      </c>
      <c r="BX196" s="132"/>
    </row>
    <row r="197" ht="14.25" customHeight="1">
      <c r="A197" s="132"/>
      <c r="B197" s="512">
        <v>46198</v>
      </c>
      <c r="C197" s="133"/>
      <c r="D197" s="136"/>
      <c r="E197" s="135"/>
      <c r="F197" s="135"/>
      <c r="G197" s="147">
        <f t="shared" si="78"/>
        <v>0</v>
      </c>
      <c r="H197" s="144"/>
      <c r="I197" s="143"/>
      <c r="J197" s="143"/>
      <c r="K197" s="143"/>
      <c r="L197" s="143"/>
      <c r="M197" s="143"/>
      <c r="N197" s="143"/>
      <c r="O197" s="99"/>
      <c r="P197" s="143"/>
      <c r="Q197" s="143"/>
      <c r="R197" s="143"/>
      <c r="S197" s="143"/>
      <c r="T197" s="143"/>
      <c r="U197" s="103">
        <f t="shared" si="79"/>
        <v>0</v>
      </c>
      <c r="V197" s="136"/>
      <c r="W197" s="136"/>
      <c r="X197" s="136"/>
      <c r="Y197" s="99"/>
      <c r="Z197" s="99"/>
      <c r="AA197" s="143"/>
      <c r="AB197" s="143"/>
      <c r="AC197" s="143"/>
      <c r="AD197" s="143"/>
      <c r="AE197" s="143"/>
      <c r="AF197" s="143"/>
      <c r="AG197" s="143"/>
      <c r="AH197" s="143"/>
      <c r="AI197" s="143"/>
      <c r="AJ197" s="103">
        <f t="shared" si="80"/>
        <v>0</v>
      </c>
      <c r="AK197" s="136"/>
      <c r="AL197" s="136"/>
      <c r="AM197" s="136"/>
      <c r="AN197" s="105">
        <f t="shared" si="81"/>
        <v>0</v>
      </c>
      <c r="AO197" s="143"/>
      <c r="AP197" s="143"/>
      <c r="AQ197" s="143"/>
      <c r="AR197" s="143"/>
      <c r="AS197" s="146"/>
      <c r="AT197" s="224">
        <f t="shared" si="91"/>
        <v>0</v>
      </c>
      <c r="AU197" s="433"/>
      <c r="AV197" s="433"/>
      <c r="AW197" s="433"/>
      <c r="AX197" s="433"/>
      <c r="AY197" s="433"/>
      <c r="AZ197" s="428"/>
      <c r="BA197" s="433"/>
      <c r="BB197" s="127"/>
      <c r="BC197" s="127"/>
      <c r="BD197" s="127"/>
      <c r="BE197" s="126"/>
      <c r="BF197" s="222">
        <f t="shared" si="83"/>
        <v>0</v>
      </c>
      <c r="BG197" s="140">
        <f t="shared" si="84"/>
        <v>0</v>
      </c>
      <c r="BH197" s="132"/>
      <c r="BI197" s="140">
        <f t="shared" si="85"/>
        <v>0</v>
      </c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30">
        <f t="shared" si="86"/>
        <v>0</v>
      </c>
      <c r="BX197" s="132"/>
    </row>
    <row r="198" ht="14.25" customHeight="1">
      <c r="A198" s="132"/>
      <c r="B198" s="512">
        <v>46199</v>
      </c>
      <c r="C198" s="133"/>
      <c r="D198" s="136"/>
      <c r="E198" s="135"/>
      <c r="F198" s="135"/>
      <c r="G198" s="147">
        <f t="shared" si="78"/>
        <v>0</v>
      </c>
      <c r="H198" s="144"/>
      <c r="I198" s="143"/>
      <c r="J198" s="143"/>
      <c r="K198" s="143"/>
      <c r="L198" s="143"/>
      <c r="M198" s="143"/>
      <c r="N198" s="143"/>
      <c r="O198" s="99"/>
      <c r="P198" s="143"/>
      <c r="Q198" s="143"/>
      <c r="R198" s="143"/>
      <c r="S198" s="143"/>
      <c r="T198" s="143"/>
      <c r="U198" s="103">
        <f t="shared" si="79"/>
        <v>0</v>
      </c>
      <c r="V198" s="136"/>
      <c r="W198" s="136"/>
      <c r="X198" s="136"/>
      <c r="Y198" s="99"/>
      <c r="Z198" s="99"/>
      <c r="AA198" s="143"/>
      <c r="AB198" s="143"/>
      <c r="AC198" s="143"/>
      <c r="AD198" s="143"/>
      <c r="AE198" s="143"/>
      <c r="AF198" s="143"/>
      <c r="AG198" s="143"/>
      <c r="AH198" s="143"/>
      <c r="AI198" s="143"/>
      <c r="AJ198" s="103">
        <f t="shared" si="80"/>
        <v>0</v>
      </c>
      <c r="AK198" s="136"/>
      <c r="AL198" s="136"/>
      <c r="AM198" s="136"/>
      <c r="AN198" s="105">
        <f t="shared" si="81"/>
        <v>0</v>
      </c>
      <c r="AO198" s="143"/>
      <c r="AP198" s="143"/>
      <c r="AQ198" s="143"/>
      <c r="AR198" s="143"/>
      <c r="AS198" s="146"/>
      <c r="AT198" s="224">
        <f t="shared" si="91"/>
        <v>0</v>
      </c>
      <c r="AU198" s="433"/>
      <c r="AV198" s="433"/>
      <c r="AW198" s="433"/>
      <c r="AX198" s="433"/>
      <c r="AY198" s="433"/>
      <c r="AZ198" s="428"/>
      <c r="BA198" s="433"/>
      <c r="BB198" s="127"/>
      <c r="BC198" s="127"/>
      <c r="BD198" s="127"/>
      <c r="BE198" s="126"/>
      <c r="BF198" s="222">
        <f t="shared" si="83"/>
        <v>0</v>
      </c>
      <c r="BG198" s="140">
        <f t="shared" si="84"/>
        <v>0</v>
      </c>
      <c r="BH198" s="132"/>
      <c r="BI198" s="140">
        <f t="shared" si="85"/>
        <v>0</v>
      </c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30">
        <f t="shared" si="86"/>
        <v>0</v>
      </c>
      <c r="BX198" s="132"/>
    </row>
    <row r="199" ht="14.25" customHeight="1">
      <c r="A199" s="132"/>
      <c r="B199" s="512">
        <v>46200</v>
      </c>
      <c r="C199" s="133"/>
      <c r="D199" s="136"/>
      <c r="E199" s="135"/>
      <c r="F199" s="135"/>
      <c r="G199" s="147">
        <f t="shared" si="78"/>
        <v>0</v>
      </c>
      <c r="H199" s="144"/>
      <c r="I199" s="143"/>
      <c r="J199" s="143"/>
      <c r="K199" s="143"/>
      <c r="L199" s="143"/>
      <c r="M199" s="143"/>
      <c r="N199" s="143"/>
      <c r="O199" s="99"/>
      <c r="P199" s="143"/>
      <c r="Q199" s="143"/>
      <c r="R199" s="143"/>
      <c r="S199" s="143"/>
      <c r="T199" s="143"/>
      <c r="U199" s="103">
        <f t="shared" si="79"/>
        <v>0</v>
      </c>
      <c r="V199" s="133"/>
      <c r="W199" s="133"/>
      <c r="X199" s="136"/>
      <c r="Y199" s="99"/>
      <c r="Z199" s="99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03">
        <f t="shared" si="80"/>
        <v>0</v>
      </c>
      <c r="AK199" s="136"/>
      <c r="AL199" s="136"/>
      <c r="AM199" s="136"/>
      <c r="AN199" s="105">
        <f t="shared" si="81"/>
        <v>0</v>
      </c>
      <c r="AO199" s="143"/>
      <c r="AP199" s="143"/>
      <c r="AQ199" s="143"/>
      <c r="AR199" s="143"/>
      <c r="AS199" s="146"/>
      <c r="AT199" s="224">
        <f t="shared" si="91"/>
        <v>0</v>
      </c>
      <c r="AU199" s="433"/>
      <c r="AV199" s="433"/>
      <c r="AW199" s="433"/>
      <c r="AX199" s="433"/>
      <c r="AY199" s="433"/>
      <c r="AZ199" s="428"/>
      <c r="BA199" s="433"/>
      <c r="BB199" s="127"/>
      <c r="BC199" s="127"/>
      <c r="BD199" s="127"/>
      <c r="BE199" s="126"/>
      <c r="BF199" s="222">
        <f t="shared" si="83"/>
        <v>0</v>
      </c>
      <c r="BG199" s="140">
        <f t="shared" si="84"/>
        <v>0</v>
      </c>
      <c r="BH199" s="132"/>
      <c r="BI199" s="140">
        <f t="shared" si="85"/>
        <v>0</v>
      </c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30">
        <f t="shared" si="86"/>
        <v>0</v>
      </c>
      <c r="BX199" s="132"/>
    </row>
    <row r="200" ht="14.25" customHeight="1">
      <c r="A200" s="132"/>
      <c r="B200" s="512">
        <v>46201</v>
      </c>
      <c r="C200" s="133"/>
      <c r="D200" s="136"/>
      <c r="E200" s="135"/>
      <c r="F200" s="135"/>
      <c r="G200" s="147">
        <f t="shared" si="78"/>
        <v>0</v>
      </c>
      <c r="H200" s="144"/>
      <c r="I200" s="143"/>
      <c r="J200" s="143"/>
      <c r="K200" s="143"/>
      <c r="L200" s="143"/>
      <c r="M200" s="143"/>
      <c r="N200" s="143"/>
      <c r="O200" s="99"/>
      <c r="P200" s="143"/>
      <c r="Q200" s="143"/>
      <c r="R200" s="143"/>
      <c r="S200" s="143"/>
      <c r="T200" s="143"/>
      <c r="U200" s="103">
        <f t="shared" si="79"/>
        <v>0</v>
      </c>
      <c r="V200" s="136"/>
      <c r="W200" s="136"/>
      <c r="X200" s="136"/>
      <c r="Y200" s="99"/>
      <c r="Z200" s="99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03">
        <f t="shared" si="80"/>
        <v>0</v>
      </c>
      <c r="AK200" s="136"/>
      <c r="AL200" s="136"/>
      <c r="AM200" s="136"/>
      <c r="AN200" s="105">
        <f t="shared" si="81"/>
        <v>0</v>
      </c>
      <c r="AO200" s="143"/>
      <c r="AP200" s="143"/>
      <c r="AQ200" s="143"/>
      <c r="AR200" s="143"/>
      <c r="AS200" s="146"/>
      <c r="AT200" s="224">
        <f t="shared" si="91"/>
        <v>0</v>
      </c>
      <c r="AU200" s="433"/>
      <c r="AV200" s="433"/>
      <c r="AW200" s="433"/>
      <c r="AX200" s="433"/>
      <c r="AY200" s="433"/>
      <c r="AZ200" s="428"/>
      <c r="BA200" s="433"/>
      <c r="BB200" s="127"/>
      <c r="BC200" s="127"/>
      <c r="BD200" s="127"/>
      <c r="BE200" s="126"/>
      <c r="BF200" s="222">
        <f t="shared" si="83"/>
        <v>0</v>
      </c>
      <c r="BG200" s="140">
        <f t="shared" si="84"/>
        <v>0</v>
      </c>
      <c r="BH200" s="132"/>
      <c r="BI200" s="140">
        <f t="shared" si="85"/>
        <v>0</v>
      </c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30">
        <f t="shared" si="86"/>
        <v>0</v>
      </c>
      <c r="BX200" s="132"/>
    </row>
    <row r="201" ht="14.25" customHeight="1">
      <c r="A201" s="132"/>
      <c r="B201" s="512">
        <v>46202</v>
      </c>
      <c r="C201" s="133"/>
      <c r="D201" s="136"/>
      <c r="E201" s="135"/>
      <c r="F201" s="135"/>
      <c r="G201" s="147">
        <f t="shared" si="78"/>
        <v>0</v>
      </c>
      <c r="H201" s="144"/>
      <c r="I201" s="143"/>
      <c r="J201" s="143"/>
      <c r="K201" s="143"/>
      <c r="L201" s="143"/>
      <c r="M201" s="143"/>
      <c r="N201" s="143"/>
      <c r="O201" s="99"/>
      <c r="P201" s="143"/>
      <c r="Q201" s="143"/>
      <c r="R201" s="143"/>
      <c r="S201" s="143"/>
      <c r="T201" s="143"/>
      <c r="U201" s="103">
        <f t="shared" si="79"/>
        <v>0</v>
      </c>
      <c r="V201" s="136"/>
      <c r="W201" s="136"/>
      <c r="X201" s="136"/>
      <c r="Y201" s="99"/>
      <c r="Z201" s="99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03">
        <f t="shared" si="80"/>
        <v>0</v>
      </c>
      <c r="AK201" s="136"/>
      <c r="AL201" s="136"/>
      <c r="AM201" s="136"/>
      <c r="AN201" s="105">
        <f t="shared" si="81"/>
        <v>0</v>
      </c>
      <c r="AO201" s="143"/>
      <c r="AP201" s="143"/>
      <c r="AQ201" s="143"/>
      <c r="AR201" s="143"/>
      <c r="AS201" s="146"/>
      <c r="AT201" s="224">
        <f t="shared" si="91"/>
        <v>0</v>
      </c>
      <c r="AU201" s="433"/>
      <c r="AV201" s="433"/>
      <c r="AW201" s="433"/>
      <c r="AX201" s="433"/>
      <c r="AY201" s="433"/>
      <c r="AZ201" s="428"/>
      <c r="BA201" s="433"/>
      <c r="BB201" s="127"/>
      <c r="BC201" s="127"/>
      <c r="BD201" s="127"/>
      <c r="BE201" s="126"/>
      <c r="BF201" s="222">
        <f t="shared" si="83"/>
        <v>0</v>
      </c>
      <c r="BG201" s="140">
        <f t="shared" si="84"/>
        <v>0</v>
      </c>
      <c r="BH201" s="132"/>
      <c r="BI201" s="140">
        <f t="shared" si="85"/>
        <v>0</v>
      </c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30">
        <f t="shared" si="86"/>
        <v>0</v>
      </c>
      <c r="BX201" s="132"/>
    </row>
    <row r="202" ht="14.25" customHeight="1">
      <c r="A202" s="132"/>
      <c r="B202" s="512">
        <v>46203</v>
      </c>
      <c r="C202" s="133"/>
      <c r="D202" s="136"/>
      <c r="E202" s="135"/>
      <c r="F202" s="135"/>
      <c r="G202" s="147">
        <f t="shared" si="78"/>
        <v>0</v>
      </c>
      <c r="H202" s="144"/>
      <c r="I202" s="143"/>
      <c r="J202" s="143"/>
      <c r="K202" s="143"/>
      <c r="L202" s="143"/>
      <c r="M202" s="143"/>
      <c r="N202" s="143"/>
      <c r="O202" s="99"/>
      <c r="P202" s="143"/>
      <c r="Q202" s="143"/>
      <c r="R202" s="143"/>
      <c r="S202" s="143"/>
      <c r="T202" s="143"/>
      <c r="U202" s="103">
        <f t="shared" si="79"/>
        <v>0</v>
      </c>
      <c r="V202" s="136"/>
      <c r="W202" s="136"/>
      <c r="X202" s="136"/>
      <c r="Y202" s="99"/>
      <c r="Z202" s="99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03">
        <f t="shared" si="80"/>
        <v>0</v>
      </c>
      <c r="AK202" s="136"/>
      <c r="AL202" s="136"/>
      <c r="AM202" s="136"/>
      <c r="AN202" s="105">
        <f t="shared" si="81"/>
        <v>0</v>
      </c>
      <c r="AO202" s="143"/>
      <c r="AP202" s="143"/>
      <c r="AQ202" s="143"/>
      <c r="AR202" s="143"/>
      <c r="AS202" s="146"/>
      <c r="AT202" s="224">
        <f t="shared" si="91"/>
        <v>0</v>
      </c>
      <c r="AU202" s="435"/>
      <c r="AV202" s="435"/>
      <c r="AW202" s="435"/>
      <c r="AX202" s="435"/>
      <c r="AY202" s="435"/>
      <c r="AZ202" s="428"/>
      <c r="BA202" s="435"/>
      <c r="BB202" s="127"/>
      <c r="BC202" s="127"/>
      <c r="BD202" s="127"/>
      <c r="BE202" s="138"/>
      <c r="BF202" s="222">
        <f t="shared" si="83"/>
        <v>0</v>
      </c>
      <c r="BG202" s="140">
        <f t="shared" si="84"/>
        <v>0</v>
      </c>
      <c r="BH202" s="132"/>
      <c r="BI202" s="140">
        <f t="shared" si="85"/>
        <v>0</v>
      </c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41"/>
      <c r="BU202" s="141"/>
      <c r="BV202" s="141"/>
      <c r="BW202" s="130">
        <f t="shared" si="86"/>
        <v>0</v>
      </c>
      <c r="BX202" s="132"/>
    </row>
    <row r="203" ht="14.25" customHeight="1">
      <c r="A203" s="3"/>
      <c r="B203" s="2"/>
      <c r="C203" s="166">
        <f ref="C203:N203" t="shared" si="92">SUM(C173:C202)</f>
        <v>0</v>
      </c>
      <c r="D203" s="166">
        <f t="shared" si="92"/>
        <v>0</v>
      </c>
      <c r="E203" s="166">
        <f t="shared" si="92"/>
        <v>0</v>
      </c>
      <c r="F203" s="166">
        <f t="shared" si="92"/>
        <v>0</v>
      </c>
      <c r="G203" s="166">
        <f t="shared" si="92"/>
        <v>0</v>
      </c>
      <c r="H203" s="166">
        <f t="shared" si="92"/>
        <v>0</v>
      </c>
      <c r="I203" s="166">
        <f t="shared" si="92"/>
        <v>0</v>
      </c>
      <c r="J203" s="166">
        <f t="shared" si="92"/>
        <v>0</v>
      </c>
      <c r="K203" s="166">
        <f t="shared" si="92"/>
        <v>0</v>
      </c>
      <c r="L203" s="166">
        <f t="shared" si="92"/>
        <v>0</v>
      </c>
      <c r="M203" s="166">
        <f t="shared" si="92"/>
        <v>0</v>
      </c>
      <c r="N203" s="166">
        <f t="shared" si="92"/>
        <v>0</v>
      </c>
      <c r="O203" s="166"/>
      <c r="P203" s="166">
        <f ref="P203:AL203" t="shared" si="93">SUM(P173:P202)</f>
        <v>0</v>
      </c>
      <c r="Q203" s="166">
        <f t="shared" si="93"/>
        <v>0</v>
      </c>
      <c r="R203" s="166">
        <f t="shared" si="93"/>
        <v>0</v>
      </c>
      <c r="S203" s="166">
        <f t="shared" si="93"/>
        <v>0</v>
      </c>
      <c r="T203" s="166">
        <f t="shared" si="93"/>
        <v>0</v>
      </c>
      <c r="U203" s="166">
        <f t="shared" si="93"/>
        <v>0</v>
      </c>
      <c r="V203" s="166">
        <f t="shared" si="93"/>
        <v>0</v>
      </c>
      <c r="W203" s="166">
        <f t="shared" si="93"/>
        <v>0</v>
      </c>
      <c r="X203" s="166">
        <f t="shared" si="93"/>
        <v>0</v>
      </c>
      <c r="Y203" s="166">
        <f t="shared" si="93"/>
        <v>0</v>
      </c>
      <c r="Z203" s="166">
        <f t="shared" si="93"/>
        <v>0</v>
      </c>
      <c r="AA203" s="166">
        <f t="shared" si="93"/>
        <v>0</v>
      </c>
      <c r="AB203" s="166">
        <f t="shared" si="93"/>
        <v>0</v>
      </c>
      <c r="AC203" s="166">
        <f t="shared" si="93"/>
        <v>0</v>
      </c>
      <c r="AD203" s="166">
        <f t="shared" si="93"/>
        <v>0</v>
      </c>
      <c r="AE203" s="166">
        <f t="shared" si="93"/>
        <v>0</v>
      </c>
      <c r="AF203" s="166">
        <f t="shared" si="93"/>
        <v>0</v>
      </c>
      <c r="AG203" s="166">
        <f t="shared" si="93"/>
        <v>0</v>
      </c>
      <c r="AH203" s="166">
        <f t="shared" si="93"/>
        <v>0</v>
      </c>
      <c r="AI203" s="166">
        <f t="shared" si="93"/>
        <v>0</v>
      </c>
      <c r="AJ203" s="166">
        <f t="shared" si="93"/>
        <v>0</v>
      </c>
      <c r="AK203" s="166">
        <f t="shared" si="93"/>
        <v>0</v>
      </c>
      <c r="AL203" s="166">
        <f t="shared" si="93"/>
        <v>0</v>
      </c>
      <c r="AM203" s="166"/>
      <c r="AN203" s="166">
        <f ref="AN203:BG203" t="shared" si="94">SUM(AN173:AN202)</f>
        <v>0</v>
      </c>
      <c r="AO203" s="166">
        <f t="shared" si="94"/>
        <v>0</v>
      </c>
      <c r="AP203" s="166">
        <f t="shared" si="94"/>
        <v>0</v>
      </c>
      <c r="AQ203" s="166">
        <f t="shared" si="94"/>
        <v>0</v>
      </c>
      <c r="AR203" s="166">
        <f t="shared" si="94"/>
        <v>0</v>
      </c>
      <c r="AS203" s="166">
        <f t="shared" si="94"/>
        <v>0</v>
      </c>
      <c r="AT203" s="166">
        <f t="shared" si="94"/>
        <v>0</v>
      </c>
      <c r="AU203" s="165">
        <f t="shared" si="94"/>
        <v>0</v>
      </c>
      <c r="AV203" s="165">
        <f t="shared" si="94"/>
        <v>0</v>
      </c>
      <c r="AW203" s="165">
        <f t="shared" si="94"/>
        <v>0</v>
      </c>
      <c r="AX203" s="165">
        <f t="shared" si="94"/>
        <v>0</v>
      </c>
      <c r="AY203" s="165">
        <f t="shared" si="94"/>
        <v>0</v>
      </c>
      <c r="AZ203" s="165">
        <f t="shared" si="94"/>
        <v>0</v>
      </c>
      <c r="BA203" s="165">
        <f t="shared" si="94"/>
        <v>0</v>
      </c>
      <c r="BB203" s="165">
        <f t="shared" si="94"/>
        <v>0</v>
      </c>
      <c r="BC203" s="165">
        <f t="shared" si="94"/>
        <v>0</v>
      </c>
      <c r="BD203" s="165">
        <f t="shared" si="94"/>
        <v>0</v>
      </c>
      <c r="BE203" s="165">
        <f t="shared" si="94"/>
        <v>0</v>
      </c>
      <c r="BF203" s="166">
        <f t="shared" si="94"/>
        <v>0</v>
      </c>
      <c r="BG203" s="166">
        <f t="shared" si="94"/>
        <v>0</v>
      </c>
      <c r="BH203" s="235"/>
      <c r="BI203" s="166">
        <f>SUM(BI173:BI202)</f>
        <v>0</v>
      </c>
      <c r="BJ203" s="166"/>
      <c r="BK203" s="166"/>
      <c r="BL203" s="166"/>
      <c r="BM203" s="166"/>
      <c r="BN203" s="166"/>
      <c r="BO203" s="166"/>
      <c r="BP203" s="166"/>
      <c r="BQ203" s="166"/>
      <c r="BR203" s="166"/>
      <c r="BS203" s="166">
        <f ref="BS203:BW203" t="shared" si="95">SUM(BS173:BS202)</f>
        <v>0</v>
      </c>
      <c r="BT203" s="166">
        <f t="shared" si="95"/>
        <v>0</v>
      </c>
      <c r="BU203" s="166">
        <f t="shared" si="95"/>
        <v>0</v>
      </c>
      <c r="BV203" s="166">
        <f t="shared" si="95"/>
        <v>0</v>
      </c>
      <c r="BW203" s="166">
        <f t="shared" si="95"/>
        <v>0</v>
      </c>
      <c r="BX203" s="235"/>
    </row>
    <row r="204" ht="14.25" customHeight="1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96"/>
      <c r="AK204" s="3"/>
      <c r="AL204" s="3"/>
      <c r="AM204" s="3"/>
      <c r="AN204" s="4"/>
      <c r="AO204" s="3"/>
      <c r="AP204" s="3"/>
      <c r="AQ204" s="3"/>
      <c r="AR204" s="3"/>
      <c r="AS204" s="3"/>
      <c r="AT204" s="3"/>
      <c r="AU204" s="1"/>
      <c r="AV204" s="380"/>
      <c r="AW204" s="380"/>
      <c r="AX204" s="380"/>
      <c r="AY204" s="380"/>
      <c r="AZ204" s="380"/>
      <c r="BA204" s="1"/>
      <c r="BB204" s="3"/>
      <c r="BC204" s="3"/>
      <c r="BD204" s="3"/>
      <c r="BE204" s="3"/>
      <c r="BF204" s="3"/>
      <c r="BG204" s="3"/>
      <c r="BH204" s="235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235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176"/>
      <c r="AK205" s="3"/>
      <c r="AL205" s="3"/>
      <c r="AM205" s="3"/>
      <c r="AN205" s="4"/>
      <c r="AO205" s="3"/>
      <c r="AP205" s="3"/>
      <c r="AQ205" s="3"/>
      <c r="AR205" s="3"/>
      <c r="AS205" s="3"/>
      <c r="AT205" s="3"/>
      <c r="AU205" s="1"/>
      <c r="AV205" s="380"/>
      <c r="AW205" s="380"/>
      <c r="AX205" s="380"/>
      <c r="AY205" s="380"/>
      <c r="AZ205" s="380"/>
      <c r="BA205" s="1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</row>
    <row r="206" ht="14.25" customHeight="1">
      <c r="A206" s="3"/>
      <c r="B206" s="512">
        <v>46204</v>
      </c>
      <c r="C206" s="94"/>
      <c r="D206" s="104"/>
      <c r="E206" s="97"/>
      <c r="F206" s="97"/>
      <c r="G206" s="265">
        <f ref="G206:G236" t="shared" si="96">+C206+D206+E206+F206</f>
        <v>0</v>
      </c>
      <c r="H206" s="187"/>
      <c r="I206" s="186"/>
      <c r="J206" s="186"/>
      <c r="K206" s="186"/>
      <c r="L206" s="186"/>
      <c r="M206" s="186"/>
      <c r="N206" s="186"/>
      <c r="O206" s="101"/>
      <c r="P206" s="186"/>
      <c r="Q206" s="186"/>
      <c r="R206" s="186"/>
      <c r="S206" s="186"/>
      <c r="T206" s="186"/>
      <c r="U206" s="103">
        <f ref="U206:U236" t="shared" si="97">SUM(H206:T206)</f>
        <v>0</v>
      </c>
      <c r="V206" s="1157"/>
      <c r="W206" s="1157"/>
      <c r="X206" s="1156"/>
      <c r="Y206" s="101"/>
      <c r="Z206" s="101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03">
        <f ref="AJ206:AJ236" t="shared" si="98">SUM(V206:AI206)</f>
        <v>0</v>
      </c>
      <c r="AK206" s="104"/>
      <c r="AL206" s="104"/>
      <c r="AM206" s="104"/>
      <c r="AN206" s="191">
        <f ref="AN206:AN236" t="shared" si="99">SUM(AK206:AM206)</f>
        <v>0</v>
      </c>
      <c r="AO206" s="186"/>
      <c r="AP206" s="186"/>
      <c r="AQ206" s="186"/>
      <c r="AR206" s="186"/>
      <c r="AS206" s="193"/>
      <c r="AT206" s="266">
        <f>+G206-U206-AJ206-AN206-AO206-AQ206-AR206-AS206</f>
        <v>0</v>
      </c>
      <c r="AU206" s="427"/>
      <c r="AV206" s="427"/>
      <c r="AW206" s="427"/>
      <c r="AX206" s="427"/>
      <c r="AY206" s="427"/>
      <c r="AZ206" s="428"/>
      <c r="BA206" s="427"/>
      <c r="BB206" s="127"/>
      <c r="BC206" s="127"/>
      <c r="BD206" s="127"/>
      <c r="BE206" s="109"/>
      <c r="BF206" s="272">
        <f ref="BF206:BF236" t="shared" si="100">SUM(AU206:BE206)-BD206</f>
        <v>0</v>
      </c>
      <c r="BG206" s="114">
        <f ref="BG206:BG236" t="shared" si="101">+AT206-BF206</f>
        <v>0</v>
      </c>
      <c r="BH206" s="3"/>
      <c r="BI206" s="114">
        <f ref="BI206:BI236" t="shared" si="102">SUM(BJ206:BV206)</f>
        <v>0</v>
      </c>
      <c r="BJ206" s="115"/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116">
        <f ref="BW206:BW236" t="shared" si="103">+BG206-BI206</f>
        <v>0</v>
      </c>
      <c r="BX206" s="3"/>
    </row>
    <row r="207" ht="14.25" customHeight="1">
      <c r="A207" s="3"/>
      <c r="B207" s="512">
        <v>46205</v>
      </c>
      <c r="C207" s="118"/>
      <c r="D207" s="123"/>
      <c r="E207" s="120"/>
      <c r="F207" s="120"/>
      <c r="G207" s="147">
        <f t="shared" si="96"/>
        <v>0</v>
      </c>
      <c r="H207" s="144"/>
      <c r="I207" s="143"/>
      <c r="J207" s="143"/>
      <c r="K207" s="143"/>
      <c r="L207" s="143"/>
      <c r="M207" s="143"/>
      <c r="N207" s="143"/>
      <c r="O207" s="99"/>
      <c r="P207" s="143"/>
      <c r="Q207" s="143"/>
      <c r="R207" s="143"/>
      <c r="S207" s="143"/>
      <c r="T207" s="143"/>
      <c r="U207" s="103">
        <f t="shared" si="97"/>
        <v>0</v>
      </c>
      <c r="V207" s="821"/>
      <c r="W207" s="821"/>
      <c r="X207" s="821"/>
      <c r="Y207" s="99"/>
      <c r="Z207" s="99"/>
      <c r="AA207" s="143"/>
      <c r="AB207" s="143"/>
      <c r="AC207" s="143"/>
      <c r="AD207" s="143"/>
      <c r="AE207" s="143"/>
      <c r="AF207" s="143"/>
      <c r="AG207" s="143"/>
      <c r="AH207" s="143"/>
      <c r="AI207" s="143"/>
      <c r="AJ207" s="103">
        <f t="shared" si="98"/>
        <v>0</v>
      </c>
      <c r="AK207" s="123"/>
      <c r="AL207" s="123"/>
      <c r="AM207" s="123"/>
      <c r="AN207" s="105">
        <f t="shared" si="99"/>
        <v>0</v>
      </c>
      <c r="AO207" s="143"/>
      <c r="AP207" s="143"/>
      <c r="AQ207" s="143"/>
      <c r="AR207" s="143"/>
      <c r="AS207" s="146"/>
      <c r="AT207" s="224">
        <f ref="AT207:AT223" t="shared" si="104">+G207-U207-AJ207-AN207-AO207-AQ207-AR207-AS207-AP207</f>
        <v>0</v>
      </c>
      <c r="AU207" s="433"/>
      <c r="AV207" s="433"/>
      <c r="AW207" s="433"/>
      <c r="AX207" s="433"/>
      <c r="AY207" s="433"/>
      <c r="AZ207" s="428"/>
      <c r="BA207" s="433"/>
      <c r="BB207" s="127"/>
      <c r="BC207" s="127"/>
      <c r="BD207" s="127"/>
      <c r="BE207" s="126"/>
      <c r="BF207" s="222">
        <f t="shared" si="100"/>
        <v>0</v>
      </c>
      <c r="BG207" s="113">
        <f t="shared" si="101"/>
        <v>0</v>
      </c>
      <c r="BH207" s="3"/>
      <c r="BI207" s="113">
        <f t="shared" si="102"/>
        <v>0</v>
      </c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30">
        <f t="shared" si="103"/>
        <v>0</v>
      </c>
      <c r="BX207" s="3"/>
    </row>
    <row r="208" ht="14.25" customHeight="1">
      <c r="A208" s="3"/>
      <c r="B208" s="512">
        <v>46206</v>
      </c>
      <c r="C208" s="118"/>
      <c r="D208" s="123"/>
      <c r="E208" s="120"/>
      <c r="F208" s="120"/>
      <c r="G208" s="147">
        <f t="shared" si="96"/>
        <v>0</v>
      </c>
      <c r="H208" s="144"/>
      <c r="I208" s="143"/>
      <c r="J208" s="143"/>
      <c r="K208" s="143"/>
      <c r="L208" s="143"/>
      <c r="M208" s="143"/>
      <c r="N208" s="143"/>
      <c r="O208" s="99"/>
      <c r="P208" s="143"/>
      <c r="Q208" s="143"/>
      <c r="R208" s="143"/>
      <c r="S208" s="143"/>
      <c r="T208" s="143"/>
      <c r="U208" s="103">
        <f t="shared" si="97"/>
        <v>0</v>
      </c>
      <c r="V208" s="820"/>
      <c r="W208" s="820"/>
      <c r="X208" s="821"/>
      <c r="Y208" s="99"/>
      <c r="Z208" s="99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03">
        <f t="shared" si="98"/>
        <v>0</v>
      </c>
      <c r="AK208" s="123"/>
      <c r="AL208" s="123"/>
      <c r="AM208" s="123"/>
      <c r="AN208" s="105">
        <f t="shared" si="99"/>
        <v>0</v>
      </c>
      <c r="AO208" s="143"/>
      <c r="AP208" s="143"/>
      <c r="AQ208" s="143"/>
      <c r="AR208" s="143"/>
      <c r="AS208" s="146"/>
      <c r="AT208" s="224">
        <f t="shared" si="104"/>
        <v>0</v>
      </c>
      <c r="AU208" s="433"/>
      <c r="AV208" s="433"/>
      <c r="AW208" s="433"/>
      <c r="AX208" s="433"/>
      <c r="AY208" s="433"/>
      <c r="AZ208" s="428"/>
      <c r="BA208" s="433"/>
      <c r="BB208" s="127"/>
      <c r="BC208" s="127"/>
      <c r="BD208" s="127"/>
      <c r="BE208" s="126"/>
      <c r="BF208" s="222">
        <f t="shared" si="100"/>
        <v>0</v>
      </c>
      <c r="BG208" s="113">
        <f t="shared" si="101"/>
        <v>0</v>
      </c>
      <c r="BH208" s="3"/>
      <c r="BI208" s="113">
        <f t="shared" si="102"/>
        <v>0</v>
      </c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30">
        <f t="shared" si="103"/>
        <v>0</v>
      </c>
      <c r="BX208" s="3"/>
    </row>
    <row r="209" ht="14.25" customHeight="1">
      <c r="A209" s="3"/>
      <c r="B209" s="512">
        <v>46207</v>
      </c>
      <c r="C209" s="118"/>
      <c r="D209" s="123"/>
      <c r="E209" s="120"/>
      <c r="F209" s="120"/>
      <c r="G209" s="147">
        <f t="shared" si="96"/>
        <v>0</v>
      </c>
      <c r="H209" s="144"/>
      <c r="I209" s="143"/>
      <c r="J209" s="143"/>
      <c r="K209" s="143"/>
      <c r="L209" s="143"/>
      <c r="M209" s="143"/>
      <c r="N209" s="143"/>
      <c r="O209" s="99"/>
      <c r="P209" s="143"/>
      <c r="Q209" s="143"/>
      <c r="R209" s="143"/>
      <c r="S209" s="143"/>
      <c r="T209" s="143"/>
      <c r="U209" s="103">
        <f t="shared" si="97"/>
        <v>0</v>
      </c>
      <c r="V209" s="820"/>
      <c r="W209" s="820"/>
      <c r="X209" s="821"/>
      <c r="Y209" s="99"/>
      <c r="Z209" s="99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03">
        <f t="shared" si="98"/>
        <v>0</v>
      </c>
      <c r="AK209" s="123"/>
      <c r="AL209" s="123"/>
      <c r="AM209" s="123"/>
      <c r="AN209" s="105">
        <f t="shared" si="99"/>
        <v>0</v>
      </c>
      <c r="AO209" s="143"/>
      <c r="AP209" s="143"/>
      <c r="AQ209" s="143"/>
      <c r="AR209" s="143"/>
      <c r="AS209" s="146"/>
      <c r="AT209" s="224">
        <f t="shared" si="104"/>
        <v>0</v>
      </c>
      <c r="AU209" s="433"/>
      <c r="AV209" s="433"/>
      <c r="AW209" s="433"/>
      <c r="AX209" s="433"/>
      <c r="AY209" s="433"/>
      <c r="AZ209" s="428"/>
      <c r="BA209" s="433"/>
      <c r="BB209" s="127"/>
      <c r="BC209" s="127"/>
      <c r="BD209" s="127"/>
      <c r="BE209" s="126"/>
      <c r="BF209" s="222">
        <f t="shared" si="100"/>
        <v>0</v>
      </c>
      <c r="BG209" s="113">
        <f t="shared" si="101"/>
        <v>0</v>
      </c>
      <c r="BH209" s="3"/>
      <c r="BI209" s="113">
        <f t="shared" si="102"/>
        <v>0</v>
      </c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30">
        <f t="shared" si="103"/>
        <v>0</v>
      </c>
      <c r="BX209" s="3"/>
    </row>
    <row r="210" ht="14.25" customHeight="1">
      <c r="A210" s="132"/>
      <c r="B210" s="512">
        <v>46208</v>
      </c>
      <c r="C210" s="133"/>
      <c r="D210" s="136"/>
      <c r="E210" s="135"/>
      <c r="F210" s="135"/>
      <c r="G210" s="147">
        <f t="shared" si="96"/>
        <v>0</v>
      </c>
      <c r="H210" s="144"/>
      <c r="I210" s="143"/>
      <c r="J210" s="143"/>
      <c r="K210" s="143"/>
      <c r="L210" s="143"/>
      <c r="M210" s="143"/>
      <c r="N210" s="143"/>
      <c r="O210" s="99"/>
      <c r="P210" s="143"/>
      <c r="Q210" s="143"/>
      <c r="R210" s="143"/>
      <c r="S210" s="143"/>
      <c r="T210" s="143"/>
      <c r="U210" s="103">
        <f t="shared" si="97"/>
        <v>0</v>
      </c>
      <c r="V210" s="136"/>
      <c r="W210" s="136"/>
      <c r="X210" s="136"/>
      <c r="Y210" s="99"/>
      <c r="Z210" s="99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03">
        <f t="shared" si="98"/>
        <v>0</v>
      </c>
      <c r="AK210" s="136"/>
      <c r="AL210" s="136"/>
      <c r="AM210" s="136"/>
      <c r="AN210" s="105">
        <f t="shared" si="99"/>
        <v>0</v>
      </c>
      <c r="AO210" s="143"/>
      <c r="AP210" s="143"/>
      <c r="AQ210" s="143"/>
      <c r="AR210" s="143"/>
      <c r="AS210" s="146"/>
      <c r="AT210" s="224">
        <f t="shared" si="104"/>
        <v>0</v>
      </c>
      <c r="AU210" s="433"/>
      <c r="AV210" s="433"/>
      <c r="AW210" s="1177"/>
      <c r="AX210" s="433"/>
      <c r="AY210" s="433"/>
      <c r="AZ210" s="428"/>
      <c r="BA210" s="433"/>
      <c r="BB210" s="127"/>
      <c r="BC210" s="127"/>
      <c r="BD210" s="127"/>
      <c r="BE210" s="126"/>
      <c r="BF210" s="222">
        <f t="shared" si="100"/>
        <v>0</v>
      </c>
      <c r="BG210" s="140">
        <f t="shared" si="101"/>
        <v>0</v>
      </c>
      <c r="BH210" s="132"/>
      <c r="BI210" s="140">
        <f t="shared" si="102"/>
        <v>0</v>
      </c>
      <c r="BJ210" s="141"/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30">
        <f t="shared" si="103"/>
        <v>0</v>
      </c>
      <c r="BX210" s="132"/>
    </row>
    <row r="211" ht="14.25" customHeight="1">
      <c r="A211" s="132"/>
      <c r="B211" s="512">
        <v>46209</v>
      </c>
      <c r="C211" s="133"/>
      <c r="D211" s="136"/>
      <c r="E211" s="135"/>
      <c r="F211" s="135"/>
      <c r="G211" s="147">
        <f t="shared" si="96"/>
        <v>0</v>
      </c>
      <c r="H211" s="144"/>
      <c r="I211" s="143"/>
      <c r="J211" s="143"/>
      <c r="K211" s="143"/>
      <c r="L211" s="143"/>
      <c r="M211" s="143"/>
      <c r="N211" s="143"/>
      <c r="O211" s="99"/>
      <c r="P211" s="143"/>
      <c r="Q211" s="143"/>
      <c r="R211" s="143"/>
      <c r="S211" s="143"/>
      <c r="T211" s="143"/>
      <c r="U211" s="103">
        <f t="shared" si="97"/>
        <v>0</v>
      </c>
      <c r="V211" s="136"/>
      <c r="W211" s="136"/>
      <c r="X211" s="136"/>
      <c r="Y211" s="99"/>
      <c r="Z211" s="99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03">
        <f t="shared" si="98"/>
        <v>0</v>
      </c>
      <c r="AK211" s="136"/>
      <c r="AL211" s="136"/>
      <c r="AM211" s="136"/>
      <c r="AN211" s="105">
        <f t="shared" si="99"/>
        <v>0</v>
      </c>
      <c r="AO211" s="143"/>
      <c r="AP211" s="143"/>
      <c r="AQ211" s="143"/>
      <c r="AR211" s="143"/>
      <c r="AS211" s="146"/>
      <c r="AT211" s="224">
        <f t="shared" si="104"/>
        <v>0</v>
      </c>
      <c r="AU211" s="433"/>
      <c r="AV211" s="433"/>
      <c r="AW211" s="433"/>
      <c r="AX211" s="433"/>
      <c r="AY211" s="433"/>
      <c r="AZ211" s="428"/>
      <c r="BA211" s="433"/>
      <c r="BB211" s="127"/>
      <c r="BC211" s="127"/>
      <c r="BD211" s="127"/>
      <c r="BE211" s="126"/>
      <c r="BF211" s="222">
        <f t="shared" si="100"/>
        <v>0</v>
      </c>
      <c r="BG211" s="140">
        <f t="shared" si="101"/>
        <v>0</v>
      </c>
      <c r="BH211" s="132"/>
      <c r="BI211" s="140">
        <f t="shared" si="102"/>
        <v>0</v>
      </c>
      <c r="BJ211" s="141"/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30">
        <f t="shared" si="103"/>
        <v>0</v>
      </c>
      <c r="BX211" s="132"/>
    </row>
    <row r="212" ht="14.25" customHeight="1">
      <c r="A212" s="132"/>
      <c r="B212" s="512">
        <v>46210</v>
      </c>
      <c r="C212" s="133"/>
      <c r="D212" s="136"/>
      <c r="E212" s="135"/>
      <c r="F212" s="135"/>
      <c r="G212" s="147">
        <f t="shared" si="96"/>
        <v>0</v>
      </c>
      <c r="H212" s="144"/>
      <c r="I212" s="143"/>
      <c r="J212" s="143"/>
      <c r="K212" s="143"/>
      <c r="L212" s="143"/>
      <c r="M212" s="143"/>
      <c r="N212" s="143"/>
      <c r="O212" s="99"/>
      <c r="P212" s="143"/>
      <c r="Q212" s="143"/>
      <c r="R212" s="143"/>
      <c r="S212" s="143"/>
      <c r="T212" s="143"/>
      <c r="U212" s="103">
        <f t="shared" si="97"/>
        <v>0</v>
      </c>
      <c r="V212" s="136"/>
      <c r="W212" s="136"/>
      <c r="X212" s="136"/>
      <c r="Y212" s="99"/>
      <c r="Z212" s="99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03">
        <f t="shared" si="98"/>
        <v>0</v>
      </c>
      <c r="AK212" s="136"/>
      <c r="AL212" s="136"/>
      <c r="AM212" s="136"/>
      <c r="AN212" s="105">
        <f t="shared" si="99"/>
        <v>0</v>
      </c>
      <c r="AO212" s="143"/>
      <c r="AP212" s="143"/>
      <c r="AQ212" s="143"/>
      <c r="AR212" s="143"/>
      <c r="AS212" s="146"/>
      <c r="AT212" s="224">
        <f t="shared" si="104"/>
        <v>0</v>
      </c>
      <c r="AU212" s="433"/>
      <c r="AV212" s="433"/>
      <c r="AW212" s="433"/>
      <c r="AX212" s="433"/>
      <c r="AY212" s="433"/>
      <c r="AZ212" s="428"/>
      <c r="BA212" s="433"/>
      <c r="BB212" s="127"/>
      <c r="BC212" s="127"/>
      <c r="BD212" s="127"/>
      <c r="BE212" s="126"/>
      <c r="BF212" s="222">
        <f t="shared" si="100"/>
        <v>0</v>
      </c>
      <c r="BG212" s="140">
        <f t="shared" si="101"/>
        <v>0</v>
      </c>
      <c r="BH212" s="132"/>
      <c r="BI212" s="140">
        <f t="shared" si="102"/>
        <v>0</v>
      </c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30">
        <f t="shared" si="103"/>
        <v>0</v>
      </c>
      <c r="BX212" s="132"/>
    </row>
    <row r="213" ht="14.25" customHeight="1">
      <c r="A213" s="132"/>
      <c r="B213" s="512">
        <v>46211</v>
      </c>
      <c r="C213" s="133"/>
      <c r="D213" s="136"/>
      <c r="E213" s="135"/>
      <c r="F213" s="135"/>
      <c r="G213" s="147">
        <f t="shared" si="96"/>
        <v>0</v>
      </c>
      <c r="H213" s="144"/>
      <c r="I213" s="143"/>
      <c r="J213" s="143"/>
      <c r="K213" s="143"/>
      <c r="L213" s="143"/>
      <c r="M213" s="143"/>
      <c r="N213" s="143"/>
      <c r="O213" s="99"/>
      <c r="P213" s="143"/>
      <c r="Q213" s="143"/>
      <c r="R213" s="143"/>
      <c r="S213" s="143"/>
      <c r="T213" s="143"/>
      <c r="U213" s="103">
        <f t="shared" si="97"/>
        <v>0</v>
      </c>
      <c r="V213" s="133"/>
      <c r="W213" s="133"/>
      <c r="X213" s="136"/>
      <c r="Y213" s="99"/>
      <c r="Z213" s="99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03">
        <f t="shared" si="98"/>
        <v>0</v>
      </c>
      <c r="AK213" s="136"/>
      <c r="AL213" s="136"/>
      <c r="AM213" s="136"/>
      <c r="AN213" s="105">
        <f t="shared" si="99"/>
        <v>0</v>
      </c>
      <c r="AO213" s="143"/>
      <c r="AP213" s="143"/>
      <c r="AQ213" s="143"/>
      <c r="AR213" s="143"/>
      <c r="AS213" s="146"/>
      <c r="AT213" s="224">
        <f t="shared" si="104"/>
        <v>0</v>
      </c>
      <c r="AU213" s="433"/>
      <c r="AV213" s="433"/>
      <c r="AW213" s="433"/>
      <c r="AX213" s="433"/>
      <c r="AY213" s="433"/>
      <c r="AZ213" s="428"/>
      <c r="BA213" s="433"/>
      <c r="BB213" s="127"/>
      <c r="BC213" s="127"/>
      <c r="BD213" s="127"/>
      <c r="BE213" s="126"/>
      <c r="BF213" s="222">
        <f t="shared" si="100"/>
        <v>0</v>
      </c>
      <c r="BG213" s="140">
        <f t="shared" si="101"/>
        <v>0</v>
      </c>
      <c r="BH213" s="132"/>
      <c r="BI213" s="140">
        <f t="shared" si="102"/>
        <v>0</v>
      </c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30">
        <f t="shared" si="103"/>
        <v>0</v>
      </c>
      <c r="BX213" s="132"/>
    </row>
    <row r="214" ht="14.25" customHeight="1">
      <c r="A214" s="132"/>
      <c r="B214" s="512">
        <v>46212</v>
      </c>
      <c r="C214" s="133"/>
      <c r="D214" s="136"/>
      <c r="E214" s="135"/>
      <c r="F214" s="135"/>
      <c r="G214" s="147">
        <f t="shared" si="96"/>
        <v>0</v>
      </c>
      <c r="H214" s="144"/>
      <c r="I214" s="143"/>
      <c r="J214" s="143"/>
      <c r="K214" s="143"/>
      <c r="L214" s="143"/>
      <c r="M214" s="143"/>
      <c r="N214" s="143"/>
      <c r="O214" s="99"/>
      <c r="P214" s="143"/>
      <c r="Q214" s="143"/>
      <c r="R214" s="143"/>
      <c r="S214" s="143"/>
      <c r="T214" s="143"/>
      <c r="U214" s="103">
        <f t="shared" si="97"/>
        <v>0</v>
      </c>
      <c r="V214" s="136"/>
      <c r="W214" s="136"/>
      <c r="X214" s="136"/>
      <c r="Y214" s="99"/>
      <c r="Z214" s="99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03">
        <f t="shared" si="98"/>
        <v>0</v>
      </c>
      <c r="AK214" s="136"/>
      <c r="AL214" s="136"/>
      <c r="AM214" s="136"/>
      <c r="AN214" s="105">
        <f t="shared" si="99"/>
        <v>0</v>
      </c>
      <c r="AO214" s="143"/>
      <c r="AP214" s="143"/>
      <c r="AQ214" s="143"/>
      <c r="AR214" s="143"/>
      <c r="AS214" s="146"/>
      <c r="AT214" s="224">
        <f t="shared" si="104"/>
        <v>0</v>
      </c>
      <c r="AU214" s="433"/>
      <c r="AV214" s="433"/>
      <c r="AW214" s="433"/>
      <c r="AX214" s="433"/>
      <c r="AY214" s="433"/>
      <c r="AZ214" s="428"/>
      <c r="BA214" s="433"/>
      <c r="BB214" s="127"/>
      <c r="BC214" s="127"/>
      <c r="BD214" s="127"/>
      <c r="BE214" s="126"/>
      <c r="BF214" s="222">
        <f t="shared" si="100"/>
        <v>0</v>
      </c>
      <c r="BG214" s="140">
        <f t="shared" si="101"/>
        <v>0</v>
      </c>
      <c r="BH214" s="132"/>
      <c r="BI214" s="140">
        <f t="shared" si="102"/>
        <v>0</v>
      </c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30">
        <f t="shared" si="103"/>
        <v>0</v>
      </c>
      <c r="BX214" s="132"/>
    </row>
    <row r="215" ht="14.25" customHeight="1">
      <c r="A215" s="132"/>
      <c r="B215" s="512">
        <v>46213</v>
      </c>
      <c r="C215" s="133"/>
      <c r="D215" s="136"/>
      <c r="E215" s="135"/>
      <c r="F215" s="135"/>
      <c r="G215" s="147">
        <f t="shared" si="96"/>
        <v>0</v>
      </c>
      <c r="H215" s="144"/>
      <c r="I215" s="143"/>
      <c r="J215" s="143"/>
      <c r="K215" s="143"/>
      <c r="L215" s="143"/>
      <c r="M215" s="143"/>
      <c r="N215" s="143"/>
      <c r="O215" s="99"/>
      <c r="P215" s="143"/>
      <c r="Q215" s="143"/>
      <c r="R215" s="143"/>
      <c r="S215" s="143"/>
      <c r="T215" s="143"/>
      <c r="U215" s="103">
        <f t="shared" si="97"/>
        <v>0</v>
      </c>
      <c r="V215" s="136"/>
      <c r="W215" s="136"/>
      <c r="X215" s="136"/>
      <c r="Y215" s="99"/>
      <c r="Z215" s="99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03">
        <f t="shared" si="98"/>
        <v>0</v>
      </c>
      <c r="AK215" s="136"/>
      <c r="AL215" s="136"/>
      <c r="AM215" s="136"/>
      <c r="AN215" s="105">
        <f t="shared" si="99"/>
        <v>0</v>
      </c>
      <c r="AO215" s="143"/>
      <c r="AP215" s="143"/>
      <c r="AQ215" s="143"/>
      <c r="AR215" s="143"/>
      <c r="AS215" s="146"/>
      <c r="AT215" s="224">
        <f t="shared" si="104"/>
        <v>0</v>
      </c>
      <c r="AU215" s="433"/>
      <c r="AV215" s="433"/>
      <c r="AW215" s="433"/>
      <c r="AX215" s="433"/>
      <c r="AY215" s="433"/>
      <c r="AZ215" s="428"/>
      <c r="BA215" s="433"/>
      <c r="BB215" s="127"/>
      <c r="BC215" s="127"/>
      <c r="BD215" s="127"/>
      <c r="BE215" s="126"/>
      <c r="BF215" s="222">
        <f t="shared" si="100"/>
        <v>0</v>
      </c>
      <c r="BG215" s="140">
        <f t="shared" si="101"/>
        <v>0</v>
      </c>
      <c r="BH215" s="132"/>
      <c r="BI215" s="140">
        <f t="shared" si="102"/>
        <v>0</v>
      </c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30">
        <f t="shared" si="103"/>
        <v>0</v>
      </c>
      <c r="BX215" s="132"/>
    </row>
    <row r="216" ht="14.25" customHeight="1">
      <c r="A216" s="132"/>
      <c r="B216" s="512">
        <v>46214</v>
      </c>
      <c r="C216" s="133"/>
      <c r="D216" s="136"/>
      <c r="E216" s="135"/>
      <c r="F216" s="135"/>
      <c r="G216" s="147">
        <f t="shared" si="96"/>
        <v>0</v>
      </c>
      <c r="H216" s="144"/>
      <c r="I216" s="143"/>
      <c r="J216" s="143"/>
      <c r="K216" s="143"/>
      <c r="L216" s="143"/>
      <c r="M216" s="143"/>
      <c r="N216" s="143"/>
      <c r="O216" s="99"/>
      <c r="P216" s="143"/>
      <c r="Q216" s="143"/>
      <c r="R216" s="143"/>
      <c r="S216" s="143"/>
      <c r="T216" s="143"/>
      <c r="U216" s="103">
        <f t="shared" si="97"/>
        <v>0</v>
      </c>
      <c r="V216" s="133"/>
      <c r="W216" s="133"/>
      <c r="X216" s="136"/>
      <c r="Y216" s="99"/>
      <c r="Z216" s="99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03">
        <f t="shared" si="98"/>
        <v>0</v>
      </c>
      <c r="AK216" s="136"/>
      <c r="AL216" s="136"/>
      <c r="AM216" s="136"/>
      <c r="AN216" s="105">
        <f t="shared" si="99"/>
        <v>0</v>
      </c>
      <c r="AO216" s="143"/>
      <c r="AP216" s="143"/>
      <c r="AQ216" s="143"/>
      <c r="AR216" s="143"/>
      <c r="AS216" s="146"/>
      <c r="AT216" s="224">
        <f t="shared" si="104"/>
        <v>0</v>
      </c>
      <c r="AU216" s="433"/>
      <c r="AV216" s="433"/>
      <c r="AW216" s="433"/>
      <c r="AX216" s="433"/>
      <c r="AY216" s="433"/>
      <c r="AZ216" s="428"/>
      <c r="BA216" s="433"/>
      <c r="BB216" s="127"/>
      <c r="BC216" s="127"/>
      <c r="BD216" s="127"/>
      <c r="BE216" s="126"/>
      <c r="BF216" s="222">
        <f t="shared" si="100"/>
        <v>0</v>
      </c>
      <c r="BG216" s="140">
        <f t="shared" si="101"/>
        <v>0</v>
      </c>
      <c r="BH216" s="132"/>
      <c r="BI216" s="140">
        <f t="shared" si="102"/>
        <v>0</v>
      </c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30">
        <f t="shared" si="103"/>
        <v>0</v>
      </c>
      <c r="BX216" s="132"/>
    </row>
    <row r="217" ht="14.25" customHeight="1">
      <c r="A217" s="132"/>
      <c r="B217" s="512">
        <v>46215</v>
      </c>
      <c r="C217" s="133"/>
      <c r="D217" s="136"/>
      <c r="E217" s="135"/>
      <c r="F217" s="135"/>
      <c r="G217" s="147">
        <f t="shared" si="96"/>
        <v>0</v>
      </c>
      <c r="H217" s="144"/>
      <c r="I217" s="143"/>
      <c r="J217" s="143"/>
      <c r="K217" s="143"/>
      <c r="L217" s="143"/>
      <c r="M217" s="143"/>
      <c r="N217" s="143"/>
      <c r="O217" s="99"/>
      <c r="P217" s="143"/>
      <c r="Q217" s="143"/>
      <c r="R217" s="143"/>
      <c r="S217" s="143"/>
      <c r="T217" s="143"/>
      <c r="U217" s="103">
        <f t="shared" si="97"/>
        <v>0</v>
      </c>
      <c r="V217" s="136"/>
      <c r="W217" s="136"/>
      <c r="X217" s="136"/>
      <c r="Y217" s="99"/>
      <c r="Z217" s="99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03">
        <f t="shared" si="98"/>
        <v>0</v>
      </c>
      <c r="AK217" s="136"/>
      <c r="AL217" s="136"/>
      <c r="AM217" s="136"/>
      <c r="AN217" s="105">
        <f t="shared" si="99"/>
        <v>0</v>
      </c>
      <c r="AO217" s="143"/>
      <c r="AP217" s="143"/>
      <c r="AQ217" s="143"/>
      <c r="AR217" s="143"/>
      <c r="AS217" s="146"/>
      <c r="AT217" s="224">
        <f t="shared" si="104"/>
        <v>0</v>
      </c>
      <c r="AU217" s="433"/>
      <c r="AV217" s="433"/>
      <c r="AW217" s="433"/>
      <c r="AX217" s="433"/>
      <c r="AY217" s="433"/>
      <c r="AZ217" s="428"/>
      <c r="BA217" s="433"/>
      <c r="BB217" s="127"/>
      <c r="BC217" s="127"/>
      <c r="BD217" s="127"/>
      <c r="BE217" s="126"/>
      <c r="BF217" s="222">
        <f t="shared" si="100"/>
        <v>0</v>
      </c>
      <c r="BG217" s="140">
        <f t="shared" si="101"/>
        <v>0</v>
      </c>
      <c r="BH217" s="132"/>
      <c r="BI217" s="140">
        <f t="shared" si="102"/>
        <v>0</v>
      </c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30">
        <f t="shared" si="103"/>
        <v>0</v>
      </c>
      <c r="BX217" s="132"/>
    </row>
    <row r="218" ht="14.25" customHeight="1">
      <c r="A218" s="132"/>
      <c r="B218" s="512">
        <v>46216</v>
      </c>
      <c r="C218" s="133"/>
      <c r="D218" s="136"/>
      <c r="E218" s="135"/>
      <c r="F218" s="135"/>
      <c r="G218" s="147">
        <f t="shared" si="96"/>
        <v>0</v>
      </c>
      <c r="H218" s="144"/>
      <c r="I218" s="143"/>
      <c r="J218" s="143"/>
      <c r="K218" s="143"/>
      <c r="L218" s="143"/>
      <c r="M218" s="143"/>
      <c r="N218" s="143"/>
      <c r="O218" s="99"/>
      <c r="P218" s="143"/>
      <c r="Q218" s="143"/>
      <c r="R218" s="143"/>
      <c r="S218" s="143"/>
      <c r="T218" s="143"/>
      <c r="U218" s="103">
        <f t="shared" si="97"/>
        <v>0</v>
      </c>
      <c r="V218" s="136"/>
      <c r="W218" s="136"/>
      <c r="X218" s="136"/>
      <c r="Y218" s="99"/>
      <c r="Z218" s="99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03">
        <f t="shared" si="98"/>
        <v>0</v>
      </c>
      <c r="AK218" s="136"/>
      <c r="AL218" s="136"/>
      <c r="AM218" s="136"/>
      <c r="AN218" s="105">
        <f t="shared" si="99"/>
        <v>0</v>
      </c>
      <c r="AO218" s="143"/>
      <c r="AP218" s="143"/>
      <c r="AQ218" s="143"/>
      <c r="AR218" s="143"/>
      <c r="AS218" s="146"/>
      <c r="AT218" s="224">
        <f t="shared" si="104"/>
        <v>0</v>
      </c>
      <c r="AU218" s="433"/>
      <c r="AV218" s="433"/>
      <c r="AW218" s="433"/>
      <c r="AX218" s="433"/>
      <c r="AY218" s="433"/>
      <c r="AZ218" s="428"/>
      <c r="BA218" s="433"/>
      <c r="BB218" s="127"/>
      <c r="BC218" s="127"/>
      <c r="BD218" s="127"/>
      <c r="BE218" s="126"/>
      <c r="BF218" s="222">
        <f t="shared" si="100"/>
        <v>0</v>
      </c>
      <c r="BG218" s="140">
        <f t="shared" si="101"/>
        <v>0</v>
      </c>
      <c r="BH218" s="132"/>
      <c r="BI218" s="140">
        <f t="shared" si="102"/>
        <v>0</v>
      </c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30">
        <f t="shared" si="103"/>
        <v>0</v>
      </c>
      <c r="BX218" s="132"/>
    </row>
    <row r="219" ht="14.25" customHeight="1">
      <c r="A219" s="132"/>
      <c r="B219" s="512">
        <v>46217</v>
      </c>
      <c r="C219" s="133"/>
      <c r="D219" s="136"/>
      <c r="E219" s="135"/>
      <c r="F219" s="135"/>
      <c r="G219" s="147">
        <f t="shared" si="96"/>
        <v>0</v>
      </c>
      <c r="H219" s="144"/>
      <c r="I219" s="143"/>
      <c r="J219" s="143"/>
      <c r="K219" s="143"/>
      <c r="L219" s="143"/>
      <c r="M219" s="143"/>
      <c r="N219" s="143"/>
      <c r="O219" s="99"/>
      <c r="P219" s="143"/>
      <c r="Q219" s="143"/>
      <c r="R219" s="143"/>
      <c r="S219" s="143"/>
      <c r="T219" s="143"/>
      <c r="U219" s="103">
        <f t="shared" si="97"/>
        <v>0</v>
      </c>
      <c r="V219" s="136"/>
      <c r="W219" s="136"/>
      <c r="X219" s="136"/>
      <c r="Y219" s="99"/>
      <c r="Z219" s="99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03">
        <f t="shared" si="98"/>
        <v>0</v>
      </c>
      <c r="AK219" s="136"/>
      <c r="AL219" s="136"/>
      <c r="AM219" s="136"/>
      <c r="AN219" s="105">
        <f t="shared" si="99"/>
        <v>0</v>
      </c>
      <c r="AO219" s="143"/>
      <c r="AP219" s="143"/>
      <c r="AQ219" s="143"/>
      <c r="AR219" s="143"/>
      <c r="AS219" s="146"/>
      <c r="AT219" s="224">
        <f t="shared" si="104"/>
        <v>0</v>
      </c>
      <c r="AU219" s="433"/>
      <c r="AV219" s="433"/>
      <c r="AW219" s="433"/>
      <c r="AX219" s="433"/>
      <c r="AY219" s="433"/>
      <c r="AZ219" s="428"/>
      <c r="BA219" s="433"/>
      <c r="BB219" s="127"/>
      <c r="BC219" s="127"/>
      <c r="BD219" s="127"/>
      <c r="BE219" s="126"/>
      <c r="BF219" s="222">
        <f t="shared" si="100"/>
        <v>0</v>
      </c>
      <c r="BG219" s="140">
        <f t="shared" si="101"/>
        <v>0</v>
      </c>
      <c r="BH219" s="132"/>
      <c r="BI219" s="140">
        <f t="shared" si="102"/>
        <v>0</v>
      </c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30">
        <f t="shared" si="103"/>
        <v>0</v>
      </c>
      <c r="BX219" s="132"/>
    </row>
    <row r="220" ht="14.25" customHeight="1">
      <c r="A220" s="132"/>
      <c r="B220" s="512">
        <v>46218</v>
      </c>
      <c r="C220" s="133"/>
      <c r="D220" s="136"/>
      <c r="E220" s="135"/>
      <c r="F220" s="135"/>
      <c r="G220" s="147">
        <f t="shared" si="96"/>
        <v>0</v>
      </c>
      <c r="H220" s="144"/>
      <c r="I220" s="143"/>
      <c r="J220" s="143"/>
      <c r="K220" s="143"/>
      <c r="L220" s="143"/>
      <c r="M220" s="143"/>
      <c r="N220" s="143"/>
      <c r="O220" s="99"/>
      <c r="P220" s="143"/>
      <c r="Q220" s="143"/>
      <c r="R220" s="143"/>
      <c r="S220" s="143"/>
      <c r="T220" s="143"/>
      <c r="U220" s="103">
        <f t="shared" si="97"/>
        <v>0</v>
      </c>
      <c r="V220" s="133"/>
      <c r="W220" s="133"/>
      <c r="X220" s="136"/>
      <c r="Y220" s="99"/>
      <c r="Z220" s="99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03">
        <f t="shared" si="98"/>
        <v>0</v>
      </c>
      <c r="AK220" s="136"/>
      <c r="AL220" s="136"/>
      <c r="AM220" s="136"/>
      <c r="AN220" s="105">
        <f t="shared" si="99"/>
        <v>0</v>
      </c>
      <c r="AO220" s="143"/>
      <c r="AP220" s="143"/>
      <c r="AQ220" s="143"/>
      <c r="AR220" s="143"/>
      <c r="AS220" s="146"/>
      <c r="AT220" s="224">
        <f t="shared" si="104"/>
        <v>0</v>
      </c>
      <c r="AU220" s="433"/>
      <c r="AV220" s="433"/>
      <c r="AW220" s="433"/>
      <c r="AX220" s="433"/>
      <c r="AY220" s="433"/>
      <c r="AZ220" s="428"/>
      <c r="BA220" s="433"/>
      <c r="BB220" s="127"/>
      <c r="BC220" s="127"/>
      <c r="BD220" s="127"/>
      <c r="BE220" s="126"/>
      <c r="BF220" s="222">
        <f t="shared" si="100"/>
        <v>0</v>
      </c>
      <c r="BG220" s="140">
        <f t="shared" si="101"/>
        <v>0</v>
      </c>
      <c r="BH220" s="132"/>
      <c r="BI220" s="140">
        <f t="shared" si="102"/>
        <v>0</v>
      </c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30">
        <f t="shared" si="103"/>
        <v>0</v>
      </c>
      <c r="BX220" s="132"/>
    </row>
    <row r="221" ht="14.25" customHeight="1">
      <c r="A221" s="132"/>
      <c r="B221" s="512">
        <v>46219</v>
      </c>
      <c r="C221" s="133"/>
      <c r="D221" s="136"/>
      <c r="E221" s="135"/>
      <c r="F221" s="135"/>
      <c r="G221" s="147">
        <f t="shared" si="96"/>
        <v>0</v>
      </c>
      <c r="H221" s="144"/>
      <c r="I221" s="143"/>
      <c r="J221" s="143"/>
      <c r="K221" s="143"/>
      <c r="L221" s="143"/>
      <c r="M221" s="143"/>
      <c r="N221" s="143"/>
      <c r="O221" s="99"/>
      <c r="P221" s="143"/>
      <c r="Q221" s="143"/>
      <c r="R221" s="143"/>
      <c r="S221" s="143"/>
      <c r="T221" s="143"/>
      <c r="U221" s="103">
        <f t="shared" si="97"/>
        <v>0</v>
      </c>
      <c r="V221" s="136"/>
      <c r="W221" s="136"/>
      <c r="X221" s="136"/>
      <c r="Y221" s="99"/>
      <c r="Z221" s="99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03">
        <f t="shared" si="98"/>
        <v>0</v>
      </c>
      <c r="AK221" s="136"/>
      <c r="AL221" s="136"/>
      <c r="AM221" s="136"/>
      <c r="AN221" s="105">
        <f t="shared" si="99"/>
        <v>0</v>
      </c>
      <c r="AO221" s="143"/>
      <c r="AP221" s="143"/>
      <c r="AQ221" s="143"/>
      <c r="AR221" s="143"/>
      <c r="AS221" s="146"/>
      <c r="AT221" s="224">
        <f t="shared" si="104"/>
        <v>0</v>
      </c>
      <c r="AU221" s="433"/>
      <c r="AV221" s="433"/>
      <c r="AW221" s="433"/>
      <c r="AX221" s="433"/>
      <c r="AY221" s="1176"/>
      <c r="AZ221" s="428"/>
      <c r="BA221" s="433"/>
      <c r="BB221" s="127"/>
      <c r="BC221" s="127"/>
      <c r="BD221" s="127"/>
      <c r="BE221" s="126"/>
      <c r="BF221" s="222">
        <f t="shared" si="100"/>
        <v>0</v>
      </c>
      <c r="BG221" s="140">
        <f t="shared" si="101"/>
        <v>0</v>
      </c>
      <c r="BH221" s="132"/>
      <c r="BI221" s="140">
        <f t="shared" si="102"/>
        <v>0</v>
      </c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30">
        <f t="shared" si="103"/>
        <v>0</v>
      </c>
      <c r="BX221" s="132"/>
    </row>
    <row r="222" ht="14.25" customHeight="1">
      <c r="A222" s="132"/>
      <c r="B222" s="512">
        <v>46220</v>
      </c>
      <c r="C222" s="133"/>
      <c r="D222" s="136"/>
      <c r="E222" s="135"/>
      <c r="F222" s="135"/>
      <c r="G222" s="147">
        <f t="shared" si="96"/>
        <v>0</v>
      </c>
      <c r="H222" s="144"/>
      <c r="I222" s="143"/>
      <c r="J222" s="143"/>
      <c r="K222" s="143"/>
      <c r="L222" s="143"/>
      <c r="M222" s="143"/>
      <c r="N222" s="143"/>
      <c r="O222" s="99"/>
      <c r="P222" s="143"/>
      <c r="Q222" s="143"/>
      <c r="R222" s="143"/>
      <c r="S222" s="143"/>
      <c r="T222" s="143"/>
      <c r="U222" s="103">
        <f t="shared" si="97"/>
        <v>0</v>
      </c>
      <c r="V222" s="136"/>
      <c r="W222" s="136"/>
      <c r="X222" s="136"/>
      <c r="Y222" s="99"/>
      <c r="Z222" s="99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03">
        <f t="shared" si="98"/>
        <v>0</v>
      </c>
      <c r="AK222" s="136"/>
      <c r="AL222" s="136"/>
      <c r="AM222" s="136"/>
      <c r="AN222" s="105">
        <f t="shared" si="99"/>
        <v>0</v>
      </c>
      <c r="AO222" s="143"/>
      <c r="AP222" s="143"/>
      <c r="AQ222" s="143"/>
      <c r="AR222" s="143"/>
      <c r="AS222" s="146"/>
      <c r="AT222" s="224">
        <f t="shared" si="104"/>
        <v>0</v>
      </c>
      <c r="AU222" s="433"/>
      <c r="AV222" s="433"/>
      <c r="AW222" s="433"/>
      <c r="AX222" s="433"/>
      <c r="AY222" s="433"/>
      <c r="AZ222" s="428"/>
      <c r="BA222" s="433"/>
      <c r="BB222" s="127"/>
      <c r="BC222" s="127"/>
      <c r="BD222" s="127"/>
      <c r="BE222" s="126"/>
      <c r="BF222" s="222">
        <f t="shared" si="100"/>
        <v>0</v>
      </c>
      <c r="BG222" s="140">
        <f t="shared" si="101"/>
        <v>0</v>
      </c>
      <c r="BH222" s="132"/>
      <c r="BI222" s="140">
        <f t="shared" si="102"/>
        <v>0</v>
      </c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30">
        <f t="shared" si="103"/>
        <v>0</v>
      </c>
      <c r="BX222" s="132"/>
    </row>
    <row r="223" ht="14.25" customHeight="1">
      <c r="A223" s="132"/>
      <c r="B223" s="512">
        <v>46221</v>
      </c>
      <c r="C223" s="133"/>
      <c r="D223" s="136"/>
      <c r="E223" s="135"/>
      <c r="F223" s="135"/>
      <c r="G223" s="147">
        <f t="shared" si="96"/>
        <v>0</v>
      </c>
      <c r="H223" s="144"/>
      <c r="I223" s="143"/>
      <c r="J223" s="143"/>
      <c r="K223" s="143"/>
      <c r="L223" s="143"/>
      <c r="M223" s="143"/>
      <c r="N223" s="143"/>
      <c r="O223" s="99"/>
      <c r="P223" s="143"/>
      <c r="Q223" s="143"/>
      <c r="R223" s="143"/>
      <c r="S223" s="143"/>
      <c r="T223" s="143"/>
      <c r="U223" s="103">
        <f t="shared" si="97"/>
        <v>0</v>
      </c>
      <c r="V223" s="133"/>
      <c r="W223" s="133"/>
      <c r="X223" s="136"/>
      <c r="Y223" s="99"/>
      <c r="Z223" s="99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03">
        <f t="shared" si="98"/>
        <v>0</v>
      </c>
      <c r="AK223" s="136"/>
      <c r="AL223" s="136"/>
      <c r="AM223" s="136"/>
      <c r="AN223" s="105">
        <f t="shared" si="99"/>
        <v>0</v>
      </c>
      <c r="AO223" s="143"/>
      <c r="AP223" s="143"/>
      <c r="AQ223" s="143"/>
      <c r="AR223" s="143"/>
      <c r="AS223" s="146"/>
      <c r="AT223" s="224">
        <f t="shared" si="104"/>
        <v>0</v>
      </c>
      <c r="AU223" s="433"/>
      <c r="AV223" s="433"/>
      <c r="AW223" s="433"/>
      <c r="AX223" s="433"/>
      <c r="AY223" s="433"/>
      <c r="AZ223" s="428"/>
      <c r="BA223" s="433"/>
      <c r="BB223" s="127"/>
      <c r="BC223" s="127"/>
      <c r="BD223" s="127"/>
      <c r="BE223" s="126"/>
      <c r="BF223" s="222">
        <f t="shared" si="100"/>
        <v>0</v>
      </c>
      <c r="BG223" s="140">
        <f t="shared" si="101"/>
        <v>0</v>
      </c>
      <c r="BH223" s="132"/>
      <c r="BI223" s="140">
        <f t="shared" si="102"/>
        <v>0</v>
      </c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30">
        <f t="shared" si="103"/>
        <v>0</v>
      </c>
      <c r="BX223" s="132"/>
    </row>
    <row r="224" ht="14.25" customHeight="1">
      <c r="A224" s="132"/>
      <c r="B224" s="512">
        <v>46222</v>
      </c>
      <c r="C224" s="133"/>
      <c r="D224" s="136"/>
      <c r="E224" s="135"/>
      <c r="F224" s="135"/>
      <c r="G224" s="147">
        <f t="shared" si="96"/>
        <v>0</v>
      </c>
      <c r="H224" s="144"/>
      <c r="I224" s="143"/>
      <c r="J224" s="143"/>
      <c r="K224" s="143"/>
      <c r="L224" s="143"/>
      <c r="M224" s="143"/>
      <c r="N224" s="143"/>
      <c r="O224" s="99"/>
      <c r="P224" s="143"/>
      <c r="Q224" s="143"/>
      <c r="R224" s="143"/>
      <c r="S224" s="143"/>
      <c r="T224" s="143"/>
      <c r="U224" s="103">
        <f t="shared" si="97"/>
        <v>0</v>
      </c>
      <c r="V224" s="136"/>
      <c r="W224" s="136"/>
      <c r="X224" s="136"/>
      <c r="Y224" s="99"/>
      <c r="Z224" s="99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03">
        <f t="shared" si="98"/>
        <v>0</v>
      </c>
      <c r="AK224" s="136"/>
      <c r="AL224" s="136"/>
      <c r="AM224" s="136"/>
      <c r="AN224" s="105">
        <f t="shared" si="99"/>
        <v>0</v>
      </c>
      <c r="AO224" s="143"/>
      <c r="AP224" s="143"/>
      <c r="AQ224" s="143"/>
      <c r="AR224" s="143"/>
      <c r="AS224" s="146"/>
      <c r="AT224" s="224">
        <f ref="AT224:AT230" t="shared" si="105">+G224-U224-AJ224-AN224-AO224-AQ224-AR224-AS224</f>
        <v>0</v>
      </c>
      <c r="AU224" s="433"/>
      <c r="AV224" s="433"/>
      <c r="AW224" s="433"/>
      <c r="AX224" s="433"/>
      <c r="AY224" s="433"/>
      <c r="AZ224" s="428"/>
      <c r="BA224" s="433"/>
      <c r="BB224" s="127"/>
      <c r="BC224" s="127"/>
      <c r="BD224" s="127"/>
      <c r="BE224" s="126"/>
      <c r="BF224" s="222">
        <f t="shared" si="100"/>
        <v>0</v>
      </c>
      <c r="BG224" s="140">
        <f t="shared" si="101"/>
        <v>0</v>
      </c>
      <c r="BH224" s="132"/>
      <c r="BI224" s="140">
        <f t="shared" si="102"/>
        <v>0</v>
      </c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30">
        <f t="shared" si="103"/>
        <v>0</v>
      </c>
      <c r="BX224" s="132"/>
    </row>
    <row r="225" ht="14.25" customHeight="1">
      <c r="A225" s="132"/>
      <c r="B225" s="512">
        <v>46223</v>
      </c>
      <c r="C225" s="133"/>
      <c r="D225" s="136"/>
      <c r="E225" s="135"/>
      <c r="F225" s="135"/>
      <c r="G225" s="147">
        <f t="shared" si="96"/>
        <v>0</v>
      </c>
      <c r="H225" s="144"/>
      <c r="I225" s="143"/>
      <c r="J225" s="143"/>
      <c r="K225" s="143"/>
      <c r="L225" s="143"/>
      <c r="M225" s="143"/>
      <c r="N225" s="143"/>
      <c r="O225" s="99"/>
      <c r="P225" s="143"/>
      <c r="Q225" s="143"/>
      <c r="R225" s="143"/>
      <c r="S225" s="143"/>
      <c r="T225" s="143"/>
      <c r="U225" s="103">
        <f t="shared" si="97"/>
        <v>0</v>
      </c>
      <c r="V225" s="136"/>
      <c r="W225" s="136"/>
      <c r="X225" s="136"/>
      <c r="Y225" s="99"/>
      <c r="Z225" s="99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03">
        <f t="shared" si="98"/>
        <v>0</v>
      </c>
      <c r="AK225" s="136"/>
      <c r="AL225" s="136"/>
      <c r="AM225" s="136"/>
      <c r="AN225" s="105">
        <f t="shared" si="99"/>
        <v>0</v>
      </c>
      <c r="AO225" s="143"/>
      <c r="AP225" s="143"/>
      <c r="AQ225" s="143"/>
      <c r="AR225" s="143"/>
      <c r="AS225" s="146"/>
      <c r="AT225" s="224">
        <f t="shared" si="105"/>
        <v>0</v>
      </c>
      <c r="AU225" s="433"/>
      <c r="AV225" s="433"/>
      <c r="AW225" s="433"/>
      <c r="AX225" s="433"/>
      <c r="AY225" s="433"/>
      <c r="AZ225" s="428"/>
      <c r="BA225" s="433"/>
      <c r="BB225" s="127"/>
      <c r="BC225" s="127"/>
      <c r="BD225" s="127"/>
      <c r="BE225" s="126"/>
      <c r="BF225" s="222">
        <f t="shared" si="100"/>
        <v>0</v>
      </c>
      <c r="BG225" s="140">
        <f t="shared" si="101"/>
        <v>0</v>
      </c>
      <c r="BH225" s="132"/>
      <c r="BI225" s="140">
        <f t="shared" si="102"/>
        <v>0</v>
      </c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30">
        <f t="shared" si="103"/>
        <v>0</v>
      </c>
      <c r="BX225" s="132"/>
    </row>
    <row r="226" ht="14.25" customHeight="1">
      <c r="A226" s="132"/>
      <c r="B226" s="512">
        <v>46224</v>
      </c>
      <c r="C226" s="133"/>
      <c r="D226" s="136"/>
      <c r="E226" s="135"/>
      <c r="F226" s="135"/>
      <c r="G226" s="1178">
        <f t="shared" si="96"/>
        <v>0</v>
      </c>
      <c r="H226" s="144"/>
      <c r="I226" s="143"/>
      <c r="J226" s="143"/>
      <c r="K226" s="143"/>
      <c r="L226" s="143"/>
      <c r="M226" s="143"/>
      <c r="N226" s="143"/>
      <c r="O226" s="99"/>
      <c r="P226" s="143"/>
      <c r="Q226" s="143"/>
      <c r="R226" s="143"/>
      <c r="S226" s="143"/>
      <c r="T226" s="143"/>
      <c r="U226" s="1158">
        <f t="shared" si="97"/>
        <v>0</v>
      </c>
      <c r="V226" s="136"/>
      <c r="W226" s="136"/>
      <c r="X226" s="136"/>
      <c r="Y226" s="99"/>
      <c r="Z226" s="99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03">
        <f t="shared" si="98"/>
        <v>0</v>
      </c>
      <c r="AK226" s="136"/>
      <c r="AL226" s="136"/>
      <c r="AM226" s="136"/>
      <c r="AN226" s="1179">
        <f t="shared" si="99"/>
        <v>0</v>
      </c>
      <c r="AO226" s="143"/>
      <c r="AP226" s="143"/>
      <c r="AQ226" s="143"/>
      <c r="AR226" s="143"/>
      <c r="AS226" s="146"/>
      <c r="AT226" s="1180">
        <f t="shared" si="105"/>
        <v>0</v>
      </c>
      <c r="AU226" s="433"/>
      <c r="AV226" s="433"/>
      <c r="AW226" s="433"/>
      <c r="AX226" s="433"/>
      <c r="AY226" s="433"/>
      <c r="AZ226" s="428"/>
      <c r="BA226" s="433"/>
      <c r="BB226" s="127"/>
      <c r="BC226" s="127"/>
      <c r="BD226" s="127"/>
      <c r="BE226" s="126"/>
      <c r="BF226" s="1181">
        <f t="shared" si="100"/>
        <v>0</v>
      </c>
      <c r="BG226" s="140">
        <f t="shared" si="101"/>
        <v>0</v>
      </c>
      <c r="BH226" s="132"/>
      <c r="BI226" s="140">
        <f t="shared" si="102"/>
        <v>0</v>
      </c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635">
        <f t="shared" si="103"/>
        <v>0</v>
      </c>
      <c r="BX226" s="132"/>
    </row>
    <row r="227" ht="14.25" customHeight="1">
      <c r="A227" s="132"/>
      <c r="B227" s="512">
        <v>46225</v>
      </c>
      <c r="C227" s="133"/>
      <c r="D227" s="136"/>
      <c r="E227" s="135"/>
      <c r="F227" s="135"/>
      <c r="G227" s="147">
        <f t="shared" si="96"/>
        <v>0</v>
      </c>
      <c r="H227" s="144"/>
      <c r="I227" s="143"/>
      <c r="J227" s="143"/>
      <c r="K227" s="143"/>
      <c r="L227" s="143"/>
      <c r="M227" s="143"/>
      <c r="N227" s="143"/>
      <c r="O227" s="99"/>
      <c r="P227" s="143"/>
      <c r="Q227" s="143"/>
      <c r="R227" s="143"/>
      <c r="S227" s="143"/>
      <c r="T227" s="143"/>
      <c r="U227" s="103">
        <f t="shared" si="97"/>
        <v>0</v>
      </c>
      <c r="V227" s="133"/>
      <c r="W227" s="133"/>
      <c r="X227" s="136"/>
      <c r="Y227" s="99"/>
      <c r="Z227" s="99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03">
        <f t="shared" si="98"/>
        <v>0</v>
      </c>
      <c r="AK227" s="136"/>
      <c r="AL227" s="136"/>
      <c r="AM227" s="136"/>
      <c r="AN227" s="105">
        <f t="shared" si="99"/>
        <v>0</v>
      </c>
      <c r="AO227" s="143"/>
      <c r="AP227" s="143"/>
      <c r="AQ227" s="143"/>
      <c r="AR227" s="143"/>
      <c r="AS227" s="146"/>
      <c r="AT227" s="224">
        <f t="shared" si="105"/>
        <v>0</v>
      </c>
      <c r="AU227" s="433"/>
      <c r="AV227" s="433"/>
      <c r="AW227" s="433"/>
      <c r="AX227" s="433"/>
      <c r="AY227" s="433"/>
      <c r="AZ227" s="428"/>
      <c r="BA227" s="433"/>
      <c r="BB227" s="127"/>
      <c r="BC227" s="127"/>
      <c r="BD227" s="127"/>
      <c r="BE227" s="126"/>
      <c r="BF227" s="222">
        <f t="shared" si="100"/>
        <v>0</v>
      </c>
      <c r="BG227" s="140">
        <f t="shared" si="101"/>
        <v>0</v>
      </c>
      <c r="BH227" s="132"/>
      <c r="BI227" s="140">
        <f t="shared" si="102"/>
        <v>0</v>
      </c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30">
        <f t="shared" si="103"/>
        <v>0</v>
      </c>
      <c r="BX227" s="132"/>
    </row>
    <row r="228" ht="14.25" customHeight="1">
      <c r="A228" s="132"/>
      <c r="B228" s="512">
        <v>46226</v>
      </c>
      <c r="C228" s="133"/>
      <c r="D228" s="136"/>
      <c r="E228" s="135"/>
      <c r="F228" s="135"/>
      <c r="G228" s="147">
        <f t="shared" si="96"/>
        <v>0</v>
      </c>
      <c r="H228" s="144"/>
      <c r="I228" s="143"/>
      <c r="J228" s="143"/>
      <c r="K228" s="143"/>
      <c r="L228" s="143"/>
      <c r="M228" s="143"/>
      <c r="N228" s="143"/>
      <c r="O228" s="99"/>
      <c r="P228" s="143"/>
      <c r="Q228" s="143"/>
      <c r="R228" s="143"/>
      <c r="S228" s="143"/>
      <c r="T228" s="143"/>
      <c r="U228" s="103">
        <f t="shared" si="97"/>
        <v>0</v>
      </c>
      <c r="V228" s="136"/>
      <c r="W228" s="136"/>
      <c r="X228" s="136"/>
      <c r="Y228" s="99"/>
      <c r="Z228" s="99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03">
        <f t="shared" si="98"/>
        <v>0</v>
      </c>
      <c r="AK228" s="136"/>
      <c r="AL228" s="136"/>
      <c r="AM228" s="136"/>
      <c r="AN228" s="105">
        <f t="shared" si="99"/>
        <v>0</v>
      </c>
      <c r="AO228" s="143"/>
      <c r="AP228" s="143"/>
      <c r="AQ228" s="143"/>
      <c r="AR228" s="143"/>
      <c r="AS228" s="146"/>
      <c r="AT228" s="224">
        <f t="shared" si="105"/>
        <v>0</v>
      </c>
      <c r="AU228" s="433"/>
      <c r="AV228" s="433"/>
      <c r="AW228" s="433"/>
      <c r="AX228" s="433"/>
      <c r="AY228" s="433"/>
      <c r="AZ228" s="428"/>
      <c r="BA228" s="433"/>
      <c r="BB228" s="127"/>
      <c r="BC228" s="127"/>
      <c r="BD228" s="127"/>
      <c r="BE228" s="126"/>
      <c r="BF228" s="222">
        <f t="shared" si="100"/>
        <v>0</v>
      </c>
      <c r="BG228" s="140">
        <f t="shared" si="101"/>
        <v>0</v>
      </c>
      <c r="BH228" s="132"/>
      <c r="BI228" s="140">
        <f t="shared" si="102"/>
        <v>0</v>
      </c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30">
        <f t="shared" si="103"/>
        <v>0</v>
      </c>
      <c r="BX228" s="132"/>
    </row>
    <row r="229" ht="14.25" customHeight="1">
      <c r="A229" s="132"/>
      <c r="B229" s="512">
        <v>46227</v>
      </c>
      <c r="C229" s="133"/>
      <c r="D229" s="136"/>
      <c r="E229" s="135"/>
      <c r="F229" s="135"/>
      <c r="G229" s="147">
        <f t="shared" si="96"/>
        <v>0</v>
      </c>
      <c r="H229" s="144"/>
      <c r="I229" s="143"/>
      <c r="J229" s="143"/>
      <c r="K229" s="143"/>
      <c r="L229" s="143"/>
      <c r="M229" s="143"/>
      <c r="N229" s="143"/>
      <c r="O229" s="99"/>
      <c r="P229" s="143"/>
      <c r="Q229" s="143"/>
      <c r="R229" s="143"/>
      <c r="S229" s="143"/>
      <c r="T229" s="143"/>
      <c r="U229" s="103">
        <f t="shared" si="97"/>
        <v>0</v>
      </c>
      <c r="V229" s="136"/>
      <c r="W229" s="136"/>
      <c r="X229" s="136"/>
      <c r="Y229" s="99"/>
      <c r="Z229" s="99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03">
        <f t="shared" si="98"/>
        <v>0</v>
      </c>
      <c r="AK229" s="136"/>
      <c r="AL229" s="136"/>
      <c r="AM229" s="136"/>
      <c r="AN229" s="105">
        <f t="shared" si="99"/>
        <v>0</v>
      </c>
      <c r="AO229" s="143"/>
      <c r="AP229" s="143"/>
      <c r="AQ229" s="143"/>
      <c r="AR229" s="143"/>
      <c r="AS229" s="146"/>
      <c r="AT229" s="224">
        <f t="shared" si="105"/>
        <v>0</v>
      </c>
      <c r="AU229" s="433"/>
      <c r="AV229" s="433"/>
      <c r="AW229" s="433"/>
      <c r="AX229" s="433"/>
      <c r="AY229" s="433"/>
      <c r="AZ229" s="428"/>
      <c r="BA229" s="433"/>
      <c r="BB229" s="127"/>
      <c r="BC229" s="127"/>
      <c r="BD229" s="127"/>
      <c r="BE229" s="126"/>
      <c r="BF229" s="222">
        <f t="shared" si="100"/>
        <v>0</v>
      </c>
      <c r="BG229" s="140">
        <f t="shared" si="101"/>
        <v>0</v>
      </c>
      <c r="BH229" s="132"/>
      <c r="BI229" s="140">
        <f t="shared" si="102"/>
        <v>0</v>
      </c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30">
        <f t="shared" si="103"/>
        <v>0</v>
      </c>
      <c r="BX229" s="132"/>
    </row>
    <row r="230" ht="14.25" customHeight="1">
      <c r="A230" s="132"/>
      <c r="B230" s="512">
        <v>46228</v>
      </c>
      <c r="C230" s="133"/>
      <c r="D230" s="136"/>
      <c r="E230" s="135"/>
      <c r="F230" s="135"/>
      <c r="G230" s="147">
        <f t="shared" si="96"/>
        <v>0</v>
      </c>
      <c r="H230" s="144"/>
      <c r="I230" s="143"/>
      <c r="J230" s="143"/>
      <c r="K230" s="143"/>
      <c r="L230" s="143"/>
      <c r="M230" s="143"/>
      <c r="N230" s="143"/>
      <c r="O230" s="99"/>
      <c r="P230" s="143"/>
      <c r="Q230" s="143"/>
      <c r="R230" s="143"/>
      <c r="S230" s="143"/>
      <c r="T230" s="143"/>
      <c r="U230" s="103">
        <f t="shared" si="97"/>
        <v>0</v>
      </c>
      <c r="V230" s="133"/>
      <c r="W230" s="133"/>
      <c r="X230" s="136"/>
      <c r="Y230" s="99"/>
      <c r="Z230" s="99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03">
        <f t="shared" si="98"/>
        <v>0</v>
      </c>
      <c r="AK230" s="136"/>
      <c r="AL230" s="136"/>
      <c r="AM230" s="136"/>
      <c r="AN230" s="105">
        <f t="shared" si="99"/>
        <v>0</v>
      </c>
      <c r="AO230" s="143"/>
      <c r="AP230" s="143"/>
      <c r="AQ230" s="143"/>
      <c r="AR230" s="143"/>
      <c r="AS230" s="146"/>
      <c r="AT230" s="224">
        <f t="shared" si="105"/>
        <v>0</v>
      </c>
      <c r="AU230" s="433"/>
      <c r="AV230" s="1182"/>
      <c r="AW230" s="1183"/>
      <c r="AX230" s="1182"/>
      <c r="AY230" s="433"/>
      <c r="AZ230" s="428"/>
      <c r="BA230" s="433"/>
      <c r="BB230" s="127"/>
      <c r="BC230" s="127"/>
      <c r="BD230" s="127"/>
      <c r="BE230" s="126"/>
      <c r="BF230" s="222">
        <f t="shared" si="100"/>
        <v>0</v>
      </c>
      <c r="BG230" s="140">
        <f t="shared" si="101"/>
        <v>0</v>
      </c>
      <c r="BH230" s="132"/>
      <c r="BI230" s="140">
        <f t="shared" si="102"/>
        <v>0</v>
      </c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30">
        <f t="shared" si="103"/>
        <v>0</v>
      </c>
      <c r="BX230" s="132"/>
    </row>
    <row r="231" ht="14.25" customHeight="1">
      <c r="A231" s="132"/>
      <c r="B231" s="512">
        <v>46229</v>
      </c>
      <c r="C231" s="133"/>
      <c r="D231" s="136"/>
      <c r="E231" s="135"/>
      <c r="F231" s="135"/>
      <c r="G231" s="147">
        <f t="shared" si="96"/>
        <v>0</v>
      </c>
      <c r="H231" s="144"/>
      <c r="I231" s="143"/>
      <c r="J231" s="143"/>
      <c r="K231" s="143"/>
      <c r="L231" s="143"/>
      <c r="M231" s="143"/>
      <c r="N231" s="143"/>
      <c r="O231" s="99"/>
      <c r="P231" s="143"/>
      <c r="Q231" s="143"/>
      <c r="R231" s="143"/>
      <c r="S231" s="143"/>
      <c r="T231" s="143"/>
      <c r="U231" s="103">
        <f t="shared" si="97"/>
        <v>0</v>
      </c>
      <c r="V231" s="136"/>
      <c r="W231" s="136"/>
      <c r="X231" s="136"/>
      <c r="Y231" s="99"/>
      <c r="Z231" s="99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03">
        <f t="shared" si="98"/>
        <v>0</v>
      </c>
      <c r="AK231" s="136"/>
      <c r="AL231" s="136"/>
      <c r="AM231" s="136"/>
      <c r="AN231" s="105">
        <f t="shared" si="99"/>
        <v>0</v>
      </c>
      <c r="AO231" s="143"/>
      <c r="AP231" s="143"/>
      <c r="AQ231" s="143"/>
      <c r="AR231" s="143"/>
      <c r="AS231" s="146"/>
      <c r="AT231" s="224">
        <f>+G231-U231-AJ231-AN231-AO231-AQ231-AR231-AS231-AP231</f>
        <v>0</v>
      </c>
      <c r="AU231" s="433"/>
      <c r="AV231" s="433"/>
      <c r="AW231" s="433"/>
      <c r="AX231" s="433"/>
      <c r="AY231" s="433"/>
      <c r="AZ231" s="428"/>
      <c r="BA231" s="433"/>
      <c r="BB231" s="127"/>
      <c r="BC231" s="127"/>
      <c r="BD231" s="127"/>
      <c r="BE231" s="126"/>
      <c r="BF231" s="222">
        <f t="shared" si="100"/>
        <v>0</v>
      </c>
      <c r="BG231" s="140">
        <f t="shared" si="101"/>
        <v>0</v>
      </c>
      <c r="BH231" s="132"/>
      <c r="BI231" s="140">
        <f t="shared" si="102"/>
        <v>0</v>
      </c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30">
        <f t="shared" si="103"/>
        <v>0</v>
      </c>
      <c r="BX231" s="132"/>
    </row>
    <row r="232" ht="14.25" customHeight="1">
      <c r="A232" s="132"/>
      <c r="B232" s="512">
        <v>46230</v>
      </c>
      <c r="C232" s="133"/>
      <c r="D232" s="136"/>
      <c r="E232" s="135"/>
      <c r="F232" s="135"/>
      <c r="G232" s="147">
        <f t="shared" si="96"/>
        <v>0</v>
      </c>
      <c r="H232" s="144"/>
      <c r="I232" s="143"/>
      <c r="J232" s="143"/>
      <c r="K232" s="143"/>
      <c r="L232" s="143"/>
      <c r="M232" s="143"/>
      <c r="N232" s="143"/>
      <c r="O232" s="99"/>
      <c r="P232" s="143"/>
      <c r="Q232" s="143"/>
      <c r="R232" s="143"/>
      <c r="S232" s="143"/>
      <c r="T232" s="143"/>
      <c r="U232" s="103">
        <f t="shared" si="97"/>
        <v>0</v>
      </c>
      <c r="V232" s="136"/>
      <c r="W232" s="136"/>
      <c r="X232" s="136"/>
      <c r="Y232" s="99"/>
      <c r="Z232" s="99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03">
        <f t="shared" si="98"/>
        <v>0</v>
      </c>
      <c r="AK232" s="136"/>
      <c r="AL232" s="136"/>
      <c r="AM232" s="136"/>
      <c r="AN232" s="105">
        <f t="shared" si="99"/>
        <v>0</v>
      </c>
      <c r="AO232" s="143"/>
      <c r="AP232" s="143"/>
      <c r="AQ232" s="143"/>
      <c r="AR232" s="143"/>
      <c r="AS232" s="146"/>
      <c r="AT232" s="224">
        <f>+G232-U232-AJ232-AN232-AO232-AQ232-AR232-AS232</f>
        <v>0</v>
      </c>
      <c r="AU232" s="433"/>
      <c r="AV232" s="433"/>
      <c r="AW232" s="433"/>
      <c r="AX232" s="433"/>
      <c r="AY232" s="433"/>
      <c r="AZ232" s="428"/>
      <c r="BA232" s="433"/>
      <c r="BB232" s="127"/>
      <c r="BC232" s="127"/>
      <c r="BD232" s="127"/>
      <c r="BE232" s="126"/>
      <c r="BF232" s="222">
        <f t="shared" si="100"/>
        <v>0</v>
      </c>
      <c r="BG232" s="140">
        <f t="shared" si="101"/>
        <v>0</v>
      </c>
      <c r="BH232" s="132"/>
      <c r="BI232" s="140">
        <f t="shared" si="102"/>
        <v>0</v>
      </c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30">
        <f t="shared" si="103"/>
        <v>0</v>
      </c>
      <c r="BX232" s="132"/>
    </row>
    <row r="233" ht="14.25" customHeight="1">
      <c r="A233" s="132"/>
      <c r="B233" s="512">
        <v>46231</v>
      </c>
      <c r="C233" s="133"/>
      <c r="D233" s="136"/>
      <c r="E233" s="135"/>
      <c r="F233" s="135"/>
      <c r="G233" s="147">
        <f t="shared" si="96"/>
        <v>0</v>
      </c>
      <c r="H233" s="144"/>
      <c r="I233" s="143"/>
      <c r="J233" s="143"/>
      <c r="K233" s="143"/>
      <c r="L233" s="143"/>
      <c r="M233" s="143"/>
      <c r="N233" s="143"/>
      <c r="O233" s="99"/>
      <c r="P233" s="143"/>
      <c r="Q233" s="143"/>
      <c r="R233" s="143"/>
      <c r="S233" s="143"/>
      <c r="T233" s="143"/>
      <c r="U233" s="103">
        <f t="shared" si="97"/>
        <v>0</v>
      </c>
      <c r="V233" s="136"/>
      <c r="W233" s="136"/>
      <c r="X233" s="136"/>
      <c r="Y233" s="99"/>
      <c r="Z233" s="99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03">
        <f t="shared" si="98"/>
        <v>0</v>
      </c>
      <c r="AK233" s="136"/>
      <c r="AL233" s="136"/>
      <c r="AM233" s="136"/>
      <c r="AN233" s="105">
        <f t="shared" si="99"/>
        <v>0</v>
      </c>
      <c r="AO233" s="143"/>
      <c r="AP233" s="143"/>
      <c r="AQ233" s="143"/>
      <c r="AR233" s="143"/>
      <c r="AS233" s="146"/>
      <c r="AT233" s="224">
        <f ref="AT233:AT236" t="shared" si="106">+G233-U233-AJ233-AN233-AO233-AQ233-AR233-AS233-AP233</f>
        <v>0</v>
      </c>
      <c r="AU233" s="433"/>
      <c r="AV233" s="433"/>
      <c r="AW233" s="433"/>
      <c r="AX233" s="433"/>
      <c r="AY233" s="433"/>
      <c r="AZ233" s="428"/>
      <c r="BA233" s="433"/>
      <c r="BB233" s="127"/>
      <c r="BC233" s="127"/>
      <c r="BD233" s="127"/>
      <c r="BE233" s="126"/>
      <c r="BF233" s="222">
        <f t="shared" si="100"/>
        <v>0</v>
      </c>
      <c r="BG233" s="140">
        <f t="shared" si="101"/>
        <v>0</v>
      </c>
      <c r="BH233" s="132"/>
      <c r="BI233" s="140">
        <f t="shared" si="102"/>
        <v>0</v>
      </c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30">
        <f t="shared" si="103"/>
        <v>0</v>
      </c>
      <c r="BX233" s="132"/>
    </row>
    <row r="234" ht="14.25" customHeight="1">
      <c r="A234" s="132"/>
      <c r="B234" s="512">
        <v>46232</v>
      </c>
      <c r="C234" s="133"/>
      <c r="D234" s="136"/>
      <c r="E234" s="135"/>
      <c r="F234" s="135"/>
      <c r="G234" s="147">
        <f t="shared" si="96"/>
        <v>0</v>
      </c>
      <c r="H234" s="144"/>
      <c r="I234" s="143"/>
      <c r="J234" s="143"/>
      <c r="K234" s="143"/>
      <c r="L234" s="143"/>
      <c r="M234" s="143"/>
      <c r="N234" s="143"/>
      <c r="O234" s="99"/>
      <c r="P234" s="143"/>
      <c r="Q234" s="143"/>
      <c r="R234" s="143"/>
      <c r="S234" s="143"/>
      <c r="T234" s="143"/>
      <c r="U234" s="103">
        <f t="shared" si="97"/>
        <v>0</v>
      </c>
      <c r="V234" s="133"/>
      <c r="W234" s="133"/>
      <c r="X234" s="136"/>
      <c r="Y234" s="99"/>
      <c r="Z234" s="99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03">
        <f t="shared" si="98"/>
        <v>0</v>
      </c>
      <c r="AK234" s="136"/>
      <c r="AL234" s="136"/>
      <c r="AM234" s="136"/>
      <c r="AN234" s="105">
        <f t="shared" si="99"/>
        <v>0</v>
      </c>
      <c r="AO234" s="143"/>
      <c r="AP234" s="143"/>
      <c r="AQ234" s="143"/>
      <c r="AR234" s="143"/>
      <c r="AS234" s="146"/>
      <c r="AT234" s="224">
        <f t="shared" si="106"/>
        <v>0</v>
      </c>
      <c r="AU234" s="433"/>
      <c r="AV234" s="433"/>
      <c r="AW234" s="433"/>
      <c r="AX234" s="433"/>
      <c r="AY234" s="433"/>
      <c r="AZ234" s="428"/>
      <c r="BA234" s="433"/>
      <c r="BB234" s="127"/>
      <c r="BC234" s="127"/>
      <c r="BD234" s="127"/>
      <c r="BE234" s="126"/>
      <c r="BF234" s="222">
        <f t="shared" si="100"/>
        <v>0</v>
      </c>
      <c r="BG234" s="140">
        <f t="shared" si="101"/>
        <v>0</v>
      </c>
      <c r="BH234" s="132"/>
      <c r="BI234" s="140">
        <f t="shared" si="102"/>
        <v>0</v>
      </c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30">
        <f t="shared" si="103"/>
        <v>0</v>
      </c>
      <c r="BX234" s="132"/>
    </row>
    <row r="235" ht="14.25" customHeight="1">
      <c r="A235" s="132"/>
      <c r="B235" s="512">
        <v>46233</v>
      </c>
      <c r="C235" s="133"/>
      <c r="D235" s="136"/>
      <c r="E235" s="135"/>
      <c r="F235" s="135"/>
      <c r="G235" s="147">
        <f t="shared" si="96"/>
        <v>0</v>
      </c>
      <c r="H235" s="144"/>
      <c r="I235" s="143"/>
      <c r="J235" s="143"/>
      <c r="K235" s="143"/>
      <c r="L235" s="143"/>
      <c r="M235" s="143"/>
      <c r="N235" s="143"/>
      <c r="O235" s="99"/>
      <c r="P235" s="143"/>
      <c r="Q235" s="143"/>
      <c r="R235" s="143"/>
      <c r="S235" s="143"/>
      <c r="T235" s="143"/>
      <c r="U235" s="103">
        <f t="shared" si="97"/>
        <v>0</v>
      </c>
      <c r="V235" s="136"/>
      <c r="W235" s="136"/>
      <c r="X235" s="136"/>
      <c r="Y235" s="99"/>
      <c r="Z235" s="99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03">
        <f t="shared" si="98"/>
        <v>0</v>
      </c>
      <c r="AK235" s="136"/>
      <c r="AL235" s="136"/>
      <c r="AM235" s="136"/>
      <c r="AN235" s="105">
        <f t="shared" si="99"/>
        <v>0</v>
      </c>
      <c r="AO235" s="143"/>
      <c r="AP235" s="143"/>
      <c r="AQ235" s="143"/>
      <c r="AR235" s="143"/>
      <c r="AS235" s="146"/>
      <c r="AT235" s="224">
        <f t="shared" si="106"/>
        <v>0</v>
      </c>
      <c r="AU235" s="433"/>
      <c r="AV235" s="433"/>
      <c r="AW235" s="433"/>
      <c r="AX235" s="433"/>
      <c r="AY235" s="433"/>
      <c r="AZ235" s="428"/>
      <c r="BA235" s="433"/>
      <c r="BB235" s="127"/>
      <c r="BC235" s="127"/>
      <c r="BD235" s="127"/>
      <c r="BE235" s="126"/>
      <c r="BF235" s="222">
        <f t="shared" si="100"/>
        <v>0</v>
      </c>
      <c r="BG235" s="140">
        <f t="shared" si="101"/>
        <v>0</v>
      </c>
      <c r="BH235" s="132"/>
      <c r="BI235" s="140">
        <f t="shared" si="102"/>
        <v>0</v>
      </c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30">
        <f t="shared" si="103"/>
        <v>0</v>
      </c>
      <c r="BX235" s="132"/>
    </row>
    <row r="236" ht="14.25" customHeight="1">
      <c r="A236" s="132"/>
      <c r="B236" s="512">
        <v>46234</v>
      </c>
      <c r="C236" s="153"/>
      <c r="D236" s="159"/>
      <c r="E236" s="156"/>
      <c r="F236" s="156"/>
      <c r="G236" s="147">
        <f t="shared" si="96"/>
        <v>0</v>
      </c>
      <c r="H236" s="612"/>
      <c r="I236" s="157"/>
      <c r="J236" s="157"/>
      <c r="K236" s="157"/>
      <c r="L236" s="157"/>
      <c r="M236" s="157"/>
      <c r="N236" s="157"/>
      <c r="O236" s="657"/>
      <c r="P236" s="157"/>
      <c r="Q236" s="157"/>
      <c r="R236" s="157"/>
      <c r="S236" s="157"/>
      <c r="T236" s="157"/>
      <c r="U236" s="103">
        <f t="shared" si="97"/>
        <v>0</v>
      </c>
      <c r="V236" s="159"/>
      <c r="W236" s="159"/>
      <c r="X236" s="159"/>
      <c r="Y236" s="657"/>
      <c r="Z236" s="657"/>
      <c r="AA236" s="157"/>
      <c r="AB236" s="157"/>
      <c r="AC236" s="157"/>
      <c r="AD236" s="157"/>
      <c r="AE236" s="157"/>
      <c r="AF236" s="157"/>
      <c r="AG236" s="157"/>
      <c r="AH236" s="157"/>
      <c r="AI236" s="157"/>
      <c r="AJ236" s="103">
        <f t="shared" si="98"/>
        <v>0</v>
      </c>
      <c r="AK236" s="159"/>
      <c r="AL236" s="159"/>
      <c r="AM236" s="159"/>
      <c r="AN236" s="105">
        <f t="shared" si="99"/>
        <v>0</v>
      </c>
      <c r="AO236" s="157"/>
      <c r="AP236" s="157"/>
      <c r="AQ236" s="157"/>
      <c r="AR236" s="157"/>
      <c r="AS236" s="160"/>
      <c r="AT236" s="224">
        <f t="shared" si="106"/>
        <v>0</v>
      </c>
      <c r="AU236" s="435"/>
      <c r="AV236" s="435"/>
      <c r="AW236" s="435"/>
      <c r="AX236" s="435"/>
      <c r="AY236" s="435"/>
      <c r="AZ236" s="428"/>
      <c r="BA236" s="435"/>
      <c r="BB236" s="127"/>
      <c r="BC236" s="127"/>
      <c r="BD236" s="127"/>
      <c r="BE236" s="138"/>
      <c r="BF236" s="222">
        <f t="shared" si="100"/>
        <v>0</v>
      </c>
      <c r="BG236" s="162">
        <f t="shared" si="101"/>
        <v>0</v>
      </c>
      <c r="BH236" s="132"/>
      <c r="BI236" s="162">
        <f t="shared" si="102"/>
        <v>0</v>
      </c>
      <c r="BJ236" s="163"/>
      <c r="BK236" s="163"/>
      <c r="BL236" s="163"/>
      <c r="BM236" s="163"/>
      <c r="BN236" s="163"/>
      <c r="BO236" s="163"/>
      <c r="BP236" s="163"/>
      <c r="BQ236" s="163"/>
      <c r="BR236" s="163"/>
      <c r="BS236" s="141"/>
      <c r="BT236" s="163"/>
      <c r="BU236" s="163"/>
      <c r="BV236" s="163"/>
      <c r="BW236" s="164">
        <f t="shared" si="103"/>
        <v>0</v>
      </c>
      <c r="BX236" s="132"/>
    </row>
    <row r="237" ht="14.25" customHeight="1">
      <c r="A237" s="3"/>
      <c r="B237" s="2"/>
      <c r="C237" s="167">
        <f ref="C237:N237" t="shared" si="107">SUM(C206:C236)</f>
        <v>0</v>
      </c>
      <c r="D237" s="167">
        <f t="shared" si="107"/>
        <v>0</v>
      </c>
      <c r="E237" s="167">
        <f t="shared" si="107"/>
        <v>0</v>
      </c>
      <c r="F237" s="167">
        <f t="shared" si="107"/>
        <v>0</v>
      </c>
      <c r="G237" s="167">
        <f t="shared" si="107"/>
        <v>0</v>
      </c>
      <c r="H237" s="167">
        <f t="shared" si="107"/>
        <v>0</v>
      </c>
      <c r="I237" s="167">
        <f t="shared" si="107"/>
        <v>0</v>
      </c>
      <c r="J237" s="167">
        <f t="shared" si="107"/>
        <v>0</v>
      </c>
      <c r="K237" s="167">
        <f t="shared" si="107"/>
        <v>0</v>
      </c>
      <c r="L237" s="167">
        <f t="shared" si="107"/>
        <v>0</v>
      </c>
      <c r="M237" s="166">
        <f t="shared" si="107"/>
        <v>0</v>
      </c>
      <c r="N237" s="166">
        <f t="shared" si="107"/>
        <v>0</v>
      </c>
      <c r="O237" s="166"/>
      <c r="P237" s="166">
        <f ref="P237:Z237" t="shared" si="108">SUM(P206:P236)</f>
        <v>0</v>
      </c>
      <c r="Q237" s="166">
        <f t="shared" si="108"/>
        <v>0</v>
      </c>
      <c r="R237" s="166">
        <f t="shared" si="108"/>
        <v>0</v>
      </c>
      <c r="S237" s="166">
        <f t="shared" si="108"/>
        <v>0</v>
      </c>
      <c r="T237" s="166">
        <f t="shared" si="108"/>
        <v>0</v>
      </c>
      <c r="U237" s="166">
        <f t="shared" si="108"/>
        <v>0</v>
      </c>
      <c r="V237" s="166">
        <f t="shared" si="108"/>
        <v>0</v>
      </c>
      <c r="W237" s="166">
        <f t="shared" si="108"/>
        <v>0</v>
      </c>
      <c r="X237" s="166">
        <f t="shared" si="108"/>
        <v>0</v>
      </c>
      <c r="Y237" s="166">
        <f t="shared" si="108"/>
        <v>0</v>
      </c>
      <c r="Z237" s="166">
        <f t="shared" si="108"/>
        <v>0</v>
      </c>
      <c r="AA237" s="166"/>
      <c r="AB237" s="166">
        <f ref="AB237:AL237" t="shared" si="109">SUM(AB206:AB236)</f>
        <v>0</v>
      </c>
      <c r="AC237" s="166">
        <f t="shared" si="109"/>
        <v>0</v>
      </c>
      <c r="AD237" s="166">
        <f t="shared" si="109"/>
        <v>0</v>
      </c>
      <c r="AE237" s="166">
        <f t="shared" si="109"/>
        <v>0</v>
      </c>
      <c r="AF237" s="166">
        <f t="shared" si="109"/>
        <v>0</v>
      </c>
      <c r="AG237" s="166">
        <f t="shared" si="109"/>
        <v>0</v>
      </c>
      <c r="AH237" s="166">
        <f t="shared" si="109"/>
        <v>0</v>
      </c>
      <c r="AI237" s="166">
        <f t="shared" si="109"/>
        <v>0</v>
      </c>
      <c r="AJ237" s="166">
        <f t="shared" si="109"/>
        <v>0</v>
      </c>
      <c r="AK237" s="166">
        <f t="shared" si="109"/>
        <v>0</v>
      </c>
      <c r="AL237" s="166">
        <f t="shared" si="109"/>
        <v>0</v>
      </c>
      <c r="AM237" s="166"/>
      <c r="AN237" s="166">
        <f ref="AN237:BB237" t="shared" si="110">SUM(AN206:AN236)</f>
        <v>0</v>
      </c>
      <c r="AO237" s="166">
        <f t="shared" si="110"/>
        <v>0</v>
      </c>
      <c r="AP237" s="166">
        <f t="shared" si="110"/>
        <v>0</v>
      </c>
      <c r="AQ237" s="166">
        <f t="shared" si="110"/>
        <v>0</v>
      </c>
      <c r="AR237" s="166">
        <f t="shared" si="110"/>
        <v>0</v>
      </c>
      <c r="AS237" s="167">
        <f t="shared" si="110"/>
        <v>0</v>
      </c>
      <c r="AT237" s="771">
        <f t="shared" si="110"/>
        <v>0</v>
      </c>
      <c r="AU237" s="1184">
        <f t="shared" si="110"/>
        <v>0</v>
      </c>
      <c r="AV237" s="1184">
        <f t="shared" si="110"/>
        <v>0</v>
      </c>
      <c r="AW237" s="1184">
        <f t="shared" si="110"/>
        <v>0</v>
      </c>
      <c r="AX237" s="1184">
        <f t="shared" si="110"/>
        <v>0</v>
      </c>
      <c r="AY237" s="1184">
        <f t="shared" si="110"/>
        <v>0</v>
      </c>
      <c r="AZ237" s="1184">
        <f t="shared" si="110"/>
        <v>0</v>
      </c>
      <c r="BA237" s="1184">
        <f t="shared" si="110"/>
        <v>0</v>
      </c>
      <c r="BB237" s="1184">
        <f t="shared" si="110"/>
        <v>0</v>
      </c>
      <c r="BC237" s="1184"/>
      <c r="BD237" s="1184">
        <f ref="BD237:BG237" t="shared" si="111">SUM(BD206:BD236)</f>
        <v>0</v>
      </c>
      <c r="BE237" s="1184">
        <f t="shared" si="111"/>
        <v>0</v>
      </c>
      <c r="BF237" s="166">
        <f t="shared" si="111"/>
        <v>0</v>
      </c>
      <c r="BG237" s="166">
        <f t="shared" si="111"/>
        <v>0</v>
      </c>
      <c r="BH237" s="3"/>
      <c r="BI237" s="172">
        <f>SUM(BI206:BI236)</f>
        <v>0</v>
      </c>
      <c r="BJ237" s="165"/>
      <c r="BK237" s="165"/>
      <c r="BL237" s="165"/>
      <c r="BM237" s="165"/>
      <c r="BN237" s="165"/>
      <c r="BO237" s="165"/>
      <c r="BP237" s="165"/>
      <c r="BQ237" s="165"/>
      <c r="BR237" s="165"/>
      <c r="BS237" s="165">
        <f ref="BS237:BW237" t="shared" si="112">SUM(BS206:BS236)</f>
        <v>0</v>
      </c>
      <c r="BT237" s="165">
        <f t="shared" si="112"/>
        <v>0</v>
      </c>
      <c r="BU237" s="165">
        <f t="shared" si="112"/>
        <v>0</v>
      </c>
      <c r="BV237" s="165">
        <f t="shared" si="112"/>
        <v>0</v>
      </c>
      <c r="BW237" s="165">
        <f t="shared" si="112"/>
        <v>0</v>
      </c>
      <c r="BX237" s="3"/>
    </row>
    <row r="238" ht="14.25" customHeight="1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4"/>
      <c r="AO238" s="3"/>
      <c r="AP238" s="3"/>
      <c r="AQ238" s="3"/>
      <c r="AR238" s="3"/>
      <c r="AS238" s="3"/>
      <c r="AT238" s="4"/>
      <c r="AU238" s="380"/>
      <c r="AV238" s="380"/>
      <c r="AW238" s="380"/>
      <c r="AX238" s="380"/>
      <c r="AY238" s="380"/>
      <c r="AZ238" s="380"/>
      <c r="BA238" s="380"/>
      <c r="BB238" s="132"/>
      <c r="BC238" s="132"/>
      <c r="BD238" s="132"/>
      <c r="BE238" s="132"/>
      <c r="BF238" s="4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176"/>
      <c r="AK239" s="3"/>
      <c r="AL239" s="3"/>
      <c r="AM239" s="3"/>
      <c r="AN239" s="4"/>
      <c r="AO239" s="3"/>
      <c r="AP239" s="3"/>
      <c r="AQ239" s="3"/>
      <c r="AR239" s="3"/>
      <c r="AS239" s="3"/>
      <c r="AT239" s="177"/>
      <c r="AU239" s="380"/>
      <c r="AV239" s="380"/>
      <c r="AW239" s="380"/>
      <c r="AX239" s="380"/>
      <c r="AY239" s="380"/>
      <c r="AZ239" s="380"/>
      <c r="BA239" s="380"/>
      <c r="BB239" s="132"/>
      <c r="BC239" s="132"/>
      <c r="BD239" s="132"/>
      <c r="BE239" s="132"/>
      <c r="BF239" s="177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</row>
    <row r="240" ht="14.25" customHeight="1">
      <c r="A240" s="3"/>
      <c r="B240" s="215">
        <v>46235</v>
      </c>
      <c r="C240" s="94"/>
      <c r="D240" s="104"/>
      <c r="E240" s="97"/>
      <c r="F240" s="97"/>
      <c r="G240" s="265">
        <f ref="G240:G270" t="shared" si="113">+C240+D240+E240+F240</f>
        <v>0</v>
      </c>
      <c r="H240" s="187"/>
      <c r="I240" s="186"/>
      <c r="J240" s="186"/>
      <c r="K240" s="186"/>
      <c r="L240" s="186"/>
      <c r="M240" s="186"/>
      <c r="N240" s="186"/>
      <c r="O240" s="101"/>
      <c r="P240" s="186"/>
      <c r="Q240" s="186"/>
      <c r="R240" s="186"/>
      <c r="S240" s="186"/>
      <c r="T240" s="186"/>
      <c r="U240" s="189">
        <f ref="U240:U270" t="shared" si="114">SUM(H240:T240)</f>
        <v>0</v>
      </c>
      <c r="V240" s="180"/>
      <c r="W240" s="180"/>
      <c r="X240" s="1156"/>
      <c r="Y240" s="101"/>
      <c r="Z240" s="101"/>
      <c r="AA240" s="186"/>
      <c r="AB240" s="186"/>
      <c r="AC240" s="186"/>
      <c r="AD240" s="186"/>
      <c r="AE240" s="186"/>
      <c r="AF240" s="186"/>
      <c r="AG240" s="186"/>
      <c r="AH240" s="186"/>
      <c r="AI240" s="186"/>
      <c r="AJ240" s="103">
        <f ref="AJ240:AJ270" t="shared" si="115">SUM(V240:AI240)</f>
        <v>0</v>
      </c>
      <c r="AK240" s="104"/>
      <c r="AL240" s="104"/>
      <c r="AM240" s="104"/>
      <c r="AN240" s="191">
        <f ref="AN240:AN270" t="shared" si="116">SUM(AK240:AM240)</f>
        <v>0</v>
      </c>
      <c r="AO240" s="186"/>
      <c r="AP240" s="186"/>
      <c r="AQ240" s="186"/>
      <c r="AR240" s="186"/>
      <c r="AS240" s="193"/>
      <c r="AT240" s="224">
        <f ref="AT240:AT261" t="shared" si="117">+G240-U240-AJ240-AN240-AO240-AQ240-AR240-AS240</f>
        <v>0</v>
      </c>
      <c r="AU240" s="427"/>
      <c r="AV240" s="427"/>
      <c r="AW240" s="427"/>
      <c r="AX240" s="427"/>
      <c r="AY240" s="427"/>
      <c r="AZ240" s="428"/>
      <c r="BA240" s="427"/>
      <c r="BB240" s="127"/>
      <c r="BC240" s="127"/>
      <c r="BD240" s="127"/>
      <c r="BE240" s="109"/>
      <c r="BF240" s="222">
        <f ref="BF240:BF270" t="shared" si="118">SUM(AU240:BE240)-BD240</f>
        <v>0</v>
      </c>
      <c r="BG240" s="114">
        <f ref="BG240:BG270" t="shared" si="119">+AT240-BF240</f>
        <v>0</v>
      </c>
      <c r="BH240" s="3"/>
      <c r="BI240" s="114">
        <f ref="BI240:BI270" t="shared" si="120">SUM(BJ240:BV240)</f>
        <v>25</v>
      </c>
      <c r="BJ240" s="115"/>
      <c r="BK240" s="115"/>
      <c r="BL240" s="115"/>
      <c r="BM240" s="115"/>
      <c r="BN240" s="115"/>
      <c r="BO240" s="115"/>
      <c r="BP240" s="115"/>
      <c r="BQ240" s="115"/>
      <c r="BR240" s="115"/>
      <c r="BS240" s="115"/>
      <c r="BT240" s="115">
        <v>25</v>
      </c>
      <c r="BU240" s="115"/>
      <c r="BV240" s="115"/>
      <c r="BW240" s="116">
        <f ref="BW240:BW270" t="shared" si="121">+BG240-BI240</f>
        <v>-25</v>
      </c>
      <c r="BX240" s="3"/>
    </row>
    <row r="241" ht="14.25" customHeight="1">
      <c r="A241" s="3"/>
      <c r="B241" s="215">
        <v>46236</v>
      </c>
      <c r="C241" s="118"/>
      <c r="D241" s="123"/>
      <c r="E241" s="120"/>
      <c r="F241" s="120"/>
      <c r="G241" s="147">
        <f t="shared" si="113"/>
        <v>0</v>
      </c>
      <c r="H241" s="144"/>
      <c r="I241" s="143"/>
      <c r="J241" s="143"/>
      <c r="K241" s="143"/>
      <c r="L241" s="143"/>
      <c r="M241" s="143"/>
      <c r="N241" s="143"/>
      <c r="O241" s="99"/>
      <c r="P241" s="143"/>
      <c r="Q241" s="143"/>
      <c r="R241" s="143"/>
      <c r="S241" s="143"/>
      <c r="T241" s="143"/>
      <c r="U241" s="103">
        <f t="shared" si="114"/>
        <v>0</v>
      </c>
      <c r="V241" s="136"/>
      <c r="W241" s="136"/>
      <c r="X241" s="821"/>
      <c r="Y241" s="99"/>
      <c r="Z241" s="99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03">
        <f t="shared" si="115"/>
        <v>0</v>
      </c>
      <c r="AK241" s="123"/>
      <c r="AL241" s="123"/>
      <c r="AM241" s="123"/>
      <c r="AN241" s="105">
        <f t="shared" si="116"/>
        <v>0</v>
      </c>
      <c r="AO241" s="143"/>
      <c r="AP241" s="143"/>
      <c r="AQ241" s="143"/>
      <c r="AR241" s="143"/>
      <c r="AS241" s="146"/>
      <c r="AT241" s="224">
        <f t="shared" si="117"/>
        <v>0</v>
      </c>
      <c r="AU241" s="433"/>
      <c r="AV241" s="433"/>
      <c r="AW241" s="433"/>
      <c r="AX241" s="433"/>
      <c r="AY241" s="433"/>
      <c r="AZ241" s="428"/>
      <c r="BA241" s="433"/>
      <c r="BB241" s="127"/>
      <c r="BC241" s="127"/>
      <c r="BD241" s="127"/>
      <c r="BE241" s="126"/>
      <c r="BF241" s="222">
        <f t="shared" si="118"/>
        <v>0</v>
      </c>
      <c r="BG241" s="113">
        <f t="shared" si="119"/>
        <v>0</v>
      </c>
      <c r="BH241" s="3"/>
      <c r="BI241" s="113">
        <f t="shared" si="120"/>
        <v>0</v>
      </c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30">
        <f t="shared" si="121"/>
        <v>0</v>
      </c>
      <c r="BX241" s="3"/>
    </row>
    <row r="242" ht="14.25" customHeight="1">
      <c r="A242" s="3"/>
      <c r="B242" s="215">
        <v>46237</v>
      </c>
      <c r="C242" s="118"/>
      <c r="D242" s="123"/>
      <c r="E242" s="120"/>
      <c r="F242" s="120"/>
      <c r="G242" s="147">
        <f t="shared" si="113"/>
        <v>0</v>
      </c>
      <c r="H242" s="144"/>
      <c r="I242" s="143"/>
      <c r="J242" s="143"/>
      <c r="K242" s="143"/>
      <c r="L242" s="143"/>
      <c r="M242" s="143"/>
      <c r="N242" s="143"/>
      <c r="O242" s="99"/>
      <c r="P242" s="143"/>
      <c r="Q242" s="143"/>
      <c r="R242" s="143"/>
      <c r="S242" s="143"/>
      <c r="T242" s="143"/>
      <c r="U242" s="103">
        <f t="shared" si="114"/>
        <v>0</v>
      </c>
      <c r="V242" s="133"/>
      <c r="W242" s="133"/>
      <c r="X242" s="821"/>
      <c r="Y242" s="99"/>
      <c r="Z242" s="99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03">
        <f t="shared" si="115"/>
        <v>0</v>
      </c>
      <c r="AK242" s="123"/>
      <c r="AL242" s="123"/>
      <c r="AM242" s="123"/>
      <c r="AN242" s="105">
        <f t="shared" si="116"/>
        <v>0</v>
      </c>
      <c r="AO242" s="143"/>
      <c r="AP242" s="143"/>
      <c r="AQ242" s="143"/>
      <c r="AR242" s="143"/>
      <c r="AS242" s="146"/>
      <c r="AT242" s="224">
        <f t="shared" si="117"/>
        <v>0</v>
      </c>
      <c r="AU242" s="433"/>
      <c r="AV242" s="433"/>
      <c r="AW242" s="433"/>
      <c r="AX242" s="433"/>
      <c r="AY242" s="433"/>
      <c r="AZ242" s="428"/>
      <c r="BA242" s="433"/>
      <c r="BB242" s="127"/>
      <c r="BC242" s="127"/>
      <c r="BD242" s="127"/>
      <c r="BE242" s="126"/>
      <c r="BF242" s="222">
        <f t="shared" si="118"/>
        <v>0</v>
      </c>
      <c r="BG242" s="113">
        <f t="shared" si="119"/>
        <v>0</v>
      </c>
      <c r="BH242" s="3"/>
      <c r="BI242" s="113">
        <f t="shared" si="120"/>
        <v>0</v>
      </c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30">
        <f t="shared" si="121"/>
        <v>0</v>
      </c>
      <c r="BX242" s="3"/>
    </row>
    <row r="243" ht="14.25" customHeight="1">
      <c r="A243" s="3"/>
      <c r="B243" s="215">
        <v>46238</v>
      </c>
      <c r="C243" s="118"/>
      <c r="D243" s="123"/>
      <c r="E243" s="120"/>
      <c r="F243" s="120"/>
      <c r="G243" s="147">
        <f t="shared" si="113"/>
        <v>0</v>
      </c>
      <c r="H243" s="144"/>
      <c r="I243" s="143"/>
      <c r="J243" s="143"/>
      <c r="K243" s="143"/>
      <c r="L243" s="143"/>
      <c r="M243" s="143"/>
      <c r="N243" s="143"/>
      <c r="O243" s="99"/>
      <c r="P243" s="143"/>
      <c r="Q243" s="143"/>
      <c r="R243" s="143"/>
      <c r="S243" s="143"/>
      <c r="T243" s="143"/>
      <c r="U243" s="103">
        <f t="shared" si="114"/>
        <v>0</v>
      </c>
      <c r="V243" s="133"/>
      <c r="W243" s="133"/>
      <c r="X243" s="821"/>
      <c r="Y243" s="99"/>
      <c r="Z243" s="99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03">
        <f t="shared" si="115"/>
        <v>0</v>
      </c>
      <c r="AK243" s="123"/>
      <c r="AL243" s="123"/>
      <c r="AM243" s="123"/>
      <c r="AN243" s="105">
        <f t="shared" si="116"/>
        <v>0</v>
      </c>
      <c r="AO243" s="143"/>
      <c r="AP243" s="143"/>
      <c r="AQ243" s="143"/>
      <c r="AR243" s="143"/>
      <c r="AS243" s="146"/>
      <c r="AT243" s="224">
        <f t="shared" si="117"/>
        <v>0</v>
      </c>
      <c r="AU243" s="433"/>
      <c r="AV243" s="433"/>
      <c r="AW243" s="433"/>
      <c r="AX243" s="433"/>
      <c r="AY243" s="433"/>
      <c r="AZ243" s="428"/>
      <c r="BA243" s="433"/>
      <c r="BB243" s="127"/>
      <c r="BC243" s="127"/>
      <c r="BD243" s="127"/>
      <c r="BE243" s="126"/>
      <c r="BF243" s="222">
        <f t="shared" si="118"/>
        <v>0</v>
      </c>
      <c r="BG243" s="113">
        <f t="shared" si="119"/>
        <v>0</v>
      </c>
      <c r="BH243" s="3"/>
      <c r="BI243" s="113">
        <f t="shared" si="120"/>
        <v>0</v>
      </c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30">
        <f t="shared" si="121"/>
        <v>0</v>
      </c>
      <c r="BX243" s="3"/>
    </row>
    <row r="244" ht="14.25" customHeight="1">
      <c r="A244" s="3"/>
      <c r="B244" s="215">
        <v>46239</v>
      </c>
      <c r="C244" s="118"/>
      <c r="D244" s="123"/>
      <c r="E244" s="120"/>
      <c r="F244" s="120"/>
      <c r="G244" s="147">
        <f t="shared" si="113"/>
        <v>0</v>
      </c>
      <c r="H244" s="144"/>
      <c r="I244" s="143"/>
      <c r="J244" s="143"/>
      <c r="K244" s="143"/>
      <c r="L244" s="143"/>
      <c r="M244" s="143"/>
      <c r="N244" s="143"/>
      <c r="O244" s="99"/>
      <c r="P244" s="143"/>
      <c r="Q244" s="143"/>
      <c r="R244" s="143"/>
      <c r="S244" s="143"/>
      <c r="T244" s="143"/>
      <c r="U244" s="103">
        <f t="shared" si="114"/>
        <v>0</v>
      </c>
      <c r="V244" s="133"/>
      <c r="W244" s="133"/>
      <c r="X244" s="821"/>
      <c r="Y244" s="99"/>
      <c r="Z244" s="99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03">
        <f t="shared" si="115"/>
        <v>0</v>
      </c>
      <c r="AK244" s="123"/>
      <c r="AL244" s="123"/>
      <c r="AM244" s="123"/>
      <c r="AN244" s="105">
        <f t="shared" si="116"/>
        <v>0</v>
      </c>
      <c r="AO244" s="143"/>
      <c r="AP244" s="143"/>
      <c r="AQ244" s="143"/>
      <c r="AR244" s="143"/>
      <c r="AS244" s="146"/>
      <c r="AT244" s="224">
        <f t="shared" si="117"/>
        <v>0</v>
      </c>
      <c r="AU244" s="433"/>
      <c r="AV244" s="433"/>
      <c r="AW244" s="433"/>
      <c r="AX244" s="433"/>
      <c r="AY244" s="433"/>
      <c r="AZ244" s="428"/>
      <c r="BA244" s="433"/>
      <c r="BB244" s="127"/>
      <c r="BC244" s="127"/>
      <c r="BD244" s="127"/>
      <c r="BE244" s="126"/>
      <c r="BF244" s="222">
        <f t="shared" si="118"/>
        <v>0</v>
      </c>
      <c r="BG244" s="113">
        <f t="shared" si="119"/>
        <v>0</v>
      </c>
      <c r="BH244" s="3"/>
      <c r="BI244" s="113">
        <f t="shared" si="120"/>
        <v>0</v>
      </c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30">
        <f t="shared" si="121"/>
        <v>0</v>
      </c>
      <c r="BX244" s="3"/>
    </row>
    <row r="245" ht="14.25" customHeight="1">
      <c r="A245" s="3"/>
      <c r="B245" s="215">
        <v>46240</v>
      </c>
      <c r="C245" s="118"/>
      <c r="D245" s="123"/>
      <c r="E245" s="120"/>
      <c r="F245" s="120"/>
      <c r="G245" s="147">
        <f t="shared" si="113"/>
        <v>0</v>
      </c>
      <c r="H245" s="144"/>
      <c r="I245" s="143"/>
      <c r="J245" s="143"/>
      <c r="K245" s="143"/>
      <c r="L245" s="143"/>
      <c r="M245" s="143"/>
      <c r="N245" s="143"/>
      <c r="O245" s="99"/>
      <c r="P245" s="143"/>
      <c r="Q245" s="143"/>
      <c r="R245" s="143"/>
      <c r="S245" s="143"/>
      <c r="T245" s="143"/>
      <c r="U245" s="103">
        <f t="shared" si="114"/>
        <v>0</v>
      </c>
      <c r="V245" s="136"/>
      <c r="W245" s="136"/>
      <c r="X245" s="821"/>
      <c r="Y245" s="99"/>
      <c r="Z245" s="99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03">
        <f t="shared" si="115"/>
        <v>0</v>
      </c>
      <c r="AK245" s="123"/>
      <c r="AL245" s="123"/>
      <c r="AM245" s="123"/>
      <c r="AN245" s="105">
        <f t="shared" si="116"/>
        <v>0</v>
      </c>
      <c r="AO245" s="143"/>
      <c r="AP245" s="143"/>
      <c r="AQ245" s="143"/>
      <c r="AR245" s="143"/>
      <c r="AS245" s="146"/>
      <c r="AT245" s="224">
        <f t="shared" si="117"/>
        <v>0</v>
      </c>
      <c r="AU245" s="433"/>
      <c r="AV245" s="433"/>
      <c r="AW245" s="433"/>
      <c r="AX245" s="433"/>
      <c r="AY245" s="433"/>
      <c r="AZ245" s="428"/>
      <c r="BA245" s="433"/>
      <c r="BB245" s="127"/>
      <c r="BC245" s="127"/>
      <c r="BD245" s="127"/>
      <c r="BE245" s="126"/>
      <c r="BF245" s="222">
        <f t="shared" si="118"/>
        <v>0</v>
      </c>
      <c r="BG245" s="113">
        <f t="shared" si="119"/>
        <v>0</v>
      </c>
      <c r="BH245" s="3"/>
      <c r="BI245" s="113">
        <f t="shared" si="120"/>
        <v>0</v>
      </c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30">
        <f t="shared" si="121"/>
        <v>0</v>
      </c>
      <c r="BX245" s="3"/>
    </row>
    <row r="246" ht="14.25" customHeight="1">
      <c r="A246" s="3"/>
      <c r="B246" s="215">
        <v>46241</v>
      </c>
      <c r="C246" s="118"/>
      <c r="D246" s="123"/>
      <c r="E246" s="120"/>
      <c r="F246" s="120"/>
      <c r="G246" s="147">
        <f t="shared" si="113"/>
        <v>0</v>
      </c>
      <c r="H246" s="144"/>
      <c r="I246" s="143"/>
      <c r="J246" s="143"/>
      <c r="K246" s="143"/>
      <c r="L246" s="143"/>
      <c r="M246" s="143"/>
      <c r="N246" s="143"/>
      <c r="O246" s="99"/>
      <c r="P246" s="143"/>
      <c r="Q246" s="143"/>
      <c r="R246" s="143"/>
      <c r="S246" s="143"/>
      <c r="T246" s="143"/>
      <c r="U246" s="103">
        <f t="shared" si="114"/>
        <v>0</v>
      </c>
      <c r="V246" s="136"/>
      <c r="W246" s="136"/>
      <c r="X246" s="821"/>
      <c r="Y246" s="99"/>
      <c r="Z246" s="99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03">
        <f t="shared" si="115"/>
        <v>0</v>
      </c>
      <c r="AK246" s="123"/>
      <c r="AL246" s="123"/>
      <c r="AM246" s="123"/>
      <c r="AN246" s="105">
        <f t="shared" si="116"/>
        <v>0</v>
      </c>
      <c r="AO246" s="143"/>
      <c r="AP246" s="143"/>
      <c r="AQ246" s="143"/>
      <c r="AR246" s="143"/>
      <c r="AS246" s="146"/>
      <c r="AT246" s="224">
        <f t="shared" si="117"/>
        <v>0</v>
      </c>
      <c r="AU246" s="433"/>
      <c r="AV246" s="433"/>
      <c r="AW246" s="433"/>
      <c r="AX246" s="433"/>
      <c r="AY246" s="433"/>
      <c r="AZ246" s="428"/>
      <c r="BA246" s="433"/>
      <c r="BB246" s="127"/>
      <c r="BC246" s="127"/>
      <c r="BD246" s="127"/>
      <c r="BE246" s="126"/>
      <c r="BF246" s="222">
        <f t="shared" si="118"/>
        <v>0</v>
      </c>
      <c r="BG246" s="113">
        <f t="shared" si="119"/>
        <v>0</v>
      </c>
      <c r="BH246" s="3"/>
      <c r="BI246" s="113">
        <f t="shared" si="120"/>
        <v>0</v>
      </c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30">
        <f t="shared" si="121"/>
        <v>0</v>
      </c>
      <c r="BX246" s="3"/>
    </row>
    <row r="247" ht="14.25" customHeight="1">
      <c r="A247" s="3"/>
      <c r="B247" s="215">
        <v>46242</v>
      </c>
      <c r="C247" s="118"/>
      <c r="D247" s="123"/>
      <c r="E247" s="120"/>
      <c r="F247" s="120"/>
      <c r="G247" s="147">
        <f t="shared" si="113"/>
        <v>0</v>
      </c>
      <c r="H247" s="144"/>
      <c r="I247" s="143"/>
      <c r="J247" s="143"/>
      <c r="K247" s="143"/>
      <c r="L247" s="143"/>
      <c r="M247" s="143"/>
      <c r="N247" s="143"/>
      <c r="O247" s="99"/>
      <c r="P247" s="143"/>
      <c r="Q247" s="143"/>
      <c r="R247" s="143"/>
      <c r="S247" s="143"/>
      <c r="T247" s="143"/>
      <c r="U247" s="103">
        <f t="shared" si="114"/>
        <v>0</v>
      </c>
      <c r="V247" s="133"/>
      <c r="W247" s="133"/>
      <c r="X247" s="821"/>
      <c r="Y247" s="99"/>
      <c r="Z247" s="99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03">
        <f t="shared" si="115"/>
        <v>0</v>
      </c>
      <c r="AK247" s="123"/>
      <c r="AL247" s="123"/>
      <c r="AM247" s="123"/>
      <c r="AN247" s="105">
        <f t="shared" si="116"/>
        <v>0</v>
      </c>
      <c r="AO247" s="143"/>
      <c r="AP247" s="143"/>
      <c r="AQ247" s="143"/>
      <c r="AR247" s="143"/>
      <c r="AS247" s="146"/>
      <c r="AT247" s="224">
        <f t="shared" si="117"/>
        <v>0</v>
      </c>
      <c r="AU247" s="433"/>
      <c r="AV247" s="433"/>
      <c r="AW247" s="433"/>
      <c r="AX247" s="433"/>
      <c r="AY247" s="433"/>
      <c r="AZ247" s="428"/>
      <c r="BA247" s="433"/>
      <c r="BB247" s="127"/>
      <c r="BC247" s="127"/>
      <c r="BD247" s="127"/>
      <c r="BE247" s="126"/>
      <c r="BF247" s="222">
        <f t="shared" si="118"/>
        <v>0</v>
      </c>
      <c r="BG247" s="113">
        <f t="shared" si="119"/>
        <v>0</v>
      </c>
      <c r="BH247" s="3"/>
      <c r="BI247" s="113">
        <f t="shared" si="120"/>
        <v>0</v>
      </c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30">
        <f t="shared" si="121"/>
        <v>0</v>
      </c>
      <c r="BX247" s="3"/>
    </row>
    <row r="248" ht="14.25" customHeight="1">
      <c r="A248" s="3"/>
      <c r="B248" s="215">
        <v>46243</v>
      </c>
      <c r="C248" s="118"/>
      <c r="D248" s="123"/>
      <c r="E248" s="120"/>
      <c r="F248" s="120"/>
      <c r="G248" s="147">
        <f t="shared" si="113"/>
        <v>0</v>
      </c>
      <c r="H248" s="144"/>
      <c r="I248" s="143"/>
      <c r="J248" s="143"/>
      <c r="K248" s="143"/>
      <c r="L248" s="143"/>
      <c r="M248" s="143"/>
      <c r="N248" s="143"/>
      <c r="O248" s="99"/>
      <c r="P248" s="143"/>
      <c r="Q248" s="143"/>
      <c r="R248" s="143"/>
      <c r="S248" s="143"/>
      <c r="T248" s="143"/>
      <c r="U248" s="103">
        <f t="shared" si="114"/>
        <v>0</v>
      </c>
      <c r="V248" s="136"/>
      <c r="W248" s="136"/>
      <c r="X248" s="821"/>
      <c r="Y248" s="99"/>
      <c r="Z248" s="99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03">
        <f t="shared" si="115"/>
        <v>0</v>
      </c>
      <c r="AK248" s="123"/>
      <c r="AL248" s="123"/>
      <c r="AM248" s="123"/>
      <c r="AN248" s="105">
        <f t="shared" si="116"/>
        <v>0</v>
      </c>
      <c r="AO248" s="143"/>
      <c r="AP248" s="143"/>
      <c r="AQ248" s="143"/>
      <c r="AR248" s="143"/>
      <c r="AS248" s="146"/>
      <c r="AT248" s="224">
        <f t="shared" si="117"/>
        <v>0</v>
      </c>
      <c r="AU248" s="433"/>
      <c r="AV248" s="433"/>
      <c r="AW248" s="433"/>
      <c r="AX248" s="433"/>
      <c r="AY248" s="433"/>
      <c r="AZ248" s="428"/>
      <c r="BA248" s="433"/>
      <c r="BB248" s="127"/>
      <c r="BC248" s="127"/>
      <c r="BD248" s="127"/>
      <c r="BE248" s="126"/>
      <c r="BF248" s="222">
        <f t="shared" si="118"/>
        <v>0</v>
      </c>
      <c r="BG248" s="113">
        <f t="shared" si="119"/>
        <v>0</v>
      </c>
      <c r="BH248" s="3"/>
      <c r="BI248" s="113">
        <f t="shared" si="120"/>
        <v>0</v>
      </c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30">
        <f t="shared" si="121"/>
        <v>0</v>
      </c>
      <c r="BX248" s="3"/>
    </row>
    <row r="249" ht="14.25" customHeight="1">
      <c r="A249" s="3"/>
      <c r="B249" s="215">
        <v>46244</v>
      </c>
      <c r="C249" s="118"/>
      <c r="D249" s="123"/>
      <c r="E249" s="120"/>
      <c r="F249" s="120"/>
      <c r="G249" s="147">
        <f t="shared" si="113"/>
        <v>0</v>
      </c>
      <c r="H249" s="144"/>
      <c r="I249" s="143"/>
      <c r="J249" s="143"/>
      <c r="K249" s="143"/>
      <c r="L249" s="143"/>
      <c r="M249" s="143"/>
      <c r="N249" s="143"/>
      <c r="O249" s="99"/>
      <c r="P249" s="143"/>
      <c r="Q249" s="143"/>
      <c r="R249" s="143"/>
      <c r="S249" s="143"/>
      <c r="T249" s="143"/>
      <c r="U249" s="103">
        <f t="shared" si="114"/>
        <v>0</v>
      </c>
      <c r="V249" s="136"/>
      <c r="W249" s="136"/>
      <c r="X249" s="821"/>
      <c r="Y249" s="99"/>
      <c r="Z249" s="99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03">
        <f t="shared" si="115"/>
        <v>0</v>
      </c>
      <c r="AK249" s="123"/>
      <c r="AL249" s="123"/>
      <c r="AM249" s="123"/>
      <c r="AN249" s="105">
        <f t="shared" si="116"/>
        <v>0</v>
      </c>
      <c r="AO249" s="143"/>
      <c r="AP249" s="143"/>
      <c r="AQ249" s="143"/>
      <c r="AR249" s="143"/>
      <c r="AS249" s="146"/>
      <c r="AT249" s="224">
        <f t="shared" si="117"/>
        <v>0</v>
      </c>
      <c r="AU249" s="433"/>
      <c r="AV249" s="433"/>
      <c r="AW249" s="433"/>
      <c r="AX249" s="433"/>
      <c r="AY249" s="433"/>
      <c r="AZ249" s="428"/>
      <c r="BA249" s="433"/>
      <c r="BB249" s="127"/>
      <c r="BC249" s="127"/>
      <c r="BD249" s="127"/>
      <c r="BE249" s="126"/>
      <c r="BF249" s="222">
        <f t="shared" si="118"/>
        <v>0</v>
      </c>
      <c r="BG249" s="113">
        <f t="shared" si="119"/>
        <v>0</v>
      </c>
      <c r="BH249" s="3"/>
      <c r="BI249" s="113">
        <f t="shared" si="120"/>
        <v>0</v>
      </c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30">
        <f t="shared" si="121"/>
        <v>0</v>
      </c>
      <c r="BX249" s="3"/>
    </row>
    <row r="250" ht="14.25" customHeight="1">
      <c r="A250" s="3"/>
      <c r="B250" s="215">
        <v>46245</v>
      </c>
      <c r="C250" s="118"/>
      <c r="D250" s="123"/>
      <c r="E250" s="120"/>
      <c r="F250" s="120"/>
      <c r="G250" s="147">
        <f t="shared" si="113"/>
        <v>0</v>
      </c>
      <c r="H250" s="144"/>
      <c r="I250" s="143"/>
      <c r="J250" s="143"/>
      <c r="K250" s="143"/>
      <c r="L250" s="143"/>
      <c r="M250" s="143"/>
      <c r="N250" s="143"/>
      <c r="O250" s="99"/>
      <c r="P250" s="143"/>
      <c r="Q250" s="143"/>
      <c r="R250" s="143"/>
      <c r="S250" s="143"/>
      <c r="T250" s="143"/>
      <c r="U250" s="103">
        <f t="shared" si="114"/>
        <v>0</v>
      </c>
      <c r="V250" s="136"/>
      <c r="W250" s="136"/>
      <c r="X250" s="821"/>
      <c r="Y250" s="99"/>
      <c r="Z250" s="99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03">
        <f t="shared" si="115"/>
        <v>0</v>
      </c>
      <c r="AK250" s="123"/>
      <c r="AL250" s="123"/>
      <c r="AM250" s="123"/>
      <c r="AN250" s="105">
        <f t="shared" si="116"/>
        <v>0</v>
      </c>
      <c r="AO250" s="143"/>
      <c r="AP250" s="143"/>
      <c r="AQ250" s="143"/>
      <c r="AR250" s="143"/>
      <c r="AS250" s="146"/>
      <c r="AT250" s="224">
        <f t="shared" si="117"/>
        <v>0</v>
      </c>
      <c r="AU250" s="433"/>
      <c r="AV250" s="433"/>
      <c r="AW250" s="433"/>
      <c r="AX250" s="433"/>
      <c r="AY250" s="433"/>
      <c r="AZ250" s="428"/>
      <c r="BA250" s="433"/>
      <c r="BB250" s="127"/>
      <c r="BC250" s="127"/>
      <c r="BD250" s="127"/>
      <c r="BE250" s="126"/>
      <c r="BF250" s="222">
        <f t="shared" si="118"/>
        <v>0</v>
      </c>
      <c r="BG250" s="113">
        <f t="shared" si="119"/>
        <v>0</v>
      </c>
      <c r="BH250" s="3"/>
      <c r="BI250" s="113">
        <f t="shared" si="120"/>
        <v>0</v>
      </c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30">
        <f t="shared" si="121"/>
        <v>0</v>
      </c>
      <c r="BX250" s="3"/>
    </row>
    <row r="251" ht="14.25" customHeight="1">
      <c r="A251" s="3"/>
      <c r="B251" s="215">
        <v>46246</v>
      </c>
      <c r="C251" s="118"/>
      <c r="D251" s="123"/>
      <c r="E251" s="120"/>
      <c r="F251" s="120"/>
      <c r="G251" s="147">
        <f t="shared" si="113"/>
        <v>0</v>
      </c>
      <c r="H251" s="144"/>
      <c r="I251" s="143"/>
      <c r="J251" s="143"/>
      <c r="K251" s="143"/>
      <c r="L251" s="143"/>
      <c r="M251" s="143"/>
      <c r="N251" s="143"/>
      <c r="O251" s="99"/>
      <c r="P251" s="143"/>
      <c r="Q251" s="143"/>
      <c r="R251" s="143"/>
      <c r="S251" s="143"/>
      <c r="T251" s="143"/>
      <c r="U251" s="103">
        <f t="shared" si="114"/>
        <v>0</v>
      </c>
      <c r="V251" s="133"/>
      <c r="W251" s="133"/>
      <c r="X251" s="821"/>
      <c r="Y251" s="99"/>
      <c r="Z251" s="99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03">
        <f t="shared" si="115"/>
        <v>0</v>
      </c>
      <c r="AK251" s="123"/>
      <c r="AL251" s="123"/>
      <c r="AM251" s="123"/>
      <c r="AN251" s="105">
        <f t="shared" si="116"/>
        <v>0</v>
      </c>
      <c r="AO251" s="143"/>
      <c r="AP251" s="143"/>
      <c r="AQ251" s="143"/>
      <c r="AR251" s="143"/>
      <c r="AS251" s="146"/>
      <c r="AT251" s="224">
        <f t="shared" si="117"/>
        <v>0</v>
      </c>
      <c r="AU251" s="433"/>
      <c r="AV251" s="433"/>
      <c r="AW251" s="433"/>
      <c r="AX251" s="433"/>
      <c r="AY251" s="433"/>
      <c r="AZ251" s="428"/>
      <c r="BA251" s="433"/>
      <c r="BB251" s="127"/>
      <c r="BC251" s="127"/>
      <c r="BD251" s="127"/>
      <c r="BE251" s="126"/>
      <c r="BF251" s="222">
        <f t="shared" si="118"/>
        <v>0</v>
      </c>
      <c r="BG251" s="113">
        <f t="shared" si="119"/>
        <v>0</v>
      </c>
      <c r="BH251" s="3"/>
      <c r="BI251" s="113">
        <f t="shared" si="120"/>
        <v>0</v>
      </c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30">
        <f t="shared" si="121"/>
        <v>0</v>
      </c>
      <c r="BX251" s="3"/>
    </row>
    <row r="252" ht="14.25" customHeight="1">
      <c r="A252" s="132"/>
      <c r="B252" s="215">
        <v>46247</v>
      </c>
      <c r="C252" s="133"/>
      <c r="D252" s="136"/>
      <c r="E252" s="135"/>
      <c r="F252" s="135"/>
      <c r="G252" s="147">
        <f t="shared" si="113"/>
        <v>0</v>
      </c>
      <c r="H252" s="144"/>
      <c r="I252" s="143"/>
      <c r="J252" s="143"/>
      <c r="K252" s="143"/>
      <c r="L252" s="143"/>
      <c r="M252" s="143"/>
      <c r="N252" s="143"/>
      <c r="O252" s="99"/>
      <c r="P252" s="143"/>
      <c r="Q252" s="143"/>
      <c r="R252" s="143"/>
      <c r="S252" s="143"/>
      <c r="T252" s="143"/>
      <c r="U252" s="103">
        <f t="shared" si="114"/>
        <v>0</v>
      </c>
      <c r="V252" s="136"/>
      <c r="W252" s="136"/>
      <c r="X252" s="136"/>
      <c r="Y252" s="99"/>
      <c r="Z252" s="99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03">
        <f t="shared" si="115"/>
        <v>0</v>
      </c>
      <c r="AK252" s="136"/>
      <c r="AL252" s="136"/>
      <c r="AM252" s="136"/>
      <c r="AN252" s="105">
        <f t="shared" si="116"/>
        <v>0</v>
      </c>
      <c r="AO252" s="143"/>
      <c r="AP252" s="143"/>
      <c r="AQ252" s="143"/>
      <c r="AR252" s="143"/>
      <c r="AS252" s="146"/>
      <c r="AT252" s="224">
        <f t="shared" si="117"/>
        <v>0</v>
      </c>
      <c r="AU252" s="433"/>
      <c r="AV252" s="433"/>
      <c r="AW252" s="433"/>
      <c r="AX252" s="433"/>
      <c r="AY252" s="433"/>
      <c r="AZ252" s="428"/>
      <c r="BA252" s="433"/>
      <c r="BB252" s="127"/>
      <c r="BC252" s="127"/>
      <c r="BD252" s="127"/>
      <c r="BE252" s="126"/>
      <c r="BF252" s="222">
        <f t="shared" si="118"/>
        <v>0</v>
      </c>
      <c r="BG252" s="140">
        <f t="shared" si="119"/>
        <v>0</v>
      </c>
      <c r="BH252" s="132"/>
      <c r="BI252" s="140">
        <f t="shared" si="120"/>
        <v>0</v>
      </c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30">
        <f t="shared" si="121"/>
        <v>0</v>
      </c>
      <c r="BX252" s="132"/>
    </row>
    <row r="253" ht="14.25" customHeight="1">
      <c r="A253" s="132"/>
      <c r="B253" s="215">
        <v>46248</v>
      </c>
      <c r="C253" s="133"/>
      <c r="D253" s="136"/>
      <c r="E253" s="135"/>
      <c r="F253" s="135"/>
      <c r="G253" s="147">
        <f t="shared" si="113"/>
        <v>0</v>
      </c>
      <c r="H253" s="144"/>
      <c r="I253" s="143"/>
      <c r="J253" s="143"/>
      <c r="K253" s="143"/>
      <c r="L253" s="143"/>
      <c r="M253" s="143"/>
      <c r="N253" s="143"/>
      <c r="O253" s="99"/>
      <c r="P253" s="143"/>
      <c r="Q253" s="143"/>
      <c r="R253" s="143"/>
      <c r="S253" s="143"/>
      <c r="T253" s="143"/>
      <c r="U253" s="103">
        <f t="shared" si="114"/>
        <v>0</v>
      </c>
      <c r="V253" s="136"/>
      <c r="W253" s="136"/>
      <c r="X253" s="136"/>
      <c r="Y253" s="99"/>
      <c r="Z253" s="99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03">
        <f t="shared" si="115"/>
        <v>0</v>
      </c>
      <c r="AK253" s="136"/>
      <c r="AL253" s="136"/>
      <c r="AM253" s="136"/>
      <c r="AN253" s="105">
        <f t="shared" si="116"/>
        <v>0</v>
      </c>
      <c r="AO253" s="143"/>
      <c r="AP253" s="143"/>
      <c r="AQ253" s="143"/>
      <c r="AR253" s="143"/>
      <c r="AS253" s="146"/>
      <c r="AT253" s="224">
        <f t="shared" si="117"/>
        <v>0</v>
      </c>
      <c r="AU253" s="433"/>
      <c r="AV253" s="433"/>
      <c r="AW253" s="433"/>
      <c r="AX253" s="433"/>
      <c r="AY253" s="433"/>
      <c r="AZ253" s="428"/>
      <c r="BA253" s="433"/>
      <c r="BB253" s="127"/>
      <c r="BC253" s="127"/>
      <c r="BD253" s="127"/>
      <c r="BE253" s="126"/>
      <c r="BF253" s="222">
        <f t="shared" si="118"/>
        <v>0</v>
      </c>
      <c r="BG253" s="140">
        <f t="shared" si="119"/>
        <v>0</v>
      </c>
      <c r="BH253" s="132"/>
      <c r="BI253" s="140">
        <f t="shared" si="120"/>
        <v>0</v>
      </c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30">
        <f t="shared" si="121"/>
        <v>0</v>
      </c>
      <c r="BX253" s="132"/>
    </row>
    <row r="254" ht="14.25" customHeight="1">
      <c r="A254" s="132"/>
      <c r="B254" s="215">
        <v>46249</v>
      </c>
      <c r="C254" s="133"/>
      <c r="D254" s="136"/>
      <c r="E254" s="135"/>
      <c r="F254" s="135"/>
      <c r="G254" s="147">
        <f t="shared" si="113"/>
        <v>0</v>
      </c>
      <c r="H254" s="144"/>
      <c r="I254" s="143"/>
      <c r="J254" s="143"/>
      <c r="K254" s="143"/>
      <c r="L254" s="143"/>
      <c r="M254" s="143"/>
      <c r="N254" s="143"/>
      <c r="O254" s="99"/>
      <c r="P254" s="143"/>
      <c r="Q254" s="143"/>
      <c r="R254" s="143"/>
      <c r="S254" s="143"/>
      <c r="T254" s="143"/>
      <c r="U254" s="103">
        <f t="shared" si="114"/>
        <v>0</v>
      </c>
      <c r="V254" s="133"/>
      <c r="W254" s="133"/>
      <c r="X254" s="136"/>
      <c r="Y254" s="99"/>
      <c r="Z254" s="99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03">
        <f t="shared" si="115"/>
        <v>0</v>
      </c>
      <c r="AK254" s="136"/>
      <c r="AL254" s="136"/>
      <c r="AM254" s="136"/>
      <c r="AN254" s="105">
        <f t="shared" si="116"/>
        <v>0</v>
      </c>
      <c r="AO254" s="143"/>
      <c r="AP254" s="143"/>
      <c r="AQ254" s="143"/>
      <c r="AR254" s="143"/>
      <c r="AS254" s="146"/>
      <c r="AT254" s="224">
        <f t="shared" si="117"/>
        <v>0</v>
      </c>
      <c r="AU254" s="433"/>
      <c r="AV254" s="433"/>
      <c r="AW254" s="433"/>
      <c r="AX254" s="433"/>
      <c r="AY254" s="433"/>
      <c r="AZ254" s="428"/>
      <c r="BA254" s="433"/>
      <c r="BB254" s="127"/>
      <c r="BC254" s="127"/>
      <c r="BD254" s="127"/>
      <c r="BE254" s="126"/>
      <c r="BF254" s="222">
        <f t="shared" si="118"/>
        <v>0</v>
      </c>
      <c r="BG254" s="140">
        <f t="shared" si="119"/>
        <v>0</v>
      </c>
      <c r="BH254" s="132"/>
      <c r="BI254" s="140">
        <f t="shared" si="120"/>
        <v>0</v>
      </c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30">
        <f t="shared" si="121"/>
        <v>0</v>
      </c>
      <c r="BX254" s="132"/>
    </row>
    <row r="255" ht="14.25" customHeight="1">
      <c r="A255" s="132"/>
      <c r="B255" s="215">
        <v>46250</v>
      </c>
      <c r="C255" s="133"/>
      <c r="D255" s="136"/>
      <c r="E255" s="135"/>
      <c r="F255" s="135"/>
      <c r="G255" s="147">
        <f t="shared" si="113"/>
        <v>0</v>
      </c>
      <c r="H255" s="144"/>
      <c r="I255" s="143"/>
      <c r="J255" s="143"/>
      <c r="K255" s="143"/>
      <c r="L255" s="143"/>
      <c r="M255" s="143"/>
      <c r="N255" s="143"/>
      <c r="O255" s="99"/>
      <c r="P255" s="143"/>
      <c r="Q255" s="143"/>
      <c r="R255" s="143"/>
      <c r="S255" s="143"/>
      <c r="T255" s="143"/>
      <c r="U255" s="103">
        <f t="shared" si="114"/>
        <v>0</v>
      </c>
      <c r="V255" s="136"/>
      <c r="W255" s="136"/>
      <c r="X255" s="136"/>
      <c r="Y255" s="99"/>
      <c r="Z255" s="99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03">
        <f t="shared" si="115"/>
        <v>0</v>
      </c>
      <c r="AK255" s="136"/>
      <c r="AL255" s="136"/>
      <c r="AM255" s="136"/>
      <c r="AN255" s="105">
        <f t="shared" si="116"/>
        <v>0</v>
      </c>
      <c r="AO255" s="143"/>
      <c r="AP255" s="143"/>
      <c r="AQ255" s="143"/>
      <c r="AR255" s="143"/>
      <c r="AS255" s="146"/>
      <c r="AT255" s="224">
        <f t="shared" si="117"/>
        <v>0</v>
      </c>
      <c r="AU255" s="433"/>
      <c r="AV255" s="433"/>
      <c r="AW255" s="433"/>
      <c r="AX255" s="433"/>
      <c r="AY255" s="433"/>
      <c r="AZ255" s="428"/>
      <c r="BA255" s="433"/>
      <c r="BB255" s="127"/>
      <c r="BC255" s="127"/>
      <c r="BD255" s="127"/>
      <c r="BE255" s="126"/>
      <c r="BF255" s="222">
        <f t="shared" si="118"/>
        <v>0</v>
      </c>
      <c r="BG255" s="140">
        <f t="shared" si="119"/>
        <v>0</v>
      </c>
      <c r="BH255" s="132"/>
      <c r="BI255" s="140">
        <f t="shared" si="120"/>
        <v>0</v>
      </c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30">
        <f t="shared" si="121"/>
        <v>0</v>
      </c>
      <c r="BX255" s="132"/>
    </row>
    <row r="256" ht="14.25" customHeight="1">
      <c r="A256" s="132"/>
      <c r="B256" s="215">
        <v>46251</v>
      </c>
      <c r="C256" s="133"/>
      <c r="D256" s="136"/>
      <c r="E256" s="135"/>
      <c r="F256" s="135"/>
      <c r="G256" s="147">
        <f t="shared" si="113"/>
        <v>0</v>
      </c>
      <c r="H256" s="144"/>
      <c r="I256" s="143"/>
      <c r="J256" s="143"/>
      <c r="K256" s="143"/>
      <c r="L256" s="143"/>
      <c r="M256" s="143"/>
      <c r="N256" s="143"/>
      <c r="O256" s="99"/>
      <c r="P256" s="143"/>
      <c r="Q256" s="143"/>
      <c r="R256" s="143"/>
      <c r="S256" s="143"/>
      <c r="T256" s="143"/>
      <c r="U256" s="103">
        <f t="shared" si="114"/>
        <v>0</v>
      </c>
      <c r="V256" s="136"/>
      <c r="W256" s="136"/>
      <c r="X256" s="136"/>
      <c r="Y256" s="99"/>
      <c r="Z256" s="99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03">
        <f t="shared" si="115"/>
        <v>0</v>
      </c>
      <c r="AK256" s="136"/>
      <c r="AL256" s="136"/>
      <c r="AM256" s="136"/>
      <c r="AN256" s="105">
        <f t="shared" si="116"/>
        <v>0</v>
      </c>
      <c r="AO256" s="143"/>
      <c r="AP256" s="143"/>
      <c r="AQ256" s="143"/>
      <c r="AR256" s="143"/>
      <c r="AS256" s="146"/>
      <c r="AT256" s="224">
        <f t="shared" si="117"/>
        <v>0</v>
      </c>
      <c r="AU256" s="433"/>
      <c r="AV256" s="433"/>
      <c r="AW256" s="433"/>
      <c r="AX256" s="433"/>
      <c r="AY256" s="433"/>
      <c r="AZ256" s="428"/>
      <c r="BA256" s="433"/>
      <c r="BB256" s="127"/>
      <c r="BC256" s="127"/>
      <c r="BD256" s="127"/>
      <c r="BE256" s="126"/>
      <c r="BF256" s="222">
        <f t="shared" si="118"/>
        <v>0</v>
      </c>
      <c r="BG256" s="140">
        <f t="shared" si="119"/>
        <v>0</v>
      </c>
      <c r="BH256" s="132"/>
      <c r="BI256" s="140">
        <f t="shared" si="120"/>
        <v>0</v>
      </c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30">
        <f t="shared" si="121"/>
        <v>0</v>
      </c>
      <c r="BX256" s="132"/>
    </row>
    <row r="257" ht="14.25" customHeight="1">
      <c r="A257" s="132"/>
      <c r="B257" s="215">
        <v>46252</v>
      </c>
      <c r="C257" s="133"/>
      <c r="D257" s="136"/>
      <c r="E257" s="135"/>
      <c r="F257" s="135"/>
      <c r="G257" s="147">
        <f t="shared" si="113"/>
        <v>0</v>
      </c>
      <c r="H257" s="144"/>
      <c r="I257" s="143"/>
      <c r="J257" s="143"/>
      <c r="K257" s="143"/>
      <c r="L257" s="143"/>
      <c r="M257" s="143"/>
      <c r="N257" s="143"/>
      <c r="O257" s="99"/>
      <c r="P257" s="143"/>
      <c r="Q257" s="143"/>
      <c r="R257" s="143"/>
      <c r="S257" s="143"/>
      <c r="T257" s="143"/>
      <c r="U257" s="103">
        <f t="shared" si="114"/>
        <v>0</v>
      </c>
      <c r="V257" s="136"/>
      <c r="W257" s="136"/>
      <c r="X257" s="136"/>
      <c r="Y257" s="99"/>
      <c r="Z257" s="99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03">
        <f t="shared" si="115"/>
        <v>0</v>
      </c>
      <c r="AK257" s="136"/>
      <c r="AL257" s="136"/>
      <c r="AM257" s="136"/>
      <c r="AN257" s="105">
        <f t="shared" si="116"/>
        <v>0</v>
      </c>
      <c r="AO257" s="143"/>
      <c r="AP257" s="143"/>
      <c r="AQ257" s="143"/>
      <c r="AR257" s="143"/>
      <c r="AS257" s="146"/>
      <c r="AT257" s="224">
        <f t="shared" si="117"/>
        <v>0</v>
      </c>
      <c r="AU257" s="433"/>
      <c r="AV257" s="433"/>
      <c r="AW257" s="433"/>
      <c r="AX257" s="433"/>
      <c r="AY257" s="433"/>
      <c r="AZ257" s="428"/>
      <c r="BA257" s="433"/>
      <c r="BB257" s="127"/>
      <c r="BC257" s="127"/>
      <c r="BD257" s="127"/>
      <c r="BE257" s="126"/>
      <c r="BF257" s="222">
        <f t="shared" si="118"/>
        <v>0</v>
      </c>
      <c r="BG257" s="140">
        <f t="shared" si="119"/>
        <v>0</v>
      </c>
      <c r="BH257" s="132"/>
      <c r="BI257" s="140">
        <f t="shared" si="120"/>
        <v>0</v>
      </c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30">
        <f t="shared" si="121"/>
        <v>0</v>
      </c>
      <c r="BX257" s="132"/>
    </row>
    <row r="258" ht="14.25" customHeight="1">
      <c r="A258" s="132"/>
      <c r="B258" s="215">
        <v>46253</v>
      </c>
      <c r="C258" s="133"/>
      <c r="D258" s="136"/>
      <c r="E258" s="135"/>
      <c r="F258" s="135"/>
      <c r="G258" s="147">
        <f t="shared" si="113"/>
        <v>0</v>
      </c>
      <c r="H258" s="144"/>
      <c r="I258" s="143"/>
      <c r="J258" s="143"/>
      <c r="K258" s="143"/>
      <c r="L258" s="143"/>
      <c r="M258" s="143"/>
      <c r="N258" s="143"/>
      <c r="O258" s="99"/>
      <c r="P258" s="143"/>
      <c r="Q258" s="143"/>
      <c r="R258" s="143"/>
      <c r="S258" s="143"/>
      <c r="T258" s="143"/>
      <c r="U258" s="103">
        <f t="shared" si="114"/>
        <v>0</v>
      </c>
      <c r="V258" s="133"/>
      <c r="W258" s="133"/>
      <c r="X258" s="136"/>
      <c r="Y258" s="99"/>
      <c r="Z258" s="99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03">
        <f t="shared" si="115"/>
        <v>0</v>
      </c>
      <c r="AK258" s="136"/>
      <c r="AL258" s="136"/>
      <c r="AM258" s="136"/>
      <c r="AN258" s="105">
        <f t="shared" si="116"/>
        <v>0</v>
      </c>
      <c r="AO258" s="143"/>
      <c r="AP258" s="143"/>
      <c r="AQ258" s="143"/>
      <c r="AR258" s="143"/>
      <c r="AS258" s="146"/>
      <c r="AT258" s="224">
        <f t="shared" si="117"/>
        <v>0</v>
      </c>
      <c r="AU258" s="433"/>
      <c r="AV258" s="433"/>
      <c r="AW258" s="433"/>
      <c r="AX258" s="433"/>
      <c r="AY258" s="433"/>
      <c r="AZ258" s="428"/>
      <c r="BA258" s="433"/>
      <c r="BB258" s="127"/>
      <c r="BC258" s="127"/>
      <c r="BD258" s="127"/>
      <c r="BE258" s="126"/>
      <c r="BF258" s="222">
        <f t="shared" si="118"/>
        <v>0</v>
      </c>
      <c r="BG258" s="140">
        <f t="shared" si="119"/>
        <v>0</v>
      </c>
      <c r="BH258" s="132"/>
      <c r="BI258" s="140">
        <f t="shared" si="120"/>
        <v>0</v>
      </c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30">
        <f t="shared" si="121"/>
        <v>0</v>
      </c>
      <c r="BX258" s="132"/>
    </row>
    <row r="259" ht="14.25" customHeight="1">
      <c r="A259" s="132"/>
      <c r="B259" s="215">
        <v>46254</v>
      </c>
      <c r="C259" s="133"/>
      <c r="D259" s="136"/>
      <c r="E259" s="135"/>
      <c r="F259" s="135"/>
      <c r="G259" s="147">
        <f t="shared" si="113"/>
        <v>0</v>
      </c>
      <c r="H259" s="144"/>
      <c r="I259" s="143"/>
      <c r="J259" s="143"/>
      <c r="K259" s="143"/>
      <c r="L259" s="143"/>
      <c r="M259" s="143"/>
      <c r="N259" s="143"/>
      <c r="O259" s="99"/>
      <c r="P259" s="143"/>
      <c r="Q259" s="143"/>
      <c r="R259" s="143"/>
      <c r="S259" s="143"/>
      <c r="T259" s="143"/>
      <c r="U259" s="103">
        <f t="shared" si="114"/>
        <v>0</v>
      </c>
      <c r="V259" s="136"/>
      <c r="W259" s="136"/>
      <c r="X259" s="136"/>
      <c r="Y259" s="99"/>
      <c r="Z259" s="99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03">
        <f t="shared" si="115"/>
        <v>0</v>
      </c>
      <c r="AK259" s="136"/>
      <c r="AL259" s="136"/>
      <c r="AM259" s="136"/>
      <c r="AN259" s="105">
        <f t="shared" si="116"/>
        <v>0</v>
      </c>
      <c r="AO259" s="143"/>
      <c r="AP259" s="143"/>
      <c r="AQ259" s="143"/>
      <c r="AR259" s="143"/>
      <c r="AS259" s="146"/>
      <c r="AT259" s="224">
        <f t="shared" si="117"/>
        <v>0</v>
      </c>
      <c r="AU259" s="433"/>
      <c r="AV259" s="433"/>
      <c r="AW259" s="433"/>
      <c r="AX259" s="433"/>
      <c r="AY259" s="433"/>
      <c r="AZ259" s="428"/>
      <c r="BA259" s="433"/>
      <c r="BB259" s="127"/>
      <c r="BC259" s="127"/>
      <c r="BD259" s="127"/>
      <c r="BE259" s="126"/>
      <c r="BF259" s="222">
        <f t="shared" si="118"/>
        <v>0</v>
      </c>
      <c r="BG259" s="140">
        <f t="shared" si="119"/>
        <v>0</v>
      </c>
      <c r="BH259" s="132"/>
      <c r="BI259" s="140">
        <f t="shared" si="120"/>
        <v>0</v>
      </c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30">
        <f t="shared" si="121"/>
        <v>0</v>
      </c>
      <c r="BX259" s="132"/>
    </row>
    <row r="260" ht="14.25" customHeight="1">
      <c r="A260" s="132"/>
      <c r="B260" s="215">
        <v>46255</v>
      </c>
      <c r="C260" s="133"/>
      <c r="D260" s="136"/>
      <c r="E260" s="135"/>
      <c r="F260" s="135"/>
      <c r="G260" s="147">
        <f t="shared" si="113"/>
        <v>0</v>
      </c>
      <c r="H260" s="144"/>
      <c r="I260" s="143"/>
      <c r="J260" s="143"/>
      <c r="K260" s="143"/>
      <c r="L260" s="143"/>
      <c r="M260" s="143"/>
      <c r="N260" s="143"/>
      <c r="O260" s="99"/>
      <c r="P260" s="143"/>
      <c r="Q260" s="143"/>
      <c r="R260" s="143"/>
      <c r="S260" s="143"/>
      <c r="T260" s="143"/>
      <c r="U260" s="103">
        <f t="shared" si="114"/>
        <v>0</v>
      </c>
      <c r="V260" s="136"/>
      <c r="W260" s="136"/>
      <c r="X260" s="136"/>
      <c r="Y260" s="99"/>
      <c r="Z260" s="99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03">
        <f t="shared" si="115"/>
        <v>0</v>
      </c>
      <c r="AK260" s="136"/>
      <c r="AL260" s="136"/>
      <c r="AM260" s="136"/>
      <c r="AN260" s="105">
        <f t="shared" si="116"/>
        <v>0</v>
      </c>
      <c r="AO260" s="143"/>
      <c r="AP260" s="143"/>
      <c r="AQ260" s="143"/>
      <c r="AR260" s="143"/>
      <c r="AS260" s="146"/>
      <c r="AT260" s="224">
        <f t="shared" si="117"/>
        <v>0</v>
      </c>
      <c r="AU260" s="433"/>
      <c r="AV260" s="433"/>
      <c r="AW260" s="433"/>
      <c r="AX260" s="433"/>
      <c r="AY260" s="433"/>
      <c r="AZ260" s="428"/>
      <c r="BA260" s="433"/>
      <c r="BB260" s="127"/>
      <c r="BC260" s="127"/>
      <c r="BD260" s="127"/>
      <c r="BE260" s="126"/>
      <c r="BF260" s="222">
        <f t="shared" si="118"/>
        <v>0</v>
      </c>
      <c r="BG260" s="140">
        <f t="shared" si="119"/>
        <v>0</v>
      </c>
      <c r="BH260" s="132"/>
      <c r="BI260" s="140">
        <f t="shared" si="120"/>
        <v>0</v>
      </c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30">
        <f t="shared" si="121"/>
        <v>0</v>
      </c>
      <c r="BX260" s="132"/>
    </row>
    <row r="261" ht="14.25" customHeight="1">
      <c r="A261" s="132"/>
      <c r="B261" s="215">
        <v>46256</v>
      </c>
      <c r="C261" s="133"/>
      <c r="D261" s="136"/>
      <c r="E261" s="135"/>
      <c r="F261" s="135"/>
      <c r="G261" s="147">
        <f t="shared" si="113"/>
        <v>0</v>
      </c>
      <c r="H261" s="144"/>
      <c r="I261" s="143"/>
      <c r="J261" s="143"/>
      <c r="K261" s="143"/>
      <c r="L261" s="143"/>
      <c r="M261" s="143"/>
      <c r="N261" s="143"/>
      <c r="O261" s="99"/>
      <c r="P261" s="143"/>
      <c r="Q261" s="143"/>
      <c r="R261" s="143"/>
      <c r="S261" s="143"/>
      <c r="T261" s="143"/>
      <c r="U261" s="103">
        <f t="shared" si="114"/>
        <v>0</v>
      </c>
      <c r="V261" s="133"/>
      <c r="W261" s="133"/>
      <c r="X261" s="136"/>
      <c r="Y261" s="99"/>
      <c r="Z261" s="99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03">
        <f t="shared" si="115"/>
        <v>0</v>
      </c>
      <c r="AK261" s="136"/>
      <c r="AL261" s="136"/>
      <c r="AM261" s="136"/>
      <c r="AN261" s="105">
        <f t="shared" si="116"/>
        <v>0</v>
      </c>
      <c r="AO261" s="143"/>
      <c r="AP261" s="143"/>
      <c r="AQ261" s="143"/>
      <c r="AR261" s="143"/>
      <c r="AS261" s="146"/>
      <c r="AT261" s="224">
        <f t="shared" si="117"/>
        <v>0</v>
      </c>
      <c r="AU261" s="433"/>
      <c r="AV261" s="433"/>
      <c r="AW261" s="433"/>
      <c r="AX261" s="433"/>
      <c r="AY261" s="433"/>
      <c r="AZ261" s="428"/>
      <c r="BA261" s="433"/>
      <c r="BB261" s="127"/>
      <c r="BC261" s="127"/>
      <c r="BD261" s="127"/>
      <c r="BE261" s="126"/>
      <c r="BF261" s="222">
        <f t="shared" si="118"/>
        <v>0</v>
      </c>
      <c r="BG261" s="140">
        <f t="shared" si="119"/>
        <v>0</v>
      </c>
      <c r="BH261" s="132"/>
      <c r="BI261" s="140">
        <f t="shared" si="120"/>
        <v>0</v>
      </c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30">
        <f t="shared" si="121"/>
        <v>0</v>
      </c>
      <c r="BX261" s="132"/>
    </row>
    <row r="262" ht="14.25" customHeight="1">
      <c r="A262" s="3"/>
      <c r="B262" s="215">
        <v>46257</v>
      </c>
      <c r="C262" s="118"/>
      <c r="D262" s="123"/>
      <c r="E262" s="120"/>
      <c r="F262" s="120"/>
      <c r="G262" s="147">
        <f t="shared" si="113"/>
        <v>0</v>
      </c>
      <c r="H262" s="144"/>
      <c r="I262" s="143"/>
      <c r="J262" s="143"/>
      <c r="K262" s="143"/>
      <c r="L262" s="143"/>
      <c r="M262" s="143"/>
      <c r="N262" s="143"/>
      <c r="O262" s="99"/>
      <c r="P262" s="143"/>
      <c r="Q262" s="143"/>
      <c r="R262" s="143"/>
      <c r="S262" s="143"/>
      <c r="T262" s="143"/>
      <c r="U262" s="103">
        <f t="shared" si="114"/>
        <v>0</v>
      </c>
      <c r="V262" s="136"/>
      <c r="W262" s="136"/>
      <c r="X262" s="821"/>
      <c r="Y262" s="99"/>
      <c r="Z262" s="99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03">
        <f t="shared" si="115"/>
        <v>0</v>
      </c>
      <c r="AK262" s="123"/>
      <c r="AL262" s="123"/>
      <c r="AM262" s="123"/>
      <c r="AN262" s="105">
        <f t="shared" si="116"/>
        <v>0</v>
      </c>
      <c r="AO262" s="143"/>
      <c r="AP262" s="148"/>
      <c r="AQ262" s="3"/>
      <c r="AR262" s="143"/>
      <c r="AS262" s="146"/>
      <c r="AT262" s="224">
        <f ref="AT262:AT263" t="shared" si="122">+G262-U262-AJ262-AN262-AO262-AQ263-AR262-AS262</f>
        <v>0</v>
      </c>
      <c r="AU262" s="433"/>
      <c r="AV262" s="433"/>
      <c r="AW262" s="433"/>
      <c r="AX262" s="433"/>
      <c r="AY262" s="433"/>
      <c r="AZ262" s="428"/>
      <c r="BA262" s="433"/>
      <c r="BB262" s="127"/>
      <c r="BC262" s="127"/>
      <c r="BD262" s="127"/>
      <c r="BE262" s="126"/>
      <c r="BF262" s="222">
        <f t="shared" si="118"/>
        <v>0</v>
      </c>
      <c r="BG262" s="113">
        <f t="shared" si="119"/>
        <v>0</v>
      </c>
      <c r="BH262" s="3"/>
      <c r="BI262" s="113">
        <f t="shared" si="120"/>
        <v>0</v>
      </c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30">
        <f t="shared" si="121"/>
        <v>0</v>
      </c>
      <c r="BX262" s="3"/>
    </row>
    <row r="263" ht="14.25" customHeight="1">
      <c r="A263" s="132"/>
      <c r="B263" s="215">
        <v>46258</v>
      </c>
      <c r="C263" s="133"/>
      <c r="D263" s="136"/>
      <c r="E263" s="135"/>
      <c r="F263" s="135"/>
      <c r="G263" s="147">
        <f t="shared" si="113"/>
        <v>0</v>
      </c>
      <c r="H263" s="144"/>
      <c r="I263" s="143"/>
      <c r="J263" s="143"/>
      <c r="K263" s="143"/>
      <c r="L263" s="143"/>
      <c r="M263" s="143"/>
      <c r="N263" s="143"/>
      <c r="O263" s="99"/>
      <c r="P263" s="143"/>
      <c r="Q263" s="143"/>
      <c r="R263" s="143"/>
      <c r="S263" s="143"/>
      <c r="T263" s="143"/>
      <c r="U263" s="103">
        <f t="shared" si="114"/>
        <v>0</v>
      </c>
      <c r="V263" s="136"/>
      <c r="W263" s="136"/>
      <c r="X263" s="136"/>
      <c r="Y263" s="99"/>
      <c r="Z263" s="99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03">
        <f t="shared" si="115"/>
        <v>0</v>
      </c>
      <c r="AK263" s="136"/>
      <c r="AL263" s="136"/>
      <c r="AM263" s="136"/>
      <c r="AN263" s="105">
        <f t="shared" si="116"/>
        <v>0</v>
      </c>
      <c r="AO263" s="143"/>
      <c r="AP263" s="143"/>
      <c r="AQ263" s="143"/>
      <c r="AR263" s="143"/>
      <c r="AS263" s="146"/>
      <c r="AT263" s="224">
        <f t="shared" si="122"/>
        <v>0</v>
      </c>
      <c r="AU263" s="433"/>
      <c r="AV263" s="433"/>
      <c r="AW263" s="433"/>
      <c r="AX263" s="433"/>
      <c r="AY263" s="433"/>
      <c r="AZ263" s="428"/>
      <c r="BA263" s="433"/>
      <c r="BB263" s="127"/>
      <c r="BC263" s="127"/>
      <c r="BD263" s="127"/>
      <c r="BE263" s="126"/>
      <c r="BF263" s="222">
        <f t="shared" si="118"/>
        <v>0</v>
      </c>
      <c r="BG263" s="140">
        <f t="shared" si="119"/>
        <v>0</v>
      </c>
      <c r="BH263" s="132"/>
      <c r="BI263" s="140">
        <f t="shared" si="120"/>
        <v>0</v>
      </c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30">
        <f t="shared" si="121"/>
        <v>0</v>
      </c>
      <c r="BX263" s="132"/>
    </row>
    <row r="264" ht="14.25" customHeight="1">
      <c r="A264" s="132"/>
      <c r="B264" s="215">
        <v>46259</v>
      </c>
      <c r="C264" s="133"/>
      <c r="D264" s="136"/>
      <c r="E264" s="135"/>
      <c r="F264" s="135"/>
      <c r="G264" s="147">
        <f t="shared" si="113"/>
        <v>0</v>
      </c>
      <c r="H264" s="144"/>
      <c r="I264" s="143"/>
      <c r="J264" s="143"/>
      <c r="K264" s="143"/>
      <c r="L264" s="143"/>
      <c r="M264" s="143"/>
      <c r="N264" s="143"/>
      <c r="O264" s="99"/>
      <c r="P264" s="143"/>
      <c r="Q264" s="143"/>
      <c r="R264" s="143"/>
      <c r="S264" s="143"/>
      <c r="T264" s="143"/>
      <c r="U264" s="103">
        <f t="shared" si="114"/>
        <v>0</v>
      </c>
      <c r="V264" s="136"/>
      <c r="W264" s="136"/>
      <c r="X264" s="136"/>
      <c r="Y264" s="99"/>
      <c r="Z264" s="99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03">
        <f t="shared" si="115"/>
        <v>0</v>
      </c>
      <c r="AK264" s="136"/>
      <c r="AL264" s="136"/>
      <c r="AM264" s="136"/>
      <c r="AN264" s="105">
        <f t="shared" si="116"/>
        <v>0</v>
      </c>
      <c r="AO264" s="143"/>
      <c r="AP264" s="143"/>
      <c r="AQ264" s="143"/>
      <c r="AR264" s="143"/>
      <c r="AS264" s="146"/>
      <c r="AT264" s="224">
        <f ref="AT264:AT270" t="shared" si="123">+G264-U264-AJ264-AN264-AO264-AQ264-AR264-AS264</f>
        <v>0</v>
      </c>
      <c r="AU264" s="433"/>
      <c r="AV264" s="433"/>
      <c r="AW264" s="433"/>
      <c r="AX264" s="433"/>
      <c r="AY264" s="433"/>
      <c r="AZ264" s="428"/>
      <c r="BA264" s="433"/>
      <c r="BB264" s="127"/>
      <c r="BC264" s="127"/>
      <c r="BD264" s="127"/>
      <c r="BE264" s="126"/>
      <c r="BF264" s="222">
        <f t="shared" si="118"/>
        <v>0</v>
      </c>
      <c r="BG264" s="140">
        <f t="shared" si="119"/>
        <v>0</v>
      </c>
      <c r="BH264" s="132"/>
      <c r="BI264" s="140">
        <f t="shared" si="120"/>
        <v>0</v>
      </c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30">
        <f t="shared" si="121"/>
        <v>0</v>
      </c>
      <c r="BX264" s="132"/>
    </row>
    <row r="265" ht="14.25" customHeight="1">
      <c r="A265" s="132"/>
      <c r="B265" s="215">
        <v>46260</v>
      </c>
      <c r="C265" s="133"/>
      <c r="D265" s="136"/>
      <c r="E265" s="135"/>
      <c r="F265" s="135"/>
      <c r="G265" s="147">
        <f t="shared" si="113"/>
        <v>0</v>
      </c>
      <c r="H265" s="144"/>
      <c r="I265" s="143"/>
      <c r="J265" s="143"/>
      <c r="K265" s="143"/>
      <c r="L265" s="143"/>
      <c r="M265" s="143"/>
      <c r="N265" s="143"/>
      <c r="O265" s="99"/>
      <c r="P265" s="143"/>
      <c r="Q265" s="143"/>
      <c r="R265" s="143"/>
      <c r="S265" s="143"/>
      <c r="T265" s="143"/>
      <c r="U265" s="103">
        <f t="shared" si="114"/>
        <v>0</v>
      </c>
      <c r="V265" s="136"/>
      <c r="W265" s="136"/>
      <c r="X265" s="136"/>
      <c r="Y265" s="99"/>
      <c r="Z265" s="99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03">
        <f t="shared" si="115"/>
        <v>0</v>
      </c>
      <c r="AK265" s="136"/>
      <c r="AL265" s="136"/>
      <c r="AM265" s="136"/>
      <c r="AN265" s="105">
        <f t="shared" si="116"/>
        <v>0</v>
      </c>
      <c r="AO265" s="143"/>
      <c r="AP265" s="143"/>
      <c r="AQ265" s="143"/>
      <c r="AR265" s="143"/>
      <c r="AS265" s="146"/>
      <c r="AT265" s="224">
        <f t="shared" si="123"/>
        <v>0</v>
      </c>
      <c r="AU265" s="433"/>
      <c r="AV265" s="433"/>
      <c r="AW265" s="433"/>
      <c r="AX265" s="433"/>
      <c r="AY265" s="433"/>
      <c r="AZ265" s="428"/>
      <c r="BA265" s="433"/>
      <c r="BB265" s="127"/>
      <c r="BC265" s="127"/>
      <c r="BD265" s="127"/>
      <c r="BE265" s="126"/>
      <c r="BF265" s="222">
        <f t="shared" si="118"/>
        <v>0</v>
      </c>
      <c r="BG265" s="140">
        <f t="shared" si="119"/>
        <v>0</v>
      </c>
      <c r="BH265" s="132"/>
      <c r="BI265" s="140">
        <f t="shared" si="120"/>
        <v>0</v>
      </c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30">
        <f t="shared" si="121"/>
        <v>0</v>
      </c>
      <c r="BX265" s="132"/>
    </row>
    <row r="266" ht="14.25" customHeight="1">
      <c r="A266" s="132"/>
      <c r="B266" s="215">
        <v>46261</v>
      </c>
      <c r="C266" s="133"/>
      <c r="D266" s="136"/>
      <c r="E266" s="135"/>
      <c r="F266" s="135"/>
      <c r="G266" s="147">
        <f t="shared" si="113"/>
        <v>0</v>
      </c>
      <c r="H266" s="144"/>
      <c r="I266" s="143"/>
      <c r="J266" s="143"/>
      <c r="K266" s="143"/>
      <c r="L266" s="143"/>
      <c r="M266" s="143"/>
      <c r="N266" s="143"/>
      <c r="O266" s="99"/>
      <c r="P266" s="143"/>
      <c r="Q266" s="143"/>
      <c r="R266" s="143"/>
      <c r="S266" s="143"/>
      <c r="T266" s="143"/>
      <c r="U266" s="103">
        <f t="shared" si="114"/>
        <v>0</v>
      </c>
      <c r="V266" s="136"/>
      <c r="W266" s="136"/>
      <c r="X266" s="136"/>
      <c r="Y266" s="99"/>
      <c r="Z266" s="99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03">
        <f t="shared" si="115"/>
        <v>0</v>
      </c>
      <c r="AK266" s="136"/>
      <c r="AL266" s="136"/>
      <c r="AM266" s="136"/>
      <c r="AN266" s="105">
        <f t="shared" si="116"/>
        <v>0</v>
      </c>
      <c r="AO266" s="143"/>
      <c r="AP266" s="143"/>
      <c r="AQ266" s="143"/>
      <c r="AR266" s="143"/>
      <c r="AS266" s="146"/>
      <c r="AT266" s="224">
        <f t="shared" si="123"/>
        <v>0</v>
      </c>
      <c r="AU266" s="433"/>
      <c r="AV266" s="433"/>
      <c r="AW266" s="433"/>
      <c r="AX266" s="433"/>
      <c r="AY266" s="433"/>
      <c r="AZ266" s="428"/>
      <c r="BA266" s="433"/>
      <c r="BB266" s="127"/>
      <c r="BC266" s="127"/>
      <c r="BD266" s="127"/>
      <c r="BE266" s="126"/>
      <c r="BF266" s="222">
        <f t="shared" si="118"/>
        <v>0</v>
      </c>
      <c r="BG266" s="140">
        <f t="shared" si="119"/>
        <v>0</v>
      </c>
      <c r="BH266" s="132"/>
      <c r="BI266" s="140">
        <f t="shared" si="120"/>
        <v>0</v>
      </c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30">
        <f t="shared" si="121"/>
        <v>0</v>
      </c>
      <c r="BX266" s="132"/>
    </row>
    <row r="267" ht="14.25" customHeight="1">
      <c r="A267" s="132"/>
      <c r="B267" s="215">
        <v>46262</v>
      </c>
      <c r="C267" s="133"/>
      <c r="D267" s="136"/>
      <c r="E267" s="135"/>
      <c r="F267" s="135"/>
      <c r="G267" s="147">
        <f t="shared" si="113"/>
        <v>0</v>
      </c>
      <c r="H267" s="144"/>
      <c r="I267" s="143"/>
      <c r="J267" s="143"/>
      <c r="K267" s="143"/>
      <c r="L267" s="143"/>
      <c r="M267" s="143"/>
      <c r="N267" s="143"/>
      <c r="O267" s="99"/>
      <c r="P267" s="143"/>
      <c r="Q267" s="143"/>
      <c r="R267" s="143"/>
      <c r="S267" s="143"/>
      <c r="T267" s="143"/>
      <c r="U267" s="103">
        <f t="shared" si="114"/>
        <v>0</v>
      </c>
      <c r="V267" s="136"/>
      <c r="W267" s="136"/>
      <c r="X267" s="136"/>
      <c r="Y267" s="99"/>
      <c r="Z267" s="99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03">
        <f t="shared" si="115"/>
        <v>0</v>
      </c>
      <c r="AK267" s="136"/>
      <c r="AL267" s="136"/>
      <c r="AM267" s="136"/>
      <c r="AN267" s="105">
        <f t="shared" si="116"/>
        <v>0</v>
      </c>
      <c r="AO267" s="143"/>
      <c r="AP267" s="143"/>
      <c r="AQ267" s="143"/>
      <c r="AR267" s="143"/>
      <c r="AS267" s="146"/>
      <c r="AT267" s="224">
        <f t="shared" si="123"/>
        <v>0</v>
      </c>
      <c r="AU267" s="433"/>
      <c r="AV267" s="433"/>
      <c r="AW267" s="433"/>
      <c r="AX267" s="433"/>
      <c r="AY267" s="433"/>
      <c r="AZ267" s="428"/>
      <c r="BA267" s="433"/>
      <c r="BB267" s="127"/>
      <c r="BC267" s="127"/>
      <c r="BD267" s="127"/>
      <c r="BE267" s="126"/>
      <c r="BF267" s="222">
        <f t="shared" si="118"/>
        <v>0</v>
      </c>
      <c r="BG267" s="140">
        <f t="shared" si="119"/>
        <v>0</v>
      </c>
      <c r="BH267" s="132"/>
      <c r="BI267" s="140">
        <f t="shared" si="120"/>
        <v>0</v>
      </c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30">
        <f t="shared" si="121"/>
        <v>0</v>
      </c>
      <c r="BX267" s="132"/>
    </row>
    <row r="268" ht="14.25" customHeight="1">
      <c r="A268" s="132"/>
      <c r="B268" s="215">
        <v>46263</v>
      </c>
      <c r="C268" s="133"/>
      <c r="D268" s="136"/>
      <c r="E268" s="135"/>
      <c r="F268" s="135"/>
      <c r="G268" s="147">
        <f t="shared" si="113"/>
        <v>0</v>
      </c>
      <c r="H268" s="144"/>
      <c r="I268" s="143"/>
      <c r="J268" s="143"/>
      <c r="K268" s="143"/>
      <c r="L268" s="143"/>
      <c r="M268" s="143"/>
      <c r="N268" s="143"/>
      <c r="O268" s="99"/>
      <c r="P268" s="143"/>
      <c r="Q268" s="143"/>
      <c r="R268" s="143"/>
      <c r="S268" s="143"/>
      <c r="T268" s="143"/>
      <c r="U268" s="103">
        <f t="shared" si="114"/>
        <v>0</v>
      </c>
      <c r="V268" s="136"/>
      <c r="W268" s="136"/>
      <c r="X268" s="136"/>
      <c r="Y268" s="99"/>
      <c r="Z268" s="99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03">
        <f t="shared" si="115"/>
        <v>0</v>
      </c>
      <c r="AK268" s="136"/>
      <c r="AL268" s="136"/>
      <c r="AM268" s="136"/>
      <c r="AN268" s="105">
        <f t="shared" si="116"/>
        <v>0</v>
      </c>
      <c r="AO268" s="143"/>
      <c r="AP268" s="143"/>
      <c r="AQ268" s="143"/>
      <c r="AR268" s="143"/>
      <c r="AS268" s="146"/>
      <c r="AT268" s="224">
        <f t="shared" si="123"/>
        <v>0</v>
      </c>
      <c r="AU268" s="433"/>
      <c r="AV268" s="433"/>
      <c r="AW268" s="433"/>
      <c r="AX268" s="433"/>
      <c r="AY268" s="433"/>
      <c r="AZ268" s="428"/>
      <c r="BA268" s="433"/>
      <c r="BB268" s="127"/>
      <c r="BC268" s="127"/>
      <c r="BD268" s="127"/>
      <c r="BE268" s="126"/>
      <c r="BF268" s="222">
        <f t="shared" si="118"/>
        <v>0</v>
      </c>
      <c r="BG268" s="140">
        <f t="shared" si="119"/>
        <v>0</v>
      </c>
      <c r="BH268" s="132"/>
      <c r="BI268" s="140">
        <f t="shared" si="120"/>
        <v>0</v>
      </c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30">
        <f t="shared" si="121"/>
        <v>0</v>
      </c>
      <c r="BX268" s="132"/>
    </row>
    <row r="269" ht="14.25" customHeight="1">
      <c r="A269" s="132"/>
      <c r="B269" s="215">
        <v>46264</v>
      </c>
      <c r="C269" s="133"/>
      <c r="D269" s="136"/>
      <c r="E269" s="135"/>
      <c r="F269" s="135"/>
      <c r="G269" s="147">
        <f t="shared" si="113"/>
        <v>0</v>
      </c>
      <c r="H269" s="144"/>
      <c r="I269" s="143"/>
      <c r="J269" s="143"/>
      <c r="K269" s="143"/>
      <c r="L269" s="143"/>
      <c r="M269" s="143"/>
      <c r="N269" s="143"/>
      <c r="O269" s="99"/>
      <c r="P269" s="143"/>
      <c r="Q269" s="143"/>
      <c r="R269" s="143"/>
      <c r="S269" s="143"/>
      <c r="T269" s="143"/>
      <c r="U269" s="103">
        <f t="shared" si="114"/>
        <v>0</v>
      </c>
      <c r="V269" s="136"/>
      <c r="W269" s="136"/>
      <c r="X269" s="136"/>
      <c r="Y269" s="99"/>
      <c r="Z269" s="99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03">
        <f t="shared" si="115"/>
        <v>0</v>
      </c>
      <c r="AK269" s="136"/>
      <c r="AL269" s="136"/>
      <c r="AM269" s="136"/>
      <c r="AN269" s="105">
        <f t="shared" si="116"/>
        <v>0</v>
      </c>
      <c r="AO269" s="143"/>
      <c r="AP269" s="143"/>
      <c r="AQ269" s="143"/>
      <c r="AR269" s="143"/>
      <c r="AS269" s="146"/>
      <c r="AT269" s="224">
        <f t="shared" si="123"/>
        <v>0</v>
      </c>
      <c r="AU269" s="433"/>
      <c r="AV269" s="433"/>
      <c r="AW269" s="433"/>
      <c r="AX269" s="433"/>
      <c r="AY269" s="433"/>
      <c r="AZ269" s="428"/>
      <c r="BA269" s="433"/>
      <c r="BB269" s="127"/>
      <c r="BC269" s="127"/>
      <c r="BD269" s="127"/>
      <c r="BE269" s="138"/>
      <c r="BF269" s="222">
        <f t="shared" si="118"/>
        <v>0</v>
      </c>
      <c r="BG269" s="140">
        <f t="shared" si="119"/>
        <v>0</v>
      </c>
      <c r="BH269" s="132"/>
      <c r="BI269" s="140">
        <f t="shared" si="120"/>
        <v>0</v>
      </c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30">
        <f t="shared" si="121"/>
        <v>0</v>
      </c>
      <c r="BX269" s="132"/>
    </row>
    <row r="270" ht="14.25" customHeight="1">
      <c r="A270" s="132"/>
      <c r="B270" s="215">
        <v>46265</v>
      </c>
      <c r="C270" s="153"/>
      <c r="D270" s="159"/>
      <c r="E270" s="156"/>
      <c r="F270" s="156"/>
      <c r="G270" s="147">
        <f t="shared" si="113"/>
        <v>0</v>
      </c>
      <c r="H270" s="612"/>
      <c r="I270" s="157"/>
      <c r="J270" s="157"/>
      <c r="K270" s="157"/>
      <c r="L270" s="157"/>
      <c r="M270" s="157"/>
      <c r="N270" s="157"/>
      <c r="O270" s="657"/>
      <c r="P270" s="157"/>
      <c r="Q270" s="157"/>
      <c r="R270" s="157"/>
      <c r="S270" s="157"/>
      <c r="T270" s="157"/>
      <c r="U270" s="103">
        <f t="shared" si="114"/>
        <v>0</v>
      </c>
      <c r="V270" s="136"/>
      <c r="W270" s="136"/>
      <c r="X270" s="159"/>
      <c r="Y270" s="657"/>
      <c r="Z270" s="657"/>
      <c r="AA270" s="157"/>
      <c r="AB270" s="157"/>
      <c r="AC270" s="157"/>
      <c r="AD270" s="157"/>
      <c r="AE270" s="157"/>
      <c r="AF270" s="157"/>
      <c r="AG270" s="157"/>
      <c r="AH270" s="157"/>
      <c r="AI270" s="157"/>
      <c r="AJ270" s="103">
        <f t="shared" si="115"/>
        <v>0</v>
      </c>
      <c r="AK270" s="159"/>
      <c r="AL270" s="159"/>
      <c r="AM270" s="159"/>
      <c r="AN270" s="105">
        <f t="shared" si="116"/>
        <v>0</v>
      </c>
      <c r="AO270" s="157"/>
      <c r="AP270" s="157"/>
      <c r="AQ270" s="157"/>
      <c r="AR270" s="157"/>
      <c r="AS270" s="160"/>
      <c r="AT270" s="224">
        <f t="shared" si="123"/>
        <v>0</v>
      </c>
      <c r="AU270" s="435"/>
      <c r="AV270" s="435"/>
      <c r="AW270" s="435"/>
      <c r="AX270" s="435"/>
      <c r="AY270" s="435"/>
      <c r="AZ270" s="428"/>
      <c r="BA270" s="435"/>
      <c r="BB270" s="127"/>
      <c r="BC270" s="127"/>
      <c r="BD270" s="127"/>
      <c r="BE270" s="127"/>
      <c r="BF270" s="222">
        <f t="shared" si="118"/>
        <v>0</v>
      </c>
      <c r="BG270" s="162">
        <f t="shared" si="119"/>
        <v>0</v>
      </c>
      <c r="BH270" s="132"/>
      <c r="BI270" s="162">
        <f t="shared" si="120"/>
        <v>0</v>
      </c>
      <c r="BJ270" s="163"/>
      <c r="BK270" s="163"/>
      <c r="BL270" s="163"/>
      <c r="BM270" s="163"/>
      <c r="BN270" s="163"/>
      <c r="BO270" s="163"/>
      <c r="BP270" s="163"/>
      <c r="BQ270" s="163"/>
      <c r="BR270" s="163"/>
      <c r="BS270" s="141"/>
      <c r="BT270" s="163"/>
      <c r="BU270" s="163"/>
      <c r="BV270" s="163"/>
      <c r="BW270" s="164">
        <f t="shared" si="121"/>
        <v>0</v>
      </c>
      <c r="BX270" s="132"/>
    </row>
    <row r="271" ht="14.25" customHeight="1">
      <c r="A271" s="3"/>
      <c r="B271" s="299"/>
      <c r="C271" s="166">
        <f ref="C271:AL271" t="shared" si="124">SUM(C240:C270)</f>
        <v>0</v>
      </c>
      <c r="D271" s="166">
        <f t="shared" si="124"/>
        <v>0</v>
      </c>
      <c r="E271" s="166">
        <f t="shared" si="124"/>
        <v>0</v>
      </c>
      <c r="F271" s="166">
        <f t="shared" si="124"/>
        <v>0</v>
      </c>
      <c r="G271" s="166">
        <f t="shared" si="124"/>
        <v>0</v>
      </c>
      <c r="H271" s="166">
        <f t="shared" si="124"/>
        <v>0</v>
      </c>
      <c r="I271" s="166">
        <f t="shared" si="124"/>
        <v>0</v>
      </c>
      <c r="J271" s="166">
        <f t="shared" si="124"/>
        <v>0</v>
      </c>
      <c r="K271" s="166">
        <f t="shared" si="124"/>
        <v>0</v>
      </c>
      <c r="L271" s="166">
        <f t="shared" si="124"/>
        <v>0</v>
      </c>
      <c r="M271" s="166">
        <f t="shared" si="124"/>
        <v>0</v>
      </c>
      <c r="N271" s="166">
        <f t="shared" si="124"/>
        <v>0</v>
      </c>
      <c r="O271" s="166">
        <f t="shared" si="124"/>
        <v>0</v>
      </c>
      <c r="P271" s="166">
        <f t="shared" si="124"/>
        <v>0</v>
      </c>
      <c r="Q271" s="166">
        <f t="shared" si="124"/>
        <v>0</v>
      </c>
      <c r="R271" s="166">
        <f t="shared" si="124"/>
        <v>0</v>
      </c>
      <c r="S271" s="166">
        <f t="shared" si="124"/>
        <v>0</v>
      </c>
      <c r="T271" s="166">
        <f t="shared" si="124"/>
        <v>0</v>
      </c>
      <c r="U271" s="166">
        <f t="shared" si="124"/>
        <v>0</v>
      </c>
      <c r="V271" s="166">
        <f t="shared" si="124"/>
        <v>0</v>
      </c>
      <c r="W271" s="166">
        <f t="shared" si="124"/>
        <v>0</v>
      </c>
      <c r="X271" s="166">
        <f t="shared" si="124"/>
        <v>0</v>
      </c>
      <c r="Y271" s="166">
        <f t="shared" si="124"/>
        <v>0</v>
      </c>
      <c r="Z271" s="166">
        <f t="shared" si="124"/>
        <v>0</v>
      </c>
      <c r="AA271" s="166">
        <f t="shared" si="124"/>
        <v>0</v>
      </c>
      <c r="AB271" s="166">
        <f t="shared" si="124"/>
        <v>0</v>
      </c>
      <c r="AC271" s="166">
        <f t="shared" si="124"/>
        <v>0</v>
      </c>
      <c r="AD271" s="166">
        <f t="shared" si="124"/>
        <v>0</v>
      </c>
      <c r="AE271" s="166">
        <f t="shared" si="124"/>
        <v>0</v>
      </c>
      <c r="AF271" s="166">
        <f t="shared" si="124"/>
        <v>0</v>
      </c>
      <c r="AG271" s="166">
        <f t="shared" si="124"/>
        <v>0</v>
      </c>
      <c r="AH271" s="166">
        <f t="shared" si="124"/>
        <v>0</v>
      </c>
      <c r="AI271" s="166">
        <f t="shared" si="124"/>
        <v>0</v>
      </c>
      <c r="AJ271" s="166">
        <f t="shared" si="124"/>
        <v>0</v>
      </c>
      <c r="AK271" s="166">
        <f t="shared" si="124"/>
        <v>0</v>
      </c>
      <c r="AL271" s="166">
        <f t="shared" si="124"/>
        <v>0</v>
      </c>
      <c r="AM271" s="166"/>
      <c r="AN271" s="166">
        <f ref="AN271:BG271" t="shared" si="125">SUM(AN240:AN270)</f>
        <v>0</v>
      </c>
      <c r="AO271" s="166">
        <f t="shared" si="125"/>
        <v>0</v>
      </c>
      <c r="AP271" s="166">
        <f t="shared" si="125"/>
        <v>0</v>
      </c>
      <c r="AQ271" s="166">
        <f t="shared" si="125"/>
        <v>0</v>
      </c>
      <c r="AR271" s="166">
        <f t="shared" si="125"/>
        <v>0</v>
      </c>
      <c r="AS271" s="166">
        <f t="shared" si="125"/>
        <v>0</v>
      </c>
      <c r="AT271" s="166">
        <f t="shared" si="125"/>
        <v>0</v>
      </c>
      <c r="AU271" s="165">
        <f t="shared" si="125"/>
        <v>0</v>
      </c>
      <c r="AV271" s="165">
        <f t="shared" si="125"/>
        <v>0</v>
      </c>
      <c r="AW271" s="165">
        <f t="shared" si="125"/>
        <v>0</v>
      </c>
      <c r="AX271" s="165">
        <f t="shared" si="125"/>
        <v>0</v>
      </c>
      <c r="AY271" s="165">
        <f t="shared" si="125"/>
        <v>0</v>
      </c>
      <c r="AZ271" s="165">
        <f t="shared" si="125"/>
        <v>0</v>
      </c>
      <c r="BA271" s="165">
        <f t="shared" si="125"/>
        <v>0</v>
      </c>
      <c r="BB271" s="165">
        <f t="shared" si="125"/>
        <v>0</v>
      </c>
      <c r="BC271" s="165">
        <f t="shared" si="125"/>
        <v>0</v>
      </c>
      <c r="BD271" s="165">
        <f t="shared" si="125"/>
        <v>0</v>
      </c>
      <c r="BE271" s="165">
        <f t="shared" si="125"/>
        <v>0</v>
      </c>
      <c r="BF271" s="166">
        <f t="shared" si="125"/>
        <v>0</v>
      </c>
      <c r="BG271" s="166">
        <f t="shared" si="125"/>
        <v>0</v>
      </c>
      <c r="BH271" s="132"/>
      <c r="BI271" s="166">
        <f>SUM(BI240:BI270)</f>
        <v>25</v>
      </c>
      <c r="BJ271" s="166"/>
      <c r="BK271" s="166"/>
      <c r="BL271" s="166"/>
      <c r="BM271" s="166"/>
      <c r="BN271" s="166"/>
      <c r="BO271" s="166"/>
      <c r="BP271" s="166"/>
      <c r="BQ271" s="166"/>
      <c r="BR271" s="166"/>
      <c r="BS271" s="166">
        <f ref="BS271:BW271" t="shared" si="126">SUM(BS240:BS270)</f>
        <v>0</v>
      </c>
      <c r="BT271" s="166">
        <f t="shared" si="126"/>
        <v>25</v>
      </c>
      <c r="BU271" s="166">
        <f t="shared" si="126"/>
        <v>0</v>
      </c>
      <c r="BV271" s="166">
        <f t="shared" si="126"/>
        <v>0</v>
      </c>
      <c r="BW271" s="166">
        <f t="shared" si="126"/>
        <v>-25</v>
      </c>
      <c r="BX271" s="3"/>
    </row>
    <row r="272" ht="14.25" customHeight="1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4"/>
      <c r="AO272" s="3"/>
      <c r="AP272" s="3"/>
      <c r="AQ272" s="3"/>
      <c r="AR272" s="3"/>
      <c r="AS272" s="3"/>
      <c r="AT272" s="3"/>
      <c r="AU272" s="1"/>
      <c r="AV272" s="380"/>
      <c r="AW272" s="380"/>
      <c r="AX272" s="380"/>
      <c r="AY272" s="380"/>
      <c r="AZ272" s="380"/>
      <c r="BA272" s="1"/>
      <c r="BB272" s="3"/>
      <c r="BC272" s="3"/>
      <c r="BD272" s="3"/>
      <c r="BE272" s="132"/>
      <c r="BF272" s="4"/>
      <c r="BG272" s="3"/>
      <c r="BH272" s="132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176"/>
      <c r="AK273" s="3"/>
      <c r="AL273" s="3"/>
      <c r="AM273" s="3"/>
      <c r="AN273" s="4"/>
      <c r="AO273" s="3"/>
      <c r="AP273" s="3"/>
      <c r="AQ273" s="3"/>
      <c r="AR273" s="3"/>
      <c r="AS273" s="3"/>
      <c r="AT273" s="3"/>
      <c r="AU273" s="1"/>
      <c r="AV273" s="380"/>
      <c r="AW273" s="380"/>
      <c r="AX273" s="380"/>
      <c r="AY273" s="380"/>
      <c r="AZ273" s="380"/>
      <c r="BA273" s="1"/>
      <c r="BB273" s="3"/>
      <c r="BC273" s="3"/>
      <c r="BD273" s="3"/>
      <c r="BE273" s="132"/>
      <c r="BF273" s="177"/>
      <c r="BG273" s="3"/>
      <c r="BH273" s="3"/>
      <c r="BI273" s="3"/>
      <c r="BJ273" s="3"/>
      <c r="BK273" s="3"/>
      <c r="BL273" s="3"/>
      <c r="BM273" s="176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</row>
    <row r="274" ht="14.25" customHeight="1">
      <c r="A274" s="3"/>
      <c r="B274" s="512">
        <v>46266</v>
      </c>
      <c r="C274" s="94"/>
      <c r="D274" s="104"/>
      <c r="E274" s="97"/>
      <c r="F274" s="97"/>
      <c r="G274" s="265">
        <f ref="G274:G303" t="shared" si="127">+C274+D274+E274+F274</f>
        <v>0</v>
      </c>
      <c r="H274" s="187"/>
      <c r="I274" s="186"/>
      <c r="J274" s="186"/>
      <c r="K274" s="186"/>
      <c r="L274" s="186"/>
      <c r="M274" s="186"/>
      <c r="N274" s="186"/>
      <c r="O274" s="101"/>
      <c r="P274" s="186"/>
      <c r="Q274" s="186"/>
      <c r="R274" s="186"/>
      <c r="S274" s="186"/>
      <c r="T274" s="186"/>
      <c r="U274" s="189">
        <f ref="U274:U303" t="shared" si="128">SUM(H274:T274)</f>
        <v>0</v>
      </c>
      <c r="V274" s="190"/>
      <c r="W274" s="190"/>
      <c r="X274" s="190"/>
      <c r="Y274" s="101"/>
      <c r="Z274" s="101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03">
        <f ref="AJ274:AJ303" t="shared" si="129">SUM(V274:AI274)</f>
        <v>0</v>
      </c>
      <c r="AK274" s="104"/>
      <c r="AL274" s="104"/>
      <c r="AM274" s="104"/>
      <c r="AN274" s="191">
        <f ref="AN274:AN303" t="shared" si="130">SUM(AK274:AM274)</f>
        <v>0</v>
      </c>
      <c r="AO274" s="186"/>
      <c r="AP274" s="186"/>
      <c r="AQ274" s="186"/>
      <c r="AR274" s="186"/>
      <c r="AS274" s="193"/>
      <c r="AT274" s="266">
        <f ref="AT274:AT303" t="shared" si="131">+G274-U274-AJ274-AN274-AO274-AQ274-AR274-AS274</f>
        <v>0</v>
      </c>
      <c r="AU274" s="427"/>
      <c r="AV274" s="427"/>
      <c r="AW274" s="427"/>
      <c r="AX274" s="427"/>
      <c r="AY274" s="427"/>
      <c r="AZ274" s="428"/>
      <c r="BA274" s="427"/>
      <c r="BB274" s="127"/>
      <c r="BC274" s="127"/>
      <c r="BD274" s="127"/>
      <c r="BE274" s="109"/>
      <c r="BF274" s="222">
        <f ref="BF274:BF303" t="shared" si="132">SUM(AU274:BE274)-BD274</f>
        <v>0</v>
      </c>
      <c r="BG274" s="114">
        <f ref="BG274:BG303" t="shared" si="133">+AT274-BF274</f>
        <v>0</v>
      </c>
      <c r="BH274" s="3"/>
      <c r="BI274" s="114">
        <f ref="BI274:BI303" t="shared" si="134">SUM(BJ274:BV274)</f>
        <v>0</v>
      </c>
      <c r="BJ274" s="115"/>
      <c r="BK274" s="115"/>
      <c r="BL274" s="115"/>
      <c r="BM274" s="115"/>
      <c r="BN274" s="115"/>
      <c r="BO274" s="115"/>
      <c r="BP274" s="115"/>
      <c r="BQ274" s="115"/>
      <c r="BR274" s="115"/>
      <c r="BS274" s="115"/>
      <c r="BT274" s="115"/>
      <c r="BU274" s="115"/>
      <c r="BV274" s="115"/>
      <c r="BW274" s="116">
        <f ref="BW274:BW303" t="shared" si="135">+BG274-BI274</f>
        <v>0</v>
      </c>
      <c r="BX274" s="3"/>
    </row>
    <row r="275" ht="14.25" customHeight="1">
      <c r="A275" s="3"/>
      <c r="B275" s="512">
        <v>46267</v>
      </c>
      <c r="C275" s="118"/>
      <c r="D275" s="123"/>
      <c r="E275" s="120"/>
      <c r="F275" s="120"/>
      <c r="G275" s="147">
        <f t="shared" si="127"/>
        <v>0</v>
      </c>
      <c r="H275" s="144"/>
      <c r="I275" s="143"/>
      <c r="J275" s="143"/>
      <c r="K275" s="143"/>
      <c r="L275" s="143"/>
      <c r="M275" s="143"/>
      <c r="N275" s="143"/>
      <c r="O275" s="99"/>
      <c r="P275" s="143"/>
      <c r="Q275" s="143"/>
      <c r="R275" s="143"/>
      <c r="S275" s="143"/>
      <c r="T275" s="143"/>
      <c r="U275" s="103">
        <f t="shared" si="128"/>
        <v>0</v>
      </c>
      <c r="V275" s="133"/>
      <c r="W275" s="133"/>
      <c r="X275" s="136"/>
      <c r="Y275" s="99"/>
      <c r="Z275" s="99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03">
        <f t="shared" si="129"/>
        <v>0</v>
      </c>
      <c r="AK275" s="123"/>
      <c r="AL275" s="123"/>
      <c r="AM275" s="123"/>
      <c r="AN275" s="105">
        <f t="shared" si="130"/>
        <v>0</v>
      </c>
      <c r="AO275" s="143"/>
      <c r="AP275" s="143"/>
      <c r="AQ275" s="143"/>
      <c r="AR275" s="143"/>
      <c r="AS275" s="146"/>
      <c r="AT275" s="224">
        <f t="shared" si="131"/>
        <v>0</v>
      </c>
      <c r="AU275" s="433"/>
      <c r="AV275" s="433"/>
      <c r="AW275" s="433"/>
      <c r="AX275" s="433"/>
      <c r="AY275" s="433"/>
      <c r="AZ275" s="428"/>
      <c r="BA275" s="433"/>
      <c r="BB275" s="127"/>
      <c r="BC275" s="127"/>
      <c r="BD275" s="127"/>
      <c r="BE275" s="126"/>
      <c r="BF275" s="222">
        <f t="shared" si="132"/>
        <v>0</v>
      </c>
      <c r="BG275" s="113">
        <f t="shared" si="133"/>
        <v>0</v>
      </c>
      <c r="BH275" s="3"/>
      <c r="BI275" s="113">
        <f t="shared" si="134"/>
        <v>0</v>
      </c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30">
        <f t="shared" si="135"/>
        <v>0</v>
      </c>
      <c r="BX275" s="3"/>
    </row>
    <row r="276" ht="14.25" customHeight="1">
      <c r="A276" s="3"/>
      <c r="B276" s="512">
        <v>46268</v>
      </c>
      <c r="C276" s="118"/>
      <c r="D276" s="123"/>
      <c r="E276" s="120"/>
      <c r="F276" s="120"/>
      <c r="G276" s="147">
        <f t="shared" si="127"/>
        <v>0</v>
      </c>
      <c r="H276" s="144"/>
      <c r="I276" s="143"/>
      <c r="J276" s="143"/>
      <c r="K276" s="143"/>
      <c r="L276" s="143"/>
      <c r="M276" s="143"/>
      <c r="N276" s="143"/>
      <c r="O276" s="99"/>
      <c r="P276" s="143"/>
      <c r="Q276" s="143"/>
      <c r="R276" s="143"/>
      <c r="S276" s="143"/>
      <c r="T276" s="143"/>
      <c r="U276" s="103">
        <f t="shared" si="128"/>
        <v>0</v>
      </c>
      <c r="V276" s="136"/>
      <c r="W276" s="136"/>
      <c r="X276" s="136"/>
      <c r="Y276" s="99"/>
      <c r="Z276" s="99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03">
        <f t="shared" si="129"/>
        <v>0</v>
      </c>
      <c r="AK276" s="123"/>
      <c r="AL276" s="123"/>
      <c r="AM276" s="123"/>
      <c r="AN276" s="105">
        <f t="shared" si="130"/>
        <v>0</v>
      </c>
      <c r="AO276" s="143"/>
      <c r="AP276" s="143"/>
      <c r="AQ276" s="143"/>
      <c r="AR276" s="143"/>
      <c r="AS276" s="146"/>
      <c r="AT276" s="224">
        <f t="shared" si="131"/>
        <v>0</v>
      </c>
      <c r="AU276" s="433"/>
      <c r="AV276" s="433"/>
      <c r="AW276" s="433"/>
      <c r="AX276" s="433"/>
      <c r="AY276" s="433"/>
      <c r="AZ276" s="428"/>
      <c r="BA276" s="433"/>
      <c r="BB276" s="127"/>
      <c r="BC276" s="127"/>
      <c r="BD276" s="127"/>
      <c r="BE276" s="126"/>
      <c r="BF276" s="222">
        <f t="shared" si="132"/>
        <v>0</v>
      </c>
      <c r="BG276" s="113">
        <f t="shared" si="133"/>
        <v>0</v>
      </c>
      <c r="BH276" s="3"/>
      <c r="BI276" s="113">
        <f t="shared" si="134"/>
        <v>0</v>
      </c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30">
        <f t="shared" si="135"/>
        <v>0</v>
      </c>
      <c r="BX276" s="3"/>
    </row>
    <row r="277" ht="14.25" customHeight="1">
      <c r="A277" s="132"/>
      <c r="B277" s="512">
        <v>46269</v>
      </c>
      <c r="C277" s="133"/>
      <c r="D277" s="136"/>
      <c r="E277" s="135"/>
      <c r="F277" s="135"/>
      <c r="G277" s="147">
        <f t="shared" si="127"/>
        <v>0</v>
      </c>
      <c r="H277" s="144"/>
      <c r="I277" s="143"/>
      <c r="J277" s="143"/>
      <c r="K277" s="143"/>
      <c r="L277" s="143"/>
      <c r="M277" s="143"/>
      <c r="N277" s="143"/>
      <c r="O277" s="99"/>
      <c r="P277" s="143"/>
      <c r="Q277" s="143"/>
      <c r="R277" s="143"/>
      <c r="S277" s="143"/>
      <c r="T277" s="143"/>
      <c r="U277" s="103">
        <f t="shared" si="128"/>
        <v>0</v>
      </c>
      <c r="V277" s="133"/>
      <c r="W277" s="133"/>
      <c r="X277" s="136"/>
      <c r="Y277" s="99"/>
      <c r="Z277" s="99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03">
        <f t="shared" si="129"/>
        <v>0</v>
      </c>
      <c r="AK277" s="136"/>
      <c r="AL277" s="136"/>
      <c r="AM277" s="136"/>
      <c r="AN277" s="105">
        <f t="shared" si="130"/>
        <v>0</v>
      </c>
      <c r="AO277" s="143"/>
      <c r="AP277" s="143"/>
      <c r="AQ277" s="143"/>
      <c r="AR277" s="143"/>
      <c r="AS277" s="146"/>
      <c r="AT277" s="224">
        <f t="shared" si="131"/>
        <v>0</v>
      </c>
      <c r="AU277" s="433"/>
      <c r="AV277" s="433"/>
      <c r="AW277" s="433"/>
      <c r="AX277" s="433"/>
      <c r="AY277" s="433"/>
      <c r="AZ277" s="428"/>
      <c r="BA277" s="433"/>
      <c r="BB277" s="127"/>
      <c r="BC277" s="127"/>
      <c r="BD277" s="127"/>
      <c r="BE277" s="126"/>
      <c r="BF277" s="222">
        <f t="shared" si="132"/>
        <v>0</v>
      </c>
      <c r="BG277" s="140">
        <f t="shared" si="133"/>
        <v>0</v>
      </c>
      <c r="BH277" s="132"/>
      <c r="BI277" s="140">
        <f t="shared" si="134"/>
        <v>0</v>
      </c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30">
        <f t="shared" si="135"/>
        <v>0</v>
      </c>
      <c r="BX277" s="132"/>
    </row>
    <row r="278" ht="14.25" customHeight="1">
      <c r="A278" s="132"/>
      <c r="B278" s="512">
        <v>46270</v>
      </c>
      <c r="C278" s="133"/>
      <c r="D278" s="136"/>
      <c r="E278" s="135"/>
      <c r="F278" s="135"/>
      <c r="G278" s="147">
        <f t="shared" si="127"/>
        <v>0</v>
      </c>
      <c r="H278" s="144"/>
      <c r="I278" s="143"/>
      <c r="J278" s="143"/>
      <c r="K278" s="143"/>
      <c r="L278" s="143"/>
      <c r="M278" s="143"/>
      <c r="N278" s="143"/>
      <c r="O278" s="99"/>
      <c r="P278" s="143"/>
      <c r="Q278" s="143"/>
      <c r="R278" s="143"/>
      <c r="S278" s="143"/>
      <c r="T278" s="143"/>
      <c r="U278" s="103">
        <f t="shared" si="128"/>
        <v>0</v>
      </c>
      <c r="V278" s="136"/>
      <c r="W278" s="136"/>
      <c r="X278" s="136"/>
      <c r="Y278" s="99"/>
      <c r="Z278" s="99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03">
        <f t="shared" si="129"/>
        <v>0</v>
      </c>
      <c r="AK278" s="136"/>
      <c r="AL278" s="136"/>
      <c r="AM278" s="136"/>
      <c r="AN278" s="105">
        <f t="shared" si="130"/>
        <v>0</v>
      </c>
      <c r="AO278" s="143"/>
      <c r="AP278" s="143"/>
      <c r="AQ278" s="143"/>
      <c r="AR278" s="143"/>
      <c r="AS278" s="146"/>
      <c r="AT278" s="224">
        <f t="shared" si="131"/>
        <v>0</v>
      </c>
      <c r="AU278" s="433"/>
      <c r="AV278" s="433"/>
      <c r="AW278" s="433"/>
      <c r="AX278" s="433"/>
      <c r="AY278" s="433"/>
      <c r="AZ278" s="428"/>
      <c r="BA278" s="433"/>
      <c r="BB278" s="127"/>
      <c r="BC278" s="127"/>
      <c r="BD278" s="127"/>
      <c r="BE278" s="126"/>
      <c r="BF278" s="222">
        <f t="shared" si="132"/>
        <v>0</v>
      </c>
      <c r="BG278" s="140">
        <f t="shared" si="133"/>
        <v>0</v>
      </c>
      <c r="BH278" s="132"/>
      <c r="BI278" s="140">
        <f t="shared" si="134"/>
        <v>0</v>
      </c>
      <c r="BJ278" s="141"/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30">
        <f t="shared" si="135"/>
        <v>0</v>
      </c>
      <c r="BX278" s="132"/>
    </row>
    <row r="279" ht="14.25" customHeight="1">
      <c r="A279" s="132"/>
      <c r="B279" s="512">
        <v>46271</v>
      </c>
      <c r="C279" s="133"/>
      <c r="D279" s="136"/>
      <c r="E279" s="135"/>
      <c r="F279" s="135"/>
      <c r="G279" s="147">
        <f t="shared" si="127"/>
        <v>0</v>
      </c>
      <c r="H279" s="144"/>
      <c r="I279" s="143"/>
      <c r="J279" s="143"/>
      <c r="K279" s="143"/>
      <c r="L279" s="143"/>
      <c r="M279" s="143"/>
      <c r="N279" s="143"/>
      <c r="O279" s="99"/>
      <c r="P279" s="143"/>
      <c r="Q279" s="143"/>
      <c r="R279" s="143"/>
      <c r="S279" s="143"/>
      <c r="T279" s="143"/>
      <c r="U279" s="103">
        <f t="shared" si="128"/>
        <v>0</v>
      </c>
      <c r="V279" s="136"/>
      <c r="W279" s="136"/>
      <c r="X279" s="136"/>
      <c r="Y279" s="99"/>
      <c r="Z279" s="99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03">
        <f t="shared" si="129"/>
        <v>0</v>
      </c>
      <c r="AK279" s="136"/>
      <c r="AL279" s="136"/>
      <c r="AM279" s="136"/>
      <c r="AN279" s="105">
        <f t="shared" si="130"/>
        <v>0</v>
      </c>
      <c r="AO279" s="143"/>
      <c r="AP279" s="143"/>
      <c r="AQ279" s="143"/>
      <c r="AR279" s="143"/>
      <c r="AS279" s="146"/>
      <c r="AT279" s="224">
        <f t="shared" si="131"/>
        <v>0</v>
      </c>
      <c r="AU279" s="433"/>
      <c r="AV279" s="433"/>
      <c r="AW279" s="433"/>
      <c r="AX279" s="433"/>
      <c r="AY279" s="433"/>
      <c r="AZ279" s="428"/>
      <c r="BA279" s="433"/>
      <c r="BB279" s="127"/>
      <c r="BC279" s="127"/>
      <c r="BD279" s="127"/>
      <c r="BE279" s="126"/>
      <c r="BF279" s="222">
        <f t="shared" si="132"/>
        <v>0</v>
      </c>
      <c r="BG279" s="140">
        <f t="shared" si="133"/>
        <v>0</v>
      </c>
      <c r="BH279" s="132"/>
      <c r="BI279" s="140">
        <f t="shared" si="134"/>
        <v>0</v>
      </c>
      <c r="BJ279" s="141"/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30">
        <f t="shared" si="135"/>
        <v>0</v>
      </c>
      <c r="BX279" s="132"/>
    </row>
    <row r="280" ht="14.25" customHeight="1">
      <c r="A280" s="132"/>
      <c r="B280" s="512">
        <v>46272</v>
      </c>
      <c r="C280" s="133"/>
      <c r="D280" s="136"/>
      <c r="E280" s="135"/>
      <c r="F280" s="135"/>
      <c r="G280" s="147">
        <f t="shared" si="127"/>
        <v>0</v>
      </c>
      <c r="H280" s="144"/>
      <c r="I280" s="143"/>
      <c r="J280" s="143"/>
      <c r="K280" s="143"/>
      <c r="L280" s="143"/>
      <c r="M280" s="143"/>
      <c r="N280" s="143"/>
      <c r="O280" s="99"/>
      <c r="P280" s="143"/>
      <c r="Q280" s="143"/>
      <c r="R280" s="143"/>
      <c r="S280" s="143"/>
      <c r="T280" s="143"/>
      <c r="U280" s="103">
        <f t="shared" si="128"/>
        <v>0</v>
      </c>
      <c r="V280" s="136"/>
      <c r="W280" s="136"/>
      <c r="X280" s="136"/>
      <c r="Y280" s="99"/>
      <c r="Z280" s="99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03">
        <f t="shared" si="129"/>
        <v>0</v>
      </c>
      <c r="AK280" s="136"/>
      <c r="AL280" s="136"/>
      <c r="AM280" s="136"/>
      <c r="AN280" s="105">
        <f t="shared" si="130"/>
        <v>0</v>
      </c>
      <c r="AO280" s="143"/>
      <c r="AP280" s="143"/>
      <c r="AQ280" s="143"/>
      <c r="AR280" s="143"/>
      <c r="AS280" s="146"/>
      <c r="AT280" s="224">
        <f t="shared" si="131"/>
        <v>0</v>
      </c>
      <c r="AU280" s="433"/>
      <c r="AV280" s="433"/>
      <c r="AW280" s="433"/>
      <c r="AX280" s="433"/>
      <c r="AY280" s="433"/>
      <c r="AZ280" s="428"/>
      <c r="BA280" s="433"/>
      <c r="BB280" s="127"/>
      <c r="BC280" s="127"/>
      <c r="BD280" s="127"/>
      <c r="BE280" s="126"/>
      <c r="BF280" s="222">
        <f t="shared" si="132"/>
        <v>0</v>
      </c>
      <c r="BG280" s="140">
        <f t="shared" si="133"/>
        <v>0</v>
      </c>
      <c r="BH280" s="132"/>
      <c r="BI280" s="140">
        <f t="shared" si="134"/>
        <v>0</v>
      </c>
      <c r="BJ280" s="141"/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30">
        <f t="shared" si="135"/>
        <v>0</v>
      </c>
      <c r="BX280" s="132"/>
    </row>
    <row r="281" ht="14.25" customHeight="1">
      <c r="A281" s="132"/>
      <c r="B281" s="512">
        <v>46273</v>
      </c>
      <c r="C281" s="133"/>
      <c r="D281" s="136"/>
      <c r="E281" s="135"/>
      <c r="F281" s="135"/>
      <c r="G281" s="147">
        <f t="shared" si="127"/>
        <v>0</v>
      </c>
      <c r="H281" s="144"/>
      <c r="I281" s="143"/>
      <c r="J281" s="143"/>
      <c r="K281" s="143"/>
      <c r="L281" s="143"/>
      <c r="M281" s="143"/>
      <c r="N281" s="143"/>
      <c r="O281" s="99"/>
      <c r="P281" s="143"/>
      <c r="Q281" s="143"/>
      <c r="R281" s="143"/>
      <c r="S281" s="143"/>
      <c r="T281" s="143"/>
      <c r="U281" s="103">
        <f t="shared" si="128"/>
        <v>0</v>
      </c>
      <c r="V281" s="136"/>
      <c r="W281" s="136"/>
      <c r="X281" s="136"/>
      <c r="Y281" s="99"/>
      <c r="Z281" s="99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03">
        <f t="shared" si="129"/>
        <v>0</v>
      </c>
      <c r="AK281" s="136"/>
      <c r="AL281" s="136"/>
      <c r="AM281" s="136"/>
      <c r="AN281" s="105">
        <f t="shared" si="130"/>
        <v>0</v>
      </c>
      <c r="AO281" s="143"/>
      <c r="AP281" s="143"/>
      <c r="AQ281" s="143"/>
      <c r="AR281" s="143"/>
      <c r="AS281" s="146"/>
      <c r="AT281" s="224">
        <f t="shared" si="131"/>
        <v>0</v>
      </c>
      <c r="AU281" s="433"/>
      <c r="AV281" s="433"/>
      <c r="AW281" s="433"/>
      <c r="AX281" s="433"/>
      <c r="AY281" s="433"/>
      <c r="AZ281" s="428"/>
      <c r="BA281" s="433"/>
      <c r="BB281" s="127"/>
      <c r="BC281" s="127"/>
      <c r="BD281" s="127"/>
      <c r="BE281" s="126"/>
      <c r="BF281" s="222">
        <f t="shared" si="132"/>
        <v>0</v>
      </c>
      <c r="BG281" s="140">
        <f t="shared" si="133"/>
        <v>0</v>
      </c>
      <c r="BH281" s="132"/>
      <c r="BI281" s="140">
        <f t="shared" si="134"/>
        <v>0</v>
      </c>
      <c r="BJ281" s="141"/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30">
        <f t="shared" si="135"/>
        <v>0</v>
      </c>
      <c r="BX281" s="132"/>
    </row>
    <row r="282" ht="14.25" customHeight="1">
      <c r="A282" s="132"/>
      <c r="B282" s="512">
        <v>46274</v>
      </c>
      <c r="C282" s="133"/>
      <c r="D282" s="136"/>
      <c r="E282" s="135"/>
      <c r="F282" s="135"/>
      <c r="G282" s="147">
        <f t="shared" si="127"/>
        <v>0</v>
      </c>
      <c r="H282" s="144"/>
      <c r="I282" s="143"/>
      <c r="J282" s="143"/>
      <c r="K282" s="143"/>
      <c r="L282" s="143"/>
      <c r="M282" s="143"/>
      <c r="N282" s="143"/>
      <c r="O282" s="99"/>
      <c r="P282" s="143"/>
      <c r="Q282" s="143"/>
      <c r="R282" s="143"/>
      <c r="S282" s="143"/>
      <c r="T282" s="143"/>
      <c r="U282" s="103">
        <f t="shared" si="128"/>
        <v>0</v>
      </c>
      <c r="V282" s="136"/>
      <c r="W282" s="136"/>
      <c r="X282" s="136"/>
      <c r="Y282" s="99"/>
      <c r="Z282" s="99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03">
        <f t="shared" si="129"/>
        <v>0</v>
      </c>
      <c r="AK282" s="136"/>
      <c r="AL282" s="136"/>
      <c r="AM282" s="136"/>
      <c r="AN282" s="105">
        <f t="shared" si="130"/>
        <v>0</v>
      </c>
      <c r="AO282" s="143"/>
      <c r="AP282" s="143"/>
      <c r="AQ282" s="143"/>
      <c r="AR282" s="143"/>
      <c r="AS282" s="146"/>
      <c r="AT282" s="224">
        <f t="shared" si="131"/>
        <v>0</v>
      </c>
      <c r="AU282" s="433"/>
      <c r="AV282" s="433"/>
      <c r="AW282" s="433"/>
      <c r="AX282" s="433"/>
      <c r="AY282" s="433"/>
      <c r="AZ282" s="428"/>
      <c r="BA282" s="433"/>
      <c r="BB282" s="127"/>
      <c r="BC282" s="127"/>
      <c r="BD282" s="127"/>
      <c r="BE282" s="126"/>
      <c r="BF282" s="222">
        <f t="shared" si="132"/>
        <v>0</v>
      </c>
      <c r="BG282" s="140">
        <f t="shared" si="133"/>
        <v>0</v>
      </c>
      <c r="BH282" s="132"/>
      <c r="BI282" s="140">
        <f t="shared" si="134"/>
        <v>0</v>
      </c>
      <c r="BJ282" s="141"/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30">
        <f t="shared" si="135"/>
        <v>0</v>
      </c>
      <c r="BX282" s="132"/>
    </row>
    <row r="283" ht="14.25" customHeight="1">
      <c r="A283" s="132"/>
      <c r="B283" s="512">
        <v>46275</v>
      </c>
      <c r="C283" s="133"/>
      <c r="D283" s="136"/>
      <c r="E283" s="135"/>
      <c r="F283" s="135"/>
      <c r="G283" s="147">
        <f t="shared" si="127"/>
        <v>0</v>
      </c>
      <c r="H283" s="144"/>
      <c r="I283" s="143"/>
      <c r="J283" s="143"/>
      <c r="K283" s="143"/>
      <c r="L283" s="143"/>
      <c r="M283" s="143"/>
      <c r="N283" s="143"/>
      <c r="O283" s="99"/>
      <c r="P283" s="143"/>
      <c r="Q283" s="143"/>
      <c r="R283" s="143"/>
      <c r="S283" s="143"/>
      <c r="T283" s="143"/>
      <c r="U283" s="103">
        <f t="shared" si="128"/>
        <v>0</v>
      </c>
      <c r="V283" s="136"/>
      <c r="W283" s="136"/>
      <c r="X283" s="136"/>
      <c r="Y283" s="99"/>
      <c r="Z283" s="99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03">
        <f t="shared" si="129"/>
        <v>0</v>
      </c>
      <c r="AK283" s="136"/>
      <c r="AL283" s="136"/>
      <c r="AM283" s="136"/>
      <c r="AN283" s="105">
        <f t="shared" si="130"/>
        <v>0</v>
      </c>
      <c r="AO283" s="143"/>
      <c r="AP283" s="143"/>
      <c r="AQ283" s="143"/>
      <c r="AR283" s="143"/>
      <c r="AS283" s="146"/>
      <c r="AT283" s="224">
        <f t="shared" si="131"/>
        <v>0</v>
      </c>
      <c r="AU283" s="433"/>
      <c r="AV283" s="433"/>
      <c r="AW283" s="433"/>
      <c r="AX283" s="433"/>
      <c r="AY283" s="433"/>
      <c r="AZ283" s="428"/>
      <c r="BA283" s="433"/>
      <c r="BB283" s="127"/>
      <c r="BC283" s="127"/>
      <c r="BD283" s="127"/>
      <c r="BE283" s="126"/>
      <c r="BF283" s="222">
        <f t="shared" si="132"/>
        <v>0</v>
      </c>
      <c r="BG283" s="140">
        <f t="shared" si="133"/>
        <v>0</v>
      </c>
      <c r="BH283" s="132"/>
      <c r="BI283" s="140">
        <f t="shared" si="134"/>
        <v>0</v>
      </c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30">
        <f t="shared" si="135"/>
        <v>0</v>
      </c>
      <c r="BX283" s="132"/>
    </row>
    <row r="284" ht="14.25" customHeight="1">
      <c r="A284" s="132"/>
      <c r="B284" s="512">
        <v>46276</v>
      </c>
      <c r="C284" s="133"/>
      <c r="D284" s="136"/>
      <c r="E284" s="135"/>
      <c r="F284" s="135"/>
      <c r="G284" s="147">
        <f t="shared" si="127"/>
        <v>0</v>
      </c>
      <c r="H284" s="144"/>
      <c r="I284" s="143"/>
      <c r="J284" s="143"/>
      <c r="K284" s="143"/>
      <c r="L284" s="143"/>
      <c r="M284" s="143"/>
      <c r="N284" s="143"/>
      <c r="O284" s="99"/>
      <c r="P284" s="143"/>
      <c r="Q284" s="143"/>
      <c r="R284" s="143"/>
      <c r="S284" s="143"/>
      <c r="T284" s="143"/>
      <c r="U284" s="103">
        <f t="shared" si="128"/>
        <v>0</v>
      </c>
      <c r="V284" s="136"/>
      <c r="W284" s="136"/>
      <c r="X284" s="136"/>
      <c r="Y284" s="99"/>
      <c r="Z284" s="99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03">
        <f t="shared" si="129"/>
        <v>0</v>
      </c>
      <c r="AK284" s="136"/>
      <c r="AL284" s="136"/>
      <c r="AM284" s="136"/>
      <c r="AN284" s="105">
        <f t="shared" si="130"/>
        <v>0</v>
      </c>
      <c r="AO284" s="143"/>
      <c r="AP284" s="143"/>
      <c r="AQ284" s="143"/>
      <c r="AR284" s="143"/>
      <c r="AS284" s="146"/>
      <c r="AT284" s="224">
        <f t="shared" si="131"/>
        <v>0</v>
      </c>
      <c r="AU284" s="433"/>
      <c r="AV284" s="433"/>
      <c r="AW284" s="433"/>
      <c r="AX284" s="433"/>
      <c r="AY284" s="433"/>
      <c r="AZ284" s="428"/>
      <c r="BA284" s="433"/>
      <c r="BB284" s="127"/>
      <c r="BC284" s="127"/>
      <c r="BD284" s="127"/>
      <c r="BE284" s="126"/>
      <c r="BF284" s="222">
        <f t="shared" si="132"/>
        <v>0</v>
      </c>
      <c r="BG284" s="140">
        <f t="shared" si="133"/>
        <v>0</v>
      </c>
      <c r="BH284" s="132"/>
      <c r="BI284" s="140">
        <f t="shared" si="134"/>
        <v>0</v>
      </c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30">
        <f t="shared" si="135"/>
        <v>0</v>
      </c>
      <c r="BX284" s="132"/>
    </row>
    <row r="285" ht="14.25" customHeight="1">
      <c r="A285" s="132"/>
      <c r="B285" s="512">
        <v>46277</v>
      </c>
      <c r="C285" s="133"/>
      <c r="D285" s="136"/>
      <c r="E285" s="135"/>
      <c r="F285" s="135"/>
      <c r="G285" s="147">
        <f t="shared" si="127"/>
        <v>0</v>
      </c>
      <c r="H285" s="144"/>
      <c r="I285" s="143"/>
      <c r="J285" s="143"/>
      <c r="K285" s="143"/>
      <c r="L285" s="143"/>
      <c r="M285" s="143"/>
      <c r="N285" s="143"/>
      <c r="O285" s="99"/>
      <c r="P285" s="143"/>
      <c r="Q285" s="143"/>
      <c r="R285" s="143"/>
      <c r="S285" s="143"/>
      <c r="T285" s="143"/>
      <c r="U285" s="103">
        <f t="shared" si="128"/>
        <v>0</v>
      </c>
      <c r="V285" s="136"/>
      <c r="W285" s="136"/>
      <c r="X285" s="136"/>
      <c r="Y285" s="99"/>
      <c r="Z285" s="99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03">
        <f t="shared" si="129"/>
        <v>0</v>
      </c>
      <c r="AK285" s="136"/>
      <c r="AL285" s="136"/>
      <c r="AM285" s="136"/>
      <c r="AN285" s="105">
        <f t="shared" si="130"/>
        <v>0</v>
      </c>
      <c r="AO285" s="143"/>
      <c r="AP285" s="143"/>
      <c r="AQ285" s="143"/>
      <c r="AR285" s="143"/>
      <c r="AS285" s="146"/>
      <c r="AT285" s="224">
        <f t="shared" si="131"/>
        <v>0</v>
      </c>
      <c r="AU285" s="433"/>
      <c r="AV285" s="433"/>
      <c r="AW285" s="433"/>
      <c r="AX285" s="433"/>
      <c r="AY285" s="433"/>
      <c r="AZ285" s="428"/>
      <c r="BA285" s="433"/>
      <c r="BB285" s="127"/>
      <c r="BC285" s="127"/>
      <c r="BD285" s="127"/>
      <c r="BE285" s="126"/>
      <c r="BF285" s="222">
        <f t="shared" si="132"/>
        <v>0</v>
      </c>
      <c r="BG285" s="140">
        <f t="shared" si="133"/>
        <v>0</v>
      </c>
      <c r="BH285" s="132"/>
      <c r="BI285" s="140">
        <f t="shared" si="134"/>
        <v>0</v>
      </c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30">
        <f t="shared" si="135"/>
        <v>0</v>
      </c>
      <c r="BX285" s="132"/>
    </row>
    <row r="286" ht="14.25" customHeight="1">
      <c r="A286" s="132"/>
      <c r="B286" s="512">
        <v>46278</v>
      </c>
      <c r="C286" s="133"/>
      <c r="D286" s="136"/>
      <c r="E286" s="135"/>
      <c r="F286" s="135"/>
      <c r="G286" s="147">
        <f t="shared" si="127"/>
        <v>0</v>
      </c>
      <c r="H286" s="144"/>
      <c r="I286" s="143"/>
      <c r="J286" s="143"/>
      <c r="K286" s="143"/>
      <c r="L286" s="143"/>
      <c r="M286" s="143"/>
      <c r="N286" s="143"/>
      <c r="O286" s="99"/>
      <c r="P286" s="143"/>
      <c r="Q286" s="143"/>
      <c r="R286" s="143"/>
      <c r="S286" s="143"/>
      <c r="T286" s="143"/>
      <c r="U286" s="103">
        <f t="shared" si="128"/>
        <v>0</v>
      </c>
      <c r="V286" s="136"/>
      <c r="W286" s="136"/>
      <c r="X286" s="136"/>
      <c r="Y286" s="99"/>
      <c r="Z286" s="99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03">
        <f t="shared" si="129"/>
        <v>0</v>
      </c>
      <c r="AK286" s="136"/>
      <c r="AL286" s="136"/>
      <c r="AM286" s="136"/>
      <c r="AN286" s="105">
        <f t="shared" si="130"/>
        <v>0</v>
      </c>
      <c r="AO286" s="143"/>
      <c r="AP286" s="143"/>
      <c r="AQ286" s="143"/>
      <c r="AR286" s="143"/>
      <c r="AS286" s="146"/>
      <c r="AT286" s="224">
        <f t="shared" si="131"/>
        <v>0</v>
      </c>
      <c r="AU286" s="433"/>
      <c r="AV286" s="1185"/>
      <c r="AW286" s="433"/>
      <c r="AX286" s="433"/>
      <c r="AY286" s="433"/>
      <c r="AZ286" s="428"/>
      <c r="BA286" s="433"/>
      <c r="BB286" s="127"/>
      <c r="BC286" s="127"/>
      <c r="BD286" s="127"/>
      <c r="BE286" s="126"/>
      <c r="BF286" s="222">
        <f t="shared" si="132"/>
        <v>0</v>
      </c>
      <c r="BG286" s="140">
        <f t="shared" si="133"/>
        <v>0</v>
      </c>
      <c r="BH286" s="132"/>
      <c r="BI286" s="140">
        <f t="shared" si="134"/>
        <v>0</v>
      </c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30">
        <f t="shared" si="135"/>
        <v>0</v>
      </c>
      <c r="BX286" s="132"/>
    </row>
    <row r="287" ht="14.25" customHeight="1">
      <c r="A287" s="132"/>
      <c r="B287" s="512">
        <v>46279</v>
      </c>
      <c r="C287" s="133"/>
      <c r="D287" s="136"/>
      <c r="E287" s="135"/>
      <c r="F287" s="135"/>
      <c r="G287" s="147">
        <f t="shared" si="127"/>
        <v>0</v>
      </c>
      <c r="H287" s="144"/>
      <c r="I287" s="143"/>
      <c r="J287" s="143"/>
      <c r="K287" s="143"/>
      <c r="L287" s="143"/>
      <c r="M287" s="143"/>
      <c r="N287" s="143"/>
      <c r="O287" s="99"/>
      <c r="P287" s="143"/>
      <c r="Q287" s="143"/>
      <c r="R287" s="143"/>
      <c r="S287" s="143"/>
      <c r="T287" s="143"/>
      <c r="U287" s="103">
        <f t="shared" si="128"/>
        <v>0</v>
      </c>
      <c r="V287" s="136"/>
      <c r="W287" s="136"/>
      <c r="X287" s="136"/>
      <c r="Y287" s="99"/>
      <c r="Z287" s="99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03">
        <f t="shared" si="129"/>
        <v>0</v>
      </c>
      <c r="AK287" s="136"/>
      <c r="AL287" s="136"/>
      <c r="AM287" s="136"/>
      <c r="AN287" s="105">
        <f t="shared" si="130"/>
        <v>0</v>
      </c>
      <c r="AO287" s="143"/>
      <c r="AP287" s="143"/>
      <c r="AQ287" s="143"/>
      <c r="AR287" s="143"/>
      <c r="AS287" s="146"/>
      <c r="AT287" s="224">
        <f t="shared" si="131"/>
        <v>0</v>
      </c>
      <c r="AU287" s="433"/>
      <c r="AV287" s="433"/>
      <c r="AW287" s="433"/>
      <c r="AX287" s="433"/>
      <c r="AY287" s="433"/>
      <c r="AZ287" s="428"/>
      <c r="BA287" s="433"/>
      <c r="BB287" s="127"/>
      <c r="BC287" s="127"/>
      <c r="BD287" s="127"/>
      <c r="BE287" s="126"/>
      <c r="BF287" s="222">
        <f t="shared" si="132"/>
        <v>0</v>
      </c>
      <c r="BG287" s="140">
        <f t="shared" si="133"/>
        <v>0</v>
      </c>
      <c r="BH287" s="132"/>
      <c r="BI287" s="140">
        <f t="shared" si="134"/>
        <v>0</v>
      </c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30">
        <f t="shared" si="135"/>
        <v>0</v>
      </c>
      <c r="BX287" s="132"/>
    </row>
    <row r="288" ht="14.25" customHeight="1">
      <c r="A288" s="132"/>
      <c r="B288" s="512">
        <v>46280</v>
      </c>
      <c r="C288" s="133"/>
      <c r="D288" s="136"/>
      <c r="E288" s="135"/>
      <c r="F288" s="135"/>
      <c r="G288" s="147">
        <f t="shared" si="127"/>
        <v>0</v>
      </c>
      <c r="H288" s="144"/>
      <c r="I288" s="143"/>
      <c r="J288" s="143"/>
      <c r="K288" s="143"/>
      <c r="L288" s="143"/>
      <c r="M288" s="143"/>
      <c r="N288" s="143"/>
      <c r="O288" s="99"/>
      <c r="P288" s="143"/>
      <c r="Q288" s="143"/>
      <c r="R288" s="143"/>
      <c r="S288" s="143"/>
      <c r="T288" s="143"/>
      <c r="U288" s="103">
        <f t="shared" si="128"/>
        <v>0</v>
      </c>
      <c r="V288" s="136"/>
      <c r="W288" s="136"/>
      <c r="X288" s="136"/>
      <c r="Y288" s="99"/>
      <c r="Z288" s="99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03">
        <f t="shared" si="129"/>
        <v>0</v>
      </c>
      <c r="AK288" s="136"/>
      <c r="AL288" s="136"/>
      <c r="AM288" s="136"/>
      <c r="AN288" s="105">
        <f t="shared" si="130"/>
        <v>0</v>
      </c>
      <c r="AO288" s="143"/>
      <c r="AP288" s="143"/>
      <c r="AQ288" s="143"/>
      <c r="AR288" s="143"/>
      <c r="AS288" s="146"/>
      <c r="AT288" s="224">
        <f t="shared" si="131"/>
        <v>0</v>
      </c>
      <c r="AU288" s="433"/>
      <c r="AV288" s="433"/>
      <c r="AW288" s="433"/>
      <c r="AX288" s="433"/>
      <c r="AY288" s="433"/>
      <c r="AZ288" s="428"/>
      <c r="BA288" s="433"/>
      <c r="BB288" s="127"/>
      <c r="BC288" s="127"/>
      <c r="BD288" s="127"/>
      <c r="BE288" s="126"/>
      <c r="BF288" s="222">
        <f t="shared" si="132"/>
        <v>0</v>
      </c>
      <c r="BG288" s="140">
        <f t="shared" si="133"/>
        <v>0</v>
      </c>
      <c r="BH288" s="132"/>
      <c r="BI288" s="140">
        <f t="shared" si="134"/>
        <v>0</v>
      </c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30">
        <f t="shared" si="135"/>
        <v>0</v>
      </c>
      <c r="BX288" s="132"/>
    </row>
    <row r="289" ht="14.25" customHeight="1">
      <c r="A289" s="132"/>
      <c r="B289" s="512">
        <v>46281</v>
      </c>
      <c r="C289" s="133"/>
      <c r="D289" s="136"/>
      <c r="E289" s="135"/>
      <c r="F289" s="135"/>
      <c r="G289" s="147">
        <f t="shared" si="127"/>
        <v>0</v>
      </c>
      <c r="H289" s="144"/>
      <c r="I289" s="143"/>
      <c r="J289" s="143"/>
      <c r="K289" s="143"/>
      <c r="L289" s="143"/>
      <c r="M289" s="143"/>
      <c r="N289" s="143"/>
      <c r="O289" s="99"/>
      <c r="P289" s="143"/>
      <c r="Q289" s="143"/>
      <c r="R289" s="143"/>
      <c r="S289" s="143"/>
      <c r="T289" s="143"/>
      <c r="U289" s="103">
        <f t="shared" si="128"/>
        <v>0</v>
      </c>
      <c r="V289" s="136"/>
      <c r="W289" s="136"/>
      <c r="X289" s="136"/>
      <c r="Y289" s="99"/>
      <c r="Z289" s="99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03">
        <f t="shared" si="129"/>
        <v>0</v>
      </c>
      <c r="AK289" s="136"/>
      <c r="AL289" s="136"/>
      <c r="AM289" s="136"/>
      <c r="AN289" s="105">
        <f t="shared" si="130"/>
        <v>0</v>
      </c>
      <c r="AO289" s="143"/>
      <c r="AP289" s="143"/>
      <c r="AQ289" s="143"/>
      <c r="AR289" s="143"/>
      <c r="AS289" s="146"/>
      <c r="AT289" s="224">
        <f t="shared" si="131"/>
        <v>0</v>
      </c>
      <c r="AU289" s="433"/>
      <c r="AV289" s="433"/>
      <c r="AW289" s="433"/>
      <c r="AX289" s="433"/>
      <c r="AY289" s="433"/>
      <c r="AZ289" s="428"/>
      <c r="BA289" s="433"/>
      <c r="BB289" s="127"/>
      <c r="BC289" s="127"/>
      <c r="BD289" s="127"/>
      <c r="BE289" s="126"/>
      <c r="BF289" s="222">
        <f t="shared" si="132"/>
        <v>0</v>
      </c>
      <c r="BG289" s="140">
        <f t="shared" si="133"/>
        <v>0</v>
      </c>
      <c r="BH289" s="132"/>
      <c r="BI289" s="140">
        <f t="shared" si="134"/>
        <v>0</v>
      </c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30">
        <f t="shared" si="135"/>
        <v>0</v>
      </c>
      <c r="BX289" s="132"/>
    </row>
    <row r="290" ht="14.25" customHeight="1">
      <c r="A290" s="132"/>
      <c r="B290" s="512">
        <v>46282</v>
      </c>
      <c r="C290" s="132"/>
      <c r="D290" s="136"/>
      <c r="E290" s="135"/>
      <c r="F290" s="135"/>
      <c r="G290" s="147">
        <f t="shared" si="127"/>
        <v>0</v>
      </c>
      <c r="H290" s="144"/>
      <c r="I290" s="143"/>
      <c r="J290" s="143"/>
      <c r="K290" s="143"/>
      <c r="L290" s="143"/>
      <c r="M290" s="143"/>
      <c r="N290" s="143"/>
      <c r="O290" s="99"/>
      <c r="P290" s="143"/>
      <c r="Q290" s="143"/>
      <c r="R290" s="143"/>
      <c r="S290" s="143"/>
      <c r="T290" s="143"/>
      <c r="U290" s="103">
        <f t="shared" si="128"/>
        <v>0</v>
      </c>
      <c r="V290" s="136"/>
      <c r="W290" s="136"/>
      <c r="X290" s="136"/>
      <c r="Y290" s="99"/>
      <c r="Z290" s="99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03">
        <f t="shared" si="129"/>
        <v>0</v>
      </c>
      <c r="AK290" s="136"/>
      <c r="AL290" s="136"/>
      <c r="AM290" s="136"/>
      <c r="AN290" s="105">
        <f t="shared" si="130"/>
        <v>0</v>
      </c>
      <c r="AO290" s="143"/>
      <c r="AP290" s="143"/>
      <c r="AQ290" s="143"/>
      <c r="AR290" s="143"/>
      <c r="AS290" s="146"/>
      <c r="AT290" s="224">
        <f t="shared" si="131"/>
        <v>0</v>
      </c>
      <c r="AU290" s="433"/>
      <c r="AV290" s="433"/>
      <c r="AW290" s="433"/>
      <c r="AX290" s="433"/>
      <c r="AY290" s="433"/>
      <c r="AZ290" s="428"/>
      <c r="BA290" s="433"/>
      <c r="BB290" s="127"/>
      <c r="BC290" s="127"/>
      <c r="BD290" s="127"/>
      <c r="BE290" s="126"/>
      <c r="BF290" s="222">
        <f t="shared" si="132"/>
        <v>0</v>
      </c>
      <c r="BG290" s="140">
        <f t="shared" si="133"/>
        <v>0</v>
      </c>
      <c r="BH290" s="132"/>
      <c r="BI290" s="140">
        <f t="shared" si="134"/>
        <v>0</v>
      </c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30">
        <f t="shared" si="135"/>
        <v>0</v>
      </c>
      <c r="BX290" s="132"/>
    </row>
    <row r="291" ht="14.25" customHeight="1">
      <c r="A291" s="132"/>
      <c r="B291" s="512">
        <v>46283</v>
      </c>
      <c r="C291" s="133"/>
      <c r="D291" s="136"/>
      <c r="E291" s="135"/>
      <c r="F291" s="135"/>
      <c r="G291" s="147">
        <f t="shared" si="127"/>
        <v>0</v>
      </c>
      <c r="H291" s="144"/>
      <c r="I291" s="143"/>
      <c r="J291" s="143"/>
      <c r="K291" s="143"/>
      <c r="L291" s="143"/>
      <c r="M291" s="143"/>
      <c r="N291" s="143"/>
      <c r="O291" s="99"/>
      <c r="P291" s="143"/>
      <c r="Q291" s="143"/>
      <c r="R291" s="143"/>
      <c r="S291" s="143"/>
      <c r="T291" s="143"/>
      <c r="U291" s="103">
        <f t="shared" si="128"/>
        <v>0</v>
      </c>
      <c r="V291" s="136"/>
      <c r="W291" s="136"/>
      <c r="X291" s="136"/>
      <c r="Y291" s="99"/>
      <c r="Z291" s="99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03">
        <f t="shared" si="129"/>
        <v>0</v>
      </c>
      <c r="AK291" s="136"/>
      <c r="AL291" s="136"/>
      <c r="AM291" s="136"/>
      <c r="AN291" s="105">
        <f t="shared" si="130"/>
        <v>0</v>
      </c>
      <c r="AO291" s="143"/>
      <c r="AP291" s="143"/>
      <c r="AQ291" s="143"/>
      <c r="AR291" s="143"/>
      <c r="AS291" s="146"/>
      <c r="AT291" s="224">
        <f t="shared" si="131"/>
        <v>0</v>
      </c>
      <c r="AU291" s="433"/>
      <c r="AV291" s="433"/>
      <c r="AW291" s="433"/>
      <c r="AX291" s="433"/>
      <c r="AY291" s="433"/>
      <c r="AZ291" s="428"/>
      <c r="BA291" s="433"/>
      <c r="BB291" s="127"/>
      <c r="BC291" s="127"/>
      <c r="BD291" s="127"/>
      <c r="BE291" s="126"/>
      <c r="BF291" s="222">
        <f t="shared" si="132"/>
        <v>0</v>
      </c>
      <c r="BG291" s="140">
        <f t="shared" si="133"/>
        <v>0</v>
      </c>
      <c r="BH291" s="132"/>
      <c r="BI291" s="140">
        <f t="shared" si="134"/>
        <v>0</v>
      </c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30">
        <f t="shared" si="135"/>
        <v>0</v>
      </c>
      <c r="BX291" s="132"/>
    </row>
    <row r="292" ht="14.25" customHeight="1">
      <c r="A292" s="132"/>
      <c r="B292" s="512">
        <v>46284</v>
      </c>
      <c r="C292" s="133"/>
      <c r="D292" s="136"/>
      <c r="E292" s="135"/>
      <c r="F292" s="135"/>
      <c r="G292" s="147">
        <f t="shared" si="127"/>
        <v>0</v>
      </c>
      <c r="H292" s="144"/>
      <c r="I292" s="143"/>
      <c r="J292" s="143"/>
      <c r="K292" s="143"/>
      <c r="L292" s="143"/>
      <c r="M292" s="143"/>
      <c r="N292" s="143"/>
      <c r="O292" s="99"/>
      <c r="P292" s="143"/>
      <c r="Q292" s="143"/>
      <c r="R292" s="143"/>
      <c r="S292" s="143"/>
      <c r="T292" s="143"/>
      <c r="U292" s="103">
        <f t="shared" si="128"/>
        <v>0</v>
      </c>
      <c r="V292" s="136"/>
      <c r="W292" s="136"/>
      <c r="X292" s="136"/>
      <c r="Y292" s="99"/>
      <c r="Z292" s="99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03">
        <f t="shared" si="129"/>
        <v>0</v>
      </c>
      <c r="AK292" s="136"/>
      <c r="AL292" s="136"/>
      <c r="AM292" s="136"/>
      <c r="AN292" s="105">
        <f t="shared" si="130"/>
        <v>0</v>
      </c>
      <c r="AO292" s="143"/>
      <c r="AP292" s="143"/>
      <c r="AQ292" s="143"/>
      <c r="AR292" s="143"/>
      <c r="AS292" s="146"/>
      <c r="AT292" s="224">
        <f t="shared" si="131"/>
        <v>0</v>
      </c>
      <c r="AU292" s="433"/>
      <c r="AV292" s="433"/>
      <c r="AW292" s="433"/>
      <c r="AX292" s="433"/>
      <c r="AY292" s="433"/>
      <c r="AZ292" s="428"/>
      <c r="BA292" s="433"/>
      <c r="BB292" s="127"/>
      <c r="BC292" s="127"/>
      <c r="BD292" s="127"/>
      <c r="BE292" s="126"/>
      <c r="BF292" s="222">
        <f t="shared" si="132"/>
        <v>0</v>
      </c>
      <c r="BG292" s="140">
        <f t="shared" si="133"/>
        <v>0</v>
      </c>
      <c r="BH292" s="132"/>
      <c r="BI292" s="140">
        <f t="shared" si="134"/>
        <v>0</v>
      </c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30">
        <f t="shared" si="135"/>
        <v>0</v>
      </c>
      <c r="BX292" s="132"/>
    </row>
    <row r="293" ht="14.25" customHeight="1">
      <c r="A293" s="132"/>
      <c r="B293" s="512">
        <v>46285</v>
      </c>
      <c r="C293" s="133"/>
      <c r="D293" s="136"/>
      <c r="E293" s="135"/>
      <c r="F293" s="135"/>
      <c r="G293" s="147">
        <f t="shared" si="127"/>
        <v>0</v>
      </c>
      <c r="H293" s="144"/>
      <c r="I293" s="143"/>
      <c r="J293" s="143"/>
      <c r="K293" s="143"/>
      <c r="L293" s="143"/>
      <c r="M293" s="143"/>
      <c r="N293" s="143"/>
      <c r="O293" s="99"/>
      <c r="P293" s="143"/>
      <c r="Q293" s="143"/>
      <c r="R293" s="143"/>
      <c r="S293" s="143"/>
      <c r="T293" s="143"/>
      <c r="U293" s="103">
        <f t="shared" si="128"/>
        <v>0</v>
      </c>
      <c r="V293" s="136"/>
      <c r="W293" s="136"/>
      <c r="X293" s="136"/>
      <c r="Y293" s="99"/>
      <c r="Z293" s="99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03">
        <f t="shared" si="129"/>
        <v>0</v>
      </c>
      <c r="AK293" s="136"/>
      <c r="AL293" s="136"/>
      <c r="AM293" s="136"/>
      <c r="AN293" s="105">
        <f t="shared" si="130"/>
        <v>0</v>
      </c>
      <c r="AO293" s="143"/>
      <c r="AP293" s="143"/>
      <c r="AQ293" s="143"/>
      <c r="AR293" s="143"/>
      <c r="AS293" s="146"/>
      <c r="AT293" s="224">
        <f t="shared" si="131"/>
        <v>0</v>
      </c>
      <c r="AU293" s="433"/>
      <c r="AV293" s="433"/>
      <c r="AW293" s="433"/>
      <c r="AX293" s="433"/>
      <c r="AY293" s="433"/>
      <c r="AZ293" s="428"/>
      <c r="BA293" s="433"/>
      <c r="BB293" s="127"/>
      <c r="BC293" s="127"/>
      <c r="BD293" s="127"/>
      <c r="BE293" s="126"/>
      <c r="BF293" s="222">
        <f t="shared" si="132"/>
        <v>0</v>
      </c>
      <c r="BG293" s="140">
        <f t="shared" si="133"/>
        <v>0</v>
      </c>
      <c r="BH293" s="132"/>
      <c r="BI293" s="140">
        <f t="shared" si="134"/>
        <v>0</v>
      </c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30">
        <f t="shared" si="135"/>
        <v>0</v>
      </c>
      <c r="BX293" s="132"/>
    </row>
    <row r="294" ht="14.25" customHeight="1">
      <c r="A294" s="132"/>
      <c r="B294" s="512">
        <v>46286</v>
      </c>
      <c r="C294" s="133"/>
      <c r="D294" s="136"/>
      <c r="E294" s="135"/>
      <c r="F294" s="135"/>
      <c r="G294" s="147">
        <f t="shared" si="127"/>
        <v>0</v>
      </c>
      <c r="H294" s="144"/>
      <c r="I294" s="143"/>
      <c r="J294" s="143"/>
      <c r="K294" s="143"/>
      <c r="L294" s="143"/>
      <c r="M294" s="143"/>
      <c r="N294" s="143"/>
      <c r="O294" s="99"/>
      <c r="P294" s="143"/>
      <c r="Q294" s="143"/>
      <c r="R294" s="143"/>
      <c r="S294" s="143"/>
      <c r="T294" s="143"/>
      <c r="U294" s="103">
        <f t="shared" si="128"/>
        <v>0</v>
      </c>
      <c r="V294" s="136"/>
      <c r="W294" s="136"/>
      <c r="X294" s="136"/>
      <c r="Y294" s="99"/>
      <c r="Z294" s="99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03">
        <f t="shared" si="129"/>
        <v>0</v>
      </c>
      <c r="AK294" s="136"/>
      <c r="AL294" s="136"/>
      <c r="AM294" s="136"/>
      <c r="AN294" s="105">
        <f t="shared" si="130"/>
        <v>0</v>
      </c>
      <c r="AO294" s="143"/>
      <c r="AP294" s="143"/>
      <c r="AQ294" s="143"/>
      <c r="AR294" s="143"/>
      <c r="AS294" s="146"/>
      <c r="AT294" s="224">
        <f t="shared" si="131"/>
        <v>0</v>
      </c>
      <c r="AU294" s="433"/>
      <c r="AV294" s="433"/>
      <c r="AW294" s="433"/>
      <c r="AX294" s="433"/>
      <c r="AY294" s="433"/>
      <c r="AZ294" s="428"/>
      <c r="BA294" s="433"/>
      <c r="BB294" s="127"/>
      <c r="BC294" s="127"/>
      <c r="BD294" s="127"/>
      <c r="BE294" s="126"/>
      <c r="BF294" s="222">
        <f t="shared" si="132"/>
        <v>0</v>
      </c>
      <c r="BG294" s="140">
        <f t="shared" si="133"/>
        <v>0</v>
      </c>
      <c r="BH294" s="132"/>
      <c r="BI294" s="140">
        <f t="shared" si="134"/>
        <v>0</v>
      </c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30">
        <f t="shared" si="135"/>
        <v>0</v>
      </c>
      <c r="BX294" s="132"/>
    </row>
    <row r="295" ht="14.25" customHeight="1">
      <c r="A295" s="132"/>
      <c r="B295" s="512">
        <v>46287</v>
      </c>
      <c r="C295" s="133"/>
      <c r="D295" s="136"/>
      <c r="E295" s="135"/>
      <c r="F295" s="135"/>
      <c r="G295" s="147">
        <f t="shared" si="127"/>
        <v>0</v>
      </c>
      <c r="H295" s="144"/>
      <c r="I295" s="143"/>
      <c r="J295" s="143"/>
      <c r="K295" s="143"/>
      <c r="L295" s="143"/>
      <c r="M295" s="143"/>
      <c r="N295" s="143"/>
      <c r="O295" s="99"/>
      <c r="P295" s="143"/>
      <c r="Q295" s="143"/>
      <c r="R295" s="143"/>
      <c r="S295" s="143"/>
      <c r="T295" s="143"/>
      <c r="U295" s="103">
        <f t="shared" si="128"/>
        <v>0</v>
      </c>
      <c r="V295" s="99"/>
      <c r="W295" s="99"/>
      <c r="X295" s="99"/>
      <c r="Y295" s="99"/>
      <c r="Z295" s="99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03">
        <f t="shared" si="129"/>
        <v>0</v>
      </c>
      <c r="AK295" s="136"/>
      <c r="AL295" s="136"/>
      <c r="AM295" s="136"/>
      <c r="AN295" s="105">
        <f t="shared" si="130"/>
        <v>0</v>
      </c>
      <c r="AO295" s="143"/>
      <c r="AP295" s="143"/>
      <c r="AQ295" s="143"/>
      <c r="AR295" s="143"/>
      <c r="AS295" s="146"/>
      <c r="AT295" s="224">
        <f t="shared" si="131"/>
        <v>0</v>
      </c>
      <c r="AU295" s="433"/>
      <c r="AV295" s="433"/>
      <c r="AW295" s="433"/>
      <c r="AX295" s="433"/>
      <c r="AY295" s="433"/>
      <c r="AZ295" s="428"/>
      <c r="BA295" s="433"/>
      <c r="BB295" s="127"/>
      <c r="BC295" s="127"/>
      <c r="BD295" s="127"/>
      <c r="BE295" s="126"/>
      <c r="BF295" s="222">
        <f t="shared" si="132"/>
        <v>0</v>
      </c>
      <c r="BG295" s="140">
        <f t="shared" si="133"/>
        <v>0</v>
      </c>
      <c r="BH295" s="132"/>
      <c r="BI295" s="140">
        <f t="shared" si="134"/>
        <v>0</v>
      </c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30">
        <f t="shared" si="135"/>
        <v>0</v>
      </c>
      <c r="BX295" s="132"/>
    </row>
    <row r="296" ht="14.25" customHeight="1">
      <c r="A296" s="132"/>
      <c r="B296" s="512">
        <v>46288</v>
      </c>
      <c r="C296" s="133"/>
      <c r="D296" s="136"/>
      <c r="E296" s="135"/>
      <c r="F296" s="135"/>
      <c r="G296" s="147">
        <f t="shared" si="127"/>
        <v>0</v>
      </c>
      <c r="H296" s="144"/>
      <c r="I296" s="143"/>
      <c r="J296" s="143"/>
      <c r="K296" s="143"/>
      <c r="L296" s="143"/>
      <c r="M296" s="143"/>
      <c r="N296" s="143"/>
      <c r="O296" s="99"/>
      <c r="P296" s="143"/>
      <c r="Q296" s="143"/>
      <c r="R296" s="143"/>
      <c r="S296" s="143"/>
      <c r="T296" s="143"/>
      <c r="U296" s="103">
        <f t="shared" si="128"/>
        <v>0</v>
      </c>
      <c r="V296" s="99"/>
      <c r="W296" s="99"/>
      <c r="X296" s="99"/>
      <c r="Y296" s="99"/>
      <c r="Z296" s="99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03">
        <f t="shared" si="129"/>
        <v>0</v>
      </c>
      <c r="AK296" s="136"/>
      <c r="AL296" s="136"/>
      <c r="AM296" s="136"/>
      <c r="AN296" s="105">
        <f t="shared" si="130"/>
        <v>0</v>
      </c>
      <c r="AO296" s="143"/>
      <c r="AP296" s="143"/>
      <c r="AQ296" s="143"/>
      <c r="AR296" s="143"/>
      <c r="AS296" s="146"/>
      <c r="AT296" s="224">
        <f t="shared" si="131"/>
        <v>0</v>
      </c>
      <c r="AU296" s="433"/>
      <c r="AV296" s="433"/>
      <c r="AW296" s="433"/>
      <c r="AX296" s="433"/>
      <c r="AY296" s="433"/>
      <c r="AZ296" s="428"/>
      <c r="BA296" s="433"/>
      <c r="BB296" s="127"/>
      <c r="BC296" s="127"/>
      <c r="BD296" s="127"/>
      <c r="BE296" s="126"/>
      <c r="BF296" s="222">
        <f t="shared" si="132"/>
        <v>0</v>
      </c>
      <c r="BG296" s="140">
        <f t="shared" si="133"/>
        <v>0</v>
      </c>
      <c r="BH296" s="132"/>
      <c r="BI296" s="140">
        <f t="shared" si="134"/>
        <v>0</v>
      </c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30">
        <f t="shared" si="135"/>
        <v>0</v>
      </c>
      <c r="BX296" s="132"/>
    </row>
    <row r="297" ht="14.25" customHeight="1">
      <c r="A297" s="132"/>
      <c r="B297" s="512">
        <v>46289</v>
      </c>
      <c r="C297" s="133"/>
      <c r="D297" s="136"/>
      <c r="E297" s="135"/>
      <c r="F297" s="135"/>
      <c r="G297" s="147">
        <f t="shared" si="127"/>
        <v>0</v>
      </c>
      <c r="H297" s="144"/>
      <c r="I297" s="143"/>
      <c r="J297" s="143"/>
      <c r="K297" s="143"/>
      <c r="L297" s="143"/>
      <c r="M297" s="143"/>
      <c r="N297" s="143"/>
      <c r="O297" s="99"/>
      <c r="P297" s="143"/>
      <c r="Q297" s="143"/>
      <c r="R297" s="143"/>
      <c r="S297" s="143"/>
      <c r="T297" s="143"/>
      <c r="U297" s="103">
        <f t="shared" si="128"/>
        <v>0</v>
      </c>
      <c r="V297" s="99"/>
      <c r="W297" s="99"/>
      <c r="X297" s="99"/>
      <c r="Y297" s="99"/>
      <c r="Z297" s="99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03">
        <f t="shared" si="129"/>
        <v>0</v>
      </c>
      <c r="AK297" s="136"/>
      <c r="AL297" s="136"/>
      <c r="AM297" s="136"/>
      <c r="AN297" s="105">
        <f t="shared" si="130"/>
        <v>0</v>
      </c>
      <c r="AO297" s="143"/>
      <c r="AP297" s="143"/>
      <c r="AQ297" s="143"/>
      <c r="AR297" s="143"/>
      <c r="AS297" s="146"/>
      <c r="AT297" s="224">
        <f t="shared" si="131"/>
        <v>0</v>
      </c>
      <c r="AU297" s="433"/>
      <c r="AV297" s="433"/>
      <c r="AW297" s="433"/>
      <c r="AX297" s="433"/>
      <c r="AY297" s="433"/>
      <c r="AZ297" s="428"/>
      <c r="BA297" s="433"/>
      <c r="BB297" s="127"/>
      <c r="BC297" s="127"/>
      <c r="BD297" s="127"/>
      <c r="BE297" s="126"/>
      <c r="BF297" s="222">
        <f t="shared" si="132"/>
        <v>0</v>
      </c>
      <c r="BG297" s="140">
        <f t="shared" si="133"/>
        <v>0</v>
      </c>
      <c r="BH297" s="132"/>
      <c r="BI297" s="140">
        <f t="shared" si="134"/>
        <v>0</v>
      </c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30">
        <f t="shared" si="135"/>
        <v>0</v>
      </c>
      <c r="BX297" s="132"/>
    </row>
    <row r="298" ht="14.25" customHeight="1">
      <c r="A298" s="132"/>
      <c r="B298" s="512">
        <v>46290</v>
      </c>
      <c r="C298" s="133"/>
      <c r="D298" s="136"/>
      <c r="E298" s="135"/>
      <c r="F298" s="135"/>
      <c r="G298" s="147">
        <f t="shared" si="127"/>
        <v>0</v>
      </c>
      <c r="H298" s="144"/>
      <c r="I298" s="143"/>
      <c r="J298" s="143"/>
      <c r="K298" s="143"/>
      <c r="L298" s="143"/>
      <c r="M298" s="143"/>
      <c r="N298" s="143"/>
      <c r="O298" s="99"/>
      <c r="P298" s="143"/>
      <c r="Q298" s="143"/>
      <c r="R298" s="143"/>
      <c r="S298" s="143"/>
      <c r="T298" s="143"/>
      <c r="U298" s="103">
        <f t="shared" si="128"/>
        <v>0</v>
      </c>
      <c r="V298" s="99"/>
      <c r="W298" s="99"/>
      <c r="X298" s="99"/>
      <c r="Y298" s="99"/>
      <c r="Z298" s="99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03">
        <f t="shared" si="129"/>
        <v>0</v>
      </c>
      <c r="AK298" s="136"/>
      <c r="AL298" s="136"/>
      <c r="AM298" s="136"/>
      <c r="AN298" s="105">
        <f t="shared" si="130"/>
        <v>0</v>
      </c>
      <c r="AO298" s="143"/>
      <c r="AP298" s="143"/>
      <c r="AQ298" s="143"/>
      <c r="AR298" s="143"/>
      <c r="AS298" s="146"/>
      <c r="AT298" s="224">
        <f t="shared" si="131"/>
        <v>0</v>
      </c>
      <c r="AU298" s="433"/>
      <c r="AV298" s="433"/>
      <c r="AW298" s="433"/>
      <c r="AX298" s="433"/>
      <c r="AY298" s="433"/>
      <c r="AZ298" s="428"/>
      <c r="BA298" s="433"/>
      <c r="BB298" s="127"/>
      <c r="BC298" s="127"/>
      <c r="BD298" s="127"/>
      <c r="BE298" s="126"/>
      <c r="BF298" s="222">
        <f t="shared" si="132"/>
        <v>0</v>
      </c>
      <c r="BG298" s="140">
        <f t="shared" si="133"/>
        <v>0</v>
      </c>
      <c r="BH298" s="132"/>
      <c r="BI298" s="140">
        <f t="shared" si="134"/>
        <v>0</v>
      </c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30">
        <f t="shared" si="135"/>
        <v>0</v>
      </c>
      <c r="BX298" s="132"/>
    </row>
    <row r="299" ht="14.25" customHeight="1">
      <c r="A299" s="132"/>
      <c r="B299" s="512">
        <v>46291</v>
      </c>
      <c r="C299" s="133"/>
      <c r="D299" s="136"/>
      <c r="E299" s="135"/>
      <c r="F299" s="135"/>
      <c r="G299" s="147">
        <f t="shared" si="127"/>
        <v>0</v>
      </c>
      <c r="H299" s="144"/>
      <c r="I299" s="143"/>
      <c r="J299" s="143"/>
      <c r="K299" s="143"/>
      <c r="L299" s="143"/>
      <c r="M299" s="143"/>
      <c r="N299" s="143"/>
      <c r="O299" s="99"/>
      <c r="P299" s="143"/>
      <c r="Q299" s="143"/>
      <c r="R299" s="143"/>
      <c r="S299" s="143"/>
      <c r="T299" s="143"/>
      <c r="U299" s="103">
        <f t="shared" si="128"/>
        <v>0</v>
      </c>
      <c r="V299" s="99"/>
      <c r="W299" s="99"/>
      <c r="X299" s="99"/>
      <c r="Y299" s="99"/>
      <c r="Z299" s="99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03">
        <f t="shared" si="129"/>
        <v>0</v>
      </c>
      <c r="AK299" s="136"/>
      <c r="AL299" s="136"/>
      <c r="AM299" s="136"/>
      <c r="AN299" s="105">
        <f t="shared" si="130"/>
        <v>0</v>
      </c>
      <c r="AO299" s="143"/>
      <c r="AP299" s="143"/>
      <c r="AQ299" s="143"/>
      <c r="AR299" s="143"/>
      <c r="AS299" s="146"/>
      <c r="AT299" s="224">
        <f t="shared" si="131"/>
        <v>0</v>
      </c>
      <c r="AU299" s="433"/>
      <c r="AV299" s="433"/>
      <c r="AW299" s="433"/>
      <c r="AX299" s="433"/>
      <c r="AY299" s="433"/>
      <c r="AZ299" s="428"/>
      <c r="BA299" s="433"/>
      <c r="BB299" s="127"/>
      <c r="BC299" s="127"/>
      <c r="BD299" s="127"/>
      <c r="BE299" s="126"/>
      <c r="BF299" s="222">
        <f t="shared" si="132"/>
        <v>0</v>
      </c>
      <c r="BG299" s="140">
        <f t="shared" si="133"/>
        <v>0</v>
      </c>
      <c r="BH299" s="132"/>
      <c r="BI299" s="140">
        <f t="shared" si="134"/>
        <v>0</v>
      </c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30">
        <f t="shared" si="135"/>
        <v>0</v>
      </c>
      <c r="BX299" s="132"/>
    </row>
    <row r="300" ht="14.25" customHeight="1">
      <c r="A300" s="132"/>
      <c r="B300" s="512">
        <v>46292</v>
      </c>
      <c r="C300" s="133"/>
      <c r="D300" s="136"/>
      <c r="E300" s="135"/>
      <c r="F300" s="135"/>
      <c r="G300" s="147">
        <f t="shared" si="127"/>
        <v>0</v>
      </c>
      <c r="H300" s="144"/>
      <c r="I300" s="143"/>
      <c r="J300" s="143"/>
      <c r="K300" s="143"/>
      <c r="L300" s="143"/>
      <c r="M300" s="143"/>
      <c r="N300" s="143"/>
      <c r="O300" s="99"/>
      <c r="P300" s="143"/>
      <c r="Q300" s="143"/>
      <c r="R300" s="143"/>
      <c r="S300" s="143"/>
      <c r="T300" s="143"/>
      <c r="U300" s="103">
        <f t="shared" si="128"/>
        <v>0</v>
      </c>
      <c r="V300" s="99"/>
      <c r="W300" s="99"/>
      <c r="X300" s="99"/>
      <c r="Y300" s="99"/>
      <c r="Z300" s="99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03">
        <f t="shared" si="129"/>
        <v>0</v>
      </c>
      <c r="AK300" s="136"/>
      <c r="AL300" s="136"/>
      <c r="AM300" s="136"/>
      <c r="AN300" s="105">
        <f t="shared" si="130"/>
        <v>0</v>
      </c>
      <c r="AO300" s="143"/>
      <c r="AP300" s="143"/>
      <c r="AQ300" s="143"/>
      <c r="AR300" s="143"/>
      <c r="AS300" s="146"/>
      <c r="AT300" s="224">
        <f t="shared" si="131"/>
        <v>0</v>
      </c>
      <c r="AU300" s="433"/>
      <c r="AV300" s="433"/>
      <c r="AW300" s="433"/>
      <c r="AX300" s="433"/>
      <c r="AY300" s="433"/>
      <c r="AZ300" s="428"/>
      <c r="BA300" s="433"/>
      <c r="BB300" s="127"/>
      <c r="BC300" s="127"/>
      <c r="BD300" s="127"/>
      <c r="BE300" s="126"/>
      <c r="BF300" s="222">
        <f t="shared" si="132"/>
        <v>0</v>
      </c>
      <c r="BG300" s="140">
        <f t="shared" si="133"/>
        <v>0</v>
      </c>
      <c r="BH300" s="132"/>
      <c r="BI300" s="140">
        <f t="shared" si="134"/>
        <v>0</v>
      </c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30">
        <f t="shared" si="135"/>
        <v>0</v>
      </c>
      <c r="BX300" s="132"/>
    </row>
    <row r="301" ht="14.25" customHeight="1">
      <c r="A301" s="132"/>
      <c r="B301" s="512">
        <v>46293</v>
      </c>
      <c r="C301" s="133"/>
      <c r="D301" s="136"/>
      <c r="E301" s="135"/>
      <c r="F301" s="135"/>
      <c r="G301" s="147">
        <f t="shared" si="127"/>
        <v>0</v>
      </c>
      <c r="H301" s="144"/>
      <c r="I301" s="143"/>
      <c r="J301" s="143"/>
      <c r="K301" s="143"/>
      <c r="L301" s="143"/>
      <c r="M301" s="143"/>
      <c r="N301" s="143"/>
      <c r="O301" s="99"/>
      <c r="P301" s="143"/>
      <c r="Q301" s="143"/>
      <c r="R301" s="143"/>
      <c r="S301" s="143"/>
      <c r="T301" s="143"/>
      <c r="U301" s="103">
        <f t="shared" si="128"/>
        <v>0</v>
      </c>
      <c r="V301" s="99"/>
      <c r="W301" s="99"/>
      <c r="X301" s="99"/>
      <c r="Y301" s="99"/>
      <c r="Z301" s="99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03">
        <f t="shared" si="129"/>
        <v>0</v>
      </c>
      <c r="AK301" s="136"/>
      <c r="AL301" s="136"/>
      <c r="AM301" s="136"/>
      <c r="AN301" s="105">
        <f t="shared" si="130"/>
        <v>0</v>
      </c>
      <c r="AO301" s="143"/>
      <c r="AP301" s="143"/>
      <c r="AQ301" s="143"/>
      <c r="AR301" s="143"/>
      <c r="AS301" s="146"/>
      <c r="AT301" s="224">
        <f t="shared" si="131"/>
        <v>0</v>
      </c>
      <c r="AU301" s="433"/>
      <c r="AV301" s="433"/>
      <c r="AW301" s="433"/>
      <c r="AX301" s="433"/>
      <c r="AY301" s="433"/>
      <c r="AZ301" s="428"/>
      <c r="BA301" s="433"/>
      <c r="BB301" s="127"/>
      <c r="BC301" s="127"/>
      <c r="BD301" s="127"/>
      <c r="BE301" s="126"/>
      <c r="BF301" s="222">
        <f t="shared" si="132"/>
        <v>0</v>
      </c>
      <c r="BG301" s="140">
        <f t="shared" si="133"/>
        <v>0</v>
      </c>
      <c r="BH301" s="132"/>
      <c r="BI301" s="140">
        <f t="shared" si="134"/>
        <v>0</v>
      </c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30">
        <f t="shared" si="135"/>
        <v>0</v>
      </c>
      <c r="BX301" s="132"/>
    </row>
    <row r="302" ht="14.25" customHeight="1">
      <c r="A302" s="132"/>
      <c r="B302" s="512">
        <v>46294</v>
      </c>
      <c r="C302" s="133"/>
      <c r="D302" s="136"/>
      <c r="E302" s="135"/>
      <c r="F302" s="135"/>
      <c r="G302" s="147">
        <f t="shared" si="127"/>
        <v>0</v>
      </c>
      <c r="H302" s="144"/>
      <c r="I302" s="143"/>
      <c r="J302" s="143"/>
      <c r="K302" s="143"/>
      <c r="L302" s="143"/>
      <c r="M302" s="143"/>
      <c r="N302" s="143"/>
      <c r="O302" s="99"/>
      <c r="P302" s="143"/>
      <c r="Q302" s="143"/>
      <c r="R302" s="143"/>
      <c r="S302" s="143"/>
      <c r="T302" s="143"/>
      <c r="U302" s="103">
        <f t="shared" si="128"/>
        <v>0</v>
      </c>
      <c r="V302" s="99"/>
      <c r="W302" s="99"/>
      <c r="X302" s="99"/>
      <c r="Y302" s="99"/>
      <c r="Z302" s="99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03">
        <f t="shared" si="129"/>
        <v>0</v>
      </c>
      <c r="AK302" s="136"/>
      <c r="AL302" s="136"/>
      <c r="AM302" s="136"/>
      <c r="AN302" s="105">
        <f t="shared" si="130"/>
        <v>0</v>
      </c>
      <c r="AO302" s="143"/>
      <c r="AP302" s="143"/>
      <c r="AQ302" s="143"/>
      <c r="AR302" s="143"/>
      <c r="AS302" s="146"/>
      <c r="AT302" s="224">
        <f t="shared" si="131"/>
        <v>0</v>
      </c>
      <c r="AU302" s="433"/>
      <c r="AV302" s="433"/>
      <c r="AW302" s="433"/>
      <c r="AX302" s="433"/>
      <c r="AY302" s="435"/>
      <c r="AZ302" s="428"/>
      <c r="BA302" s="433"/>
      <c r="BB302" s="127"/>
      <c r="BC302" s="127"/>
      <c r="BD302" s="127"/>
      <c r="BE302" s="126"/>
      <c r="BF302" s="222">
        <f t="shared" si="132"/>
        <v>0</v>
      </c>
      <c r="BG302" s="140">
        <f t="shared" si="133"/>
        <v>0</v>
      </c>
      <c r="BH302" s="132"/>
      <c r="BI302" s="140">
        <f t="shared" si="134"/>
        <v>0</v>
      </c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30">
        <f t="shared" si="135"/>
        <v>0</v>
      </c>
      <c r="BX302" s="132"/>
    </row>
    <row r="303" ht="14.25" customHeight="1">
      <c r="A303" s="132"/>
      <c r="B303" s="512">
        <v>46295</v>
      </c>
      <c r="C303" s="133"/>
      <c r="D303" s="136"/>
      <c r="E303" s="135"/>
      <c r="F303" s="135"/>
      <c r="G303" s="147">
        <f t="shared" si="127"/>
        <v>0</v>
      </c>
      <c r="H303" s="144"/>
      <c r="I303" s="143"/>
      <c r="J303" s="143"/>
      <c r="K303" s="143"/>
      <c r="L303" s="143"/>
      <c r="M303" s="143"/>
      <c r="N303" s="143"/>
      <c r="O303" s="99"/>
      <c r="P303" s="143"/>
      <c r="Q303" s="143"/>
      <c r="R303" s="143"/>
      <c r="S303" s="143"/>
      <c r="T303" s="143"/>
      <c r="U303" s="103">
        <f t="shared" si="128"/>
        <v>0</v>
      </c>
      <c r="V303" s="99"/>
      <c r="W303" s="99"/>
      <c r="X303" s="99"/>
      <c r="Y303" s="99"/>
      <c r="Z303" s="99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03">
        <f t="shared" si="129"/>
        <v>0</v>
      </c>
      <c r="AK303" s="136"/>
      <c r="AL303" s="136"/>
      <c r="AM303" s="136"/>
      <c r="AN303" s="105">
        <f t="shared" si="130"/>
        <v>0</v>
      </c>
      <c r="AO303" s="143"/>
      <c r="AP303" s="143"/>
      <c r="AQ303" s="143"/>
      <c r="AR303" s="143"/>
      <c r="AS303" s="146"/>
      <c r="AT303" s="224">
        <f t="shared" si="131"/>
        <v>0</v>
      </c>
      <c r="AU303" s="435"/>
      <c r="AV303" s="435"/>
      <c r="AW303" s="435"/>
      <c r="AX303" s="435"/>
      <c r="AY303" s="428"/>
      <c r="AZ303" s="428"/>
      <c r="BA303" s="435"/>
      <c r="BB303" s="127"/>
      <c r="BC303" s="127"/>
      <c r="BD303" s="127"/>
      <c r="BE303" s="138"/>
      <c r="BF303" s="222">
        <f t="shared" si="132"/>
        <v>0</v>
      </c>
      <c r="BG303" s="140">
        <f t="shared" si="133"/>
        <v>0</v>
      </c>
      <c r="BH303" s="132"/>
      <c r="BI303" s="140">
        <f t="shared" si="134"/>
        <v>0</v>
      </c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41"/>
      <c r="BU303" s="141"/>
      <c r="BV303" s="141"/>
      <c r="BW303" s="130">
        <f t="shared" si="135"/>
        <v>0</v>
      </c>
      <c r="BX303" s="132"/>
    </row>
    <row r="304" ht="14.25" customHeight="1">
      <c r="A304" s="3"/>
      <c r="B304" s="2"/>
      <c r="C304" s="755">
        <f ref="C304:K304" t="shared" si="136">SUM(C274:C303)</f>
        <v>0</v>
      </c>
      <c r="D304" s="755">
        <f t="shared" si="136"/>
        <v>0</v>
      </c>
      <c r="E304" s="755">
        <f t="shared" si="136"/>
        <v>0</v>
      </c>
      <c r="F304" s="755">
        <f t="shared" si="136"/>
        <v>0</v>
      </c>
      <c r="G304" s="755">
        <f t="shared" si="136"/>
        <v>0</v>
      </c>
      <c r="H304" s="770">
        <f t="shared" si="136"/>
        <v>0</v>
      </c>
      <c r="I304" s="755">
        <f t="shared" si="136"/>
        <v>0</v>
      </c>
      <c r="J304" s="755">
        <f t="shared" si="136"/>
        <v>0</v>
      </c>
      <c r="K304" s="755">
        <f t="shared" si="136"/>
        <v>0</v>
      </c>
      <c r="L304" s="755"/>
      <c r="M304" s="755">
        <f ref="M304:X304" t="shared" si="137">SUM(M274:M303)</f>
        <v>0</v>
      </c>
      <c r="N304" s="755">
        <f t="shared" si="137"/>
        <v>0</v>
      </c>
      <c r="O304" s="755">
        <f t="shared" si="137"/>
        <v>0</v>
      </c>
      <c r="P304" s="755">
        <f t="shared" si="137"/>
        <v>0</v>
      </c>
      <c r="Q304" s="755">
        <f t="shared" si="137"/>
        <v>0</v>
      </c>
      <c r="R304" s="755">
        <f t="shared" si="137"/>
        <v>0</v>
      </c>
      <c r="S304" s="755">
        <f t="shared" si="137"/>
        <v>0</v>
      </c>
      <c r="T304" s="755">
        <f t="shared" si="137"/>
        <v>0</v>
      </c>
      <c r="U304" s="755">
        <f t="shared" si="137"/>
        <v>0</v>
      </c>
      <c r="V304" s="755">
        <f t="shared" si="137"/>
        <v>0</v>
      </c>
      <c r="W304" s="755">
        <f t="shared" si="137"/>
        <v>0</v>
      </c>
      <c r="X304" s="755">
        <f t="shared" si="137"/>
        <v>0</v>
      </c>
      <c r="Y304" s="755"/>
      <c r="Z304" s="755">
        <f ref="Z304:AL304" t="shared" si="138">SUM(Z274:Z303)</f>
        <v>0</v>
      </c>
      <c r="AA304" s="755">
        <f t="shared" si="138"/>
        <v>0</v>
      </c>
      <c r="AB304" s="755">
        <f t="shared" si="138"/>
        <v>0</v>
      </c>
      <c r="AC304" s="755">
        <f t="shared" si="138"/>
        <v>0</v>
      </c>
      <c r="AD304" s="755">
        <f t="shared" si="138"/>
        <v>0</v>
      </c>
      <c r="AE304" s="755">
        <f t="shared" si="138"/>
        <v>0</v>
      </c>
      <c r="AF304" s="755">
        <f t="shared" si="138"/>
        <v>0</v>
      </c>
      <c r="AG304" s="755">
        <f t="shared" si="138"/>
        <v>0</v>
      </c>
      <c r="AH304" s="755">
        <f t="shared" si="138"/>
        <v>0</v>
      </c>
      <c r="AI304" s="755">
        <f t="shared" si="138"/>
        <v>0</v>
      </c>
      <c r="AJ304" s="755">
        <f t="shared" si="138"/>
        <v>0</v>
      </c>
      <c r="AK304" s="755">
        <f t="shared" si="138"/>
        <v>0</v>
      </c>
      <c r="AL304" s="755">
        <f t="shared" si="138"/>
        <v>0</v>
      </c>
      <c r="AM304" s="755"/>
      <c r="AN304" s="755">
        <f ref="AN304:BG304" t="shared" si="139">SUM(AN274:AN303)</f>
        <v>0</v>
      </c>
      <c r="AO304" s="755">
        <f t="shared" si="139"/>
        <v>0</v>
      </c>
      <c r="AP304" s="755">
        <f t="shared" si="139"/>
        <v>0</v>
      </c>
      <c r="AQ304" s="755">
        <f t="shared" si="139"/>
        <v>0</v>
      </c>
      <c r="AR304" s="755">
        <f t="shared" si="139"/>
        <v>0</v>
      </c>
      <c r="AS304" s="755">
        <f t="shared" si="139"/>
        <v>0</v>
      </c>
      <c r="AT304" s="755">
        <f t="shared" si="139"/>
        <v>0</v>
      </c>
      <c r="AU304" s="757">
        <f t="shared" si="139"/>
        <v>0</v>
      </c>
      <c r="AV304" s="757">
        <f t="shared" si="139"/>
        <v>0</v>
      </c>
      <c r="AW304" s="757">
        <f t="shared" si="139"/>
        <v>0</v>
      </c>
      <c r="AX304" s="757">
        <f t="shared" si="139"/>
        <v>0</v>
      </c>
      <c r="AY304" s="757">
        <f t="shared" si="139"/>
        <v>0</v>
      </c>
      <c r="AZ304" s="757">
        <f t="shared" si="139"/>
        <v>0</v>
      </c>
      <c r="BA304" s="757">
        <f t="shared" si="139"/>
        <v>0</v>
      </c>
      <c r="BB304" s="757">
        <f t="shared" si="139"/>
        <v>0</v>
      </c>
      <c r="BC304" s="757">
        <f t="shared" si="139"/>
        <v>0</v>
      </c>
      <c r="BD304" s="757">
        <f t="shared" si="139"/>
        <v>0</v>
      </c>
      <c r="BE304" s="757">
        <f t="shared" si="139"/>
        <v>0</v>
      </c>
      <c r="BF304" s="755">
        <f t="shared" si="139"/>
        <v>0</v>
      </c>
      <c r="BG304" s="755">
        <f t="shared" si="139"/>
        <v>0</v>
      </c>
      <c r="BH304" s="3"/>
      <c r="BI304" s="1186">
        <f>SUM(BI274:BI303)</f>
        <v>0</v>
      </c>
      <c r="BJ304" s="1020"/>
      <c r="BK304" s="1020"/>
      <c r="BL304" s="1020"/>
      <c r="BM304" s="1020"/>
      <c r="BN304" s="1020"/>
      <c r="BO304" s="1020"/>
      <c r="BP304" s="1020"/>
      <c r="BQ304" s="1020"/>
      <c r="BR304" s="1020"/>
      <c r="BS304" s="1020">
        <f ref="BS304:BT304" t="shared" si="140">SUM(BS274:BS303)</f>
        <v>0</v>
      </c>
      <c r="BT304" s="1020">
        <f t="shared" si="140"/>
        <v>0</v>
      </c>
      <c r="BU304" s="1020"/>
      <c r="BV304" s="1020"/>
      <c r="BW304" s="1187"/>
      <c r="BX304" s="541"/>
    </row>
    <row r="305" ht="14.25" customHeight="1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4"/>
      <c r="AO305" s="3"/>
      <c r="AP305" s="3"/>
      <c r="AQ305" s="3"/>
      <c r="AR305" s="3"/>
      <c r="AS305" s="3"/>
      <c r="AT305" s="3"/>
      <c r="AU305" s="1"/>
      <c r="AV305" s="1"/>
      <c r="AW305" s="1"/>
      <c r="AX305" s="1"/>
      <c r="AY305" s="1"/>
      <c r="AZ305" s="1"/>
      <c r="BA305" s="1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176"/>
      <c r="AK306" s="176"/>
      <c r="AL306" s="3"/>
      <c r="AM306" s="3"/>
      <c r="AN306" s="4"/>
      <c r="AO306" s="3"/>
      <c r="AP306" s="3"/>
      <c r="AQ306" s="3"/>
      <c r="AR306" s="3"/>
      <c r="AS306" s="3"/>
      <c r="AT306" s="3"/>
      <c r="AU306" s="1"/>
      <c r="AV306" s="1"/>
      <c r="AW306" s="1"/>
      <c r="AX306" s="1"/>
      <c r="AY306" s="1"/>
      <c r="AZ306" s="1"/>
      <c r="BA306" s="1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</row>
    <row r="307" ht="14.25" customHeight="1">
      <c r="A307" s="3"/>
      <c r="B307" s="512">
        <v>46296</v>
      </c>
      <c r="C307" s="94"/>
      <c r="D307" s="104"/>
      <c r="E307" s="97"/>
      <c r="F307" s="97"/>
      <c r="G307" s="265">
        <f ref="G307:G337" t="shared" si="141">+C307+D307+E307+F307</f>
        <v>0</v>
      </c>
      <c r="H307" s="187"/>
      <c r="I307" s="186"/>
      <c r="J307" s="186"/>
      <c r="K307" s="186"/>
      <c r="L307" s="186"/>
      <c r="M307" s="186"/>
      <c r="N307" s="186"/>
      <c r="O307" s="186"/>
      <c r="P307" s="186"/>
      <c r="Q307" s="186"/>
      <c r="R307" s="186"/>
      <c r="S307" s="186"/>
      <c r="T307" s="186"/>
      <c r="U307" s="103">
        <f ref="U307:U337" t="shared" si="142">SUM(H307:T307)</f>
        <v>0</v>
      </c>
      <c r="V307" s="186"/>
      <c r="W307" s="186"/>
      <c r="X307" s="186"/>
      <c r="Y307" s="186"/>
      <c r="Z307" s="186"/>
      <c r="AA307" s="186"/>
      <c r="AB307" s="186"/>
      <c r="AC307" s="186"/>
      <c r="AD307" s="186"/>
      <c r="AE307" s="186"/>
      <c r="AF307" s="186"/>
      <c r="AG307" s="186"/>
      <c r="AH307" s="186"/>
      <c r="AI307" s="186"/>
      <c r="AJ307" s="103">
        <f ref="AJ307:AJ337" t="shared" si="143">SUM(V307:AI307)</f>
        <v>0</v>
      </c>
      <c r="AK307" s="104"/>
      <c r="AL307" s="104"/>
      <c r="AM307" s="104"/>
      <c r="AN307" s="191">
        <f ref="AN307:AN337" t="shared" si="144">SUM(AK307:AM307)</f>
        <v>0</v>
      </c>
      <c r="AO307" s="186"/>
      <c r="AP307" s="186"/>
      <c r="AQ307" s="186"/>
      <c r="AR307" s="186"/>
      <c r="AS307" s="193"/>
      <c r="AT307" s="219">
        <f ref="AT307:AT315" t="shared" si="145">+G307-U307-AJ307-AN307-AO307-AQ307-AR307-AS307</f>
        <v>0</v>
      </c>
      <c r="AU307" s="427"/>
      <c r="AV307" s="427"/>
      <c r="AW307" s="1188"/>
      <c r="AX307" s="427"/>
      <c r="AY307" s="427"/>
      <c r="AZ307" s="428"/>
      <c r="BA307" s="427"/>
      <c r="BB307" s="127"/>
      <c r="BC307" s="127"/>
      <c r="BD307" s="127"/>
      <c r="BE307" s="109"/>
      <c r="BF307" s="272">
        <f ref="BF307:BF337" t="shared" si="146">SUM(AU307:BE307)-BD307</f>
        <v>0</v>
      </c>
      <c r="BG307" s="114">
        <f ref="BG307:BG337" t="shared" si="147">+AT307-BF307</f>
        <v>0</v>
      </c>
      <c r="BH307" s="3"/>
      <c r="BI307" s="114">
        <f ref="BI307:BI337" t="shared" si="148">SUM(BJ307:BV307)</f>
        <v>0</v>
      </c>
      <c r="BJ307" s="115"/>
      <c r="BK307" s="115"/>
      <c r="BL307" s="115"/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115"/>
      <c r="BW307" s="116">
        <f ref="BW307:BW337" t="shared" si="149">+BG307-BI307</f>
        <v>0</v>
      </c>
      <c r="BX307" s="3"/>
    </row>
    <row r="308" ht="14.25" customHeight="1">
      <c r="A308" s="3"/>
      <c r="B308" s="512">
        <v>46297</v>
      </c>
      <c r="C308" s="118"/>
      <c r="D308" s="123"/>
      <c r="E308" s="120"/>
      <c r="F308" s="120"/>
      <c r="G308" s="147">
        <f t="shared" si="141"/>
        <v>0</v>
      </c>
      <c r="H308" s="144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03">
        <f t="shared" si="142"/>
        <v>0</v>
      </c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43"/>
      <c r="AJ308" s="103">
        <f t="shared" si="143"/>
        <v>0</v>
      </c>
      <c r="AK308" s="123"/>
      <c r="AL308" s="123"/>
      <c r="AM308" s="123"/>
      <c r="AN308" s="105">
        <f t="shared" si="144"/>
        <v>0</v>
      </c>
      <c r="AO308" s="143"/>
      <c r="AP308" s="143"/>
      <c r="AQ308" s="143"/>
      <c r="AR308" s="143"/>
      <c r="AS308" s="146"/>
      <c r="AT308" s="224">
        <f t="shared" si="145"/>
        <v>0</v>
      </c>
      <c r="AU308" s="433"/>
      <c r="AV308" s="433"/>
      <c r="AW308" s="433"/>
      <c r="AX308" s="433"/>
      <c r="AY308" s="433"/>
      <c r="AZ308" s="428"/>
      <c r="BA308" s="433"/>
      <c r="BB308" s="127"/>
      <c r="BC308" s="127"/>
      <c r="BD308" s="127"/>
      <c r="BE308" s="126"/>
      <c r="BF308" s="222">
        <f t="shared" si="146"/>
        <v>0</v>
      </c>
      <c r="BG308" s="113">
        <f t="shared" si="147"/>
        <v>0</v>
      </c>
      <c r="BH308" s="3"/>
      <c r="BI308" s="113">
        <f t="shared" si="148"/>
        <v>0</v>
      </c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30">
        <f t="shared" si="149"/>
        <v>0</v>
      </c>
      <c r="BX308" s="3"/>
    </row>
    <row r="309" ht="14.25" customHeight="1">
      <c r="A309" s="3"/>
      <c r="B309" s="512">
        <v>46298</v>
      </c>
      <c r="C309" s="118"/>
      <c r="D309" s="123"/>
      <c r="E309" s="120"/>
      <c r="F309" s="120"/>
      <c r="G309" s="147">
        <f t="shared" si="141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03">
        <f t="shared" si="142"/>
        <v>0</v>
      </c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03">
        <f t="shared" si="143"/>
        <v>0</v>
      </c>
      <c r="AK309" s="123"/>
      <c r="AL309" s="123"/>
      <c r="AM309" s="123"/>
      <c r="AN309" s="105">
        <f t="shared" si="144"/>
        <v>0</v>
      </c>
      <c r="AO309" s="143"/>
      <c r="AP309" s="143"/>
      <c r="AQ309" s="143"/>
      <c r="AR309" s="143"/>
      <c r="AS309" s="146"/>
      <c r="AT309" s="224">
        <f t="shared" si="145"/>
        <v>0</v>
      </c>
      <c r="AU309" s="433"/>
      <c r="AV309" s="433"/>
      <c r="AW309" s="433"/>
      <c r="AX309" s="433"/>
      <c r="AY309" s="433"/>
      <c r="AZ309" s="428"/>
      <c r="BA309" s="433"/>
      <c r="BB309" s="127"/>
      <c r="BC309" s="127"/>
      <c r="BD309" s="127"/>
      <c r="BE309" s="126"/>
      <c r="BF309" s="222">
        <f t="shared" si="146"/>
        <v>0</v>
      </c>
      <c r="BG309" s="113">
        <f t="shared" si="147"/>
        <v>0</v>
      </c>
      <c r="BH309" s="3"/>
      <c r="BI309" s="113">
        <f t="shared" si="148"/>
        <v>0</v>
      </c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30">
        <f t="shared" si="149"/>
        <v>0</v>
      </c>
      <c r="BX309" s="3"/>
    </row>
    <row r="310" ht="14.25" customHeight="1">
      <c r="A310" s="3"/>
      <c r="B310" s="512">
        <v>46299</v>
      </c>
      <c r="C310" s="118"/>
      <c r="D310" s="123"/>
      <c r="E310" s="120"/>
      <c r="F310" s="120"/>
      <c r="G310" s="147">
        <f t="shared" si="141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42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03">
        <f t="shared" si="143"/>
        <v>0</v>
      </c>
      <c r="AK310" s="123"/>
      <c r="AL310" s="123"/>
      <c r="AM310" s="123"/>
      <c r="AN310" s="105">
        <f t="shared" si="144"/>
        <v>0</v>
      </c>
      <c r="AO310" s="143"/>
      <c r="AP310" s="143"/>
      <c r="AQ310" s="143"/>
      <c r="AR310" s="143"/>
      <c r="AS310" s="146"/>
      <c r="AT310" s="224">
        <f t="shared" si="145"/>
        <v>0</v>
      </c>
      <c r="AU310" s="433"/>
      <c r="AV310" s="433"/>
      <c r="AW310" s="433"/>
      <c r="AX310" s="433"/>
      <c r="AY310" s="433"/>
      <c r="AZ310" s="428"/>
      <c r="BA310" s="433"/>
      <c r="BB310" s="127"/>
      <c r="BC310" s="127"/>
      <c r="BD310" s="127"/>
      <c r="BE310" s="126"/>
      <c r="BF310" s="222">
        <f t="shared" si="146"/>
        <v>0</v>
      </c>
      <c r="BG310" s="113">
        <f t="shared" si="147"/>
        <v>0</v>
      </c>
      <c r="BH310" s="3"/>
      <c r="BI310" s="113">
        <f t="shared" si="148"/>
        <v>0</v>
      </c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30">
        <f t="shared" si="149"/>
        <v>0</v>
      </c>
      <c r="BX310" s="3"/>
    </row>
    <row r="311" ht="14.25" customHeight="1">
      <c r="A311" s="3"/>
      <c r="B311" s="512">
        <v>46300</v>
      </c>
      <c r="C311" s="118"/>
      <c r="D311" s="123"/>
      <c r="E311" s="120"/>
      <c r="F311" s="120"/>
      <c r="G311" s="147">
        <f t="shared" si="141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42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03">
        <f t="shared" si="143"/>
        <v>0</v>
      </c>
      <c r="AK311" s="123"/>
      <c r="AL311" s="123"/>
      <c r="AM311" s="123"/>
      <c r="AN311" s="105">
        <f t="shared" si="144"/>
        <v>0</v>
      </c>
      <c r="AO311" s="143"/>
      <c r="AP311" s="143"/>
      <c r="AQ311" s="143"/>
      <c r="AR311" s="143"/>
      <c r="AS311" s="146"/>
      <c r="AT311" s="224">
        <f t="shared" si="145"/>
        <v>0</v>
      </c>
      <c r="AU311" s="433"/>
      <c r="AV311" s="433"/>
      <c r="AW311" s="433"/>
      <c r="AX311" s="433"/>
      <c r="AY311" s="433"/>
      <c r="AZ311" s="428"/>
      <c r="BA311" s="433"/>
      <c r="BB311" s="127"/>
      <c r="BC311" s="127"/>
      <c r="BD311" s="127"/>
      <c r="BE311" s="126"/>
      <c r="BF311" s="222">
        <f t="shared" si="146"/>
        <v>0</v>
      </c>
      <c r="BG311" s="113">
        <f t="shared" si="147"/>
        <v>0</v>
      </c>
      <c r="BH311" s="3"/>
      <c r="BI311" s="113">
        <f t="shared" si="148"/>
        <v>0</v>
      </c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30">
        <f t="shared" si="149"/>
        <v>0</v>
      </c>
      <c r="BX311" s="3"/>
    </row>
    <row r="312" ht="14.25" customHeight="1">
      <c r="A312" s="3"/>
      <c r="B312" s="512">
        <v>46301</v>
      </c>
      <c r="C312" s="118"/>
      <c r="D312" s="123"/>
      <c r="E312" s="120"/>
      <c r="F312" s="120"/>
      <c r="G312" s="147">
        <f t="shared" si="141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42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03">
        <f t="shared" si="143"/>
        <v>0</v>
      </c>
      <c r="AK312" s="123"/>
      <c r="AL312" s="123"/>
      <c r="AM312" s="123"/>
      <c r="AN312" s="105">
        <f t="shared" si="144"/>
        <v>0</v>
      </c>
      <c r="AO312" s="143"/>
      <c r="AP312" s="143"/>
      <c r="AQ312" s="143"/>
      <c r="AR312" s="143"/>
      <c r="AS312" s="146"/>
      <c r="AT312" s="224">
        <f t="shared" si="145"/>
        <v>0</v>
      </c>
      <c r="AU312" s="433"/>
      <c r="AV312" s="433"/>
      <c r="AW312" s="433"/>
      <c r="AX312" s="433"/>
      <c r="AY312" s="433"/>
      <c r="AZ312" s="428"/>
      <c r="BA312" s="433"/>
      <c r="BB312" s="127"/>
      <c r="BC312" s="127"/>
      <c r="BD312" s="127"/>
      <c r="BE312" s="126"/>
      <c r="BF312" s="222">
        <f t="shared" si="146"/>
        <v>0</v>
      </c>
      <c r="BG312" s="113">
        <f t="shared" si="147"/>
        <v>0</v>
      </c>
      <c r="BH312" s="3"/>
      <c r="BI312" s="113">
        <f t="shared" si="148"/>
        <v>0</v>
      </c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29"/>
      <c r="BW312" s="130">
        <f t="shared" si="149"/>
        <v>0</v>
      </c>
      <c r="BX312" s="3"/>
    </row>
    <row r="313" ht="14.25" customHeight="1">
      <c r="A313" s="132"/>
      <c r="B313" s="512">
        <v>46302</v>
      </c>
      <c r="C313" s="133"/>
      <c r="D313" s="136"/>
      <c r="E313" s="135"/>
      <c r="F313" s="135"/>
      <c r="G313" s="147">
        <f t="shared" si="141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42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03">
        <f t="shared" si="143"/>
        <v>0</v>
      </c>
      <c r="AK313" s="136"/>
      <c r="AL313" s="136"/>
      <c r="AM313" s="136"/>
      <c r="AN313" s="105">
        <f t="shared" si="144"/>
        <v>0</v>
      </c>
      <c r="AO313" s="143"/>
      <c r="AP313" s="143"/>
      <c r="AQ313" s="143"/>
      <c r="AR313" s="143"/>
      <c r="AS313" s="146"/>
      <c r="AT313" s="224">
        <f t="shared" si="145"/>
        <v>0</v>
      </c>
      <c r="AU313" s="433"/>
      <c r="AV313" s="433"/>
      <c r="AW313" s="433"/>
      <c r="AX313" s="433"/>
      <c r="AY313" s="433"/>
      <c r="AZ313" s="428"/>
      <c r="BA313" s="433"/>
      <c r="BB313" s="127"/>
      <c r="BC313" s="127"/>
      <c r="BD313" s="127"/>
      <c r="BE313" s="126"/>
      <c r="BF313" s="222">
        <f t="shared" si="146"/>
        <v>0</v>
      </c>
      <c r="BG313" s="140">
        <f t="shared" si="147"/>
        <v>0</v>
      </c>
      <c r="BH313" s="132"/>
      <c r="BI313" s="140">
        <f t="shared" si="148"/>
        <v>0</v>
      </c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41"/>
      <c r="BW313" s="130">
        <f t="shared" si="149"/>
        <v>0</v>
      </c>
      <c r="BX313" s="132"/>
    </row>
    <row r="314" ht="14.25" customHeight="1">
      <c r="A314" s="132"/>
      <c r="B314" s="512">
        <v>46303</v>
      </c>
      <c r="C314" s="133"/>
      <c r="D314" s="136"/>
      <c r="E314" s="135"/>
      <c r="F314" s="135"/>
      <c r="G314" s="147">
        <f t="shared" si="141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42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03">
        <f t="shared" si="143"/>
        <v>0</v>
      </c>
      <c r="AK314" s="136"/>
      <c r="AL314" s="136"/>
      <c r="AM314" s="136"/>
      <c r="AN314" s="105">
        <f t="shared" si="144"/>
        <v>0</v>
      </c>
      <c r="AO314" s="143"/>
      <c r="AP314" s="143"/>
      <c r="AQ314" s="143"/>
      <c r="AR314" s="143"/>
      <c r="AS314" s="146"/>
      <c r="AT314" s="224">
        <f t="shared" si="145"/>
        <v>0</v>
      </c>
      <c r="AU314" s="433"/>
      <c r="AV314" s="433"/>
      <c r="AW314" s="433"/>
      <c r="AX314" s="433"/>
      <c r="AY314" s="433"/>
      <c r="AZ314" s="428"/>
      <c r="BA314" s="433"/>
      <c r="BB314" s="127"/>
      <c r="BC314" s="127"/>
      <c r="BD314" s="127"/>
      <c r="BE314" s="126"/>
      <c r="BF314" s="222">
        <f t="shared" si="146"/>
        <v>0</v>
      </c>
      <c r="BG314" s="140">
        <f t="shared" si="147"/>
        <v>0</v>
      </c>
      <c r="BH314" s="132"/>
      <c r="BI314" s="140">
        <f t="shared" si="148"/>
        <v>0</v>
      </c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30">
        <f t="shared" si="149"/>
        <v>0</v>
      </c>
      <c r="BX314" s="132"/>
    </row>
    <row r="315" ht="14.25" customHeight="1">
      <c r="A315" s="132"/>
      <c r="B315" s="512">
        <v>46304</v>
      </c>
      <c r="C315" s="133"/>
      <c r="D315" s="136"/>
      <c r="E315" s="135"/>
      <c r="F315" s="135"/>
      <c r="G315" s="147">
        <f t="shared" si="141"/>
        <v>0</v>
      </c>
      <c r="H315" s="940"/>
      <c r="I315" s="633"/>
      <c r="J315" s="633"/>
      <c r="K315" s="633"/>
      <c r="L315" s="633"/>
      <c r="M315" s="633"/>
      <c r="N315" s="143"/>
      <c r="O315" s="143"/>
      <c r="P315" s="143"/>
      <c r="Q315" s="143"/>
      <c r="R315" s="143"/>
      <c r="S315" s="143"/>
      <c r="T315" s="143"/>
      <c r="U315" s="103">
        <f t="shared" si="142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03">
        <f t="shared" si="143"/>
        <v>0</v>
      </c>
      <c r="AK315" s="136"/>
      <c r="AL315" s="136"/>
      <c r="AM315" s="136"/>
      <c r="AN315" s="105">
        <f t="shared" si="144"/>
        <v>0</v>
      </c>
      <c r="AO315" s="143"/>
      <c r="AP315" s="143"/>
      <c r="AQ315" s="143"/>
      <c r="AR315" s="143"/>
      <c r="AS315" s="146"/>
      <c r="AT315" s="224">
        <f t="shared" si="145"/>
        <v>0</v>
      </c>
      <c r="AU315" s="433"/>
      <c r="AV315" s="433"/>
      <c r="AW315" s="433"/>
      <c r="AX315" s="433"/>
      <c r="AY315" s="433"/>
      <c r="AZ315" s="428"/>
      <c r="BA315" s="433"/>
      <c r="BB315" s="127"/>
      <c r="BC315" s="127"/>
      <c r="BD315" s="127"/>
      <c r="BE315" s="126"/>
      <c r="BF315" s="222">
        <f t="shared" si="146"/>
        <v>0</v>
      </c>
      <c r="BG315" s="140">
        <f t="shared" si="147"/>
        <v>0</v>
      </c>
      <c r="BH315" s="132"/>
      <c r="BI315" s="140">
        <f t="shared" si="148"/>
        <v>0</v>
      </c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30">
        <f t="shared" si="149"/>
        <v>0</v>
      </c>
      <c r="BX315" s="132"/>
    </row>
    <row r="316" ht="14.25" customHeight="1">
      <c r="A316" s="132"/>
      <c r="B316" s="512">
        <v>46305</v>
      </c>
      <c r="C316" s="133"/>
      <c r="D316" s="136"/>
      <c r="E316" s="135"/>
      <c r="F316" s="135"/>
      <c r="G316" s="147">
        <f t="shared" si="141"/>
        <v>0</v>
      </c>
      <c r="H316" s="940"/>
      <c r="I316" s="633"/>
      <c r="J316" s="633"/>
      <c r="K316" s="633"/>
      <c r="L316" s="633"/>
      <c r="M316" s="633"/>
      <c r="N316" s="143"/>
      <c r="O316" s="143"/>
      <c r="P316" s="143"/>
      <c r="Q316" s="143"/>
      <c r="R316" s="143"/>
      <c r="S316" s="143"/>
      <c r="T316" s="143"/>
      <c r="U316" s="103">
        <f t="shared" si="142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03">
        <f t="shared" si="143"/>
        <v>0</v>
      </c>
      <c r="AK316" s="136"/>
      <c r="AL316" s="136"/>
      <c r="AM316" s="136"/>
      <c r="AN316" s="105">
        <f t="shared" si="144"/>
        <v>0</v>
      </c>
      <c r="AO316" s="143"/>
      <c r="AP316" s="143"/>
      <c r="AQ316" s="143"/>
      <c r="AR316" s="143"/>
      <c r="AS316" s="146"/>
      <c r="AT316" s="224">
        <f ref="AT316:AT335" t="shared" si="150">+G316-U316-AJ316-AN316-AO316-AQ316-AR316-AS316-AP316</f>
        <v>0</v>
      </c>
      <c r="AU316" s="433"/>
      <c r="AV316" s="433"/>
      <c r="AW316" s="433"/>
      <c r="AX316" s="433"/>
      <c r="AY316" s="433"/>
      <c r="AZ316" s="428"/>
      <c r="BA316" s="433"/>
      <c r="BB316" s="127"/>
      <c r="BC316" s="127"/>
      <c r="BD316" s="127"/>
      <c r="BE316" s="126"/>
      <c r="BF316" s="222">
        <f t="shared" si="146"/>
        <v>0</v>
      </c>
      <c r="BG316" s="140">
        <f t="shared" si="147"/>
        <v>0</v>
      </c>
      <c r="BH316" s="132"/>
      <c r="BI316" s="140">
        <f t="shared" si="148"/>
        <v>0</v>
      </c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30">
        <f t="shared" si="149"/>
        <v>0</v>
      </c>
      <c r="BX316" s="132"/>
    </row>
    <row r="317" ht="14.25" customHeight="1">
      <c r="A317" s="132"/>
      <c r="B317" s="512">
        <v>46306</v>
      </c>
      <c r="C317" s="133"/>
      <c r="D317" s="136"/>
      <c r="E317" s="135"/>
      <c r="F317" s="135"/>
      <c r="G317" s="147">
        <f t="shared" si="141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42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03">
        <f t="shared" si="143"/>
        <v>0</v>
      </c>
      <c r="AK317" s="136"/>
      <c r="AL317" s="136"/>
      <c r="AM317" s="136"/>
      <c r="AN317" s="105">
        <f t="shared" si="144"/>
        <v>0</v>
      </c>
      <c r="AO317" s="143"/>
      <c r="AP317" s="143"/>
      <c r="AQ317" s="143"/>
      <c r="AR317" s="143"/>
      <c r="AS317" s="146"/>
      <c r="AT317" s="224">
        <f t="shared" si="150"/>
        <v>0</v>
      </c>
      <c r="AU317" s="433"/>
      <c r="AV317" s="433"/>
      <c r="AW317" s="433"/>
      <c r="AX317" s="433"/>
      <c r="AY317" s="433"/>
      <c r="AZ317" s="428"/>
      <c r="BA317" s="433"/>
      <c r="BB317" s="127"/>
      <c r="BC317" s="127"/>
      <c r="BD317" s="127"/>
      <c r="BE317" s="126"/>
      <c r="BF317" s="222">
        <f t="shared" si="146"/>
        <v>0</v>
      </c>
      <c r="BG317" s="140">
        <f t="shared" si="147"/>
        <v>0</v>
      </c>
      <c r="BH317" s="132"/>
      <c r="BI317" s="140">
        <f t="shared" si="148"/>
        <v>0</v>
      </c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30">
        <f t="shared" si="149"/>
        <v>0</v>
      </c>
      <c r="BX317" s="132"/>
    </row>
    <row r="318" ht="14.25" customHeight="1">
      <c r="A318" s="132"/>
      <c r="B318" s="512">
        <v>46307</v>
      </c>
      <c r="C318" s="133"/>
      <c r="D318" s="136"/>
      <c r="E318" s="135"/>
      <c r="F318" s="135"/>
      <c r="G318" s="147">
        <f t="shared" si="141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42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03">
        <f t="shared" si="143"/>
        <v>0</v>
      </c>
      <c r="AK318" s="136"/>
      <c r="AL318" s="136"/>
      <c r="AM318" s="136"/>
      <c r="AN318" s="105">
        <f t="shared" si="144"/>
        <v>0</v>
      </c>
      <c r="AO318" s="143"/>
      <c r="AP318" s="143"/>
      <c r="AQ318" s="143"/>
      <c r="AR318" s="143"/>
      <c r="AS318" s="146"/>
      <c r="AT318" s="224">
        <f t="shared" si="150"/>
        <v>0</v>
      </c>
      <c r="AU318" s="433"/>
      <c r="AV318" s="433"/>
      <c r="AW318" s="433"/>
      <c r="AX318" s="433"/>
      <c r="AY318" s="433"/>
      <c r="AZ318" s="428"/>
      <c r="BA318" s="433"/>
      <c r="BB318" s="127"/>
      <c r="BC318" s="127"/>
      <c r="BD318" s="127"/>
      <c r="BE318" s="126"/>
      <c r="BF318" s="222">
        <f t="shared" si="146"/>
        <v>0</v>
      </c>
      <c r="BG318" s="140">
        <f t="shared" si="147"/>
        <v>0</v>
      </c>
      <c r="BH318" s="132"/>
      <c r="BI318" s="140">
        <f t="shared" si="148"/>
        <v>0</v>
      </c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30">
        <f t="shared" si="149"/>
        <v>0</v>
      </c>
      <c r="BX318" s="132"/>
    </row>
    <row r="319" ht="14.25" customHeight="1">
      <c r="A319" s="132"/>
      <c r="B319" s="512">
        <v>46308</v>
      </c>
      <c r="C319" s="133"/>
      <c r="D319" s="136"/>
      <c r="E319" s="135"/>
      <c r="F319" s="135"/>
      <c r="G319" s="147">
        <f t="shared" si="141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42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03">
        <f t="shared" si="143"/>
        <v>0</v>
      </c>
      <c r="AK319" s="136"/>
      <c r="AL319" s="136"/>
      <c r="AM319" s="136"/>
      <c r="AN319" s="105">
        <f t="shared" si="144"/>
        <v>0</v>
      </c>
      <c r="AO319" s="143"/>
      <c r="AP319" s="143"/>
      <c r="AQ319" s="143"/>
      <c r="AR319" s="143"/>
      <c r="AS319" s="146"/>
      <c r="AT319" s="224">
        <f t="shared" si="150"/>
        <v>0</v>
      </c>
      <c r="AU319" s="433"/>
      <c r="AV319" s="433"/>
      <c r="AW319" s="433"/>
      <c r="AX319" s="433"/>
      <c r="AY319" s="433"/>
      <c r="AZ319" s="428"/>
      <c r="BA319" s="433"/>
      <c r="BB319" s="127"/>
      <c r="BC319" s="127"/>
      <c r="BD319" s="127"/>
      <c r="BE319" s="126"/>
      <c r="BF319" s="222">
        <f t="shared" si="146"/>
        <v>0</v>
      </c>
      <c r="BG319" s="140">
        <f t="shared" si="147"/>
        <v>0</v>
      </c>
      <c r="BH319" s="132"/>
      <c r="BI319" s="140">
        <f t="shared" si="148"/>
        <v>0</v>
      </c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30">
        <f t="shared" si="149"/>
        <v>0</v>
      </c>
      <c r="BX319" s="132"/>
    </row>
    <row r="320" ht="14.25" customHeight="1">
      <c r="A320" s="132"/>
      <c r="B320" s="512">
        <v>46309</v>
      </c>
      <c r="C320" s="133"/>
      <c r="D320" s="136"/>
      <c r="E320" s="135"/>
      <c r="F320" s="135"/>
      <c r="G320" s="147">
        <f t="shared" si="141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42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03">
        <f t="shared" si="143"/>
        <v>0</v>
      </c>
      <c r="AK320" s="136"/>
      <c r="AL320" s="136"/>
      <c r="AM320" s="136"/>
      <c r="AN320" s="105">
        <f t="shared" si="144"/>
        <v>0</v>
      </c>
      <c r="AO320" s="143"/>
      <c r="AP320" s="143"/>
      <c r="AQ320" s="143"/>
      <c r="AR320" s="143"/>
      <c r="AS320" s="146"/>
      <c r="AT320" s="224">
        <f t="shared" si="150"/>
        <v>0</v>
      </c>
      <c r="AU320" s="433"/>
      <c r="AV320" s="433"/>
      <c r="AW320" s="433"/>
      <c r="AX320" s="433"/>
      <c r="AY320" s="433"/>
      <c r="AZ320" s="428"/>
      <c r="BA320" s="433"/>
      <c r="BB320" s="127"/>
      <c r="BC320" s="127"/>
      <c r="BD320" s="127"/>
      <c r="BE320" s="126"/>
      <c r="BF320" s="222">
        <f t="shared" si="146"/>
        <v>0</v>
      </c>
      <c r="BG320" s="140">
        <f t="shared" si="147"/>
        <v>0</v>
      </c>
      <c r="BH320" s="132"/>
      <c r="BI320" s="140">
        <f t="shared" si="148"/>
        <v>0</v>
      </c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30">
        <f t="shared" si="149"/>
        <v>0</v>
      </c>
      <c r="BX320" s="132"/>
    </row>
    <row r="321" ht="14.25" customHeight="1">
      <c r="A321" s="132"/>
      <c r="B321" s="512">
        <v>46310</v>
      </c>
      <c r="C321" s="133"/>
      <c r="D321" s="136"/>
      <c r="E321" s="135"/>
      <c r="F321" s="135"/>
      <c r="G321" s="147">
        <f t="shared" si="141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42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03">
        <f t="shared" si="143"/>
        <v>0</v>
      </c>
      <c r="AK321" s="136"/>
      <c r="AL321" s="136"/>
      <c r="AM321" s="136"/>
      <c r="AN321" s="105">
        <f t="shared" si="144"/>
        <v>0</v>
      </c>
      <c r="AO321" s="143"/>
      <c r="AP321" s="143"/>
      <c r="AQ321" s="143"/>
      <c r="AR321" s="143"/>
      <c r="AS321" s="146"/>
      <c r="AT321" s="224">
        <f t="shared" si="150"/>
        <v>0</v>
      </c>
      <c r="AU321" s="433"/>
      <c r="AV321" s="433"/>
      <c r="AW321" s="433"/>
      <c r="AX321" s="433"/>
      <c r="AY321" s="433"/>
      <c r="AZ321" s="428"/>
      <c r="BA321" s="433"/>
      <c r="BB321" s="127"/>
      <c r="BC321" s="127"/>
      <c r="BD321" s="127"/>
      <c r="BE321" s="126"/>
      <c r="BF321" s="222">
        <f t="shared" si="146"/>
        <v>0</v>
      </c>
      <c r="BG321" s="140">
        <f t="shared" si="147"/>
        <v>0</v>
      </c>
      <c r="BH321" s="132"/>
      <c r="BI321" s="140">
        <f t="shared" si="148"/>
        <v>0</v>
      </c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30">
        <f t="shared" si="149"/>
        <v>0</v>
      </c>
      <c r="BX321" s="132"/>
    </row>
    <row r="322" ht="14.25" customHeight="1">
      <c r="A322" s="132"/>
      <c r="B322" s="512">
        <v>46311</v>
      </c>
      <c r="C322" s="133"/>
      <c r="D322" s="136"/>
      <c r="E322" s="135"/>
      <c r="F322" s="135"/>
      <c r="G322" s="147">
        <f t="shared" si="141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42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03">
        <f t="shared" si="143"/>
        <v>0</v>
      </c>
      <c r="AK322" s="136"/>
      <c r="AL322" s="136"/>
      <c r="AM322" s="136"/>
      <c r="AN322" s="105">
        <f t="shared" si="144"/>
        <v>0</v>
      </c>
      <c r="AO322" s="143"/>
      <c r="AP322" s="143"/>
      <c r="AQ322" s="143"/>
      <c r="AR322" s="143"/>
      <c r="AS322" s="146"/>
      <c r="AT322" s="224">
        <f t="shared" si="150"/>
        <v>0</v>
      </c>
      <c r="AU322" s="433"/>
      <c r="AV322" s="433"/>
      <c r="AW322" s="433"/>
      <c r="AX322" s="433"/>
      <c r="AY322" s="433"/>
      <c r="AZ322" s="428"/>
      <c r="BA322" s="433"/>
      <c r="BB322" s="127"/>
      <c r="BC322" s="127"/>
      <c r="BD322" s="127"/>
      <c r="BE322" s="126"/>
      <c r="BF322" s="222">
        <f t="shared" si="146"/>
        <v>0</v>
      </c>
      <c r="BG322" s="140">
        <f t="shared" si="147"/>
        <v>0</v>
      </c>
      <c r="BH322" s="132"/>
      <c r="BI322" s="140">
        <f t="shared" si="148"/>
        <v>0</v>
      </c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30">
        <f t="shared" si="149"/>
        <v>0</v>
      </c>
      <c r="BX322" s="132"/>
    </row>
    <row r="323" ht="14.25" customHeight="1">
      <c r="A323" s="132"/>
      <c r="B323" s="512">
        <v>46312</v>
      </c>
      <c r="C323" s="133"/>
      <c r="D323" s="136"/>
      <c r="E323" s="135"/>
      <c r="F323" s="135"/>
      <c r="G323" s="147">
        <f t="shared" si="141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42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03">
        <f t="shared" si="143"/>
        <v>0</v>
      </c>
      <c r="AK323" s="136"/>
      <c r="AL323" s="136"/>
      <c r="AM323" s="136"/>
      <c r="AN323" s="105">
        <f t="shared" si="144"/>
        <v>0</v>
      </c>
      <c r="AO323" s="143"/>
      <c r="AP323" s="143"/>
      <c r="AQ323" s="143"/>
      <c r="AR323" s="143"/>
      <c r="AS323" s="146"/>
      <c r="AT323" s="224">
        <f t="shared" si="150"/>
        <v>0</v>
      </c>
      <c r="AU323" s="433"/>
      <c r="AV323" s="433"/>
      <c r="AW323" s="433"/>
      <c r="AX323" s="433"/>
      <c r="AY323" s="433"/>
      <c r="AZ323" s="428"/>
      <c r="BA323" s="433"/>
      <c r="BB323" s="127"/>
      <c r="BC323" s="127"/>
      <c r="BD323" s="127"/>
      <c r="BE323" s="126"/>
      <c r="BF323" s="222">
        <f t="shared" si="146"/>
        <v>0</v>
      </c>
      <c r="BG323" s="140">
        <f t="shared" si="147"/>
        <v>0</v>
      </c>
      <c r="BH323" s="132"/>
      <c r="BI323" s="140">
        <f t="shared" si="148"/>
        <v>0</v>
      </c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30">
        <f t="shared" si="149"/>
        <v>0</v>
      </c>
      <c r="BX323" s="132"/>
    </row>
    <row r="324" ht="14.25" customHeight="1">
      <c r="A324" s="132"/>
      <c r="B324" s="512">
        <v>46313</v>
      </c>
      <c r="C324" s="133"/>
      <c r="D324" s="136"/>
      <c r="E324" s="135"/>
      <c r="F324" s="135"/>
      <c r="G324" s="147">
        <f t="shared" si="141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42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03">
        <f t="shared" si="143"/>
        <v>0</v>
      </c>
      <c r="AK324" s="136"/>
      <c r="AL324" s="136"/>
      <c r="AM324" s="136"/>
      <c r="AN324" s="105">
        <f t="shared" si="144"/>
        <v>0</v>
      </c>
      <c r="AO324" s="143"/>
      <c r="AP324" s="143"/>
      <c r="AQ324" s="143"/>
      <c r="AR324" s="143"/>
      <c r="AS324" s="146"/>
      <c r="AT324" s="224">
        <f t="shared" si="150"/>
        <v>0</v>
      </c>
      <c r="AU324" s="433"/>
      <c r="AV324" s="433"/>
      <c r="AW324" s="433"/>
      <c r="AX324" s="433"/>
      <c r="AY324" s="433"/>
      <c r="AZ324" s="428"/>
      <c r="BA324" s="433"/>
      <c r="BB324" s="127"/>
      <c r="BC324" s="127"/>
      <c r="BD324" s="127"/>
      <c r="BE324" s="126"/>
      <c r="BF324" s="222">
        <f t="shared" si="146"/>
        <v>0</v>
      </c>
      <c r="BG324" s="140">
        <f t="shared" si="147"/>
        <v>0</v>
      </c>
      <c r="BH324" s="132"/>
      <c r="BI324" s="140">
        <f t="shared" si="148"/>
        <v>0</v>
      </c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30">
        <f t="shared" si="149"/>
        <v>0</v>
      </c>
      <c r="BX324" s="132"/>
    </row>
    <row r="325" ht="14.25" customHeight="1">
      <c r="A325" s="132"/>
      <c r="B325" s="512">
        <v>46314</v>
      </c>
      <c r="C325" s="133"/>
      <c r="D325" s="136"/>
      <c r="E325" s="135"/>
      <c r="F325" s="135"/>
      <c r="G325" s="147">
        <f t="shared" si="141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42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03">
        <f t="shared" si="143"/>
        <v>0</v>
      </c>
      <c r="AK325" s="136"/>
      <c r="AL325" s="136"/>
      <c r="AM325" s="136"/>
      <c r="AN325" s="105">
        <f t="shared" si="144"/>
        <v>0</v>
      </c>
      <c r="AO325" s="143"/>
      <c r="AP325" s="143"/>
      <c r="AQ325" s="143"/>
      <c r="AR325" s="143"/>
      <c r="AS325" s="146"/>
      <c r="AT325" s="224">
        <f t="shared" si="150"/>
        <v>0</v>
      </c>
      <c r="AU325" s="433"/>
      <c r="AV325" s="433"/>
      <c r="AW325" s="433"/>
      <c r="AX325" s="433"/>
      <c r="AY325" s="433"/>
      <c r="AZ325" s="428"/>
      <c r="BA325" s="433"/>
      <c r="BB325" s="127"/>
      <c r="BC325" s="127"/>
      <c r="BD325" s="127"/>
      <c r="BE325" s="126"/>
      <c r="BF325" s="222">
        <f t="shared" si="146"/>
        <v>0</v>
      </c>
      <c r="BG325" s="140">
        <f t="shared" si="147"/>
        <v>0</v>
      </c>
      <c r="BH325" s="132"/>
      <c r="BI325" s="140">
        <f t="shared" si="148"/>
        <v>0</v>
      </c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30">
        <f t="shared" si="149"/>
        <v>0</v>
      </c>
      <c r="BX325" s="132"/>
    </row>
    <row r="326" ht="14.25" customHeight="1">
      <c r="A326" s="132"/>
      <c r="B326" s="512">
        <v>46315</v>
      </c>
      <c r="C326" s="133"/>
      <c r="D326" s="136"/>
      <c r="E326" s="135"/>
      <c r="F326" s="135"/>
      <c r="G326" s="147">
        <f t="shared" si="141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42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03">
        <f t="shared" si="143"/>
        <v>0</v>
      </c>
      <c r="AK326" s="136"/>
      <c r="AL326" s="136"/>
      <c r="AM326" s="136"/>
      <c r="AN326" s="105">
        <f t="shared" si="144"/>
        <v>0</v>
      </c>
      <c r="AO326" s="143"/>
      <c r="AP326" s="143"/>
      <c r="AQ326" s="143"/>
      <c r="AR326" s="143"/>
      <c r="AS326" s="146"/>
      <c r="AT326" s="224">
        <f t="shared" si="150"/>
        <v>0</v>
      </c>
      <c r="AU326" s="433"/>
      <c r="AV326" s="433"/>
      <c r="AW326" s="433"/>
      <c r="AX326" s="433"/>
      <c r="AY326" s="433"/>
      <c r="AZ326" s="428"/>
      <c r="BA326" s="433"/>
      <c r="BB326" s="127"/>
      <c r="BC326" s="127"/>
      <c r="BD326" s="127"/>
      <c r="BE326" s="126"/>
      <c r="BF326" s="222">
        <f t="shared" si="146"/>
        <v>0</v>
      </c>
      <c r="BG326" s="140">
        <f t="shared" si="147"/>
        <v>0</v>
      </c>
      <c r="BH326" s="132"/>
      <c r="BI326" s="140">
        <f t="shared" si="148"/>
        <v>0</v>
      </c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30">
        <f t="shared" si="149"/>
        <v>0</v>
      </c>
      <c r="BX326" s="132"/>
    </row>
    <row r="327" ht="14.25" customHeight="1">
      <c r="A327" s="132"/>
      <c r="B327" s="512">
        <v>46316</v>
      </c>
      <c r="C327" s="133"/>
      <c r="D327" s="136"/>
      <c r="E327" s="135"/>
      <c r="F327" s="135"/>
      <c r="G327" s="147">
        <f t="shared" si="141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42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03">
        <f t="shared" si="143"/>
        <v>0</v>
      </c>
      <c r="AK327" s="136"/>
      <c r="AL327" s="136"/>
      <c r="AM327" s="136"/>
      <c r="AN327" s="105">
        <f t="shared" si="144"/>
        <v>0</v>
      </c>
      <c r="AO327" s="143"/>
      <c r="AP327" s="143"/>
      <c r="AQ327" s="143"/>
      <c r="AR327" s="143"/>
      <c r="AS327" s="146"/>
      <c r="AT327" s="224">
        <f t="shared" si="150"/>
        <v>0</v>
      </c>
      <c r="AU327" s="433"/>
      <c r="AV327" s="433"/>
      <c r="AW327" s="433"/>
      <c r="AX327" s="433"/>
      <c r="AY327" s="433"/>
      <c r="AZ327" s="428"/>
      <c r="BA327" s="433"/>
      <c r="BB327" s="127"/>
      <c r="BC327" s="127"/>
      <c r="BD327" s="127"/>
      <c r="BE327" s="126"/>
      <c r="BF327" s="222">
        <f t="shared" si="146"/>
        <v>0</v>
      </c>
      <c r="BG327" s="140">
        <f t="shared" si="147"/>
        <v>0</v>
      </c>
      <c r="BH327" s="132"/>
      <c r="BI327" s="140">
        <f t="shared" si="148"/>
        <v>0</v>
      </c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30">
        <f t="shared" si="149"/>
        <v>0</v>
      </c>
      <c r="BX327" s="132"/>
    </row>
    <row r="328" ht="14.25" customHeight="1">
      <c r="A328" s="132"/>
      <c r="B328" s="512">
        <v>46317</v>
      </c>
      <c r="C328" s="133"/>
      <c r="D328" s="136"/>
      <c r="E328" s="135"/>
      <c r="F328" s="135"/>
      <c r="G328" s="147">
        <f t="shared" si="141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42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03">
        <f t="shared" si="143"/>
        <v>0</v>
      </c>
      <c r="AK328" s="136"/>
      <c r="AL328" s="136"/>
      <c r="AM328" s="136"/>
      <c r="AN328" s="105">
        <f t="shared" si="144"/>
        <v>0</v>
      </c>
      <c r="AO328" s="143"/>
      <c r="AP328" s="143"/>
      <c r="AQ328" s="143"/>
      <c r="AR328" s="143"/>
      <c r="AS328" s="146"/>
      <c r="AT328" s="224">
        <f t="shared" si="150"/>
        <v>0</v>
      </c>
      <c r="AU328" s="433"/>
      <c r="AV328" s="433"/>
      <c r="AW328" s="433"/>
      <c r="AX328" s="433"/>
      <c r="AY328" s="433"/>
      <c r="AZ328" s="428"/>
      <c r="BA328" s="433"/>
      <c r="BB328" s="127"/>
      <c r="BC328" s="127"/>
      <c r="BD328" s="127"/>
      <c r="BE328" s="126"/>
      <c r="BF328" s="222">
        <f t="shared" si="146"/>
        <v>0</v>
      </c>
      <c r="BG328" s="140">
        <f t="shared" si="147"/>
        <v>0</v>
      </c>
      <c r="BH328" s="132"/>
      <c r="BI328" s="140">
        <f t="shared" si="148"/>
        <v>0</v>
      </c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30">
        <f t="shared" si="149"/>
        <v>0</v>
      </c>
      <c r="BX328" s="132"/>
    </row>
    <row r="329" ht="14.25" customHeight="1">
      <c r="A329" s="132"/>
      <c r="B329" s="512">
        <v>46318</v>
      </c>
      <c r="C329" s="133"/>
      <c r="D329" s="136"/>
      <c r="E329" s="135"/>
      <c r="F329" s="135"/>
      <c r="G329" s="147">
        <f t="shared" si="141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42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03">
        <f t="shared" si="143"/>
        <v>0</v>
      </c>
      <c r="AK329" s="136"/>
      <c r="AL329" s="136"/>
      <c r="AM329" s="136"/>
      <c r="AN329" s="105">
        <f t="shared" si="144"/>
        <v>0</v>
      </c>
      <c r="AO329" s="143"/>
      <c r="AP329" s="143"/>
      <c r="AQ329" s="143"/>
      <c r="AR329" s="143"/>
      <c r="AS329" s="146"/>
      <c r="AT329" s="224">
        <f t="shared" si="150"/>
        <v>0</v>
      </c>
      <c r="AU329" s="433"/>
      <c r="AV329" s="433"/>
      <c r="AW329" s="433"/>
      <c r="AX329" s="433"/>
      <c r="AY329" s="433"/>
      <c r="AZ329" s="428"/>
      <c r="BA329" s="433"/>
      <c r="BB329" s="127"/>
      <c r="BC329" s="127"/>
      <c r="BD329" s="127"/>
      <c r="BE329" s="126"/>
      <c r="BF329" s="222">
        <f t="shared" si="146"/>
        <v>0</v>
      </c>
      <c r="BG329" s="140">
        <f t="shared" si="147"/>
        <v>0</v>
      </c>
      <c r="BH329" s="132"/>
      <c r="BI329" s="140">
        <f t="shared" si="148"/>
        <v>0</v>
      </c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30">
        <f t="shared" si="149"/>
        <v>0</v>
      </c>
      <c r="BX329" s="132"/>
    </row>
    <row r="330" ht="14.25" customHeight="1">
      <c r="A330" s="132"/>
      <c r="B330" s="512">
        <v>46319</v>
      </c>
      <c r="C330" s="133"/>
      <c r="D330" s="136"/>
      <c r="E330" s="135"/>
      <c r="F330" s="135"/>
      <c r="G330" s="147">
        <f t="shared" si="141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42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03">
        <f t="shared" si="143"/>
        <v>0</v>
      </c>
      <c r="AK330" s="136"/>
      <c r="AL330" s="136"/>
      <c r="AM330" s="136"/>
      <c r="AN330" s="105">
        <f t="shared" si="144"/>
        <v>0</v>
      </c>
      <c r="AO330" s="143"/>
      <c r="AP330" s="143"/>
      <c r="AQ330" s="143"/>
      <c r="AR330" s="143"/>
      <c r="AS330" s="146"/>
      <c r="AT330" s="224">
        <f t="shared" si="150"/>
        <v>0</v>
      </c>
      <c r="AU330" s="433"/>
      <c r="AV330" s="433"/>
      <c r="AW330" s="433"/>
      <c r="AX330" s="433"/>
      <c r="AY330" s="433"/>
      <c r="AZ330" s="428"/>
      <c r="BA330" s="433"/>
      <c r="BB330" s="127"/>
      <c r="BC330" s="127"/>
      <c r="BD330" s="127"/>
      <c r="BE330" s="126"/>
      <c r="BF330" s="222">
        <f t="shared" si="146"/>
        <v>0</v>
      </c>
      <c r="BG330" s="140">
        <f t="shared" si="147"/>
        <v>0</v>
      </c>
      <c r="BH330" s="132"/>
      <c r="BI330" s="140">
        <f t="shared" si="148"/>
        <v>0</v>
      </c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30">
        <f t="shared" si="149"/>
        <v>0</v>
      </c>
      <c r="BX330" s="132"/>
    </row>
    <row r="331" ht="14.25" customHeight="1">
      <c r="A331" s="132"/>
      <c r="B331" s="512">
        <v>46320</v>
      </c>
      <c r="C331" s="133"/>
      <c r="D331" s="136"/>
      <c r="E331" s="135"/>
      <c r="F331" s="135"/>
      <c r="G331" s="147">
        <f t="shared" si="141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42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03">
        <f t="shared" si="143"/>
        <v>0</v>
      </c>
      <c r="AK331" s="136"/>
      <c r="AL331" s="136"/>
      <c r="AM331" s="136"/>
      <c r="AN331" s="105">
        <f t="shared" si="144"/>
        <v>0</v>
      </c>
      <c r="AO331" s="143"/>
      <c r="AP331" s="143"/>
      <c r="AQ331" s="143"/>
      <c r="AR331" s="143"/>
      <c r="AS331" s="146"/>
      <c r="AT331" s="224">
        <f t="shared" si="150"/>
        <v>0</v>
      </c>
      <c r="AU331" s="433"/>
      <c r="AV331" s="433"/>
      <c r="AW331" s="433"/>
      <c r="AX331" s="433"/>
      <c r="AY331" s="433"/>
      <c r="AZ331" s="428"/>
      <c r="BA331" s="433"/>
      <c r="BB331" s="127"/>
      <c r="BC331" s="127"/>
      <c r="BD331" s="127"/>
      <c r="BE331" s="126"/>
      <c r="BF331" s="222">
        <f t="shared" si="146"/>
        <v>0</v>
      </c>
      <c r="BG331" s="140">
        <f t="shared" si="147"/>
        <v>0</v>
      </c>
      <c r="BH331" s="132"/>
      <c r="BI331" s="140">
        <f t="shared" si="148"/>
        <v>0</v>
      </c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30">
        <f t="shared" si="149"/>
        <v>0</v>
      </c>
      <c r="BX331" s="132"/>
    </row>
    <row r="332" ht="14.25" customHeight="1">
      <c r="A332" s="132"/>
      <c r="B332" s="512">
        <v>46321</v>
      </c>
      <c r="C332" s="133"/>
      <c r="D332" s="136"/>
      <c r="E332" s="135"/>
      <c r="F332" s="135"/>
      <c r="G332" s="147">
        <f t="shared" si="141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42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03">
        <f t="shared" si="143"/>
        <v>0</v>
      </c>
      <c r="AK332" s="136"/>
      <c r="AL332" s="136"/>
      <c r="AM332" s="136"/>
      <c r="AN332" s="105">
        <f t="shared" si="144"/>
        <v>0</v>
      </c>
      <c r="AO332" s="143"/>
      <c r="AP332" s="143"/>
      <c r="AQ332" s="143"/>
      <c r="AR332" s="143"/>
      <c r="AS332" s="146"/>
      <c r="AT332" s="224">
        <f t="shared" si="150"/>
        <v>0</v>
      </c>
      <c r="AU332" s="433"/>
      <c r="AV332" s="433"/>
      <c r="AW332" s="433"/>
      <c r="AX332" s="433"/>
      <c r="AY332" s="433"/>
      <c r="AZ332" s="428"/>
      <c r="BA332" s="433"/>
      <c r="BB332" s="127"/>
      <c r="BC332" s="127"/>
      <c r="BD332" s="127"/>
      <c r="BE332" s="126"/>
      <c r="BF332" s="222">
        <f t="shared" si="146"/>
        <v>0</v>
      </c>
      <c r="BG332" s="140">
        <f t="shared" si="147"/>
        <v>0</v>
      </c>
      <c r="BH332" s="132"/>
      <c r="BI332" s="140">
        <f t="shared" si="148"/>
        <v>0</v>
      </c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30">
        <f t="shared" si="149"/>
        <v>0</v>
      </c>
      <c r="BX332" s="132"/>
    </row>
    <row r="333" ht="14.25" customHeight="1">
      <c r="A333" s="132"/>
      <c r="B333" s="512">
        <v>46322</v>
      </c>
      <c r="C333" s="133"/>
      <c r="D333" s="136"/>
      <c r="E333" s="135"/>
      <c r="F333" s="135"/>
      <c r="G333" s="147">
        <f t="shared" si="141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42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03">
        <f t="shared" si="143"/>
        <v>0</v>
      </c>
      <c r="AK333" s="136"/>
      <c r="AL333" s="136"/>
      <c r="AM333" s="136"/>
      <c r="AN333" s="105">
        <f t="shared" si="144"/>
        <v>0</v>
      </c>
      <c r="AO333" s="143"/>
      <c r="AP333" s="143"/>
      <c r="AQ333" s="143"/>
      <c r="AR333" s="143"/>
      <c r="AS333" s="146"/>
      <c r="AT333" s="224">
        <f t="shared" si="150"/>
        <v>0</v>
      </c>
      <c r="AU333" s="433"/>
      <c r="AV333" s="433"/>
      <c r="AW333" s="433"/>
      <c r="AX333" s="433"/>
      <c r="AY333" s="433"/>
      <c r="AZ333" s="428"/>
      <c r="BA333" s="433"/>
      <c r="BB333" s="127"/>
      <c r="BC333" s="127"/>
      <c r="BD333" s="127"/>
      <c r="BE333" s="126"/>
      <c r="BF333" s="222">
        <f t="shared" si="146"/>
        <v>0</v>
      </c>
      <c r="BG333" s="140">
        <f t="shared" si="147"/>
        <v>0</v>
      </c>
      <c r="BH333" s="132"/>
      <c r="BI333" s="140">
        <f t="shared" si="148"/>
        <v>0</v>
      </c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30">
        <f t="shared" si="149"/>
        <v>0</v>
      </c>
      <c r="BX333" s="132"/>
    </row>
    <row r="334" ht="14.25" customHeight="1">
      <c r="A334" s="132"/>
      <c r="B334" s="512">
        <v>46323</v>
      </c>
      <c r="C334" s="133"/>
      <c r="D334" s="136"/>
      <c r="E334" s="135"/>
      <c r="F334" s="135"/>
      <c r="G334" s="147">
        <f t="shared" si="141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03">
        <f t="shared" si="142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03">
        <f t="shared" si="143"/>
        <v>0</v>
      </c>
      <c r="AK334" s="136"/>
      <c r="AL334" s="136"/>
      <c r="AM334" s="136"/>
      <c r="AN334" s="105">
        <f t="shared" si="144"/>
        <v>0</v>
      </c>
      <c r="AO334" s="143"/>
      <c r="AP334" s="143"/>
      <c r="AQ334" s="143"/>
      <c r="AR334" s="143"/>
      <c r="AS334" s="146"/>
      <c r="AT334" s="224">
        <f t="shared" si="150"/>
        <v>0</v>
      </c>
      <c r="AU334" s="433"/>
      <c r="AV334" s="433"/>
      <c r="AW334" s="433"/>
      <c r="AX334" s="433"/>
      <c r="AY334" s="433"/>
      <c r="AZ334" s="428"/>
      <c r="BA334" s="433"/>
      <c r="BB334" s="127"/>
      <c r="BC334" s="127"/>
      <c r="BD334" s="127"/>
      <c r="BE334" s="126"/>
      <c r="BF334" s="222">
        <f t="shared" si="146"/>
        <v>0</v>
      </c>
      <c r="BG334" s="140">
        <f t="shared" si="147"/>
        <v>0</v>
      </c>
      <c r="BH334" s="132"/>
      <c r="BI334" s="140">
        <f t="shared" si="148"/>
        <v>0</v>
      </c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30">
        <f t="shared" si="149"/>
        <v>0</v>
      </c>
      <c r="BX334" s="132"/>
    </row>
    <row r="335" ht="14.25" customHeight="1">
      <c r="A335" s="132"/>
      <c r="B335" s="512">
        <v>46324</v>
      </c>
      <c r="C335" s="133"/>
      <c r="D335" s="136"/>
      <c r="E335" s="135"/>
      <c r="F335" s="135"/>
      <c r="G335" s="147">
        <f t="shared" si="141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42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03">
        <f t="shared" si="143"/>
        <v>0</v>
      </c>
      <c r="AK335" s="136"/>
      <c r="AL335" s="136"/>
      <c r="AM335" s="136"/>
      <c r="AN335" s="105">
        <f t="shared" si="144"/>
        <v>0</v>
      </c>
      <c r="AO335" s="143"/>
      <c r="AP335" s="143"/>
      <c r="AQ335" s="143"/>
      <c r="AR335" s="143"/>
      <c r="AS335" s="146"/>
      <c r="AT335" s="224">
        <f t="shared" si="150"/>
        <v>0</v>
      </c>
      <c r="AU335" s="433"/>
      <c r="AV335" s="433"/>
      <c r="AW335" s="433"/>
      <c r="AX335" s="433"/>
      <c r="AY335" s="433"/>
      <c r="AZ335" s="428"/>
      <c r="BA335" s="433"/>
      <c r="BB335" s="127"/>
      <c r="BC335" s="127"/>
      <c r="BD335" s="127"/>
      <c r="BE335" s="126"/>
      <c r="BF335" s="222">
        <f t="shared" si="146"/>
        <v>0</v>
      </c>
      <c r="BG335" s="140">
        <f t="shared" si="147"/>
        <v>0</v>
      </c>
      <c r="BH335" s="132"/>
      <c r="BI335" s="140">
        <f t="shared" si="148"/>
        <v>0</v>
      </c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30">
        <f t="shared" si="149"/>
        <v>0</v>
      </c>
      <c r="BX335" s="132"/>
    </row>
    <row r="336" ht="14.25" customHeight="1">
      <c r="A336" s="132"/>
      <c r="B336" s="512">
        <v>46325</v>
      </c>
      <c r="C336" s="133"/>
      <c r="D336" s="136"/>
      <c r="E336" s="135"/>
      <c r="F336" s="135"/>
      <c r="G336" s="147">
        <f t="shared" si="141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42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03">
        <f t="shared" si="143"/>
        <v>0</v>
      </c>
      <c r="AK336" s="136"/>
      <c r="AL336" s="136"/>
      <c r="AM336" s="136"/>
      <c r="AN336" s="105">
        <f t="shared" si="144"/>
        <v>0</v>
      </c>
      <c r="AO336" s="143"/>
      <c r="AP336" s="143"/>
      <c r="AQ336" s="143"/>
      <c r="AR336" s="143"/>
      <c r="AS336" s="146"/>
      <c r="AT336" s="224">
        <f ref="AT336:AT337" t="shared" si="151">+G336-U336-AJ336-AN336-AO336-AQ336-AR336-AS336</f>
        <v>0</v>
      </c>
      <c r="AU336" s="433"/>
      <c r="AV336" s="433"/>
      <c r="AW336" s="433"/>
      <c r="AX336" s="433"/>
      <c r="AY336" s="433"/>
      <c r="AZ336" s="428"/>
      <c r="BA336" s="433"/>
      <c r="BB336" s="127"/>
      <c r="BC336" s="127"/>
      <c r="BD336" s="127"/>
      <c r="BE336" s="126"/>
      <c r="BF336" s="222">
        <f t="shared" si="146"/>
        <v>0</v>
      </c>
      <c r="BG336" s="140">
        <f t="shared" si="147"/>
        <v>0</v>
      </c>
      <c r="BH336" s="132"/>
      <c r="BI336" s="140">
        <f t="shared" si="148"/>
        <v>0</v>
      </c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30">
        <f t="shared" si="149"/>
        <v>0</v>
      </c>
      <c r="BX336" s="132"/>
    </row>
    <row r="337" ht="14.25" customHeight="1">
      <c r="A337" s="132"/>
      <c r="B337" s="512">
        <v>46326</v>
      </c>
      <c r="C337" s="153"/>
      <c r="D337" s="159"/>
      <c r="E337" s="156"/>
      <c r="F337" s="156"/>
      <c r="G337" s="147">
        <f t="shared" si="141"/>
        <v>0</v>
      </c>
      <c r="H337" s="612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03">
        <f t="shared" si="142"/>
        <v>0</v>
      </c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57"/>
      <c r="AI337" s="157"/>
      <c r="AJ337" s="103">
        <f t="shared" si="143"/>
        <v>0</v>
      </c>
      <c r="AK337" s="159"/>
      <c r="AL337" s="159"/>
      <c r="AM337" s="159"/>
      <c r="AN337" s="105">
        <f t="shared" si="144"/>
        <v>0</v>
      </c>
      <c r="AO337" s="157"/>
      <c r="AP337" s="157"/>
      <c r="AQ337" s="157"/>
      <c r="AR337" s="157"/>
      <c r="AS337" s="160"/>
      <c r="AT337" s="224">
        <f t="shared" si="151"/>
        <v>0</v>
      </c>
      <c r="AU337" s="435"/>
      <c r="AV337" s="435"/>
      <c r="AW337" s="435"/>
      <c r="AX337" s="435"/>
      <c r="AY337" s="435"/>
      <c r="AZ337" s="428"/>
      <c r="BA337" s="435"/>
      <c r="BB337" s="127"/>
      <c r="BC337" s="127"/>
      <c r="BD337" s="127"/>
      <c r="BE337" s="126"/>
      <c r="BF337" s="222">
        <f t="shared" si="146"/>
        <v>0</v>
      </c>
      <c r="BG337" s="162">
        <f t="shared" si="147"/>
        <v>0</v>
      </c>
      <c r="BH337" s="132"/>
      <c r="BI337" s="162">
        <f t="shared" si="148"/>
        <v>0</v>
      </c>
      <c r="BJ337" s="163"/>
      <c r="BK337" s="163"/>
      <c r="BL337" s="163"/>
      <c r="BM337" s="163"/>
      <c r="BN337" s="163"/>
      <c r="BO337" s="163"/>
      <c r="BP337" s="163"/>
      <c r="BQ337" s="163"/>
      <c r="BR337" s="163"/>
      <c r="BS337" s="141"/>
      <c r="BT337" s="163"/>
      <c r="BU337" s="163"/>
      <c r="BV337" s="163"/>
      <c r="BW337" s="164">
        <f t="shared" si="149"/>
        <v>0</v>
      </c>
      <c r="BX337" s="132"/>
    </row>
    <row r="338" ht="14.25" customHeight="1">
      <c r="A338" s="3"/>
      <c r="B338" s="2"/>
      <c r="C338" s="166">
        <f ref="C338:N338" t="shared" si="152">SUM(C307:C337)</f>
        <v>0</v>
      </c>
      <c r="D338" s="166">
        <f t="shared" si="152"/>
        <v>0</v>
      </c>
      <c r="E338" s="166">
        <f t="shared" si="152"/>
        <v>0</v>
      </c>
      <c r="F338" s="166">
        <f t="shared" si="152"/>
        <v>0</v>
      </c>
      <c r="G338" s="166">
        <f t="shared" si="152"/>
        <v>0</v>
      </c>
      <c r="H338" s="166">
        <f t="shared" si="152"/>
        <v>0</v>
      </c>
      <c r="I338" s="166">
        <f t="shared" si="152"/>
        <v>0</v>
      </c>
      <c r="J338" s="166">
        <f t="shared" si="152"/>
        <v>0</v>
      </c>
      <c r="K338" s="166">
        <f t="shared" si="152"/>
        <v>0</v>
      </c>
      <c r="L338" s="166">
        <f t="shared" si="152"/>
        <v>0</v>
      </c>
      <c r="M338" s="166">
        <f t="shared" si="152"/>
        <v>0</v>
      </c>
      <c r="N338" s="166">
        <f t="shared" si="152"/>
        <v>0</v>
      </c>
      <c r="O338" s="166"/>
      <c r="P338" s="166">
        <f ref="P338:AL338" t="shared" si="153">SUM(P307:P337)</f>
        <v>0</v>
      </c>
      <c r="Q338" s="166">
        <f t="shared" si="153"/>
        <v>0</v>
      </c>
      <c r="R338" s="166">
        <f t="shared" si="153"/>
        <v>0</v>
      </c>
      <c r="S338" s="166">
        <f t="shared" si="153"/>
        <v>0</v>
      </c>
      <c r="T338" s="166">
        <f t="shared" si="153"/>
        <v>0</v>
      </c>
      <c r="U338" s="166">
        <f t="shared" si="153"/>
        <v>0</v>
      </c>
      <c r="V338" s="166">
        <f t="shared" si="153"/>
        <v>0</v>
      </c>
      <c r="W338" s="166">
        <f t="shared" si="153"/>
        <v>0</v>
      </c>
      <c r="X338" s="166">
        <f t="shared" si="153"/>
        <v>0</v>
      </c>
      <c r="Y338" s="166">
        <f t="shared" si="153"/>
        <v>0</v>
      </c>
      <c r="Z338" s="166">
        <f t="shared" si="153"/>
        <v>0</v>
      </c>
      <c r="AA338" s="166">
        <f t="shared" si="153"/>
        <v>0</v>
      </c>
      <c r="AB338" s="166">
        <f t="shared" si="153"/>
        <v>0</v>
      </c>
      <c r="AC338" s="166">
        <f t="shared" si="153"/>
        <v>0</v>
      </c>
      <c r="AD338" s="166">
        <f t="shared" si="153"/>
        <v>0</v>
      </c>
      <c r="AE338" s="166">
        <f t="shared" si="153"/>
        <v>0</v>
      </c>
      <c r="AF338" s="166">
        <f t="shared" si="153"/>
        <v>0</v>
      </c>
      <c r="AG338" s="166">
        <f t="shared" si="153"/>
        <v>0</v>
      </c>
      <c r="AH338" s="166">
        <f t="shared" si="153"/>
        <v>0</v>
      </c>
      <c r="AI338" s="166">
        <f t="shared" si="153"/>
        <v>0</v>
      </c>
      <c r="AJ338" s="166">
        <f t="shared" si="153"/>
        <v>0</v>
      </c>
      <c r="AK338" s="166">
        <f t="shared" si="153"/>
        <v>0</v>
      </c>
      <c r="AL338" s="166">
        <f t="shared" si="153"/>
        <v>0</v>
      </c>
      <c r="AM338" s="166"/>
      <c r="AN338" s="166">
        <f ref="AN338:BG338" t="shared" si="154">SUM(AN307:AN337)</f>
        <v>0</v>
      </c>
      <c r="AO338" s="166">
        <f t="shared" si="154"/>
        <v>0</v>
      </c>
      <c r="AP338" s="166">
        <f t="shared" si="154"/>
        <v>0</v>
      </c>
      <c r="AQ338" s="166">
        <f t="shared" si="154"/>
        <v>0</v>
      </c>
      <c r="AR338" s="166">
        <f t="shared" si="154"/>
        <v>0</v>
      </c>
      <c r="AS338" s="166">
        <f t="shared" si="154"/>
        <v>0</v>
      </c>
      <c r="AT338" s="166">
        <f t="shared" si="154"/>
        <v>0</v>
      </c>
      <c r="AU338" s="165">
        <f t="shared" si="154"/>
        <v>0</v>
      </c>
      <c r="AV338" s="165">
        <f t="shared" si="154"/>
        <v>0</v>
      </c>
      <c r="AW338" s="165">
        <f t="shared" si="154"/>
        <v>0</v>
      </c>
      <c r="AX338" s="165">
        <f t="shared" si="154"/>
        <v>0</v>
      </c>
      <c r="AY338" s="165">
        <f t="shared" si="154"/>
        <v>0</v>
      </c>
      <c r="AZ338" s="165">
        <f t="shared" si="154"/>
        <v>0</v>
      </c>
      <c r="BA338" s="165">
        <f t="shared" si="154"/>
        <v>0</v>
      </c>
      <c r="BB338" s="165">
        <f t="shared" si="154"/>
        <v>0</v>
      </c>
      <c r="BC338" s="165">
        <f t="shared" si="154"/>
        <v>0</v>
      </c>
      <c r="BD338" s="1184">
        <f t="shared" si="154"/>
        <v>0</v>
      </c>
      <c r="BE338" s="165">
        <f t="shared" si="154"/>
        <v>0</v>
      </c>
      <c r="BF338" s="284">
        <f t="shared" si="154"/>
        <v>0</v>
      </c>
      <c r="BG338" s="166">
        <f t="shared" si="154"/>
        <v>0</v>
      </c>
      <c r="BH338" s="3"/>
      <c r="BI338" s="172">
        <f>SUM(BI307:BI337)</f>
        <v>0</v>
      </c>
      <c r="BJ338" s="165"/>
      <c r="BK338" s="165"/>
      <c r="BL338" s="165"/>
      <c r="BM338" s="165"/>
      <c r="BN338" s="165"/>
      <c r="BO338" s="165"/>
      <c r="BP338" s="165"/>
      <c r="BQ338" s="165"/>
      <c r="BR338" s="165"/>
      <c r="BS338" s="165">
        <f ref="BS338:BT338" t="shared" si="155">SUM(BS307:BS337)</f>
        <v>0</v>
      </c>
      <c r="BT338" s="165">
        <f t="shared" si="155"/>
        <v>0</v>
      </c>
      <c r="BU338" s="165"/>
      <c r="BV338" s="165"/>
      <c r="BW338" s="173"/>
      <c r="BX338" s="3"/>
    </row>
    <row r="339" ht="14.25" customHeight="1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4"/>
      <c r="AO339" s="3"/>
      <c r="AP339" s="3"/>
      <c r="AQ339" s="3"/>
      <c r="AR339" s="3"/>
      <c r="AS339" s="3"/>
      <c r="AT339" s="3"/>
      <c r="AU339" s="1"/>
      <c r="AV339" s="1"/>
      <c r="AW339" s="1"/>
      <c r="AX339" s="1"/>
      <c r="AY339" s="1"/>
      <c r="AZ339" s="1"/>
      <c r="BA339" s="1"/>
      <c r="BB339" s="3"/>
      <c r="BC339" s="3"/>
      <c r="BD339" s="3"/>
      <c r="BE339" s="3"/>
      <c r="BF339" s="4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176"/>
      <c r="AK340" s="3"/>
      <c r="AL340" s="3"/>
      <c r="AM340" s="3"/>
      <c r="AN340" s="4"/>
      <c r="AO340" s="3"/>
      <c r="AP340" s="3"/>
      <c r="AQ340" s="3"/>
      <c r="AR340" s="3"/>
      <c r="AS340" s="3"/>
      <c r="AT340" s="3"/>
      <c r="AU340" s="1"/>
      <c r="AV340" s="1"/>
      <c r="AW340" s="1"/>
      <c r="AX340" s="1"/>
      <c r="AY340" s="1"/>
      <c r="AZ340" s="1"/>
      <c r="BA340" s="1"/>
      <c r="BB340" s="3"/>
      <c r="BC340" s="3"/>
      <c r="BD340" s="3"/>
      <c r="BE340" s="3"/>
      <c r="BF340" s="305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</row>
    <row r="341" ht="14.25" customHeight="1">
      <c r="A341" s="3"/>
      <c r="B341" s="512">
        <v>46327</v>
      </c>
      <c r="C341" s="94"/>
      <c r="D341" s="104"/>
      <c r="E341" s="97"/>
      <c r="F341" s="97"/>
      <c r="G341" s="265">
        <f ref="G341:G370" t="shared" si="156">+C341+D341+E341+F341</f>
        <v>0</v>
      </c>
      <c r="H341" s="187"/>
      <c r="I341" s="186"/>
      <c r="J341" s="186"/>
      <c r="K341" s="186"/>
      <c r="L341" s="186"/>
      <c r="M341" s="186"/>
      <c r="N341" s="186"/>
      <c r="O341" s="186"/>
      <c r="P341" s="186"/>
      <c r="Q341" s="186"/>
      <c r="R341" s="186"/>
      <c r="S341" s="186"/>
      <c r="T341" s="186"/>
      <c r="U341" s="103">
        <f ref="U341:U370" t="shared" si="157">SUM(H341:T341)</f>
        <v>0</v>
      </c>
      <c r="V341" s="186"/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03">
        <f ref="AJ341:AJ370" t="shared" si="158">SUM(V341:AI341)</f>
        <v>0</v>
      </c>
      <c r="AK341" s="104"/>
      <c r="AL341" s="104"/>
      <c r="AM341" s="104"/>
      <c r="AN341" s="191">
        <f ref="AN341:AN370" t="shared" si="159">SUM(AK341:AM341)</f>
        <v>0</v>
      </c>
      <c r="AO341" s="186"/>
      <c r="AP341" s="186"/>
      <c r="AQ341" s="186"/>
      <c r="AR341" s="186"/>
      <c r="AS341" s="193"/>
      <c r="AT341" s="266">
        <f ref="AT341:AT346" t="shared" si="160">+G341-U341-AJ341-AN341-AO341-AQ341-AR341-AS341</f>
        <v>0</v>
      </c>
      <c r="AU341" s="427"/>
      <c r="AV341" s="427"/>
      <c r="AW341" s="427"/>
      <c r="AX341" s="427"/>
      <c r="AY341" s="427"/>
      <c r="AZ341" s="428"/>
      <c r="BA341" s="427"/>
      <c r="BB341" s="127"/>
      <c r="BC341" s="127"/>
      <c r="BD341" s="127"/>
      <c r="BE341" s="109"/>
      <c r="BF341" s="222">
        <f ref="BF341:BF370" t="shared" si="161">SUM(AU341:BE341)-BD341</f>
        <v>0</v>
      </c>
      <c r="BG341" s="114">
        <f ref="BG341:BG370" t="shared" si="162">+AT341-BF341</f>
        <v>0</v>
      </c>
      <c r="BH341" s="3"/>
      <c r="BI341" s="114">
        <f ref="BI341:BI370" t="shared" si="163">SUM(BJ341:BV341)</f>
        <v>0</v>
      </c>
      <c r="BJ341" s="115"/>
      <c r="BK341" s="115"/>
      <c r="BL341" s="115"/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115"/>
      <c r="BW341" s="116">
        <f ref="BW341:BW370" t="shared" si="164">+BG341-BI341</f>
        <v>0</v>
      </c>
      <c r="BX341" s="3"/>
    </row>
    <row r="342" ht="14.25" customHeight="1">
      <c r="A342" s="3"/>
      <c r="B342" s="512">
        <v>46328</v>
      </c>
      <c r="C342" s="118"/>
      <c r="D342" s="123"/>
      <c r="E342" s="120"/>
      <c r="F342" s="120"/>
      <c r="G342" s="147">
        <f t="shared" si="156"/>
        <v>0</v>
      </c>
      <c r="H342" s="144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03">
        <f t="shared" si="157"/>
        <v>0</v>
      </c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43"/>
      <c r="AJ342" s="103">
        <f t="shared" si="158"/>
        <v>0</v>
      </c>
      <c r="AK342" s="123"/>
      <c r="AL342" s="123"/>
      <c r="AM342" s="123"/>
      <c r="AN342" s="105">
        <f t="shared" si="159"/>
        <v>0</v>
      </c>
      <c r="AO342" s="143"/>
      <c r="AP342" s="143"/>
      <c r="AQ342" s="143"/>
      <c r="AR342" s="143"/>
      <c r="AS342" s="146"/>
      <c r="AT342" s="224">
        <f t="shared" si="160"/>
        <v>0</v>
      </c>
      <c r="AU342" s="433"/>
      <c r="AV342" s="433"/>
      <c r="AW342" s="433"/>
      <c r="AX342" s="433"/>
      <c r="AY342" s="433"/>
      <c r="AZ342" s="428"/>
      <c r="BA342" s="433"/>
      <c r="BB342" s="127"/>
      <c r="BC342" s="127"/>
      <c r="BD342" s="127"/>
      <c r="BE342" s="126"/>
      <c r="BF342" s="222">
        <f t="shared" si="161"/>
        <v>0</v>
      </c>
      <c r="BG342" s="113">
        <f t="shared" si="162"/>
        <v>0</v>
      </c>
      <c r="BH342" s="3"/>
      <c r="BI342" s="113">
        <f t="shared" si="163"/>
        <v>0</v>
      </c>
      <c r="BJ342" s="129"/>
      <c r="BK342" s="129"/>
      <c r="BL342" s="129"/>
      <c r="BM342" s="129"/>
      <c r="BN342" s="129"/>
      <c r="BO342" s="129"/>
      <c r="BP342" s="129"/>
      <c r="BQ342" s="129"/>
      <c r="BR342" s="129"/>
      <c r="BS342" s="129"/>
      <c r="BT342" s="129"/>
      <c r="BU342" s="129"/>
      <c r="BV342" s="129"/>
      <c r="BW342" s="130">
        <f t="shared" si="164"/>
        <v>0</v>
      </c>
      <c r="BX342" s="3"/>
    </row>
    <row r="343" ht="14.25" customHeight="1">
      <c r="A343" s="132"/>
      <c r="B343" s="512">
        <v>46329</v>
      </c>
      <c r="C343" s="133"/>
      <c r="D343" s="136"/>
      <c r="E343" s="135"/>
      <c r="F343" s="135"/>
      <c r="G343" s="147">
        <f t="shared" si="156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03">
        <f t="shared" si="157"/>
        <v>0</v>
      </c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03">
        <f t="shared" si="158"/>
        <v>0</v>
      </c>
      <c r="AK343" s="136"/>
      <c r="AL343" s="136"/>
      <c r="AM343" s="136"/>
      <c r="AN343" s="105">
        <f t="shared" si="159"/>
        <v>0</v>
      </c>
      <c r="AO343" s="143"/>
      <c r="AP343" s="143"/>
      <c r="AQ343" s="143"/>
      <c r="AR343" s="143"/>
      <c r="AS343" s="146"/>
      <c r="AT343" s="224">
        <f t="shared" si="160"/>
        <v>0</v>
      </c>
      <c r="AU343" s="433"/>
      <c r="AV343" s="433"/>
      <c r="AW343" s="433"/>
      <c r="AX343" s="433"/>
      <c r="AY343" s="433"/>
      <c r="AZ343" s="428"/>
      <c r="BA343" s="433"/>
      <c r="BB343" s="127"/>
      <c r="BC343" s="127"/>
      <c r="BD343" s="127"/>
      <c r="BE343" s="126"/>
      <c r="BF343" s="222">
        <f t="shared" si="161"/>
        <v>0</v>
      </c>
      <c r="BG343" s="140">
        <f t="shared" si="162"/>
        <v>0</v>
      </c>
      <c r="BH343" s="132"/>
      <c r="BI343" s="140">
        <f t="shared" si="163"/>
        <v>0</v>
      </c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41"/>
      <c r="BW343" s="130">
        <f t="shared" si="164"/>
        <v>0</v>
      </c>
      <c r="BX343" s="132"/>
    </row>
    <row r="344" ht="14.25" customHeight="1">
      <c r="A344" s="132"/>
      <c r="B344" s="512">
        <v>46330</v>
      </c>
      <c r="C344" s="133"/>
      <c r="D344" s="136"/>
      <c r="E344" s="135"/>
      <c r="F344" s="135"/>
      <c r="G344" s="147">
        <f t="shared" si="156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57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03">
        <f t="shared" si="158"/>
        <v>0</v>
      </c>
      <c r="AK344" s="136"/>
      <c r="AL344" s="136"/>
      <c r="AM344" s="136"/>
      <c r="AN344" s="105">
        <f t="shared" si="159"/>
        <v>0</v>
      </c>
      <c r="AO344" s="143"/>
      <c r="AP344" s="143"/>
      <c r="AQ344" s="143"/>
      <c r="AR344" s="143"/>
      <c r="AS344" s="146"/>
      <c r="AT344" s="224">
        <f t="shared" si="160"/>
        <v>0</v>
      </c>
      <c r="AU344" s="433"/>
      <c r="AV344" s="433"/>
      <c r="AW344" s="433"/>
      <c r="AX344" s="433"/>
      <c r="AY344" s="433"/>
      <c r="AZ344" s="428"/>
      <c r="BA344" s="433"/>
      <c r="BB344" s="127"/>
      <c r="BC344" s="127"/>
      <c r="BD344" s="127"/>
      <c r="BE344" s="126"/>
      <c r="BF344" s="222">
        <f t="shared" si="161"/>
        <v>0</v>
      </c>
      <c r="BG344" s="140">
        <f t="shared" si="162"/>
        <v>0</v>
      </c>
      <c r="BH344" s="132"/>
      <c r="BI344" s="140">
        <f t="shared" si="163"/>
        <v>0</v>
      </c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41"/>
      <c r="BW344" s="130">
        <f t="shared" si="164"/>
        <v>0</v>
      </c>
      <c r="BX344" s="132"/>
    </row>
    <row r="345" ht="14.25" customHeight="1">
      <c r="A345" s="132"/>
      <c r="B345" s="512">
        <v>46331</v>
      </c>
      <c r="C345" s="133"/>
      <c r="D345" s="136"/>
      <c r="E345" s="135"/>
      <c r="F345" s="135"/>
      <c r="G345" s="147">
        <f t="shared" si="156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57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03">
        <f t="shared" si="158"/>
        <v>0</v>
      </c>
      <c r="AK345" s="136"/>
      <c r="AL345" s="136"/>
      <c r="AM345" s="136"/>
      <c r="AN345" s="105">
        <f t="shared" si="159"/>
        <v>0</v>
      </c>
      <c r="AO345" s="143"/>
      <c r="AP345" s="143"/>
      <c r="AQ345" s="143"/>
      <c r="AR345" s="143"/>
      <c r="AS345" s="146"/>
      <c r="AT345" s="224">
        <f t="shared" si="160"/>
        <v>0</v>
      </c>
      <c r="AU345" s="433"/>
      <c r="AV345" s="433"/>
      <c r="AW345" s="433"/>
      <c r="AX345" s="433"/>
      <c r="AY345" s="433"/>
      <c r="AZ345" s="428"/>
      <c r="BA345" s="433"/>
      <c r="BB345" s="127"/>
      <c r="BC345" s="127"/>
      <c r="BD345" s="127"/>
      <c r="BE345" s="126"/>
      <c r="BF345" s="222">
        <f t="shared" si="161"/>
        <v>0</v>
      </c>
      <c r="BG345" s="140">
        <f t="shared" si="162"/>
        <v>0</v>
      </c>
      <c r="BH345" s="132"/>
      <c r="BI345" s="140">
        <f t="shared" si="163"/>
        <v>0</v>
      </c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41"/>
      <c r="BW345" s="130">
        <f t="shared" si="164"/>
        <v>0</v>
      </c>
      <c r="BX345" s="132"/>
    </row>
    <row r="346" ht="14.25" customHeight="1">
      <c r="A346" s="132"/>
      <c r="B346" s="512">
        <v>46332</v>
      </c>
      <c r="C346" s="133"/>
      <c r="D346" s="136"/>
      <c r="E346" s="135"/>
      <c r="F346" s="135"/>
      <c r="G346" s="147">
        <f t="shared" si="156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57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03">
        <f t="shared" si="158"/>
        <v>0</v>
      </c>
      <c r="AK346" s="136"/>
      <c r="AL346" s="136"/>
      <c r="AM346" s="136"/>
      <c r="AN346" s="105">
        <f t="shared" si="159"/>
        <v>0</v>
      </c>
      <c r="AO346" s="143"/>
      <c r="AP346" s="143"/>
      <c r="AQ346" s="143"/>
      <c r="AR346" s="143"/>
      <c r="AS346" s="146"/>
      <c r="AT346" s="224">
        <f t="shared" si="160"/>
        <v>0</v>
      </c>
      <c r="AU346" s="433"/>
      <c r="AV346" s="433"/>
      <c r="AW346" s="433"/>
      <c r="AX346" s="433"/>
      <c r="AY346" s="433"/>
      <c r="AZ346" s="428"/>
      <c r="BA346" s="433"/>
      <c r="BB346" s="127"/>
      <c r="BC346" s="127"/>
      <c r="BD346" s="127"/>
      <c r="BE346" s="126"/>
      <c r="BF346" s="222">
        <f t="shared" si="161"/>
        <v>0</v>
      </c>
      <c r="BG346" s="140">
        <f t="shared" si="162"/>
        <v>0</v>
      </c>
      <c r="BH346" s="132"/>
      <c r="BI346" s="140">
        <f t="shared" si="163"/>
        <v>0</v>
      </c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41"/>
      <c r="BW346" s="130">
        <f t="shared" si="164"/>
        <v>0</v>
      </c>
      <c r="BX346" s="132"/>
    </row>
    <row r="347" ht="14.25" customHeight="1">
      <c r="A347" s="132"/>
      <c r="B347" s="512">
        <v>46333</v>
      </c>
      <c r="C347" s="133"/>
      <c r="D347" s="136"/>
      <c r="E347" s="135"/>
      <c r="F347" s="135"/>
      <c r="G347" s="147">
        <f t="shared" si="156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57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03">
        <f t="shared" si="158"/>
        <v>0</v>
      </c>
      <c r="AK347" s="136"/>
      <c r="AL347" s="136"/>
      <c r="AM347" s="136"/>
      <c r="AN347" s="105">
        <f t="shared" si="159"/>
        <v>0</v>
      </c>
      <c r="AO347" s="143"/>
      <c r="AP347" s="143"/>
      <c r="AQ347" s="143"/>
      <c r="AR347" s="143"/>
      <c r="AS347" s="146"/>
      <c r="AT347" s="224">
        <f>+G347-U347-AJ347-AN347-AO347-AQ347-AR347-AS347-AP347</f>
        <v>0</v>
      </c>
      <c r="AU347" s="433"/>
      <c r="AV347" s="433"/>
      <c r="AW347" s="433"/>
      <c r="AX347" s="433"/>
      <c r="AY347" s="433"/>
      <c r="AZ347" s="428"/>
      <c r="BA347" s="433"/>
      <c r="BB347" s="127"/>
      <c r="BC347" s="127"/>
      <c r="BD347" s="127"/>
      <c r="BE347" s="126"/>
      <c r="BF347" s="222">
        <f t="shared" si="161"/>
        <v>0</v>
      </c>
      <c r="BG347" s="140">
        <f t="shared" si="162"/>
        <v>0</v>
      </c>
      <c r="BH347" s="132"/>
      <c r="BI347" s="140">
        <f t="shared" si="163"/>
        <v>0</v>
      </c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30">
        <f t="shared" si="164"/>
        <v>0</v>
      </c>
      <c r="BX347" s="132"/>
    </row>
    <row r="348" ht="14.25" customHeight="1">
      <c r="A348" s="132"/>
      <c r="B348" s="512">
        <v>46334</v>
      </c>
      <c r="C348" s="133"/>
      <c r="D348" s="136"/>
      <c r="E348" s="135"/>
      <c r="F348" s="135"/>
      <c r="G348" s="147">
        <f t="shared" si="156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57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03">
        <f t="shared" si="158"/>
        <v>0</v>
      </c>
      <c r="AK348" s="136"/>
      <c r="AL348" s="136"/>
      <c r="AM348" s="136"/>
      <c r="AN348" s="105">
        <f t="shared" si="159"/>
        <v>0</v>
      </c>
      <c r="AO348" s="143"/>
      <c r="AP348" s="143"/>
      <c r="AQ348" s="143"/>
      <c r="AR348" s="143"/>
      <c r="AS348" s="146"/>
      <c r="AT348" s="224">
        <f ref="AT348:AT370" t="shared" si="165">+G348-U348-AJ348-AN348-AO348-AQ348-AR348-AS348</f>
        <v>0</v>
      </c>
      <c r="AU348" s="433"/>
      <c r="AV348" s="433"/>
      <c r="AW348" s="433"/>
      <c r="AX348" s="433"/>
      <c r="AY348" s="433"/>
      <c r="AZ348" s="428"/>
      <c r="BA348" s="433"/>
      <c r="BB348" s="127"/>
      <c r="BC348" s="127"/>
      <c r="BD348" s="127"/>
      <c r="BE348" s="126"/>
      <c r="BF348" s="222">
        <f t="shared" si="161"/>
        <v>0</v>
      </c>
      <c r="BG348" s="140">
        <f t="shared" si="162"/>
        <v>0</v>
      </c>
      <c r="BH348" s="132"/>
      <c r="BI348" s="140">
        <f t="shared" si="163"/>
        <v>0</v>
      </c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30">
        <f t="shared" si="164"/>
        <v>0</v>
      </c>
      <c r="BX348" s="132"/>
    </row>
    <row r="349" ht="14.25" customHeight="1">
      <c r="A349" s="132"/>
      <c r="B349" s="512">
        <v>46335</v>
      </c>
      <c r="C349" s="133"/>
      <c r="D349" s="136"/>
      <c r="E349" s="135"/>
      <c r="F349" s="135"/>
      <c r="G349" s="147">
        <f t="shared" si="156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57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03">
        <f t="shared" si="158"/>
        <v>0</v>
      </c>
      <c r="AK349" s="136"/>
      <c r="AL349" s="136"/>
      <c r="AM349" s="136"/>
      <c r="AN349" s="105">
        <f t="shared" si="159"/>
        <v>0</v>
      </c>
      <c r="AO349" s="143"/>
      <c r="AP349" s="143"/>
      <c r="AQ349" s="143"/>
      <c r="AR349" s="143"/>
      <c r="AS349" s="146"/>
      <c r="AT349" s="224">
        <f t="shared" si="165"/>
        <v>0</v>
      </c>
      <c r="AU349" s="433"/>
      <c r="AV349" s="433"/>
      <c r="AW349" s="433"/>
      <c r="AX349" s="433"/>
      <c r="AY349" s="433"/>
      <c r="AZ349" s="428"/>
      <c r="BA349" s="433"/>
      <c r="BB349" s="127"/>
      <c r="BC349" s="127"/>
      <c r="BD349" s="127"/>
      <c r="BE349" s="126"/>
      <c r="BF349" s="222">
        <f t="shared" si="161"/>
        <v>0</v>
      </c>
      <c r="BG349" s="140">
        <f t="shared" si="162"/>
        <v>0</v>
      </c>
      <c r="BH349" s="132"/>
      <c r="BI349" s="140">
        <f t="shared" si="163"/>
        <v>0</v>
      </c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30">
        <f t="shared" si="164"/>
        <v>0</v>
      </c>
      <c r="BX349" s="132"/>
    </row>
    <row r="350" ht="14.25" customHeight="1">
      <c r="A350" s="132"/>
      <c r="B350" s="512">
        <v>46336</v>
      </c>
      <c r="C350" s="133"/>
      <c r="D350" s="136"/>
      <c r="E350" s="135"/>
      <c r="F350" s="135"/>
      <c r="G350" s="147">
        <f t="shared" si="156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57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03">
        <f t="shared" si="158"/>
        <v>0</v>
      </c>
      <c r="AK350" s="136"/>
      <c r="AL350" s="136"/>
      <c r="AM350" s="136"/>
      <c r="AN350" s="105">
        <f t="shared" si="159"/>
        <v>0</v>
      </c>
      <c r="AO350" s="143"/>
      <c r="AP350" s="143"/>
      <c r="AQ350" s="143"/>
      <c r="AR350" s="143"/>
      <c r="AS350" s="146"/>
      <c r="AT350" s="224">
        <f t="shared" si="165"/>
        <v>0</v>
      </c>
      <c r="AU350" s="433"/>
      <c r="AV350" s="433"/>
      <c r="AW350" s="433"/>
      <c r="AX350" s="433"/>
      <c r="AY350" s="433"/>
      <c r="AZ350" s="428"/>
      <c r="BA350" s="433"/>
      <c r="BB350" s="127"/>
      <c r="BC350" s="127"/>
      <c r="BD350" s="127"/>
      <c r="BE350" s="126"/>
      <c r="BF350" s="222">
        <f t="shared" si="161"/>
        <v>0</v>
      </c>
      <c r="BG350" s="140">
        <f t="shared" si="162"/>
        <v>0</v>
      </c>
      <c r="BH350" s="132"/>
      <c r="BI350" s="140">
        <f t="shared" si="163"/>
        <v>0</v>
      </c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30">
        <f t="shared" si="164"/>
        <v>0</v>
      </c>
      <c r="BX350" s="132"/>
    </row>
    <row r="351" ht="14.25" customHeight="1">
      <c r="A351" s="132"/>
      <c r="B351" s="512">
        <v>46337</v>
      </c>
      <c r="C351" s="133"/>
      <c r="D351" s="136"/>
      <c r="E351" s="135"/>
      <c r="F351" s="135"/>
      <c r="G351" s="147">
        <f t="shared" si="156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57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03">
        <f t="shared" si="158"/>
        <v>0</v>
      </c>
      <c r="AK351" s="136"/>
      <c r="AL351" s="136"/>
      <c r="AM351" s="136"/>
      <c r="AN351" s="105">
        <f t="shared" si="159"/>
        <v>0</v>
      </c>
      <c r="AO351" s="143"/>
      <c r="AP351" s="143"/>
      <c r="AQ351" s="143"/>
      <c r="AR351" s="143"/>
      <c r="AS351" s="146"/>
      <c r="AT351" s="224">
        <f t="shared" si="165"/>
        <v>0</v>
      </c>
      <c r="AU351" s="433"/>
      <c r="AV351" s="433"/>
      <c r="AW351" s="433"/>
      <c r="AX351" s="433"/>
      <c r="AY351" s="433"/>
      <c r="AZ351" s="428"/>
      <c r="BA351" s="433"/>
      <c r="BB351" s="127"/>
      <c r="BC351" s="127"/>
      <c r="BD351" s="127"/>
      <c r="BE351" s="126"/>
      <c r="BF351" s="222">
        <f t="shared" si="161"/>
        <v>0</v>
      </c>
      <c r="BG351" s="140">
        <f t="shared" si="162"/>
        <v>0</v>
      </c>
      <c r="BH351" s="132"/>
      <c r="BI351" s="140">
        <f t="shared" si="163"/>
        <v>0</v>
      </c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30">
        <f t="shared" si="164"/>
        <v>0</v>
      </c>
      <c r="BX351" s="132"/>
    </row>
    <row r="352" ht="14.25" customHeight="1">
      <c r="A352" s="132"/>
      <c r="B352" s="512">
        <v>46338</v>
      </c>
      <c r="C352" s="133"/>
      <c r="D352" s="136"/>
      <c r="E352" s="135"/>
      <c r="F352" s="135"/>
      <c r="G352" s="147">
        <f t="shared" si="156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57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03">
        <f t="shared" si="158"/>
        <v>0</v>
      </c>
      <c r="AK352" s="136"/>
      <c r="AL352" s="136"/>
      <c r="AM352" s="132"/>
      <c r="AN352" s="105">
        <f t="shared" si="159"/>
        <v>0</v>
      </c>
      <c r="AO352" s="143"/>
      <c r="AP352" s="143"/>
      <c r="AQ352" s="143"/>
      <c r="AR352" s="143"/>
      <c r="AS352" s="146"/>
      <c r="AT352" s="224">
        <f t="shared" si="165"/>
        <v>0</v>
      </c>
      <c r="AU352" s="433"/>
      <c r="AV352" s="433"/>
      <c r="AW352" s="433"/>
      <c r="AX352" s="433"/>
      <c r="AY352" s="433"/>
      <c r="AZ352" s="428"/>
      <c r="BA352" s="433"/>
      <c r="BB352" s="127"/>
      <c r="BC352" s="127"/>
      <c r="BD352" s="127"/>
      <c r="BE352" s="126"/>
      <c r="BF352" s="222">
        <f t="shared" si="161"/>
        <v>0</v>
      </c>
      <c r="BG352" s="140">
        <f t="shared" si="162"/>
        <v>0</v>
      </c>
      <c r="BH352" s="132"/>
      <c r="BI352" s="140">
        <f t="shared" si="163"/>
        <v>0</v>
      </c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30">
        <f t="shared" si="164"/>
        <v>0</v>
      </c>
      <c r="BX352" s="132"/>
    </row>
    <row r="353" ht="14.25" customHeight="1">
      <c r="A353" s="132"/>
      <c r="B353" s="512">
        <v>46339</v>
      </c>
      <c r="C353" s="133"/>
      <c r="D353" s="136"/>
      <c r="E353" s="135"/>
      <c r="F353" s="135"/>
      <c r="G353" s="147">
        <f t="shared" si="156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57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03">
        <f t="shared" si="158"/>
        <v>0</v>
      </c>
      <c r="AK353" s="136"/>
      <c r="AL353" s="136"/>
      <c r="AM353" s="136"/>
      <c r="AN353" s="105">
        <f t="shared" si="159"/>
        <v>0</v>
      </c>
      <c r="AO353" s="143"/>
      <c r="AP353" s="143"/>
      <c r="AQ353" s="143"/>
      <c r="AR353" s="143"/>
      <c r="AS353" s="146"/>
      <c r="AT353" s="224">
        <f t="shared" si="165"/>
        <v>0</v>
      </c>
      <c r="AU353" s="433"/>
      <c r="AV353" s="433"/>
      <c r="AW353" s="433"/>
      <c r="AX353" s="433"/>
      <c r="AY353" s="433"/>
      <c r="AZ353" s="428"/>
      <c r="BA353" s="433"/>
      <c r="BB353" s="127"/>
      <c r="BC353" s="127"/>
      <c r="BD353" s="127"/>
      <c r="BE353" s="126"/>
      <c r="BF353" s="222">
        <f t="shared" si="161"/>
        <v>0</v>
      </c>
      <c r="BG353" s="140">
        <f t="shared" si="162"/>
        <v>0</v>
      </c>
      <c r="BH353" s="132"/>
      <c r="BI353" s="140">
        <f t="shared" si="163"/>
        <v>0</v>
      </c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30">
        <f t="shared" si="164"/>
        <v>0</v>
      </c>
      <c r="BX353" s="132"/>
    </row>
    <row r="354" ht="14.25" customHeight="1">
      <c r="A354" s="132"/>
      <c r="B354" s="512">
        <v>46340</v>
      </c>
      <c r="C354" s="133"/>
      <c r="D354" s="136"/>
      <c r="E354" s="135"/>
      <c r="F354" s="135"/>
      <c r="G354" s="147">
        <f t="shared" si="156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57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03">
        <f t="shared" si="158"/>
        <v>0</v>
      </c>
      <c r="AK354" s="136"/>
      <c r="AL354" s="136"/>
      <c r="AM354" s="136"/>
      <c r="AN354" s="105">
        <f t="shared" si="159"/>
        <v>0</v>
      </c>
      <c r="AO354" s="143"/>
      <c r="AP354" s="143"/>
      <c r="AQ354" s="143"/>
      <c r="AR354" s="143"/>
      <c r="AS354" s="146"/>
      <c r="AT354" s="224">
        <f t="shared" si="165"/>
        <v>0</v>
      </c>
      <c r="AU354" s="433"/>
      <c r="AV354" s="433"/>
      <c r="AW354" s="433"/>
      <c r="AX354" s="433"/>
      <c r="AY354" s="433"/>
      <c r="AZ354" s="428"/>
      <c r="BA354" s="433"/>
      <c r="BB354" s="127"/>
      <c r="BC354" s="127"/>
      <c r="BD354" s="127"/>
      <c r="BE354" s="126"/>
      <c r="BF354" s="222">
        <f t="shared" si="161"/>
        <v>0</v>
      </c>
      <c r="BG354" s="140">
        <f t="shared" si="162"/>
        <v>0</v>
      </c>
      <c r="BH354" s="132"/>
      <c r="BI354" s="140">
        <f t="shared" si="163"/>
        <v>0</v>
      </c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30">
        <f t="shared" si="164"/>
        <v>0</v>
      </c>
      <c r="BX354" s="132"/>
    </row>
    <row r="355" ht="14.25" customHeight="1">
      <c r="A355" s="132"/>
      <c r="B355" s="512">
        <v>46341</v>
      </c>
      <c r="C355" s="133"/>
      <c r="D355" s="136"/>
      <c r="E355" s="135"/>
      <c r="F355" s="135"/>
      <c r="G355" s="147">
        <f t="shared" si="156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57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03">
        <f t="shared" si="158"/>
        <v>0</v>
      </c>
      <c r="AK355" s="136"/>
      <c r="AL355" s="136"/>
      <c r="AM355" s="136"/>
      <c r="AN355" s="105">
        <f t="shared" si="159"/>
        <v>0</v>
      </c>
      <c r="AO355" s="143"/>
      <c r="AP355" s="143"/>
      <c r="AQ355" s="143"/>
      <c r="AR355" s="143"/>
      <c r="AS355" s="146"/>
      <c r="AT355" s="224">
        <f t="shared" si="165"/>
        <v>0</v>
      </c>
      <c r="AU355" s="433"/>
      <c r="AV355" s="433"/>
      <c r="AW355" s="433"/>
      <c r="AX355" s="433"/>
      <c r="AY355" s="433"/>
      <c r="AZ355" s="428"/>
      <c r="BA355" s="433"/>
      <c r="BB355" s="127"/>
      <c r="BC355" s="127"/>
      <c r="BD355" s="127"/>
      <c r="BE355" s="126"/>
      <c r="BF355" s="222">
        <f t="shared" si="161"/>
        <v>0</v>
      </c>
      <c r="BG355" s="140">
        <f t="shared" si="162"/>
        <v>0</v>
      </c>
      <c r="BH355" s="132"/>
      <c r="BI355" s="140">
        <f t="shared" si="163"/>
        <v>0</v>
      </c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30">
        <f t="shared" si="164"/>
        <v>0</v>
      </c>
      <c r="BX355" s="132"/>
    </row>
    <row r="356" ht="14.25" customHeight="1">
      <c r="A356" s="132"/>
      <c r="B356" s="512">
        <v>46342</v>
      </c>
      <c r="C356" s="133"/>
      <c r="D356" s="136"/>
      <c r="E356" s="135"/>
      <c r="F356" s="135"/>
      <c r="G356" s="147">
        <f t="shared" si="156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57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03">
        <f t="shared" si="158"/>
        <v>0</v>
      </c>
      <c r="AK356" s="136"/>
      <c r="AL356" s="136"/>
      <c r="AM356" s="136"/>
      <c r="AN356" s="105">
        <f t="shared" si="159"/>
        <v>0</v>
      </c>
      <c r="AO356" s="143"/>
      <c r="AP356" s="143"/>
      <c r="AQ356" s="143"/>
      <c r="AR356" s="143"/>
      <c r="AS356" s="146"/>
      <c r="AT356" s="224">
        <f t="shared" si="165"/>
        <v>0</v>
      </c>
      <c r="AU356" s="433"/>
      <c r="AV356" s="433"/>
      <c r="AW356" s="433"/>
      <c r="AX356" s="433"/>
      <c r="AY356" s="433"/>
      <c r="AZ356" s="428"/>
      <c r="BA356" s="433"/>
      <c r="BB356" s="127"/>
      <c r="BC356" s="127"/>
      <c r="BD356" s="127"/>
      <c r="BE356" s="126"/>
      <c r="BF356" s="222">
        <f t="shared" si="161"/>
        <v>0</v>
      </c>
      <c r="BG356" s="140">
        <f t="shared" si="162"/>
        <v>0</v>
      </c>
      <c r="BH356" s="132"/>
      <c r="BI356" s="140">
        <f t="shared" si="163"/>
        <v>0</v>
      </c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30">
        <f t="shared" si="164"/>
        <v>0</v>
      </c>
      <c r="BX356" s="132"/>
    </row>
    <row r="357" ht="14.25" customHeight="1">
      <c r="A357" s="132"/>
      <c r="B357" s="512">
        <v>46343</v>
      </c>
      <c r="C357" s="133"/>
      <c r="D357" s="136"/>
      <c r="E357" s="135"/>
      <c r="F357" s="135"/>
      <c r="G357" s="147">
        <f t="shared" si="156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57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03">
        <f t="shared" si="158"/>
        <v>0</v>
      </c>
      <c r="AK357" s="136"/>
      <c r="AL357" s="136"/>
      <c r="AM357" s="136"/>
      <c r="AN357" s="105">
        <f t="shared" si="159"/>
        <v>0</v>
      </c>
      <c r="AO357" s="143"/>
      <c r="AP357" s="143"/>
      <c r="AQ357" s="143"/>
      <c r="AR357" s="143"/>
      <c r="AS357" s="146"/>
      <c r="AT357" s="224">
        <f t="shared" si="165"/>
        <v>0</v>
      </c>
      <c r="AU357" s="433"/>
      <c r="AV357" s="433"/>
      <c r="AW357" s="433"/>
      <c r="AX357" s="433"/>
      <c r="AY357" s="433"/>
      <c r="AZ357" s="428"/>
      <c r="BA357" s="433"/>
      <c r="BB357" s="127"/>
      <c r="BC357" s="127"/>
      <c r="BD357" s="127"/>
      <c r="BE357" s="126"/>
      <c r="BF357" s="222">
        <f t="shared" si="161"/>
        <v>0</v>
      </c>
      <c r="BG357" s="140">
        <f t="shared" si="162"/>
        <v>0</v>
      </c>
      <c r="BH357" s="132"/>
      <c r="BI357" s="140">
        <f t="shared" si="163"/>
        <v>0</v>
      </c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30">
        <f t="shared" si="164"/>
        <v>0</v>
      </c>
      <c r="BX357" s="132"/>
    </row>
    <row r="358" ht="14.25" customHeight="1">
      <c r="A358" s="132"/>
      <c r="B358" s="512">
        <v>46344</v>
      </c>
      <c r="C358" s="133"/>
      <c r="D358" s="136"/>
      <c r="E358" s="135"/>
      <c r="F358" s="135"/>
      <c r="G358" s="147">
        <f t="shared" si="156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57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03">
        <f t="shared" si="158"/>
        <v>0</v>
      </c>
      <c r="AK358" s="136"/>
      <c r="AL358" s="136"/>
      <c r="AM358" s="136"/>
      <c r="AN358" s="105">
        <f t="shared" si="159"/>
        <v>0</v>
      </c>
      <c r="AO358" s="143"/>
      <c r="AP358" s="143"/>
      <c r="AQ358" s="143"/>
      <c r="AR358" s="143"/>
      <c r="AS358" s="146"/>
      <c r="AT358" s="224">
        <f t="shared" si="165"/>
        <v>0</v>
      </c>
      <c r="AU358" s="433"/>
      <c r="AV358" s="433"/>
      <c r="AW358" s="433"/>
      <c r="AX358" s="433"/>
      <c r="AY358" s="433"/>
      <c r="AZ358" s="428"/>
      <c r="BA358" s="433"/>
      <c r="BB358" s="127"/>
      <c r="BC358" s="127"/>
      <c r="BD358" s="127"/>
      <c r="BE358" s="126"/>
      <c r="BF358" s="222">
        <f t="shared" si="161"/>
        <v>0</v>
      </c>
      <c r="BG358" s="140">
        <f t="shared" si="162"/>
        <v>0</v>
      </c>
      <c r="BH358" s="132"/>
      <c r="BI358" s="140">
        <f t="shared" si="163"/>
        <v>0</v>
      </c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30">
        <f t="shared" si="164"/>
        <v>0</v>
      </c>
      <c r="BX358" s="132"/>
    </row>
    <row r="359" ht="14.25" customHeight="1">
      <c r="A359" s="132"/>
      <c r="B359" s="512">
        <v>46345</v>
      </c>
      <c r="C359" s="133"/>
      <c r="D359" s="136"/>
      <c r="E359" s="135"/>
      <c r="F359" s="135"/>
      <c r="G359" s="147">
        <f t="shared" si="156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57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03">
        <f t="shared" si="158"/>
        <v>0</v>
      </c>
      <c r="AK359" s="136"/>
      <c r="AL359" s="136"/>
      <c r="AM359" s="136"/>
      <c r="AN359" s="105">
        <f t="shared" si="159"/>
        <v>0</v>
      </c>
      <c r="AO359" s="143"/>
      <c r="AP359" s="143"/>
      <c r="AQ359" s="143"/>
      <c r="AR359" s="143"/>
      <c r="AS359" s="146"/>
      <c r="AT359" s="224">
        <f t="shared" si="165"/>
        <v>0</v>
      </c>
      <c r="AU359" s="433"/>
      <c r="AV359" s="433"/>
      <c r="AW359" s="433"/>
      <c r="AX359" s="433"/>
      <c r="AY359" s="433"/>
      <c r="AZ359" s="428"/>
      <c r="BA359" s="433"/>
      <c r="BB359" s="127"/>
      <c r="BC359" s="127"/>
      <c r="BD359" s="127"/>
      <c r="BE359" s="126"/>
      <c r="BF359" s="222">
        <f t="shared" si="161"/>
        <v>0</v>
      </c>
      <c r="BG359" s="140">
        <f t="shared" si="162"/>
        <v>0</v>
      </c>
      <c r="BH359" s="132"/>
      <c r="BI359" s="140">
        <f t="shared" si="163"/>
        <v>0</v>
      </c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30">
        <f t="shared" si="164"/>
        <v>0</v>
      </c>
      <c r="BX359" s="132"/>
    </row>
    <row r="360" ht="14.25" customHeight="1">
      <c r="A360" s="132"/>
      <c r="B360" s="512">
        <v>46346</v>
      </c>
      <c r="C360" s="133"/>
      <c r="D360" s="136"/>
      <c r="E360" s="135"/>
      <c r="F360" s="135"/>
      <c r="G360" s="147">
        <f t="shared" si="156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57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03">
        <f t="shared" si="158"/>
        <v>0</v>
      </c>
      <c r="AK360" s="136"/>
      <c r="AL360" s="136"/>
      <c r="AM360" s="136"/>
      <c r="AN360" s="105">
        <f t="shared" si="159"/>
        <v>0</v>
      </c>
      <c r="AO360" s="143"/>
      <c r="AP360" s="143"/>
      <c r="AQ360" s="143"/>
      <c r="AR360" s="143"/>
      <c r="AS360" s="146"/>
      <c r="AT360" s="224">
        <f t="shared" si="165"/>
        <v>0</v>
      </c>
      <c r="AU360" s="433"/>
      <c r="AV360" s="433"/>
      <c r="AW360" s="433"/>
      <c r="AX360" s="433"/>
      <c r="AY360" s="433"/>
      <c r="AZ360" s="428"/>
      <c r="BA360" s="433"/>
      <c r="BB360" s="127"/>
      <c r="BC360" s="127"/>
      <c r="BD360" s="127"/>
      <c r="BE360" s="126"/>
      <c r="BF360" s="222">
        <f t="shared" si="161"/>
        <v>0</v>
      </c>
      <c r="BG360" s="140">
        <f t="shared" si="162"/>
        <v>0</v>
      </c>
      <c r="BH360" s="132"/>
      <c r="BI360" s="140">
        <f t="shared" si="163"/>
        <v>0</v>
      </c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30">
        <f t="shared" si="164"/>
        <v>0</v>
      </c>
      <c r="BX360" s="132"/>
    </row>
    <row r="361" ht="14.25" customHeight="1">
      <c r="A361" s="132"/>
      <c r="B361" s="512">
        <v>46347</v>
      </c>
      <c r="C361" s="133"/>
      <c r="D361" s="136"/>
      <c r="E361" s="135"/>
      <c r="F361" s="135"/>
      <c r="G361" s="147">
        <f t="shared" si="156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57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03">
        <f t="shared" si="158"/>
        <v>0</v>
      </c>
      <c r="AK361" s="136"/>
      <c r="AL361" s="136"/>
      <c r="AM361" s="136"/>
      <c r="AN361" s="105">
        <f t="shared" si="159"/>
        <v>0</v>
      </c>
      <c r="AO361" s="143"/>
      <c r="AP361" s="143"/>
      <c r="AQ361" s="143"/>
      <c r="AR361" s="143"/>
      <c r="AS361" s="146"/>
      <c r="AT361" s="224">
        <f t="shared" si="165"/>
        <v>0</v>
      </c>
      <c r="AU361" s="433"/>
      <c r="AV361" s="433"/>
      <c r="AW361" s="433"/>
      <c r="AX361" s="433"/>
      <c r="AY361" s="433"/>
      <c r="AZ361" s="428"/>
      <c r="BA361" s="433"/>
      <c r="BB361" s="127"/>
      <c r="BC361" s="127"/>
      <c r="BD361" s="127"/>
      <c r="BE361" s="126"/>
      <c r="BF361" s="222">
        <f t="shared" si="161"/>
        <v>0</v>
      </c>
      <c r="BG361" s="140">
        <f t="shared" si="162"/>
        <v>0</v>
      </c>
      <c r="BH361" s="132"/>
      <c r="BI361" s="140">
        <f t="shared" si="163"/>
        <v>0</v>
      </c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30">
        <f t="shared" si="164"/>
        <v>0</v>
      </c>
      <c r="BX361" s="132"/>
    </row>
    <row r="362" ht="14.25" customHeight="1">
      <c r="A362" s="132"/>
      <c r="B362" s="512">
        <v>46348</v>
      </c>
      <c r="C362" s="133"/>
      <c r="D362" s="136"/>
      <c r="E362" s="135"/>
      <c r="F362" s="135"/>
      <c r="G362" s="147">
        <f t="shared" si="156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57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03">
        <f t="shared" si="158"/>
        <v>0</v>
      </c>
      <c r="AK362" s="136"/>
      <c r="AL362" s="136"/>
      <c r="AM362" s="136"/>
      <c r="AN362" s="105">
        <f t="shared" si="159"/>
        <v>0</v>
      </c>
      <c r="AO362" s="143"/>
      <c r="AP362" s="143"/>
      <c r="AQ362" s="143"/>
      <c r="AR362" s="143"/>
      <c r="AS362" s="146"/>
      <c r="AT362" s="224">
        <f t="shared" si="165"/>
        <v>0</v>
      </c>
      <c r="AU362" s="433"/>
      <c r="AV362" s="433"/>
      <c r="AW362" s="433"/>
      <c r="AX362" s="433"/>
      <c r="AY362" s="433"/>
      <c r="AZ362" s="428"/>
      <c r="BA362" s="433"/>
      <c r="BB362" s="127"/>
      <c r="BC362" s="127"/>
      <c r="BD362" s="127"/>
      <c r="BE362" s="126"/>
      <c r="BF362" s="222">
        <f t="shared" si="161"/>
        <v>0</v>
      </c>
      <c r="BG362" s="140">
        <f t="shared" si="162"/>
        <v>0</v>
      </c>
      <c r="BH362" s="132"/>
      <c r="BI362" s="140">
        <f t="shared" si="163"/>
        <v>0</v>
      </c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30">
        <f t="shared" si="164"/>
        <v>0</v>
      </c>
      <c r="BX362" s="132"/>
    </row>
    <row r="363" ht="14.25" customHeight="1">
      <c r="A363" s="132"/>
      <c r="B363" s="512">
        <v>46349</v>
      </c>
      <c r="C363" s="133"/>
      <c r="D363" s="136"/>
      <c r="E363" s="135"/>
      <c r="F363" s="135"/>
      <c r="G363" s="147">
        <f t="shared" si="156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57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03">
        <f t="shared" si="158"/>
        <v>0</v>
      </c>
      <c r="AK363" s="136"/>
      <c r="AL363" s="136"/>
      <c r="AM363" s="136"/>
      <c r="AN363" s="105">
        <f t="shared" si="159"/>
        <v>0</v>
      </c>
      <c r="AO363" s="143"/>
      <c r="AP363" s="143"/>
      <c r="AQ363" s="143"/>
      <c r="AR363" s="143"/>
      <c r="AS363" s="146"/>
      <c r="AT363" s="224">
        <f t="shared" si="165"/>
        <v>0</v>
      </c>
      <c r="AU363" s="433"/>
      <c r="AV363" s="433"/>
      <c r="AW363" s="433"/>
      <c r="AX363" s="433"/>
      <c r="AY363" s="433"/>
      <c r="AZ363" s="428"/>
      <c r="BA363" s="433"/>
      <c r="BB363" s="127"/>
      <c r="BC363" s="127"/>
      <c r="BD363" s="127"/>
      <c r="BE363" s="126"/>
      <c r="BF363" s="222">
        <f t="shared" si="161"/>
        <v>0</v>
      </c>
      <c r="BG363" s="140">
        <f t="shared" si="162"/>
        <v>0</v>
      </c>
      <c r="BH363" s="132"/>
      <c r="BI363" s="140">
        <f t="shared" si="163"/>
        <v>0</v>
      </c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30">
        <f t="shared" si="164"/>
        <v>0</v>
      </c>
      <c r="BX363" s="132"/>
    </row>
    <row r="364" ht="12.75" customHeight="1">
      <c r="A364" s="132"/>
      <c r="B364" s="512">
        <v>46350</v>
      </c>
      <c r="C364" s="133"/>
      <c r="D364" s="136"/>
      <c r="E364" s="135"/>
      <c r="F364" s="135"/>
      <c r="G364" s="147">
        <f t="shared" si="156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57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03">
        <f t="shared" si="158"/>
        <v>0</v>
      </c>
      <c r="AK364" s="136"/>
      <c r="AL364" s="136"/>
      <c r="AM364" s="136"/>
      <c r="AN364" s="105">
        <f t="shared" si="159"/>
        <v>0</v>
      </c>
      <c r="AO364" s="143"/>
      <c r="AP364" s="143"/>
      <c r="AQ364" s="143"/>
      <c r="AR364" s="143"/>
      <c r="AS364" s="146"/>
      <c r="AT364" s="224">
        <f t="shared" si="165"/>
        <v>0</v>
      </c>
      <c r="AU364" s="433"/>
      <c r="AV364" s="433"/>
      <c r="AW364" s="433"/>
      <c r="AX364" s="433"/>
      <c r="AY364" s="433"/>
      <c r="AZ364" s="428"/>
      <c r="BA364" s="433"/>
      <c r="BB364" s="127"/>
      <c r="BC364" s="127"/>
      <c r="BD364" s="127"/>
      <c r="BE364" s="126"/>
      <c r="BF364" s="222">
        <f t="shared" si="161"/>
        <v>0</v>
      </c>
      <c r="BG364" s="140">
        <f t="shared" si="162"/>
        <v>0</v>
      </c>
      <c r="BH364" s="132"/>
      <c r="BI364" s="140">
        <f t="shared" si="163"/>
        <v>0</v>
      </c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30">
        <f t="shared" si="164"/>
        <v>0</v>
      </c>
      <c r="BX364" s="132"/>
    </row>
    <row r="365" ht="14.25" customHeight="1">
      <c r="A365" s="132"/>
      <c r="B365" s="512">
        <v>46351</v>
      </c>
      <c r="C365" s="133"/>
      <c r="D365" s="136"/>
      <c r="E365" s="135"/>
      <c r="F365" s="135"/>
      <c r="G365" s="147">
        <f t="shared" si="156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57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03">
        <f t="shared" si="158"/>
        <v>0</v>
      </c>
      <c r="AK365" s="136"/>
      <c r="AL365" s="136"/>
      <c r="AM365" s="136"/>
      <c r="AN365" s="105">
        <f t="shared" si="159"/>
        <v>0</v>
      </c>
      <c r="AO365" s="143"/>
      <c r="AP365" s="143"/>
      <c r="AQ365" s="143"/>
      <c r="AR365" s="143"/>
      <c r="AS365" s="146"/>
      <c r="AT365" s="224">
        <f t="shared" si="165"/>
        <v>0</v>
      </c>
      <c r="AU365" s="433"/>
      <c r="AV365" s="433"/>
      <c r="AW365" s="433"/>
      <c r="AX365" s="433"/>
      <c r="AY365" s="433"/>
      <c r="AZ365" s="428"/>
      <c r="BA365" s="433"/>
      <c r="BB365" s="127"/>
      <c r="BC365" s="127"/>
      <c r="BD365" s="127"/>
      <c r="BE365" s="126"/>
      <c r="BF365" s="222">
        <f t="shared" si="161"/>
        <v>0</v>
      </c>
      <c r="BG365" s="140">
        <f t="shared" si="162"/>
        <v>0</v>
      </c>
      <c r="BH365" s="132"/>
      <c r="BI365" s="140">
        <f t="shared" si="163"/>
        <v>0</v>
      </c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30">
        <f t="shared" si="164"/>
        <v>0</v>
      </c>
      <c r="BX365" s="132"/>
    </row>
    <row r="366" ht="14.25" customHeight="1">
      <c r="A366" s="132"/>
      <c r="B366" s="512">
        <v>46352</v>
      </c>
      <c r="C366" s="133"/>
      <c r="D366" s="136"/>
      <c r="E366" s="135"/>
      <c r="F366" s="135"/>
      <c r="G366" s="147">
        <f t="shared" si="156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57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03">
        <f t="shared" si="158"/>
        <v>0</v>
      </c>
      <c r="AK366" s="136"/>
      <c r="AL366" s="136"/>
      <c r="AM366" s="136"/>
      <c r="AN366" s="105">
        <f t="shared" si="159"/>
        <v>0</v>
      </c>
      <c r="AO366" s="143"/>
      <c r="AP366" s="143"/>
      <c r="AQ366" s="143"/>
      <c r="AR366" s="143"/>
      <c r="AS366" s="146"/>
      <c r="AT366" s="224">
        <f t="shared" si="165"/>
        <v>0</v>
      </c>
      <c r="AU366" s="433"/>
      <c r="AV366" s="433"/>
      <c r="AW366" s="433"/>
      <c r="AX366" s="433"/>
      <c r="AY366" s="433"/>
      <c r="AZ366" s="428"/>
      <c r="BA366" s="433"/>
      <c r="BB366" s="127"/>
      <c r="BC366" s="127"/>
      <c r="BD366" s="127"/>
      <c r="BE366" s="126"/>
      <c r="BF366" s="222">
        <f t="shared" si="161"/>
        <v>0</v>
      </c>
      <c r="BG366" s="140">
        <f t="shared" si="162"/>
        <v>0</v>
      </c>
      <c r="BH366" s="132"/>
      <c r="BI366" s="140">
        <f t="shared" si="163"/>
        <v>0</v>
      </c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30">
        <f t="shared" si="164"/>
        <v>0</v>
      </c>
      <c r="BX366" s="132"/>
    </row>
    <row r="367" ht="14.25" customHeight="1">
      <c r="A367" s="132"/>
      <c r="B367" s="512">
        <v>46353</v>
      </c>
      <c r="C367" s="133"/>
      <c r="D367" s="136"/>
      <c r="E367" s="135"/>
      <c r="F367" s="135"/>
      <c r="G367" s="147">
        <f t="shared" si="156"/>
        <v>0</v>
      </c>
      <c r="H367" s="144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57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03">
        <f t="shared" si="158"/>
        <v>0</v>
      </c>
      <c r="AK367" s="136"/>
      <c r="AL367" s="136"/>
      <c r="AM367" s="136"/>
      <c r="AN367" s="105">
        <f t="shared" si="159"/>
        <v>0</v>
      </c>
      <c r="AO367" s="143"/>
      <c r="AP367" s="143"/>
      <c r="AQ367" s="143"/>
      <c r="AR367" s="143"/>
      <c r="AS367" s="146"/>
      <c r="AT367" s="224">
        <f t="shared" si="165"/>
        <v>0</v>
      </c>
      <c r="AU367" s="433"/>
      <c r="AV367" s="433"/>
      <c r="AW367" s="433"/>
      <c r="AX367" s="433"/>
      <c r="AY367" s="433"/>
      <c r="AZ367" s="428"/>
      <c r="BA367" s="433"/>
      <c r="BB367" s="127"/>
      <c r="BC367" s="127"/>
      <c r="BD367" s="127"/>
      <c r="BE367" s="126"/>
      <c r="BF367" s="222">
        <f t="shared" si="161"/>
        <v>0</v>
      </c>
      <c r="BG367" s="140">
        <f t="shared" si="162"/>
        <v>0</v>
      </c>
      <c r="BH367" s="132"/>
      <c r="BI367" s="140">
        <f t="shared" si="163"/>
        <v>0</v>
      </c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30">
        <f t="shared" si="164"/>
        <v>0</v>
      </c>
      <c r="BX367" s="132"/>
    </row>
    <row r="368" ht="14.25" customHeight="1">
      <c r="A368" s="132"/>
      <c r="B368" s="512">
        <v>46354</v>
      </c>
      <c r="C368" s="133"/>
      <c r="D368" s="136"/>
      <c r="E368" s="135"/>
      <c r="F368" s="135"/>
      <c r="G368" s="147">
        <f t="shared" si="156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03">
        <f t="shared" si="157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03">
        <f t="shared" si="158"/>
        <v>0</v>
      </c>
      <c r="AK368" s="136"/>
      <c r="AL368" s="136"/>
      <c r="AM368" s="136"/>
      <c r="AN368" s="105">
        <f t="shared" si="159"/>
        <v>0</v>
      </c>
      <c r="AO368" s="143"/>
      <c r="AP368" s="143"/>
      <c r="AQ368" s="143"/>
      <c r="AR368" s="143"/>
      <c r="AS368" s="146"/>
      <c r="AT368" s="224">
        <f t="shared" si="165"/>
        <v>0</v>
      </c>
      <c r="AU368" s="433"/>
      <c r="AV368" s="433"/>
      <c r="AW368" s="433"/>
      <c r="AX368" s="433"/>
      <c r="AY368" s="433"/>
      <c r="AZ368" s="428"/>
      <c r="BA368" s="433"/>
      <c r="BB368" s="127"/>
      <c r="BC368" s="127"/>
      <c r="BD368" s="127"/>
      <c r="BE368" s="126"/>
      <c r="BF368" s="222">
        <f t="shared" si="161"/>
        <v>0</v>
      </c>
      <c r="BG368" s="140">
        <f t="shared" si="162"/>
        <v>0</v>
      </c>
      <c r="BH368" s="132"/>
      <c r="BI368" s="140">
        <f t="shared" si="163"/>
        <v>0</v>
      </c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30">
        <f t="shared" si="164"/>
        <v>0</v>
      </c>
      <c r="BX368" s="132"/>
    </row>
    <row r="369" ht="14.25" customHeight="1">
      <c r="A369" s="132"/>
      <c r="B369" s="512">
        <v>46355</v>
      </c>
      <c r="C369" s="133"/>
      <c r="D369" s="136"/>
      <c r="E369" s="135"/>
      <c r="F369" s="135"/>
      <c r="G369" s="147">
        <f t="shared" si="156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57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03">
        <f t="shared" si="158"/>
        <v>0</v>
      </c>
      <c r="AK369" s="136"/>
      <c r="AL369" s="136"/>
      <c r="AM369" s="136"/>
      <c r="AN369" s="105">
        <f t="shared" si="159"/>
        <v>0</v>
      </c>
      <c r="AO369" s="143"/>
      <c r="AP369" s="143"/>
      <c r="AQ369" s="143"/>
      <c r="AR369" s="143"/>
      <c r="AS369" s="146"/>
      <c r="AT369" s="224">
        <f t="shared" si="165"/>
        <v>0</v>
      </c>
      <c r="AU369" s="433"/>
      <c r="AV369" s="433"/>
      <c r="AW369" s="433"/>
      <c r="AX369" s="433"/>
      <c r="AY369" s="433"/>
      <c r="AZ369" s="428"/>
      <c r="BA369" s="433"/>
      <c r="BB369" s="127"/>
      <c r="BC369" s="127"/>
      <c r="BD369" s="127"/>
      <c r="BE369" s="126"/>
      <c r="BF369" s="222">
        <f t="shared" si="161"/>
        <v>0</v>
      </c>
      <c r="BG369" s="140">
        <f t="shared" si="162"/>
        <v>0</v>
      </c>
      <c r="BH369" s="132"/>
      <c r="BI369" s="140">
        <f t="shared" si="163"/>
        <v>0</v>
      </c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30">
        <f t="shared" si="164"/>
        <v>0</v>
      </c>
      <c r="BX369" s="132"/>
    </row>
    <row r="370" ht="14.25" customHeight="1">
      <c r="A370" s="132"/>
      <c r="B370" s="512">
        <v>46356</v>
      </c>
      <c r="C370" s="133"/>
      <c r="D370" s="136"/>
      <c r="E370" s="135"/>
      <c r="F370" s="135"/>
      <c r="G370" s="147">
        <f t="shared" si="156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57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03">
        <f t="shared" si="158"/>
        <v>0</v>
      </c>
      <c r="AK370" s="136"/>
      <c r="AL370" s="136"/>
      <c r="AM370" s="136"/>
      <c r="AN370" s="105">
        <f t="shared" si="159"/>
        <v>0</v>
      </c>
      <c r="AO370" s="143"/>
      <c r="AP370" s="143"/>
      <c r="AQ370" s="143"/>
      <c r="AR370" s="143"/>
      <c r="AS370" s="146"/>
      <c r="AT370" s="224">
        <f t="shared" si="165"/>
        <v>0</v>
      </c>
      <c r="AU370" s="435"/>
      <c r="AV370" s="435"/>
      <c r="AW370" s="435"/>
      <c r="AX370" s="435"/>
      <c r="AY370" s="435"/>
      <c r="AZ370" s="428"/>
      <c r="BA370" s="435"/>
      <c r="BB370" s="127"/>
      <c r="BC370" s="127"/>
      <c r="BD370" s="127"/>
      <c r="BE370" s="138"/>
      <c r="BF370" s="222">
        <f t="shared" si="161"/>
        <v>0</v>
      </c>
      <c r="BG370" s="140">
        <f t="shared" si="162"/>
        <v>0</v>
      </c>
      <c r="BH370" s="132"/>
      <c r="BI370" s="140">
        <f t="shared" si="163"/>
        <v>0</v>
      </c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30">
        <f t="shared" si="164"/>
        <v>0</v>
      </c>
      <c r="BX370" s="132"/>
    </row>
    <row r="371" ht="14.25" customHeight="1">
      <c r="A371" s="3"/>
      <c r="B371" s="2"/>
      <c r="C371" s="166">
        <f ref="C371:N371" t="shared" si="166">SUM(C341:C370)</f>
        <v>0</v>
      </c>
      <c r="D371" s="166">
        <f t="shared" si="166"/>
        <v>0</v>
      </c>
      <c r="E371" s="166">
        <f t="shared" si="166"/>
        <v>0</v>
      </c>
      <c r="F371" s="166">
        <f t="shared" si="166"/>
        <v>0</v>
      </c>
      <c r="G371" s="166">
        <f t="shared" si="166"/>
        <v>0</v>
      </c>
      <c r="H371" s="166">
        <f t="shared" si="166"/>
        <v>0</v>
      </c>
      <c r="I371" s="166">
        <f t="shared" si="166"/>
        <v>0</v>
      </c>
      <c r="J371" s="166">
        <f t="shared" si="166"/>
        <v>0</v>
      </c>
      <c r="K371" s="166">
        <f t="shared" si="166"/>
        <v>0</v>
      </c>
      <c r="L371" s="166">
        <f t="shared" si="166"/>
        <v>0</v>
      </c>
      <c r="M371" s="166">
        <f t="shared" si="166"/>
        <v>0</v>
      </c>
      <c r="N371" s="166">
        <f t="shared" si="166"/>
        <v>0</v>
      </c>
      <c r="O371" s="166"/>
      <c r="P371" s="166">
        <f ref="P371:Z371" t="shared" si="167">SUM(P341:P370)</f>
        <v>0</v>
      </c>
      <c r="Q371" s="166">
        <f t="shared" si="167"/>
        <v>0</v>
      </c>
      <c r="R371" s="166">
        <f t="shared" si="167"/>
        <v>0</v>
      </c>
      <c r="S371" s="166">
        <f t="shared" si="167"/>
        <v>0</v>
      </c>
      <c r="T371" s="166">
        <f t="shared" si="167"/>
        <v>0</v>
      </c>
      <c r="U371" s="166">
        <f t="shared" si="167"/>
        <v>0</v>
      </c>
      <c r="V371" s="166">
        <f t="shared" si="167"/>
        <v>0</v>
      </c>
      <c r="W371" s="166">
        <f t="shared" si="167"/>
        <v>0</v>
      </c>
      <c r="X371" s="166">
        <f t="shared" si="167"/>
        <v>0</v>
      </c>
      <c r="Y371" s="166">
        <f t="shared" si="167"/>
        <v>0</v>
      </c>
      <c r="Z371" s="166">
        <f t="shared" si="167"/>
        <v>0</v>
      </c>
      <c r="AA371" s="166"/>
      <c r="AB371" s="166">
        <f ref="AB371:AL371" t="shared" si="168">SUM(AB341:AB370)</f>
        <v>0</v>
      </c>
      <c r="AC371" s="166">
        <f t="shared" si="168"/>
        <v>0</v>
      </c>
      <c r="AD371" s="166">
        <f t="shared" si="168"/>
        <v>0</v>
      </c>
      <c r="AE371" s="166">
        <f t="shared" si="168"/>
        <v>0</v>
      </c>
      <c r="AF371" s="166">
        <f t="shared" si="168"/>
        <v>0</v>
      </c>
      <c r="AG371" s="166">
        <f t="shared" si="168"/>
        <v>0</v>
      </c>
      <c r="AH371" s="166">
        <f t="shared" si="168"/>
        <v>0</v>
      </c>
      <c r="AI371" s="166">
        <f t="shared" si="168"/>
        <v>0</v>
      </c>
      <c r="AJ371" s="166">
        <f t="shared" si="168"/>
        <v>0</v>
      </c>
      <c r="AK371" s="166">
        <f t="shared" si="168"/>
        <v>0</v>
      </c>
      <c r="AL371" s="166">
        <f t="shared" si="168"/>
        <v>0</v>
      </c>
      <c r="AM371" s="166"/>
      <c r="AN371" s="166">
        <f ref="AN371:BI371" t="shared" si="169">SUM(AN341:AN370)</f>
        <v>0</v>
      </c>
      <c r="AO371" s="166">
        <f t="shared" si="169"/>
        <v>0</v>
      </c>
      <c r="AP371" s="166">
        <f t="shared" si="169"/>
        <v>0</v>
      </c>
      <c r="AQ371" s="166">
        <f t="shared" si="169"/>
        <v>0</v>
      </c>
      <c r="AR371" s="166">
        <f t="shared" si="169"/>
        <v>0</v>
      </c>
      <c r="AS371" s="166">
        <f t="shared" si="169"/>
        <v>0</v>
      </c>
      <c r="AT371" s="166">
        <f t="shared" si="169"/>
        <v>0</v>
      </c>
      <c r="AU371" s="165">
        <f t="shared" si="169"/>
        <v>0</v>
      </c>
      <c r="AV371" s="165">
        <f t="shared" si="169"/>
        <v>0</v>
      </c>
      <c r="AW371" s="165">
        <f t="shared" si="169"/>
        <v>0</v>
      </c>
      <c r="AX371" s="165">
        <f t="shared" si="169"/>
        <v>0</v>
      </c>
      <c r="AY371" s="165">
        <f t="shared" si="169"/>
        <v>0</v>
      </c>
      <c r="AZ371" s="165">
        <f t="shared" si="169"/>
        <v>0</v>
      </c>
      <c r="BA371" s="165">
        <f t="shared" si="169"/>
        <v>0</v>
      </c>
      <c r="BB371" s="165">
        <f t="shared" si="169"/>
        <v>0</v>
      </c>
      <c r="BC371" s="165">
        <f t="shared" si="169"/>
        <v>0</v>
      </c>
      <c r="BD371" s="165">
        <f t="shared" si="169"/>
        <v>0</v>
      </c>
      <c r="BE371" s="165">
        <f t="shared" si="169"/>
        <v>0</v>
      </c>
      <c r="BF371" s="166">
        <f t="shared" si="169"/>
        <v>0</v>
      </c>
      <c r="BG371" s="166">
        <f t="shared" si="169"/>
        <v>0</v>
      </c>
      <c r="BH371" s="166">
        <f t="shared" si="169"/>
        <v>0</v>
      </c>
      <c r="BI371" s="166">
        <f t="shared" si="169"/>
        <v>0</v>
      </c>
      <c r="BJ371" s="166"/>
      <c r="BK371" s="166"/>
      <c r="BL371" s="166"/>
      <c r="BM371" s="166"/>
      <c r="BN371" s="166"/>
      <c r="BO371" s="166"/>
      <c r="BP371" s="166"/>
      <c r="BQ371" s="166"/>
      <c r="BR371" s="166"/>
      <c r="BS371" s="166">
        <f ref="BS371:BX371" t="shared" si="170">SUM(BS341:BS370)</f>
        <v>0</v>
      </c>
      <c r="BT371" s="166">
        <f t="shared" si="170"/>
        <v>0</v>
      </c>
      <c r="BU371" s="166">
        <f t="shared" si="170"/>
        <v>0</v>
      </c>
      <c r="BV371" s="166">
        <f t="shared" si="170"/>
        <v>0</v>
      </c>
      <c r="BW371" s="166">
        <f t="shared" si="170"/>
        <v>0</v>
      </c>
      <c r="BX371" s="166">
        <f t="shared" si="170"/>
        <v>0</v>
      </c>
    </row>
    <row r="372" ht="14.25" customHeight="1">
      <c r="A372" s="1"/>
      <c r="B372" s="2"/>
      <c r="C372" s="3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4"/>
      <c r="AO372" s="3"/>
      <c r="AP372" s="3"/>
      <c r="AQ372" s="3"/>
      <c r="AR372" s="3"/>
      <c r="AS372" s="3"/>
      <c r="AT372" s="3"/>
      <c r="AU372" s="1"/>
      <c r="AV372" s="1"/>
      <c r="AW372" s="1"/>
      <c r="AX372" s="1"/>
      <c r="AY372" s="1"/>
      <c r="AZ372" s="1"/>
      <c r="BA372" s="1"/>
      <c r="BB372" s="3"/>
      <c r="BC372" s="3"/>
      <c r="BD372" s="3"/>
      <c r="BE372" s="132"/>
      <c r="BF372" s="4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</row>
    <row r="373" ht="14.25" customHeight="1">
      <c r="A373" s="1189"/>
      <c r="B373" s="2"/>
      <c r="C373" s="176"/>
      <c r="D373" s="176"/>
      <c r="E373" s="176"/>
      <c r="F373" s="176"/>
      <c r="G373" s="305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76"/>
      <c r="AH373" s="176"/>
      <c r="AI373" s="176"/>
      <c r="AJ373" s="176"/>
      <c r="AK373" s="176"/>
      <c r="AL373" s="176"/>
      <c r="AM373" s="176"/>
      <c r="AN373" s="305"/>
      <c r="AO373" s="176"/>
      <c r="AP373" s="176"/>
      <c r="AQ373" s="176"/>
      <c r="AR373" s="176"/>
      <c r="AS373" s="176"/>
      <c r="AT373" s="176"/>
      <c r="AU373" s="1"/>
      <c r="AV373" s="1"/>
      <c r="AW373" s="1"/>
      <c r="AX373" s="1"/>
      <c r="AY373" s="1"/>
      <c r="AZ373" s="1"/>
      <c r="BA373" s="1"/>
      <c r="BB373" s="3"/>
      <c r="BC373" s="3"/>
      <c r="BD373" s="3"/>
      <c r="BE373" s="132"/>
      <c r="BF373" s="305"/>
      <c r="BG373" s="176"/>
      <c r="BH373" s="176"/>
      <c r="BI373" s="176"/>
      <c r="BJ373" s="176"/>
      <c r="BK373" s="176"/>
      <c r="BL373" s="176"/>
      <c r="BM373" s="176"/>
      <c r="BN373" s="176"/>
      <c r="BO373" s="176"/>
      <c r="BP373" s="176"/>
      <c r="BQ373" s="176"/>
      <c r="BR373" s="176"/>
      <c r="BS373" s="176"/>
      <c r="BT373" s="176"/>
      <c r="BU373" s="176"/>
      <c r="BV373" s="176"/>
      <c r="BW373" s="176"/>
      <c r="BX373" s="176"/>
    </row>
    <row r="374" ht="14.25" customHeight="1">
      <c r="A374" s="132"/>
      <c r="B374" s="512">
        <v>46357</v>
      </c>
      <c r="C374" s="133"/>
      <c r="D374" s="136"/>
      <c r="E374" s="135"/>
      <c r="F374" s="135"/>
      <c r="G374" s="147">
        <f ref="G374:G404" t="shared" si="171">+C374+D374+E374+F374</f>
        <v>0</v>
      </c>
      <c r="H374" s="144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03">
        <f ref="U374:U404" t="shared" si="172">SUM(H374:T374)</f>
        <v>0</v>
      </c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03">
        <f ref="AJ374:AJ404" t="shared" si="173">SUM(V374:AI374)</f>
        <v>0</v>
      </c>
      <c r="AK374" s="136"/>
      <c r="AL374" s="136"/>
      <c r="AM374" s="136"/>
      <c r="AN374" s="105">
        <f ref="AN374:AN404" t="shared" si="174">SUM(AK374:AM374)</f>
        <v>0</v>
      </c>
      <c r="AO374" s="143"/>
      <c r="AP374" s="143"/>
      <c r="AQ374" s="143"/>
      <c r="AR374" s="143"/>
      <c r="AS374" s="146"/>
      <c r="AT374" s="224">
        <f ref="AT374:AT404" t="shared" si="175">+G374-U374-AJ374-AN374-AO374-AQ374-AR374-AS374</f>
        <v>0</v>
      </c>
      <c r="AU374" s="427"/>
      <c r="AV374" s="427"/>
      <c r="AW374" s="427"/>
      <c r="AX374" s="427"/>
      <c r="AY374" s="427"/>
      <c r="AZ374" s="428"/>
      <c r="BA374" s="427"/>
      <c r="BB374" s="110"/>
      <c r="BC374" s="110"/>
      <c r="BD374" s="110"/>
      <c r="BE374" s="269"/>
      <c r="BF374" s="222">
        <f ref="BF374:BF404" t="shared" si="176">SUM(AU374:BE374)-BD374</f>
        <v>0</v>
      </c>
      <c r="BG374" s="140">
        <f ref="BG374:BG404" t="shared" si="177">+AT374-BF374</f>
        <v>0</v>
      </c>
      <c r="BH374" s="132"/>
      <c r="BI374" s="140">
        <f ref="BI374:BI404" t="shared" si="178">SUM(BJ374:BV374)</f>
        <v>0</v>
      </c>
      <c r="BJ374" s="141"/>
      <c r="BK374" s="141"/>
      <c r="BL374" s="141"/>
      <c r="BM374" s="141"/>
      <c r="BN374" s="141"/>
      <c r="BO374" s="141"/>
      <c r="BP374" s="141"/>
      <c r="BQ374" s="141"/>
      <c r="BR374" s="141"/>
      <c r="BS374" s="141"/>
      <c r="BT374" s="141"/>
      <c r="BU374" s="141"/>
      <c r="BV374" s="141"/>
      <c r="BW374" s="130">
        <f ref="BW374:BW404" t="shared" si="179">+BG374-BI374</f>
        <v>0</v>
      </c>
      <c r="BX374" s="132"/>
    </row>
    <row r="375" ht="14.25" customHeight="1">
      <c r="A375" s="132"/>
      <c r="B375" s="512">
        <v>46358</v>
      </c>
      <c r="C375" s="133"/>
      <c r="D375" s="136"/>
      <c r="E375" s="135"/>
      <c r="F375" s="135"/>
      <c r="G375" s="147">
        <f t="shared" si="171"/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03">
        <f t="shared" si="172"/>
        <v>0</v>
      </c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03">
        <f t="shared" si="173"/>
        <v>0</v>
      </c>
      <c r="AK375" s="136"/>
      <c r="AL375" s="136"/>
      <c r="AM375" s="136"/>
      <c r="AN375" s="105">
        <f t="shared" si="174"/>
        <v>0</v>
      </c>
      <c r="AO375" s="143"/>
      <c r="AP375" s="143"/>
      <c r="AQ375" s="143"/>
      <c r="AR375" s="143"/>
      <c r="AS375" s="146"/>
      <c r="AT375" s="224">
        <f t="shared" si="175"/>
        <v>0</v>
      </c>
      <c r="AU375" s="433"/>
      <c r="AV375" s="433"/>
      <c r="AW375" s="433"/>
      <c r="AX375" s="433"/>
      <c r="AY375" s="433"/>
      <c r="AZ375" s="428"/>
      <c r="BA375" s="433"/>
      <c r="BB375" s="127"/>
      <c r="BC375" s="127"/>
      <c r="BD375" s="127"/>
      <c r="BE375" s="274"/>
      <c r="BF375" s="222">
        <f t="shared" si="176"/>
        <v>0</v>
      </c>
      <c r="BG375" s="140">
        <f t="shared" si="177"/>
        <v>0</v>
      </c>
      <c r="BH375" s="132"/>
      <c r="BI375" s="140">
        <f t="shared" si="178"/>
        <v>0</v>
      </c>
      <c r="BJ375" s="141"/>
      <c r="BK375" s="141"/>
      <c r="BL375" s="141"/>
      <c r="BM375" s="141"/>
      <c r="BN375" s="141"/>
      <c r="BO375" s="141"/>
      <c r="BP375" s="141"/>
      <c r="BQ375" s="141"/>
      <c r="BR375" s="141"/>
      <c r="BS375" s="141"/>
      <c r="BT375" s="141"/>
      <c r="BU375" s="141"/>
      <c r="BV375" s="141"/>
      <c r="BW375" s="130">
        <f t="shared" si="179"/>
        <v>0</v>
      </c>
      <c r="BX375" s="132"/>
    </row>
    <row r="376" ht="14.25" customHeight="1">
      <c r="A376" s="132"/>
      <c r="B376" s="512">
        <v>46359</v>
      </c>
      <c r="C376" s="133"/>
      <c r="D376" s="136"/>
      <c r="E376" s="135"/>
      <c r="F376" s="135"/>
      <c r="G376" s="147">
        <f t="shared" si="171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t="shared" si="172"/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03">
        <f t="shared" si="173"/>
        <v>0</v>
      </c>
      <c r="AK376" s="136"/>
      <c r="AL376" s="136"/>
      <c r="AM376" s="136"/>
      <c r="AN376" s="105">
        <f t="shared" si="174"/>
        <v>0</v>
      </c>
      <c r="AO376" s="143"/>
      <c r="AP376" s="143"/>
      <c r="AQ376" s="143"/>
      <c r="AR376" s="143"/>
      <c r="AS376" s="146"/>
      <c r="AT376" s="224">
        <f t="shared" si="175"/>
        <v>0</v>
      </c>
      <c r="AU376" s="433"/>
      <c r="AV376" s="433"/>
      <c r="AW376" s="433"/>
      <c r="AX376" s="433"/>
      <c r="AY376" s="433"/>
      <c r="AZ376" s="428"/>
      <c r="BA376" s="433"/>
      <c r="BB376" s="127"/>
      <c r="BC376" s="127"/>
      <c r="BD376" s="127"/>
      <c r="BE376" s="274"/>
      <c r="BF376" s="222">
        <f t="shared" si="176"/>
        <v>0</v>
      </c>
      <c r="BG376" s="140">
        <f t="shared" si="177"/>
        <v>0</v>
      </c>
      <c r="BH376" s="132"/>
      <c r="BI376" s="140">
        <f t="shared" si="178"/>
        <v>0</v>
      </c>
      <c r="BJ376" s="141"/>
      <c r="BK376" s="141"/>
      <c r="BL376" s="141"/>
      <c r="BM376" s="141"/>
      <c r="BN376" s="141"/>
      <c r="BO376" s="141"/>
      <c r="BP376" s="141"/>
      <c r="BQ376" s="141"/>
      <c r="BR376" s="141"/>
      <c r="BS376" s="141"/>
      <c r="BT376" s="141"/>
      <c r="BU376" s="141"/>
      <c r="BV376" s="141"/>
      <c r="BW376" s="130">
        <f t="shared" si="179"/>
        <v>0</v>
      </c>
      <c r="BX376" s="132"/>
    </row>
    <row r="377" ht="14.25" customHeight="1">
      <c r="A377" s="132"/>
      <c r="B377" s="512">
        <v>46360</v>
      </c>
      <c r="C377" s="133"/>
      <c r="D377" s="136"/>
      <c r="E377" s="135"/>
      <c r="F377" s="135"/>
      <c r="G377" s="147">
        <f t="shared" si="171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72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03">
        <f t="shared" si="173"/>
        <v>0</v>
      </c>
      <c r="AK377" s="136"/>
      <c r="AL377" s="136"/>
      <c r="AM377" s="136"/>
      <c r="AN377" s="105">
        <f t="shared" si="174"/>
        <v>0</v>
      </c>
      <c r="AO377" s="143"/>
      <c r="AP377" s="143"/>
      <c r="AQ377" s="143"/>
      <c r="AR377" s="143"/>
      <c r="AS377" s="146"/>
      <c r="AT377" s="224">
        <f t="shared" si="175"/>
        <v>0</v>
      </c>
      <c r="AU377" s="433"/>
      <c r="AV377" s="433"/>
      <c r="AW377" s="433"/>
      <c r="AX377" s="433"/>
      <c r="AY377" s="433"/>
      <c r="AZ377" s="428"/>
      <c r="BA377" s="433"/>
      <c r="BB377" s="127"/>
      <c r="BC377" s="127"/>
      <c r="BD377" s="127"/>
      <c r="BE377" s="274"/>
      <c r="BF377" s="222">
        <f t="shared" si="176"/>
        <v>0</v>
      </c>
      <c r="BG377" s="140">
        <f t="shared" si="177"/>
        <v>0</v>
      </c>
      <c r="BH377" s="132"/>
      <c r="BI377" s="140">
        <f t="shared" si="178"/>
        <v>0</v>
      </c>
      <c r="BJ377" s="141"/>
      <c r="BK377" s="141"/>
      <c r="BL377" s="141"/>
      <c r="BM377" s="141"/>
      <c r="BN377" s="141"/>
      <c r="BO377" s="141"/>
      <c r="BP377" s="141"/>
      <c r="BQ377" s="141"/>
      <c r="BR377" s="141"/>
      <c r="BS377" s="141"/>
      <c r="BT377" s="141"/>
      <c r="BU377" s="141"/>
      <c r="BV377" s="141"/>
      <c r="BW377" s="130">
        <f t="shared" si="179"/>
        <v>0</v>
      </c>
      <c r="BX377" s="132"/>
    </row>
    <row r="378" ht="14.25" customHeight="1">
      <c r="A378" s="132"/>
      <c r="B378" s="512">
        <v>46361</v>
      </c>
      <c r="C378" s="133"/>
      <c r="D378" s="136"/>
      <c r="E378" s="135"/>
      <c r="F378" s="135"/>
      <c r="G378" s="147">
        <f t="shared" si="171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72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03">
        <f t="shared" si="173"/>
        <v>0</v>
      </c>
      <c r="AK378" s="136"/>
      <c r="AL378" s="136"/>
      <c r="AM378" s="136"/>
      <c r="AN378" s="105">
        <f t="shared" si="174"/>
        <v>0</v>
      </c>
      <c r="AO378" s="143"/>
      <c r="AP378" s="143"/>
      <c r="AQ378" s="143"/>
      <c r="AR378" s="143"/>
      <c r="AS378" s="146"/>
      <c r="AT378" s="224">
        <f t="shared" si="175"/>
        <v>0</v>
      </c>
      <c r="AU378" s="433"/>
      <c r="AV378" s="433"/>
      <c r="AW378" s="433"/>
      <c r="AX378" s="433"/>
      <c r="AY378" s="433"/>
      <c r="AZ378" s="428"/>
      <c r="BA378" s="433"/>
      <c r="BB378" s="127"/>
      <c r="BC378" s="127"/>
      <c r="BD378" s="127"/>
      <c r="BE378" s="274"/>
      <c r="BF378" s="222">
        <f t="shared" si="176"/>
        <v>0</v>
      </c>
      <c r="BG378" s="140">
        <f t="shared" si="177"/>
        <v>0</v>
      </c>
      <c r="BH378" s="132"/>
      <c r="BI378" s="140">
        <f t="shared" si="178"/>
        <v>0</v>
      </c>
      <c r="BJ378" s="141"/>
      <c r="BK378" s="141"/>
      <c r="BL378" s="141"/>
      <c r="BM378" s="141"/>
      <c r="BN378" s="141"/>
      <c r="BO378" s="141"/>
      <c r="BP378" s="141"/>
      <c r="BQ378" s="141"/>
      <c r="BR378" s="141"/>
      <c r="BS378" s="141"/>
      <c r="BT378" s="141"/>
      <c r="BU378" s="141"/>
      <c r="BV378" s="141"/>
      <c r="BW378" s="130">
        <f t="shared" si="179"/>
        <v>0</v>
      </c>
      <c r="BX378" s="132"/>
    </row>
    <row r="379" ht="14.25" customHeight="1">
      <c r="A379" s="132"/>
      <c r="B379" s="512">
        <v>46362</v>
      </c>
      <c r="C379" s="133"/>
      <c r="D379" s="136"/>
      <c r="E379" s="135"/>
      <c r="F379" s="135"/>
      <c r="G379" s="147">
        <f t="shared" si="171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72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03">
        <f t="shared" si="173"/>
        <v>0</v>
      </c>
      <c r="AK379" s="136"/>
      <c r="AL379" s="136"/>
      <c r="AM379" s="136"/>
      <c r="AN379" s="105">
        <f t="shared" si="174"/>
        <v>0</v>
      </c>
      <c r="AO379" s="143"/>
      <c r="AP379" s="143"/>
      <c r="AQ379" s="143"/>
      <c r="AR379" s="143"/>
      <c r="AS379" s="146"/>
      <c r="AT379" s="224">
        <f t="shared" si="175"/>
        <v>0</v>
      </c>
      <c r="AU379" s="433"/>
      <c r="AV379" s="433"/>
      <c r="AW379" s="433"/>
      <c r="AX379" s="433"/>
      <c r="AY379" s="433"/>
      <c r="AZ379" s="428"/>
      <c r="BA379" s="433"/>
      <c r="BB379" s="127"/>
      <c r="BC379" s="127"/>
      <c r="BD379" s="127"/>
      <c r="BE379" s="274"/>
      <c r="BF379" s="222">
        <f t="shared" si="176"/>
        <v>0</v>
      </c>
      <c r="BG379" s="140">
        <f t="shared" si="177"/>
        <v>0</v>
      </c>
      <c r="BH379" s="132"/>
      <c r="BI379" s="140">
        <f t="shared" si="178"/>
        <v>0</v>
      </c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30">
        <f t="shared" si="179"/>
        <v>0</v>
      </c>
      <c r="BX379" s="132"/>
    </row>
    <row r="380" ht="14.25" customHeight="1">
      <c r="A380" s="132"/>
      <c r="B380" s="512">
        <v>46363</v>
      </c>
      <c r="C380" s="133"/>
      <c r="D380" s="136"/>
      <c r="E380" s="135"/>
      <c r="F380" s="135"/>
      <c r="G380" s="147">
        <f t="shared" si="171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72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03">
        <f t="shared" si="173"/>
        <v>0</v>
      </c>
      <c r="AK380" s="136"/>
      <c r="AL380" s="136"/>
      <c r="AM380" s="136"/>
      <c r="AN380" s="105">
        <f t="shared" si="174"/>
        <v>0</v>
      </c>
      <c r="AO380" s="143"/>
      <c r="AP380" s="143"/>
      <c r="AQ380" s="143"/>
      <c r="AR380" s="143"/>
      <c r="AS380" s="146"/>
      <c r="AT380" s="224">
        <f t="shared" si="175"/>
        <v>0</v>
      </c>
      <c r="AU380" s="433"/>
      <c r="AV380" s="433"/>
      <c r="AW380" s="433"/>
      <c r="AX380" s="433"/>
      <c r="AY380" s="433"/>
      <c r="AZ380" s="428"/>
      <c r="BA380" s="433"/>
      <c r="BB380" s="127"/>
      <c r="BC380" s="127"/>
      <c r="BD380" s="127"/>
      <c r="BE380" s="274"/>
      <c r="BF380" s="222">
        <f t="shared" si="176"/>
        <v>0</v>
      </c>
      <c r="BG380" s="140">
        <f t="shared" si="177"/>
        <v>0</v>
      </c>
      <c r="BH380" s="132"/>
      <c r="BI380" s="140">
        <f t="shared" si="178"/>
        <v>0</v>
      </c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30">
        <f t="shared" si="179"/>
        <v>0</v>
      </c>
      <c r="BX380" s="132"/>
    </row>
    <row r="381" ht="14.25" customHeight="1">
      <c r="A381" s="132"/>
      <c r="B381" s="512">
        <v>46364</v>
      </c>
      <c r="C381" s="133"/>
      <c r="D381" s="136"/>
      <c r="E381" s="135"/>
      <c r="F381" s="135"/>
      <c r="G381" s="147">
        <f t="shared" si="171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72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03">
        <f t="shared" si="173"/>
        <v>0</v>
      </c>
      <c r="AK381" s="136"/>
      <c r="AL381" s="136"/>
      <c r="AM381" s="136"/>
      <c r="AN381" s="105">
        <f t="shared" si="174"/>
        <v>0</v>
      </c>
      <c r="AO381" s="143"/>
      <c r="AP381" s="143"/>
      <c r="AQ381" s="143"/>
      <c r="AR381" s="143"/>
      <c r="AS381" s="146"/>
      <c r="AT381" s="224">
        <f t="shared" si="175"/>
        <v>0</v>
      </c>
      <c r="AU381" s="433"/>
      <c r="AV381" s="433"/>
      <c r="AW381" s="433"/>
      <c r="AX381" s="433"/>
      <c r="AY381" s="433"/>
      <c r="AZ381" s="428"/>
      <c r="BA381" s="433"/>
      <c r="BB381" s="127"/>
      <c r="BC381" s="127"/>
      <c r="BD381" s="127"/>
      <c r="BE381" s="274"/>
      <c r="BF381" s="222">
        <f t="shared" si="176"/>
        <v>0</v>
      </c>
      <c r="BG381" s="140">
        <f t="shared" si="177"/>
        <v>0</v>
      </c>
      <c r="BH381" s="132"/>
      <c r="BI381" s="140">
        <f t="shared" si="178"/>
        <v>0</v>
      </c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30">
        <f t="shared" si="179"/>
        <v>0</v>
      </c>
      <c r="BX381" s="132"/>
    </row>
    <row r="382" ht="14.25" customHeight="1">
      <c r="A382" s="132"/>
      <c r="B382" s="512">
        <v>46365</v>
      </c>
      <c r="C382" s="133"/>
      <c r="D382" s="136"/>
      <c r="E382" s="135"/>
      <c r="F382" s="135"/>
      <c r="G382" s="147">
        <f t="shared" si="171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72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03">
        <f t="shared" si="173"/>
        <v>0</v>
      </c>
      <c r="AK382" s="136"/>
      <c r="AL382" s="136"/>
      <c r="AM382" s="136"/>
      <c r="AN382" s="105">
        <f t="shared" si="174"/>
        <v>0</v>
      </c>
      <c r="AO382" s="143"/>
      <c r="AP382" s="143"/>
      <c r="AQ382" s="143"/>
      <c r="AR382" s="143"/>
      <c r="AS382" s="146"/>
      <c r="AT382" s="224">
        <f t="shared" si="175"/>
        <v>0</v>
      </c>
      <c r="AU382" s="433"/>
      <c r="AV382" s="433"/>
      <c r="AW382" s="433"/>
      <c r="AX382" s="433"/>
      <c r="AY382" s="433"/>
      <c r="AZ382" s="428"/>
      <c r="BA382" s="433"/>
      <c r="BB382" s="127"/>
      <c r="BC382" s="127"/>
      <c r="BD382" s="127"/>
      <c r="BE382" s="274"/>
      <c r="BF382" s="222">
        <f t="shared" si="176"/>
        <v>0</v>
      </c>
      <c r="BG382" s="140">
        <f t="shared" si="177"/>
        <v>0</v>
      </c>
      <c r="BH382" s="132"/>
      <c r="BI382" s="140">
        <f t="shared" si="178"/>
        <v>0</v>
      </c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30">
        <f t="shared" si="179"/>
        <v>0</v>
      </c>
      <c r="BX382" s="132"/>
    </row>
    <row r="383" ht="14.25" customHeight="1">
      <c r="A383" s="132"/>
      <c r="B383" s="512">
        <v>46366</v>
      </c>
      <c r="C383" s="133"/>
      <c r="D383" s="136"/>
      <c r="E383" s="135"/>
      <c r="F383" s="135"/>
      <c r="G383" s="147">
        <f t="shared" si="171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72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03">
        <f t="shared" si="173"/>
        <v>0</v>
      </c>
      <c r="AK383" s="136"/>
      <c r="AL383" s="136"/>
      <c r="AM383" s="136"/>
      <c r="AN383" s="105">
        <f t="shared" si="174"/>
        <v>0</v>
      </c>
      <c r="AO383" s="143"/>
      <c r="AP383" s="143"/>
      <c r="AQ383" s="143"/>
      <c r="AR383" s="143"/>
      <c r="AS383" s="146"/>
      <c r="AT383" s="224">
        <f t="shared" si="175"/>
        <v>0</v>
      </c>
      <c r="AU383" s="433"/>
      <c r="AV383" s="433"/>
      <c r="AW383" s="433"/>
      <c r="AX383" s="433"/>
      <c r="AY383" s="433"/>
      <c r="AZ383" s="428"/>
      <c r="BA383" s="433"/>
      <c r="BB383" s="127"/>
      <c r="BC383" s="127"/>
      <c r="BD383" s="127"/>
      <c r="BE383" s="274"/>
      <c r="BF383" s="222">
        <f t="shared" si="176"/>
        <v>0</v>
      </c>
      <c r="BG383" s="140">
        <f t="shared" si="177"/>
        <v>0</v>
      </c>
      <c r="BH383" s="132"/>
      <c r="BI383" s="140">
        <f t="shared" si="178"/>
        <v>0</v>
      </c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30">
        <f t="shared" si="179"/>
        <v>0</v>
      </c>
      <c r="BX383" s="132"/>
    </row>
    <row r="384" ht="14.25" customHeight="1">
      <c r="A384" s="132"/>
      <c r="B384" s="512">
        <v>46367</v>
      </c>
      <c r="C384" s="133"/>
      <c r="D384" s="136"/>
      <c r="E384" s="135"/>
      <c r="F384" s="135"/>
      <c r="G384" s="147">
        <f t="shared" si="171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72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03">
        <f t="shared" si="173"/>
        <v>0</v>
      </c>
      <c r="AK384" s="136"/>
      <c r="AL384" s="136"/>
      <c r="AM384" s="136"/>
      <c r="AN384" s="105">
        <f t="shared" si="174"/>
        <v>0</v>
      </c>
      <c r="AO384" s="143"/>
      <c r="AP384" s="143"/>
      <c r="AQ384" s="143"/>
      <c r="AR384" s="143"/>
      <c r="AS384" s="146"/>
      <c r="AT384" s="224">
        <f t="shared" si="175"/>
        <v>0</v>
      </c>
      <c r="AU384" s="433"/>
      <c r="AV384" s="433"/>
      <c r="AW384" s="433"/>
      <c r="AX384" s="433"/>
      <c r="AY384" s="433"/>
      <c r="AZ384" s="428"/>
      <c r="BA384" s="433"/>
      <c r="BB384" s="127"/>
      <c r="BC384" s="127"/>
      <c r="BD384" s="127"/>
      <c r="BE384" s="274"/>
      <c r="BF384" s="222">
        <f t="shared" si="176"/>
        <v>0</v>
      </c>
      <c r="BG384" s="140">
        <f t="shared" si="177"/>
        <v>0</v>
      </c>
      <c r="BH384" s="132"/>
      <c r="BI384" s="140">
        <f t="shared" si="178"/>
        <v>0</v>
      </c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30">
        <f t="shared" si="179"/>
        <v>0</v>
      </c>
      <c r="BX384" s="132"/>
    </row>
    <row r="385" ht="14.25" customHeight="1">
      <c r="A385" s="132"/>
      <c r="B385" s="512">
        <v>46368</v>
      </c>
      <c r="C385" s="133"/>
      <c r="D385" s="136"/>
      <c r="E385" s="135"/>
      <c r="F385" s="135"/>
      <c r="G385" s="147">
        <f t="shared" si="171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72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03">
        <f t="shared" si="173"/>
        <v>0</v>
      </c>
      <c r="AK385" s="136"/>
      <c r="AL385" s="136"/>
      <c r="AM385" s="136"/>
      <c r="AN385" s="105">
        <f t="shared" si="174"/>
        <v>0</v>
      </c>
      <c r="AO385" s="143"/>
      <c r="AP385" s="143"/>
      <c r="AQ385" s="143"/>
      <c r="AR385" s="143"/>
      <c r="AS385" s="146"/>
      <c r="AT385" s="224">
        <f t="shared" si="175"/>
        <v>0</v>
      </c>
      <c r="AU385" s="433"/>
      <c r="AV385" s="433"/>
      <c r="AW385" s="433"/>
      <c r="AX385" s="433"/>
      <c r="AY385" s="433"/>
      <c r="AZ385" s="428"/>
      <c r="BA385" s="433"/>
      <c r="BB385" s="127"/>
      <c r="BC385" s="127"/>
      <c r="BD385" s="127"/>
      <c r="BE385" s="274"/>
      <c r="BF385" s="222">
        <f t="shared" si="176"/>
        <v>0</v>
      </c>
      <c r="BG385" s="140">
        <f t="shared" si="177"/>
        <v>0</v>
      </c>
      <c r="BH385" s="132"/>
      <c r="BI385" s="140">
        <f t="shared" si="178"/>
        <v>0</v>
      </c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30">
        <f t="shared" si="179"/>
        <v>0</v>
      </c>
      <c r="BX385" s="132"/>
    </row>
    <row r="386" ht="14.25" customHeight="1">
      <c r="A386" s="132"/>
      <c r="B386" s="512">
        <v>46369</v>
      </c>
      <c r="C386" s="133"/>
      <c r="D386" s="136"/>
      <c r="E386" s="135"/>
      <c r="F386" s="135"/>
      <c r="G386" s="147">
        <f t="shared" si="171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72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03">
        <f t="shared" si="173"/>
        <v>0</v>
      </c>
      <c r="AK386" s="136"/>
      <c r="AL386" s="136"/>
      <c r="AM386" s="136"/>
      <c r="AN386" s="105">
        <f t="shared" si="174"/>
        <v>0</v>
      </c>
      <c r="AO386" s="143"/>
      <c r="AP386" s="143"/>
      <c r="AQ386" s="143"/>
      <c r="AR386" s="143"/>
      <c r="AS386" s="146"/>
      <c r="AT386" s="224">
        <f t="shared" si="175"/>
        <v>0</v>
      </c>
      <c r="AU386" s="433"/>
      <c r="AV386" s="433"/>
      <c r="AW386" s="433"/>
      <c r="AX386" s="433"/>
      <c r="AY386" s="433"/>
      <c r="AZ386" s="428"/>
      <c r="BA386" s="433"/>
      <c r="BB386" s="127"/>
      <c r="BC386" s="127"/>
      <c r="BD386" s="127"/>
      <c r="BE386" s="274"/>
      <c r="BF386" s="222">
        <f t="shared" si="176"/>
        <v>0</v>
      </c>
      <c r="BG386" s="140">
        <f t="shared" si="177"/>
        <v>0</v>
      </c>
      <c r="BH386" s="132"/>
      <c r="BI386" s="140">
        <f t="shared" si="178"/>
        <v>0</v>
      </c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30">
        <f t="shared" si="179"/>
        <v>0</v>
      </c>
      <c r="BX386" s="132"/>
    </row>
    <row r="387" ht="14.25" customHeight="1">
      <c r="A387" s="132"/>
      <c r="B387" s="512">
        <v>46370</v>
      </c>
      <c r="C387" s="133"/>
      <c r="D387" s="136"/>
      <c r="E387" s="135"/>
      <c r="F387" s="135"/>
      <c r="G387" s="147">
        <f t="shared" si="171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72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03">
        <f t="shared" si="173"/>
        <v>0</v>
      </c>
      <c r="AK387" s="136"/>
      <c r="AL387" s="136"/>
      <c r="AM387" s="136"/>
      <c r="AN387" s="105">
        <f t="shared" si="174"/>
        <v>0</v>
      </c>
      <c r="AO387" s="143"/>
      <c r="AP387" s="143"/>
      <c r="AQ387" s="143"/>
      <c r="AR387" s="143"/>
      <c r="AS387" s="146"/>
      <c r="AT387" s="224">
        <f t="shared" si="175"/>
        <v>0</v>
      </c>
      <c r="AU387" s="433"/>
      <c r="AV387" s="433"/>
      <c r="AW387" s="433"/>
      <c r="AX387" s="433"/>
      <c r="AY387" s="433"/>
      <c r="AZ387" s="428"/>
      <c r="BA387" s="433"/>
      <c r="BB387" s="127"/>
      <c r="BC387" s="127"/>
      <c r="BD387" s="127"/>
      <c r="BE387" s="274"/>
      <c r="BF387" s="222">
        <f t="shared" si="176"/>
        <v>0</v>
      </c>
      <c r="BG387" s="140">
        <f t="shared" si="177"/>
        <v>0</v>
      </c>
      <c r="BH387" s="132"/>
      <c r="BI387" s="140">
        <f t="shared" si="178"/>
        <v>0</v>
      </c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30">
        <f t="shared" si="179"/>
        <v>0</v>
      </c>
      <c r="BX387" s="132"/>
    </row>
    <row r="388" ht="14.25" customHeight="1">
      <c r="A388" s="132"/>
      <c r="B388" s="512">
        <v>46371</v>
      </c>
      <c r="C388" s="133"/>
      <c r="D388" s="136"/>
      <c r="E388" s="135"/>
      <c r="F388" s="135"/>
      <c r="G388" s="147">
        <f t="shared" si="171"/>
        <v>0</v>
      </c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72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03">
        <f t="shared" si="173"/>
        <v>0</v>
      </c>
      <c r="AK388" s="136"/>
      <c r="AL388" s="136"/>
      <c r="AM388" s="136"/>
      <c r="AN388" s="105">
        <f t="shared" si="174"/>
        <v>0</v>
      </c>
      <c r="AO388" s="143"/>
      <c r="AP388" s="143"/>
      <c r="AQ388" s="143"/>
      <c r="AR388" s="143"/>
      <c r="AS388" s="146"/>
      <c r="AT388" s="224">
        <f t="shared" si="175"/>
        <v>0</v>
      </c>
      <c r="AU388" s="433"/>
      <c r="AV388" s="433"/>
      <c r="AW388" s="433"/>
      <c r="AX388" s="433"/>
      <c r="AY388" s="433"/>
      <c r="AZ388" s="428"/>
      <c r="BA388" s="433"/>
      <c r="BB388" s="127"/>
      <c r="BC388" s="127"/>
      <c r="BD388" s="127"/>
      <c r="BE388" s="274"/>
      <c r="BF388" s="222">
        <f t="shared" si="176"/>
        <v>0</v>
      </c>
      <c r="BG388" s="140">
        <f t="shared" si="177"/>
        <v>0</v>
      </c>
      <c r="BH388" s="132"/>
      <c r="BI388" s="140">
        <f t="shared" si="178"/>
        <v>0</v>
      </c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30">
        <f t="shared" si="179"/>
        <v>0</v>
      </c>
      <c r="BX388" s="132"/>
    </row>
    <row r="389" ht="14.25" customHeight="1">
      <c r="A389" s="132"/>
      <c r="B389" s="512">
        <v>46372</v>
      </c>
      <c r="C389" s="133"/>
      <c r="D389" s="136"/>
      <c r="E389" s="135"/>
      <c r="F389" s="135"/>
      <c r="G389" s="147">
        <f t="shared" si="171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72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03">
        <f t="shared" si="173"/>
        <v>0</v>
      </c>
      <c r="AK389" s="136"/>
      <c r="AL389" s="136"/>
      <c r="AM389" s="136"/>
      <c r="AN389" s="105">
        <f t="shared" si="174"/>
        <v>0</v>
      </c>
      <c r="AO389" s="143"/>
      <c r="AP389" s="143"/>
      <c r="AQ389" s="143"/>
      <c r="AR389" s="143"/>
      <c r="AS389" s="146"/>
      <c r="AT389" s="224">
        <f t="shared" si="175"/>
        <v>0</v>
      </c>
      <c r="AU389" s="433"/>
      <c r="AV389" s="433"/>
      <c r="AW389" s="433"/>
      <c r="AX389" s="433"/>
      <c r="AY389" s="433"/>
      <c r="AZ389" s="428"/>
      <c r="BA389" s="433"/>
      <c r="BB389" s="127"/>
      <c r="BC389" s="127"/>
      <c r="BD389" s="127"/>
      <c r="BE389" s="274"/>
      <c r="BF389" s="222">
        <f t="shared" si="176"/>
        <v>0</v>
      </c>
      <c r="BG389" s="140">
        <f t="shared" si="177"/>
        <v>0</v>
      </c>
      <c r="BH389" s="132"/>
      <c r="BI389" s="140">
        <f t="shared" si="178"/>
        <v>0</v>
      </c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30">
        <f t="shared" si="179"/>
        <v>0</v>
      </c>
      <c r="BX389" s="132"/>
    </row>
    <row r="390" ht="14.25" customHeight="1">
      <c r="A390" s="132"/>
      <c r="B390" s="512">
        <v>46373</v>
      </c>
      <c r="C390" s="133"/>
      <c r="D390" s="136"/>
      <c r="E390" s="135"/>
      <c r="F390" s="135"/>
      <c r="G390" s="147">
        <f t="shared" si="171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72"/>
        <v>0</v>
      </c>
      <c r="V390" s="143"/>
      <c r="W390" s="143"/>
      <c r="X390" s="143"/>
      <c r="Y390" s="672"/>
      <c r="Z390" s="672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03">
        <f t="shared" si="173"/>
        <v>0</v>
      </c>
      <c r="AK390" s="136"/>
      <c r="AL390" s="136"/>
      <c r="AM390" s="136"/>
      <c r="AN390" s="105">
        <f t="shared" si="174"/>
        <v>0</v>
      </c>
      <c r="AO390" s="143"/>
      <c r="AP390" s="143"/>
      <c r="AQ390" s="143"/>
      <c r="AR390" s="143"/>
      <c r="AS390" s="146"/>
      <c r="AT390" s="224">
        <f t="shared" si="175"/>
        <v>0</v>
      </c>
      <c r="AU390" s="433"/>
      <c r="AV390" s="433"/>
      <c r="AW390" s="433"/>
      <c r="AX390" s="433"/>
      <c r="AY390" s="433"/>
      <c r="AZ390" s="428"/>
      <c r="BA390" s="433"/>
      <c r="BB390" s="127"/>
      <c r="BC390" s="127"/>
      <c r="BD390" s="127"/>
      <c r="BE390" s="274"/>
      <c r="BF390" s="222">
        <f t="shared" si="176"/>
        <v>0</v>
      </c>
      <c r="BG390" s="140">
        <f t="shared" si="177"/>
        <v>0</v>
      </c>
      <c r="BH390" s="132"/>
      <c r="BI390" s="140">
        <f t="shared" si="178"/>
        <v>0</v>
      </c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30">
        <f t="shared" si="179"/>
        <v>0</v>
      </c>
      <c r="BX390" s="132"/>
    </row>
    <row r="391" ht="14.25" customHeight="1">
      <c r="A391" s="132"/>
      <c r="B391" s="512">
        <v>46374</v>
      </c>
      <c r="C391" s="133"/>
      <c r="D391" s="136"/>
      <c r="E391" s="135"/>
      <c r="F391" s="135"/>
      <c r="G391" s="147">
        <f t="shared" si="171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72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03">
        <f t="shared" si="173"/>
        <v>0</v>
      </c>
      <c r="AK391" s="136"/>
      <c r="AL391" s="136"/>
      <c r="AM391" s="136"/>
      <c r="AN391" s="105">
        <f t="shared" si="174"/>
        <v>0</v>
      </c>
      <c r="AO391" s="143"/>
      <c r="AP391" s="143"/>
      <c r="AQ391" s="143"/>
      <c r="AR391" s="143"/>
      <c r="AS391" s="146"/>
      <c r="AT391" s="224">
        <f t="shared" si="175"/>
        <v>0</v>
      </c>
      <c r="AU391" s="433"/>
      <c r="AV391" s="433"/>
      <c r="AW391" s="433"/>
      <c r="AX391" s="433"/>
      <c r="AY391" s="433"/>
      <c r="AZ391" s="428"/>
      <c r="BA391" s="433"/>
      <c r="BB391" s="127"/>
      <c r="BC391" s="127"/>
      <c r="BD391" s="127"/>
      <c r="BE391" s="274"/>
      <c r="BF391" s="222">
        <f t="shared" si="176"/>
        <v>0</v>
      </c>
      <c r="BG391" s="140">
        <f t="shared" si="177"/>
        <v>0</v>
      </c>
      <c r="BH391" s="132"/>
      <c r="BI391" s="140">
        <f t="shared" si="178"/>
        <v>0</v>
      </c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30">
        <f t="shared" si="179"/>
        <v>0</v>
      </c>
      <c r="BX391" s="132"/>
    </row>
    <row r="392" ht="14.25" customHeight="1">
      <c r="A392" s="132"/>
      <c r="B392" s="512">
        <v>46375</v>
      </c>
      <c r="C392" s="133"/>
      <c r="D392" s="136"/>
      <c r="E392" s="135"/>
      <c r="F392" s="135"/>
      <c r="G392" s="147">
        <f t="shared" si="171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72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03">
        <f t="shared" si="173"/>
        <v>0</v>
      </c>
      <c r="AK392" s="136"/>
      <c r="AL392" s="136"/>
      <c r="AM392" s="136"/>
      <c r="AN392" s="105">
        <f t="shared" si="174"/>
        <v>0</v>
      </c>
      <c r="AO392" s="143"/>
      <c r="AP392" s="143"/>
      <c r="AQ392" s="143"/>
      <c r="AR392" s="143"/>
      <c r="AS392" s="146"/>
      <c r="AT392" s="224">
        <f t="shared" si="175"/>
        <v>0</v>
      </c>
      <c r="AU392" s="433"/>
      <c r="AV392" s="433"/>
      <c r="AW392" s="433"/>
      <c r="AX392" s="433"/>
      <c r="AY392" s="433"/>
      <c r="AZ392" s="428"/>
      <c r="BA392" s="433"/>
      <c r="BB392" s="127"/>
      <c r="BC392" s="127"/>
      <c r="BD392" s="127"/>
      <c r="BE392" s="274"/>
      <c r="BF392" s="222">
        <f t="shared" si="176"/>
        <v>0</v>
      </c>
      <c r="BG392" s="140">
        <f t="shared" si="177"/>
        <v>0</v>
      </c>
      <c r="BH392" s="132"/>
      <c r="BI392" s="140">
        <f t="shared" si="178"/>
        <v>0</v>
      </c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30">
        <f t="shared" si="179"/>
        <v>0</v>
      </c>
      <c r="BX392" s="132"/>
    </row>
    <row r="393" ht="14.25" customHeight="1">
      <c r="A393" s="132"/>
      <c r="B393" s="512">
        <v>46376</v>
      </c>
      <c r="C393" s="133"/>
      <c r="D393" s="136"/>
      <c r="E393" s="135"/>
      <c r="F393" s="135"/>
      <c r="G393" s="147">
        <f t="shared" si="171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72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03">
        <f t="shared" si="173"/>
        <v>0</v>
      </c>
      <c r="AK393" s="136"/>
      <c r="AL393" s="136"/>
      <c r="AM393" s="136"/>
      <c r="AN393" s="105">
        <f t="shared" si="174"/>
        <v>0</v>
      </c>
      <c r="AO393" s="143"/>
      <c r="AP393" s="143"/>
      <c r="AQ393" s="143"/>
      <c r="AR393" s="143"/>
      <c r="AS393" s="146"/>
      <c r="AT393" s="224">
        <f t="shared" si="175"/>
        <v>0</v>
      </c>
      <c r="AU393" s="433"/>
      <c r="AV393" s="433"/>
      <c r="AW393" s="433"/>
      <c r="AX393" s="433"/>
      <c r="AY393" s="433"/>
      <c r="AZ393" s="428"/>
      <c r="BA393" s="433"/>
      <c r="BB393" s="127"/>
      <c r="BC393" s="127"/>
      <c r="BD393" s="127"/>
      <c r="BE393" s="274"/>
      <c r="BF393" s="222">
        <f t="shared" si="176"/>
        <v>0</v>
      </c>
      <c r="BG393" s="140">
        <f t="shared" si="177"/>
        <v>0</v>
      </c>
      <c r="BH393" s="132"/>
      <c r="BI393" s="140">
        <f t="shared" si="178"/>
        <v>0</v>
      </c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30">
        <f t="shared" si="179"/>
        <v>0</v>
      </c>
      <c r="BX393" s="132"/>
    </row>
    <row r="394" ht="14.25" customHeight="1">
      <c r="A394" s="132"/>
      <c r="B394" s="512">
        <v>46377</v>
      </c>
      <c r="C394" s="133"/>
      <c r="D394" s="136"/>
      <c r="E394" s="135"/>
      <c r="F394" s="135"/>
      <c r="G394" s="147">
        <f t="shared" si="171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72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03">
        <f t="shared" si="173"/>
        <v>0</v>
      </c>
      <c r="AK394" s="136"/>
      <c r="AL394" s="136"/>
      <c r="AM394" s="136"/>
      <c r="AN394" s="105">
        <f t="shared" si="174"/>
        <v>0</v>
      </c>
      <c r="AO394" s="143"/>
      <c r="AP394" s="143"/>
      <c r="AQ394" s="143"/>
      <c r="AR394" s="143"/>
      <c r="AS394" s="146"/>
      <c r="AT394" s="224">
        <f t="shared" si="175"/>
        <v>0</v>
      </c>
      <c r="AU394" s="433"/>
      <c r="AV394" s="433"/>
      <c r="AW394" s="433"/>
      <c r="AX394" s="433"/>
      <c r="AY394" s="433"/>
      <c r="AZ394" s="428"/>
      <c r="BA394" s="433"/>
      <c r="BB394" s="127"/>
      <c r="BC394" s="127"/>
      <c r="BD394" s="127"/>
      <c r="BE394" s="274"/>
      <c r="BF394" s="222">
        <f t="shared" si="176"/>
        <v>0</v>
      </c>
      <c r="BG394" s="140">
        <f t="shared" si="177"/>
        <v>0</v>
      </c>
      <c r="BH394" s="132"/>
      <c r="BI394" s="140">
        <f t="shared" si="178"/>
        <v>0</v>
      </c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30">
        <f t="shared" si="179"/>
        <v>0</v>
      </c>
      <c r="BX394" s="132"/>
    </row>
    <row r="395" ht="14.25" customHeight="1">
      <c r="A395" s="132"/>
      <c r="B395" s="512">
        <v>46378</v>
      </c>
      <c r="C395" s="133"/>
      <c r="D395" s="136"/>
      <c r="E395" s="135"/>
      <c r="F395" s="135"/>
      <c r="G395" s="147">
        <f t="shared" si="171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72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03">
        <f t="shared" si="173"/>
        <v>0</v>
      </c>
      <c r="AK395" s="136"/>
      <c r="AL395" s="136"/>
      <c r="AM395" s="136"/>
      <c r="AN395" s="105">
        <f t="shared" si="174"/>
        <v>0</v>
      </c>
      <c r="AO395" s="143"/>
      <c r="AP395" s="143"/>
      <c r="AQ395" s="143"/>
      <c r="AR395" s="143"/>
      <c r="AS395" s="146"/>
      <c r="AT395" s="224">
        <f t="shared" si="175"/>
        <v>0</v>
      </c>
      <c r="AU395" s="433"/>
      <c r="AV395" s="433"/>
      <c r="AW395" s="433"/>
      <c r="AX395" s="433"/>
      <c r="AY395" s="433"/>
      <c r="AZ395" s="428"/>
      <c r="BA395" s="433"/>
      <c r="BB395" s="127"/>
      <c r="BC395" s="127"/>
      <c r="BD395" s="127"/>
      <c r="BE395" s="274"/>
      <c r="BF395" s="222">
        <f t="shared" si="176"/>
        <v>0</v>
      </c>
      <c r="BG395" s="140">
        <f t="shared" si="177"/>
        <v>0</v>
      </c>
      <c r="BH395" s="132"/>
      <c r="BI395" s="140">
        <f t="shared" si="178"/>
        <v>0</v>
      </c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30">
        <f t="shared" si="179"/>
        <v>0</v>
      </c>
      <c r="BX395" s="132"/>
    </row>
    <row r="396" ht="14.25" customHeight="1">
      <c r="A396" s="132"/>
      <c r="B396" s="512">
        <v>46379</v>
      </c>
      <c r="C396" s="133"/>
      <c r="D396" s="136"/>
      <c r="E396" s="135"/>
      <c r="F396" s="135"/>
      <c r="G396" s="147">
        <f t="shared" si="171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72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03">
        <f t="shared" si="173"/>
        <v>0</v>
      </c>
      <c r="AK396" s="136"/>
      <c r="AL396" s="136"/>
      <c r="AM396" s="136"/>
      <c r="AN396" s="105">
        <f t="shared" si="174"/>
        <v>0</v>
      </c>
      <c r="AO396" s="143"/>
      <c r="AP396" s="143"/>
      <c r="AQ396" s="143"/>
      <c r="AR396" s="143"/>
      <c r="AS396" s="146"/>
      <c r="AT396" s="224">
        <f t="shared" si="175"/>
        <v>0</v>
      </c>
      <c r="AU396" s="433"/>
      <c r="AV396" s="433"/>
      <c r="AW396" s="433"/>
      <c r="AX396" s="433"/>
      <c r="AY396" s="433"/>
      <c r="AZ396" s="428"/>
      <c r="BA396" s="433"/>
      <c r="BB396" s="127"/>
      <c r="BC396" s="127"/>
      <c r="BD396" s="127"/>
      <c r="BE396" s="274"/>
      <c r="BF396" s="222">
        <f t="shared" si="176"/>
        <v>0</v>
      </c>
      <c r="BG396" s="140">
        <f t="shared" si="177"/>
        <v>0</v>
      </c>
      <c r="BH396" s="132"/>
      <c r="BI396" s="140">
        <f t="shared" si="178"/>
        <v>0</v>
      </c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30">
        <f t="shared" si="179"/>
        <v>0</v>
      </c>
      <c r="BX396" s="132"/>
    </row>
    <row r="397" ht="14.25" customHeight="1">
      <c r="A397" s="132"/>
      <c r="B397" s="512">
        <v>46380</v>
      </c>
      <c r="C397" s="133"/>
      <c r="D397" s="136"/>
      <c r="E397" s="135"/>
      <c r="F397" s="135"/>
      <c r="G397" s="147">
        <f t="shared" si="171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72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03">
        <f t="shared" si="173"/>
        <v>0</v>
      </c>
      <c r="AK397" s="136"/>
      <c r="AL397" s="136"/>
      <c r="AM397" s="136"/>
      <c r="AN397" s="105">
        <f t="shared" si="174"/>
        <v>0</v>
      </c>
      <c r="AO397" s="143"/>
      <c r="AP397" s="143"/>
      <c r="AQ397" s="143"/>
      <c r="AR397" s="143"/>
      <c r="AS397" s="146"/>
      <c r="AT397" s="224">
        <f t="shared" si="175"/>
        <v>0</v>
      </c>
      <c r="AU397" s="433"/>
      <c r="AV397" s="433"/>
      <c r="AW397" s="433"/>
      <c r="AX397" s="433"/>
      <c r="AY397" s="433"/>
      <c r="AZ397" s="428"/>
      <c r="BA397" s="433"/>
      <c r="BB397" s="127"/>
      <c r="BC397" s="127"/>
      <c r="BD397" s="127"/>
      <c r="BE397" s="274"/>
      <c r="BF397" s="222">
        <f t="shared" si="176"/>
        <v>0</v>
      </c>
      <c r="BG397" s="140">
        <f t="shared" si="177"/>
        <v>0</v>
      </c>
      <c r="BH397" s="132"/>
      <c r="BI397" s="140">
        <f t="shared" si="178"/>
        <v>0</v>
      </c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30">
        <f t="shared" si="179"/>
        <v>0</v>
      </c>
      <c r="BX397" s="132"/>
    </row>
    <row r="398" ht="14.25" customHeight="1">
      <c r="A398" s="132"/>
      <c r="B398" s="512">
        <v>46381</v>
      </c>
      <c r="C398" s="133"/>
      <c r="D398" s="136"/>
      <c r="E398" s="135"/>
      <c r="F398" s="135"/>
      <c r="G398" s="147">
        <f t="shared" si="171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72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03">
        <f t="shared" si="173"/>
        <v>0</v>
      </c>
      <c r="AK398" s="136"/>
      <c r="AL398" s="136"/>
      <c r="AM398" s="136"/>
      <c r="AN398" s="105">
        <f t="shared" si="174"/>
        <v>0</v>
      </c>
      <c r="AO398" s="143"/>
      <c r="AP398" s="143"/>
      <c r="AQ398" s="143"/>
      <c r="AR398" s="143"/>
      <c r="AS398" s="146"/>
      <c r="AT398" s="224">
        <f t="shared" si="175"/>
        <v>0</v>
      </c>
      <c r="AU398" s="433"/>
      <c r="AV398" s="433"/>
      <c r="AW398" s="433"/>
      <c r="AX398" s="433"/>
      <c r="AY398" s="433"/>
      <c r="AZ398" s="428"/>
      <c r="BA398" s="433"/>
      <c r="BB398" s="127"/>
      <c r="BC398" s="127"/>
      <c r="BD398" s="127"/>
      <c r="BE398" s="274"/>
      <c r="BF398" s="222">
        <f t="shared" si="176"/>
        <v>0</v>
      </c>
      <c r="BG398" s="140">
        <f t="shared" si="177"/>
        <v>0</v>
      </c>
      <c r="BH398" s="132"/>
      <c r="BI398" s="140">
        <f t="shared" si="178"/>
        <v>0</v>
      </c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30">
        <f t="shared" si="179"/>
        <v>0</v>
      </c>
      <c r="BX398" s="132"/>
    </row>
    <row r="399" ht="14.25" customHeight="1">
      <c r="A399" s="132"/>
      <c r="B399" s="512">
        <v>46382</v>
      </c>
      <c r="C399" s="133"/>
      <c r="D399" s="136"/>
      <c r="E399" s="135"/>
      <c r="F399" s="135"/>
      <c r="G399" s="147">
        <f t="shared" si="171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72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03">
        <f t="shared" si="173"/>
        <v>0</v>
      </c>
      <c r="AK399" s="136"/>
      <c r="AL399" s="136"/>
      <c r="AM399" s="136"/>
      <c r="AN399" s="105">
        <f t="shared" si="174"/>
        <v>0</v>
      </c>
      <c r="AO399" s="143"/>
      <c r="AP399" s="143"/>
      <c r="AQ399" s="143"/>
      <c r="AR399" s="143"/>
      <c r="AS399" s="146"/>
      <c r="AT399" s="224">
        <f t="shared" si="175"/>
        <v>0</v>
      </c>
      <c r="AU399" s="433"/>
      <c r="AV399" s="433"/>
      <c r="AW399" s="433"/>
      <c r="AX399" s="433"/>
      <c r="AY399" s="433"/>
      <c r="AZ399" s="428"/>
      <c r="BA399" s="433"/>
      <c r="BB399" s="127"/>
      <c r="BC399" s="127"/>
      <c r="BD399" s="127"/>
      <c r="BE399" s="274"/>
      <c r="BF399" s="222">
        <f t="shared" si="176"/>
        <v>0</v>
      </c>
      <c r="BG399" s="140">
        <f t="shared" si="177"/>
        <v>0</v>
      </c>
      <c r="BH399" s="132"/>
      <c r="BI399" s="140">
        <f t="shared" si="178"/>
        <v>0</v>
      </c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30">
        <f t="shared" si="179"/>
        <v>0</v>
      </c>
      <c r="BX399" s="132"/>
    </row>
    <row r="400" ht="14.25" customHeight="1">
      <c r="A400" s="132"/>
      <c r="B400" s="512">
        <v>46383</v>
      </c>
      <c r="C400" s="133"/>
      <c r="D400" s="136"/>
      <c r="E400" s="135"/>
      <c r="F400" s="135"/>
      <c r="G400" s="147">
        <f t="shared" si="171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 t="shared" si="172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03">
        <f t="shared" si="173"/>
        <v>0</v>
      </c>
      <c r="AK400" s="136"/>
      <c r="AL400" s="136"/>
      <c r="AM400" s="136"/>
      <c r="AN400" s="105">
        <f t="shared" si="174"/>
        <v>0</v>
      </c>
      <c r="AO400" s="143"/>
      <c r="AP400" s="143"/>
      <c r="AQ400" s="143"/>
      <c r="AR400" s="143"/>
      <c r="AS400" s="146"/>
      <c r="AT400" s="224">
        <f t="shared" si="175"/>
        <v>0</v>
      </c>
      <c r="AU400" s="433"/>
      <c r="AV400" s="433"/>
      <c r="AW400" s="433"/>
      <c r="AX400" s="433"/>
      <c r="AY400" s="433"/>
      <c r="AZ400" s="428"/>
      <c r="BA400" s="433"/>
      <c r="BB400" s="127"/>
      <c r="BC400" s="127"/>
      <c r="BD400" s="127"/>
      <c r="BE400" s="274"/>
      <c r="BF400" s="222">
        <f t="shared" si="176"/>
        <v>0</v>
      </c>
      <c r="BG400" s="140">
        <f t="shared" si="177"/>
        <v>0</v>
      </c>
      <c r="BH400" s="132"/>
      <c r="BI400" s="140">
        <f t="shared" si="178"/>
        <v>0</v>
      </c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30">
        <f t="shared" si="179"/>
        <v>0</v>
      </c>
      <c r="BX400" s="132"/>
    </row>
    <row r="401" ht="14.25" customHeight="1">
      <c r="A401" s="132"/>
      <c r="B401" s="512">
        <v>46384</v>
      </c>
      <c r="C401" s="133"/>
      <c r="D401" s="136"/>
      <c r="E401" s="135"/>
      <c r="F401" s="135"/>
      <c r="G401" s="147">
        <f t="shared" si="171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03">
        <f t="shared" si="172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03">
        <f t="shared" si="173"/>
        <v>0</v>
      </c>
      <c r="AK401" s="136"/>
      <c r="AL401" s="136"/>
      <c r="AM401" s="136"/>
      <c r="AN401" s="105">
        <f t="shared" si="174"/>
        <v>0</v>
      </c>
      <c r="AO401" s="143"/>
      <c r="AP401" s="143"/>
      <c r="AQ401" s="143"/>
      <c r="AR401" s="143"/>
      <c r="AS401" s="146"/>
      <c r="AT401" s="224">
        <f t="shared" si="175"/>
        <v>0</v>
      </c>
      <c r="AU401" s="433"/>
      <c r="AV401" s="433"/>
      <c r="AW401" s="433"/>
      <c r="AX401" s="433"/>
      <c r="AY401" s="433"/>
      <c r="AZ401" s="428"/>
      <c r="BA401" s="433"/>
      <c r="BB401" s="127"/>
      <c r="BC401" s="127"/>
      <c r="BD401" s="127"/>
      <c r="BE401" s="274"/>
      <c r="BF401" s="222">
        <f t="shared" si="176"/>
        <v>0</v>
      </c>
      <c r="BG401" s="140">
        <f t="shared" si="177"/>
        <v>0</v>
      </c>
      <c r="BH401" s="132"/>
      <c r="BI401" s="140">
        <f t="shared" si="178"/>
        <v>0</v>
      </c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30">
        <f t="shared" si="179"/>
        <v>0</v>
      </c>
      <c r="BX401" s="132"/>
    </row>
    <row r="402" ht="14.25" customHeight="1">
      <c r="A402" s="132"/>
      <c r="B402" s="512">
        <v>46385</v>
      </c>
      <c r="C402" s="133"/>
      <c r="D402" s="136"/>
      <c r="E402" s="135"/>
      <c r="F402" s="135"/>
      <c r="G402" s="147">
        <f t="shared" si="171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72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03">
        <f t="shared" si="173"/>
        <v>0</v>
      </c>
      <c r="AK402" s="136"/>
      <c r="AL402" s="136"/>
      <c r="AM402" s="136"/>
      <c r="AN402" s="105">
        <f t="shared" si="174"/>
        <v>0</v>
      </c>
      <c r="AO402" s="143"/>
      <c r="AP402" s="143"/>
      <c r="AQ402" s="143"/>
      <c r="AR402" s="143"/>
      <c r="AS402" s="146"/>
      <c r="AT402" s="224">
        <f t="shared" si="175"/>
        <v>0</v>
      </c>
      <c r="AU402" s="433"/>
      <c r="AV402" s="433"/>
      <c r="AW402" s="433"/>
      <c r="AX402" s="433"/>
      <c r="AY402" s="433"/>
      <c r="AZ402" s="428"/>
      <c r="BA402" s="433"/>
      <c r="BB402" s="127"/>
      <c r="BC402" s="127"/>
      <c r="BD402" s="127"/>
      <c r="BE402" s="274"/>
      <c r="BF402" s="222">
        <f t="shared" si="176"/>
        <v>0</v>
      </c>
      <c r="BG402" s="140">
        <f t="shared" si="177"/>
        <v>0</v>
      </c>
      <c r="BH402" s="132"/>
      <c r="BI402" s="140">
        <f t="shared" si="178"/>
        <v>0</v>
      </c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30">
        <f t="shared" si="179"/>
        <v>0</v>
      </c>
      <c r="BX402" s="132"/>
    </row>
    <row r="403" ht="14.25" customHeight="1">
      <c r="A403" s="132"/>
      <c r="B403" s="512">
        <v>46386</v>
      </c>
      <c r="C403" s="133"/>
      <c r="D403" s="136"/>
      <c r="E403" s="135"/>
      <c r="F403" s="135"/>
      <c r="G403" s="147">
        <f t="shared" si="171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72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03">
        <f t="shared" si="173"/>
        <v>0</v>
      </c>
      <c r="AK403" s="136"/>
      <c r="AL403" s="136"/>
      <c r="AM403" s="136"/>
      <c r="AN403" s="105">
        <f t="shared" si="174"/>
        <v>0</v>
      </c>
      <c r="AO403" s="143"/>
      <c r="AP403" s="143"/>
      <c r="AQ403" s="143"/>
      <c r="AR403" s="143"/>
      <c r="AS403" s="146"/>
      <c r="AT403" s="224">
        <f t="shared" si="175"/>
        <v>0</v>
      </c>
      <c r="AU403" s="433"/>
      <c r="AV403" s="433"/>
      <c r="AW403" s="433"/>
      <c r="AX403" s="433"/>
      <c r="AY403" s="433"/>
      <c r="AZ403" s="428"/>
      <c r="BA403" s="433"/>
      <c r="BB403" s="127"/>
      <c r="BC403" s="127"/>
      <c r="BD403" s="127"/>
      <c r="BE403" s="274"/>
      <c r="BF403" s="222">
        <f t="shared" si="176"/>
        <v>0</v>
      </c>
      <c r="BG403" s="140">
        <f t="shared" si="177"/>
        <v>0</v>
      </c>
      <c r="BH403" s="132"/>
      <c r="BI403" s="140">
        <f t="shared" si="178"/>
        <v>0</v>
      </c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30">
        <f t="shared" si="179"/>
        <v>0</v>
      </c>
      <c r="BX403" s="132"/>
    </row>
    <row r="404" ht="14.25" customHeight="1">
      <c r="A404" s="132"/>
      <c r="B404" s="512">
        <v>46387</v>
      </c>
      <c r="C404" s="153"/>
      <c r="D404" s="159"/>
      <c r="E404" s="156"/>
      <c r="F404" s="156"/>
      <c r="G404" s="147">
        <f t="shared" si="171"/>
        <v>0</v>
      </c>
      <c r="H404" s="612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03">
        <f t="shared" si="172"/>
        <v>0</v>
      </c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57"/>
      <c r="AI404" s="157"/>
      <c r="AJ404" s="103">
        <f t="shared" si="173"/>
        <v>0</v>
      </c>
      <c r="AK404" s="159"/>
      <c r="AL404" s="159"/>
      <c r="AM404" s="159"/>
      <c r="AN404" s="105">
        <f t="shared" si="174"/>
        <v>0</v>
      </c>
      <c r="AO404" s="157"/>
      <c r="AP404" s="157"/>
      <c r="AQ404" s="157"/>
      <c r="AR404" s="157"/>
      <c r="AS404" s="160"/>
      <c r="AT404" s="224">
        <f t="shared" si="175"/>
        <v>0</v>
      </c>
      <c r="AU404" s="435"/>
      <c r="AV404" s="435"/>
      <c r="AW404" s="435"/>
      <c r="AX404" s="435"/>
      <c r="AY404" s="435"/>
      <c r="AZ404" s="428"/>
      <c r="BA404" s="435"/>
      <c r="BB404" s="161"/>
      <c r="BC404" s="161"/>
      <c r="BD404" s="161"/>
      <c r="BE404" s="296"/>
      <c r="BF404" s="222">
        <f t="shared" si="176"/>
        <v>0</v>
      </c>
      <c r="BG404" s="162">
        <f t="shared" si="177"/>
        <v>0</v>
      </c>
      <c r="BH404" s="132"/>
      <c r="BI404" s="162">
        <f t="shared" si="178"/>
        <v>0</v>
      </c>
      <c r="BJ404" s="163"/>
      <c r="BK404" s="163"/>
      <c r="BL404" s="163"/>
      <c r="BM404" s="163"/>
      <c r="BN404" s="163"/>
      <c r="BO404" s="163"/>
      <c r="BP404" s="163"/>
      <c r="BQ404" s="163"/>
      <c r="BR404" s="163"/>
      <c r="BS404" s="141"/>
      <c r="BT404" s="141"/>
      <c r="BU404" s="141"/>
      <c r="BV404" s="163"/>
      <c r="BW404" s="164">
        <f t="shared" si="179"/>
        <v>0</v>
      </c>
      <c r="BX404" s="132"/>
    </row>
    <row r="405" ht="14.25" customHeight="1">
      <c r="A405" s="3"/>
      <c r="B405" s="2"/>
      <c r="C405" s="166">
        <f ref="C405:K405" t="shared" si="180">SUM(C374:C404)</f>
        <v>0</v>
      </c>
      <c r="D405" s="166">
        <f t="shared" si="180"/>
        <v>0</v>
      </c>
      <c r="E405" s="166">
        <f t="shared" si="180"/>
        <v>0</v>
      </c>
      <c r="F405" s="166">
        <f t="shared" si="180"/>
        <v>0</v>
      </c>
      <c r="G405" s="166">
        <f t="shared" si="180"/>
        <v>0</v>
      </c>
      <c r="H405" s="166">
        <f t="shared" si="180"/>
        <v>0</v>
      </c>
      <c r="I405" s="166">
        <f t="shared" si="180"/>
        <v>0</v>
      </c>
      <c r="J405" s="166">
        <f t="shared" si="180"/>
        <v>0</v>
      </c>
      <c r="K405" s="166">
        <f t="shared" si="180"/>
        <v>0</v>
      </c>
      <c r="L405" s="166"/>
      <c r="M405" s="166">
        <f ref="M405:V405" t="shared" si="181">SUM(M374:M404)</f>
        <v>0</v>
      </c>
      <c r="N405" s="166">
        <f t="shared" si="181"/>
        <v>0</v>
      </c>
      <c r="O405" s="166">
        <f t="shared" si="181"/>
        <v>0</v>
      </c>
      <c r="P405" s="166">
        <f t="shared" si="181"/>
        <v>0</v>
      </c>
      <c r="Q405" s="166">
        <f t="shared" si="181"/>
        <v>0</v>
      </c>
      <c r="R405" s="166">
        <f t="shared" si="181"/>
        <v>0</v>
      </c>
      <c r="S405" s="166">
        <f t="shared" si="181"/>
        <v>0</v>
      </c>
      <c r="T405" s="166">
        <f t="shared" si="181"/>
        <v>0</v>
      </c>
      <c r="U405" s="166">
        <f t="shared" si="181"/>
        <v>0</v>
      </c>
      <c r="V405" s="166">
        <f t="shared" si="181"/>
        <v>0</v>
      </c>
      <c r="W405" s="166"/>
      <c r="X405" s="166">
        <f>SUM(X374:X404)</f>
        <v>0</v>
      </c>
      <c r="Y405" s="166"/>
      <c r="Z405" s="166">
        <f ref="Z405:AO405" t="shared" si="182">SUM(Z374:Z404)</f>
        <v>0</v>
      </c>
      <c r="AA405" s="166">
        <f t="shared" si="182"/>
        <v>0</v>
      </c>
      <c r="AB405" s="166">
        <f t="shared" si="182"/>
        <v>0</v>
      </c>
      <c r="AC405" s="166">
        <f t="shared" si="182"/>
        <v>0</v>
      </c>
      <c r="AD405" s="166">
        <f t="shared" si="182"/>
        <v>0</v>
      </c>
      <c r="AE405" s="166">
        <f t="shared" si="182"/>
        <v>0</v>
      </c>
      <c r="AF405" s="166">
        <f t="shared" si="182"/>
        <v>0</v>
      </c>
      <c r="AG405" s="166">
        <f t="shared" si="182"/>
        <v>0</v>
      </c>
      <c r="AH405" s="166">
        <f t="shared" si="182"/>
        <v>0</v>
      </c>
      <c r="AI405" s="166">
        <f t="shared" si="182"/>
        <v>0</v>
      </c>
      <c r="AJ405" s="166">
        <f t="shared" si="182"/>
        <v>0</v>
      </c>
      <c r="AK405" s="166">
        <f t="shared" si="182"/>
        <v>0</v>
      </c>
      <c r="AL405" s="166">
        <f t="shared" si="182"/>
        <v>0</v>
      </c>
      <c r="AM405" s="166">
        <f t="shared" si="182"/>
        <v>0</v>
      </c>
      <c r="AN405" s="166">
        <f t="shared" si="182"/>
        <v>0</v>
      </c>
      <c r="AO405" s="166">
        <f t="shared" si="182"/>
        <v>0</v>
      </c>
      <c r="AP405" s="166"/>
      <c r="AQ405" s="166">
        <f ref="AQ405:BG405" t="shared" si="183">SUM(AQ374:AQ404)</f>
        <v>0</v>
      </c>
      <c r="AR405" s="166">
        <f t="shared" si="183"/>
        <v>0</v>
      </c>
      <c r="AS405" s="166">
        <f t="shared" si="183"/>
        <v>0</v>
      </c>
      <c r="AT405" s="166">
        <f t="shared" si="183"/>
        <v>0</v>
      </c>
      <c r="AU405" s="1068">
        <f t="shared" si="183"/>
        <v>0</v>
      </c>
      <c r="AV405" s="1068">
        <f t="shared" si="183"/>
        <v>0</v>
      </c>
      <c r="AW405" s="1068">
        <f t="shared" si="183"/>
        <v>0</v>
      </c>
      <c r="AX405" s="1068">
        <f t="shared" si="183"/>
        <v>0</v>
      </c>
      <c r="AY405" s="1068">
        <f t="shared" si="183"/>
        <v>0</v>
      </c>
      <c r="AZ405" s="1068">
        <f t="shared" si="183"/>
        <v>0</v>
      </c>
      <c r="BA405" s="1068">
        <f t="shared" si="183"/>
        <v>0</v>
      </c>
      <c r="BB405" s="165">
        <f t="shared" si="183"/>
        <v>0</v>
      </c>
      <c r="BC405" s="165">
        <f t="shared" si="183"/>
        <v>0</v>
      </c>
      <c r="BD405" s="165">
        <f t="shared" si="183"/>
        <v>0</v>
      </c>
      <c r="BE405" s="165">
        <f t="shared" si="183"/>
        <v>0</v>
      </c>
      <c r="BF405" s="166">
        <f t="shared" si="183"/>
        <v>0</v>
      </c>
      <c r="BG405" s="166">
        <f t="shared" si="183"/>
        <v>0</v>
      </c>
      <c r="BH405" s="235"/>
      <c r="BI405" s="166">
        <f ref="BI405:BW405" t="shared" si="184">SUM(BI374:BI404)</f>
        <v>0</v>
      </c>
      <c r="BJ405" s="166">
        <f t="shared" si="184"/>
        <v>0</v>
      </c>
      <c r="BK405" s="166">
        <f t="shared" si="184"/>
        <v>0</v>
      </c>
      <c r="BL405" s="166">
        <f t="shared" si="184"/>
        <v>0</v>
      </c>
      <c r="BM405" s="166">
        <f t="shared" si="184"/>
        <v>0</v>
      </c>
      <c r="BN405" s="166">
        <f t="shared" si="184"/>
        <v>0</v>
      </c>
      <c r="BO405" s="166">
        <f t="shared" si="184"/>
        <v>0</v>
      </c>
      <c r="BP405" s="166">
        <f t="shared" si="184"/>
        <v>0</v>
      </c>
      <c r="BQ405" s="166">
        <f t="shared" si="184"/>
        <v>0</v>
      </c>
      <c r="BR405" s="166">
        <f t="shared" si="184"/>
        <v>0</v>
      </c>
      <c r="BS405" s="166">
        <f t="shared" si="184"/>
        <v>0</v>
      </c>
      <c r="BT405" s="166">
        <f t="shared" si="184"/>
        <v>0</v>
      </c>
      <c r="BU405" s="166">
        <f t="shared" si="184"/>
        <v>0</v>
      </c>
      <c r="BV405" s="166">
        <f t="shared" si="184"/>
        <v>0</v>
      </c>
      <c r="BW405" s="166">
        <f t="shared" si="184"/>
        <v>0</v>
      </c>
      <c r="BX405" s="235"/>
    </row>
  </sheetData>
  <pageMargins left="0.7" right="0.7" top="0.75" bottom="0.75" header="0" footer="0"/>
  <pageSetup orientation="portrait"/>
  <headerFooter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5623"/>
  </sheetPr>
  <dimension ref="A1:BW404"/>
  <sheetViews>
    <sheetView showGridLines="0" zoomScale="42" zoomScaleNormal="4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S138" sqref="BS138:BT146"/>
    </sheetView>
  </sheetViews>
  <sheetFormatPr baseColWidth="10" defaultColWidth="14.42578125" defaultRowHeight="15" customHeight="1" x14ac:dyDescent="0.25"/>
  <cols>
    <col min="1" max="1" width="2.85546875" customWidth="1"/>
    <col min="2" max="2" width="16.28515625" customWidth="1"/>
    <col min="3" max="3" width="12.42578125" customWidth="1"/>
    <col min="4" max="4" width="12.140625" customWidth="1"/>
    <col min="5" max="5" hidden="1" width="8.140625" customWidth="1"/>
    <col min="6" max="6" hidden="1" width="13.5703125" customWidth="1"/>
    <col min="7" max="7" width="18.5703125" customWidth="1"/>
    <col min="8" max="8" width="22.42578125" customWidth="1"/>
    <col min="9" max="9" width="14.85546875" customWidth="1"/>
    <col min="10" max="10" width="14.28515625" customWidth="1"/>
    <col min="11" max="14" width="13.7109375" customWidth="1"/>
    <col min="15" max="19" hidden="1" width="13.7109375" customWidth="1"/>
    <col min="20" max="21" width="17.5703125" customWidth="1"/>
    <col min="22" max="22" width="18" customWidth="1"/>
    <col min="23" max="23" width="6.7109375" customWidth="1"/>
    <col min="24" max="24" width="12.42578125" customWidth="1"/>
    <col min="25" max="25" width="3.28515625" customWidth="1"/>
    <col min="26" max="31" hidden="1" width="12.7109375" customWidth="1"/>
    <col min="32" max="33" width="21.28515625" customWidth="1"/>
    <col min="34" max="34" width="20" customWidth="1"/>
    <col min="35" max="35" width="12" customWidth="1"/>
    <col min="36" max="36" width="12.85546875" customWidth="1"/>
    <col min="37" max="37" width="10.85546875" customWidth="1"/>
    <col min="38" max="38" hidden="1" width="11.140625" customWidth="1"/>
    <col min="39" max="39" width="16.42578125" customWidth="1"/>
    <col min="40" max="41" width="15.140625" customWidth="1"/>
    <col min="42" max="43" hidden="1" width="15.140625" customWidth="1"/>
    <col min="44" max="44" width="12.7109375" customWidth="1"/>
    <col min="45" max="45" width="13.140625" customWidth="1"/>
    <col min="46" max="48" width="11.85546875" customWidth="1"/>
    <col min="49" max="51" hidden="1" width="11.85546875" customWidth="1"/>
    <col min="52" max="52" width="11.85546875" customWidth="1"/>
    <col min="53" max="54" hidden="1" width="11.85546875" customWidth="1"/>
    <col min="55" max="55" hidden="1" width="13.42578125" customWidth="1"/>
    <col min="56" max="56" width="11.85546875" customWidth="1"/>
    <col min="57" max="57" width="13" customWidth="1"/>
    <col min="58" max="58" width="16.42578125" customWidth="1"/>
    <col min="59" max="59" width="4" customWidth="1"/>
    <col min="60" max="60" width="11.42578125" customWidth="1"/>
    <col min="61" max="62" width="12.7109375" customWidth="1"/>
    <col min="63" max="66" hidden="1" width="12.7109375" customWidth="1"/>
    <col min="67" max="67" hidden="1" width="15" customWidth="1"/>
    <col min="68" max="68" hidden="1" width="14.42578125" customWidth="1"/>
    <col min="70" max="73" width="12.7109375" customWidth="1"/>
    <col min="74" max="74" width="11.42578125" customWidth="1"/>
    <col min="75" max="75" width="2.140625" customWidth="1"/>
  </cols>
  <sheetData>
    <row r="1" ht="14.25" customHeight="1">
      <c r="A1" s="559"/>
      <c r="B1" s="560" t="s">
        <v>1</v>
      </c>
      <c r="C1" s="559"/>
      <c r="D1" s="559"/>
      <c r="E1" s="559"/>
      <c r="F1" s="559"/>
      <c r="G1" s="561"/>
      <c r="H1" s="561"/>
      <c r="I1" s="559"/>
      <c r="J1" s="559"/>
      <c r="K1" s="559"/>
      <c r="L1" s="559"/>
      <c r="M1" s="559"/>
      <c r="N1" s="559"/>
      <c r="O1" s="559"/>
      <c r="P1" s="561"/>
      <c r="Q1" s="561"/>
      <c r="R1" s="561"/>
      <c r="S1" s="561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63"/>
      <c r="AN1" s="563"/>
      <c r="AO1" s="563"/>
      <c r="AP1" s="563"/>
      <c r="AQ1" s="563"/>
      <c r="AR1" s="563"/>
      <c r="AS1" s="563"/>
      <c r="AT1" s="559"/>
      <c r="AU1" s="559"/>
      <c r="AV1" s="559"/>
      <c r="AW1" s="559"/>
      <c r="AX1" s="563"/>
      <c r="AY1" s="563"/>
      <c r="AZ1" s="559"/>
      <c r="BA1" s="559"/>
      <c r="BB1" s="559"/>
      <c r="BC1" s="559"/>
      <c r="BD1" s="559"/>
      <c r="BE1" s="563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</row>
    <row r="2" ht="15" customHeight="1">
      <c r="A2" s="14"/>
      <c r="B2" s="20"/>
      <c r="C2" s="689" t="s">
        <v>228</v>
      </c>
      <c r="D2" s="14"/>
      <c r="E2" s="14"/>
      <c r="F2" s="14"/>
      <c r="G2" s="15"/>
      <c r="H2" s="15"/>
      <c r="I2" s="14"/>
      <c r="J2" s="14"/>
      <c r="K2" s="15"/>
      <c r="L2" s="15"/>
      <c r="M2" s="14"/>
      <c r="N2" s="14"/>
      <c r="O2" s="14"/>
      <c r="P2" s="14"/>
      <c r="Q2" s="15"/>
      <c r="R2" s="15"/>
      <c r="S2" s="15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4"/>
      <c r="BA2" s="14"/>
      <c r="BB2" s="14"/>
      <c r="BC2" s="14"/>
      <c r="BD2" s="14"/>
      <c r="BE2" s="16"/>
      <c r="BF2" s="14"/>
      <c r="BG2" s="14"/>
      <c r="BH2" s="14" t="s">
        <v>3</v>
      </c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ht="9" customHeight="1">
      <c r="A3" s="33"/>
      <c r="B3" s="34" t="s">
        <v>6</v>
      </c>
      <c r="C3" s="566" t="s">
        <v>7</v>
      </c>
      <c r="D3" s="566" t="s">
        <v>7</v>
      </c>
      <c r="E3" s="567" t="s">
        <v>8</v>
      </c>
      <c r="F3" s="568" t="s">
        <v>9</v>
      </c>
      <c r="G3" s="61" t="s">
        <v>8</v>
      </c>
      <c r="H3" s="570" t="s">
        <v>10</v>
      </c>
      <c r="I3" s="571" t="s">
        <v>10</v>
      </c>
      <c r="J3" s="571" t="s">
        <v>10</v>
      </c>
      <c r="K3" s="571" t="s">
        <v>10</v>
      </c>
      <c r="L3" s="571" t="s">
        <v>10</v>
      </c>
      <c r="M3" s="571" t="s">
        <v>10</v>
      </c>
      <c r="N3" s="571" t="s">
        <v>10</v>
      </c>
      <c r="O3" s="571" t="s">
        <v>10</v>
      </c>
      <c r="P3" s="571" t="s">
        <v>10</v>
      </c>
      <c r="Q3" s="571" t="s">
        <v>10</v>
      </c>
      <c r="R3" s="571" t="s">
        <v>10</v>
      </c>
      <c r="S3" s="571" t="s">
        <v>10</v>
      </c>
      <c r="T3" s="571" t="s">
        <v>10</v>
      </c>
      <c r="U3" s="1190" t="s">
        <v>10</v>
      </c>
      <c r="V3" s="571" t="s">
        <v>11</v>
      </c>
      <c r="W3" s="571" t="s">
        <v>12</v>
      </c>
      <c r="X3" s="571" t="s">
        <v>12</v>
      </c>
      <c r="Y3" s="571" t="s">
        <v>12</v>
      </c>
      <c r="Z3" s="571" t="s">
        <v>12</v>
      </c>
      <c r="AA3" s="571" t="s">
        <v>12</v>
      </c>
      <c r="AB3" s="571" t="s">
        <v>12</v>
      </c>
      <c r="AC3" s="571" t="s">
        <v>12</v>
      </c>
      <c r="AD3" s="571" t="s">
        <v>12</v>
      </c>
      <c r="AE3" s="571" t="s">
        <v>12</v>
      </c>
      <c r="AF3" s="571" t="s">
        <v>12</v>
      </c>
      <c r="AG3" s="708" t="s">
        <v>12</v>
      </c>
      <c r="AH3" s="708" t="s">
        <v>12</v>
      </c>
      <c r="AI3" s="709" t="s">
        <v>12</v>
      </c>
      <c r="AJ3" s="572" t="s">
        <v>13</v>
      </c>
      <c r="AK3" s="573" t="s">
        <v>13</v>
      </c>
      <c r="AL3" s="573" t="s">
        <v>13</v>
      </c>
      <c r="AM3" s="605" t="s">
        <v>14</v>
      </c>
      <c r="AN3" s="574" t="s">
        <v>15</v>
      </c>
      <c r="AO3" s="574" t="s">
        <v>15</v>
      </c>
      <c r="AP3" s="575" t="s">
        <v>15</v>
      </c>
      <c r="AQ3" s="575" t="s">
        <v>15</v>
      </c>
      <c r="AR3" s="576" t="s">
        <v>16</v>
      </c>
      <c r="AS3" s="1191" t="s">
        <v>4</v>
      </c>
      <c r="AT3" s="1192" t="s">
        <v>17</v>
      </c>
      <c r="AU3" s="59" t="s">
        <v>17</v>
      </c>
      <c r="AV3" s="59" t="s">
        <v>20</v>
      </c>
      <c r="AW3" s="59" t="s">
        <v>20</v>
      </c>
      <c r="AX3" s="59" t="s">
        <v>20</v>
      </c>
      <c r="AY3" s="59" t="s">
        <v>20</v>
      </c>
      <c r="AZ3" s="980" t="s">
        <v>20</v>
      </c>
      <c r="BA3" s="715" t="s">
        <v>20</v>
      </c>
      <c r="BB3" s="715" t="s">
        <v>21</v>
      </c>
      <c r="BC3" s="59" t="s">
        <v>22</v>
      </c>
      <c r="BD3" s="59" t="s">
        <v>24</v>
      </c>
      <c r="BE3" s="51" t="s">
        <v>5</v>
      </c>
      <c r="BF3" s="58" t="s">
        <v>25</v>
      </c>
      <c r="BG3" s="33"/>
      <c r="BH3" s="58" t="s">
        <v>4</v>
      </c>
      <c r="BI3" s="59" t="s">
        <v>26</v>
      </c>
      <c r="BJ3" s="59" t="s">
        <v>89</v>
      </c>
      <c r="BK3" s="59" t="s">
        <v>90</v>
      </c>
      <c r="BL3" s="59" t="s">
        <v>91</v>
      </c>
      <c r="BM3" s="59" t="s">
        <v>92</v>
      </c>
      <c r="BN3" s="59" t="s">
        <v>93</v>
      </c>
      <c r="BO3" s="59" t="s">
        <v>94</v>
      </c>
      <c r="BP3" s="59" t="s">
        <v>95</v>
      </c>
      <c r="BQ3" s="59" t="s">
        <v>95</v>
      </c>
      <c r="BR3" s="59" t="s">
        <v>27</v>
      </c>
      <c r="BS3" s="59" t="s">
        <v>28</v>
      </c>
      <c r="BT3" s="59" t="s">
        <v>28</v>
      </c>
      <c r="BU3" s="59" t="s">
        <v>28</v>
      </c>
      <c r="BV3" s="60" t="s">
        <v>29</v>
      </c>
      <c r="BW3" s="33"/>
    </row>
    <row r="4" ht="13.5" customHeight="1">
      <c r="A4" s="33"/>
      <c r="B4" s="885"/>
      <c r="C4" s="584" t="s">
        <v>30</v>
      </c>
      <c r="D4" s="584" t="s">
        <v>31</v>
      </c>
      <c r="E4" s="585" t="s">
        <v>32</v>
      </c>
      <c r="F4" s="586" t="s">
        <v>33</v>
      </c>
      <c r="G4" s="92" t="s">
        <v>34</v>
      </c>
      <c r="H4" s="590" t="s">
        <v>229</v>
      </c>
      <c r="I4" s="588" t="s">
        <v>103</v>
      </c>
      <c r="J4" s="588" t="s">
        <v>179</v>
      </c>
      <c r="K4" s="588" t="s">
        <v>147</v>
      </c>
      <c r="L4" s="588" t="s">
        <v>38</v>
      </c>
      <c r="M4" s="588" t="s">
        <v>190</v>
      </c>
      <c r="N4" s="734" t="s">
        <v>218</v>
      </c>
      <c r="O4" s="588" t="s">
        <v>57</v>
      </c>
      <c r="P4" s="588" t="s">
        <v>58</v>
      </c>
      <c r="Q4" s="588" t="s">
        <v>59</v>
      </c>
      <c r="R4" s="588"/>
      <c r="S4" s="588"/>
      <c r="T4" s="1193" t="s">
        <v>207</v>
      </c>
      <c r="U4" s="1193" t="s">
        <v>230</v>
      </c>
      <c r="V4" s="595" t="s">
        <v>48</v>
      </c>
      <c r="W4" s="733" t="s">
        <v>231</v>
      </c>
      <c r="X4" s="733" t="s">
        <v>232</v>
      </c>
      <c r="Y4" s="733" t="s">
        <v>233</v>
      </c>
      <c r="Z4" s="733" t="s">
        <v>54</v>
      </c>
      <c r="AA4" s="733" t="s">
        <v>55</v>
      </c>
      <c r="AB4" s="733" t="s">
        <v>56</v>
      </c>
      <c r="AC4" s="733" t="s">
        <v>57</v>
      </c>
      <c r="AD4" s="733" t="s">
        <v>58</v>
      </c>
      <c r="AE4" s="733" t="s">
        <v>59</v>
      </c>
      <c r="AF4" s="733" t="s">
        <v>234</v>
      </c>
      <c r="AG4" s="733" t="s">
        <v>235</v>
      </c>
      <c r="AH4" s="733" t="s">
        <v>207</v>
      </c>
      <c r="AI4" s="595" t="s">
        <v>30</v>
      </c>
      <c r="AJ4" s="599" t="s">
        <v>30</v>
      </c>
      <c r="AK4" s="600" t="s">
        <v>31</v>
      </c>
      <c r="AL4" s="600" t="s">
        <v>32</v>
      </c>
      <c r="AM4" s="90" t="s">
        <v>34</v>
      </c>
      <c r="AN4" s="1194" t="s">
        <v>48</v>
      </c>
      <c r="AO4" s="1194" t="s">
        <v>31</v>
      </c>
      <c r="AP4" s="1195" t="s">
        <v>31</v>
      </c>
      <c r="AQ4" s="1195" t="s">
        <v>32</v>
      </c>
      <c r="AR4" s="1196" t="s">
        <v>60</v>
      </c>
      <c r="AS4" s="1197" t="s">
        <v>61</v>
      </c>
      <c r="AT4" s="1198" t="s">
        <v>62</v>
      </c>
      <c r="AU4" s="605" t="s">
        <v>64</v>
      </c>
      <c r="AV4" s="605" t="s">
        <v>158</v>
      </c>
      <c r="AW4" s="605" t="s">
        <v>66</v>
      </c>
      <c r="AX4" s="605" t="s">
        <v>67</v>
      </c>
      <c r="AY4" s="605" t="s">
        <v>68</v>
      </c>
      <c r="AZ4" s="981" t="s">
        <v>31</v>
      </c>
      <c r="BA4" s="739" t="s">
        <v>32</v>
      </c>
      <c r="BB4" s="739" t="s">
        <v>32</v>
      </c>
      <c r="BC4" s="605"/>
      <c r="BD4" s="605" t="s">
        <v>69</v>
      </c>
      <c r="BE4" s="81" t="s">
        <v>70</v>
      </c>
      <c r="BF4" s="89" t="s">
        <v>71</v>
      </c>
      <c r="BG4" s="33"/>
      <c r="BH4" s="89" t="s">
        <v>72</v>
      </c>
      <c r="BI4" s="90"/>
      <c r="BJ4" s="90" t="s">
        <v>125</v>
      </c>
      <c r="BK4" s="90"/>
      <c r="BL4" s="90" t="s">
        <v>126</v>
      </c>
      <c r="BM4" s="90" t="s">
        <v>127</v>
      </c>
      <c r="BN4" s="90" t="s">
        <v>128</v>
      </c>
      <c r="BO4" s="90" t="s">
        <v>129</v>
      </c>
      <c r="BP4" s="90" t="s">
        <v>130</v>
      </c>
      <c r="BQ4" s="90" t="s">
        <v>131</v>
      </c>
      <c r="BR4" s="90" t="s">
        <v>73</v>
      </c>
      <c r="BS4" s="90" t="s">
        <v>74</v>
      </c>
      <c r="BT4" s="90" t="s">
        <v>75</v>
      </c>
      <c r="BU4" s="90" t="s">
        <v>52</v>
      </c>
      <c r="BV4" s="91"/>
      <c r="BW4" s="33"/>
    </row>
    <row r="5" ht="14.25" customHeight="1">
      <c r="A5" s="3"/>
      <c r="B5" s="444">
        <v>46023</v>
      </c>
      <c r="C5" s="890">
        <f>3580.80-D5-0</f>
      </c>
      <c r="D5" s="891">
        <v>2076.33</v>
      </c>
      <c r="E5" s="97"/>
      <c r="F5" s="97"/>
      <c r="G5" s="147">
        <f ref="G5:G35" t="shared" si="0">+C5+D5+E5+F5</f>
        <v>0</v>
      </c>
      <c r="H5" s="1048"/>
      <c r="I5" s="186"/>
      <c r="J5" s="186"/>
      <c r="K5" s="1148">
        <v>199.47</v>
      </c>
      <c r="L5" s="186"/>
      <c r="M5" s="186"/>
      <c r="N5" s="1049"/>
      <c r="O5" s="186"/>
      <c r="P5" s="186"/>
      <c r="Q5" s="186"/>
      <c r="R5" s="186"/>
      <c r="S5" s="186"/>
      <c r="T5" s="894"/>
      <c r="U5" s="895"/>
      <c r="V5" s="103">
        <f ref="V5:V9" t="shared" si="1">SUM(H5:T5)</f>
        <v>0</v>
      </c>
      <c r="W5" s="186"/>
      <c r="X5" s="186"/>
      <c r="Y5" s="186"/>
      <c r="Z5" s="186"/>
      <c r="AA5" s="186"/>
      <c r="AB5" s="186"/>
      <c r="AC5" s="186"/>
      <c r="AD5" s="186"/>
      <c r="AE5" s="186"/>
      <c r="AF5" s="894"/>
      <c r="AG5" s="894"/>
      <c r="AH5" s="186"/>
      <c r="AI5" s="103">
        <f ref="AI5:AI35" t="shared" si="2">SUM(W5:AH5)</f>
        <v>0</v>
      </c>
      <c r="AJ5" s="983">
        <v>180</v>
      </c>
      <c r="AK5" s="897">
        <v>697.27</v>
      </c>
      <c r="AL5" s="104"/>
      <c r="AM5" s="975">
        <f ref="AM5:AM35" t="shared" si="3">SUM(AJ5:AL5)</f>
        <v>0</v>
      </c>
      <c r="AN5" s="1199"/>
      <c r="AO5" s="1200"/>
      <c r="AP5" s="186"/>
      <c r="AQ5" s="186"/>
      <c r="AR5" s="186"/>
      <c r="AS5" s="1201">
        <f ref="AS5:AS35" t="shared" si="4">+G5-V5-AI5-AM5-AN5-AP5-AQ5-AR5</f>
        <v>0</v>
      </c>
      <c r="AT5" s="1759">
        <v>427.8</v>
      </c>
      <c r="AU5" s="1537"/>
      <c r="AV5" s="1537"/>
      <c r="AW5" s="1548"/>
      <c r="AX5" s="1548"/>
      <c r="AY5" s="1548"/>
      <c r="AZ5" s="1759">
        <v>2076.3</v>
      </c>
      <c r="BA5" s="1548"/>
      <c r="BB5" s="1548"/>
      <c r="BC5" s="1548"/>
      <c r="BD5" s="1537"/>
      <c r="BE5" s="222">
        <f ref="BE5:BE35" t="shared" si="5">SUM(AT5:BD5)-BC5</f>
        <v>0</v>
      </c>
      <c r="BF5" s="114">
        <f ref="BF5:BF35" t="shared" si="6">+AS5-BE5</f>
        <v>0</v>
      </c>
      <c r="BG5" s="3"/>
      <c r="BH5" s="114">
        <f ref="BH5:BH35" t="shared" si="7">SUM(BI5:BU5)</f>
        <v>0</v>
      </c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898"/>
      <c r="BT5" s="899"/>
      <c r="BU5" s="115"/>
      <c r="BV5" s="116">
        <f ref="BV5:BV35" t="shared" si="8">+BF5-BH5</f>
        <v>0</v>
      </c>
      <c r="BW5" s="3"/>
    </row>
    <row r="6" ht="14.25" customHeight="1">
      <c r="A6" s="3"/>
      <c r="B6" s="444">
        <v>46024</v>
      </c>
      <c r="C6" s="906">
        <f>8729.37-D6-0</f>
      </c>
      <c r="D6" s="901">
        <v>1846.85</v>
      </c>
      <c r="E6" s="120"/>
      <c r="F6" s="120"/>
      <c r="G6" s="147">
        <f t="shared" si="0"/>
        <v>0</v>
      </c>
      <c r="H6" s="1149">
        <v>230.37</v>
      </c>
      <c r="I6" s="143"/>
      <c r="J6" s="143"/>
      <c r="K6" s="905">
        <v>2937.3</v>
      </c>
      <c r="L6" s="143"/>
      <c r="M6" s="143"/>
      <c r="N6" s="904"/>
      <c r="O6" s="143"/>
      <c r="P6" s="143"/>
      <c r="Q6" s="143"/>
      <c r="R6" s="143"/>
      <c r="S6" s="143"/>
      <c r="T6" s="905"/>
      <c r="U6" s="895"/>
      <c r="V6" s="103">
        <f t="shared" si="1"/>
        <v>0</v>
      </c>
      <c r="W6" s="143"/>
      <c r="X6" s="143"/>
      <c r="Y6" s="143"/>
      <c r="Z6" s="143"/>
      <c r="AA6" s="143"/>
      <c r="AB6" s="143"/>
      <c r="AC6" s="143"/>
      <c r="AD6" s="143"/>
      <c r="AE6" s="143"/>
      <c r="AF6" s="905"/>
      <c r="AG6" s="905"/>
      <c r="AH6" s="143"/>
      <c r="AI6" s="103">
        <f t="shared" si="2"/>
        <v>0</v>
      </c>
      <c r="AJ6" s="906">
        <v>876.49</v>
      </c>
      <c r="AK6" s="907">
        <v>431.4</v>
      </c>
      <c r="AL6" s="123"/>
      <c r="AM6" s="975">
        <f t="shared" si="3"/>
        <v>0</v>
      </c>
      <c r="AN6" s="1202"/>
      <c r="AO6" s="895"/>
      <c r="AP6" s="143"/>
      <c r="AQ6" s="143"/>
      <c r="AR6" s="145">
        <v>10.47</v>
      </c>
      <c r="AS6" s="1203">
        <f t="shared" si="4"/>
        <v>0</v>
      </c>
      <c r="AT6" s="1760">
        <v>2344.5</v>
      </c>
      <c r="AU6" s="1546"/>
      <c r="AV6" s="1546"/>
      <c r="AW6" s="1548"/>
      <c r="AX6" s="1548"/>
      <c r="AY6" s="1548"/>
      <c r="AZ6" s="1760">
        <v>1846.9</v>
      </c>
      <c r="BA6" s="1548"/>
      <c r="BB6" s="1548"/>
      <c r="BC6" s="1548"/>
      <c r="BD6" s="1546"/>
      <c r="BE6" s="222">
        <f t="shared" si="5"/>
        <v>0</v>
      </c>
      <c r="BF6" s="113">
        <f t="shared" si="6"/>
        <v>0</v>
      </c>
      <c r="BG6" s="3"/>
      <c r="BH6" s="113">
        <f t="shared" si="7"/>
        <v>0</v>
      </c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04"/>
      <c r="BT6" s="909">
        <v>52</v>
      </c>
      <c r="BU6" s="129"/>
      <c r="BV6" s="130">
        <f t="shared" si="8"/>
        <v>0</v>
      </c>
      <c r="BW6" s="3"/>
    </row>
    <row r="7" ht="14.25" customHeight="1">
      <c r="A7" s="3"/>
      <c r="B7" s="444">
        <v>46025</v>
      </c>
      <c r="C7" s="900">
        <f>3397.37-D7-0</f>
      </c>
      <c r="D7" s="901">
        <v>1726.1</v>
      </c>
      <c r="E7" s="120"/>
      <c r="F7" s="120"/>
      <c r="G7" s="147">
        <f t="shared" si="0"/>
        <v>0</v>
      </c>
      <c r="H7" s="1150"/>
      <c r="I7" s="143"/>
      <c r="J7" s="143"/>
      <c r="K7" s="988">
        <v>149.9</v>
      </c>
      <c r="L7" s="143"/>
      <c r="M7" s="143"/>
      <c r="N7" s="905"/>
      <c r="O7" s="143"/>
      <c r="P7" s="143"/>
      <c r="Q7" s="143"/>
      <c r="R7" s="143"/>
      <c r="S7" s="143"/>
      <c r="T7" s="905"/>
      <c r="U7" s="895"/>
      <c r="V7" s="103">
        <f t="shared" si="1"/>
        <v>0</v>
      </c>
      <c r="W7" s="143"/>
      <c r="X7" s="143"/>
      <c r="Y7" s="143"/>
      <c r="Z7" s="143"/>
      <c r="AA7" s="143"/>
      <c r="AB7" s="143"/>
      <c r="AC7" s="143"/>
      <c r="AD7" s="143"/>
      <c r="AE7" s="143"/>
      <c r="AF7" s="904"/>
      <c r="AG7" s="999"/>
      <c r="AH7" s="143"/>
      <c r="AI7" s="103">
        <f t="shared" si="2"/>
        <v>0</v>
      </c>
      <c r="AJ7" s="1205"/>
      <c r="AK7" s="907">
        <v>328.05</v>
      </c>
      <c r="AL7" s="123"/>
      <c r="AM7" s="975">
        <f t="shared" si="3"/>
        <v>0</v>
      </c>
      <c r="AN7" s="1206"/>
      <c r="AO7" s="912"/>
      <c r="AP7" s="143"/>
      <c r="AQ7" s="143"/>
      <c r="AR7" s="143"/>
      <c r="AS7" s="1203">
        <f t="shared" si="4"/>
        <v>0</v>
      </c>
      <c r="AT7" s="1760">
        <v>1193.4</v>
      </c>
      <c r="AU7" s="1546"/>
      <c r="AV7" s="1546"/>
      <c r="AW7" s="1548"/>
      <c r="AX7" s="1548"/>
      <c r="AY7" s="1548"/>
      <c r="AZ7" s="1760">
        <v>1726.1</v>
      </c>
      <c r="BA7" s="1548"/>
      <c r="BB7" s="1548"/>
      <c r="BC7" s="1548"/>
      <c r="BD7" s="1546"/>
      <c r="BE7" s="222">
        <f t="shared" si="5"/>
        <v>0</v>
      </c>
      <c r="BF7" s="113">
        <f t="shared" si="6"/>
        <v>0</v>
      </c>
      <c r="BG7" s="3"/>
      <c r="BH7" s="113">
        <f t="shared" si="7"/>
        <v>0</v>
      </c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908"/>
      <c r="BT7" s="909"/>
      <c r="BU7" s="129"/>
      <c r="BV7" s="130">
        <f t="shared" si="8"/>
        <v>0</v>
      </c>
      <c r="BW7" s="3"/>
    </row>
    <row r="8" ht="14.25" customHeight="1">
      <c r="A8" s="3"/>
      <c r="B8" s="444">
        <v>46026</v>
      </c>
      <c r="C8" s="900">
        <f>11089.83-D8-0</f>
      </c>
      <c r="D8" s="901">
        <v>1927.97</v>
      </c>
      <c r="E8" s="120"/>
      <c r="F8" s="120"/>
      <c r="G8" s="147">
        <f t="shared" si="0"/>
        <v>0</v>
      </c>
      <c r="H8" s="1053"/>
      <c r="I8" s="143"/>
      <c r="J8" s="143"/>
      <c r="K8" s="988">
        <v>808.09</v>
      </c>
      <c r="L8" s="143"/>
      <c r="M8" s="143"/>
      <c r="N8" s="905"/>
      <c r="O8" s="143"/>
      <c r="P8" s="143"/>
      <c r="Q8" s="143"/>
      <c r="R8" s="143"/>
      <c r="S8" s="143"/>
      <c r="T8" s="905"/>
      <c r="U8" s="895"/>
      <c r="V8" s="103">
        <f t="shared" si="1"/>
        <v>0</v>
      </c>
      <c r="W8" s="143"/>
      <c r="X8" s="143"/>
      <c r="Y8" s="143"/>
      <c r="Z8" s="143"/>
      <c r="AA8" s="143"/>
      <c r="AB8" s="143"/>
      <c r="AC8" s="143"/>
      <c r="AD8" s="143"/>
      <c r="AE8" s="143"/>
      <c r="AF8" s="904"/>
      <c r="AG8" s="904"/>
      <c r="AH8" s="143"/>
      <c r="AI8" s="103">
        <f t="shared" si="2"/>
        <v>0</v>
      </c>
      <c r="AJ8" s="911">
        <v>1149.34</v>
      </c>
      <c r="AK8" s="907">
        <v>453.84</v>
      </c>
      <c r="AL8" s="123"/>
      <c r="AM8" s="975">
        <f t="shared" si="3"/>
        <v>0</v>
      </c>
      <c r="AN8" s="1206"/>
      <c r="AO8" s="912"/>
      <c r="AP8" s="143"/>
      <c r="AQ8" s="143"/>
      <c r="AR8" s="143"/>
      <c r="AS8" s="1203">
        <f t="shared" si="4"/>
        <v>0</v>
      </c>
      <c r="AT8" s="1760">
        <v>6750.7</v>
      </c>
      <c r="AU8" s="1546"/>
      <c r="AV8" s="1546"/>
      <c r="AW8" s="1548"/>
      <c r="AX8" s="1548"/>
      <c r="AY8" s="1548"/>
      <c r="AZ8" s="1760">
        <v>1928</v>
      </c>
      <c r="BA8" s="1548"/>
      <c r="BB8" s="1548"/>
      <c r="BC8" s="1548"/>
      <c r="BD8" s="1546"/>
      <c r="BE8" s="222">
        <f t="shared" si="5"/>
        <v>0</v>
      </c>
      <c r="BF8" s="113">
        <f t="shared" si="6"/>
        <v>0</v>
      </c>
      <c r="BG8" s="3"/>
      <c r="BH8" s="113">
        <f t="shared" si="7"/>
        <v>0</v>
      </c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914"/>
      <c r="BT8" s="909"/>
      <c r="BU8" s="129"/>
      <c r="BV8" s="130">
        <f t="shared" si="8"/>
        <v>0</v>
      </c>
      <c r="BW8" s="3"/>
    </row>
    <row r="9" ht="14.25" customHeight="1">
      <c r="A9" s="3"/>
      <c r="B9" s="444">
        <v>46027</v>
      </c>
      <c r="C9" s="900">
        <f>8889.60-D9-0</f>
      </c>
      <c r="D9" s="901">
        <v>1887.82</v>
      </c>
      <c r="E9" s="120"/>
      <c r="F9" s="120"/>
      <c r="G9" s="147">
        <f t="shared" si="0"/>
        <v>0</v>
      </c>
      <c r="H9" s="1059">
        <v>271.54</v>
      </c>
      <c r="I9" s="143"/>
      <c r="J9" s="143"/>
      <c r="K9" s="904">
        <v>2529.59</v>
      </c>
      <c r="L9" s="143"/>
      <c r="M9" s="143"/>
      <c r="N9" s="904"/>
      <c r="O9" s="143"/>
      <c r="P9" s="143"/>
      <c r="Q9" s="143"/>
      <c r="R9" s="143"/>
      <c r="S9" s="143"/>
      <c r="T9" s="905"/>
      <c r="U9" s="895"/>
      <c r="V9" s="103">
        <f t="shared" si="1"/>
        <v>0</v>
      </c>
      <c r="W9" s="143"/>
      <c r="X9" s="143"/>
      <c r="Y9" s="143"/>
      <c r="Z9" s="143"/>
      <c r="AA9" s="143"/>
      <c r="AB9" s="143"/>
      <c r="AC9" s="143"/>
      <c r="AD9" s="143"/>
      <c r="AE9" s="143"/>
      <c r="AF9" s="905"/>
      <c r="AG9" s="905"/>
      <c r="AH9" s="143"/>
      <c r="AI9" s="103">
        <f t="shared" si="2"/>
        <v>0</v>
      </c>
      <c r="AJ9" s="911">
        <v>444.22</v>
      </c>
      <c r="AK9" s="907">
        <v>593.57</v>
      </c>
      <c r="AL9" s="123"/>
      <c r="AM9" s="975">
        <f t="shared" si="3"/>
        <v>0</v>
      </c>
      <c r="AN9" s="1202"/>
      <c r="AO9" s="895"/>
      <c r="AP9" s="143"/>
      <c r="AQ9" s="143"/>
      <c r="AR9" s="143"/>
      <c r="AS9" s="1203">
        <f t="shared" si="4"/>
        <v>0</v>
      </c>
      <c r="AT9" s="1760">
        <v>3142.8</v>
      </c>
      <c r="AU9" s="1546"/>
      <c r="AV9" s="1546"/>
      <c r="AW9" s="1548"/>
      <c r="AX9" s="1548"/>
      <c r="AY9" s="1548"/>
      <c r="AZ9" s="1760">
        <v>1887.9</v>
      </c>
      <c r="BA9" s="1548"/>
      <c r="BB9" s="1548"/>
      <c r="BC9" s="1548"/>
      <c r="BD9" s="1546"/>
      <c r="BE9" s="222">
        <f t="shared" si="5"/>
        <v>0</v>
      </c>
      <c r="BF9" s="113">
        <f t="shared" si="6"/>
        <v>0</v>
      </c>
      <c r="BG9" s="3"/>
      <c r="BH9" s="113">
        <f t="shared" si="7"/>
        <v>0</v>
      </c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056"/>
      <c r="BT9" s="909">
        <v>20</v>
      </c>
      <c r="BU9" s="129"/>
      <c r="BV9" s="130">
        <f t="shared" si="8"/>
        <v>0</v>
      </c>
      <c r="BW9" s="3"/>
    </row>
    <row r="10" ht="14.25" customHeight="1">
      <c r="A10" s="3"/>
      <c r="B10" s="444">
        <v>46028</v>
      </c>
      <c r="C10" s="900">
        <f>11388.38-D10-0</f>
      </c>
      <c r="D10" s="901">
        <v>1213.08</v>
      </c>
      <c r="E10" s="120"/>
      <c r="F10" s="120"/>
      <c r="G10" s="147">
        <f t="shared" si="0"/>
        <v>0</v>
      </c>
      <c r="H10" s="1053"/>
      <c r="I10" s="143"/>
      <c r="J10" s="143"/>
      <c r="K10" s="988">
        <v>262.7</v>
      </c>
      <c r="L10" s="143"/>
      <c r="M10" s="143"/>
      <c r="N10" s="904"/>
      <c r="O10" s="143"/>
      <c r="P10" s="143"/>
      <c r="Q10" s="143"/>
      <c r="R10" s="143"/>
      <c r="S10" s="143"/>
      <c r="T10" s="904"/>
      <c r="U10" s="989">
        <v>17.32</v>
      </c>
      <c r="V10" s="103">
        <f>SUM(H10:U10)</f>
        <v>0</v>
      </c>
      <c r="W10" s="143"/>
      <c r="X10" s="143"/>
      <c r="Y10" s="143"/>
      <c r="Z10" s="143"/>
      <c r="AA10" s="143"/>
      <c r="AB10" s="143"/>
      <c r="AC10" s="143"/>
      <c r="AD10" s="143"/>
      <c r="AE10" s="143"/>
      <c r="AF10" s="905"/>
      <c r="AG10" s="905"/>
      <c r="AH10" s="143"/>
      <c r="AI10" s="103">
        <f t="shared" si="2"/>
        <v>0</v>
      </c>
      <c r="AJ10" s="906">
        <v>1229.22</v>
      </c>
      <c r="AK10" s="907">
        <v>219.91</v>
      </c>
      <c r="AL10" s="123"/>
      <c r="AM10" s="975">
        <f t="shared" si="3"/>
        <v>0</v>
      </c>
      <c r="AN10" s="1202"/>
      <c r="AO10" s="895"/>
      <c r="AP10" s="143"/>
      <c r="AQ10" s="143"/>
      <c r="AR10" s="143"/>
      <c r="AS10" s="1203">
        <f t="shared" si="4"/>
        <v>0</v>
      </c>
      <c r="AT10" s="1760">
        <v>8446.2</v>
      </c>
      <c r="AU10" s="1546"/>
      <c r="AV10" s="1546"/>
      <c r="AW10" s="1548"/>
      <c r="AX10" s="1548"/>
      <c r="AY10" s="1548"/>
      <c r="AZ10" s="1760">
        <v>1213.1</v>
      </c>
      <c r="BA10" s="1548"/>
      <c r="BB10" s="1548"/>
      <c r="BC10" s="1548"/>
      <c r="BD10" s="1546"/>
      <c r="BE10" s="222">
        <f t="shared" si="5"/>
        <v>0</v>
      </c>
      <c r="BF10" s="113">
        <f t="shared" si="6"/>
        <v>0</v>
      </c>
      <c r="BG10" s="3"/>
      <c r="BH10" s="113">
        <f t="shared" si="7"/>
        <v>0</v>
      </c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914"/>
      <c r="BT10" s="909"/>
      <c r="BU10" s="129"/>
      <c r="BV10" s="130">
        <f t="shared" si="8"/>
        <v>0</v>
      </c>
      <c r="BW10" s="3"/>
    </row>
    <row r="11" ht="14.25" customHeight="1">
      <c r="A11" s="3"/>
      <c r="B11" s="444">
        <v>46029</v>
      </c>
      <c r="C11" s="900">
        <f>18727.98-D11-0</f>
      </c>
      <c r="D11" s="901">
        <v>1733.19</v>
      </c>
      <c r="E11" s="120"/>
      <c r="F11" s="120"/>
      <c r="G11" s="147">
        <f t="shared" si="0"/>
        <v>0</v>
      </c>
      <c r="H11" s="1059">
        <v>1451.14</v>
      </c>
      <c r="I11" s="143"/>
      <c r="J11" s="143"/>
      <c r="K11" s="904">
        <v>605</v>
      </c>
      <c r="L11" s="143"/>
      <c r="M11" s="143"/>
      <c r="N11" s="904"/>
      <c r="O11" s="143"/>
      <c r="P11" s="143"/>
      <c r="Q11" s="143"/>
      <c r="R11" s="143"/>
      <c r="S11" s="143"/>
      <c r="T11" s="904"/>
      <c r="U11" s="912"/>
      <c r="V11" s="103">
        <f>SUM(H11:T11)</f>
        <v>0</v>
      </c>
      <c r="W11" s="143"/>
      <c r="X11" s="143"/>
      <c r="Y11" s="143"/>
      <c r="Z11" s="143"/>
      <c r="AA11" s="143"/>
      <c r="AB11" s="143"/>
      <c r="AC11" s="143"/>
      <c r="AD11" s="143"/>
      <c r="AE11" s="143"/>
      <c r="AF11" s="904"/>
      <c r="AG11" s="905"/>
      <c r="AH11" s="143"/>
      <c r="AI11" s="103">
        <f t="shared" si="2"/>
        <v>0</v>
      </c>
      <c r="AJ11" s="906">
        <v>6906.34</v>
      </c>
      <c r="AK11" s="907">
        <v>577.67</v>
      </c>
      <c r="AL11" s="123"/>
      <c r="AM11" s="975">
        <f t="shared" si="3"/>
        <v>0</v>
      </c>
      <c r="AN11" s="1202"/>
      <c r="AO11" s="895"/>
      <c r="AP11" s="143"/>
      <c r="AQ11" s="143"/>
      <c r="AR11" s="143"/>
      <c r="AS11" s="1203">
        <f t="shared" si="4"/>
        <v>0</v>
      </c>
      <c r="AT11" s="1760">
        <v>7434.6</v>
      </c>
      <c r="AU11" s="1546"/>
      <c r="AV11" s="1546"/>
      <c r="AW11" s="1548"/>
      <c r="AX11" s="1548"/>
      <c r="AY11" s="1548"/>
      <c r="AZ11" s="1760">
        <v>1733.2</v>
      </c>
      <c r="BA11" s="1548"/>
      <c r="BB11" s="1548"/>
      <c r="BC11" s="1548"/>
      <c r="BD11" s="1546"/>
      <c r="BE11" s="222">
        <f t="shared" si="5"/>
        <v>0</v>
      </c>
      <c r="BF11" s="113">
        <f t="shared" si="6"/>
        <v>0</v>
      </c>
      <c r="BG11" s="3"/>
      <c r="BH11" s="113">
        <f t="shared" si="7"/>
        <v>0</v>
      </c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056"/>
      <c r="BT11" s="909">
        <v>20</v>
      </c>
      <c r="BU11" s="129"/>
      <c r="BV11" s="130">
        <f t="shared" si="8"/>
        <v>0</v>
      </c>
      <c r="BW11" s="3"/>
    </row>
    <row r="12" ht="14.25" customHeight="1">
      <c r="A12" s="3"/>
      <c r="B12" s="444">
        <v>46030</v>
      </c>
      <c r="C12" s="900">
        <f>11477.41-D12-0</f>
      </c>
      <c r="D12" s="901">
        <v>1608.09</v>
      </c>
      <c r="E12" s="120"/>
      <c r="F12" s="120"/>
      <c r="G12" s="147">
        <f t="shared" si="0"/>
        <v>0</v>
      </c>
      <c r="H12" s="1053"/>
      <c r="I12" s="143"/>
      <c r="J12" s="143"/>
      <c r="K12" s="904">
        <v>1195.52</v>
      </c>
      <c r="L12" s="143"/>
      <c r="M12" s="143"/>
      <c r="N12" s="904"/>
      <c r="O12" s="143"/>
      <c r="P12" s="143"/>
      <c r="Q12" s="143"/>
      <c r="R12" s="143"/>
      <c r="S12" s="143"/>
      <c r="T12" s="905"/>
      <c r="U12" s="997">
        <v>104.81</v>
      </c>
      <c r="V12" s="103">
        <f>SUM(H12:U12)</f>
        <v>0</v>
      </c>
      <c r="W12" s="143"/>
      <c r="X12" s="143"/>
      <c r="Y12" s="143"/>
      <c r="Z12" s="143"/>
      <c r="AA12" s="143"/>
      <c r="AB12" s="143"/>
      <c r="AC12" s="143"/>
      <c r="AD12" s="143"/>
      <c r="AE12" s="143"/>
      <c r="AF12" s="904"/>
      <c r="AG12" s="999"/>
      <c r="AH12" s="143"/>
      <c r="AI12" s="103">
        <f t="shared" si="2"/>
        <v>0</v>
      </c>
      <c r="AJ12" s="906">
        <v>1129.86</v>
      </c>
      <c r="AK12" s="907">
        <v>534.37</v>
      </c>
      <c r="AL12" s="123"/>
      <c r="AM12" s="975">
        <f t="shared" si="3"/>
        <v>0</v>
      </c>
      <c r="AN12" s="1206"/>
      <c r="AO12" s="912"/>
      <c r="AP12" s="143"/>
      <c r="AQ12" s="143"/>
      <c r="AR12" s="143"/>
      <c r="AS12" s="1203">
        <f t="shared" si="4"/>
        <v>0</v>
      </c>
      <c r="AT12" s="1760">
        <v>6904.8</v>
      </c>
      <c r="AU12" s="1546"/>
      <c r="AV12" s="1546"/>
      <c r="AW12" s="1548"/>
      <c r="AX12" s="1548"/>
      <c r="AY12" s="1548"/>
      <c r="AZ12" s="1760">
        <v>1608.1</v>
      </c>
      <c r="BA12" s="1548"/>
      <c r="BB12" s="1548"/>
      <c r="BC12" s="1548"/>
      <c r="BD12" s="1546"/>
      <c r="BE12" s="222">
        <f t="shared" si="5"/>
        <v>0</v>
      </c>
      <c r="BF12" s="113">
        <f t="shared" si="6"/>
        <v>0</v>
      </c>
      <c r="BG12" s="3"/>
      <c r="BH12" s="113">
        <f t="shared" si="7"/>
        <v>0</v>
      </c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914"/>
      <c r="BT12" s="909"/>
      <c r="BU12" s="129"/>
      <c r="BV12" s="130">
        <f t="shared" si="8"/>
        <v>0</v>
      </c>
      <c r="BW12" s="3"/>
    </row>
    <row r="13" ht="14.25" customHeight="1">
      <c r="A13" s="3"/>
      <c r="B13" s="444">
        <v>46031</v>
      </c>
      <c r="C13" s="900">
        <f>9737.65-D13-0</f>
      </c>
      <c r="D13" s="901">
        <v>1542.51</v>
      </c>
      <c r="E13" s="120"/>
      <c r="F13" s="120"/>
      <c r="G13" s="147">
        <f t="shared" si="0"/>
        <v>0</v>
      </c>
      <c r="H13" s="1053"/>
      <c r="I13" s="143"/>
      <c r="J13" s="143"/>
      <c r="K13" s="988">
        <v>2788.8</v>
      </c>
      <c r="L13" s="143"/>
      <c r="M13" s="143"/>
      <c r="N13" s="904"/>
      <c r="O13" s="143"/>
      <c r="P13" s="143"/>
      <c r="Q13" s="143"/>
      <c r="R13" s="143"/>
      <c r="S13" s="143"/>
      <c r="T13" s="905"/>
      <c r="U13" s="895"/>
      <c r="V13" s="103">
        <f>SUM(H13:T13)</f>
        <v>0</v>
      </c>
      <c r="W13" s="143"/>
      <c r="X13" s="143"/>
      <c r="Y13" s="143"/>
      <c r="Z13" s="143"/>
      <c r="AA13" s="143"/>
      <c r="AB13" s="143"/>
      <c r="AC13" s="143"/>
      <c r="AD13" s="143"/>
      <c r="AE13" s="143"/>
      <c r="AF13" s="905"/>
      <c r="AG13" s="905"/>
      <c r="AH13" s="143"/>
      <c r="AI13" s="103">
        <f t="shared" si="2"/>
        <v>0</v>
      </c>
      <c r="AJ13" s="906">
        <v>1099.99</v>
      </c>
      <c r="AK13" s="907">
        <v>279.87</v>
      </c>
      <c r="AL13" s="123"/>
      <c r="AM13" s="975">
        <f t="shared" si="3"/>
        <v>0</v>
      </c>
      <c r="AN13" s="1202"/>
      <c r="AO13" s="895"/>
      <c r="AP13" s="143"/>
      <c r="AQ13" s="143"/>
      <c r="AR13" s="143">
        <v>0.64</v>
      </c>
      <c r="AS13" s="1203">
        <f t="shared" si="4"/>
        <v>0</v>
      </c>
      <c r="AT13" s="1760">
        <v>4005.9</v>
      </c>
      <c r="AU13" s="1546"/>
      <c r="AV13" s="1546"/>
      <c r="AW13" s="1548"/>
      <c r="AX13" s="1548"/>
      <c r="AY13" s="1548"/>
      <c r="AZ13" s="1760">
        <v>1542.5</v>
      </c>
      <c r="BA13" s="1548"/>
      <c r="BB13" s="1548"/>
      <c r="BC13" s="1548"/>
      <c r="BD13" s="1546"/>
      <c r="BE13" s="222">
        <f t="shared" si="5"/>
        <v>0</v>
      </c>
      <c r="BF13" s="113">
        <f t="shared" si="6"/>
        <v>0</v>
      </c>
      <c r="BG13" s="3"/>
      <c r="BH13" s="113">
        <f t="shared" si="7"/>
        <v>0</v>
      </c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056"/>
      <c r="BT13" s="909">
        <v>20</v>
      </c>
      <c r="BU13" s="129"/>
      <c r="BV13" s="130">
        <f t="shared" si="8"/>
        <v>0</v>
      </c>
      <c r="BW13" s="3"/>
    </row>
    <row r="14" ht="14.25" customHeight="1">
      <c r="A14" s="3"/>
      <c r="B14" s="444">
        <v>46032</v>
      </c>
      <c r="C14" s="900">
        <f>10767.01-D14-0</f>
      </c>
      <c r="D14" s="901">
        <v>1616.9</v>
      </c>
      <c r="E14" s="120"/>
      <c r="F14" s="120"/>
      <c r="G14" s="147">
        <f t="shared" si="0"/>
        <v>0</v>
      </c>
      <c r="H14" s="1150"/>
      <c r="I14" s="143"/>
      <c r="J14" s="143"/>
      <c r="K14" s="988">
        <v>580.28</v>
      </c>
      <c r="L14" s="143"/>
      <c r="M14" s="143"/>
      <c r="N14" s="904"/>
      <c r="O14" s="143"/>
      <c r="P14" s="143"/>
      <c r="Q14" s="143"/>
      <c r="R14" s="143"/>
      <c r="S14" s="143"/>
      <c r="T14" s="905"/>
      <c r="U14" s="997">
        <v>16.23</v>
      </c>
      <c r="V14" s="103">
        <f>SUM(H14:U14)</f>
        <v>0</v>
      </c>
      <c r="W14" s="143"/>
      <c r="X14" s="143"/>
      <c r="Y14" s="143"/>
      <c r="Z14" s="143"/>
      <c r="AA14" s="143"/>
      <c r="AB14" s="143"/>
      <c r="AC14" s="143"/>
      <c r="AD14" s="143"/>
      <c r="AE14" s="143"/>
      <c r="AF14" s="905"/>
      <c r="AG14" s="999"/>
      <c r="AH14" s="143"/>
      <c r="AI14" s="103">
        <f t="shared" si="2"/>
        <v>0</v>
      </c>
      <c r="AJ14" s="906">
        <v>1071.13</v>
      </c>
      <c r="AK14" s="907">
        <v>433.45</v>
      </c>
      <c r="AL14" s="123"/>
      <c r="AM14" s="975">
        <f t="shared" si="3"/>
        <v>0</v>
      </c>
      <c r="AN14" s="1206"/>
      <c r="AO14" s="912"/>
      <c r="AP14" s="143"/>
      <c r="AQ14" s="143"/>
      <c r="AR14" s="143">
        <v>0.81</v>
      </c>
      <c r="AS14" s="1203">
        <f t="shared" si="4"/>
        <v>0</v>
      </c>
      <c r="AT14" s="1760">
        <v>7048.6</v>
      </c>
      <c r="AU14" s="1546"/>
      <c r="AV14" s="1546"/>
      <c r="AW14" s="1548"/>
      <c r="AX14" s="1548"/>
      <c r="AY14" s="1548"/>
      <c r="AZ14" s="1760">
        <v>1616.9</v>
      </c>
      <c r="BA14" s="1548"/>
      <c r="BB14" s="1548"/>
      <c r="BC14" s="1548"/>
      <c r="BD14" s="1546"/>
      <c r="BE14" s="222">
        <f t="shared" si="5"/>
        <v>0</v>
      </c>
      <c r="BF14" s="113">
        <f t="shared" si="6"/>
        <v>0</v>
      </c>
      <c r="BG14" s="3"/>
      <c r="BH14" s="113">
        <f t="shared" si="7"/>
        <v>0</v>
      </c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914"/>
      <c r="BT14" s="909"/>
      <c r="BU14" s="129"/>
      <c r="BV14" s="130">
        <f t="shared" si="8"/>
        <v>0</v>
      </c>
      <c r="BW14" s="3"/>
    </row>
    <row r="15" ht="14.25" customHeight="1">
      <c r="A15" s="3"/>
      <c r="B15" s="444">
        <v>46033</v>
      </c>
      <c r="C15" s="900">
        <f>10451.40-D15-0</f>
      </c>
      <c r="D15" s="901">
        <v>1922.17</v>
      </c>
      <c r="E15" s="120"/>
      <c r="F15" s="120"/>
      <c r="G15" s="147">
        <f t="shared" si="0"/>
        <v>0</v>
      </c>
      <c r="H15" s="1150"/>
      <c r="I15" s="143"/>
      <c r="J15" s="143"/>
      <c r="K15" s="988">
        <v>653.18</v>
      </c>
      <c r="L15" s="143"/>
      <c r="M15" s="143"/>
      <c r="N15" s="904"/>
      <c r="O15" s="143"/>
      <c r="P15" s="143"/>
      <c r="Q15" s="143"/>
      <c r="R15" s="143"/>
      <c r="S15" s="143"/>
      <c r="T15" s="905"/>
      <c r="U15" s="895"/>
      <c r="V15" s="103">
        <f>SUM(H15:T15)</f>
        <v>0</v>
      </c>
      <c r="W15" s="143"/>
      <c r="X15" s="143"/>
      <c r="Y15" s="143"/>
      <c r="Z15" s="143"/>
      <c r="AA15" s="143"/>
      <c r="AB15" s="143"/>
      <c r="AC15" s="143"/>
      <c r="AD15" s="143"/>
      <c r="AE15" s="143"/>
      <c r="AF15" s="905"/>
      <c r="AG15" s="905"/>
      <c r="AH15" s="143"/>
      <c r="AI15" s="103">
        <f t="shared" si="2"/>
        <v>0</v>
      </c>
      <c r="AJ15" s="906">
        <v>669</v>
      </c>
      <c r="AK15" s="907">
        <v>549.63</v>
      </c>
      <c r="AL15" s="123"/>
      <c r="AM15" s="975">
        <f t="shared" si="3"/>
        <v>0</v>
      </c>
      <c r="AN15" s="1202"/>
      <c r="AO15" s="895"/>
      <c r="AP15" s="143"/>
      <c r="AQ15" s="143"/>
      <c r="AR15" s="143"/>
      <c r="AS15" s="1203">
        <f t="shared" si="4"/>
        <v>0</v>
      </c>
      <c r="AT15" s="1760">
        <v>6657.5</v>
      </c>
      <c r="AU15" s="1546"/>
      <c r="AV15" s="1546"/>
      <c r="AW15" s="1548"/>
      <c r="AX15" s="1548"/>
      <c r="AY15" s="1548"/>
      <c r="AZ15" s="1760">
        <v>1922.2</v>
      </c>
      <c r="BA15" s="1548"/>
      <c r="BB15" s="1548"/>
      <c r="BC15" s="1548"/>
      <c r="BD15" s="1546"/>
      <c r="BE15" s="222">
        <f t="shared" si="5"/>
        <v>0</v>
      </c>
      <c r="BF15" s="113">
        <f t="shared" si="6"/>
        <v>0</v>
      </c>
      <c r="BG15" s="3"/>
      <c r="BH15" s="113">
        <f t="shared" si="7"/>
        <v>0</v>
      </c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908"/>
      <c r="BT15" s="909"/>
      <c r="BU15" s="129"/>
      <c r="BV15" s="130">
        <f t="shared" si="8"/>
        <v>0</v>
      </c>
      <c r="BW15" s="3"/>
    </row>
    <row r="16" ht="14.25" customHeight="1">
      <c r="A16" s="3"/>
      <c r="B16" s="444">
        <v>46034</v>
      </c>
      <c r="C16" s="900">
        <f>12229.15-D16-0</f>
      </c>
      <c r="D16" s="901">
        <v>1574.47</v>
      </c>
      <c r="E16" s="120"/>
      <c r="F16" s="120"/>
      <c r="G16" s="147">
        <f t="shared" si="0"/>
        <v>0</v>
      </c>
      <c r="H16" s="1053"/>
      <c r="I16" s="143"/>
      <c r="J16" s="143"/>
      <c r="K16" s="904">
        <v>2066.77</v>
      </c>
      <c r="L16" s="143"/>
      <c r="M16" s="143"/>
      <c r="N16" s="988">
        <v>215.44</v>
      </c>
      <c r="O16" s="143"/>
      <c r="P16" s="143"/>
      <c r="Q16" s="143"/>
      <c r="R16" s="143"/>
      <c r="S16" s="143"/>
      <c r="T16" s="905"/>
      <c r="U16" s="997">
        <v>32.63</v>
      </c>
      <c r="V16" s="103">
        <f ref="V16:V17" t="shared" si="9">SUM(H16:U16)</f>
        <v>0</v>
      </c>
      <c r="W16" s="143"/>
      <c r="X16" s="143"/>
      <c r="Y16" s="143"/>
      <c r="Z16" s="143"/>
      <c r="AA16" s="143"/>
      <c r="AB16" s="143"/>
      <c r="AC16" s="143"/>
      <c r="AD16" s="143"/>
      <c r="AE16" s="143"/>
      <c r="AF16" s="904"/>
      <c r="AG16" s="905"/>
      <c r="AH16" s="143"/>
      <c r="AI16" s="103">
        <f t="shared" si="2"/>
        <v>0</v>
      </c>
      <c r="AJ16" s="906">
        <v>969.93</v>
      </c>
      <c r="AK16" s="907">
        <v>434.42</v>
      </c>
      <c r="AL16" s="123"/>
      <c r="AM16" s="975">
        <f t="shared" si="3"/>
        <v>0</v>
      </c>
      <c r="AN16" s="1207">
        <v>4.23</v>
      </c>
      <c r="AO16" s="895"/>
      <c r="AP16" s="143"/>
      <c r="AQ16" s="143"/>
      <c r="AR16" s="143"/>
      <c r="AS16" s="1203">
        <f t="shared" si="4"/>
        <v>0</v>
      </c>
      <c r="AT16" s="1760">
        <v>6919.9</v>
      </c>
      <c r="AU16" s="1546"/>
      <c r="AV16" s="1546"/>
      <c r="AW16" s="1548"/>
      <c r="AX16" s="1548"/>
      <c r="AY16" s="1548"/>
      <c r="AZ16" s="1760">
        <v>1574.5</v>
      </c>
      <c r="BA16" s="1548"/>
      <c r="BB16" s="1548"/>
      <c r="BC16" s="1548"/>
      <c r="BD16" s="1546"/>
      <c r="BE16" s="222">
        <f t="shared" si="5"/>
        <v>0</v>
      </c>
      <c r="BF16" s="113">
        <f t="shared" si="6"/>
        <v>0</v>
      </c>
      <c r="BG16" s="3"/>
      <c r="BH16" s="113">
        <f t="shared" si="7"/>
        <v>0</v>
      </c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056"/>
      <c r="BT16" s="909">
        <v>20</v>
      </c>
      <c r="BU16" s="129"/>
      <c r="BV16" s="130">
        <f t="shared" si="8"/>
        <v>0</v>
      </c>
      <c r="BW16" s="3"/>
    </row>
    <row r="17" ht="14.25" customHeight="1">
      <c r="A17" s="3"/>
      <c r="B17" s="444">
        <v>46035</v>
      </c>
      <c r="C17" s="900">
        <f>9715.12-D17-0</f>
      </c>
      <c r="D17" s="901">
        <v>1502.78</v>
      </c>
      <c r="E17" s="120"/>
      <c r="F17" s="120"/>
      <c r="G17" s="147">
        <f t="shared" si="0"/>
        <v>0</v>
      </c>
      <c r="H17" s="1053"/>
      <c r="I17" s="143"/>
      <c r="J17" s="143"/>
      <c r="K17" s="999"/>
      <c r="L17" s="143"/>
      <c r="M17" s="143"/>
      <c r="N17" s="904"/>
      <c r="O17" s="143"/>
      <c r="P17" s="143"/>
      <c r="Q17" s="143"/>
      <c r="R17" s="143"/>
      <c r="S17" s="143"/>
      <c r="T17" s="905"/>
      <c r="U17" s="997">
        <v>63.21</v>
      </c>
      <c r="V17" s="103">
        <f t="shared" si="9"/>
        <v>0</v>
      </c>
      <c r="W17" s="143"/>
      <c r="X17" s="143"/>
      <c r="Y17" s="143"/>
      <c r="Z17" s="143"/>
      <c r="AA17" s="143"/>
      <c r="AB17" s="143"/>
      <c r="AC17" s="143"/>
      <c r="AD17" s="143"/>
      <c r="AE17" s="143"/>
      <c r="AF17" s="905"/>
      <c r="AG17" s="905"/>
      <c r="AH17" s="143"/>
      <c r="AI17" s="103">
        <f t="shared" si="2"/>
        <v>0</v>
      </c>
      <c r="AJ17" s="906">
        <v>1144.2</v>
      </c>
      <c r="AK17" s="907">
        <v>146.36</v>
      </c>
      <c r="AL17" s="123"/>
      <c r="AM17" s="975">
        <f t="shared" si="3"/>
        <v>0</v>
      </c>
      <c r="AN17" s="1202"/>
      <c r="AO17" s="895"/>
      <c r="AP17" s="143"/>
      <c r="AQ17" s="143"/>
      <c r="AR17" s="143"/>
      <c r="AS17" s="1203">
        <f t="shared" si="4"/>
        <v>0</v>
      </c>
      <c r="AT17" s="1760">
        <v>5658.6</v>
      </c>
      <c r="AU17" s="1546"/>
      <c r="AV17" s="1546"/>
      <c r="AW17" s="1548"/>
      <c r="AX17" s="1548"/>
      <c r="AY17" s="1548"/>
      <c r="AZ17" s="1760">
        <v>1502.8</v>
      </c>
      <c r="BA17" s="1548"/>
      <c r="BB17" s="1548"/>
      <c r="BC17" s="1548"/>
      <c r="BD17" s="1546"/>
      <c r="BE17" s="222">
        <f t="shared" si="5"/>
        <v>0</v>
      </c>
      <c r="BF17" s="113">
        <f t="shared" si="6"/>
        <v>0</v>
      </c>
      <c r="BG17" s="3"/>
      <c r="BH17" s="113">
        <f t="shared" si="7"/>
        <v>0</v>
      </c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914"/>
      <c r="BT17" s="1062">
        <v>1200</v>
      </c>
      <c r="BU17" s="129"/>
      <c r="BV17" s="130">
        <f t="shared" si="8"/>
        <v>0</v>
      </c>
      <c r="BW17" s="3"/>
    </row>
    <row r="18" ht="14.25" customHeight="1">
      <c r="A18" s="3"/>
      <c r="B18" s="444">
        <v>46036</v>
      </c>
      <c r="C18" s="900">
        <f>13489.30-D18-0</f>
      </c>
      <c r="D18" s="901">
        <v>1812</v>
      </c>
      <c r="E18" s="120"/>
      <c r="F18" s="120"/>
      <c r="G18" s="147">
        <f t="shared" si="0"/>
        <v>0</v>
      </c>
      <c r="H18" s="1208"/>
      <c r="I18" s="143"/>
      <c r="J18" s="143"/>
      <c r="K18" s="988">
        <v>883.71</v>
      </c>
      <c r="L18" s="143"/>
      <c r="M18" s="143"/>
      <c r="N18" s="904"/>
      <c r="O18" s="143"/>
      <c r="P18" s="143"/>
      <c r="Q18" s="143"/>
      <c r="R18" s="143"/>
      <c r="S18" s="143"/>
      <c r="T18" s="904"/>
      <c r="U18" s="912"/>
      <c r="V18" s="103">
        <f>SUM(H18:T18)</f>
        <v>0</v>
      </c>
      <c r="W18" s="143"/>
      <c r="X18" s="143"/>
      <c r="Y18" s="143"/>
      <c r="Z18" s="143"/>
      <c r="AA18" s="143"/>
      <c r="AB18" s="143"/>
      <c r="AC18" s="143"/>
      <c r="AD18" s="143"/>
      <c r="AE18" s="143"/>
      <c r="AF18" s="905"/>
      <c r="AG18" s="999"/>
      <c r="AH18" s="143"/>
      <c r="AI18" s="103">
        <f t="shared" si="2"/>
        <v>0</v>
      </c>
      <c r="AJ18" s="906">
        <v>1091.47</v>
      </c>
      <c r="AK18" s="907">
        <v>284.76</v>
      </c>
      <c r="AL18" s="123"/>
      <c r="AM18" s="975">
        <f t="shared" si="3"/>
        <v>0</v>
      </c>
      <c r="AN18" s="1206"/>
      <c r="AO18" s="912"/>
      <c r="AP18" s="143"/>
      <c r="AQ18" s="143"/>
      <c r="AR18" s="143"/>
      <c r="AS18" s="1203">
        <f t="shared" si="4"/>
        <v>0</v>
      </c>
      <c r="AT18" s="1793">
        <v>8417.6</v>
      </c>
      <c r="AU18" s="1546"/>
      <c r="AV18" s="1546"/>
      <c r="AW18" s="1548"/>
      <c r="AX18" s="1548"/>
      <c r="AY18" s="1548"/>
      <c r="AZ18" s="1793">
        <v>1812</v>
      </c>
      <c r="BA18" s="1548"/>
      <c r="BB18" s="1548"/>
      <c r="BC18" s="1548"/>
      <c r="BD18" s="1546"/>
      <c r="BE18" s="222">
        <f t="shared" si="5"/>
        <v>0</v>
      </c>
      <c r="BF18" s="113">
        <f t="shared" si="6"/>
        <v>0</v>
      </c>
      <c r="BG18" s="3"/>
      <c r="BH18" s="113">
        <f t="shared" si="7"/>
        <v>0</v>
      </c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908"/>
      <c r="BT18" s="1062">
        <v>999.99</v>
      </c>
      <c r="BU18" s="129"/>
      <c r="BV18" s="130">
        <f t="shared" si="8"/>
        <v>0</v>
      </c>
      <c r="BW18" s="3"/>
    </row>
    <row r="19" ht="14.25" customHeight="1">
      <c r="A19" s="132"/>
      <c r="B19" s="444">
        <v>46037</v>
      </c>
      <c r="C19" s="900">
        <f>12767.06-D19-0</f>
      </c>
      <c r="D19" s="901">
        <v>1509.41</v>
      </c>
      <c r="E19" s="135"/>
      <c r="F19" s="135"/>
      <c r="G19" s="147">
        <f t="shared" si="0"/>
        <v>0</v>
      </c>
      <c r="H19" s="1150"/>
      <c r="I19" s="143"/>
      <c r="J19" s="143"/>
      <c r="K19" s="904">
        <v>2223.7</v>
      </c>
      <c r="L19" s="143"/>
      <c r="M19" s="143"/>
      <c r="N19" s="988">
        <v>218.28</v>
      </c>
      <c r="O19" s="143"/>
      <c r="P19" s="143"/>
      <c r="Q19" s="143"/>
      <c r="R19" s="143"/>
      <c r="S19" s="143"/>
      <c r="T19" s="904"/>
      <c r="U19" s="989">
        <v>26.78</v>
      </c>
      <c r="V19" s="103">
        <f ref="V19:V22" t="shared" si="10">SUM(H19:U19)</f>
        <v>0</v>
      </c>
      <c r="W19" s="143"/>
      <c r="X19" s="143"/>
      <c r="Y19" s="143"/>
      <c r="Z19" s="143"/>
      <c r="AA19" s="143"/>
      <c r="AB19" s="143"/>
      <c r="AC19" s="143"/>
      <c r="AD19" s="143"/>
      <c r="AE19" s="143"/>
      <c r="AF19" s="905"/>
      <c r="AG19" s="905"/>
      <c r="AH19" s="143"/>
      <c r="AI19" s="103">
        <f t="shared" si="2"/>
        <v>0</v>
      </c>
      <c r="AJ19" s="906">
        <v>1600.05</v>
      </c>
      <c r="AK19" s="907">
        <v>410.09</v>
      </c>
      <c r="AL19" s="136"/>
      <c r="AM19" s="975">
        <f t="shared" si="3"/>
        <v>0</v>
      </c>
      <c r="AN19" s="1207">
        <v>4.28</v>
      </c>
      <c r="AO19" s="895"/>
      <c r="AP19" s="143"/>
      <c r="AQ19" s="143"/>
      <c r="AR19" s="143"/>
      <c r="AS19" s="1203">
        <f t="shared" si="4"/>
        <v>0</v>
      </c>
      <c r="AT19" s="1793">
        <v>6783.2</v>
      </c>
      <c r="AU19" s="1546"/>
      <c r="AV19" s="1546"/>
      <c r="AW19" s="1548"/>
      <c r="AX19" s="1548"/>
      <c r="AY19" s="1548"/>
      <c r="AZ19" s="1793">
        <v>1509.4</v>
      </c>
      <c r="BA19" s="1548"/>
      <c r="BB19" s="1548"/>
      <c r="BC19" s="1548"/>
      <c r="BD19" s="1546"/>
      <c r="BE19" s="222">
        <f t="shared" si="5"/>
        <v>0</v>
      </c>
      <c r="BF19" s="140">
        <f t="shared" si="6"/>
        <v>0</v>
      </c>
      <c r="BG19" s="132"/>
      <c r="BH19" s="140">
        <f t="shared" si="7"/>
        <v>0</v>
      </c>
      <c r="BI19" s="141"/>
      <c r="BJ19" s="141"/>
      <c r="BK19" s="141"/>
      <c r="BL19" s="141"/>
      <c r="BM19" s="141"/>
      <c r="BN19" s="141"/>
      <c r="BO19" s="141"/>
      <c r="BP19" s="141"/>
      <c r="BQ19" s="141"/>
      <c r="BR19" s="141"/>
      <c r="BS19" s="914"/>
      <c r="BT19" s="909"/>
      <c r="BU19" s="141"/>
      <c r="BV19" s="130">
        <f t="shared" si="8"/>
        <v>0</v>
      </c>
      <c r="BW19" s="132"/>
    </row>
    <row r="20" ht="14.25" customHeight="1">
      <c r="A20" s="132"/>
      <c r="B20" s="444">
        <v>46038</v>
      </c>
      <c r="C20" s="900">
        <f>11587.60-D20-0</f>
      </c>
      <c r="D20" s="901">
        <v>1380.5</v>
      </c>
      <c r="E20" s="135"/>
      <c r="F20" s="135"/>
      <c r="G20" s="147">
        <f t="shared" si="0"/>
        <v>0</v>
      </c>
      <c r="H20" s="1059">
        <v>237.95</v>
      </c>
      <c r="I20" s="143"/>
      <c r="J20" s="143"/>
      <c r="K20" s="904">
        <v>1824.25</v>
      </c>
      <c r="L20" s="143"/>
      <c r="M20" s="143"/>
      <c r="N20" s="904"/>
      <c r="O20" s="143"/>
      <c r="P20" s="143"/>
      <c r="Q20" s="143"/>
      <c r="R20" s="143"/>
      <c r="S20" s="143"/>
      <c r="T20" s="992">
        <v>203.12</v>
      </c>
      <c r="U20" s="997">
        <v>88.66</v>
      </c>
      <c r="V20" s="103">
        <f t="shared" si="10"/>
        <v>0</v>
      </c>
      <c r="W20" s="143"/>
      <c r="X20" s="143"/>
      <c r="Y20" s="143"/>
      <c r="Z20" s="143"/>
      <c r="AA20" s="143"/>
      <c r="AB20" s="143"/>
      <c r="AC20" s="143"/>
      <c r="AD20" s="143"/>
      <c r="AE20" s="143"/>
      <c r="AF20" s="904"/>
      <c r="AG20" s="905"/>
      <c r="AH20" s="143"/>
      <c r="AI20" s="103">
        <f t="shared" si="2"/>
        <v>0</v>
      </c>
      <c r="AJ20" s="906">
        <v>940.33</v>
      </c>
      <c r="AK20" s="901">
        <v>359.25</v>
      </c>
      <c r="AL20" s="136"/>
      <c r="AM20" s="975">
        <f t="shared" si="3"/>
        <v>0</v>
      </c>
      <c r="AN20" s="1202"/>
      <c r="AO20" s="895"/>
      <c r="AP20" s="143"/>
      <c r="AQ20" s="143"/>
      <c r="AR20" s="143"/>
      <c r="AS20" s="1203">
        <f t="shared" si="4"/>
        <v>0</v>
      </c>
      <c r="AT20" s="1793">
        <v>6533.6</v>
      </c>
      <c r="AU20" s="1546"/>
      <c r="AV20" s="1546"/>
      <c r="AW20" s="1548"/>
      <c r="AX20" s="1548"/>
      <c r="AY20" s="1548"/>
      <c r="AZ20" s="1793">
        <v>1380.5</v>
      </c>
      <c r="BA20" s="1548"/>
      <c r="BB20" s="1548"/>
      <c r="BC20" s="1548"/>
      <c r="BD20" s="1546"/>
      <c r="BE20" s="222">
        <f t="shared" si="5"/>
        <v>0</v>
      </c>
      <c r="BF20" s="140">
        <f t="shared" si="6"/>
        <v>0</v>
      </c>
      <c r="BG20" s="132"/>
      <c r="BH20" s="140">
        <f t="shared" si="7"/>
        <v>0</v>
      </c>
      <c r="BI20" s="141"/>
      <c r="BJ20" s="141"/>
      <c r="BK20" s="141"/>
      <c r="BL20" s="141"/>
      <c r="BM20" s="141"/>
      <c r="BN20" s="141"/>
      <c r="BO20" s="141"/>
      <c r="BP20" s="141"/>
      <c r="BQ20" s="141"/>
      <c r="BR20" s="141"/>
      <c r="BS20" s="1204"/>
      <c r="BT20" s="909">
        <v>20</v>
      </c>
      <c r="BU20" s="141"/>
      <c r="BV20" s="130">
        <f t="shared" si="8"/>
        <v>0</v>
      </c>
      <c r="BW20" s="132"/>
    </row>
    <row r="21" ht="14.25" customHeight="1">
      <c r="A21" s="132"/>
      <c r="B21" s="444">
        <v>46039</v>
      </c>
      <c r="C21" s="900">
        <f>11834.87-D21-0</f>
      </c>
      <c r="D21" s="901">
        <v>1856.4</v>
      </c>
      <c r="E21" s="135"/>
      <c r="F21" s="135"/>
      <c r="G21" s="147">
        <f t="shared" si="0"/>
        <v>0</v>
      </c>
      <c r="H21" s="1053"/>
      <c r="I21" s="143"/>
      <c r="J21" s="143"/>
      <c r="K21" s="988">
        <v>923.84</v>
      </c>
      <c r="L21" s="143"/>
      <c r="M21" s="143"/>
      <c r="N21" s="904"/>
      <c r="O21" s="143"/>
      <c r="P21" s="143"/>
      <c r="Q21" s="143"/>
      <c r="R21" s="143"/>
      <c r="S21" s="143"/>
      <c r="T21" s="905"/>
      <c r="U21" s="997">
        <v>40.94</v>
      </c>
      <c r="V21" s="103">
        <f t="shared" si="10"/>
        <v>0</v>
      </c>
      <c r="W21" s="143"/>
      <c r="X21" s="143"/>
      <c r="Y21" s="143"/>
      <c r="Z21" s="143"/>
      <c r="AA21" s="143"/>
      <c r="AB21" s="143"/>
      <c r="AC21" s="143"/>
      <c r="AD21" s="143"/>
      <c r="AE21" s="143"/>
      <c r="AF21" s="905"/>
      <c r="AG21" s="999"/>
      <c r="AH21" s="143"/>
      <c r="AI21" s="103">
        <f t="shared" si="2"/>
        <v>0</v>
      </c>
      <c r="AJ21" s="906">
        <v>1289.99</v>
      </c>
      <c r="AK21" s="907">
        <v>666.96</v>
      </c>
      <c r="AL21" s="136"/>
      <c r="AM21" s="975">
        <f t="shared" si="3"/>
        <v>0</v>
      </c>
      <c r="AN21" s="1206"/>
      <c r="AO21" s="912"/>
      <c r="AP21" s="143"/>
      <c r="AQ21" s="143"/>
      <c r="AR21" s="143"/>
      <c r="AS21" s="1203">
        <f t="shared" si="4"/>
        <v>0</v>
      </c>
      <c r="AT21" s="1793">
        <v>6707</v>
      </c>
      <c r="AU21" s="1546"/>
      <c r="AV21" s="1546"/>
      <c r="AW21" s="1548"/>
      <c r="AX21" s="1548"/>
      <c r="AY21" s="1548"/>
      <c r="AZ21" s="1793">
        <v>1856.4</v>
      </c>
      <c r="BA21" s="1548"/>
      <c r="BB21" s="1548"/>
      <c r="BC21" s="1548"/>
      <c r="BD21" s="1546"/>
      <c r="BE21" s="222">
        <f t="shared" si="5"/>
        <v>0</v>
      </c>
      <c r="BF21" s="140">
        <f t="shared" si="6"/>
        <v>0</v>
      </c>
      <c r="BG21" s="132"/>
      <c r="BH21" s="140">
        <f t="shared" si="7"/>
        <v>0</v>
      </c>
      <c r="BI21" s="141"/>
      <c r="BJ21" s="141"/>
      <c r="BK21" s="141"/>
      <c r="BL21" s="141"/>
      <c r="BM21" s="141"/>
      <c r="BN21" s="141"/>
      <c r="BO21" s="141"/>
      <c r="BP21" s="141"/>
      <c r="BQ21" s="141"/>
      <c r="BR21" s="141"/>
      <c r="BS21" s="914"/>
      <c r="BT21" s="1062">
        <v>349.8</v>
      </c>
      <c r="BU21" s="141"/>
      <c r="BV21" s="130">
        <f t="shared" si="8"/>
        <v>0</v>
      </c>
      <c r="BW21" s="132"/>
    </row>
    <row r="22" ht="14.25" customHeight="1">
      <c r="A22" s="132"/>
      <c r="B22" s="444">
        <v>46040</v>
      </c>
      <c r="C22" s="900">
        <f>9759.50-D22-0</f>
      </c>
      <c r="D22" s="901">
        <v>1779.04</v>
      </c>
      <c r="E22" s="135"/>
      <c r="F22" s="135"/>
      <c r="G22" s="147">
        <f t="shared" si="0"/>
        <v>0</v>
      </c>
      <c r="H22" s="1150"/>
      <c r="I22" s="143"/>
      <c r="J22" s="143"/>
      <c r="K22" s="988">
        <v>450.27</v>
      </c>
      <c r="L22" s="143"/>
      <c r="M22" s="143"/>
      <c r="N22" s="904"/>
      <c r="O22" s="143"/>
      <c r="P22" s="143"/>
      <c r="Q22" s="143"/>
      <c r="R22" s="143"/>
      <c r="S22" s="143"/>
      <c r="T22" s="905"/>
      <c r="U22" s="997">
        <v>42.2</v>
      </c>
      <c r="V22" s="103">
        <f t="shared" si="10"/>
        <v>0</v>
      </c>
      <c r="W22" s="143"/>
      <c r="X22" s="143"/>
      <c r="Y22" s="143"/>
      <c r="Z22" s="143"/>
      <c r="AA22" s="143"/>
      <c r="AB22" s="143"/>
      <c r="AC22" s="143"/>
      <c r="AD22" s="143"/>
      <c r="AE22" s="143"/>
      <c r="AF22" s="905"/>
      <c r="AG22" s="905"/>
      <c r="AH22" s="143"/>
      <c r="AI22" s="103">
        <f t="shared" si="2"/>
        <v>0</v>
      </c>
      <c r="AJ22" s="906">
        <v>978.42</v>
      </c>
      <c r="AK22" s="907">
        <v>455.51</v>
      </c>
      <c r="AL22" s="136"/>
      <c r="AM22" s="975">
        <f t="shared" si="3"/>
        <v>0</v>
      </c>
      <c r="AN22" s="1202"/>
      <c r="AO22" s="895"/>
      <c r="AP22" s="143"/>
      <c r="AQ22" s="143"/>
      <c r="AR22" s="143">
        <v>0.78</v>
      </c>
      <c r="AS22" s="1203">
        <f t="shared" si="4"/>
        <v>0</v>
      </c>
      <c r="AT22" s="1793">
        <v>5629.2</v>
      </c>
      <c r="AU22" s="1546"/>
      <c r="AV22" s="1546"/>
      <c r="AW22" s="1548"/>
      <c r="AX22" s="1548"/>
      <c r="AY22" s="1548"/>
      <c r="AZ22" s="1793">
        <v>1779.1</v>
      </c>
      <c r="BA22" s="1548"/>
      <c r="BB22" s="1548"/>
      <c r="BC22" s="1548"/>
      <c r="BD22" s="1546"/>
      <c r="BE22" s="222">
        <f t="shared" si="5"/>
        <v>0</v>
      </c>
      <c r="BF22" s="140">
        <f t="shared" si="6"/>
        <v>0</v>
      </c>
      <c r="BG22" s="132"/>
      <c r="BH22" s="140">
        <f t="shared" si="7"/>
        <v>0</v>
      </c>
      <c r="BI22" s="141"/>
      <c r="BJ22" s="141"/>
      <c r="BK22" s="141"/>
      <c r="BL22" s="141"/>
      <c r="BM22" s="141"/>
      <c r="BN22" s="141"/>
      <c r="BO22" s="141"/>
      <c r="BP22" s="141"/>
      <c r="BQ22" s="141"/>
      <c r="BR22" s="141"/>
      <c r="BS22" s="908"/>
      <c r="BT22" s="1062">
        <v>424.9</v>
      </c>
      <c r="BU22" s="141"/>
      <c r="BV22" s="130">
        <f t="shared" si="8"/>
        <v>0</v>
      </c>
      <c r="BW22" s="132"/>
    </row>
    <row r="23" ht="14.25" customHeight="1">
      <c r="A23" s="132"/>
      <c r="B23" s="444">
        <v>46041</v>
      </c>
      <c r="C23" s="900">
        <f>13536.66-D23-0</f>
      </c>
      <c r="D23" s="901">
        <v>1833.56</v>
      </c>
      <c r="E23" s="135"/>
      <c r="F23" s="135"/>
      <c r="G23" s="147">
        <f t="shared" si="0"/>
        <v>0</v>
      </c>
      <c r="H23" s="1150"/>
      <c r="I23" s="143"/>
      <c r="J23" s="143"/>
      <c r="K23" s="988">
        <v>2836.74</v>
      </c>
      <c r="L23" s="143"/>
      <c r="M23" s="143"/>
      <c r="N23" s="904"/>
      <c r="O23" s="143"/>
      <c r="P23" s="143"/>
      <c r="Q23" s="143"/>
      <c r="R23" s="143"/>
      <c r="S23" s="143"/>
      <c r="T23" s="905"/>
      <c r="U23" s="895"/>
      <c r="V23" s="103">
        <f>SUM(H23:T23)</f>
        <v>0</v>
      </c>
      <c r="W23" s="143"/>
      <c r="X23" s="143"/>
      <c r="Y23" s="143"/>
      <c r="Z23" s="143"/>
      <c r="AA23" s="143"/>
      <c r="AB23" s="143"/>
      <c r="AC23" s="143"/>
      <c r="AD23" s="143"/>
      <c r="AE23" s="143"/>
      <c r="AF23" s="905"/>
      <c r="AG23" s="905"/>
      <c r="AH23" s="143"/>
      <c r="AI23" s="103">
        <f t="shared" si="2"/>
        <v>0</v>
      </c>
      <c r="AJ23" s="906">
        <v>903.48</v>
      </c>
      <c r="AK23" s="907">
        <v>441.49</v>
      </c>
      <c r="AL23" s="136"/>
      <c r="AM23" s="975">
        <f t="shared" si="3"/>
        <v>0</v>
      </c>
      <c r="AN23" s="1202"/>
      <c r="AO23" s="895"/>
      <c r="AP23" s="143"/>
      <c r="AQ23" s="143"/>
      <c r="AR23" s="143">
        <v>0.65</v>
      </c>
      <c r="AS23" s="1203">
        <f t="shared" si="4"/>
        <v>0</v>
      </c>
      <c r="AT23" s="1793">
        <v>7060</v>
      </c>
      <c r="AU23" s="1546"/>
      <c r="AV23" s="1546"/>
      <c r="AW23" s="1548"/>
      <c r="AX23" s="1548"/>
      <c r="AY23" s="1548"/>
      <c r="AZ23" s="1793">
        <v>1833.6</v>
      </c>
      <c r="BA23" s="1548"/>
      <c r="BB23" s="1548"/>
      <c r="BC23" s="1548"/>
      <c r="BD23" s="1546"/>
      <c r="BE23" s="222">
        <f t="shared" si="5"/>
        <v>0</v>
      </c>
      <c r="BF23" s="140">
        <f t="shared" si="6"/>
        <v>0</v>
      </c>
      <c r="BG23" s="132"/>
      <c r="BH23" s="140">
        <f t="shared" si="7"/>
        <v>0</v>
      </c>
      <c r="BI23" s="141"/>
      <c r="BJ23" s="141"/>
      <c r="BK23" s="141"/>
      <c r="BL23" s="141"/>
      <c r="BM23" s="141"/>
      <c r="BN23" s="141"/>
      <c r="BO23" s="141"/>
      <c r="BP23" s="141"/>
      <c r="BQ23" s="141"/>
      <c r="BR23" s="141"/>
      <c r="BS23" s="908"/>
      <c r="BT23" s="1062">
        <v>460.8</v>
      </c>
      <c r="BU23" s="141"/>
      <c r="BV23" s="130">
        <f t="shared" si="8"/>
        <v>0</v>
      </c>
      <c r="BW23" s="132"/>
    </row>
    <row r="24" ht="14.25" customHeight="1">
      <c r="A24" s="132"/>
      <c r="B24" s="444">
        <v>46042</v>
      </c>
      <c r="C24" s="900">
        <f>12195.88-D24-0</f>
      </c>
      <c r="D24" s="901">
        <v>1492.05</v>
      </c>
      <c r="E24" s="135"/>
      <c r="F24" s="135"/>
      <c r="G24" s="147">
        <f t="shared" si="0"/>
        <v>0</v>
      </c>
      <c r="H24" s="1053"/>
      <c r="I24" s="143"/>
      <c r="J24" s="143"/>
      <c r="K24" s="904">
        <v>1413.57</v>
      </c>
      <c r="L24" s="143"/>
      <c r="M24" s="143"/>
      <c r="N24" s="904"/>
      <c r="O24" s="143"/>
      <c r="P24" s="143"/>
      <c r="Q24" s="143"/>
      <c r="R24" s="143"/>
      <c r="S24" s="143"/>
      <c r="T24" s="905"/>
      <c r="U24" s="997">
        <v>32.88</v>
      </c>
      <c r="V24" s="103">
        <f ref="V24:V26" t="shared" si="11">SUM(H24:U24)</f>
        <v>0</v>
      </c>
      <c r="W24" s="143"/>
      <c r="X24" s="143"/>
      <c r="Y24" s="143"/>
      <c r="Z24" s="143"/>
      <c r="AA24" s="143"/>
      <c r="AB24" s="143"/>
      <c r="AC24" s="143"/>
      <c r="AD24" s="143"/>
      <c r="AE24" s="143"/>
      <c r="AF24" s="905"/>
      <c r="AG24" s="905"/>
      <c r="AH24" s="143"/>
      <c r="AI24" s="103">
        <f t="shared" si="2"/>
        <v>0</v>
      </c>
      <c r="AJ24" s="906">
        <v>1121.53</v>
      </c>
      <c r="AK24" s="907">
        <v>154.41</v>
      </c>
      <c r="AL24" s="136"/>
      <c r="AM24" s="975">
        <f t="shared" si="3"/>
        <v>0</v>
      </c>
      <c r="AN24" s="1202"/>
      <c r="AO24" s="895"/>
      <c r="AP24" s="143"/>
      <c r="AQ24" s="143"/>
      <c r="AR24" s="143"/>
      <c r="AS24" s="1203">
        <f t="shared" si="4"/>
        <v>0</v>
      </c>
      <c r="AT24" s="1793">
        <v>7681.7</v>
      </c>
      <c r="AU24" s="1546"/>
      <c r="AV24" s="1546"/>
      <c r="AW24" s="1548"/>
      <c r="AX24" s="1548"/>
      <c r="AY24" s="1548"/>
      <c r="AZ24" s="1793">
        <v>1492.1</v>
      </c>
      <c r="BA24" s="1548"/>
      <c r="BB24" s="1548"/>
      <c r="BC24" s="1548"/>
      <c r="BD24" s="1546"/>
      <c r="BE24" s="222">
        <f t="shared" si="5"/>
        <v>0</v>
      </c>
      <c r="BF24" s="140">
        <f t="shared" si="6"/>
        <v>0</v>
      </c>
      <c r="BG24" s="132"/>
      <c r="BH24" s="140">
        <f t="shared" si="7"/>
        <v>0</v>
      </c>
      <c r="BI24" s="141"/>
      <c r="BJ24" s="141"/>
      <c r="BK24" s="141"/>
      <c r="BL24" s="141"/>
      <c r="BM24" s="141"/>
      <c r="BN24" s="141"/>
      <c r="BO24" s="141"/>
      <c r="BP24" s="141"/>
      <c r="BQ24" s="141"/>
      <c r="BR24" s="141"/>
      <c r="BS24" s="1204"/>
      <c r="BT24" s="1062">
        <v>299.8</v>
      </c>
      <c r="BU24" s="141"/>
      <c r="BV24" s="130">
        <f t="shared" si="8"/>
        <v>0</v>
      </c>
      <c r="BW24" s="132"/>
    </row>
    <row r="25" ht="14.25" customHeight="1">
      <c r="A25" s="132"/>
      <c r="B25" s="444">
        <v>46043</v>
      </c>
      <c r="C25" s="900">
        <f>12632.84-D25-0</f>
      </c>
      <c r="D25" s="901">
        <v>2243.84</v>
      </c>
      <c r="E25" s="135"/>
      <c r="F25" s="135"/>
      <c r="G25" s="147">
        <f t="shared" si="0"/>
        <v>0</v>
      </c>
      <c r="H25" s="1053"/>
      <c r="I25" s="143"/>
      <c r="J25" s="143"/>
      <c r="K25" s="904">
        <v>1218.45</v>
      </c>
      <c r="L25" s="143"/>
      <c r="M25" s="143"/>
      <c r="N25" s="987">
        <v>201.34</v>
      </c>
      <c r="O25" s="143"/>
      <c r="P25" s="143"/>
      <c r="Q25" s="143"/>
      <c r="R25" s="143"/>
      <c r="S25" s="143"/>
      <c r="T25" s="905"/>
      <c r="U25" s="997">
        <v>70.58</v>
      </c>
      <c r="V25" s="103">
        <f t="shared" si="11"/>
        <v>0</v>
      </c>
      <c r="W25" s="143"/>
      <c r="X25" s="143"/>
      <c r="Y25" s="143"/>
      <c r="Z25" s="143"/>
      <c r="AA25" s="143"/>
      <c r="AB25" s="143"/>
      <c r="AC25" s="143"/>
      <c r="AD25" s="143"/>
      <c r="AE25" s="143"/>
      <c r="AF25" s="904"/>
      <c r="AG25" s="905"/>
      <c r="AH25" s="143"/>
      <c r="AI25" s="103">
        <f t="shared" si="2"/>
        <v>0</v>
      </c>
      <c r="AJ25" s="906">
        <v>1929.14</v>
      </c>
      <c r="AK25" s="907">
        <v>550.75</v>
      </c>
      <c r="AL25" s="136"/>
      <c r="AM25" s="975">
        <f t="shared" si="3"/>
        <v>0</v>
      </c>
      <c r="AN25" s="1207">
        <v>3.95</v>
      </c>
      <c r="AO25" s="895"/>
      <c r="AP25" s="143"/>
      <c r="AQ25" s="143"/>
      <c r="AR25" s="143"/>
      <c r="AS25" s="1203">
        <f t="shared" si="4"/>
        <v>0</v>
      </c>
      <c r="AT25" s="1793">
        <v>6402.7</v>
      </c>
      <c r="AU25" s="1546"/>
      <c r="AV25" s="1546"/>
      <c r="AW25" s="1548"/>
      <c r="AX25" s="1548"/>
      <c r="AY25" s="1548"/>
      <c r="AZ25" s="1793">
        <v>2243.9</v>
      </c>
      <c r="BA25" s="1548"/>
      <c r="BB25" s="1548"/>
      <c r="BC25" s="1548"/>
      <c r="BD25" s="1546"/>
      <c r="BE25" s="222">
        <f t="shared" si="5"/>
        <v>0</v>
      </c>
      <c r="BF25" s="140">
        <f t="shared" si="6"/>
        <v>0</v>
      </c>
      <c r="BG25" s="132"/>
      <c r="BH25" s="140">
        <f t="shared" si="7"/>
        <v>0</v>
      </c>
      <c r="BI25" s="141"/>
      <c r="BJ25" s="141"/>
      <c r="BK25" s="141"/>
      <c r="BL25" s="141"/>
      <c r="BM25" s="141"/>
      <c r="BN25" s="141"/>
      <c r="BO25" s="141"/>
      <c r="BP25" s="141"/>
      <c r="BQ25" s="141"/>
      <c r="BR25" s="141"/>
      <c r="BS25" s="1056"/>
      <c r="BT25" s="909">
        <v>20</v>
      </c>
      <c r="BU25" s="141"/>
      <c r="BV25" s="130">
        <f t="shared" si="8"/>
        <v>0</v>
      </c>
      <c r="BW25" s="132"/>
    </row>
    <row r="26" ht="14.25" customHeight="1">
      <c r="A26" s="132"/>
      <c r="B26" s="444">
        <v>46044</v>
      </c>
      <c r="C26" s="900">
        <f>14787.99-D26-0</f>
      </c>
      <c r="D26" s="901">
        <v>1646.73</v>
      </c>
      <c r="E26" s="135"/>
      <c r="F26" s="135"/>
      <c r="G26" s="147">
        <f t="shared" si="0"/>
        <v>0</v>
      </c>
      <c r="H26" s="1053"/>
      <c r="I26" s="143"/>
      <c r="J26" s="143"/>
      <c r="K26" s="999">
        <v>3138.87</v>
      </c>
      <c r="L26" s="143"/>
      <c r="M26" s="143"/>
      <c r="N26" s="904"/>
      <c r="O26" s="143"/>
      <c r="P26" s="143"/>
      <c r="Q26" s="143"/>
      <c r="R26" s="143"/>
      <c r="S26" s="143"/>
      <c r="T26" s="905"/>
      <c r="U26" s="997">
        <v>90.07</v>
      </c>
      <c r="V26" s="103">
        <f t="shared" si="11"/>
        <v>0</v>
      </c>
      <c r="W26" s="143"/>
      <c r="X26" s="143"/>
      <c r="Y26" s="143"/>
      <c r="Z26" s="143"/>
      <c r="AA26" s="143"/>
      <c r="AB26" s="143"/>
      <c r="AC26" s="143"/>
      <c r="AD26" s="143"/>
      <c r="AE26" s="143"/>
      <c r="AF26" s="904"/>
      <c r="AG26" s="999"/>
      <c r="AH26" s="143"/>
      <c r="AI26" s="103">
        <f t="shared" si="2"/>
        <v>0</v>
      </c>
      <c r="AJ26" s="906">
        <v>2267.33</v>
      </c>
      <c r="AK26" s="907">
        <v>371.95</v>
      </c>
      <c r="AL26" s="136"/>
      <c r="AM26" s="975">
        <f t="shared" si="3"/>
        <v>0</v>
      </c>
      <c r="AN26" s="1206"/>
      <c r="AO26" s="912"/>
      <c r="AP26" s="143"/>
      <c r="AQ26" s="143"/>
      <c r="AR26" s="143"/>
      <c r="AS26" s="1203">
        <f t="shared" si="4"/>
        <v>0</v>
      </c>
      <c r="AT26" s="1793">
        <v>7273</v>
      </c>
      <c r="AU26" s="1546"/>
      <c r="AV26" s="1546"/>
      <c r="AW26" s="1548"/>
      <c r="AX26" s="1548"/>
      <c r="AY26" s="1548"/>
      <c r="AZ26" s="1793">
        <v>1646.8</v>
      </c>
      <c r="BA26" s="1548"/>
      <c r="BB26" s="1548"/>
      <c r="BC26" s="1548"/>
      <c r="BD26" s="1546"/>
      <c r="BE26" s="222">
        <f t="shared" si="5"/>
        <v>0</v>
      </c>
      <c r="BF26" s="140">
        <f t="shared" si="6"/>
        <v>0</v>
      </c>
      <c r="BG26" s="132"/>
      <c r="BH26" s="140">
        <f t="shared" si="7"/>
        <v>0</v>
      </c>
      <c r="BI26" s="141"/>
      <c r="BJ26" s="141"/>
      <c r="BK26" s="141"/>
      <c r="BL26" s="141"/>
      <c r="BM26" s="141"/>
      <c r="BN26" s="141"/>
      <c r="BO26" s="141"/>
      <c r="BP26" s="141"/>
      <c r="BQ26" s="141"/>
      <c r="BR26" s="141"/>
      <c r="BS26" s="914"/>
      <c r="BT26" s="909"/>
      <c r="BU26" s="141"/>
      <c r="BV26" s="130">
        <f t="shared" si="8"/>
        <v>0</v>
      </c>
      <c r="BW26" s="132"/>
    </row>
    <row r="27" ht="14.25" customHeight="1">
      <c r="A27" s="132"/>
      <c r="B27" s="444">
        <v>46045</v>
      </c>
      <c r="C27" s="900">
        <f>14685.59-D27-0</f>
      </c>
      <c r="D27" s="901">
        <v>2261.94</v>
      </c>
      <c r="E27" s="135"/>
      <c r="F27" s="135"/>
      <c r="G27" s="147">
        <f t="shared" si="0"/>
        <v>0</v>
      </c>
      <c r="H27" s="1149">
        <v>198.17</v>
      </c>
      <c r="I27" s="143"/>
      <c r="J27" s="143"/>
      <c r="K27" s="904">
        <v>1904.56</v>
      </c>
      <c r="L27" s="143"/>
      <c r="M27" s="143"/>
      <c r="N27" s="904"/>
      <c r="O27" s="143"/>
      <c r="P27" s="143"/>
      <c r="Q27" s="143"/>
      <c r="R27" s="143"/>
      <c r="S27" s="143"/>
      <c r="T27" s="988">
        <v>174.79</v>
      </c>
      <c r="U27" s="912"/>
      <c r="V27" s="103">
        <f>SUM(H27:T27)</f>
        <v>0</v>
      </c>
      <c r="W27" s="143"/>
      <c r="X27" s="143"/>
      <c r="Y27" s="143"/>
      <c r="Z27" s="143"/>
      <c r="AA27" s="143"/>
      <c r="AB27" s="143"/>
      <c r="AC27" s="143"/>
      <c r="AD27" s="143"/>
      <c r="AE27" s="143"/>
      <c r="AF27" s="904"/>
      <c r="AG27" s="905"/>
      <c r="AH27" s="143"/>
      <c r="AI27" s="103">
        <f t="shared" si="2"/>
        <v>0</v>
      </c>
      <c r="AJ27" s="906">
        <v>1487.87</v>
      </c>
      <c r="AK27" s="907">
        <v>460.14</v>
      </c>
      <c r="AL27" s="136"/>
      <c r="AM27" s="975">
        <f t="shared" si="3"/>
        <v>0</v>
      </c>
      <c r="AN27" s="1202"/>
      <c r="AO27" s="895"/>
      <c r="AP27" s="143"/>
      <c r="AQ27" s="143"/>
      <c r="AR27" s="143"/>
      <c r="AS27" s="1203">
        <f t="shared" si="4"/>
        <v>0</v>
      </c>
      <c r="AT27" s="1793">
        <v>8178.2</v>
      </c>
      <c r="AU27" s="1546"/>
      <c r="AV27" s="1546"/>
      <c r="AW27" s="1548"/>
      <c r="AX27" s="1548"/>
      <c r="AY27" s="1548"/>
      <c r="AZ27" s="1793">
        <v>2262</v>
      </c>
      <c r="BA27" s="1548"/>
      <c r="BB27" s="1548"/>
      <c r="BC27" s="1548"/>
      <c r="BD27" s="1546"/>
      <c r="BE27" s="222">
        <f t="shared" si="5"/>
        <v>0</v>
      </c>
      <c r="BF27" s="140">
        <f t="shared" si="6"/>
        <v>0</v>
      </c>
      <c r="BG27" s="132"/>
      <c r="BH27" s="140">
        <f t="shared" si="7"/>
        <v>0</v>
      </c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056"/>
      <c r="BT27" s="909">
        <v>20</v>
      </c>
      <c r="BU27" s="141"/>
      <c r="BV27" s="130">
        <f t="shared" si="8"/>
        <v>0</v>
      </c>
      <c r="BW27" s="132"/>
    </row>
    <row r="28" ht="14.25" customHeight="1">
      <c r="A28" s="132"/>
      <c r="B28" s="444">
        <v>46046</v>
      </c>
      <c r="C28" s="900">
        <f>13080.07-D28-0</f>
      </c>
      <c r="D28" s="901">
        <v>2220.09</v>
      </c>
      <c r="E28" s="135"/>
      <c r="F28" s="135"/>
      <c r="G28" s="147">
        <f t="shared" si="0"/>
        <v>0</v>
      </c>
      <c r="H28" s="1150"/>
      <c r="I28" s="143"/>
      <c r="J28" s="143"/>
      <c r="K28" s="904">
        <v>1335.8</v>
      </c>
      <c r="L28" s="143"/>
      <c r="M28" s="143"/>
      <c r="N28" s="904"/>
      <c r="O28" s="143"/>
      <c r="P28" s="143"/>
      <c r="Q28" s="143"/>
      <c r="R28" s="143"/>
      <c r="S28" s="143"/>
      <c r="T28" s="905"/>
      <c r="U28" s="997">
        <v>24.12</v>
      </c>
      <c r="V28" s="103">
        <f ref="V28:V33" t="shared" si="12">SUM(H28:U28)</f>
        <v>0</v>
      </c>
      <c r="W28" s="143"/>
      <c r="X28" s="143"/>
      <c r="Y28" s="143"/>
      <c r="Z28" s="143"/>
      <c r="AA28" s="143"/>
      <c r="AB28" s="143"/>
      <c r="AC28" s="143"/>
      <c r="AD28" s="143"/>
      <c r="AE28" s="143"/>
      <c r="AF28" s="904"/>
      <c r="AG28" s="905"/>
      <c r="AH28" s="143"/>
      <c r="AI28" s="103">
        <f t="shared" si="2"/>
        <v>0</v>
      </c>
      <c r="AJ28" s="906">
        <v>1460.12</v>
      </c>
      <c r="AK28" s="907">
        <v>791.04</v>
      </c>
      <c r="AL28" s="136"/>
      <c r="AM28" s="975">
        <f t="shared" si="3"/>
        <v>0</v>
      </c>
      <c r="AN28" s="1202"/>
      <c r="AO28" s="895"/>
      <c r="AP28" s="143"/>
      <c r="AQ28" s="143"/>
      <c r="AR28" s="143"/>
      <c r="AS28" s="1203">
        <f t="shared" si="4"/>
        <v>0</v>
      </c>
      <c r="AT28" s="1793">
        <v>7249</v>
      </c>
      <c r="AU28" s="1546"/>
      <c r="AV28" s="1546"/>
      <c r="AW28" s="1548"/>
      <c r="AX28" s="1548"/>
      <c r="AY28" s="1548"/>
      <c r="AZ28" s="1793">
        <v>2220.1</v>
      </c>
      <c r="BA28" s="1548"/>
      <c r="BB28" s="1548"/>
      <c r="BC28" s="1548"/>
      <c r="BD28" s="1546"/>
      <c r="BE28" s="222">
        <f t="shared" si="5"/>
        <v>0</v>
      </c>
      <c r="BF28" s="140">
        <f t="shared" si="6"/>
        <v>0</v>
      </c>
      <c r="BG28" s="132"/>
      <c r="BH28" s="140">
        <f t="shared" si="7"/>
        <v>0</v>
      </c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914"/>
      <c r="BT28" s="909"/>
      <c r="BU28" s="141"/>
      <c r="BV28" s="130">
        <f t="shared" si="8"/>
        <v>0</v>
      </c>
      <c r="BW28" s="132"/>
    </row>
    <row r="29" ht="14.25" customHeight="1">
      <c r="A29" s="132"/>
      <c r="B29" s="444">
        <v>46047</v>
      </c>
      <c r="C29" s="900">
        <f>11765.06-D29-0</f>
      </c>
      <c r="D29" s="901">
        <v>1943.8</v>
      </c>
      <c r="E29" s="135"/>
      <c r="F29" s="135"/>
      <c r="G29" s="147">
        <f t="shared" si="0"/>
        <v>0</v>
      </c>
      <c r="H29" s="1053"/>
      <c r="I29" s="143"/>
      <c r="J29" s="143"/>
      <c r="K29" s="904">
        <v>2100.83</v>
      </c>
      <c r="L29" s="143"/>
      <c r="M29" s="143"/>
      <c r="N29" s="905"/>
      <c r="O29" s="143"/>
      <c r="P29" s="143"/>
      <c r="Q29" s="143"/>
      <c r="R29" s="143"/>
      <c r="S29" s="143"/>
      <c r="T29" s="905"/>
      <c r="U29" s="997">
        <v>31.83</v>
      </c>
      <c r="V29" s="103">
        <f t="shared" si="12"/>
        <v>0</v>
      </c>
      <c r="W29" s="143"/>
      <c r="X29" s="143"/>
      <c r="Y29" s="143"/>
      <c r="Z29" s="143"/>
      <c r="AA29" s="143"/>
      <c r="AB29" s="143"/>
      <c r="AC29" s="143"/>
      <c r="AD29" s="143"/>
      <c r="AE29" s="143"/>
      <c r="AF29" s="905"/>
      <c r="AG29" s="999"/>
      <c r="AH29" s="143"/>
      <c r="AI29" s="103">
        <f t="shared" si="2"/>
        <v>0</v>
      </c>
      <c r="AJ29" s="906">
        <v>680.41</v>
      </c>
      <c r="AK29" s="907">
        <v>200.58</v>
      </c>
      <c r="AL29" s="136"/>
      <c r="AM29" s="975">
        <f t="shared" si="3"/>
        <v>0</v>
      </c>
      <c r="AN29" s="1206"/>
      <c r="AO29" s="912"/>
      <c r="AP29" s="143"/>
      <c r="AQ29" s="143"/>
      <c r="AR29" s="143"/>
      <c r="AS29" s="1203">
        <f t="shared" si="4"/>
        <v>0</v>
      </c>
      <c r="AT29" s="1793">
        <v>6807.7</v>
      </c>
      <c r="AU29" s="1546"/>
      <c r="AV29" s="1546"/>
      <c r="AW29" s="1548"/>
      <c r="AX29" s="1548"/>
      <c r="AY29" s="1548"/>
      <c r="AZ29" s="1793">
        <v>1943.8</v>
      </c>
      <c r="BA29" s="1548"/>
      <c r="BB29" s="1548"/>
      <c r="BC29" s="1548"/>
      <c r="BD29" s="1546"/>
      <c r="BE29" s="222">
        <f t="shared" si="5"/>
        <v>0</v>
      </c>
      <c r="BF29" s="140">
        <f t="shared" si="6"/>
        <v>0</v>
      </c>
      <c r="BG29" s="132"/>
      <c r="BH29" s="140">
        <f t="shared" si="7"/>
        <v>0</v>
      </c>
      <c r="BI29" s="141"/>
      <c r="BJ29" s="141"/>
      <c r="BK29" s="141"/>
      <c r="BL29" s="141"/>
      <c r="BM29" s="141"/>
      <c r="BN29" s="141"/>
      <c r="BO29" s="141"/>
      <c r="BP29" s="141"/>
      <c r="BQ29" s="141"/>
      <c r="BR29" s="141"/>
      <c r="BS29" s="908"/>
      <c r="BT29" s="910"/>
      <c r="BU29" s="141"/>
      <c r="BV29" s="130">
        <f t="shared" si="8"/>
        <v>0</v>
      </c>
      <c r="BW29" s="132"/>
    </row>
    <row r="30" ht="14.25" customHeight="1">
      <c r="A30" s="132"/>
      <c r="B30" s="444">
        <v>46048</v>
      </c>
      <c r="C30" s="900">
        <f>16165.83-D30-0</f>
      </c>
      <c r="D30" s="901">
        <v>1865.68</v>
      </c>
      <c r="E30" s="135"/>
      <c r="F30" s="135"/>
      <c r="G30" s="147">
        <f t="shared" si="0"/>
        <v>0</v>
      </c>
      <c r="H30" s="1149">
        <v>245.16</v>
      </c>
      <c r="I30" s="143"/>
      <c r="J30" s="143"/>
      <c r="K30" s="904">
        <v>3624.36</v>
      </c>
      <c r="L30" s="143"/>
      <c r="M30" s="143"/>
      <c r="N30" s="988">
        <v>198.91</v>
      </c>
      <c r="O30" s="143"/>
      <c r="P30" s="143"/>
      <c r="Q30" s="143"/>
      <c r="R30" s="143"/>
      <c r="S30" s="143"/>
      <c r="T30" s="905"/>
      <c r="U30" s="997">
        <v>39.25</v>
      </c>
      <c r="V30" s="103">
        <f t="shared" si="12"/>
        <v>0</v>
      </c>
      <c r="W30" s="143"/>
      <c r="X30" s="143"/>
      <c r="Y30" s="143"/>
      <c r="Z30" s="143"/>
      <c r="AA30" s="143"/>
      <c r="AB30" s="143"/>
      <c r="AC30" s="143"/>
      <c r="AD30" s="143"/>
      <c r="AE30" s="143"/>
      <c r="AF30" s="904"/>
      <c r="AG30" s="905"/>
      <c r="AH30" s="143"/>
      <c r="AI30" s="103">
        <f t="shared" si="2"/>
        <v>0</v>
      </c>
      <c r="AJ30" s="906">
        <v>1286.2</v>
      </c>
      <c r="AK30" s="907">
        <v>515.68</v>
      </c>
      <c r="AL30" s="136"/>
      <c r="AM30" s="975">
        <f t="shared" si="3"/>
        <v>0</v>
      </c>
      <c r="AN30" s="1207">
        <v>4.09</v>
      </c>
      <c r="AO30" s="895"/>
      <c r="AP30" s="143"/>
      <c r="AQ30" s="143"/>
      <c r="AR30" s="143"/>
      <c r="AS30" s="1203">
        <f t="shared" si="4"/>
        <v>0</v>
      </c>
      <c r="AT30" s="1793">
        <v>8374.7</v>
      </c>
      <c r="AU30" s="1546"/>
      <c r="AV30" s="1546"/>
      <c r="AW30" s="1548"/>
      <c r="AX30" s="1548"/>
      <c r="AY30" s="1548"/>
      <c r="AZ30" s="1793">
        <v>1865.7</v>
      </c>
      <c r="BA30" s="1548"/>
      <c r="BB30" s="1548"/>
      <c r="BC30" s="1548"/>
      <c r="BD30" s="1546"/>
      <c r="BE30" s="222">
        <f t="shared" si="5"/>
        <v>0</v>
      </c>
      <c r="BF30" s="140">
        <f t="shared" si="6"/>
        <v>0</v>
      </c>
      <c r="BG30" s="132"/>
      <c r="BH30" s="140">
        <f t="shared" si="7"/>
        <v>0</v>
      </c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056"/>
      <c r="BT30" s="909">
        <v>20</v>
      </c>
      <c r="BU30" s="141"/>
      <c r="BV30" s="130">
        <f t="shared" si="8"/>
        <v>0</v>
      </c>
      <c r="BW30" s="132"/>
    </row>
    <row r="31" ht="14.25" customHeight="1">
      <c r="A31" s="132"/>
      <c r="B31" s="444">
        <v>46049</v>
      </c>
      <c r="C31" s="900">
        <f>14792.48-D31-0</f>
      </c>
      <c r="D31" s="901">
        <v>1916.56</v>
      </c>
      <c r="E31" s="135"/>
      <c r="F31" s="135"/>
      <c r="G31" s="147">
        <f t="shared" si="0"/>
        <v>0</v>
      </c>
      <c r="H31" s="1150"/>
      <c r="I31" s="143"/>
      <c r="J31" s="143"/>
      <c r="K31" s="904">
        <v>1915.76</v>
      </c>
      <c r="L31" s="143"/>
      <c r="M31" s="143"/>
      <c r="N31" s="999"/>
      <c r="O31" s="143"/>
      <c r="P31" s="143"/>
      <c r="Q31" s="143"/>
      <c r="R31" s="143"/>
      <c r="S31" s="143"/>
      <c r="T31" s="904"/>
      <c r="U31" s="989">
        <v>61.28</v>
      </c>
      <c r="V31" s="103">
        <f t="shared" si="12"/>
        <v>0</v>
      </c>
      <c r="W31" s="143"/>
      <c r="X31" s="143"/>
      <c r="Y31" s="143"/>
      <c r="Z31" s="143"/>
      <c r="AA31" s="143"/>
      <c r="AB31" s="143"/>
      <c r="AC31" s="143"/>
      <c r="AD31" s="143"/>
      <c r="AE31" s="143"/>
      <c r="AF31" s="905"/>
      <c r="AG31" s="905"/>
      <c r="AH31" s="143"/>
      <c r="AI31" s="103">
        <f t="shared" si="2"/>
        <v>0</v>
      </c>
      <c r="AJ31" s="906">
        <v>1897.61</v>
      </c>
      <c r="AK31" s="907">
        <v>573.19</v>
      </c>
      <c r="AL31" s="136"/>
      <c r="AM31" s="975">
        <f t="shared" si="3"/>
        <v>0</v>
      </c>
      <c r="AN31" s="1202"/>
      <c r="AO31" s="895"/>
      <c r="AP31" s="143"/>
      <c r="AQ31" s="143"/>
      <c r="AR31" s="143"/>
      <c r="AS31" s="1203">
        <f t="shared" si="4"/>
        <v>0</v>
      </c>
      <c r="AT31" s="1793">
        <v>8428.1</v>
      </c>
      <c r="AU31" s="1546"/>
      <c r="AV31" s="1546"/>
      <c r="AW31" s="1548"/>
      <c r="AX31" s="1548"/>
      <c r="AY31" s="1548"/>
      <c r="AZ31" s="1793">
        <v>1916.6</v>
      </c>
      <c r="BA31" s="1548"/>
      <c r="BB31" s="1548"/>
      <c r="BC31" s="1548"/>
      <c r="BD31" s="1546"/>
      <c r="BE31" s="222">
        <f t="shared" si="5"/>
        <v>0</v>
      </c>
      <c r="BF31" s="140">
        <f t="shared" si="6"/>
        <v>0</v>
      </c>
      <c r="BG31" s="132"/>
      <c r="BH31" s="140">
        <f t="shared" si="7"/>
        <v>0</v>
      </c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914"/>
      <c r="BT31" s="909"/>
      <c r="BU31" s="141"/>
      <c r="BV31" s="130">
        <f t="shared" si="8"/>
        <v>0</v>
      </c>
      <c r="BW31" s="132"/>
    </row>
    <row r="32" ht="14.25" customHeight="1">
      <c r="A32" s="132"/>
      <c r="B32" s="444">
        <v>46050</v>
      </c>
      <c r="C32" s="900">
        <f>11802.21-D32-0</f>
      </c>
      <c r="D32" s="901">
        <v>1429.82</v>
      </c>
      <c r="E32" s="135"/>
      <c r="F32" s="135"/>
      <c r="G32" s="147">
        <f t="shared" si="0"/>
        <v>0</v>
      </c>
      <c r="H32" s="1152">
        <v>142.51</v>
      </c>
      <c r="I32" s="143"/>
      <c r="J32" s="143"/>
      <c r="K32" s="988">
        <v>1361.47</v>
      </c>
      <c r="L32" s="143"/>
      <c r="M32" s="143"/>
      <c r="N32" s="905"/>
      <c r="O32" s="143"/>
      <c r="P32" s="143"/>
      <c r="Q32" s="143"/>
      <c r="R32" s="143"/>
      <c r="S32" s="143"/>
      <c r="T32" s="904"/>
      <c r="U32" s="989">
        <v>28.63</v>
      </c>
      <c r="V32" s="103">
        <f t="shared" si="12"/>
        <v>0</v>
      </c>
      <c r="W32" s="143"/>
      <c r="X32" s="143"/>
      <c r="Y32" s="143"/>
      <c r="Z32" s="143"/>
      <c r="AA32" s="143"/>
      <c r="AB32" s="143"/>
      <c r="AC32" s="143"/>
      <c r="AD32" s="143"/>
      <c r="AE32" s="143"/>
      <c r="AF32" s="904"/>
      <c r="AG32" s="905"/>
      <c r="AH32" s="143"/>
      <c r="AI32" s="103">
        <f t="shared" si="2"/>
        <v>0</v>
      </c>
      <c r="AJ32" s="906">
        <v>1408.05</v>
      </c>
      <c r="AK32" s="907">
        <v>460.28</v>
      </c>
      <c r="AL32" s="136"/>
      <c r="AM32" s="975">
        <f t="shared" si="3"/>
        <v>0</v>
      </c>
      <c r="AN32" s="1202"/>
      <c r="AO32" s="895"/>
      <c r="AP32" s="143"/>
      <c r="AQ32" s="143"/>
      <c r="AR32" s="143"/>
      <c r="AS32" s="1203">
        <f t="shared" si="4"/>
        <v>0</v>
      </c>
      <c r="AT32" s="1793">
        <v>6951.4</v>
      </c>
      <c r="AU32" s="1546"/>
      <c r="AV32" s="1546"/>
      <c r="AW32" s="1548"/>
      <c r="AX32" s="1548"/>
      <c r="AY32" s="1548"/>
      <c r="AZ32" s="1793">
        <v>1429.9</v>
      </c>
      <c r="BA32" s="1548"/>
      <c r="BB32" s="1548"/>
      <c r="BC32" s="1548"/>
      <c r="BD32" s="1546"/>
      <c r="BE32" s="222">
        <f t="shared" si="5"/>
        <v>0</v>
      </c>
      <c r="BF32" s="140">
        <f t="shared" si="6"/>
        <v>0</v>
      </c>
      <c r="BG32" s="132"/>
      <c r="BH32" s="140">
        <f t="shared" si="7"/>
        <v>0</v>
      </c>
      <c r="BI32" s="141"/>
      <c r="BJ32" s="141"/>
      <c r="BK32" s="141"/>
      <c r="BL32" s="141"/>
      <c r="BM32" s="141"/>
      <c r="BN32" s="141"/>
      <c r="BO32" s="141"/>
      <c r="BP32" s="141"/>
      <c r="BQ32" s="141"/>
      <c r="BR32" s="141"/>
      <c r="BS32" s="1056"/>
      <c r="BT32" s="909">
        <v>20</v>
      </c>
      <c r="BU32" s="141"/>
      <c r="BV32" s="130">
        <f t="shared" si="8"/>
        <v>0</v>
      </c>
      <c r="BW32" s="132"/>
    </row>
    <row r="33" ht="14.25" customHeight="1">
      <c r="A33" s="132"/>
      <c r="B33" s="444">
        <v>46051</v>
      </c>
      <c r="C33" s="900">
        <f>15239.12-D33-0</f>
      </c>
      <c r="D33" s="901">
        <v>1696.51</v>
      </c>
      <c r="E33" s="135"/>
      <c r="F33" s="135"/>
      <c r="G33" s="147">
        <f t="shared" si="0"/>
        <v>0</v>
      </c>
      <c r="H33" s="1209">
        <v>200.21</v>
      </c>
      <c r="I33" s="143"/>
      <c r="J33" s="143"/>
      <c r="K33" s="904">
        <v>1231</v>
      </c>
      <c r="L33" s="143"/>
      <c r="M33" s="143"/>
      <c r="N33" s="904"/>
      <c r="O33" s="143"/>
      <c r="P33" s="143"/>
      <c r="Q33" s="143"/>
      <c r="R33" s="143"/>
      <c r="S33" s="143"/>
      <c r="T33" s="905"/>
      <c r="U33" s="997">
        <v>69.52</v>
      </c>
      <c r="V33" s="103">
        <f t="shared" si="12"/>
        <v>0</v>
      </c>
      <c r="W33" s="143"/>
      <c r="X33" s="143"/>
      <c r="Y33" s="143"/>
      <c r="Z33" s="143"/>
      <c r="AA33" s="143"/>
      <c r="AB33" s="143"/>
      <c r="AC33" s="143"/>
      <c r="AD33" s="143"/>
      <c r="AE33" s="143"/>
      <c r="AF33" s="904"/>
      <c r="AG33" s="999"/>
      <c r="AH33" s="143"/>
      <c r="AI33" s="103">
        <f t="shared" si="2"/>
        <v>0</v>
      </c>
      <c r="AJ33" s="906">
        <v>2167.02</v>
      </c>
      <c r="AK33" s="907">
        <v>486.37</v>
      </c>
      <c r="AL33" s="136"/>
      <c r="AM33" s="975">
        <f t="shared" si="3"/>
        <v>0</v>
      </c>
      <c r="AN33" s="1206"/>
      <c r="AO33" s="912"/>
      <c r="AP33" s="143"/>
      <c r="AQ33" s="143"/>
      <c r="AR33" s="143"/>
      <c r="AS33" s="1203">
        <f t="shared" si="4"/>
        <v>0</v>
      </c>
      <c r="AT33" s="1793">
        <v>9038.6</v>
      </c>
      <c r="AU33" s="1546"/>
      <c r="AV33" s="1546"/>
      <c r="AW33" s="1548"/>
      <c r="AX33" s="1548"/>
      <c r="AY33" s="1548"/>
      <c r="AZ33" s="1793">
        <v>1696.5</v>
      </c>
      <c r="BA33" s="1548"/>
      <c r="BB33" s="1548"/>
      <c r="BC33" s="1548"/>
      <c r="BD33" s="1546"/>
      <c r="BE33" s="222">
        <f t="shared" si="5"/>
        <v>0</v>
      </c>
      <c r="BF33" s="140">
        <f t="shared" si="6"/>
        <v>0</v>
      </c>
      <c r="BG33" s="132"/>
      <c r="BH33" s="140">
        <f t="shared" si="7"/>
        <v>0</v>
      </c>
      <c r="BI33" s="141"/>
      <c r="BJ33" s="141"/>
      <c r="BK33" s="141"/>
      <c r="BL33" s="141"/>
      <c r="BM33" s="141"/>
      <c r="BN33" s="141"/>
      <c r="BO33" s="141"/>
      <c r="BP33" s="141"/>
      <c r="BQ33" s="141"/>
      <c r="BR33" s="141"/>
      <c r="BS33" s="914"/>
      <c r="BT33" s="1062">
        <v>350</v>
      </c>
      <c r="BU33" s="141"/>
      <c r="BV33" s="130">
        <f t="shared" si="8"/>
        <v>0</v>
      </c>
      <c r="BW33" s="132"/>
    </row>
    <row r="34" ht="14.25" customHeight="1">
      <c r="A34" s="132"/>
      <c r="B34" s="444">
        <v>46052</v>
      </c>
      <c r="C34" s="900">
        <f>7543.12-D34-0</f>
      </c>
      <c r="D34" s="901">
        <v>883.71</v>
      </c>
      <c r="E34" s="135"/>
      <c r="F34" s="135"/>
      <c r="G34" s="147">
        <f t="shared" si="0"/>
        <v>0</v>
      </c>
      <c r="H34" s="1150"/>
      <c r="I34" s="143"/>
      <c r="J34" s="143"/>
      <c r="K34" s="988">
        <v>808.13</v>
      </c>
      <c r="L34" s="143"/>
      <c r="M34" s="143"/>
      <c r="N34" s="905"/>
      <c r="O34" s="143"/>
      <c r="P34" s="143"/>
      <c r="Q34" s="143"/>
      <c r="R34" s="143"/>
      <c r="S34" s="143"/>
      <c r="T34" s="904"/>
      <c r="U34" s="912"/>
      <c r="V34" s="103">
        <f>SUM(H34:T34)</f>
        <v>0</v>
      </c>
      <c r="W34" s="143"/>
      <c r="X34" s="143"/>
      <c r="Y34" s="143"/>
      <c r="Z34" s="143"/>
      <c r="AA34" s="143"/>
      <c r="AB34" s="143"/>
      <c r="AC34" s="143"/>
      <c r="AD34" s="143"/>
      <c r="AE34" s="143"/>
      <c r="AF34" s="905"/>
      <c r="AG34" s="905"/>
      <c r="AH34" s="143"/>
      <c r="AI34" s="103">
        <f t="shared" si="2"/>
        <v>0</v>
      </c>
      <c r="AJ34" s="906">
        <v>718.59</v>
      </c>
      <c r="AK34" s="907">
        <v>192.55</v>
      </c>
      <c r="AL34" s="136"/>
      <c r="AM34" s="975">
        <f t="shared" si="3"/>
        <v>0</v>
      </c>
      <c r="AN34" s="1202"/>
      <c r="AO34" s="895"/>
      <c r="AP34" s="143"/>
      <c r="AQ34" s="143"/>
      <c r="AR34" s="143"/>
      <c r="AS34" s="1203">
        <f t="shared" si="4"/>
        <v>0</v>
      </c>
      <c r="AT34" s="1793">
        <v>4920.2</v>
      </c>
      <c r="AU34" s="1546"/>
      <c r="AV34" s="1546"/>
      <c r="AW34" s="1548"/>
      <c r="AX34" s="1548"/>
      <c r="AY34" s="1548"/>
      <c r="AZ34" s="1793">
        <v>883.7</v>
      </c>
      <c r="BA34" s="1548"/>
      <c r="BB34" s="1548"/>
      <c r="BC34" s="1548"/>
      <c r="BD34" s="1546"/>
      <c r="BE34" s="222">
        <f t="shared" si="5"/>
        <v>0</v>
      </c>
      <c r="BF34" s="140">
        <f t="shared" si="6"/>
        <v>0</v>
      </c>
      <c r="BG34" s="132"/>
      <c r="BH34" s="140">
        <f t="shared" si="7"/>
        <v>0</v>
      </c>
      <c r="BI34" s="141"/>
      <c r="BJ34" s="141"/>
      <c r="BK34" s="141"/>
      <c r="BL34" s="141"/>
      <c r="BM34" s="141"/>
      <c r="BN34" s="141"/>
      <c r="BO34" s="141"/>
      <c r="BP34" s="141"/>
      <c r="BQ34" s="141"/>
      <c r="BR34" s="141"/>
      <c r="BS34" s="1056"/>
      <c r="BT34" s="909">
        <v>20</v>
      </c>
      <c r="BU34" s="141"/>
      <c r="BV34" s="130">
        <f t="shared" si="8"/>
        <v>0</v>
      </c>
      <c r="BW34" s="132"/>
    </row>
    <row r="35" ht="14.25" customHeight="1">
      <c r="A35" s="132"/>
      <c r="B35" s="444">
        <v>46053</v>
      </c>
      <c r="C35" s="918">
        <f>12319.19-D35-0</f>
      </c>
      <c r="D35" s="919">
        <v>1693.67</v>
      </c>
      <c r="E35" s="156"/>
      <c r="F35" s="156"/>
      <c r="G35" s="622">
        <f t="shared" si="0"/>
        <v>0</v>
      </c>
      <c r="H35" s="1210"/>
      <c r="I35" s="157"/>
      <c r="J35" s="157"/>
      <c r="K35" s="1065">
        <v>1640.99</v>
      </c>
      <c r="L35" s="157"/>
      <c r="M35" s="157"/>
      <c r="N35" s="922">
        <v>231.35</v>
      </c>
      <c r="O35" s="157"/>
      <c r="P35" s="157"/>
      <c r="Q35" s="157"/>
      <c r="R35" s="157"/>
      <c r="S35" s="157"/>
      <c r="T35" s="923"/>
      <c r="U35" s="997">
        <v>61.46</v>
      </c>
      <c r="V35" s="103">
        <f>SUM(H35:U35)</f>
        <v>0</v>
      </c>
      <c r="W35" s="157"/>
      <c r="X35" s="157"/>
      <c r="Y35" s="157"/>
      <c r="Z35" s="157"/>
      <c r="AA35" s="157"/>
      <c r="AB35" s="157"/>
      <c r="AC35" s="157"/>
      <c r="AD35" s="157"/>
      <c r="AE35" s="157"/>
      <c r="AF35" s="923"/>
      <c r="AG35" s="923"/>
      <c r="AH35" s="157"/>
      <c r="AI35" s="103">
        <f t="shared" si="2"/>
        <v>0</v>
      </c>
      <c r="AJ35" s="924">
        <v>1278.91</v>
      </c>
      <c r="AK35" s="925">
        <v>536.18</v>
      </c>
      <c r="AL35" s="159"/>
      <c r="AM35" s="975">
        <f t="shared" si="3"/>
        <v>0</v>
      </c>
      <c r="AN35" s="1211">
        <v>4.54</v>
      </c>
      <c r="AO35" s="1212"/>
      <c r="AP35" s="157"/>
      <c r="AQ35" s="157"/>
      <c r="AR35" s="157"/>
      <c r="AS35" s="1213">
        <f t="shared" si="4"/>
        <v>0</v>
      </c>
      <c r="AT35" s="1795">
        <v>6881.2</v>
      </c>
      <c r="AU35" s="1557"/>
      <c r="AV35" s="1557"/>
      <c r="AW35" s="1548"/>
      <c r="AX35" s="1548"/>
      <c r="AY35" s="1548"/>
      <c r="AZ35" s="1795">
        <v>1693.7</v>
      </c>
      <c r="BA35" s="1548"/>
      <c r="BB35" s="1548"/>
      <c r="BC35" s="1548"/>
      <c r="BD35" s="1557"/>
      <c r="BE35" s="222">
        <f t="shared" si="5"/>
        <v>0</v>
      </c>
      <c r="BF35" s="162">
        <f t="shared" si="6"/>
        <v>0</v>
      </c>
      <c r="BG35" s="132"/>
      <c r="BH35" s="162">
        <f t="shared" si="7"/>
        <v>0</v>
      </c>
      <c r="BI35" s="163"/>
      <c r="BJ35" s="163"/>
      <c r="BK35" s="163"/>
      <c r="BL35" s="163"/>
      <c r="BM35" s="163"/>
      <c r="BN35" s="163"/>
      <c r="BO35" s="163"/>
      <c r="BP35" s="163"/>
      <c r="BQ35" s="163"/>
      <c r="BR35" s="141"/>
      <c r="BS35" s="1067"/>
      <c r="BT35" s="927"/>
      <c r="BU35" s="163"/>
      <c r="BV35" s="164">
        <f t="shared" si="8"/>
        <v>0</v>
      </c>
      <c r="BW35" s="132"/>
    </row>
    <row r="36" ht="14.25" customHeight="1">
      <c r="A36" s="3"/>
      <c r="B36" s="2" t="s">
        <v>4</v>
      </c>
      <c r="C36" s="165">
        <f ref="C36:Q36" t="shared" si="13">SUM(C5:C35)</f>
        <v>0</v>
      </c>
      <c r="D36" s="165">
        <f t="shared" si="13"/>
        <v>0</v>
      </c>
      <c r="E36" s="165">
        <f t="shared" si="13"/>
        <v>0</v>
      </c>
      <c r="F36" s="165">
        <f t="shared" si="13"/>
        <v>0</v>
      </c>
      <c r="G36" s="165">
        <f t="shared" si="13"/>
        <v>0</v>
      </c>
      <c r="H36" s="165">
        <f t="shared" si="13"/>
        <v>0</v>
      </c>
      <c r="I36" s="165">
        <f t="shared" si="13"/>
        <v>0</v>
      </c>
      <c r="J36" s="165">
        <f t="shared" si="13"/>
        <v>0</v>
      </c>
      <c r="K36" s="165">
        <f t="shared" si="13"/>
        <v>0</v>
      </c>
      <c r="L36" s="165">
        <f t="shared" si="13"/>
        <v>0</v>
      </c>
      <c r="M36" s="165">
        <f t="shared" si="13"/>
        <v>0</v>
      </c>
      <c r="N36" s="165">
        <f t="shared" si="13"/>
        <v>0</v>
      </c>
      <c r="O36" s="165">
        <f t="shared" si="13"/>
        <v>0</v>
      </c>
      <c r="P36" s="165">
        <f t="shared" si="13"/>
        <v>0</v>
      </c>
      <c r="Q36" s="165">
        <f t="shared" si="13"/>
        <v>0</v>
      </c>
      <c r="R36" s="165"/>
      <c r="S36" s="165">
        <f ref="S36:AF36" t="shared" si="14">SUM(S5:S35)</f>
        <v>0</v>
      </c>
      <c r="T36" s="165">
        <f t="shared" si="14"/>
        <v>0</v>
      </c>
      <c r="U36" s="165">
        <f t="shared" si="14"/>
        <v>0</v>
      </c>
      <c r="V36" s="165">
        <f t="shared" si="14"/>
        <v>0</v>
      </c>
      <c r="W36" s="165">
        <f t="shared" si="14"/>
        <v>0</v>
      </c>
      <c r="X36" s="165">
        <f t="shared" si="14"/>
        <v>0</v>
      </c>
      <c r="Y36" s="165">
        <f t="shared" si="14"/>
        <v>0</v>
      </c>
      <c r="Z36" s="165">
        <f t="shared" si="14"/>
        <v>0</v>
      </c>
      <c r="AA36" s="165">
        <f t="shared" si="14"/>
        <v>0</v>
      </c>
      <c r="AB36" s="165">
        <f t="shared" si="14"/>
        <v>0</v>
      </c>
      <c r="AC36" s="165">
        <f t="shared" si="14"/>
        <v>0</v>
      </c>
      <c r="AD36" s="165">
        <f t="shared" si="14"/>
        <v>0</v>
      </c>
      <c r="AE36" s="165">
        <f t="shared" si="14"/>
        <v>0</v>
      </c>
      <c r="AF36" s="165">
        <f t="shared" si="14"/>
        <v>0</v>
      </c>
      <c r="AG36" s="165"/>
      <c r="AH36" s="165">
        <f ref="AH36:AN36" t="shared" si="15">SUM(AH5:AH35)</f>
        <v>0</v>
      </c>
      <c r="AI36" s="165">
        <f t="shared" si="15"/>
        <v>0</v>
      </c>
      <c r="AJ36" s="165">
        <f t="shared" si="15"/>
        <v>0</v>
      </c>
      <c r="AK36" s="165">
        <f t="shared" si="15"/>
        <v>0</v>
      </c>
      <c r="AL36" s="165">
        <f t="shared" si="15"/>
        <v>0</v>
      </c>
      <c r="AM36" s="165">
        <f t="shared" si="15"/>
        <v>0</v>
      </c>
      <c r="AN36" s="165">
        <f t="shared" si="15"/>
        <v>0</v>
      </c>
      <c r="AO36" s="165"/>
      <c r="AP36" s="165">
        <f ref="AP36:BF36" t="shared" si="16">SUM(AP5:AP35)</f>
        <v>0</v>
      </c>
      <c r="AQ36" s="165">
        <f t="shared" si="16"/>
        <v>0</v>
      </c>
      <c r="AR36" s="165">
        <f t="shared" si="16"/>
        <v>0</v>
      </c>
      <c r="AS36" s="165">
        <f t="shared" si="16"/>
        <v>0</v>
      </c>
      <c r="AT36" s="165">
        <f t="shared" si="16"/>
        <v>0</v>
      </c>
      <c r="AU36" s="165">
        <f t="shared" si="16"/>
        <v>0</v>
      </c>
      <c r="AV36" s="165">
        <f t="shared" si="16"/>
        <v>0</v>
      </c>
      <c r="AW36" s="165">
        <f t="shared" si="16"/>
        <v>0</v>
      </c>
      <c r="AX36" s="165">
        <f t="shared" si="16"/>
        <v>0</v>
      </c>
      <c r="AY36" s="165">
        <f t="shared" si="16"/>
        <v>0</v>
      </c>
      <c r="AZ36" s="165">
        <f t="shared" si="16"/>
        <v>0</v>
      </c>
      <c r="BA36" s="165">
        <f t="shared" si="16"/>
        <v>0</v>
      </c>
      <c r="BB36" s="165">
        <f t="shared" si="16"/>
        <v>0</v>
      </c>
      <c r="BC36" s="165">
        <f t="shared" si="16"/>
        <v>0</v>
      </c>
      <c r="BD36" s="165">
        <f t="shared" si="16"/>
        <v>0</v>
      </c>
      <c r="BE36" s="166">
        <f t="shared" si="16"/>
        <v>0</v>
      </c>
      <c r="BF36" s="165">
        <f t="shared" si="16"/>
        <v>0</v>
      </c>
      <c r="BG36" s="235"/>
      <c r="BH36" s="166">
        <f ref="BH36:BV36" t="shared" si="17">SUM(BH5:BH35)</f>
        <v>0</v>
      </c>
      <c r="BI36" s="166">
        <f t="shared" si="17"/>
        <v>0</v>
      </c>
      <c r="BJ36" s="166">
        <f t="shared" si="17"/>
        <v>0</v>
      </c>
      <c r="BK36" s="166">
        <f t="shared" si="17"/>
        <v>0</v>
      </c>
      <c r="BL36" s="166">
        <f t="shared" si="17"/>
        <v>0</v>
      </c>
      <c r="BM36" s="166">
        <f t="shared" si="17"/>
        <v>0</v>
      </c>
      <c r="BN36" s="166">
        <f t="shared" si="17"/>
        <v>0</v>
      </c>
      <c r="BO36" s="166">
        <f t="shared" si="17"/>
        <v>0</v>
      </c>
      <c r="BP36" s="166">
        <f t="shared" si="17"/>
        <v>0</v>
      </c>
      <c r="BQ36" s="166">
        <f t="shared" si="17"/>
        <v>0</v>
      </c>
      <c r="BR36" s="166">
        <f t="shared" si="17"/>
        <v>0</v>
      </c>
      <c r="BS36" s="166">
        <f t="shared" si="17"/>
        <v>0</v>
      </c>
      <c r="BT36" s="166">
        <f t="shared" si="17"/>
        <v>0</v>
      </c>
      <c r="BU36" s="166">
        <f t="shared" si="17"/>
        <v>0</v>
      </c>
      <c r="BV36" s="166">
        <f t="shared" si="17"/>
        <v>0</v>
      </c>
      <c r="BW36" s="235"/>
    </row>
    <row r="37" ht="14.25" customHeight="1">
      <c r="A37" s="3"/>
      <c r="B37" s="174"/>
      <c r="C37" s="3"/>
      <c r="D37" s="3"/>
      <c r="E37" s="3"/>
      <c r="F37" s="3"/>
      <c r="G37" s="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175"/>
      <c r="U37" s="17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4"/>
      <c r="AN37" s="3"/>
      <c r="AO37" s="3"/>
      <c r="AP37" s="3"/>
      <c r="AQ37" s="3"/>
      <c r="AR37" s="3"/>
      <c r="AS37" s="4"/>
      <c r="AT37" s="132"/>
      <c r="AU37" s="132"/>
      <c r="AV37" s="132"/>
      <c r="AW37" s="3"/>
      <c r="AX37" s="3"/>
      <c r="AY37" s="3"/>
      <c r="AZ37" s="132"/>
      <c r="BA37" s="132"/>
      <c r="BB37" s="132"/>
      <c r="BC37" s="132"/>
      <c r="BD37" s="132"/>
      <c r="BE37" s="4"/>
      <c r="BF37" s="3"/>
      <c r="BG37" s="3"/>
      <c r="BH37" s="17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173"/>
      <c r="BW37" s="3"/>
    </row>
    <row r="38" ht="14.25" customHeight="1">
      <c r="A38" s="3"/>
      <c r="B38" s="174"/>
      <c r="C38" s="3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75"/>
      <c r="U38" s="17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76"/>
      <c r="AJ38" s="3"/>
      <c r="AK38" s="3"/>
      <c r="AL38" s="3"/>
      <c r="AM38" s="4"/>
      <c r="AN38" s="3"/>
      <c r="AO38" s="3"/>
      <c r="AP38" s="3"/>
      <c r="AQ38" s="3"/>
      <c r="AR38" s="3"/>
      <c r="AS38" s="4"/>
      <c r="AT38" s="132"/>
      <c r="AU38" s="132"/>
      <c r="AV38" s="132"/>
      <c r="AW38" s="3"/>
      <c r="AX38" s="3"/>
      <c r="AY38" s="3"/>
      <c r="AZ38" s="132"/>
      <c r="BA38" s="132"/>
      <c r="BB38" s="132"/>
      <c r="BC38" s="132"/>
      <c r="BD38" s="132"/>
      <c r="BE38" s="177"/>
      <c r="BF38" s="3"/>
      <c r="BG38" s="3"/>
      <c r="BH38" s="178"/>
      <c r="BI38" s="176"/>
      <c r="BJ38" s="176"/>
      <c r="BK38" s="176"/>
      <c r="BL38" s="176"/>
      <c r="BM38" s="176"/>
      <c r="BN38" s="176"/>
      <c r="BO38" s="176"/>
      <c r="BP38" s="176"/>
      <c r="BQ38" s="176"/>
      <c r="BR38" s="176"/>
      <c r="BS38" s="176"/>
      <c r="BT38" s="176"/>
      <c r="BU38" s="176"/>
      <c r="BV38" s="178"/>
      <c r="BW38" s="3"/>
    </row>
    <row r="39" ht="14.25" customHeight="1">
      <c r="A39" s="3"/>
      <c r="B39" s="618">
        <v>46054</v>
      </c>
      <c r="C39" s="94">
        <f>11612.53-D39-0</f>
      </c>
      <c r="D39" s="95">
        <v>2218.48</v>
      </c>
      <c r="E39" s="97"/>
      <c r="F39" s="97"/>
      <c r="G39" s="216">
        <f ref="G39:G67" t="shared" si="18">+C39+D39+E39+F39</f>
        <v>0</v>
      </c>
      <c r="H39" s="187"/>
      <c r="I39" s="186"/>
      <c r="J39" s="186"/>
      <c r="K39" s="188">
        <v>123.64</v>
      </c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9">
        <f>SUM(H39:T39)</f>
        <v>0</v>
      </c>
      <c r="W39" s="186"/>
      <c r="X39" s="186"/>
      <c r="Y39" s="104"/>
      <c r="Z39" s="186"/>
      <c r="AA39" s="186"/>
      <c r="AB39" s="186"/>
      <c r="AC39" s="186"/>
      <c r="AD39" s="186"/>
      <c r="AE39" s="186"/>
      <c r="AF39" s="186"/>
      <c r="AG39" s="186"/>
      <c r="AH39" s="186"/>
      <c r="AI39" s="103">
        <f ref="AI39:AI67" t="shared" si="19">SUM(W39:AH39)</f>
        <v>0</v>
      </c>
      <c r="AJ39" s="95">
        <v>848.74</v>
      </c>
      <c r="AK39" s="95">
        <v>730.48</v>
      </c>
      <c r="AL39" s="104"/>
      <c r="AM39" s="191">
        <f ref="AM39:AM67" t="shared" si="20">SUM(AJ39:AL39)</f>
        <v>0</v>
      </c>
      <c r="AN39" s="186"/>
      <c r="AO39" s="186"/>
      <c r="AP39" s="186"/>
      <c r="AQ39" s="186"/>
      <c r="AR39" s="193"/>
      <c r="AS39" s="620">
        <f>+G39-V39-AI39-AM39-AN39-AP39-AQ39-AR39</f>
        <v>0</v>
      </c>
      <c r="AT39" s="1721">
        <v>7691.3</v>
      </c>
      <c r="AU39" s="1537"/>
      <c r="AV39" s="1548"/>
      <c r="AW39" s="1548"/>
      <c r="AX39" s="1548"/>
      <c r="AY39" s="1548"/>
      <c r="AZ39" s="1721">
        <v>2218.5</v>
      </c>
      <c r="BA39" s="1548"/>
      <c r="BB39" s="1548"/>
      <c r="BC39" s="1548"/>
      <c r="BD39" s="1537"/>
      <c r="BE39" s="222">
        <f ref="BE39:BE67" t="shared" si="21">SUM(AT39:BD39)-BC39</f>
        <v>0</v>
      </c>
      <c r="BF39" s="114">
        <f ref="BF39:BF67" t="shared" si="22">+AS39-BE39</f>
        <v>0</v>
      </c>
      <c r="BG39" s="3"/>
      <c r="BH39" s="114">
        <f ref="BH39:BH67" t="shared" si="23">SUM(BI39:BU39)</f>
        <v>0</v>
      </c>
      <c r="BI39" s="115"/>
      <c r="BJ39" s="115"/>
      <c r="BK39" s="115"/>
      <c r="BL39" s="115"/>
      <c r="BM39" s="115"/>
      <c r="BN39" s="115"/>
      <c r="BO39" s="115"/>
      <c r="BP39" s="115"/>
      <c r="BQ39" s="129"/>
      <c r="BR39" s="115"/>
      <c r="BS39" s="115"/>
      <c r="BT39" s="115"/>
      <c r="BU39" s="115"/>
      <c r="BV39" s="116">
        <f ref="BV39:BV67" t="shared" si="24">+BF39-BH39</f>
        <v>0</v>
      </c>
      <c r="BW39" s="3"/>
    </row>
    <row r="40" ht="14.25" customHeight="1">
      <c r="A40" s="3"/>
      <c r="B40" s="618">
        <v>46055</v>
      </c>
      <c r="C40" s="118">
        <f>13638.68-D40-0</f>
      </c>
      <c r="D40" s="119">
        <v>1889</v>
      </c>
      <c r="E40" s="120"/>
      <c r="F40" s="120"/>
      <c r="G40" s="147">
        <f t="shared" si="18"/>
        <v>0</v>
      </c>
      <c r="H40" s="144"/>
      <c r="I40" s="143"/>
      <c r="J40" s="143"/>
      <c r="K40" s="143">
        <v>1872.64</v>
      </c>
      <c r="L40" s="143"/>
      <c r="M40" s="143"/>
      <c r="N40" s="143"/>
      <c r="O40" s="143"/>
      <c r="P40" s="143"/>
      <c r="Q40" s="143"/>
      <c r="R40" s="143"/>
      <c r="S40" s="143"/>
      <c r="T40" s="145">
        <v>376.74</v>
      </c>
      <c r="U40" s="145">
        <v>29.06</v>
      </c>
      <c r="V40" s="103">
        <f ref="V40:V44" t="shared" si="25">SUM(H40:U40)</f>
        <v>0</v>
      </c>
      <c r="W40" s="143"/>
      <c r="X40" s="143"/>
      <c r="Y40" s="99"/>
      <c r="Z40" s="143"/>
      <c r="AA40" s="143"/>
      <c r="AB40" s="143"/>
      <c r="AC40" s="143"/>
      <c r="AD40" s="143"/>
      <c r="AE40" s="143"/>
      <c r="AF40" s="143"/>
      <c r="AG40" s="143"/>
      <c r="AH40" s="143"/>
      <c r="AI40" s="103">
        <f t="shared" si="19"/>
        <v>0</v>
      </c>
      <c r="AJ40" s="119">
        <v>1274.92</v>
      </c>
      <c r="AK40" s="119">
        <v>617.05</v>
      </c>
      <c r="AL40" s="123"/>
      <c r="AM40" s="105">
        <f t="shared" si="20"/>
        <v>0</v>
      </c>
      <c r="AN40" s="143"/>
      <c r="AO40" s="143"/>
      <c r="AP40" s="143"/>
      <c r="AQ40" s="143"/>
      <c r="AR40" s="146"/>
      <c r="AS40" s="621">
        <f>+G40-V40-AI40-AM40-AN40-AP40-AQ40-AR40+AO40</f>
        <v>0</v>
      </c>
      <c r="AT40" s="1554">
        <v>7559.3</v>
      </c>
      <c r="AU40" s="1546"/>
      <c r="AV40" s="1548"/>
      <c r="AW40" s="1548"/>
      <c r="AX40" s="1548"/>
      <c r="AY40" s="1548"/>
      <c r="AZ40" s="1554">
        <v>1889</v>
      </c>
      <c r="BA40" s="1548"/>
      <c r="BB40" s="1548"/>
      <c r="BC40" s="1548"/>
      <c r="BD40" s="1546"/>
      <c r="BE40" s="222">
        <f t="shared" si="21"/>
        <v>0</v>
      </c>
      <c r="BF40" s="113">
        <f t="shared" si="22"/>
        <v>0</v>
      </c>
      <c r="BG40" s="3"/>
      <c r="BH40" s="113">
        <f t="shared" si="23"/>
        <v>0</v>
      </c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31"/>
      <c r="BT40" s="129">
        <v>20</v>
      </c>
      <c r="BU40" s="129"/>
      <c r="BV40" s="130">
        <f t="shared" si="24"/>
        <v>0</v>
      </c>
      <c r="BW40" s="3"/>
    </row>
    <row r="41" ht="14.25" customHeight="1">
      <c r="A41" s="3"/>
      <c r="B41" s="618">
        <v>46056</v>
      </c>
      <c r="C41" s="118">
        <f>7298.07-D41-0</f>
      </c>
      <c r="D41" s="119">
        <v>4989.07</v>
      </c>
      <c r="E41" s="120"/>
      <c r="F41" s="120"/>
      <c r="G41" s="147">
        <f t="shared" si="18"/>
        <v>0</v>
      </c>
      <c r="H41" s="199">
        <v>1185.02</v>
      </c>
      <c r="I41" s="143"/>
      <c r="J41" s="143"/>
      <c r="K41" s="143">
        <v>1328.13</v>
      </c>
      <c r="L41" s="143"/>
      <c r="M41" s="143"/>
      <c r="N41" s="143"/>
      <c r="O41" s="143"/>
      <c r="P41" s="143"/>
      <c r="Q41" s="143"/>
      <c r="R41" s="143"/>
      <c r="S41" s="143"/>
      <c r="T41" s="143"/>
      <c r="U41" s="145">
        <v>30.92</v>
      </c>
      <c r="V41" s="103">
        <f t="shared" si="25"/>
        <v>0</v>
      </c>
      <c r="W41" s="143"/>
      <c r="X41" s="143"/>
      <c r="Y41" s="99"/>
      <c r="Z41" s="143"/>
      <c r="AA41" s="143"/>
      <c r="AB41" s="143"/>
      <c r="AC41" s="143"/>
      <c r="AD41" s="143"/>
      <c r="AE41" s="143"/>
      <c r="AF41" s="143"/>
      <c r="AG41" s="143"/>
      <c r="AH41" s="143"/>
      <c r="AI41" s="103">
        <f t="shared" si="19"/>
        <v>0</v>
      </c>
      <c r="AJ41" s="119">
        <v>14432.93</v>
      </c>
      <c r="AK41" s="119">
        <v>1353.64</v>
      </c>
      <c r="AL41" s="123"/>
      <c r="AM41" s="105">
        <f t="shared" si="20"/>
        <v>0</v>
      </c>
      <c r="AN41" s="143"/>
      <c r="AO41" s="143"/>
      <c r="AP41" s="143"/>
      <c r="AQ41" s="143"/>
      <c r="AR41" s="146"/>
      <c r="AS41" s="621">
        <f ref="AS41:AS42" t="shared" si="26">+G41-V41-AI41-AM41-AN41-AP41-AQ41-AR41-AO41</f>
        <v>0</v>
      </c>
      <c r="AT41" s="1554">
        <v>8371.2</v>
      </c>
      <c r="AU41" s="1546"/>
      <c r="AV41" s="1548"/>
      <c r="AW41" s="1548"/>
      <c r="AX41" s="1548"/>
      <c r="AY41" s="1548"/>
      <c r="AZ41" s="1554">
        <v>1746.1</v>
      </c>
      <c r="BA41" s="1548"/>
      <c r="BB41" s="1548"/>
      <c r="BC41" s="1548"/>
      <c r="BD41" s="1546"/>
      <c r="BE41" s="222">
        <f t="shared" si="21"/>
        <v>0</v>
      </c>
      <c r="BF41" s="113">
        <f t="shared" si="22"/>
        <v>0</v>
      </c>
      <c r="BG41" s="3"/>
      <c r="BH41" s="113">
        <f t="shared" si="23"/>
        <v>0</v>
      </c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30">
        <f t="shared" si="24"/>
        <v>0</v>
      </c>
      <c r="BW41" s="3"/>
    </row>
    <row r="42" ht="14.25" customHeight="1">
      <c r="A42" s="3"/>
      <c r="B42" s="618">
        <v>46057</v>
      </c>
      <c r="C42" s="118">
        <f>14020.28-D42-0</f>
      </c>
      <c r="D42" s="119">
        <v>1571.15</v>
      </c>
      <c r="E42" s="120"/>
      <c r="F42" s="120"/>
      <c r="G42" s="147">
        <f t="shared" si="18"/>
        <v>0</v>
      </c>
      <c r="H42" s="144"/>
      <c r="I42" s="143"/>
      <c r="J42" s="143"/>
      <c r="K42" s="143">
        <v>1764.84</v>
      </c>
      <c r="L42" s="143"/>
      <c r="M42" s="143"/>
      <c r="N42" s="145">
        <v>173.02</v>
      </c>
      <c r="O42" s="143"/>
      <c r="P42" s="143"/>
      <c r="Q42" s="143"/>
      <c r="R42" s="143"/>
      <c r="S42" s="143"/>
      <c r="T42" s="143"/>
      <c r="U42" s="145">
        <v>124.69</v>
      </c>
      <c r="V42" s="103">
        <f t="shared" si="25"/>
        <v>0</v>
      </c>
      <c r="W42" s="143"/>
      <c r="X42" s="143"/>
      <c r="Y42" s="99"/>
      <c r="Z42" s="143"/>
      <c r="AA42" s="143"/>
      <c r="AB42" s="143"/>
      <c r="AC42" s="143"/>
      <c r="AD42" s="143"/>
      <c r="AE42" s="143"/>
      <c r="AF42" s="143"/>
      <c r="AG42" s="143"/>
      <c r="AH42" s="143"/>
      <c r="AI42" s="103">
        <f t="shared" si="19"/>
        <v>0</v>
      </c>
      <c r="AJ42" s="119">
        <v>908.86</v>
      </c>
      <c r="AK42" s="119">
        <v>393.38</v>
      </c>
      <c r="AL42" s="123"/>
      <c r="AM42" s="105">
        <f t="shared" si="20"/>
        <v>0</v>
      </c>
      <c r="AN42" s="145">
        <v>3.55</v>
      </c>
      <c r="AO42" s="143"/>
      <c r="AP42" s="143"/>
      <c r="AQ42" s="143"/>
      <c r="AR42" s="146"/>
      <c r="AS42" s="621">
        <f t="shared" si="26"/>
        <v>0</v>
      </c>
      <c r="AT42" s="1554">
        <v>9067.9</v>
      </c>
      <c r="AU42" s="1546"/>
      <c r="AV42" s="1548"/>
      <c r="AW42" s="1548"/>
      <c r="AX42" s="1548"/>
      <c r="AY42" s="1548"/>
      <c r="AZ42" s="1554">
        <v>1571.2</v>
      </c>
      <c r="BA42" s="1548"/>
      <c r="BB42" s="1548"/>
      <c r="BC42" s="1548"/>
      <c r="BD42" s="1546"/>
      <c r="BE42" s="222">
        <f t="shared" si="21"/>
        <v>0</v>
      </c>
      <c r="BF42" s="113">
        <f t="shared" si="22"/>
        <v>0</v>
      </c>
      <c r="BG42" s="3"/>
      <c r="BH42" s="113">
        <f t="shared" si="23"/>
        <v>0</v>
      </c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31"/>
      <c r="BT42" s="129">
        <v>20</v>
      </c>
      <c r="BU42" s="129"/>
      <c r="BV42" s="130">
        <f t="shared" si="24"/>
        <v>0</v>
      </c>
      <c r="BW42" s="3"/>
    </row>
    <row r="43" ht="14.25" customHeight="1">
      <c r="A43" s="132"/>
      <c r="B43" s="618">
        <v>46058</v>
      </c>
      <c r="C43" s="133">
        <f>14224.65-D43-0</f>
      </c>
      <c r="D43" s="134">
        <v>1427.29</v>
      </c>
      <c r="E43" s="135"/>
      <c r="F43" s="135"/>
      <c r="G43" s="147">
        <f t="shared" si="18"/>
        <v>0</v>
      </c>
      <c r="H43" s="144"/>
      <c r="I43" s="143"/>
      <c r="J43" s="143"/>
      <c r="K43" s="143">
        <v>4129.11</v>
      </c>
      <c r="L43" s="143"/>
      <c r="M43" s="143"/>
      <c r="N43" s="143"/>
      <c r="O43" s="143"/>
      <c r="P43" s="143"/>
      <c r="Q43" s="143"/>
      <c r="R43" s="143"/>
      <c r="S43" s="143"/>
      <c r="T43" s="143"/>
      <c r="U43" s="145">
        <v>38.57</v>
      </c>
      <c r="V43" s="103">
        <f t="shared" si="25"/>
        <v>0</v>
      </c>
      <c r="W43" s="143"/>
      <c r="X43" s="143"/>
      <c r="Y43" s="99"/>
      <c r="Z43" s="143"/>
      <c r="AA43" s="143"/>
      <c r="AB43" s="143"/>
      <c r="AC43" s="143"/>
      <c r="AD43" s="143"/>
      <c r="AE43" s="143"/>
      <c r="AF43" s="143"/>
      <c r="AG43" s="143"/>
      <c r="AH43" s="143"/>
      <c r="AI43" s="103">
        <f t="shared" si="19"/>
        <v>0</v>
      </c>
      <c r="AJ43" s="134">
        <v>1758.65</v>
      </c>
      <c r="AK43" s="134">
        <v>218.82</v>
      </c>
      <c r="AL43" s="136"/>
      <c r="AM43" s="105">
        <f t="shared" si="20"/>
        <v>0</v>
      </c>
      <c r="AN43" s="143"/>
      <c r="AO43" s="143"/>
      <c r="AP43" s="143"/>
      <c r="AQ43" s="143"/>
      <c r="AR43" s="146"/>
      <c r="AS43" s="621">
        <f ref="AS43:AS52" t="shared" si="27">+G43-V43-AI43-AM43-AN43-AP43-AQ43-AR43+AO43</f>
        <v>0</v>
      </c>
      <c r="AT43" s="1554">
        <v>6652.4</v>
      </c>
      <c r="AU43" s="1546"/>
      <c r="AV43" s="1548"/>
      <c r="AW43" s="1548"/>
      <c r="AX43" s="1548"/>
      <c r="AY43" s="1548"/>
      <c r="AZ43" s="1554">
        <v>1427.3</v>
      </c>
      <c r="BA43" s="1548"/>
      <c r="BB43" s="1548"/>
      <c r="BC43" s="1548"/>
      <c r="BD43" s="1546"/>
      <c r="BE43" s="222">
        <f t="shared" si="21"/>
        <v>0</v>
      </c>
      <c r="BF43" s="140">
        <f t="shared" si="22"/>
        <v>0</v>
      </c>
      <c r="BG43" s="132"/>
      <c r="BH43" s="140">
        <f t="shared" si="23"/>
        <v>0</v>
      </c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30">
        <f t="shared" si="24"/>
        <v>0</v>
      </c>
      <c r="BW43" s="132"/>
    </row>
    <row r="44" ht="14.25" customHeight="1">
      <c r="A44" s="132"/>
      <c r="B44" s="618">
        <v>46059</v>
      </c>
      <c r="C44" s="133">
        <f>13241.24-D44-0</f>
      </c>
      <c r="D44" s="134">
        <v>1896.57</v>
      </c>
      <c r="E44" s="135"/>
      <c r="F44" s="135"/>
      <c r="G44" s="147">
        <f t="shared" si="18"/>
        <v>0</v>
      </c>
      <c r="H44" s="199">
        <v>247.52</v>
      </c>
      <c r="I44" s="143"/>
      <c r="J44" s="143"/>
      <c r="K44" s="145">
        <v>750.38</v>
      </c>
      <c r="L44" s="143"/>
      <c r="M44" s="143"/>
      <c r="N44" s="145">
        <v>164.66</v>
      </c>
      <c r="O44" s="143"/>
      <c r="P44" s="143"/>
      <c r="Q44" s="143"/>
      <c r="R44" s="143"/>
      <c r="S44" s="143"/>
      <c r="T44" s="143"/>
      <c r="U44" s="145">
        <v>28.96</v>
      </c>
      <c r="V44" s="103">
        <f t="shared" si="25"/>
        <v>0</v>
      </c>
      <c r="W44" s="143"/>
      <c r="X44" s="143"/>
      <c r="Y44" s="136"/>
      <c r="Z44" s="143"/>
      <c r="AA44" s="143"/>
      <c r="AB44" s="143"/>
      <c r="AC44" s="143"/>
      <c r="AD44" s="143"/>
      <c r="AE44" s="143"/>
      <c r="AF44" s="143"/>
      <c r="AG44" s="143"/>
      <c r="AH44" s="143"/>
      <c r="AI44" s="103">
        <f t="shared" si="19"/>
        <v>0</v>
      </c>
      <c r="AJ44" s="134">
        <v>1140.12</v>
      </c>
      <c r="AK44" s="134">
        <v>437.71</v>
      </c>
      <c r="AL44" s="136"/>
      <c r="AM44" s="105">
        <f t="shared" si="20"/>
        <v>0</v>
      </c>
      <c r="AN44" s="143">
        <v>3.66</v>
      </c>
      <c r="AO44" s="143"/>
      <c r="AP44" s="143"/>
      <c r="AQ44" s="143"/>
      <c r="AR44" s="146"/>
      <c r="AS44" s="621">
        <f t="shared" si="27"/>
        <v>0</v>
      </c>
      <c r="AT44" s="1554">
        <v>8558.9</v>
      </c>
      <c r="AU44" s="1546"/>
      <c r="AV44" s="1548"/>
      <c r="AW44" s="1548"/>
      <c r="AX44" s="1548"/>
      <c r="AY44" s="1548"/>
      <c r="AZ44" s="1554">
        <v>1896.6</v>
      </c>
      <c r="BA44" s="1548"/>
      <c r="BB44" s="1548"/>
      <c r="BC44" s="1548"/>
      <c r="BD44" s="1546"/>
      <c r="BE44" s="222">
        <f t="shared" si="21"/>
        <v>0</v>
      </c>
      <c r="BF44" s="140">
        <f t="shared" si="22"/>
        <v>0</v>
      </c>
      <c r="BG44" s="132"/>
      <c r="BH44" s="140">
        <f t="shared" si="23"/>
        <v>0</v>
      </c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50"/>
      <c r="BT44" s="141">
        <v>20</v>
      </c>
      <c r="BU44" s="141"/>
      <c r="BV44" s="130">
        <f t="shared" si="24"/>
        <v>0</v>
      </c>
      <c r="BW44" s="132"/>
    </row>
    <row r="45" ht="14.25" customHeight="1">
      <c r="A45" s="132"/>
      <c r="B45" s="618">
        <v>46060</v>
      </c>
      <c r="C45" s="133">
        <f>14139.77-D45-0</f>
      </c>
      <c r="D45" s="134">
        <v>1817.16</v>
      </c>
      <c r="E45" s="135"/>
      <c r="F45" s="135"/>
      <c r="G45" s="147">
        <f t="shared" si="18"/>
        <v>0</v>
      </c>
      <c r="H45" s="199">
        <v>257.5</v>
      </c>
      <c r="I45" s="143"/>
      <c r="J45" s="143"/>
      <c r="K45" s="145">
        <v>1840.09</v>
      </c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03">
        <f ref="V45:V46" t="shared" si="28">SUM(H45:T45)</f>
        <v>0</v>
      </c>
      <c r="W45" s="143"/>
      <c r="X45" s="143"/>
      <c r="Y45" s="99"/>
      <c r="Z45" s="143"/>
      <c r="AA45" s="143"/>
      <c r="AB45" s="143"/>
      <c r="AC45" s="143"/>
      <c r="AD45" s="143"/>
      <c r="AE45" s="143"/>
      <c r="AF45" s="143"/>
      <c r="AG45" s="143"/>
      <c r="AH45" s="143"/>
      <c r="AI45" s="103">
        <f t="shared" si="19"/>
        <v>0</v>
      </c>
      <c r="AJ45" s="134">
        <v>1140.21</v>
      </c>
      <c r="AK45" s="134">
        <v>334.81</v>
      </c>
      <c r="AL45" s="136"/>
      <c r="AM45" s="105">
        <f t="shared" si="20"/>
        <v>0</v>
      </c>
      <c r="AN45" s="143"/>
      <c r="AO45" s="143"/>
      <c r="AP45" s="143"/>
      <c r="AQ45" s="143"/>
      <c r="AR45" s="146"/>
      <c r="AS45" s="621">
        <f t="shared" si="27"/>
        <v>0</v>
      </c>
      <c r="AT45" s="1554">
        <v>8750</v>
      </c>
      <c r="AU45" s="1546"/>
      <c r="AV45" s="1548"/>
      <c r="AW45" s="1548"/>
      <c r="AX45" s="1548"/>
      <c r="AY45" s="1548"/>
      <c r="AZ45" s="1554">
        <v>1817.2</v>
      </c>
      <c r="BA45" s="1548"/>
      <c r="BB45" s="1548"/>
      <c r="BC45" s="1548"/>
      <c r="BD45" s="1546"/>
      <c r="BE45" s="222">
        <f t="shared" si="21"/>
        <v>0</v>
      </c>
      <c r="BF45" s="140">
        <f t="shared" si="22"/>
        <v>0</v>
      </c>
      <c r="BG45" s="132"/>
      <c r="BH45" s="140">
        <f t="shared" si="23"/>
        <v>0</v>
      </c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41"/>
      <c r="BV45" s="130">
        <f t="shared" si="24"/>
        <v>0</v>
      </c>
      <c r="BW45" s="132"/>
    </row>
    <row r="46" ht="14.25" customHeight="1">
      <c r="A46" s="132"/>
      <c r="B46" s="618">
        <v>46061</v>
      </c>
      <c r="C46" s="133">
        <f>10997.57-D46-0</f>
      </c>
      <c r="D46" s="134">
        <v>2248.06</v>
      </c>
      <c r="E46" s="135"/>
      <c r="F46" s="135"/>
      <c r="G46" s="147">
        <f t="shared" si="18"/>
        <v>0</v>
      </c>
      <c r="H46" s="144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03">
        <f t="shared" si="28"/>
        <v>0</v>
      </c>
      <c r="W46" s="143"/>
      <c r="X46" s="143"/>
      <c r="Y46" s="99"/>
      <c r="Z46" s="143"/>
      <c r="AA46" s="143"/>
      <c r="AB46" s="143"/>
      <c r="AC46" s="143"/>
      <c r="AD46" s="143"/>
      <c r="AE46" s="143"/>
      <c r="AF46" s="143"/>
      <c r="AG46" s="143"/>
      <c r="AH46" s="143"/>
      <c r="AI46" s="103">
        <f t="shared" si="19"/>
        <v>0</v>
      </c>
      <c r="AJ46" s="134">
        <v>839.6</v>
      </c>
      <c r="AK46" s="134">
        <v>386.69</v>
      </c>
      <c r="AL46" s="136"/>
      <c r="AM46" s="105">
        <f t="shared" si="20"/>
        <v>0</v>
      </c>
      <c r="AN46" s="143"/>
      <c r="AO46" s="143"/>
      <c r="AP46" s="143"/>
      <c r="AQ46" s="143"/>
      <c r="AR46" s="146"/>
      <c r="AS46" s="621">
        <f t="shared" si="27"/>
        <v>0</v>
      </c>
      <c r="AT46" s="1554">
        <v>7523.3</v>
      </c>
      <c r="AU46" s="1546"/>
      <c r="AV46" s="1548"/>
      <c r="AW46" s="1548"/>
      <c r="AX46" s="1548"/>
      <c r="AY46" s="1548"/>
      <c r="AZ46" s="1554">
        <v>2248.1</v>
      </c>
      <c r="BA46" s="1548"/>
      <c r="BB46" s="1548"/>
      <c r="BC46" s="1548"/>
      <c r="BD46" s="1546"/>
      <c r="BE46" s="222">
        <f t="shared" si="21"/>
        <v>0</v>
      </c>
      <c r="BF46" s="140">
        <f t="shared" si="22"/>
        <v>0</v>
      </c>
      <c r="BG46" s="132"/>
      <c r="BH46" s="140">
        <f t="shared" si="23"/>
        <v>0</v>
      </c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30">
        <f t="shared" si="24"/>
        <v>0</v>
      </c>
      <c r="BW46" s="132"/>
    </row>
    <row r="47" ht="14.25" customHeight="1">
      <c r="A47" s="132"/>
      <c r="B47" s="618">
        <v>46062</v>
      </c>
      <c r="C47" s="133">
        <f>11633.56-D47-0</f>
      </c>
      <c r="D47" s="134">
        <v>2229.53</v>
      </c>
      <c r="E47" s="135"/>
      <c r="F47" s="135"/>
      <c r="G47" s="147">
        <f t="shared" si="18"/>
        <v>0</v>
      </c>
      <c r="H47" s="144"/>
      <c r="I47" s="143"/>
      <c r="J47" s="143"/>
      <c r="K47" s="143">
        <v>811.56</v>
      </c>
      <c r="L47" s="143"/>
      <c r="M47" s="143"/>
      <c r="N47" s="143"/>
      <c r="O47" s="143"/>
      <c r="P47" s="143"/>
      <c r="Q47" s="143"/>
      <c r="R47" s="143"/>
      <c r="S47" s="143"/>
      <c r="T47" s="143"/>
      <c r="U47" s="145">
        <v>30.8</v>
      </c>
      <c r="V47" s="103">
        <f>SUM(H47:U47)</f>
        <v>0</v>
      </c>
      <c r="W47" s="143"/>
      <c r="X47" s="143"/>
      <c r="Y47" s="99"/>
      <c r="Z47" s="143"/>
      <c r="AA47" s="143"/>
      <c r="AB47" s="143"/>
      <c r="AC47" s="143"/>
      <c r="AD47" s="143"/>
      <c r="AE47" s="143"/>
      <c r="AF47" s="143"/>
      <c r="AG47" s="143"/>
      <c r="AH47" s="143"/>
      <c r="AI47" s="103">
        <f t="shared" si="19"/>
        <v>0</v>
      </c>
      <c r="AJ47" s="134">
        <v>997.56</v>
      </c>
      <c r="AK47" s="134">
        <v>325.37</v>
      </c>
      <c r="AL47" s="136"/>
      <c r="AM47" s="105">
        <f t="shared" si="20"/>
        <v>0</v>
      </c>
      <c r="AN47" s="143"/>
      <c r="AO47" s="143"/>
      <c r="AP47" s="143"/>
      <c r="AQ47" s="143"/>
      <c r="AR47" s="146"/>
      <c r="AS47" s="621">
        <f t="shared" si="27"/>
        <v>0</v>
      </c>
      <c r="AT47" s="1554">
        <v>7218.7</v>
      </c>
      <c r="AU47" s="1546"/>
      <c r="AV47" s="1548"/>
      <c r="AW47" s="1548"/>
      <c r="AX47" s="1548"/>
      <c r="AY47" s="1548"/>
      <c r="AZ47" s="1554">
        <v>2229.6</v>
      </c>
      <c r="BA47" s="1548"/>
      <c r="BB47" s="1548"/>
      <c r="BC47" s="1548"/>
      <c r="BD47" s="1546"/>
      <c r="BE47" s="222">
        <f t="shared" si="21"/>
        <v>0</v>
      </c>
      <c r="BF47" s="140">
        <f t="shared" si="22"/>
        <v>0</v>
      </c>
      <c r="BG47" s="132"/>
      <c r="BH47" s="140">
        <f t="shared" si="23"/>
        <v>0</v>
      </c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50"/>
      <c r="BT47" s="141">
        <v>20</v>
      </c>
      <c r="BU47" s="141"/>
      <c r="BV47" s="130">
        <f t="shared" si="24"/>
        <v>0</v>
      </c>
      <c r="BW47" s="132"/>
    </row>
    <row r="48" ht="14.25" customHeight="1">
      <c r="A48" s="132"/>
      <c r="B48" s="618">
        <v>46063</v>
      </c>
      <c r="C48" s="133">
        <f>13974.93-D48-0</f>
      </c>
      <c r="D48" s="134">
        <v>2245.98</v>
      </c>
      <c r="E48" s="135"/>
      <c r="F48" s="135"/>
      <c r="G48" s="147">
        <f t="shared" si="18"/>
        <v>0</v>
      </c>
      <c r="H48" s="144"/>
      <c r="I48" s="143"/>
      <c r="J48" s="143"/>
      <c r="K48" s="145">
        <v>1986.7</v>
      </c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03">
        <f>SUM(H48:T48)</f>
        <v>0</v>
      </c>
      <c r="W48" s="143"/>
      <c r="X48" s="143"/>
      <c r="Y48" s="136"/>
      <c r="Z48" s="143"/>
      <c r="AA48" s="143"/>
      <c r="AB48" s="143"/>
      <c r="AC48" s="143"/>
      <c r="AD48" s="143"/>
      <c r="AE48" s="143"/>
      <c r="AF48" s="143"/>
      <c r="AG48" s="143"/>
      <c r="AH48" s="143"/>
      <c r="AI48" s="103">
        <f t="shared" si="19"/>
        <v>0</v>
      </c>
      <c r="AJ48" s="134">
        <v>1583.67</v>
      </c>
      <c r="AK48" s="134">
        <v>401.45</v>
      </c>
      <c r="AL48" s="136"/>
      <c r="AM48" s="105">
        <f t="shared" si="20"/>
        <v>0</v>
      </c>
      <c r="AN48" s="143"/>
      <c r="AO48" s="143"/>
      <c r="AP48" s="143"/>
      <c r="AQ48" s="143"/>
      <c r="AR48" s="146"/>
      <c r="AS48" s="621">
        <f t="shared" si="27"/>
        <v>0</v>
      </c>
      <c r="AT48" s="1554">
        <v>7757.2</v>
      </c>
      <c r="AU48" s="1546"/>
      <c r="AV48" s="1548"/>
      <c r="AW48" s="1548"/>
      <c r="AX48" s="1548"/>
      <c r="AY48" s="1548"/>
      <c r="AZ48" s="1554">
        <v>2246</v>
      </c>
      <c r="BA48" s="1548"/>
      <c r="BB48" s="1548"/>
      <c r="BC48" s="1548"/>
      <c r="BD48" s="1546"/>
      <c r="BE48" s="222">
        <f t="shared" si="21"/>
        <v>0</v>
      </c>
      <c r="BF48" s="140">
        <f t="shared" si="22"/>
        <v>0</v>
      </c>
      <c r="BG48" s="132"/>
      <c r="BH48" s="140">
        <f t="shared" si="23"/>
        <v>0</v>
      </c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30">
        <f t="shared" si="24"/>
        <v>0</v>
      </c>
      <c r="BW48" s="132"/>
    </row>
    <row r="49" ht="14.25" customHeight="1">
      <c r="A49" s="132"/>
      <c r="B49" s="618">
        <v>46064</v>
      </c>
      <c r="C49" s="133">
        <f>16466.07-D49-0</f>
      </c>
      <c r="D49" s="134">
        <v>2330.05</v>
      </c>
      <c r="E49" s="135"/>
      <c r="F49" s="135"/>
      <c r="G49" s="147">
        <f t="shared" si="18"/>
        <v>0</v>
      </c>
      <c r="H49" s="199">
        <v>79.95</v>
      </c>
      <c r="I49" s="143"/>
      <c r="J49" s="143"/>
      <c r="K49" s="143">
        <v>834.73</v>
      </c>
      <c r="L49" s="143"/>
      <c r="M49" s="143"/>
      <c r="N49" s="145">
        <v>201.19</v>
      </c>
      <c r="O49" s="143"/>
      <c r="P49" s="143"/>
      <c r="Q49" s="143"/>
      <c r="R49" s="143"/>
      <c r="S49" s="143"/>
      <c r="T49" s="143"/>
      <c r="U49" s="145">
        <v>28.64</v>
      </c>
      <c r="V49" s="103">
        <f ref="V49:V51" t="shared" si="29">SUM(H49:U49)</f>
        <v>0</v>
      </c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03">
        <f t="shared" si="19"/>
        <v>0</v>
      </c>
      <c r="AJ49" s="134">
        <v>4444.05</v>
      </c>
      <c r="AK49" s="134">
        <v>575.37</v>
      </c>
      <c r="AL49" s="136"/>
      <c r="AM49" s="105">
        <f t="shared" si="20"/>
        <v>0</v>
      </c>
      <c r="AN49" s="145">
        <v>4.47</v>
      </c>
      <c r="AO49" s="143"/>
      <c r="AP49" s="143"/>
      <c r="AQ49" s="143"/>
      <c r="AR49" s="146"/>
      <c r="AS49" s="621">
        <f t="shared" si="27"/>
        <v>0</v>
      </c>
      <c r="AT49" s="1554">
        <v>7956.6</v>
      </c>
      <c r="AU49" s="1546"/>
      <c r="AV49" s="1548"/>
      <c r="AW49" s="1548"/>
      <c r="AX49" s="1548"/>
      <c r="AY49" s="1548"/>
      <c r="AZ49" s="1554">
        <v>2330.1</v>
      </c>
      <c r="BA49" s="1548"/>
      <c r="BB49" s="1548"/>
      <c r="BC49" s="1548"/>
      <c r="BD49" s="1546"/>
      <c r="BE49" s="222">
        <f t="shared" si="21"/>
        <v>0</v>
      </c>
      <c r="BF49" s="140">
        <f t="shared" si="22"/>
        <v>0</v>
      </c>
      <c r="BG49" s="132"/>
      <c r="BH49" s="140">
        <f t="shared" si="23"/>
        <v>0</v>
      </c>
      <c r="BI49" s="141"/>
      <c r="BJ49" s="141"/>
      <c r="BK49" s="141"/>
      <c r="BL49" s="141"/>
      <c r="BM49" s="141"/>
      <c r="BN49" s="141"/>
      <c r="BO49" s="141"/>
      <c r="BP49" s="141"/>
      <c r="BQ49" s="141"/>
      <c r="BR49" s="141"/>
      <c r="BS49" s="150"/>
      <c r="BT49" s="141">
        <v>20</v>
      </c>
      <c r="BU49" s="141"/>
      <c r="BV49" s="130">
        <f t="shared" si="24"/>
        <v>0</v>
      </c>
      <c r="BW49" s="132"/>
    </row>
    <row r="50" ht="14.25" customHeight="1">
      <c r="A50" s="132"/>
      <c r="B50" s="618">
        <v>46065</v>
      </c>
      <c r="C50" s="133">
        <f>11987.74-D50-0</f>
      </c>
      <c r="D50" s="134">
        <v>2679.62</v>
      </c>
      <c r="E50" s="135"/>
      <c r="F50" s="135"/>
      <c r="G50" s="147">
        <f t="shared" si="18"/>
        <v>0</v>
      </c>
      <c r="H50" s="144"/>
      <c r="I50" s="143"/>
      <c r="J50" s="143"/>
      <c r="K50" s="143">
        <v>980.03</v>
      </c>
      <c r="L50" s="143"/>
      <c r="M50" s="143"/>
      <c r="N50" s="143"/>
      <c r="O50" s="143"/>
      <c r="P50" s="143"/>
      <c r="Q50" s="143"/>
      <c r="R50" s="143"/>
      <c r="S50" s="143"/>
      <c r="T50" s="143"/>
      <c r="U50" s="145">
        <v>35.48</v>
      </c>
      <c r="V50" s="103">
        <f t="shared" si="29"/>
        <v>0</v>
      </c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03">
        <f t="shared" si="19"/>
        <v>0</v>
      </c>
      <c r="AJ50" s="134">
        <v>1556.55</v>
      </c>
      <c r="AK50" s="134">
        <v>489.24</v>
      </c>
      <c r="AL50" s="136"/>
      <c r="AM50" s="105">
        <f t="shared" si="20"/>
        <v>0</v>
      </c>
      <c r="AN50" s="143"/>
      <c r="AO50" s="143"/>
      <c r="AP50" s="143"/>
      <c r="AQ50" s="143"/>
      <c r="AR50" s="146"/>
      <c r="AS50" s="621">
        <f t="shared" si="27"/>
        <v>0</v>
      </c>
      <c r="AT50" s="1554">
        <v>6246.7</v>
      </c>
      <c r="AU50" s="1546"/>
      <c r="AV50" s="1548"/>
      <c r="AW50" s="1548"/>
      <c r="AX50" s="1548"/>
      <c r="AY50" s="1548"/>
      <c r="AZ50" s="1554">
        <v>2679.7</v>
      </c>
      <c r="BA50" s="1548"/>
      <c r="BB50" s="1548"/>
      <c r="BC50" s="1548"/>
      <c r="BD50" s="1546"/>
      <c r="BE50" s="222">
        <f t="shared" si="21"/>
        <v>0</v>
      </c>
      <c r="BF50" s="140">
        <f t="shared" si="22"/>
        <v>0</v>
      </c>
      <c r="BG50" s="132"/>
      <c r="BH50" s="140">
        <f t="shared" si="23"/>
        <v>0</v>
      </c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30">
        <f t="shared" si="24"/>
        <v>0</v>
      </c>
      <c r="BW50" s="132"/>
    </row>
    <row r="51" ht="14.25" customHeight="1">
      <c r="A51" s="132"/>
      <c r="B51" s="618">
        <v>46066</v>
      </c>
      <c r="C51" s="133">
        <f>15757.72-D51-0</f>
      </c>
      <c r="D51" s="134">
        <v>2669.86</v>
      </c>
      <c r="E51" s="135"/>
      <c r="F51" s="135"/>
      <c r="G51" s="147">
        <f t="shared" si="18"/>
        <v>0</v>
      </c>
      <c r="H51" s="144"/>
      <c r="I51" s="143"/>
      <c r="J51" s="143"/>
      <c r="K51" s="145">
        <v>2410.97</v>
      </c>
      <c r="L51" s="143"/>
      <c r="M51" s="143"/>
      <c r="N51" s="145">
        <v>203.44</v>
      </c>
      <c r="O51" s="143"/>
      <c r="P51" s="143"/>
      <c r="Q51" s="143"/>
      <c r="R51" s="143"/>
      <c r="S51" s="143"/>
      <c r="T51" s="145">
        <v>194.31</v>
      </c>
      <c r="U51" s="145">
        <v>42.97</v>
      </c>
      <c r="V51" s="103">
        <f t="shared" si="29"/>
        <v>0</v>
      </c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03">
        <f t="shared" si="19"/>
        <v>0</v>
      </c>
      <c r="AJ51" s="134">
        <v>995</v>
      </c>
      <c r="AK51" s="134">
        <v>579.31</v>
      </c>
      <c r="AL51" s="136"/>
      <c r="AM51" s="105">
        <f t="shared" si="20"/>
        <v>0</v>
      </c>
      <c r="AN51" s="145">
        <v>4.13</v>
      </c>
      <c r="AO51" s="143"/>
      <c r="AP51" s="143"/>
      <c r="AQ51" s="143"/>
      <c r="AR51" s="146"/>
      <c r="AS51" s="621">
        <f t="shared" si="27"/>
        <v>0</v>
      </c>
      <c r="AT51" s="1554">
        <v>8646</v>
      </c>
      <c r="AU51" s="1546"/>
      <c r="AV51" s="1548"/>
      <c r="AW51" s="1548"/>
      <c r="AX51" s="1548"/>
      <c r="AY51" s="1548"/>
      <c r="AZ51" s="1554">
        <v>2669.9</v>
      </c>
      <c r="BA51" s="1548"/>
      <c r="BB51" s="1548"/>
      <c r="BC51" s="1548"/>
      <c r="BD51" s="1546"/>
      <c r="BE51" s="222">
        <f t="shared" si="21"/>
        <v>0</v>
      </c>
      <c r="BF51" s="140">
        <f t="shared" si="22"/>
        <v>0</v>
      </c>
      <c r="BG51" s="132"/>
      <c r="BH51" s="140">
        <f t="shared" si="23"/>
        <v>0</v>
      </c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50"/>
      <c r="BT51" s="141">
        <v>20</v>
      </c>
      <c r="BU51" s="141"/>
      <c r="BV51" s="130">
        <f t="shared" si="24"/>
        <v>0</v>
      </c>
      <c r="BW51" s="132"/>
    </row>
    <row r="52" ht="14.25" customHeight="1">
      <c r="A52" s="132"/>
      <c r="B52" s="618">
        <v>46067</v>
      </c>
      <c r="C52" s="133">
        <f>15154.97-D52-0</f>
      </c>
      <c r="D52" s="134">
        <v>2768.47</v>
      </c>
      <c r="E52" s="135"/>
      <c r="F52" s="135"/>
      <c r="G52" s="147">
        <f t="shared" si="18"/>
        <v>0</v>
      </c>
      <c r="H52" s="144"/>
      <c r="I52" s="143"/>
      <c r="J52" s="143"/>
      <c r="K52" s="145">
        <v>1659.95</v>
      </c>
      <c r="L52" s="140"/>
      <c r="M52" s="143"/>
      <c r="N52" s="143"/>
      <c r="O52" s="143"/>
      <c r="P52" s="143"/>
      <c r="Q52" s="143"/>
      <c r="R52" s="143"/>
      <c r="S52" s="143"/>
      <c r="T52" s="143"/>
      <c r="U52" s="143"/>
      <c r="V52" s="103">
        <f ref="V52:V53" t="shared" si="30">SUM(H52:T52)</f>
        <v>0</v>
      </c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03">
        <f t="shared" si="19"/>
        <v>0</v>
      </c>
      <c r="AJ52" s="134">
        <v>1007.75</v>
      </c>
      <c r="AK52" s="134">
        <v>585.27</v>
      </c>
      <c r="AL52" s="136"/>
      <c r="AM52" s="105">
        <f t="shared" si="20"/>
        <v>0</v>
      </c>
      <c r="AN52" s="143"/>
      <c r="AO52" s="143"/>
      <c r="AP52" s="143"/>
      <c r="AQ52" s="143"/>
      <c r="AR52" s="146"/>
      <c r="AS52" s="621">
        <f t="shared" si="27"/>
        <v>0</v>
      </c>
      <c r="AT52" s="1554">
        <v>9133.6</v>
      </c>
      <c r="AU52" s="1546"/>
      <c r="AV52" s="1548"/>
      <c r="AW52" s="1548"/>
      <c r="AX52" s="1548"/>
      <c r="AY52" s="1548"/>
      <c r="AZ52" s="1554">
        <v>2768.5</v>
      </c>
      <c r="BA52" s="1548"/>
      <c r="BB52" s="1548"/>
      <c r="BC52" s="1548"/>
      <c r="BD52" s="1546"/>
      <c r="BE52" s="222">
        <f t="shared" si="21"/>
        <v>0</v>
      </c>
      <c r="BF52" s="140">
        <f t="shared" si="22"/>
        <v>0</v>
      </c>
      <c r="BG52" s="132"/>
      <c r="BH52" s="140">
        <f t="shared" si="23"/>
        <v>0</v>
      </c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30">
        <f t="shared" si="24"/>
        <v>0</v>
      </c>
      <c r="BW52" s="132"/>
    </row>
    <row r="53" ht="14.25" customHeight="1">
      <c r="A53" s="132"/>
      <c r="B53" s="618">
        <v>46068</v>
      </c>
      <c r="C53" s="133">
        <f>14875.73-D53-0</f>
      </c>
      <c r="D53" s="134">
        <v>2678.7</v>
      </c>
      <c r="E53" s="135"/>
      <c r="F53" s="135"/>
      <c r="G53" s="147">
        <f t="shared" si="18"/>
        <v>0</v>
      </c>
      <c r="H53" s="144"/>
      <c r="I53" s="143"/>
      <c r="J53" s="143"/>
      <c r="K53" s="145">
        <v>1536.02</v>
      </c>
      <c r="L53" s="140"/>
      <c r="M53" s="143"/>
      <c r="N53" s="143"/>
      <c r="O53" s="143"/>
      <c r="P53" s="143"/>
      <c r="Q53" s="143"/>
      <c r="R53" s="143"/>
      <c r="S53" s="143"/>
      <c r="T53" s="143"/>
      <c r="U53" s="143"/>
      <c r="V53" s="103">
        <f t="shared" si="30"/>
        <v>0</v>
      </c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03">
        <f t="shared" si="19"/>
        <v>0</v>
      </c>
      <c r="AJ53" s="134">
        <v>1253.48</v>
      </c>
      <c r="AK53" s="134">
        <v>529.72</v>
      </c>
      <c r="AL53" s="136"/>
      <c r="AM53" s="105">
        <f t="shared" si="20"/>
        <v>0</v>
      </c>
      <c r="AO53" s="143"/>
      <c r="AP53" s="143"/>
      <c r="AQ53" s="143"/>
      <c r="AR53" s="146"/>
      <c r="AS53" s="621">
        <f>+G53-V53-AI53-AM53-AN52-AP53-AQ53-AR53+AO53</f>
        <v>0</v>
      </c>
      <c r="AT53" s="1554">
        <v>8877.8</v>
      </c>
      <c r="AU53" s="1546"/>
      <c r="AV53" s="1548"/>
      <c r="AW53" s="1548"/>
      <c r="AX53" s="1548"/>
      <c r="AY53" s="1548"/>
      <c r="AZ53" s="1554">
        <v>2678.7</v>
      </c>
      <c r="BA53" s="1548"/>
      <c r="BB53" s="1548"/>
      <c r="BC53" s="1548"/>
      <c r="BD53" s="1546"/>
      <c r="BE53" s="222">
        <f t="shared" si="21"/>
        <v>0</v>
      </c>
      <c r="BF53" s="140">
        <f t="shared" si="22"/>
        <v>0</v>
      </c>
      <c r="BG53" s="132"/>
      <c r="BH53" s="140">
        <f t="shared" si="23"/>
        <v>0</v>
      </c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30">
        <f t="shared" si="24"/>
        <v>0</v>
      </c>
      <c r="BW53" s="132"/>
    </row>
    <row r="54" ht="14.25" customHeight="1">
      <c r="A54" s="132"/>
      <c r="B54" s="618">
        <v>46069</v>
      </c>
      <c r="C54" s="133">
        <f>17651.16-D54-0</f>
      </c>
      <c r="D54" s="134">
        <v>2623.29</v>
      </c>
      <c r="E54" s="135"/>
      <c r="F54" s="135"/>
      <c r="G54" s="147">
        <f t="shared" si="18"/>
        <v>0</v>
      </c>
      <c r="H54" s="199">
        <v>283.12</v>
      </c>
      <c r="I54" s="143"/>
      <c r="J54" s="143"/>
      <c r="K54" s="143">
        <v>4210.88</v>
      </c>
      <c r="L54" s="140"/>
      <c r="M54" s="143"/>
      <c r="N54" s="143"/>
      <c r="O54" s="143"/>
      <c r="P54" s="143"/>
      <c r="Q54" s="143"/>
      <c r="R54" s="143"/>
      <c r="S54" s="143"/>
      <c r="T54" s="143"/>
      <c r="U54" s="145">
        <v>32.44</v>
      </c>
      <c r="V54" s="103">
        <f ref="V54:V57" t="shared" si="31">SUM(H54:U54)</f>
        <v>0</v>
      </c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03">
        <f t="shared" si="19"/>
        <v>0</v>
      </c>
      <c r="AJ54" s="134">
        <v>1423.75</v>
      </c>
      <c r="AK54" s="134">
        <v>618.65</v>
      </c>
      <c r="AL54" s="136"/>
      <c r="AM54" s="105">
        <f t="shared" si="20"/>
        <v>0</v>
      </c>
      <c r="AN54" s="143"/>
      <c r="AO54" s="143"/>
      <c r="AP54" s="143"/>
      <c r="AQ54" s="143"/>
      <c r="AR54" s="146"/>
      <c r="AS54" s="621">
        <f ref="AS54:AS67" t="shared" si="32">+G54-V54-AI54-AM54-AN54-AP54-AQ54-AR54+AO54</f>
        <v>0</v>
      </c>
      <c r="AT54" s="1554">
        <v>8439.2</v>
      </c>
      <c r="AU54" s="1546"/>
      <c r="AV54" s="1548"/>
      <c r="AW54" s="1548"/>
      <c r="AX54" s="1548"/>
      <c r="AY54" s="1548"/>
      <c r="AZ54" s="1554">
        <v>2623.3</v>
      </c>
      <c r="BA54" s="1548"/>
      <c r="BB54" s="1548"/>
      <c r="BC54" s="1548"/>
      <c r="BD54" s="1546"/>
      <c r="BE54" s="222">
        <f t="shared" si="21"/>
        <v>0</v>
      </c>
      <c r="BF54" s="140">
        <f t="shared" si="22"/>
        <v>0</v>
      </c>
      <c r="BG54" s="132"/>
      <c r="BH54" s="140">
        <f t="shared" si="23"/>
        <v>0</v>
      </c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50"/>
      <c r="BT54" s="141">
        <v>20</v>
      </c>
      <c r="BU54" s="141"/>
      <c r="BV54" s="130">
        <f t="shared" si="24"/>
        <v>0</v>
      </c>
      <c r="BW54" s="132"/>
    </row>
    <row r="55" ht="14.25" customHeight="1">
      <c r="A55" s="132"/>
      <c r="B55" s="618">
        <v>46070</v>
      </c>
      <c r="C55" s="133">
        <f>13046.86-D55-0</f>
      </c>
      <c r="D55" s="134">
        <v>2161.39</v>
      </c>
      <c r="E55" s="135"/>
      <c r="F55" s="135"/>
      <c r="G55" s="147">
        <f t="shared" si="18"/>
        <v>0</v>
      </c>
      <c r="H55" s="144"/>
      <c r="I55" s="143"/>
      <c r="J55" s="143"/>
      <c r="K55" s="143">
        <v>641.04</v>
      </c>
      <c r="L55" s="140"/>
      <c r="M55" s="143"/>
      <c r="N55" s="143"/>
      <c r="O55" s="143"/>
      <c r="P55" s="143"/>
      <c r="Q55" s="143"/>
      <c r="R55" s="143"/>
      <c r="S55" s="143"/>
      <c r="T55" s="143"/>
      <c r="U55" s="145">
        <v>91.2</v>
      </c>
      <c r="V55" s="103">
        <f t="shared" si="31"/>
        <v>0</v>
      </c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43"/>
      <c r="AH55" s="143"/>
      <c r="AI55" s="103">
        <f t="shared" si="19"/>
        <v>0</v>
      </c>
      <c r="AJ55" s="134">
        <v>665.96</v>
      </c>
      <c r="AK55" s="134">
        <v>424.91</v>
      </c>
      <c r="AL55" s="136"/>
      <c r="AM55" s="105">
        <f t="shared" si="20"/>
        <v>0</v>
      </c>
      <c r="AN55" s="143"/>
      <c r="AO55" s="143"/>
      <c r="AP55" s="143"/>
      <c r="AQ55" s="143"/>
      <c r="AR55" s="146"/>
      <c r="AS55" s="621">
        <f t="shared" si="32"/>
        <v>0</v>
      </c>
      <c r="AT55" s="1554">
        <v>9062.4</v>
      </c>
      <c r="AU55" s="1546"/>
      <c r="AV55" s="1548"/>
      <c r="AW55" s="1548"/>
      <c r="AX55" s="1548"/>
      <c r="AY55" s="1548"/>
      <c r="AZ55" s="1554">
        <v>2161.4</v>
      </c>
      <c r="BA55" s="1548"/>
      <c r="BB55" s="1548"/>
      <c r="BC55" s="1548"/>
      <c r="BD55" s="1546"/>
      <c r="BE55" s="222">
        <f t="shared" si="21"/>
        <v>0</v>
      </c>
      <c r="BF55" s="140">
        <f t="shared" si="22"/>
        <v>0</v>
      </c>
      <c r="BG55" s="132"/>
      <c r="BH55" s="140">
        <f t="shared" si="23"/>
        <v>0</v>
      </c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30">
        <f t="shared" si="24"/>
        <v>0</v>
      </c>
      <c r="BW55" s="132"/>
    </row>
    <row r="56" ht="14.25" customHeight="1">
      <c r="A56" s="132"/>
      <c r="B56" s="618">
        <v>46071</v>
      </c>
      <c r="C56" s="133">
        <f>15309.00-D56-0</f>
      </c>
      <c r="D56" s="134">
        <v>2410.57</v>
      </c>
      <c r="E56" s="135"/>
      <c r="F56" s="135"/>
      <c r="G56" s="147">
        <f t="shared" si="18"/>
        <v>0</v>
      </c>
      <c r="H56" s="144"/>
      <c r="I56" s="143"/>
      <c r="J56" s="143"/>
      <c r="K56" s="143"/>
      <c r="L56" s="140"/>
      <c r="M56" s="143"/>
      <c r="N56" s="143"/>
      <c r="O56" s="143"/>
      <c r="P56" s="143"/>
      <c r="Q56" s="143"/>
      <c r="R56" s="143"/>
      <c r="S56" s="143"/>
      <c r="T56" s="143"/>
      <c r="U56" s="145">
        <v>86.79</v>
      </c>
      <c r="V56" s="103">
        <f t="shared" si="31"/>
        <v>0</v>
      </c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03">
        <f t="shared" si="19"/>
        <v>0</v>
      </c>
      <c r="AJ56" s="134">
        <v>1915.54</v>
      </c>
      <c r="AK56" s="134">
        <v>484.18</v>
      </c>
      <c r="AL56" s="136"/>
      <c r="AM56" s="105">
        <f t="shared" si="20"/>
        <v>0</v>
      </c>
      <c r="AN56" s="143"/>
      <c r="AO56" s="143"/>
      <c r="AP56" s="143"/>
      <c r="AQ56" s="143"/>
      <c r="AR56" s="146"/>
      <c r="AS56" s="621">
        <f t="shared" si="32"/>
        <v>0</v>
      </c>
      <c r="AT56" s="1554">
        <v>10391.9</v>
      </c>
      <c r="AU56" s="1546"/>
      <c r="AV56" s="1548"/>
      <c r="AW56" s="1548"/>
      <c r="AX56" s="1548"/>
      <c r="AY56" s="1548"/>
      <c r="AZ56" s="1554">
        <v>2410.6</v>
      </c>
      <c r="BA56" s="1548"/>
      <c r="BB56" s="1548"/>
      <c r="BC56" s="1548"/>
      <c r="BD56" s="1546"/>
      <c r="BE56" s="222">
        <f t="shared" si="21"/>
        <v>0</v>
      </c>
      <c r="BF56" s="140">
        <f t="shared" si="22"/>
        <v>0</v>
      </c>
      <c r="BG56" s="132"/>
      <c r="BH56" s="140">
        <f t="shared" si="23"/>
        <v>0</v>
      </c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50"/>
      <c r="BT56" s="141">
        <v>20</v>
      </c>
      <c r="BU56" s="141"/>
      <c r="BV56" s="130">
        <f t="shared" si="24"/>
        <v>0</v>
      </c>
      <c r="BW56" s="132"/>
    </row>
    <row r="57" ht="14.25" customHeight="1">
      <c r="A57" s="132"/>
      <c r="B57" s="618">
        <v>46072</v>
      </c>
      <c r="C57" s="133">
        <f>12327.06-D57-0</f>
      </c>
      <c r="D57" s="134">
        <v>1803.77</v>
      </c>
      <c r="E57" s="135"/>
      <c r="F57" s="135"/>
      <c r="G57" s="147">
        <f t="shared" si="18"/>
        <v>0</v>
      </c>
      <c r="H57" s="144"/>
      <c r="I57" s="143"/>
      <c r="J57" s="143"/>
      <c r="K57" s="143">
        <v>1811.02</v>
      </c>
      <c r="L57" s="140"/>
      <c r="M57" s="143"/>
      <c r="N57" s="143"/>
      <c r="O57" s="143"/>
      <c r="P57" s="143"/>
      <c r="Q57" s="143"/>
      <c r="R57" s="143"/>
      <c r="S57" s="143"/>
      <c r="T57" s="145">
        <v>179.24</v>
      </c>
      <c r="U57" s="145">
        <v>45.74</v>
      </c>
      <c r="V57" s="103">
        <f t="shared" si="31"/>
        <v>0</v>
      </c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43"/>
      <c r="AH57" s="143"/>
      <c r="AI57" s="103">
        <f t="shared" si="19"/>
        <v>0</v>
      </c>
      <c r="AJ57" s="134">
        <v>1058.68</v>
      </c>
      <c r="AK57" s="134">
        <v>314.21</v>
      </c>
      <c r="AL57" s="136"/>
      <c r="AM57" s="105">
        <f t="shared" si="20"/>
        <v>0</v>
      </c>
      <c r="AN57" s="143"/>
      <c r="AO57" s="143"/>
      <c r="AP57" s="143"/>
      <c r="AQ57" s="143"/>
      <c r="AR57" s="146"/>
      <c r="AS57" s="621">
        <f t="shared" si="32"/>
        <v>0</v>
      </c>
      <c r="AT57" s="1554">
        <v>7114.4</v>
      </c>
      <c r="AU57" s="1546"/>
      <c r="AV57" s="1548"/>
      <c r="AW57" s="1548"/>
      <c r="AX57" s="1548"/>
      <c r="AY57" s="1548"/>
      <c r="AZ57" s="1554">
        <v>1803.8</v>
      </c>
      <c r="BA57" s="1548"/>
      <c r="BB57" s="1548"/>
      <c r="BC57" s="1548"/>
      <c r="BD57" s="1546"/>
      <c r="BE57" s="222">
        <f t="shared" si="21"/>
        <v>0</v>
      </c>
      <c r="BF57" s="140">
        <f t="shared" si="22"/>
        <v>0</v>
      </c>
      <c r="BG57" s="132"/>
      <c r="BH57" s="140">
        <f t="shared" si="23"/>
        <v>0</v>
      </c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30">
        <f t="shared" si="24"/>
        <v>0</v>
      </c>
      <c r="BW57" s="132"/>
    </row>
    <row r="58" ht="14.25" customHeight="1">
      <c r="A58" s="132"/>
      <c r="B58" s="618">
        <v>46073</v>
      </c>
      <c r="C58" s="133">
        <f>10091.92-D58-0</f>
      </c>
      <c r="D58" s="134">
        <v>1939.39</v>
      </c>
      <c r="E58" s="135"/>
      <c r="F58" s="135"/>
      <c r="G58" s="147">
        <f t="shared" si="18"/>
        <v>0</v>
      </c>
      <c r="H58" s="640">
        <v>884.18</v>
      </c>
      <c r="I58" s="99"/>
      <c r="J58" s="143"/>
      <c r="K58" s="145">
        <v>212.64</v>
      </c>
      <c r="L58" s="140"/>
      <c r="M58" s="143"/>
      <c r="N58" s="143"/>
      <c r="O58" s="143"/>
      <c r="P58" s="143"/>
      <c r="Q58" s="143"/>
      <c r="R58" s="143"/>
      <c r="S58" s="143"/>
      <c r="T58" s="143"/>
      <c r="U58" s="143"/>
      <c r="V58" s="103">
        <f>SUM(H58:T58)</f>
        <v>0</v>
      </c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43"/>
      <c r="AH58" s="143"/>
      <c r="AI58" s="103">
        <f t="shared" si="19"/>
        <v>0</v>
      </c>
      <c r="AJ58" s="134">
        <v>956.03</v>
      </c>
      <c r="AK58" s="134">
        <v>277.32</v>
      </c>
      <c r="AL58" s="136"/>
      <c r="AM58" s="105">
        <f t="shared" si="20"/>
        <v>0</v>
      </c>
      <c r="AN58" s="143"/>
      <c r="AO58" s="143"/>
      <c r="AP58" s="143"/>
      <c r="AQ58" s="143"/>
      <c r="AR58" s="146"/>
      <c r="AS58" s="621">
        <f t="shared" si="32"/>
        <v>0</v>
      </c>
      <c r="AT58" s="1554">
        <v>5802.4</v>
      </c>
      <c r="AU58" s="1546"/>
      <c r="AV58" s="1548"/>
      <c r="AW58" s="1548"/>
      <c r="AX58" s="1548"/>
      <c r="AY58" s="1548"/>
      <c r="AZ58" s="1554">
        <v>1939.4</v>
      </c>
      <c r="BA58" s="1548"/>
      <c r="BB58" s="1548"/>
      <c r="BC58" s="1548"/>
      <c r="BD58" s="1546"/>
      <c r="BE58" s="222">
        <f t="shared" si="21"/>
        <v>0</v>
      </c>
      <c r="BF58" s="140">
        <f t="shared" si="22"/>
        <v>0</v>
      </c>
      <c r="BG58" s="132"/>
      <c r="BH58" s="140">
        <f t="shared" si="23"/>
        <v>0</v>
      </c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50"/>
      <c r="BT58" s="141">
        <v>20</v>
      </c>
      <c r="BU58" s="141"/>
      <c r="BV58" s="130">
        <f t="shared" si="24"/>
        <v>0</v>
      </c>
      <c r="BW58" s="132"/>
    </row>
    <row r="59" ht="14.25" customHeight="1">
      <c r="A59" s="132"/>
      <c r="B59" s="618">
        <v>46074</v>
      </c>
      <c r="C59" s="133">
        <f>16083.59-D59-0</f>
      </c>
      <c r="D59" s="134">
        <v>2620.78</v>
      </c>
      <c r="E59" s="135"/>
      <c r="F59" s="135"/>
      <c r="G59" s="147">
        <f t="shared" si="18"/>
        <v>0</v>
      </c>
      <c r="H59" s="122"/>
      <c r="I59" s="136"/>
      <c r="J59" s="143"/>
      <c r="K59" s="143">
        <v>1845.4</v>
      </c>
      <c r="L59" s="140"/>
      <c r="M59" s="143"/>
      <c r="N59" s="143"/>
      <c r="O59" s="143"/>
      <c r="P59" s="143"/>
      <c r="Q59" s="143"/>
      <c r="R59" s="143"/>
      <c r="S59" s="143"/>
      <c r="T59" s="143"/>
      <c r="U59" s="145">
        <v>113.67</v>
      </c>
      <c r="V59" s="103">
        <f>SUM(H59:U59)</f>
        <v>0</v>
      </c>
      <c r="W59" s="143"/>
      <c r="X59" s="136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03">
        <f t="shared" si="19"/>
        <v>0</v>
      </c>
      <c r="AJ59" s="134">
        <v>1355.74</v>
      </c>
      <c r="AK59" s="134">
        <v>466.06</v>
      </c>
      <c r="AL59" s="136"/>
      <c r="AM59" s="105">
        <f t="shared" si="20"/>
        <v>0</v>
      </c>
      <c r="AN59" s="143"/>
      <c r="AO59" s="143"/>
      <c r="AP59" s="143"/>
      <c r="AQ59" s="143"/>
      <c r="AR59" s="146"/>
      <c r="AS59" s="621">
        <f t="shared" si="32"/>
        <v>0</v>
      </c>
      <c r="AT59" s="1554">
        <v>9682</v>
      </c>
      <c r="AU59" s="1546"/>
      <c r="AV59" s="1548"/>
      <c r="AW59" s="1548"/>
      <c r="AX59" s="1548"/>
      <c r="AY59" s="1548"/>
      <c r="AZ59" s="1554">
        <v>2620.8</v>
      </c>
      <c r="BA59" s="1548"/>
      <c r="BB59" s="1548"/>
      <c r="BC59" s="1548"/>
      <c r="BD59" s="1546"/>
      <c r="BE59" s="222">
        <f t="shared" si="21"/>
        <v>0</v>
      </c>
      <c r="BF59" s="140">
        <f t="shared" si="22"/>
        <v>0</v>
      </c>
      <c r="BG59" s="132"/>
      <c r="BH59" s="140">
        <f t="shared" si="23"/>
        <v>0</v>
      </c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30">
        <f t="shared" si="24"/>
        <v>0</v>
      </c>
      <c r="BW59" s="132"/>
    </row>
    <row r="60" ht="14.25" customHeight="1">
      <c r="A60" s="132"/>
      <c r="B60" s="618">
        <v>46075</v>
      </c>
      <c r="C60" s="133">
        <f>10486.66-D60-0</f>
      </c>
      <c r="D60" s="134">
        <v>2459.59</v>
      </c>
      <c r="E60" s="135"/>
      <c r="F60" s="135"/>
      <c r="G60" s="147">
        <f t="shared" si="18"/>
        <v>0</v>
      </c>
      <c r="H60" s="122"/>
      <c r="I60" s="136"/>
      <c r="J60" s="143"/>
      <c r="K60" s="145">
        <v>544.37</v>
      </c>
      <c r="L60" s="140"/>
      <c r="M60" s="143"/>
      <c r="N60" s="143"/>
      <c r="O60" s="143"/>
      <c r="P60" s="143"/>
      <c r="Q60" s="143"/>
      <c r="R60" s="143"/>
      <c r="S60" s="143"/>
      <c r="T60" s="143"/>
      <c r="U60" s="143"/>
      <c r="V60" s="103">
        <f ref="V60:V61" t="shared" si="33">SUM(H60:T60)</f>
        <v>0</v>
      </c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03">
        <f t="shared" si="19"/>
        <v>0</v>
      </c>
      <c r="AJ60" s="134">
        <v>561.19</v>
      </c>
      <c r="AK60" s="134">
        <v>525.27</v>
      </c>
      <c r="AL60" s="136"/>
      <c r="AM60" s="105">
        <f t="shared" si="20"/>
        <v>0</v>
      </c>
      <c r="AN60" s="143"/>
      <c r="AO60" s="143"/>
      <c r="AP60" s="143"/>
      <c r="AQ60" s="143"/>
      <c r="AR60" s="146"/>
      <c r="AS60" s="621">
        <f t="shared" si="32"/>
        <v>0</v>
      </c>
      <c r="AT60" s="1554">
        <v>6396.3</v>
      </c>
      <c r="AU60" s="1546"/>
      <c r="AV60" s="1548"/>
      <c r="AW60" s="1548"/>
      <c r="AX60" s="1548"/>
      <c r="AY60" s="1548"/>
      <c r="AZ60" s="1554">
        <v>2459.6</v>
      </c>
      <c r="BA60" s="1548"/>
      <c r="BB60" s="1548"/>
      <c r="BC60" s="1548"/>
      <c r="BD60" s="1546"/>
      <c r="BE60" s="222">
        <f t="shared" si="21"/>
        <v>0</v>
      </c>
      <c r="BF60" s="140">
        <f t="shared" si="22"/>
        <v>0</v>
      </c>
      <c r="BG60" s="132"/>
      <c r="BH60" s="140">
        <f t="shared" si="23"/>
        <v>0</v>
      </c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30">
        <f t="shared" si="24"/>
        <v>0</v>
      </c>
      <c r="BW60" s="132"/>
    </row>
    <row r="61" ht="14.25" customHeight="1">
      <c r="A61" s="132"/>
      <c r="B61" s="618">
        <v>46076</v>
      </c>
      <c r="C61" s="133">
        <f>9822.56-D61-0</f>
      </c>
      <c r="D61" s="134">
        <v>397.05</v>
      </c>
      <c r="E61" s="135"/>
      <c r="F61" s="135"/>
      <c r="G61" s="147">
        <f t="shared" si="18"/>
        <v>0</v>
      </c>
      <c r="H61" s="136"/>
      <c r="I61" s="136"/>
      <c r="J61" s="143"/>
      <c r="K61" s="145">
        <v>1448.17</v>
      </c>
      <c r="L61" s="140"/>
      <c r="M61" s="143"/>
      <c r="N61" s="143"/>
      <c r="O61" s="143"/>
      <c r="P61" s="143"/>
      <c r="Q61" s="143"/>
      <c r="R61" s="143"/>
      <c r="S61" s="143"/>
      <c r="T61" s="143"/>
      <c r="U61" s="143"/>
      <c r="V61" s="103">
        <f t="shared" si="33"/>
        <v>0</v>
      </c>
      <c r="W61" s="136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03">
        <f t="shared" si="19"/>
        <v>0</v>
      </c>
      <c r="AJ61" s="134">
        <v>728.66</v>
      </c>
      <c r="AK61" s="134">
        <v>64.09</v>
      </c>
      <c r="AL61" s="136"/>
      <c r="AM61" s="105">
        <f t="shared" si="20"/>
        <v>0</v>
      </c>
      <c r="AN61" s="143"/>
      <c r="AO61" s="143"/>
      <c r="AP61" s="143"/>
      <c r="AQ61" s="143"/>
      <c r="AR61" s="146"/>
      <c r="AS61" s="621">
        <f t="shared" si="32"/>
        <v>0</v>
      </c>
      <c r="AT61" s="1554">
        <v>7164.7</v>
      </c>
      <c r="AU61" s="1546"/>
      <c r="AV61" s="1548"/>
      <c r="AW61" s="1548"/>
      <c r="AX61" s="1548"/>
      <c r="AY61" s="1548"/>
      <c r="AZ61" s="1554">
        <v>397.1</v>
      </c>
      <c r="BA61" s="1548"/>
      <c r="BB61" s="1548"/>
      <c r="BC61" s="1548"/>
      <c r="BD61" s="1546"/>
      <c r="BE61" s="222">
        <f t="shared" si="21"/>
        <v>0</v>
      </c>
      <c r="BF61" s="140">
        <f t="shared" si="22"/>
        <v>0</v>
      </c>
      <c r="BG61" s="132"/>
      <c r="BH61" s="140">
        <f t="shared" si="23"/>
        <v>0</v>
      </c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50"/>
      <c r="BT61" s="141">
        <v>20</v>
      </c>
      <c r="BU61" s="141"/>
      <c r="BV61" s="130">
        <f t="shared" si="24"/>
        <v>0</v>
      </c>
      <c r="BW61" s="132"/>
    </row>
    <row r="62" ht="14.25" customHeight="1">
      <c r="A62" s="132"/>
      <c r="B62" s="618">
        <v>46077</v>
      </c>
      <c r="C62" s="133">
        <f>15673.72-D62-0</f>
      </c>
      <c r="D62" s="134">
        <v>2476.89</v>
      </c>
      <c r="E62" s="135"/>
      <c r="F62" s="135"/>
      <c r="G62" s="147">
        <f t="shared" si="18"/>
        <v>0</v>
      </c>
      <c r="H62" s="199">
        <v>86.94</v>
      </c>
      <c r="I62" s="143"/>
      <c r="J62" s="143"/>
      <c r="K62" s="143">
        <v>1488.8</v>
      </c>
      <c r="L62" s="143"/>
      <c r="M62" s="143"/>
      <c r="N62" s="145">
        <v>184.65</v>
      </c>
      <c r="O62" s="143"/>
      <c r="P62" s="143"/>
      <c r="Q62" s="143"/>
      <c r="R62" s="143"/>
      <c r="S62" s="143"/>
      <c r="T62" s="143"/>
      <c r="U62" s="145">
        <v>61.87</v>
      </c>
      <c r="V62" s="103">
        <f>SUM(H62:U62)</f>
        <v>0</v>
      </c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03">
        <f t="shared" si="19"/>
        <v>0</v>
      </c>
      <c r="AJ62" s="134">
        <v>1388.61</v>
      </c>
      <c r="AK62" s="134">
        <v>380.41</v>
      </c>
      <c r="AL62" s="136"/>
      <c r="AM62" s="105">
        <f t="shared" si="20"/>
        <v>0</v>
      </c>
      <c r="AN62" s="145">
        <v>3.74</v>
      </c>
      <c r="AO62" s="143"/>
      <c r="AP62" s="143"/>
      <c r="AQ62" s="143"/>
      <c r="AR62" s="146"/>
      <c r="AS62" s="621">
        <f t="shared" si="32"/>
        <v>0</v>
      </c>
      <c r="AT62" s="1554">
        <v>9609.5</v>
      </c>
      <c r="AU62" s="1546"/>
      <c r="AV62" s="1548"/>
      <c r="AW62" s="1548"/>
      <c r="AX62" s="1548"/>
      <c r="AY62" s="1548"/>
      <c r="AZ62" s="1554">
        <v>2476.9</v>
      </c>
      <c r="BA62" s="1548"/>
      <c r="BB62" s="1548"/>
      <c r="BC62" s="1548"/>
      <c r="BD62" s="1546"/>
      <c r="BE62" s="222">
        <f t="shared" si="21"/>
        <v>0</v>
      </c>
      <c r="BF62" s="140">
        <f t="shared" si="22"/>
        <v>0</v>
      </c>
      <c r="BG62" s="132"/>
      <c r="BH62" s="140">
        <f t="shared" si="23"/>
        <v>0</v>
      </c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30">
        <f t="shared" si="24"/>
        <v>0</v>
      </c>
      <c r="BW62" s="132"/>
    </row>
    <row r="63" ht="14.25" customHeight="1">
      <c r="A63" s="132"/>
      <c r="B63" s="618">
        <v>46078</v>
      </c>
      <c r="C63" s="133">
        <f>15297.51-D63-0</f>
      </c>
      <c r="D63" s="200">
        <v>2486.96</v>
      </c>
      <c r="E63" s="135"/>
      <c r="F63" s="135"/>
      <c r="G63" s="147">
        <f t="shared" si="18"/>
        <v>0</v>
      </c>
      <c r="H63" s="199">
        <v>239.94</v>
      </c>
      <c r="I63" s="143"/>
      <c r="J63" s="143"/>
      <c r="K63" s="143">
        <v>1050.39</v>
      </c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03">
        <f ref="V63:V64" t="shared" si="34">SUM(H63:T63)</f>
        <v>0</v>
      </c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03">
        <f t="shared" si="19"/>
        <v>0</v>
      </c>
      <c r="AJ63" s="134">
        <v>1422.52</v>
      </c>
      <c r="AK63" s="134">
        <v>499.88</v>
      </c>
      <c r="AL63" s="136"/>
      <c r="AM63" s="105">
        <f t="shared" si="20"/>
        <v>0</v>
      </c>
      <c r="AN63" s="143"/>
      <c r="AO63" s="143"/>
      <c r="AP63" s="143"/>
      <c r="AQ63" s="143"/>
      <c r="AR63" s="146"/>
      <c r="AS63" s="621">
        <f t="shared" si="32"/>
        <v>0</v>
      </c>
      <c r="AT63" s="1554">
        <v>9577.9</v>
      </c>
      <c r="AU63" s="1546"/>
      <c r="AV63" s="1548"/>
      <c r="AW63" s="1548"/>
      <c r="AX63" s="1548"/>
      <c r="AY63" s="1548"/>
      <c r="AZ63" s="1554">
        <v>2487</v>
      </c>
      <c r="BA63" s="1548"/>
      <c r="BB63" s="1548"/>
      <c r="BC63" s="1548"/>
      <c r="BD63" s="1546"/>
      <c r="BE63" s="222">
        <f t="shared" si="21"/>
        <v>0</v>
      </c>
      <c r="BF63" s="140">
        <f t="shared" si="22"/>
        <v>0</v>
      </c>
      <c r="BG63" s="132"/>
      <c r="BH63" s="140">
        <f t="shared" si="23"/>
        <v>0</v>
      </c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50"/>
      <c r="BT63" s="141">
        <v>20</v>
      </c>
      <c r="BU63" s="141"/>
      <c r="BV63" s="130">
        <f t="shared" si="24"/>
        <v>0</v>
      </c>
      <c r="BW63" s="132"/>
    </row>
    <row r="64" ht="14.25" customHeight="1">
      <c r="A64" s="132"/>
      <c r="B64" s="618">
        <v>46079</v>
      </c>
      <c r="C64" s="133">
        <f>13205.05-D64-0</f>
      </c>
      <c r="D64" s="200">
        <v>2691.02</v>
      </c>
      <c r="E64" s="135"/>
      <c r="F64" s="135"/>
      <c r="G64" s="147">
        <f t="shared" si="18"/>
        <v>0</v>
      </c>
      <c r="H64" s="144">
        <v>454.54</v>
      </c>
      <c r="I64" s="143"/>
      <c r="J64" s="143"/>
      <c r="K64" s="145">
        <v>764.29</v>
      </c>
      <c r="L64" s="143"/>
      <c r="M64" s="143"/>
      <c r="N64" s="99"/>
      <c r="O64" s="143"/>
      <c r="P64" s="143"/>
      <c r="Q64" s="143"/>
      <c r="R64" s="143"/>
      <c r="S64" s="143"/>
      <c r="T64" s="143"/>
      <c r="U64" s="143"/>
      <c r="V64" s="103">
        <f t="shared" si="34"/>
        <v>0</v>
      </c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03">
        <f t="shared" si="19"/>
        <v>0</v>
      </c>
      <c r="AJ64" s="134">
        <v>1282.11</v>
      </c>
      <c r="AK64" s="134">
        <v>504.22</v>
      </c>
      <c r="AL64" s="136"/>
      <c r="AM64" s="105">
        <f t="shared" si="20"/>
        <v>0</v>
      </c>
      <c r="AN64" s="143"/>
      <c r="AO64" s="143"/>
      <c r="AP64" s="143"/>
      <c r="AQ64" s="143"/>
      <c r="AR64" s="146"/>
      <c r="AS64" s="621">
        <f t="shared" si="32"/>
        <v>0</v>
      </c>
      <c r="AT64" s="1554">
        <v>7509</v>
      </c>
      <c r="AU64" s="1546"/>
      <c r="AV64" s="1548"/>
      <c r="AW64" s="1548"/>
      <c r="AX64" s="1548"/>
      <c r="AY64" s="1548"/>
      <c r="AZ64" s="1554">
        <v>2691.1</v>
      </c>
      <c r="BA64" s="1548"/>
      <c r="BB64" s="1548"/>
      <c r="BC64" s="1548"/>
      <c r="BD64" s="1546"/>
      <c r="BE64" s="222">
        <f t="shared" si="21"/>
        <v>0</v>
      </c>
      <c r="BF64" s="140">
        <f t="shared" si="22"/>
        <v>0</v>
      </c>
      <c r="BG64" s="132"/>
      <c r="BH64" s="140">
        <f t="shared" si="23"/>
        <v>0</v>
      </c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30">
        <f t="shared" si="24"/>
        <v>0</v>
      </c>
      <c r="BW64" s="132"/>
    </row>
    <row r="65" ht="14.25" customHeight="1">
      <c r="A65" s="132"/>
      <c r="B65" s="618">
        <v>46080</v>
      </c>
      <c r="C65" s="133">
        <f>17323.09-D65-0</f>
      </c>
      <c r="D65" s="134">
        <v>2820.81</v>
      </c>
      <c r="E65" s="135"/>
      <c r="F65" s="135"/>
      <c r="G65" s="147">
        <f t="shared" si="18"/>
        <v>0</v>
      </c>
      <c r="H65" s="144"/>
      <c r="I65" s="143"/>
      <c r="J65" s="143"/>
      <c r="K65" s="145">
        <v>1573.76</v>
      </c>
      <c r="L65" s="143"/>
      <c r="M65" s="143"/>
      <c r="N65" s="143"/>
      <c r="O65" s="143"/>
      <c r="P65" s="143"/>
      <c r="Q65" s="143"/>
      <c r="R65" s="143"/>
      <c r="S65" s="143"/>
      <c r="T65" s="143"/>
      <c r="U65" s="145">
        <v>170.9</v>
      </c>
      <c r="V65" s="103">
        <f>SUM(H65:U65)</f>
        <v>0</v>
      </c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03">
        <f t="shared" si="19"/>
        <v>0</v>
      </c>
      <c r="AJ65" s="134">
        <v>1557.76</v>
      </c>
      <c r="AK65" s="134">
        <v>650.74</v>
      </c>
      <c r="AL65" s="136"/>
      <c r="AM65" s="105">
        <f t="shared" si="20"/>
        <v>0</v>
      </c>
      <c r="AN65" s="143"/>
      <c r="AO65" s="143"/>
      <c r="AP65" s="143"/>
      <c r="AQ65" s="143"/>
      <c r="AR65" s="146"/>
      <c r="AS65" s="621">
        <f t="shared" si="32"/>
        <v>0</v>
      </c>
      <c r="AT65" s="1554">
        <v>10529.1</v>
      </c>
      <c r="AU65" s="1546"/>
      <c r="AV65" s="1548"/>
      <c r="AW65" s="1548"/>
      <c r="AX65" s="1548"/>
      <c r="AY65" s="1548"/>
      <c r="AZ65" s="1554">
        <v>2820.9</v>
      </c>
      <c r="BA65" s="1548"/>
      <c r="BB65" s="1548"/>
      <c r="BC65" s="1548"/>
      <c r="BD65" s="1546"/>
      <c r="BE65" s="222">
        <f t="shared" si="21"/>
        <v>0</v>
      </c>
      <c r="BF65" s="140">
        <f t="shared" si="22"/>
        <v>0</v>
      </c>
      <c r="BG65" s="132"/>
      <c r="BH65" s="140">
        <f t="shared" si="23"/>
        <v>0</v>
      </c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50"/>
      <c r="BT65" s="141">
        <v>20</v>
      </c>
      <c r="BU65" s="141"/>
      <c r="BV65" s="130">
        <f t="shared" si="24"/>
        <v>0</v>
      </c>
      <c r="BW65" s="132"/>
    </row>
    <row r="66" ht="14.25" customHeight="1">
      <c r="A66" s="132"/>
      <c r="B66" s="618">
        <v>46081</v>
      </c>
      <c r="C66" s="153">
        <f>15003.66-D66-0</f>
      </c>
      <c r="D66" s="154">
        <v>2743.01</v>
      </c>
      <c r="E66" s="135"/>
      <c r="F66" s="135"/>
      <c r="G66" s="147">
        <f t="shared" si="18"/>
        <v>0</v>
      </c>
      <c r="H66" s="144"/>
      <c r="I66" s="143"/>
      <c r="J66" s="143"/>
      <c r="K66" s="145">
        <v>1363.34</v>
      </c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03">
        <f ref="V66:V67" t="shared" si="35">SUM(H66:T66)</f>
        <v>0</v>
      </c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43"/>
      <c r="AH66" s="143"/>
      <c r="AI66" s="103">
        <f t="shared" si="19"/>
        <v>0</v>
      </c>
      <c r="AJ66" s="134">
        <v>1523.21</v>
      </c>
      <c r="AK66" s="134">
        <v>306.11</v>
      </c>
      <c r="AL66" s="136"/>
      <c r="AM66" s="105">
        <f t="shared" si="20"/>
        <v>0</v>
      </c>
      <c r="AN66" s="143"/>
      <c r="AO66" s="143"/>
      <c r="AP66" s="143"/>
      <c r="AQ66" s="143"/>
      <c r="AR66" s="146"/>
      <c r="AS66" s="621">
        <f t="shared" si="32"/>
        <v>0</v>
      </c>
      <c r="AT66" s="1554">
        <v>9068</v>
      </c>
      <c r="AU66" s="1546"/>
      <c r="AV66" s="1548"/>
      <c r="AW66" s="1548"/>
      <c r="AX66" s="1548"/>
      <c r="AY66" s="1548"/>
      <c r="AZ66" s="1554">
        <v>2743.1</v>
      </c>
      <c r="BA66" s="1548"/>
      <c r="BB66" s="1548"/>
      <c r="BC66" s="1548"/>
      <c r="BD66" s="1557"/>
      <c r="BE66" s="222">
        <f t="shared" si="21"/>
        <v>0</v>
      </c>
      <c r="BF66" s="140">
        <f t="shared" si="22"/>
        <v>0</v>
      </c>
      <c r="BG66" s="132"/>
      <c r="BH66" s="140">
        <f t="shared" si="23"/>
        <v>0</v>
      </c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30">
        <f t="shared" si="24"/>
        <v>0</v>
      </c>
      <c r="BW66" s="132"/>
    </row>
    <row r="67" ht="14.25" customHeight="1">
      <c r="A67" s="132"/>
      <c r="B67" s="627"/>
      <c r="C67" s="153"/>
      <c r="D67" s="159"/>
      <c r="E67" s="135"/>
      <c r="F67" s="135"/>
      <c r="G67" s="147">
        <f t="shared" si="18"/>
        <v>0</v>
      </c>
      <c r="H67" s="144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03">
        <f t="shared" si="35"/>
        <v>0</v>
      </c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43"/>
      <c r="AH67" s="143"/>
      <c r="AI67" s="103">
        <f t="shared" si="19"/>
        <v>0</v>
      </c>
      <c r="AJ67" s="136"/>
      <c r="AK67" s="136"/>
      <c r="AL67" s="136"/>
      <c r="AM67" s="105">
        <f t="shared" si="20"/>
        <v>0</v>
      </c>
      <c r="AN67" s="143"/>
      <c r="AO67" s="143"/>
      <c r="AP67" s="143"/>
      <c r="AQ67" s="143"/>
      <c r="AR67" s="146"/>
      <c r="AS67" s="621">
        <f t="shared" si="32"/>
        <v>0</v>
      </c>
      <c r="AT67" s="1557"/>
      <c r="AU67" s="1557"/>
      <c r="AV67" s="1548"/>
      <c r="AW67" s="1548"/>
      <c r="AX67" s="1548"/>
      <c r="AY67" s="1548"/>
      <c r="AZ67" s="1557"/>
      <c r="BA67" s="1548"/>
      <c r="BB67" s="1548"/>
      <c r="BC67" s="1548"/>
      <c r="BD67" s="1548"/>
      <c r="BE67" s="222">
        <f t="shared" si="21"/>
        <v>0</v>
      </c>
      <c r="BF67" s="140">
        <f t="shared" si="22"/>
        <v>0</v>
      </c>
      <c r="BG67" s="132"/>
      <c r="BH67" s="140">
        <f t="shared" si="23"/>
        <v>0</v>
      </c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41"/>
      <c r="BV67" s="130">
        <f t="shared" si="24"/>
        <v>0</v>
      </c>
      <c r="BW67" s="132"/>
    </row>
    <row r="68" ht="14.25" customHeight="1">
      <c r="A68" s="3"/>
      <c r="B68" s="2" t="s">
        <v>4</v>
      </c>
      <c r="C68" s="165">
        <f ref="C68:D68" t="shared" si="36">SUM(C37:C67)</f>
        <v>0</v>
      </c>
      <c r="D68" s="165">
        <f t="shared" si="36"/>
        <v>0</v>
      </c>
      <c r="E68" s="166">
        <f ref="E68:J68" t="shared" si="37">SUM(E37:E66)</f>
        <v>0</v>
      </c>
      <c r="F68" s="166">
        <f t="shared" si="37"/>
        <v>0</v>
      </c>
      <c r="G68" s="166">
        <f t="shared" si="37"/>
        <v>0</v>
      </c>
      <c r="H68" s="166">
        <f t="shared" si="37"/>
        <v>0</v>
      </c>
      <c r="I68" s="166">
        <f t="shared" si="37"/>
        <v>0</v>
      </c>
      <c r="J68" s="166">
        <f t="shared" si="37"/>
        <v>0</v>
      </c>
      <c r="K68" s="166">
        <f>SUM(K37:K67)</f>
        <v>0</v>
      </c>
      <c r="L68" s="166">
        <f ref="L68:Q68" t="shared" si="38">SUM(L37:L66)</f>
        <v>0</v>
      </c>
      <c r="M68" s="166">
        <f t="shared" si="38"/>
        <v>0</v>
      </c>
      <c r="N68" s="166">
        <f t="shared" si="38"/>
        <v>0</v>
      </c>
      <c r="O68" s="166">
        <f t="shared" si="38"/>
        <v>0</v>
      </c>
      <c r="P68" s="166">
        <f t="shared" si="38"/>
        <v>0</v>
      </c>
      <c r="Q68" s="166">
        <f t="shared" si="38"/>
        <v>0</v>
      </c>
      <c r="R68" s="166"/>
      <c r="S68" s="166">
        <f ref="S68:T68" t="shared" si="39">SUM(S37:S66)</f>
        <v>0</v>
      </c>
      <c r="T68" s="166">
        <f t="shared" si="39"/>
        <v>0</v>
      </c>
      <c r="U68" s="166"/>
      <c r="V68" s="166">
        <f ref="V68:AI68" t="shared" si="40">SUM(V37:V66)</f>
        <v>0</v>
      </c>
      <c r="W68" s="166">
        <f t="shared" si="40"/>
        <v>0</v>
      </c>
      <c r="X68" s="166">
        <f t="shared" si="40"/>
        <v>0</v>
      </c>
      <c r="Y68" s="166">
        <f t="shared" si="40"/>
        <v>0</v>
      </c>
      <c r="Z68" s="166">
        <f t="shared" si="40"/>
        <v>0</v>
      </c>
      <c r="AA68" s="166">
        <f t="shared" si="40"/>
        <v>0</v>
      </c>
      <c r="AB68" s="166">
        <f t="shared" si="40"/>
        <v>0</v>
      </c>
      <c r="AC68" s="166">
        <f t="shared" si="40"/>
        <v>0</v>
      </c>
      <c r="AD68" s="166">
        <f t="shared" si="40"/>
        <v>0</v>
      </c>
      <c r="AE68" s="166">
        <f t="shared" si="40"/>
        <v>0</v>
      </c>
      <c r="AF68" s="166">
        <f t="shared" si="40"/>
        <v>0</v>
      </c>
      <c r="AG68" s="166">
        <f t="shared" si="40"/>
        <v>0</v>
      </c>
      <c r="AH68" s="166">
        <f t="shared" si="40"/>
        <v>0</v>
      </c>
      <c r="AI68" s="166">
        <f t="shared" si="40"/>
        <v>0</v>
      </c>
      <c r="AJ68" s="166">
        <f ref="AJ68:AK68" t="shared" si="41">SUM(AJ37:AJ67)</f>
        <v>0</v>
      </c>
      <c r="AK68" s="166">
        <f t="shared" si="41"/>
        <v>0</v>
      </c>
      <c r="AL68" s="166">
        <f ref="AL68:AN68" t="shared" si="42">SUM(AL37:AL66)</f>
        <v>0</v>
      </c>
      <c r="AM68" s="166">
        <f t="shared" si="42"/>
        <v>0</v>
      </c>
      <c r="AN68" s="166">
        <f t="shared" si="42"/>
        <v>0</v>
      </c>
      <c r="AO68" s="166"/>
      <c r="AP68" s="166">
        <f ref="AP68:AS68" t="shared" si="43">SUM(AP37:AP66)</f>
        <v>0</v>
      </c>
      <c r="AQ68" s="166">
        <f t="shared" si="43"/>
        <v>0</v>
      </c>
      <c r="AR68" s="166">
        <f t="shared" si="43"/>
        <v>0</v>
      </c>
      <c r="AS68" s="166">
        <f t="shared" si="43"/>
        <v>0</v>
      </c>
      <c r="AT68" s="165">
        <f>SUM(AT37:AT67)</f>
        <v>0</v>
      </c>
      <c r="AU68" s="165">
        <f ref="AU68:AY68" t="shared" si="44">SUM(AU37:AU66)</f>
        <v>0</v>
      </c>
      <c r="AV68" s="165">
        <f t="shared" si="44"/>
        <v>0</v>
      </c>
      <c r="AW68" s="165">
        <f t="shared" si="44"/>
        <v>0</v>
      </c>
      <c r="AX68" s="165">
        <f t="shared" si="44"/>
        <v>0</v>
      </c>
      <c r="AY68" s="165">
        <f t="shared" si="44"/>
        <v>0</v>
      </c>
      <c r="AZ68" s="165">
        <f>SUM(AZ37:AZ67)</f>
        <v>0</v>
      </c>
      <c r="BA68" s="165">
        <f ref="BA68:BF68" t="shared" si="45">SUM(BA37:BA66)</f>
        <v>0</v>
      </c>
      <c r="BB68" s="165">
        <f t="shared" si="45"/>
        <v>0</v>
      </c>
      <c r="BC68" s="165">
        <f t="shared" si="45"/>
        <v>0</v>
      </c>
      <c r="BD68" s="165">
        <f t="shared" si="45"/>
        <v>0</v>
      </c>
      <c r="BE68" s="166">
        <f t="shared" si="45"/>
        <v>0</v>
      </c>
      <c r="BF68" s="166">
        <f t="shared" si="45"/>
        <v>0</v>
      </c>
      <c r="BG68" s="235"/>
      <c r="BH68" s="166">
        <f ref="BH68:BV68" t="shared" si="46">SUM(BH37:BH66)</f>
        <v>0</v>
      </c>
      <c r="BI68" s="166">
        <f t="shared" si="46"/>
        <v>0</v>
      </c>
      <c r="BJ68" s="166">
        <f t="shared" si="46"/>
        <v>0</v>
      </c>
      <c r="BK68" s="166">
        <f t="shared" si="46"/>
        <v>0</v>
      </c>
      <c r="BL68" s="166">
        <f t="shared" si="46"/>
        <v>0</v>
      </c>
      <c r="BM68" s="166">
        <f t="shared" si="46"/>
        <v>0</v>
      </c>
      <c r="BN68" s="166">
        <f t="shared" si="46"/>
        <v>0</v>
      </c>
      <c r="BO68" s="166">
        <f t="shared" si="46"/>
        <v>0</v>
      </c>
      <c r="BP68" s="166">
        <f t="shared" si="46"/>
        <v>0</v>
      </c>
      <c r="BQ68" s="166">
        <f t="shared" si="46"/>
        <v>0</v>
      </c>
      <c r="BR68" s="166">
        <f t="shared" si="46"/>
        <v>0</v>
      </c>
      <c r="BS68" s="166">
        <f t="shared" si="46"/>
        <v>0</v>
      </c>
      <c r="BT68" s="166">
        <f t="shared" si="46"/>
        <v>0</v>
      </c>
      <c r="BU68" s="166">
        <f t="shared" si="46"/>
        <v>0</v>
      </c>
      <c r="BV68" s="166">
        <f t="shared" si="46"/>
        <v>0</v>
      </c>
      <c r="BW68" s="235"/>
    </row>
    <row r="69" ht="14.25" customHeight="1">
      <c r="A69" s="1"/>
      <c r="B69" s="2"/>
      <c r="C69" s="3"/>
      <c r="D69" s="3"/>
      <c r="E69" s="3"/>
      <c r="F69" s="3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4"/>
      <c r="AN69" s="3"/>
      <c r="AO69" s="3"/>
      <c r="AP69" s="3"/>
      <c r="AQ69" s="3"/>
      <c r="AR69" s="3"/>
      <c r="AS69" s="4"/>
      <c r="AT69" s="856"/>
      <c r="AU69" s="856"/>
      <c r="AV69" s="316"/>
      <c r="AW69" s="316"/>
      <c r="AX69" s="628"/>
      <c r="AY69" s="628"/>
      <c r="AZ69" s="316"/>
      <c r="BA69" s="316"/>
      <c r="BB69" s="316"/>
      <c r="BC69" s="316"/>
      <c r="BD69" s="316"/>
      <c r="BE69" s="4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ht="14.25" customHeight="1">
      <c r="A70" s="205"/>
      <c r="B70" s="206"/>
      <c r="C70" s="207"/>
      <c r="D70" s="207"/>
      <c r="E70" s="207"/>
      <c r="F70" s="207"/>
      <c r="G70" s="208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9"/>
      <c r="AJ70" s="207"/>
      <c r="AK70" s="207"/>
      <c r="AL70" s="207"/>
      <c r="AM70" s="208"/>
      <c r="AN70" s="207"/>
      <c r="AO70" s="207"/>
      <c r="AP70" s="207"/>
      <c r="AQ70" s="207"/>
      <c r="AR70" s="207"/>
      <c r="AS70" s="208"/>
      <c r="AT70" s="777"/>
      <c r="AU70" s="777"/>
      <c r="AV70" s="316"/>
      <c r="AW70" s="207"/>
      <c r="AX70" s="207"/>
      <c r="AY70" s="207"/>
      <c r="AZ70" s="316"/>
      <c r="BA70" s="316"/>
      <c r="BB70" s="316"/>
      <c r="BC70" s="316"/>
      <c r="BD70" s="316"/>
      <c r="BE70" s="214"/>
      <c r="BF70" s="207"/>
      <c r="BG70" s="207"/>
      <c r="BH70" s="207"/>
      <c r="BI70" s="207"/>
      <c r="BJ70" s="207"/>
      <c r="BK70" s="207"/>
      <c r="BL70" s="207"/>
      <c r="BM70" s="207"/>
      <c r="BN70" s="207"/>
      <c r="BO70" s="207"/>
      <c r="BP70" s="207"/>
      <c r="BQ70" s="207"/>
      <c r="BR70" s="207"/>
      <c r="BS70" s="207"/>
      <c r="BT70" s="207"/>
      <c r="BU70" s="207"/>
      <c r="BV70" s="207"/>
      <c r="BW70" s="207"/>
    </row>
    <row r="71" ht="14.25" customHeight="1">
      <c r="A71" s="3"/>
      <c r="B71" s="215">
        <v>46082</v>
      </c>
      <c r="C71" s="104">
        <f>14297.79-D71-0</f>
      </c>
      <c r="D71" s="95">
        <v>2829.78</v>
      </c>
      <c r="E71" s="97"/>
      <c r="F71" s="97"/>
      <c r="G71" s="816">
        <f ref="G71:G101" t="shared" si="47">+C71+D71+E71+F71</f>
        <v>0</v>
      </c>
      <c r="H71" s="186">
        <v>1158.5</v>
      </c>
      <c r="I71" s="186"/>
      <c r="J71" s="186"/>
      <c r="K71" s="188">
        <v>395.98</v>
      </c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877">
        <f>SUM(H71:T71)</f>
        <v>0</v>
      </c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03">
        <f ref="AI71:AI101" t="shared" si="48">SUM(W71:AH71)</f>
        <v>0</v>
      </c>
      <c r="AJ71" s="95">
        <v>1088.83</v>
      </c>
      <c r="AK71" s="95">
        <v>312.77</v>
      </c>
      <c r="AL71" s="104"/>
      <c r="AM71" s="105">
        <f ref="AM71:AM101" t="shared" si="49">SUM(AJ71:AL71)</f>
        <v>0</v>
      </c>
      <c r="AN71" s="186"/>
      <c r="AO71" s="186"/>
      <c r="AP71" s="186"/>
      <c r="AQ71" s="186"/>
      <c r="AR71" s="193"/>
      <c r="AS71" s="620">
        <f ref="AS71:AS101" t="shared" si="50">+G71-V71-AI71-AM71-AN71-AP71-AQ71-AR71</f>
        <v>0</v>
      </c>
      <c r="AT71" s="1721">
        <v>8512</v>
      </c>
      <c r="AU71" s="1537"/>
      <c r="AV71" s="1537"/>
      <c r="AW71" s="1548"/>
      <c r="AX71" s="1548"/>
      <c r="AY71" s="1548"/>
      <c r="AZ71" s="1721">
        <v>2829.8</v>
      </c>
      <c r="BA71" s="1548"/>
      <c r="BB71" s="1548"/>
      <c r="BC71" s="1548"/>
      <c r="BD71" s="1537"/>
      <c r="BE71" s="222">
        <f ref="BE71:BE101" t="shared" si="51">SUM(AT71:BD71)-BC71</f>
        <v>0</v>
      </c>
      <c r="BF71" s="114">
        <f ref="BF71:BF101" t="shared" si="52">+AS71-BE71</f>
        <v>0</v>
      </c>
      <c r="BG71" s="3"/>
      <c r="BH71" s="114">
        <f ref="BH71:BH101" t="shared" si="53">SUM(BI71:BU71)</f>
        <v>0</v>
      </c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6">
        <f ref="BV71:BV101" t="shared" si="54">+BF71-BH71</f>
        <v>0</v>
      </c>
      <c r="BW71" s="3"/>
    </row>
    <row r="72" ht="14.25" customHeight="1">
      <c r="A72" s="3"/>
      <c r="B72" s="215">
        <v>46083</v>
      </c>
      <c r="C72" s="123">
        <f>13820.28-D72-0</f>
      </c>
      <c r="D72" s="119">
        <v>2506.16</v>
      </c>
      <c r="E72" s="120"/>
      <c r="F72" s="120"/>
      <c r="G72" s="98">
        <f t="shared" si="47"/>
        <v>0</v>
      </c>
      <c r="H72" s="143"/>
      <c r="I72" s="143"/>
      <c r="J72" s="143"/>
      <c r="K72" s="143">
        <v>896.8</v>
      </c>
      <c r="L72" s="143"/>
      <c r="M72" s="143"/>
      <c r="N72" s="143"/>
      <c r="O72" s="143"/>
      <c r="P72" s="143"/>
      <c r="Q72" s="143"/>
      <c r="R72" s="143"/>
      <c r="S72" s="143"/>
      <c r="T72" s="143"/>
      <c r="U72" s="145">
        <v>31.09</v>
      </c>
      <c r="V72" s="877">
        <f>SUM(H72:U72)</f>
        <v>0</v>
      </c>
      <c r="W72" s="143"/>
      <c r="X72" s="143"/>
      <c r="Y72" s="143"/>
      <c r="Z72" s="143"/>
      <c r="AA72" s="143"/>
      <c r="AB72" s="143"/>
      <c r="AC72" s="143"/>
      <c r="AD72" s="143"/>
      <c r="AE72" s="143"/>
      <c r="AF72" s="143"/>
      <c r="AG72" s="143"/>
      <c r="AH72" s="143"/>
      <c r="AI72" s="103">
        <f t="shared" si="48"/>
        <v>0</v>
      </c>
      <c r="AJ72" s="119">
        <v>1768.98</v>
      </c>
      <c r="AK72" s="119">
        <v>451.77</v>
      </c>
      <c r="AL72" s="123"/>
      <c r="AM72" s="105">
        <f t="shared" si="49"/>
        <v>0</v>
      </c>
      <c r="AN72" s="143"/>
      <c r="AO72" s="143"/>
      <c r="AP72" s="143"/>
      <c r="AQ72" s="143"/>
      <c r="AR72" s="146"/>
      <c r="AS72" s="621">
        <f t="shared" si="50"/>
        <v>0</v>
      </c>
      <c r="AT72" s="1554">
        <v>8145.4</v>
      </c>
      <c r="AU72" s="1546"/>
      <c r="AV72" s="1546"/>
      <c r="AW72" s="1548"/>
      <c r="AX72" s="1548"/>
      <c r="AY72" s="1548"/>
      <c r="AZ72" s="1554">
        <v>2506.2</v>
      </c>
      <c r="BA72" s="1548"/>
      <c r="BB72" s="1548"/>
      <c r="BC72" s="1548"/>
      <c r="BD72" s="1546"/>
      <c r="BE72" s="222">
        <f t="shared" si="51"/>
        <v>0</v>
      </c>
      <c r="BF72" s="113">
        <f t="shared" si="52"/>
        <v>0</v>
      </c>
      <c r="BG72" s="3"/>
      <c r="BH72" s="113">
        <f t="shared" si="53"/>
        <v>0</v>
      </c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31"/>
      <c r="BT72" s="129">
        <v>20</v>
      </c>
      <c r="BU72" s="129"/>
      <c r="BV72" s="130">
        <f t="shared" si="54"/>
        <v>0</v>
      </c>
      <c r="BW72" s="3"/>
    </row>
    <row r="73" ht="14.25" customHeight="1">
      <c r="A73" s="3"/>
      <c r="B73" s="215">
        <v>46084</v>
      </c>
      <c r="C73" s="123">
        <f>18301.49-D73-0</f>
      </c>
      <c r="D73" s="119">
        <v>2723.68</v>
      </c>
      <c r="E73" s="120"/>
      <c r="F73" s="120"/>
      <c r="G73" s="98">
        <f t="shared" si="47"/>
        <v>0</v>
      </c>
      <c r="H73" s="143"/>
      <c r="I73" s="143"/>
      <c r="J73" s="143"/>
      <c r="K73" s="145">
        <v>4727.96</v>
      </c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877">
        <f>SUM(H73:T73)</f>
        <v>0</v>
      </c>
      <c r="W73" s="143"/>
      <c r="X73" s="143"/>
      <c r="Y73" s="143"/>
      <c r="Z73" s="143"/>
      <c r="AA73" s="143"/>
      <c r="AB73" s="143"/>
      <c r="AC73" s="143"/>
      <c r="AD73" s="143"/>
      <c r="AE73" s="143"/>
      <c r="AF73" s="143"/>
      <c r="AG73" s="143"/>
      <c r="AH73" s="143"/>
      <c r="AI73" s="103">
        <f t="shared" si="48"/>
        <v>0</v>
      </c>
      <c r="AJ73" s="119">
        <v>1967.82</v>
      </c>
      <c r="AK73" s="119">
        <v>570.32</v>
      </c>
      <c r="AL73" s="123"/>
      <c r="AM73" s="105">
        <f t="shared" si="49"/>
        <v>0</v>
      </c>
      <c r="AN73" s="143"/>
      <c r="AO73" s="143"/>
      <c r="AP73" s="143"/>
      <c r="AQ73" s="143"/>
      <c r="AR73" s="146"/>
      <c r="AS73" s="621">
        <f t="shared" si="50"/>
        <v>0</v>
      </c>
      <c r="AT73" s="1554">
        <v>8311.8</v>
      </c>
      <c r="AU73" s="1546"/>
      <c r="AV73" s="1546"/>
      <c r="AW73" s="1548"/>
      <c r="AX73" s="1548"/>
      <c r="AY73" s="1548"/>
      <c r="AZ73" s="1554">
        <v>2723.7</v>
      </c>
      <c r="BA73" s="1548"/>
      <c r="BB73" s="1548"/>
      <c r="BC73" s="1548"/>
      <c r="BD73" s="1546"/>
      <c r="BE73" s="222">
        <f t="shared" si="51"/>
        <v>0</v>
      </c>
      <c r="BF73" s="113">
        <f t="shared" si="52"/>
        <v>0</v>
      </c>
      <c r="BG73" s="3"/>
      <c r="BH73" s="113">
        <f t="shared" si="53"/>
        <v>0</v>
      </c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30">
        <f t="shared" si="54"/>
        <v>0</v>
      </c>
      <c r="BW73" s="3"/>
    </row>
    <row r="74" ht="14.25" customHeight="1">
      <c r="A74" s="3"/>
      <c r="B74" s="215">
        <v>46085</v>
      </c>
      <c r="C74" s="123">
        <f>16756.26-D74-0</f>
      </c>
      <c r="D74" s="119">
        <v>2320.54</v>
      </c>
      <c r="E74" s="120"/>
      <c r="F74" s="120"/>
      <c r="G74" s="98">
        <f t="shared" si="47"/>
        <v>0</v>
      </c>
      <c r="H74" s="143"/>
      <c r="I74" s="143"/>
      <c r="J74" s="143"/>
      <c r="K74" s="143">
        <v>2927.53</v>
      </c>
      <c r="L74" s="143"/>
      <c r="M74" s="143"/>
      <c r="N74" s="143"/>
      <c r="O74" s="143"/>
      <c r="P74" s="143"/>
      <c r="Q74" s="143"/>
      <c r="R74" s="143"/>
      <c r="S74" s="143"/>
      <c r="T74" s="143"/>
      <c r="U74" s="145">
        <v>49.92</v>
      </c>
      <c r="V74" s="877">
        <f ref="V74:V77" t="shared" si="55">SUM(H74:U74)</f>
        <v>0</v>
      </c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43"/>
      <c r="AH74" s="143"/>
      <c r="AI74" s="103">
        <f t="shared" si="48"/>
        <v>0</v>
      </c>
      <c r="AJ74" s="119">
        <v>1965.75</v>
      </c>
      <c r="AK74" s="119">
        <v>524.99</v>
      </c>
      <c r="AL74" s="123"/>
      <c r="AM74" s="105">
        <f t="shared" si="49"/>
        <v>0</v>
      </c>
      <c r="AN74" s="143"/>
      <c r="AO74" s="143"/>
      <c r="AP74" s="143"/>
      <c r="AQ74" s="143"/>
      <c r="AR74" s="146"/>
      <c r="AS74" s="621">
        <f t="shared" si="50"/>
        <v>0</v>
      </c>
      <c r="AT74" s="1554">
        <v>8947.5</v>
      </c>
      <c r="AU74" s="1546"/>
      <c r="AV74" s="1546"/>
      <c r="AW74" s="1548"/>
      <c r="AX74" s="1548"/>
      <c r="AY74" s="1548"/>
      <c r="AZ74" s="1554">
        <v>2320.6</v>
      </c>
      <c r="BA74" s="1548"/>
      <c r="BB74" s="1548"/>
      <c r="BC74" s="1548"/>
      <c r="BD74" s="1546"/>
      <c r="BE74" s="222">
        <f t="shared" si="51"/>
        <v>0</v>
      </c>
      <c r="BF74" s="113">
        <f t="shared" si="52"/>
        <v>0</v>
      </c>
      <c r="BG74" s="3"/>
      <c r="BH74" s="113">
        <f t="shared" si="53"/>
        <v>0</v>
      </c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31"/>
      <c r="BT74" s="129">
        <v>20</v>
      </c>
      <c r="BU74" s="129"/>
      <c r="BV74" s="130">
        <f t="shared" si="54"/>
        <v>0</v>
      </c>
      <c r="BW74" s="3"/>
    </row>
    <row r="75" ht="14.25" customHeight="1">
      <c r="A75" s="3"/>
      <c r="B75" s="215">
        <v>46086</v>
      </c>
      <c r="C75" s="123">
        <f>15525.46-D75-0</f>
      </c>
      <c r="D75" s="119">
        <v>2650.42</v>
      </c>
      <c r="E75" s="120"/>
      <c r="F75" s="120"/>
      <c r="G75" s="98">
        <f t="shared" si="47"/>
        <v>0</v>
      </c>
      <c r="H75" s="143"/>
      <c r="I75" s="143"/>
      <c r="J75" s="143"/>
      <c r="K75" s="143">
        <v>815.38</v>
      </c>
      <c r="L75" s="143"/>
      <c r="M75" s="143"/>
      <c r="N75" s="143"/>
      <c r="O75" s="143"/>
      <c r="P75" s="143"/>
      <c r="Q75" s="143"/>
      <c r="R75" s="143"/>
      <c r="S75" s="143"/>
      <c r="T75" s="143"/>
      <c r="U75" s="145">
        <v>37.79</v>
      </c>
      <c r="V75" s="877">
        <f t="shared" si="55"/>
        <v>0</v>
      </c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43"/>
      <c r="AH75" s="143"/>
      <c r="AI75" s="103">
        <f t="shared" si="48"/>
        <v>0</v>
      </c>
      <c r="AJ75" s="119">
        <v>1403.36</v>
      </c>
      <c r="AK75" s="119">
        <v>550.46</v>
      </c>
      <c r="AL75" s="123"/>
      <c r="AM75" s="105">
        <f t="shared" si="49"/>
        <v>0</v>
      </c>
      <c r="AN75" s="143"/>
      <c r="AO75" s="143"/>
      <c r="AP75" s="143"/>
      <c r="AQ75" s="143"/>
      <c r="AR75" s="146"/>
      <c r="AS75" s="621">
        <f t="shared" si="50"/>
        <v>0</v>
      </c>
      <c r="AT75" s="1554">
        <v>10068</v>
      </c>
      <c r="AU75" s="1546"/>
      <c r="AV75" s="1546"/>
      <c r="AW75" s="1548"/>
      <c r="AX75" s="1548"/>
      <c r="AY75" s="1548"/>
      <c r="AZ75" s="1554">
        <v>2650.5</v>
      </c>
      <c r="BA75" s="1548"/>
      <c r="BB75" s="1548"/>
      <c r="BC75" s="1548"/>
      <c r="BD75" s="1546"/>
      <c r="BE75" s="222">
        <f t="shared" si="51"/>
        <v>0</v>
      </c>
      <c r="BF75" s="113">
        <f t="shared" si="52"/>
        <v>0</v>
      </c>
      <c r="BG75" s="3"/>
      <c r="BH75" s="113">
        <f t="shared" si="53"/>
        <v>0</v>
      </c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30">
        <f t="shared" si="54"/>
        <v>0</v>
      </c>
      <c r="BW75" s="3"/>
    </row>
    <row r="76" ht="14.25" customHeight="1">
      <c r="A76" s="3"/>
      <c r="B76" s="215">
        <v>46087</v>
      </c>
      <c r="C76" s="123">
        <f>21362.47-D76-0</f>
      </c>
      <c r="D76" s="119">
        <v>2823.66</v>
      </c>
      <c r="E76" s="120"/>
      <c r="F76" s="120"/>
      <c r="G76" s="98">
        <f t="shared" si="47"/>
        <v>0</v>
      </c>
      <c r="H76" s="143"/>
      <c r="I76" s="143"/>
      <c r="J76" s="143"/>
      <c r="K76" s="143">
        <v>4391.56</v>
      </c>
      <c r="L76" s="143"/>
      <c r="M76" s="143"/>
      <c r="N76" s="143"/>
      <c r="O76" s="143"/>
      <c r="P76" s="143"/>
      <c r="Q76" s="143"/>
      <c r="R76" s="143"/>
      <c r="S76" s="143"/>
      <c r="T76" s="143"/>
      <c r="U76" s="145">
        <v>92.87</v>
      </c>
      <c r="V76" s="877">
        <f t="shared" si="55"/>
        <v>0</v>
      </c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03">
        <f t="shared" si="48"/>
        <v>0</v>
      </c>
      <c r="AJ76" s="119">
        <v>2441.43</v>
      </c>
      <c r="AK76" s="119">
        <v>451.34</v>
      </c>
      <c r="AL76" s="123"/>
      <c r="AM76" s="105">
        <f t="shared" si="49"/>
        <v>0</v>
      </c>
      <c r="AN76" s="143"/>
      <c r="AO76" s="143"/>
      <c r="AP76" s="143"/>
      <c r="AQ76" s="143"/>
      <c r="AR76" s="146"/>
      <c r="AS76" s="621">
        <f t="shared" si="50"/>
        <v>0</v>
      </c>
      <c r="AT76" s="1554">
        <v>11141.6</v>
      </c>
      <c r="AU76" s="1546"/>
      <c r="AV76" s="1546"/>
      <c r="AW76" s="1548"/>
      <c r="AX76" s="1548"/>
      <c r="AY76" s="1548"/>
      <c r="AZ76" s="1554">
        <v>2823.7</v>
      </c>
      <c r="BA76" s="1548"/>
      <c r="BB76" s="1548"/>
      <c r="BC76" s="1548"/>
      <c r="BD76" s="1546"/>
      <c r="BE76" s="222">
        <f t="shared" si="51"/>
        <v>0</v>
      </c>
      <c r="BF76" s="113">
        <f t="shared" si="52"/>
        <v>0</v>
      </c>
      <c r="BG76" s="3"/>
      <c r="BH76" s="113">
        <f t="shared" si="53"/>
        <v>0</v>
      </c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31"/>
      <c r="BT76" s="129">
        <v>20</v>
      </c>
      <c r="BU76" s="129"/>
      <c r="BV76" s="130">
        <f t="shared" si="54"/>
        <v>0</v>
      </c>
      <c r="BW76" s="3"/>
    </row>
    <row r="77" ht="14.25" customHeight="1">
      <c r="A77" s="3"/>
      <c r="B77" s="215">
        <v>46088</v>
      </c>
      <c r="C77" s="123">
        <f>12954.91-D77-0</f>
      </c>
      <c r="D77" s="119">
        <v>1905.85</v>
      </c>
      <c r="E77" s="120"/>
      <c r="F77" s="120"/>
      <c r="G77" s="98">
        <f t="shared" si="47"/>
        <v>0</v>
      </c>
      <c r="H77" s="143"/>
      <c r="I77" s="143"/>
      <c r="J77" s="143"/>
      <c r="K77" s="145">
        <v>1315.81</v>
      </c>
      <c r="L77" s="143"/>
      <c r="M77" s="143"/>
      <c r="N77" s="143"/>
      <c r="O77" s="143"/>
      <c r="P77" s="143"/>
      <c r="Q77" s="143"/>
      <c r="R77" s="143"/>
      <c r="S77" s="143"/>
      <c r="T77" s="143"/>
      <c r="U77" s="145">
        <v>34</v>
      </c>
      <c r="V77" s="877">
        <f t="shared" si="55"/>
        <v>0</v>
      </c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43"/>
      <c r="AH77" s="143"/>
      <c r="AI77" s="103">
        <f t="shared" si="48"/>
        <v>0</v>
      </c>
      <c r="AJ77" s="119">
        <v>1147.94</v>
      </c>
      <c r="AK77" s="119">
        <v>288.47</v>
      </c>
      <c r="AL77" s="123"/>
      <c r="AM77" s="105">
        <f t="shared" si="49"/>
        <v>0</v>
      </c>
      <c r="AN77" s="143"/>
      <c r="AO77" s="143"/>
      <c r="AP77" s="143"/>
      <c r="AQ77" s="143"/>
      <c r="AR77" s="146"/>
      <c r="AS77" s="621">
        <f t="shared" si="50"/>
        <v>0</v>
      </c>
      <c r="AT77" s="1554">
        <v>8253.8</v>
      </c>
      <c r="AU77" s="1626"/>
      <c r="AV77" s="1546"/>
      <c r="AW77" s="1548"/>
      <c r="AX77" s="1548"/>
      <c r="AY77" s="1548"/>
      <c r="AZ77" s="1554">
        <v>1905.9</v>
      </c>
      <c r="BA77" s="1548"/>
      <c r="BB77" s="1548"/>
      <c r="BC77" s="1548"/>
      <c r="BD77" s="1546"/>
      <c r="BE77" s="222">
        <f t="shared" si="51"/>
        <v>0</v>
      </c>
      <c r="BF77" s="113">
        <f t="shared" si="52"/>
        <v>0</v>
      </c>
      <c r="BG77" s="3"/>
      <c r="BH77" s="113">
        <f t="shared" si="53"/>
        <v>0</v>
      </c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30">
        <f t="shared" si="54"/>
        <v>0</v>
      </c>
      <c r="BW77" s="3"/>
    </row>
    <row r="78" ht="14.25" customHeight="1">
      <c r="A78" s="132"/>
      <c r="B78" s="215">
        <v>46089</v>
      </c>
      <c r="C78" s="136">
        <f>12101.50-D78-0</f>
      </c>
      <c r="D78" s="134">
        <v>2192.4</v>
      </c>
      <c r="E78" s="135"/>
      <c r="F78" s="135"/>
      <c r="G78" s="98">
        <f t="shared" si="47"/>
        <v>0</v>
      </c>
      <c r="H78" s="143"/>
      <c r="I78" s="143"/>
      <c r="J78" s="143"/>
      <c r="K78" s="145">
        <v>414.42</v>
      </c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877">
        <f ref="V78:V79" t="shared" si="56">SUM(H78:T78)</f>
        <v>0</v>
      </c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43"/>
      <c r="AH78" s="143"/>
      <c r="AI78" s="103">
        <f t="shared" si="48"/>
        <v>0</v>
      </c>
      <c r="AJ78" s="134">
        <v>1137.45</v>
      </c>
      <c r="AK78" s="134">
        <v>530.11</v>
      </c>
      <c r="AL78" s="136"/>
      <c r="AM78" s="105">
        <f t="shared" si="49"/>
        <v>0</v>
      </c>
      <c r="AN78" s="143"/>
      <c r="AO78" s="143"/>
      <c r="AP78" s="143"/>
      <c r="AQ78" s="143"/>
      <c r="AR78" s="146"/>
      <c r="AS78" s="621">
        <f t="shared" si="50"/>
        <v>0</v>
      </c>
      <c r="AT78" s="1554">
        <v>7827.2</v>
      </c>
      <c r="AU78" s="1546"/>
      <c r="AV78" s="1546"/>
      <c r="AW78" s="1548"/>
      <c r="AX78" s="1548"/>
      <c r="AY78" s="1548"/>
      <c r="AZ78" s="1554">
        <v>2192.4</v>
      </c>
      <c r="BA78" s="1548"/>
      <c r="BB78" s="1548"/>
      <c r="BC78" s="1548"/>
      <c r="BD78" s="1546"/>
      <c r="BE78" s="222">
        <f t="shared" si="51"/>
        <v>0</v>
      </c>
      <c r="BF78" s="140">
        <f t="shared" si="52"/>
        <v>0</v>
      </c>
      <c r="BG78" s="132"/>
      <c r="BH78" s="140">
        <f t="shared" si="53"/>
        <v>0</v>
      </c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30">
        <f t="shared" si="54"/>
        <v>0</v>
      </c>
      <c r="BW78" s="132"/>
    </row>
    <row r="79" ht="14.25" customHeight="1">
      <c r="A79" s="132"/>
      <c r="B79" s="215">
        <v>46090</v>
      </c>
      <c r="C79" s="136">
        <f>14647.51-D79-0</f>
      </c>
      <c r="D79" s="134">
        <v>1519.21</v>
      </c>
      <c r="E79" s="135"/>
      <c r="F79" s="135"/>
      <c r="G79" s="98">
        <f t="shared" si="47"/>
        <v>0</v>
      </c>
      <c r="H79" s="145">
        <v>586.79</v>
      </c>
      <c r="I79" s="143"/>
      <c r="J79" s="143"/>
      <c r="K79" s="145">
        <v>2422.71</v>
      </c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877">
        <f t="shared" si="56"/>
        <v>0</v>
      </c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43"/>
      <c r="AH79" s="143"/>
      <c r="AI79" s="103">
        <f t="shared" si="48"/>
        <v>0</v>
      </c>
      <c r="AJ79" s="134">
        <v>1225.29</v>
      </c>
      <c r="AK79" s="134">
        <v>381.52</v>
      </c>
      <c r="AL79" s="136"/>
      <c r="AM79" s="105">
        <f t="shared" si="49"/>
        <v>0</v>
      </c>
      <c r="AN79" s="143"/>
      <c r="AO79" s="143"/>
      <c r="AP79" s="143"/>
      <c r="AQ79" s="143"/>
      <c r="AR79" s="146"/>
      <c r="AS79" s="621">
        <f t="shared" si="50"/>
        <v>0</v>
      </c>
      <c r="AT79" s="1554">
        <v>8492</v>
      </c>
      <c r="AU79" s="1546"/>
      <c r="AV79" s="1546"/>
      <c r="AW79" s="1548"/>
      <c r="AX79" s="1548"/>
      <c r="AY79" s="1548"/>
      <c r="AZ79" s="1554">
        <v>1519.3</v>
      </c>
      <c r="BA79" s="1548"/>
      <c r="BB79" s="1548"/>
      <c r="BC79" s="1548"/>
      <c r="BD79" s="1546"/>
      <c r="BE79" s="222">
        <f t="shared" si="51"/>
        <v>0</v>
      </c>
      <c r="BF79" s="140">
        <f t="shared" si="52"/>
        <v>0</v>
      </c>
      <c r="BG79" s="132"/>
      <c r="BH79" s="140">
        <f t="shared" si="53"/>
        <v>0</v>
      </c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50"/>
      <c r="BT79" s="141">
        <v>20</v>
      </c>
      <c r="BU79" s="141"/>
      <c r="BV79" s="130">
        <f t="shared" si="54"/>
        <v>0</v>
      </c>
      <c r="BW79" s="132"/>
    </row>
    <row r="80" ht="14.25" customHeight="1">
      <c r="A80" s="132"/>
      <c r="B80" s="215">
        <v>46091</v>
      </c>
      <c r="C80" s="136">
        <f>15298.23-D80-0</f>
      </c>
      <c r="D80" s="134">
        <v>2179.42</v>
      </c>
      <c r="E80" s="135"/>
      <c r="F80" s="135"/>
      <c r="G80" s="98">
        <f t="shared" si="47"/>
        <v>0</v>
      </c>
      <c r="H80" s="143"/>
      <c r="I80" s="143"/>
      <c r="J80" s="143"/>
      <c r="K80" s="143">
        <v>743.55</v>
      </c>
      <c r="L80" s="143"/>
      <c r="M80" s="143"/>
      <c r="N80" s="143"/>
      <c r="O80" s="143"/>
      <c r="P80" s="143"/>
      <c r="Q80" s="143"/>
      <c r="R80" s="143"/>
      <c r="S80" s="143"/>
      <c r="T80" s="143"/>
      <c r="U80" s="145">
        <v>44.16</v>
      </c>
      <c r="V80" s="877">
        <f ref="V80:V81" t="shared" si="57">SUM(H80:U80)</f>
        <v>0</v>
      </c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43"/>
      <c r="AH80" s="143"/>
      <c r="AI80" s="103">
        <f t="shared" si="48"/>
        <v>0</v>
      </c>
      <c r="AJ80" s="134">
        <v>2380.37</v>
      </c>
      <c r="AK80" s="134">
        <v>590.7</v>
      </c>
      <c r="AL80" s="136"/>
      <c r="AM80" s="105">
        <f t="shared" si="49"/>
        <v>0</v>
      </c>
      <c r="AN80" s="143"/>
      <c r="AO80" s="143"/>
      <c r="AP80" s="143"/>
      <c r="AQ80" s="143"/>
      <c r="AR80" s="146"/>
      <c r="AS80" s="621">
        <f t="shared" si="50"/>
        <v>0</v>
      </c>
      <c r="AT80" s="1554">
        <v>9360</v>
      </c>
      <c r="AU80" s="1546"/>
      <c r="AV80" s="1546"/>
      <c r="AW80" s="1548"/>
      <c r="AX80" s="1548"/>
      <c r="AY80" s="1548"/>
      <c r="AZ80" s="1554">
        <v>2179.5</v>
      </c>
      <c r="BA80" s="1548"/>
      <c r="BB80" s="1548"/>
      <c r="BC80" s="1548"/>
      <c r="BD80" s="1546"/>
      <c r="BE80" s="222">
        <f t="shared" si="51"/>
        <v>0</v>
      </c>
      <c r="BF80" s="140">
        <f t="shared" si="52"/>
        <v>0</v>
      </c>
      <c r="BG80" s="132"/>
      <c r="BH80" s="140">
        <f t="shared" si="53"/>
        <v>0</v>
      </c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30">
        <f t="shared" si="54"/>
        <v>0</v>
      </c>
      <c r="BW80" s="132"/>
    </row>
    <row r="81" ht="14.25" customHeight="1">
      <c r="A81" s="132"/>
      <c r="B81" s="215">
        <v>46092</v>
      </c>
      <c r="C81" s="134">
        <f>14443.24-D81-0</f>
      </c>
      <c r="D81" s="134">
        <v>2207.35</v>
      </c>
      <c r="E81" s="135"/>
      <c r="F81" s="135"/>
      <c r="G81" s="98">
        <f t="shared" si="47"/>
        <v>0</v>
      </c>
      <c r="H81" s="143"/>
      <c r="I81" s="143"/>
      <c r="J81" s="143"/>
      <c r="K81" s="143">
        <v>926.23</v>
      </c>
      <c r="L81" s="143"/>
      <c r="M81" s="143"/>
      <c r="N81" s="143"/>
      <c r="O81" s="143"/>
      <c r="P81" s="143"/>
      <c r="Q81" s="143"/>
      <c r="R81" s="143"/>
      <c r="S81" s="143"/>
      <c r="T81" s="143"/>
      <c r="U81" s="145">
        <v>77.74</v>
      </c>
      <c r="V81" s="877">
        <f t="shared" si="57"/>
        <v>0</v>
      </c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03">
        <f t="shared" si="48"/>
        <v>0</v>
      </c>
      <c r="AJ81" s="134">
        <v>1333.07</v>
      </c>
      <c r="AK81" s="134">
        <v>385.59</v>
      </c>
      <c r="AL81" s="136"/>
      <c r="AM81" s="105">
        <f t="shared" si="49"/>
        <v>0</v>
      </c>
      <c r="AN81" s="143"/>
      <c r="AO81" s="143"/>
      <c r="AP81" s="143"/>
      <c r="AQ81" s="143"/>
      <c r="AR81" s="146"/>
      <c r="AS81" s="621">
        <f t="shared" si="50"/>
        <v>0</v>
      </c>
      <c r="AT81" s="1554">
        <v>9493.3</v>
      </c>
      <c r="AU81" s="1546"/>
      <c r="AV81" s="1626"/>
      <c r="AW81" s="1548"/>
      <c r="AX81" s="1548"/>
      <c r="AY81" s="1548"/>
      <c r="AZ81" s="1554">
        <v>2207.4</v>
      </c>
      <c r="BA81" s="1548"/>
      <c r="BB81" s="1548"/>
      <c r="BC81" s="1548"/>
      <c r="BD81" s="1546"/>
      <c r="BE81" s="222">
        <f t="shared" si="51"/>
        <v>0</v>
      </c>
      <c r="BF81" s="140">
        <f t="shared" si="52"/>
        <v>0</v>
      </c>
      <c r="BG81" s="132"/>
      <c r="BH81" s="140">
        <f t="shared" si="53"/>
        <v>0</v>
      </c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50"/>
      <c r="BT81" s="141">
        <v>20</v>
      </c>
      <c r="BU81" s="141"/>
      <c r="BV81" s="130">
        <f t="shared" si="54"/>
        <v>0</v>
      </c>
      <c r="BW81" s="132"/>
    </row>
    <row r="82" ht="14.25" customHeight="1">
      <c r="A82" s="132"/>
      <c r="B82" s="215">
        <v>46093</v>
      </c>
      <c r="C82" s="136">
        <f>21620.23-D82-0</f>
      </c>
      <c r="D82" s="134">
        <v>2395.03</v>
      </c>
      <c r="E82" s="135"/>
      <c r="F82" s="135"/>
      <c r="G82" s="98">
        <f t="shared" si="47"/>
        <v>0</v>
      </c>
      <c r="H82" s="143"/>
      <c r="I82" s="143"/>
      <c r="J82" s="143"/>
      <c r="K82" s="145">
        <v>1890.91</v>
      </c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877">
        <f>SUM(H82:T82)</f>
        <v>0</v>
      </c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43"/>
      <c r="AH82" s="143"/>
      <c r="AI82" s="103">
        <f t="shared" si="48"/>
        <v>0</v>
      </c>
      <c r="AJ82" s="134">
        <v>6561.95</v>
      </c>
      <c r="AK82" s="134">
        <v>585.75</v>
      </c>
      <c r="AL82" s="136"/>
      <c r="AM82" s="105">
        <f t="shared" si="49"/>
        <v>0</v>
      </c>
      <c r="AN82" s="143"/>
      <c r="AO82" s="143"/>
      <c r="AP82" s="143"/>
      <c r="AQ82" s="143"/>
      <c r="AR82" s="146"/>
      <c r="AS82" s="621">
        <f t="shared" si="50"/>
        <v>0</v>
      </c>
      <c r="AT82" s="1554">
        <v>10186.6</v>
      </c>
      <c r="AU82" s="1546"/>
      <c r="AV82" s="1546"/>
      <c r="AW82" s="1548"/>
      <c r="AX82" s="1548"/>
      <c r="AY82" s="1548"/>
      <c r="AZ82" s="1554">
        <v>2395.1</v>
      </c>
      <c r="BA82" s="1548"/>
      <c r="BB82" s="1548"/>
      <c r="BC82" s="1548"/>
      <c r="BD82" s="1546"/>
      <c r="BE82" s="222">
        <f t="shared" si="51"/>
        <v>0</v>
      </c>
      <c r="BF82" s="140">
        <f t="shared" si="52"/>
        <v>0</v>
      </c>
      <c r="BG82" s="132"/>
      <c r="BH82" s="140">
        <f t="shared" si="53"/>
        <v>0</v>
      </c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30">
        <f t="shared" si="54"/>
        <v>0</v>
      </c>
      <c r="BW82" s="132"/>
    </row>
    <row r="83" ht="13.5" customHeight="1">
      <c r="A83" s="132"/>
      <c r="B83" s="215">
        <v>46094</v>
      </c>
      <c r="C83" s="136">
        <f>19242.80-D83-0</f>
      </c>
      <c r="D83" s="134">
        <v>1731.65</v>
      </c>
      <c r="E83" s="135"/>
      <c r="F83" s="135"/>
      <c r="G83" s="98">
        <f t="shared" si="47"/>
        <v>0</v>
      </c>
      <c r="H83" s="145">
        <v>303.38</v>
      </c>
      <c r="I83" s="143"/>
      <c r="J83" s="143"/>
      <c r="K83" s="143">
        <v>1546.19</v>
      </c>
      <c r="L83" s="143"/>
      <c r="M83" s="143"/>
      <c r="N83" s="143"/>
      <c r="O83" s="143"/>
      <c r="P83" s="143"/>
      <c r="Q83" s="143"/>
      <c r="R83" s="143"/>
      <c r="S83" s="143"/>
      <c r="T83" s="143"/>
      <c r="U83" s="145">
        <v>82.03</v>
      </c>
      <c r="V83" s="877">
        <f>SUM(H83:U83)</f>
        <v>0</v>
      </c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03">
        <f t="shared" si="48"/>
        <v>0</v>
      </c>
      <c r="AJ83" s="134">
        <v>4149.41</v>
      </c>
      <c r="AK83" s="134">
        <v>254.05</v>
      </c>
      <c r="AL83" s="136"/>
      <c r="AM83" s="105">
        <f t="shared" si="49"/>
        <v>0</v>
      </c>
      <c r="AN83" s="143"/>
      <c r="AO83" s="143"/>
      <c r="AP83" s="143"/>
      <c r="AQ83" s="143"/>
      <c r="AR83" s="146"/>
      <c r="AS83" s="621">
        <f t="shared" si="50"/>
        <v>0</v>
      </c>
      <c r="AT83" s="1554">
        <v>11156.1</v>
      </c>
      <c r="AU83" s="1546"/>
      <c r="AV83" s="1546"/>
      <c r="AW83" s="1548"/>
      <c r="AX83" s="1548"/>
      <c r="AY83" s="1548"/>
      <c r="AZ83" s="1554">
        <v>1731.7</v>
      </c>
      <c r="BA83" s="1548"/>
      <c r="BB83" s="1548"/>
      <c r="BC83" s="1548"/>
      <c r="BD83" s="1546"/>
      <c r="BE83" s="222">
        <f t="shared" si="51"/>
        <v>0</v>
      </c>
      <c r="BF83" s="140">
        <f t="shared" si="52"/>
        <v>0</v>
      </c>
      <c r="BG83" s="132"/>
      <c r="BH83" s="140">
        <f t="shared" si="53"/>
        <v>0</v>
      </c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50"/>
      <c r="BT83" s="141">
        <v>20</v>
      </c>
      <c r="BU83" s="141"/>
      <c r="BV83" s="130">
        <f t="shared" si="54"/>
        <v>0</v>
      </c>
      <c r="BW83" s="132"/>
    </row>
    <row r="84" ht="14.25" customHeight="1">
      <c r="A84" s="132"/>
      <c r="B84" s="215">
        <v>46095</v>
      </c>
      <c r="C84" s="136">
        <f>16379.69-D84-0</f>
      </c>
      <c r="D84" s="134">
        <v>2086.1</v>
      </c>
      <c r="E84" s="135"/>
      <c r="F84" s="135"/>
      <c r="G84" s="98">
        <f t="shared" si="47"/>
        <v>0</v>
      </c>
      <c r="H84" s="143">
        <v>668.08</v>
      </c>
      <c r="I84" s="143"/>
      <c r="J84" s="143"/>
      <c r="K84" s="143">
        <v>3986.43</v>
      </c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877">
        <f ref="V84:V85" t="shared" si="58">SUM(H84:T84)</f>
        <v>0</v>
      </c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43"/>
      <c r="AH84" s="143"/>
      <c r="AI84" s="103">
        <f t="shared" si="48"/>
        <v>0</v>
      </c>
      <c r="AJ84" s="134">
        <v>1494.63</v>
      </c>
      <c r="AK84" s="134">
        <v>403.11</v>
      </c>
      <c r="AL84" s="136"/>
      <c r="AM84" s="105">
        <f t="shared" si="49"/>
        <v>0</v>
      </c>
      <c r="AN84" s="143"/>
      <c r="AO84" s="143"/>
      <c r="AP84" s="143"/>
      <c r="AQ84" s="143"/>
      <c r="AR84" s="146"/>
      <c r="AS84" s="621">
        <f t="shared" si="50"/>
        <v>0</v>
      </c>
      <c r="AT84" s="1554">
        <v>7721.5</v>
      </c>
      <c r="AU84" s="1546"/>
      <c r="AV84" s="1546"/>
      <c r="AW84" s="1548"/>
      <c r="AX84" s="1548"/>
      <c r="AY84" s="1548"/>
      <c r="AZ84" s="1554">
        <v>2086.1</v>
      </c>
      <c r="BA84" s="1548"/>
      <c r="BB84" s="1548"/>
      <c r="BC84" s="1548"/>
      <c r="BD84" s="1546"/>
      <c r="BE84" s="222">
        <f t="shared" si="51"/>
        <v>0</v>
      </c>
      <c r="BF84" s="140">
        <f t="shared" si="52"/>
        <v>0</v>
      </c>
      <c r="BG84" s="132"/>
      <c r="BH84" s="140">
        <f t="shared" si="53"/>
        <v>0</v>
      </c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50"/>
      <c r="BT84" s="141">
        <v>20</v>
      </c>
      <c r="BU84" s="141"/>
      <c r="BV84" s="130">
        <f t="shared" si="54"/>
        <v>0</v>
      </c>
      <c r="BW84" s="132"/>
    </row>
    <row r="85" ht="14.25" customHeight="1">
      <c r="A85" s="132"/>
      <c r="B85" s="215">
        <v>46096</v>
      </c>
      <c r="C85" s="134">
        <f>11914.90-D85-0</f>
      </c>
      <c r="D85" s="134">
        <v>1580.92</v>
      </c>
      <c r="E85" s="135"/>
      <c r="F85" s="135"/>
      <c r="G85" s="98">
        <f t="shared" si="47"/>
        <v>0</v>
      </c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877">
        <f t="shared" si="58"/>
        <v>0</v>
      </c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3"/>
      <c r="AH85" s="143"/>
      <c r="AI85" s="103">
        <f t="shared" si="48"/>
        <v>0</v>
      </c>
      <c r="AJ85" s="134">
        <v>1651.82</v>
      </c>
      <c r="AK85" s="134">
        <v>365.41</v>
      </c>
      <c r="AL85" s="136"/>
      <c r="AM85" s="105">
        <f t="shared" si="49"/>
        <v>0</v>
      </c>
      <c r="AN85" s="143"/>
      <c r="AO85" s="143"/>
      <c r="AP85" s="143"/>
      <c r="AQ85" s="143"/>
      <c r="AR85" s="146"/>
      <c r="AS85" s="621">
        <f t="shared" si="50"/>
        <v>0</v>
      </c>
      <c r="AT85" s="1554">
        <v>8316.8</v>
      </c>
      <c r="AU85" s="1546"/>
      <c r="AV85" s="1546"/>
      <c r="AW85" s="1548"/>
      <c r="AX85" s="1548"/>
      <c r="AY85" s="1548"/>
      <c r="AZ85" s="1554">
        <v>1581</v>
      </c>
      <c r="BA85" s="1548"/>
      <c r="BB85" s="1548"/>
      <c r="BC85" s="1548"/>
      <c r="BD85" s="1546"/>
      <c r="BE85" s="222">
        <f t="shared" si="51"/>
        <v>0</v>
      </c>
      <c r="BF85" s="140">
        <f t="shared" si="52"/>
        <v>0</v>
      </c>
      <c r="BG85" s="132"/>
      <c r="BH85" s="140">
        <f t="shared" si="53"/>
        <v>0</v>
      </c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30">
        <f t="shared" si="54"/>
        <v>0</v>
      </c>
      <c r="BW85" s="132"/>
    </row>
    <row r="86" ht="14.25" customHeight="1">
      <c r="A86" s="132"/>
      <c r="B86" s="215">
        <v>46097</v>
      </c>
      <c r="C86" s="136">
        <f>19973.61-D86-0</f>
      </c>
      <c r="D86" s="134">
        <v>1890.97</v>
      </c>
      <c r="E86" s="135"/>
      <c r="F86" s="135"/>
      <c r="G86" s="98">
        <f t="shared" si="47"/>
        <v>0</v>
      </c>
      <c r="H86" s="143">
        <v>237.31</v>
      </c>
      <c r="I86" s="143"/>
      <c r="J86" s="231"/>
      <c r="K86" s="143">
        <v>3036.69</v>
      </c>
      <c r="L86" s="143"/>
      <c r="M86" s="143"/>
      <c r="N86" s="143"/>
      <c r="O86" s="143"/>
      <c r="P86" s="143"/>
      <c r="Q86" s="143"/>
      <c r="R86" s="143"/>
      <c r="S86" s="143"/>
      <c r="T86" s="143"/>
      <c r="U86" s="145">
        <v>34.84</v>
      </c>
      <c r="V86" s="877">
        <f ref="V86:V88" t="shared" si="59">SUM(H86:U86)</f>
        <v>0</v>
      </c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43"/>
      <c r="AI86" s="103">
        <f t="shared" si="48"/>
        <v>0</v>
      </c>
      <c r="AJ86" s="134">
        <v>2874.09</v>
      </c>
      <c r="AK86" s="134">
        <v>537.41</v>
      </c>
      <c r="AL86" s="136"/>
      <c r="AM86" s="105">
        <f t="shared" si="49"/>
        <v>0</v>
      </c>
      <c r="AN86" s="143"/>
      <c r="AO86" s="143"/>
      <c r="AP86" s="143"/>
      <c r="AQ86" s="143"/>
      <c r="AR86" s="146"/>
      <c r="AS86" s="621">
        <f t="shared" si="50"/>
        <v>0</v>
      </c>
      <c r="AT86" s="1554">
        <v>11362.3</v>
      </c>
      <c r="AU86" s="1546"/>
      <c r="AV86" s="1546"/>
      <c r="AW86" s="1548"/>
      <c r="AX86" s="1548"/>
      <c r="AY86" s="1548"/>
      <c r="AZ86" s="1554">
        <v>1891</v>
      </c>
      <c r="BA86" s="1548"/>
      <c r="BB86" s="1548"/>
      <c r="BC86" s="1548"/>
      <c r="BD86" s="1546"/>
      <c r="BE86" s="222">
        <f t="shared" si="51"/>
        <v>0</v>
      </c>
      <c r="BF86" s="140">
        <f t="shared" si="52"/>
        <v>0</v>
      </c>
      <c r="BG86" s="132"/>
      <c r="BH86" s="140">
        <f t="shared" si="53"/>
        <v>0</v>
      </c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30">
        <f t="shared" si="54"/>
        <v>0</v>
      </c>
      <c r="BW86" s="132"/>
    </row>
    <row r="87" ht="14.25" customHeight="1">
      <c r="A87" s="132"/>
      <c r="B87" s="215">
        <v>46098</v>
      </c>
      <c r="C87" s="136">
        <f>19196.12-D87-0</f>
      </c>
      <c r="D87" s="134">
        <v>1809.78</v>
      </c>
      <c r="E87" s="135"/>
      <c r="F87" s="135"/>
      <c r="G87" s="98">
        <f t="shared" si="47"/>
        <v>0</v>
      </c>
      <c r="H87" s="143"/>
      <c r="I87" s="143"/>
      <c r="J87" s="231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5">
        <v>32.78</v>
      </c>
      <c r="V87" s="877">
        <f t="shared" si="59"/>
        <v>0</v>
      </c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03">
        <f t="shared" si="48"/>
        <v>0</v>
      </c>
      <c r="AJ87" s="134">
        <v>2839.57</v>
      </c>
      <c r="AK87" s="134">
        <v>626.77</v>
      </c>
      <c r="AL87" s="136"/>
      <c r="AM87" s="105">
        <f t="shared" si="49"/>
        <v>0</v>
      </c>
      <c r="AN87" s="143"/>
      <c r="AO87" s="143"/>
      <c r="AP87" s="143"/>
      <c r="AQ87" s="143"/>
      <c r="AR87" s="146"/>
      <c r="AS87" s="621">
        <f t="shared" si="50"/>
        <v>0</v>
      </c>
      <c r="AT87" s="1554">
        <v>13867.5</v>
      </c>
      <c r="AU87" s="1546"/>
      <c r="AV87" s="1546"/>
      <c r="AW87" s="1548"/>
      <c r="AX87" s="1548"/>
      <c r="AY87" s="1548"/>
      <c r="AZ87" s="1554">
        <v>1809.8</v>
      </c>
      <c r="BA87" s="1548"/>
      <c r="BB87" s="1548"/>
      <c r="BC87" s="1548"/>
      <c r="BD87" s="1546"/>
      <c r="BE87" s="222">
        <f t="shared" si="51"/>
        <v>0</v>
      </c>
      <c r="BF87" s="140">
        <f t="shared" si="52"/>
        <v>0</v>
      </c>
      <c r="BG87" s="132"/>
      <c r="BH87" s="140">
        <f t="shared" si="53"/>
        <v>0</v>
      </c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50"/>
      <c r="BT87" s="141">
        <v>20</v>
      </c>
      <c r="BU87" s="141"/>
      <c r="BV87" s="130">
        <f t="shared" si="54"/>
        <v>0</v>
      </c>
      <c r="BW87" s="132"/>
    </row>
    <row r="88" ht="14.25" customHeight="1">
      <c r="A88" s="132"/>
      <c r="B88" s="215">
        <v>46099</v>
      </c>
      <c r="C88" s="136">
        <f>27505.29-D88-0</f>
      </c>
      <c r="D88" s="134">
        <v>2152.96</v>
      </c>
      <c r="E88" s="135"/>
      <c r="F88" s="135"/>
      <c r="G88" s="98">
        <f t="shared" si="47"/>
        <v>0</v>
      </c>
      <c r="H88" s="143"/>
      <c r="I88" s="143"/>
      <c r="J88" s="231"/>
      <c r="K88" s="145">
        <v>2569.13</v>
      </c>
      <c r="L88" s="143"/>
      <c r="M88" s="143"/>
      <c r="N88" s="143"/>
      <c r="O88" s="143"/>
      <c r="P88" s="143"/>
      <c r="Q88" s="143"/>
      <c r="R88" s="143"/>
      <c r="S88" s="143"/>
      <c r="T88" s="143"/>
      <c r="U88" s="145">
        <v>135.83</v>
      </c>
      <c r="V88" s="877">
        <f t="shared" si="59"/>
        <v>0</v>
      </c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43"/>
      <c r="AI88" s="103">
        <f t="shared" si="48"/>
        <v>0</v>
      </c>
      <c r="AJ88" s="134">
        <v>4198.31</v>
      </c>
      <c r="AK88" s="134">
        <v>573.91</v>
      </c>
      <c r="AL88" s="136"/>
      <c r="AM88" s="105">
        <f t="shared" si="49"/>
        <v>0</v>
      </c>
      <c r="AN88" s="143"/>
      <c r="AO88" s="143"/>
      <c r="AP88" s="143"/>
      <c r="AQ88" s="143"/>
      <c r="AR88" s="146"/>
      <c r="AS88" s="621">
        <f t="shared" si="50"/>
        <v>0</v>
      </c>
      <c r="AT88" s="1554">
        <v>17875.2</v>
      </c>
      <c r="AU88" s="1546"/>
      <c r="AV88" s="1546"/>
      <c r="AW88" s="1548"/>
      <c r="AX88" s="1548"/>
      <c r="AY88" s="1548"/>
      <c r="AZ88" s="1554">
        <v>2153</v>
      </c>
      <c r="BA88" s="1548"/>
      <c r="BB88" s="1548"/>
      <c r="BC88" s="1548"/>
      <c r="BD88" s="1546"/>
      <c r="BE88" s="222">
        <f t="shared" si="51"/>
        <v>0</v>
      </c>
      <c r="BF88" s="140">
        <f t="shared" si="52"/>
        <v>0</v>
      </c>
      <c r="BG88" s="132"/>
      <c r="BH88" s="140">
        <f t="shared" si="53"/>
        <v>0</v>
      </c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30">
        <f t="shared" si="54"/>
        <v>0</v>
      </c>
      <c r="BW88" s="132"/>
    </row>
    <row r="89" ht="14.25" customHeight="1">
      <c r="A89" s="132"/>
      <c r="B89" s="215">
        <v>46100</v>
      </c>
      <c r="C89" s="136">
        <f>24810.31-D89-0</f>
      </c>
      <c r="D89" s="134">
        <v>1768.14</v>
      </c>
      <c r="E89" s="135"/>
      <c r="F89" s="135"/>
      <c r="G89" s="98">
        <f t="shared" si="47"/>
        <v>0</v>
      </c>
      <c r="H89" s="143"/>
      <c r="I89" s="143"/>
      <c r="J89" s="143"/>
      <c r="K89" s="145">
        <v>2091.19</v>
      </c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877">
        <f>SUM(H89:T89)</f>
        <v>0</v>
      </c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03">
        <f t="shared" si="48"/>
        <v>0</v>
      </c>
      <c r="AJ89" s="134">
        <v>3666.55</v>
      </c>
      <c r="AK89" s="134">
        <v>391.16</v>
      </c>
      <c r="AL89" s="136"/>
      <c r="AM89" s="105">
        <f t="shared" si="49"/>
        <v>0</v>
      </c>
      <c r="AN89" s="143"/>
      <c r="AO89" s="143"/>
      <c r="AP89" s="143"/>
      <c r="AQ89" s="143"/>
      <c r="AR89" s="146"/>
      <c r="AS89" s="621">
        <f t="shared" si="50"/>
        <v>0</v>
      </c>
      <c r="AT89" s="1554">
        <v>16873.3</v>
      </c>
      <c r="AU89" s="1546"/>
      <c r="AV89" s="1546"/>
      <c r="AW89" s="1548"/>
      <c r="AX89" s="1548"/>
      <c r="AY89" s="1548"/>
      <c r="AZ89" s="1554">
        <v>1768.2</v>
      </c>
      <c r="BA89" s="1548"/>
      <c r="BB89" s="1548"/>
      <c r="BC89" s="1548"/>
      <c r="BD89" s="1546"/>
      <c r="BE89" s="222">
        <f t="shared" si="51"/>
        <v>0</v>
      </c>
      <c r="BF89" s="140">
        <f t="shared" si="52"/>
        <v>0</v>
      </c>
      <c r="BG89" s="132"/>
      <c r="BH89" s="140">
        <f t="shared" si="53"/>
        <v>0</v>
      </c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50"/>
      <c r="BT89" s="141">
        <v>20</v>
      </c>
      <c r="BU89" s="141"/>
      <c r="BV89" s="130">
        <f t="shared" si="54"/>
        <v>0</v>
      </c>
      <c r="BW89" s="132"/>
    </row>
    <row r="90" ht="14.25" customHeight="1">
      <c r="A90" s="132"/>
      <c r="B90" s="215">
        <v>46101</v>
      </c>
      <c r="C90" s="136">
        <f>18985.54-D90-0</f>
      </c>
      <c r="D90" s="134">
        <v>1649.82</v>
      </c>
      <c r="E90" s="135"/>
      <c r="F90" s="135"/>
      <c r="G90" s="98">
        <f t="shared" si="47"/>
        <v>0</v>
      </c>
      <c r="H90" s="145">
        <v>490.01</v>
      </c>
      <c r="I90" s="143"/>
      <c r="J90" s="143"/>
      <c r="K90" s="143">
        <v>969.18</v>
      </c>
      <c r="L90" s="143"/>
      <c r="M90" s="143"/>
      <c r="N90" s="143"/>
      <c r="O90" s="143"/>
      <c r="P90" s="143"/>
      <c r="Q90" s="143"/>
      <c r="R90" s="143"/>
      <c r="S90" s="143"/>
      <c r="T90" s="143"/>
      <c r="U90" s="145">
        <v>410.03</v>
      </c>
      <c r="V90" s="877">
        <f>SUM(H90:U90)</f>
        <v>0</v>
      </c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03">
        <f t="shared" si="48"/>
        <v>0</v>
      </c>
      <c r="AJ90" s="134">
        <v>2329.64</v>
      </c>
      <c r="AK90" s="134">
        <v>441</v>
      </c>
      <c r="AL90" s="136"/>
      <c r="AM90" s="105">
        <f t="shared" si="49"/>
        <v>0</v>
      </c>
      <c r="AN90" s="143"/>
      <c r="AO90" s="143"/>
      <c r="AP90" s="143"/>
      <c r="AQ90" s="143"/>
      <c r="AR90" s="146"/>
      <c r="AS90" s="621">
        <f t="shared" si="50"/>
        <v>0</v>
      </c>
      <c r="AT90" s="1554">
        <v>12695.8</v>
      </c>
      <c r="AU90" s="1546"/>
      <c r="AV90" s="1546"/>
      <c r="AW90" s="1548"/>
      <c r="AX90" s="1548"/>
      <c r="AY90" s="1548"/>
      <c r="AZ90" s="1554">
        <v>1649.9</v>
      </c>
      <c r="BA90" s="1548"/>
      <c r="BB90" s="1548"/>
      <c r="BC90" s="1548"/>
      <c r="BD90" s="1546"/>
      <c r="BE90" s="222">
        <f t="shared" si="51"/>
        <v>0</v>
      </c>
      <c r="BF90" s="140">
        <f t="shared" si="52"/>
        <v>0</v>
      </c>
      <c r="BG90" s="132"/>
      <c r="BH90" s="140">
        <f t="shared" si="53"/>
        <v>0</v>
      </c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30">
        <f t="shared" si="54"/>
        <v>0</v>
      </c>
      <c r="BW90" s="132"/>
    </row>
    <row r="91" ht="14.25" customHeight="1">
      <c r="A91" s="132"/>
      <c r="B91" s="215">
        <v>46102</v>
      </c>
      <c r="C91" s="136">
        <f>22869.82-D91-0</f>
      </c>
      <c r="D91" s="134">
        <v>1615.43</v>
      </c>
      <c r="E91" s="135"/>
      <c r="F91" s="135"/>
      <c r="G91" s="98">
        <f t="shared" si="47"/>
        <v>0</v>
      </c>
      <c r="H91" s="143"/>
      <c r="I91" s="143"/>
      <c r="J91" s="143"/>
      <c r="K91" s="145">
        <v>1320.52</v>
      </c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877">
        <f ref="V91:V92" t="shared" si="60">SUM(H91:T91)</f>
        <v>0</v>
      </c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03">
        <f t="shared" si="48"/>
        <v>0</v>
      </c>
      <c r="AJ91" s="134">
        <v>4345.75</v>
      </c>
      <c r="AK91" s="134">
        <v>360.33</v>
      </c>
      <c r="AL91" s="136"/>
      <c r="AM91" s="105">
        <f t="shared" si="49"/>
        <v>0</v>
      </c>
      <c r="AN91" s="143"/>
      <c r="AO91" s="143"/>
      <c r="AP91" s="143"/>
      <c r="AQ91" s="143"/>
      <c r="AR91" s="146"/>
      <c r="AS91" s="621">
        <f t="shared" si="50"/>
        <v>0</v>
      </c>
      <c r="AT91" s="1554">
        <v>15207.8</v>
      </c>
      <c r="AU91" s="1546"/>
      <c r="AV91" s="1546"/>
      <c r="AW91" s="1548"/>
      <c r="AX91" s="1548"/>
      <c r="AY91" s="1548"/>
      <c r="AZ91" s="1554">
        <v>1615.5</v>
      </c>
      <c r="BA91" s="1548"/>
      <c r="BB91" s="1548"/>
      <c r="BC91" s="1548"/>
      <c r="BD91" s="1546"/>
      <c r="BE91" s="222">
        <f t="shared" si="51"/>
        <v>0</v>
      </c>
      <c r="BF91" s="140">
        <f t="shared" si="52"/>
        <v>0</v>
      </c>
      <c r="BG91" s="132"/>
      <c r="BH91" s="140">
        <f t="shared" si="53"/>
        <v>0</v>
      </c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50"/>
      <c r="BT91" s="141">
        <v>20</v>
      </c>
      <c r="BU91" s="141"/>
      <c r="BV91" s="130">
        <f t="shared" si="54"/>
        <v>0</v>
      </c>
      <c r="BW91" s="132"/>
    </row>
    <row r="92" ht="14.25" customHeight="1">
      <c r="A92" s="132"/>
      <c r="B92" s="215">
        <v>46103</v>
      </c>
      <c r="C92" s="136">
        <f>19962.04-D92-0</f>
      </c>
      <c r="D92" s="134">
        <v>4787.74</v>
      </c>
      <c r="E92" s="135"/>
      <c r="F92" s="135"/>
      <c r="G92" s="98">
        <f t="shared" si="47"/>
        <v>0</v>
      </c>
      <c r="H92" s="143"/>
      <c r="I92" s="143"/>
      <c r="J92" s="143"/>
      <c r="K92" s="145">
        <v>306.06</v>
      </c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877">
        <f t="shared" si="60"/>
        <v>0</v>
      </c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03">
        <f t="shared" si="48"/>
        <v>0</v>
      </c>
      <c r="AJ92" s="134">
        <v>2073.13</v>
      </c>
      <c r="AK92" s="134">
        <v>793</v>
      </c>
      <c r="AL92" s="136"/>
      <c r="AM92" s="105">
        <f t="shared" si="49"/>
        <v>0</v>
      </c>
      <c r="AN92" s="143"/>
      <c r="AO92" s="143"/>
      <c r="AP92" s="143"/>
      <c r="AQ92" s="143"/>
      <c r="AR92" s="146"/>
      <c r="AS92" s="621">
        <f t="shared" si="50"/>
        <v>0</v>
      </c>
      <c r="AT92" s="1554">
        <v>12002.1</v>
      </c>
      <c r="AU92" s="1546"/>
      <c r="AV92" s="1546"/>
      <c r="AW92" s="1548"/>
      <c r="AX92" s="1548"/>
      <c r="AY92" s="1548"/>
      <c r="AZ92" s="1554">
        <v>4787.8</v>
      </c>
      <c r="BA92" s="1548"/>
      <c r="BB92" s="1548"/>
      <c r="BC92" s="1548"/>
      <c r="BD92" s="1546"/>
      <c r="BE92" s="222">
        <f t="shared" si="51"/>
        <v>0</v>
      </c>
      <c r="BF92" s="140">
        <f t="shared" si="52"/>
        <v>0</v>
      </c>
      <c r="BG92" s="132"/>
      <c r="BH92" s="140">
        <f t="shared" si="53"/>
        <v>0</v>
      </c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30">
        <f t="shared" si="54"/>
        <v>0</v>
      </c>
      <c r="BW92" s="132"/>
    </row>
    <row r="93" ht="14.25" customHeight="1">
      <c r="A93" s="132"/>
      <c r="B93" s="215">
        <v>46104</v>
      </c>
      <c r="C93" s="136">
        <f>24489.44-D93-0</f>
      </c>
      <c r="D93" s="134">
        <v>4468.78</v>
      </c>
      <c r="E93" s="135"/>
      <c r="F93" s="135"/>
      <c r="G93" s="98">
        <f t="shared" si="47"/>
        <v>0</v>
      </c>
      <c r="H93" s="145">
        <v>34.61</v>
      </c>
      <c r="I93" s="143"/>
      <c r="J93" s="143"/>
      <c r="K93" s="143">
        <v>2970.52</v>
      </c>
      <c r="L93" s="143"/>
      <c r="M93" s="143"/>
      <c r="N93" s="143"/>
      <c r="O93" s="143"/>
      <c r="P93" s="143"/>
      <c r="Q93" s="143"/>
      <c r="R93" s="143"/>
      <c r="S93" s="143"/>
      <c r="T93" s="143"/>
      <c r="U93" s="145">
        <v>82.28</v>
      </c>
      <c r="V93" s="877">
        <f>SUM(H93:U93)</f>
        <v>0</v>
      </c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03">
        <f t="shared" si="48"/>
        <v>0</v>
      </c>
      <c r="AJ93" s="134">
        <v>4085.39</v>
      </c>
      <c r="AK93" s="134">
        <v>1042.78</v>
      </c>
      <c r="AL93" s="136"/>
      <c r="AM93" s="105">
        <f t="shared" si="49"/>
        <v>0</v>
      </c>
      <c r="AN93" s="143"/>
      <c r="AO93" s="143"/>
      <c r="AP93" s="143"/>
      <c r="AQ93" s="143"/>
      <c r="AR93" s="146"/>
      <c r="AS93" s="621">
        <f t="shared" si="50"/>
        <v>0</v>
      </c>
      <c r="AT93" s="1554">
        <v>11785.1</v>
      </c>
      <c r="AU93" s="1546"/>
      <c r="AV93" s="1546"/>
      <c r="AW93" s="1548"/>
      <c r="AX93" s="1548"/>
      <c r="AY93" s="1548"/>
      <c r="AZ93" s="1554">
        <v>4468.8</v>
      </c>
      <c r="BA93" s="1548"/>
      <c r="BB93" s="1548"/>
      <c r="BC93" s="1548"/>
      <c r="BD93" s="1546"/>
      <c r="BE93" s="222">
        <f t="shared" si="51"/>
        <v>0</v>
      </c>
      <c r="BF93" s="140">
        <f t="shared" si="52"/>
        <v>0</v>
      </c>
      <c r="BG93" s="132"/>
      <c r="BH93" s="140">
        <f t="shared" si="53"/>
        <v>0</v>
      </c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50"/>
      <c r="BT93" s="141">
        <v>20</v>
      </c>
      <c r="BU93" s="141"/>
      <c r="BV93" s="130">
        <f t="shared" si="54"/>
        <v>0</v>
      </c>
      <c r="BW93" s="132"/>
    </row>
    <row r="94" ht="14.25" customHeight="1">
      <c r="A94" s="132"/>
      <c r="B94" s="215">
        <v>46105</v>
      </c>
      <c r="C94" s="136">
        <f>29206.28-D94-0</f>
      </c>
      <c r="D94" s="134">
        <v>1123</v>
      </c>
      <c r="E94" s="135"/>
      <c r="F94" s="135"/>
      <c r="G94" s="98">
        <f t="shared" si="47"/>
        <v>0</v>
      </c>
      <c r="H94" s="145">
        <v>587.46</v>
      </c>
      <c r="I94" s="143"/>
      <c r="J94" s="143"/>
      <c r="K94" s="145">
        <v>979.31</v>
      </c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877">
        <f>SUM(H94:T94)</f>
        <v>0</v>
      </c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43"/>
      <c r="AI94" s="103">
        <f t="shared" si="48"/>
        <v>0</v>
      </c>
      <c r="AJ94" s="134">
        <v>10012.72</v>
      </c>
      <c r="AK94" s="134">
        <v>277</v>
      </c>
      <c r="AL94" s="136"/>
      <c r="AM94" s="105">
        <f t="shared" si="49"/>
        <v>0</v>
      </c>
      <c r="AN94" s="143"/>
      <c r="AO94" s="143"/>
      <c r="AP94" s="143"/>
      <c r="AQ94" s="143"/>
      <c r="AR94" s="146"/>
      <c r="AS94" s="621">
        <f t="shared" si="50"/>
        <v>0</v>
      </c>
      <c r="AT94" s="1554">
        <v>16226.8</v>
      </c>
      <c r="AU94" s="1546"/>
      <c r="AV94" s="1546"/>
      <c r="AW94" s="1548"/>
      <c r="AX94" s="1548"/>
      <c r="AY94" s="1548"/>
      <c r="AZ94" s="1554">
        <v>1123</v>
      </c>
      <c r="BA94" s="1548"/>
      <c r="BB94" s="1548"/>
      <c r="BC94" s="1548"/>
      <c r="BD94" s="1546"/>
      <c r="BE94" s="222">
        <f t="shared" si="51"/>
        <v>0</v>
      </c>
      <c r="BF94" s="140">
        <f t="shared" si="52"/>
        <v>0</v>
      </c>
      <c r="BG94" s="132"/>
      <c r="BH94" s="140">
        <f t="shared" si="53"/>
        <v>0</v>
      </c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30">
        <f t="shared" si="54"/>
        <v>0</v>
      </c>
      <c r="BW94" s="132"/>
    </row>
    <row r="95" ht="14.25" customHeight="1">
      <c r="A95" s="132"/>
      <c r="B95" s="215">
        <v>46106</v>
      </c>
      <c r="C95" s="136">
        <f>27286.25-D95-0</f>
      </c>
      <c r="D95" s="134">
        <v>867.11</v>
      </c>
      <c r="E95" s="135"/>
      <c r="F95" s="135"/>
      <c r="G95" s="98">
        <f t="shared" si="47"/>
        <v>0</v>
      </c>
      <c r="H95" s="143"/>
      <c r="I95" s="143"/>
      <c r="J95" s="143"/>
      <c r="K95" s="145">
        <v>1106.04</v>
      </c>
      <c r="L95" s="143"/>
      <c r="M95" s="143"/>
      <c r="N95" s="143"/>
      <c r="O95" s="143"/>
      <c r="P95" s="143"/>
      <c r="Q95" s="143"/>
      <c r="R95" s="143"/>
      <c r="S95" s="143"/>
      <c r="T95" s="143"/>
      <c r="U95" s="145">
        <v>131.26</v>
      </c>
      <c r="V95" s="877">
        <f>SUM(H95:U95)</f>
        <v>0</v>
      </c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43"/>
      <c r="AH95" s="143"/>
      <c r="AI95" s="103">
        <f t="shared" si="48"/>
        <v>0</v>
      </c>
      <c r="AJ95" s="134">
        <v>6684.61</v>
      </c>
      <c r="AK95" s="134">
        <v>101.05</v>
      </c>
      <c r="AL95" s="136"/>
      <c r="AM95" s="105">
        <f t="shared" si="49"/>
        <v>0</v>
      </c>
      <c r="AN95" s="143"/>
      <c r="AO95" s="143"/>
      <c r="AP95" s="143"/>
      <c r="AQ95" s="143"/>
      <c r="AR95" s="146"/>
      <c r="AS95" s="621">
        <f t="shared" si="50"/>
        <v>0</v>
      </c>
      <c r="AT95" s="1554">
        <v>18376.2</v>
      </c>
      <c r="AU95" s="1546"/>
      <c r="AV95" s="1546"/>
      <c r="AW95" s="1548"/>
      <c r="AX95" s="1548"/>
      <c r="AY95" s="1548"/>
      <c r="AZ95" s="1554">
        <v>867.2</v>
      </c>
      <c r="BA95" s="1548"/>
      <c r="BB95" s="1548"/>
      <c r="BC95" s="1548"/>
      <c r="BD95" s="1546"/>
      <c r="BE95" s="222">
        <f t="shared" si="51"/>
        <v>0</v>
      </c>
      <c r="BF95" s="140">
        <f t="shared" si="52"/>
        <v>0</v>
      </c>
      <c r="BG95" s="132"/>
      <c r="BH95" s="140">
        <f t="shared" si="53"/>
        <v>0</v>
      </c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50"/>
      <c r="BT95" s="141">
        <v>20</v>
      </c>
      <c r="BU95" s="141"/>
      <c r="BV95" s="130">
        <f t="shared" si="54"/>
        <v>0</v>
      </c>
      <c r="BW95" s="132"/>
    </row>
    <row r="96" ht="14.25" customHeight="1">
      <c r="A96" s="132"/>
      <c r="B96" s="215">
        <v>46107</v>
      </c>
      <c r="C96" s="136">
        <f>34312.86-D96-0</f>
      </c>
      <c r="D96" s="134">
        <v>1335.41</v>
      </c>
      <c r="E96" s="135"/>
      <c r="F96" s="135"/>
      <c r="G96" s="98">
        <f t="shared" si="47"/>
        <v>0</v>
      </c>
      <c r="H96" s="145">
        <v>591.33</v>
      </c>
      <c r="I96" s="143"/>
      <c r="J96" s="143"/>
      <c r="K96" s="143">
        <v>3298.53</v>
      </c>
      <c r="L96" s="143"/>
      <c r="M96" s="143"/>
      <c r="N96" s="99"/>
      <c r="O96" s="143"/>
      <c r="P96" s="143"/>
      <c r="Q96" s="143"/>
      <c r="R96" s="143"/>
      <c r="S96" s="143"/>
      <c r="T96" s="143"/>
      <c r="U96" s="143"/>
      <c r="V96" s="877">
        <f>SUM(H96:T96)</f>
        <v>0</v>
      </c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03">
        <f t="shared" si="48"/>
        <v>0</v>
      </c>
      <c r="AJ96" s="134">
        <v>4171.79</v>
      </c>
      <c r="AK96" s="134">
        <v>334.12</v>
      </c>
      <c r="AL96" s="136"/>
      <c r="AM96" s="105">
        <f t="shared" si="49"/>
        <v>0</v>
      </c>
      <c r="AN96" s="143"/>
      <c r="AO96" s="143"/>
      <c r="AP96" s="143"/>
      <c r="AQ96" s="143"/>
      <c r="AR96" s="146"/>
      <c r="AS96" s="621">
        <f t="shared" si="50"/>
        <v>0</v>
      </c>
      <c r="AT96" s="1554">
        <v>24581.8</v>
      </c>
      <c r="AU96" s="1546"/>
      <c r="AV96" s="1546"/>
      <c r="AW96" s="1548"/>
      <c r="AX96" s="1548"/>
      <c r="AY96" s="1548"/>
      <c r="AZ96" s="1554">
        <v>1335.5</v>
      </c>
      <c r="BA96" s="1548"/>
      <c r="BB96" s="1548"/>
      <c r="BC96" s="1548"/>
      <c r="BD96" s="1546"/>
      <c r="BE96" s="222">
        <f t="shared" si="51"/>
        <v>0</v>
      </c>
      <c r="BF96" s="140">
        <f t="shared" si="52"/>
        <v>0</v>
      </c>
      <c r="BG96" s="132"/>
      <c r="BH96" s="140">
        <f t="shared" si="53"/>
        <v>0</v>
      </c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30">
        <f t="shared" si="54"/>
        <v>0</v>
      </c>
      <c r="BW96" s="132"/>
    </row>
    <row r="97" ht="14.25" customHeight="1">
      <c r="A97" s="132"/>
      <c r="B97" s="215">
        <v>46108</v>
      </c>
      <c r="C97" s="136">
        <f>28579.04-D97-0</f>
      </c>
      <c r="D97" s="134">
        <v>1547.57</v>
      </c>
      <c r="E97" s="135"/>
      <c r="F97" s="135"/>
      <c r="G97" s="98">
        <f t="shared" si="47"/>
        <v>0</v>
      </c>
      <c r="H97" s="143"/>
      <c r="I97" s="143"/>
      <c r="J97" s="143"/>
      <c r="K97" s="145">
        <v>2197.6</v>
      </c>
      <c r="L97" s="143"/>
      <c r="M97" s="143"/>
      <c r="N97" s="143"/>
      <c r="O97" s="143"/>
      <c r="P97" s="143"/>
      <c r="Q97" s="143"/>
      <c r="R97" s="143"/>
      <c r="S97" s="143"/>
      <c r="T97" s="143"/>
      <c r="U97" s="145">
        <v>39.85</v>
      </c>
      <c r="V97" s="877">
        <f ref="V97:V98" t="shared" si="61">SUM(H97:U97)</f>
        <v>0</v>
      </c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03">
        <f t="shared" si="48"/>
        <v>0</v>
      </c>
      <c r="AJ97" s="134">
        <v>4308.74</v>
      </c>
      <c r="AK97" s="134">
        <v>511.44</v>
      </c>
      <c r="AL97" s="136"/>
      <c r="AM97" s="105">
        <f t="shared" si="49"/>
        <v>0</v>
      </c>
      <c r="AN97" s="143"/>
      <c r="AO97" s="143"/>
      <c r="AP97" s="143"/>
      <c r="AQ97" s="143"/>
      <c r="AR97" s="146"/>
      <c r="AS97" s="621">
        <f t="shared" si="50"/>
        <v>0</v>
      </c>
      <c r="AT97" s="1554">
        <v>19973.9</v>
      </c>
      <c r="AU97" s="1546"/>
      <c r="AV97" s="1546"/>
      <c r="AW97" s="1548"/>
      <c r="AX97" s="1548"/>
      <c r="AY97" s="1548"/>
      <c r="AZ97" s="1554">
        <v>1547.6</v>
      </c>
      <c r="BA97" s="1548"/>
      <c r="BB97" s="1548"/>
      <c r="BC97" s="1548"/>
      <c r="BD97" s="1546"/>
      <c r="BE97" s="222">
        <f t="shared" si="51"/>
        <v>0</v>
      </c>
      <c r="BF97" s="140">
        <f t="shared" si="52"/>
        <v>0</v>
      </c>
      <c r="BG97" s="132"/>
      <c r="BH97" s="140">
        <f t="shared" si="53"/>
        <v>0</v>
      </c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30">
        <f t="shared" si="54"/>
        <v>0</v>
      </c>
      <c r="BW97" s="132"/>
    </row>
    <row r="98" ht="14.25" customHeight="1">
      <c r="A98" s="132"/>
      <c r="B98" s="215">
        <v>46109</v>
      </c>
      <c r="C98" s="136">
        <f>20651.66-D98-0</f>
      </c>
      <c r="D98" s="134">
        <v>1311.17</v>
      </c>
      <c r="E98" s="135"/>
      <c r="F98" s="135"/>
      <c r="G98" s="98">
        <f t="shared" si="47"/>
        <v>0</v>
      </c>
      <c r="H98" s="143"/>
      <c r="I98" s="143"/>
      <c r="J98" s="143"/>
      <c r="K98" s="143">
        <v>1643.15</v>
      </c>
      <c r="L98" s="143"/>
      <c r="M98" s="143"/>
      <c r="N98" s="143"/>
      <c r="O98" s="143"/>
      <c r="P98" s="143"/>
      <c r="Q98" s="143"/>
      <c r="R98" s="143"/>
      <c r="S98" s="143"/>
      <c r="T98" s="143"/>
      <c r="U98" s="145">
        <v>135.15</v>
      </c>
      <c r="V98" s="877">
        <f t="shared" si="61"/>
        <v>0</v>
      </c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03">
        <f t="shared" si="48"/>
        <v>0</v>
      </c>
      <c r="AJ98" s="134">
        <v>2518.06</v>
      </c>
      <c r="AK98" s="134">
        <v>407</v>
      </c>
      <c r="AL98" s="136"/>
      <c r="AM98" s="105">
        <f t="shared" si="49"/>
        <v>0</v>
      </c>
      <c r="AN98" s="143"/>
      <c r="AO98" s="143"/>
      <c r="AP98" s="143"/>
      <c r="AQ98" s="143"/>
      <c r="AR98" s="146"/>
      <c r="AS98" s="621">
        <f t="shared" si="50"/>
        <v>0</v>
      </c>
      <c r="AT98" s="1554">
        <v>14617.1</v>
      </c>
      <c r="AU98" s="1546"/>
      <c r="AV98" s="1546"/>
      <c r="AW98" s="1548"/>
      <c r="AX98" s="1548"/>
      <c r="AY98" s="1548"/>
      <c r="AZ98" s="1554">
        <v>1311.2</v>
      </c>
      <c r="BA98" s="1548"/>
      <c r="BB98" s="1548"/>
      <c r="BC98" s="1548"/>
      <c r="BD98" s="1546"/>
      <c r="BE98" s="222">
        <f t="shared" si="51"/>
        <v>0</v>
      </c>
      <c r="BF98" s="140">
        <f t="shared" si="52"/>
        <v>0</v>
      </c>
      <c r="BG98" s="132"/>
      <c r="BH98" s="140">
        <f t="shared" si="53"/>
        <v>0</v>
      </c>
      <c r="BI98" s="141"/>
      <c r="BJ98" s="141"/>
      <c r="BK98" s="141"/>
      <c r="BL98" s="141"/>
      <c r="BM98" s="141"/>
      <c r="BN98" s="141"/>
      <c r="BO98" s="141"/>
      <c r="BP98" s="141"/>
      <c r="BQ98" s="141"/>
      <c r="BR98" s="141"/>
      <c r="BS98" s="150"/>
      <c r="BT98" s="141">
        <v>20</v>
      </c>
      <c r="BU98" s="141"/>
      <c r="BV98" s="130">
        <f t="shared" si="54"/>
        <v>0</v>
      </c>
      <c r="BW98" s="132"/>
    </row>
    <row r="99" ht="14.25" customHeight="1">
      <c r="A99" s="132"/>
      <c r="B99" s="215">
        <v>46110</v>
      </c>
      <c r="C99" s="133">
        <f>19821.45-D99-0</f>
      </c>
      <c r="D99" s="134">
        <v>1540.74</v>
      </c>
      <c r="E99" s="135"/>
      <c r="F99" s="135"/>
      <c r="G99" s="98">
        <f t="shared" si="47"/>
        <v>0</v>
      </c>
      <c r="H99" s="143"/>
      <c r="I99" s="143"/>
      <c r="J99" s="143"/>
      <c r="K99" s="145">
        <v>1144.9</v>
      </c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877">
        <f>SUM(H99:T99)</f>
        <v>0</v>
      </c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03">
        <f t="shared" si="48"/>
        <v>0</v>
      </c>
      <c r="AJ99" s="134">
        <v>2615.02</v>
      </c>
      <c r="AK99" s="134">
        <v>381.93</v>
      </c>
      <c r="AL99" s="136"/>
      <c r="AM99" s="105">
        <f t="shared" si="49"/>
        <v>0</v>
      </c>
      <c r="AN99" s="143"/>
      <c r="AO99" s="143"/>
      <c r="AP99" s="143"/>
      <c r="AQ99" s="143"/>
      <c r="AR99" s="146"/>
      <c r="AS99" s="621">
        <f t="shared" si="50"/>
        <v>0</v>
      </c>
      <c r="AT99" s="1554">
        <v>14138.9</v>
      </c>
      <c r="AU99" s="1546"/>
      <c r="AV99" s="1546"/>
      <c r="AW99" s="1548"/>
      <c r="AX99" s="1548"/>
      <c r="AY99" s="1548"/>
      <c r="AZ99" s="1554">
        <v>1540.8</v>
      </c>
      <c r="BA99" s="1548"/>
      <c r="BB99" s="1548"/>
      <c r="BC99" s="1548"/>
      <c r="BD99" s="1546"/>
      <c r="BE99" s="222">
        <f t="shared" si="51"/>
        <v>0</v>
      </c>
      <c r="BF99" s="140">
        <f t="shared" si="52"/>
        <v>0</v>
      </c>
      <c r="BG99" s="132"/>
      <c r="BH99" s="140">
        <f t="shared" si="53"/>
        <v>0</v>
      </c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30">
        <f t="shared" si="54"/>
        <v>0</v>
      </c>
      <c r="BW99" s="132"/>
    </row>
    <row r="100" ht="14.25" customHeight="1">
      <c r="A100" s="132"/>
      <c r="B100" s="215">
        <v>46111</v>
      </c>
      <c r="C100" s="133">
        <f>24402.36-D100-0</f>
      </c>
      <c r="D100" s="134">
        <v>1060.7</v>
      </c>
      <c r="E100" s="135"/>
      <c r="F100" s="135"/>
      <c r="G100" s="98">
        <f t="shared" si="47"/>
        <v>0</v>
      </c>
      <c r="H100" s="145">
        <v>220</v>
      </c>
      <c r="I100" s="143"/>
      <c r="J100" s="143"/>
      <c r="K100" s="145">
        <v>1095.48</v>
      </c>
      <c r="L100" s="143"/>
      <c r="M100" s="143"/>
      <c r="N100" s="143"/>
      <c r="O100" s="143"/>
      <c r="P100" s="143"/>
      <c r="Q100" s="143"/>
      <c r="R100" s="143"/>
      <c r="S100" s="143"/>
      <c r="T100" s="143"/>
      <c r="U100" s="145">
        <v>43.11</v>
      </c>
      <c r="V100" s="877">
        <f ref="V100:V101" t="shared" si="62">SUM(H100:U100)</f>
        <v>0</v>
      </c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03">
        <f t="shared" si="48"/>
        <v>0</v>
      </c>
      <c r="AJ100" s="134">
        <v>2956.16</v>
      </c>
      <c r="AK100" s="134">
        <v>293.91</v>
      </c>
      <c r="AL100" s="136"/>
      <c r="AM100" s="105">
        <f t="shared" si="49"/>
        <v>0</v>
      </c>
      <c r="AN100" s="143"/>
      <c r="AO100" s="143"/>
      <c r="AP100" s="143"/>
      <c r="AQ100" s="143"/>
      <c r="AR100" s="146"/>
      <c r="AS100" s="621">
        <f t="shared" si="50"/>
        <v>0</v>
      </c>
      <c r="AT100" s="1554">
        <v>18693.1</v>
      </c>
      <c r="AU100" s="1546"/>
      <c r="AV100" s="1546"/>
      <c r="AW100" s="1548"/>
      <c r="AX100" s="1548"/>
      <c r="AY100" s="1548"/>
      <c r="AZ100" s="1554">
        <v>1060.7</v>
      </c>
      <c r="BA100" s="1548"/>
      <c r="BB100" s="1548"/>
      <c r="BC100" s="1548"/>
      <c r="BD100" s="1546"/>
      <c r="BE100" s="222">
        <f t="shared" si="51"/>
        <v>0</v>
      </c>
      <c r="BF100" s="140">
        <f t="shared" si="52"/>
        <v>0</v>
      </c>
      <c r="BG100" s="132"/>
      <c r="BH100" s="140">
        <f t="shared" si="53"/>
        <v>0</v>
      </c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41"/>
      <c r="BS100" s="150"/>
      <c r="BT100" s="141">
        <v>40</v>
      </c>
      <c r="BU100" s="141"/>
      <c r="BV100" s="130">
        <f t="shared" si="54"/>
        <v>0</v>
      </c>
      <c r="BW100" s="132"/>
    </row>
    <row r="101" ht="14.25" customHeight="1">
      <c r="A101" s="132"/>
      <c r="B101" s="215">
        <v>46112</v>
      </c>
      <c r="C101" s="153">
        <f>32440.62-D101-0</f>
      </c>
      <c r="D101" s="154">
        <v>1495.56</v>
      </c>
      <c r="E101" s="156"/>
      <c r="F101" s="156"/>
      <c r="G101" s="98">
        <f t="shared" si="47"/>
        <v>0</v>
      </c>
      <c r="H101" s="158">
        <v>228.16</v>
      </c>
      <c r="I101" s="157"/>
      <c r="J101" s="157"/>
      <c r="K101" s="157">
        <v>3577.12</v>
      </c>
      <c r="L101" s="157"/>
      <c r="M101" s="157"/>
      <c r="N101" s="157"/>
      <c r="O101" s="157"/>
      <c r="P101" s="157"/>
      <c r="Q101" s="157"/>
      <c r="R101" s="157"/>
      <c r="S101" s="157"/>
      <c r="T101" s="157"/>
      <c r="U101" s="158">
        <v>146.79</v>
      </c>
      <c r="V101" s="877">
        <f t="shared" si="62"/>
        <v>0</v>
      </c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57"/>
      <c r="AI101" s="103">
        <f t="shared" si="48"/>
        <v>0</v>
      </c>
      <c r="AJ101" s="154">
        <v>7858.89</v>
      </c>
      <c r="AK101" s="154">
        <v>332.93</v>
      </c>
      <c r="AL101" s="159"/>
      <c r="AM101" s="105">
        <f t="shared" si="49"/>
        <v>0</v>
      </c>
      <c r="AN101" s="157"/>
      <c r="AO101" s="157"/>
      <c r="AP101" s="157"/>
      <c r="AQ101" s="157"/>
      <c r="AR101" s="160"/>
      <c r="AS101" s="621">
        <f t="shared" si="50"/>
        <v>0</v>
      </c>
      <c r="AT101" s="1642">
        <v>18801.2</v>
      </c>
      <c r="AU101" s="1557"/>
      <c r="AV101" s="1557"/>
      <c r="AW101" s="1548"/>
      <c r="AX101" s="1548"/>
      <c r="AY101" s="1548"/>
      <c r="AZ101" s="1642">
        <v>1495.6</v>
      </c>
      <c r="BA101" s="1548"/>
      <c r="BB101" s="1548"/>
      <c r="BC101" s="1548"/>
      <c r="BD101" s="1546"/>
      <c r="BE101" s="222">
        <f t="shared" si="51"/>
        <v>0</v>
      </c>
      <c r="BF101" s="162">
        <f t="shared" si="52"/>
        <v>0</v>
      </c>
      <c r="BG101" s="132"/>
      <c r="BH101" s="162">
        <f t="shared" si="53"/>
        <v>0</v>
      </c>
      <c r="BI101" s="163"/>
      <c r="BJ101" s="163"/>
      <c r="BK101" s="163"/>
      <c r="BL101" s="163"/>
      <c r="BM101" s="163"/>
      <c r="BN101" s="163"/>
      <c r="BO101" s="163"/>
      <c r="BP101" s="163"/>
      <c r="BQ101" s="163"/>
      <c r="BR101" s="141"/>
      <c r="BS101" s="163"/>
      <c r="BT101" s="163"/>
      <c r="BU101" s="163"/>
      <c r="BV101" s="164">
        <f t="shared" si="54"/>
        <v>0</v>
      </c>
      <c r="BW101" s="132"/>
    </row>
    <row r="102" ht="14.25" customHeight="1">
      <c r="A102" s="3"/>
      <c r="B102" s="2" t="s">
        <v>4</v>
      </c>
      <c r="C102" s="166">
        <f ref="C102:Q102" t="shared" si="63">SUM(C71:C101)</f>
        <v>0</v>
      </c>
      <c r="D102" s="166">
        <f t="shared" si="63"/>
        <v>0</v>
      </c>
      <c r="E102" s="166">
        <f t="shared" si="63"/>
        <v>0</v>
      </c>
      <c r="F102" s="166">
        <f t="shared" si="63"/>
        <v>0</v>
      </c>
      <c r="G102" s="166">
        <f t="shared" si="63"/>
        <v>0</v>
      </c>
      <c r="H102" s="165">
        <f t="shared" si="63"/>
        <v>0</v>
      </c>
      <c r="I102" s="165">
        <f t="shared" si="63"/>
        <v>0</v>
      </c>
      <c r="J102" s="165">
        <f t="shared" si="63"/>
        <v>0</v>
      </c>
      <c r="K102" s="165">
        <f t="shared" si="63"/>
        <v>0</v>
      </c>
      <c r="L102" s="165">
        <f t="shared" si="63"/>
        <v>0</v>
      </c>
      <c r="M102" s="165">
        <f t="shared" si="63"/>
        <v>0</v>
      </c>
      <c r="N102" s="165">
        <f t="shared" si="63"/>
        <v>0</v>
      </c>
      <c r="O102" s="165">
        <f t="shared" si="63"/>
        <v>0</v>
      </c>
      <c r="P102" s="165">
        <f t="shared" si="63"/>
        <v>0</v>
      </c>
      <c r="Q102" s="165">
        <f t="shared" si="63"/>
        <v>0</v>
      </c>
      <c r="R102" s="165"/>
      <c r="S102" s="165">
        <f ref="S102:AF102" t="shared" si="64">SUM(S71:S101)</f>
        <v>0</v>
      </c>
      <c r="T102" s="165">
        <f t="shared" si="64"/>
        <v>0</v>
      </c>
      <c r="U102" s="165">
        <f t="shared" si="64"/>
        <v>0</v>
      </c>
      <c r="V102" s="166">
        <f t="shared" si="64"/>
        <v>0</v>
      </c>
      <c r="W102" s="166">
        <f t="shared" si="64"/>
        <v>0</v>
      </c>
      <c r="X102" s="166">
        <f t="shared" si="64"/>
        <v>0</v>
      </c>
      <c r="Y102" s="166">
        <f t="shared" si="64"/>
        <v>0</v>
      </c>
      <c r="Z102" s="166">
        <f t="shared" si="64"/>
        <v>0</v>
      </c>
      <c r="AA102" s="166">
        <f t="shared" si="64"/>
        <v>0</v>
      </c>
      <c r="AB102" s="166">
        <f t="shared" si="64"/>
        <v>0</v>
      </c>
      <c r="AC102" s="166">
        <f t="shared" si="64"/>
        <v>0</v>
      </c>
      <c r="AD102" s="166">
        <f t="shared" si="64"/>
        <v>0</v>
      </c>
      <c r="AE102" s="166">
        <f t="shared" si="64"/>
        <v>0</v>
      </c>
      <c r="AF102" s="166">
        <f t="shared" si="64"/>
        <v>0</v>
      </c>
      <c r="AG102" s="166"/>
      <c r="AH102" s="166">
        <f ref="AH102:AN102" t="shared" si="65">SUM(AH71:AH101)</f>
        <v>0</v>
      </c>
      <c r="AI102" s="166">
        <f t="shared" si="65"/>
        <v>0</v>
      </c>
      <c r="AJ102" s="166">
        <f t="shared" si="65"/>
        <v>0</v>
      </c>
      <c r="AK102" s="166">
        <f t="shared" si="65"/>
        <v>0</v>
      </c>
      <c r="AL102" s="166">
        <f t="shared" si="65"/>
        <v>0</v>
      </c>
      <c r="AM102" s="166">
        <f t="shared" si="65"/>
        <v>0</v>
      </c>
      <c r="AN102" s="166">
        <f t="shared" si="65"/>
        <v>0</v>
      </c>
      <c r="AO102" s="166"/>
      <c r="AP102" s="166">
        <f ref="AP102:BF102" t="shared" si="66">SUM(AP71:AP101)</f>
        <v>0</v>
      </c>
      <c r="AQ102" s="166">
        <f t="shared" si="66"/>
        <v>0</v>
      </c>
      <c r="AR102" s="166">
        <f t="shared" si="66"/>
        <v>0</v>
      </c>
      <c r="AS102" s="166">
        <f t="shared" si="66"/>
        <v>0</v>
      </c>
      <c r="AT102" s="165">
        <f t="shared" si="66"/>
        <v>0</v>
      </c>
      <c r="AU102" s="165">
        <f t="shared" si="66"/>
        <v>0</v>
      </c>
      <c r="AV102" s="165">
        <f t="shared" si="66"/>
        <v>0</v>
      </c>
      <c r="AW102" s="165">
        <f t="shared" si="66"/>
        <v>0</v>
      </c>
      <c r="AX102" s="165">
        <f t="shared" si="66"/>
        <v>0</v>
      </c>
      <c r="AY102" s="165">
        <f t="shared" si="66"/>
        <v>0</v>
      </c>
      <c r="AZ102" s="165">
        <f t="shared" si="66"/>
        <v>0</v>
      </c>
      <c r="BA102" s="165">
        <f t="shared" si="66"/>
        <v>0</v>
      </c>
      <c r="BB102" s="165">
        <f t="shared" si="66"/>
        <v>0</v>
      </c>
      <c r="BC102" s="1184">
        <f t="shared" si="66"/>
        <v>0</v>
      </c>
      <c r="BD102" s="165">
        <f t="shared" si="66"/>
        <v>0</v>
      </c>
      <c r="BE102" s="284">
        <f t="shared" si="66"/>
        <v>0</v>
      </c>
      <c r="BF102" s="166">
        <f t="shared" si="66"/>
        <v>0</v>
      </c>
      <c r="BG102" s="235"/>
      <c r="BH102" s="166">
        <f ref="BH102:BV102" t="shared" si="67">SUM(BH71:BH101)</f>
        <v>0</v>
      </c>
      <c r="BI102" s="166">
        <f t="shared" si="67"/>
        <v>0</v>
      </c>
      <c r="BJ102" s="166">
        <f t="shared" si="67"/>
        <v>0</v>
      </c>
      <c r="BK102" s="166">
        <f t="shared" si="67"/>
        <v>0</v>
      </c>
      <c r="BL102" s="166">
        <f t="shared" si="67"/>
        <v>0</v>
      </c>
      <c r="BM102" s="166">
        <f t="shared" si="67"/>
        <v>0</v>
      </c>
      <c r="BN102" s="166">
        <f t="shared" si="67"/>
        <v>0</v>
      </c>
      <c r="BO102" s="166">
        <f t="shared" si="67"/>
        <v>0</v>
      </c>
      <c r="BP102" s="166">
        <f t="shared" si="67"/>
        <v>0</v>
      </c>
      <c r="BQ102" s="166">
        <f t="shared" si="67"/>
        <v>0</v>
      </c>
      <c r="BR102" s="166">
        <f t="shared" si="67"/>
        <v>0</v>
      </c>
      <c r="BS102" s="166">
        <f t="shared" si="67"/>
        <v>0</v>
      </c>
      <c r="BT102" s="166">
        <f t="shared" si="67"/>
        <v>0</v>
      </c>
      <c r="BU102" s="166">
        <f t="shared" si="67"/>
        <v>0</v>
      </c>
      <c r="BV102" s="166">
        <f t="shared" si="67"/>
        <v>0</v>
      </c>
      <c r="BW102" s="235"/>
    </row>
    <row r="103" ht="14.25" customHeight="1">
      <c r="A103" s="1"/>
      <c r="B103" s="2"/>
      <c r="C103" s="3"/>
      <c r="D103" s="3"/>
      <c r="E103" s="3"/>
      <c r="F103" s="3"/>
      <c r="G103" s="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4"/>
      <c r="AN103" s="3"/>
      <c r="AO103" s="3"/>
      <c r="AP103" s="3"/>
      <c r="AQ103" s="3"/>
      <c r="AR103" s="3"/>
      <c r="AS103" s="4"/>
      <c r="AT103" s="132"/>
      <c r="AU103" s="132"/>
      <c r="AV103" s="132"/>
      <c r="AW103" s="3"/>
      <c r="AX103" s="3"/>
      <c r="AY103" s="3"/>
      <c r="AZ103" s="132"/>
      <c r="BA103" s="132"/>
      <c r="BB103" s="132"/>
      <c r="BC103" s="132"/>
      <c r="BD103" s="132"/>
      <c r="BE103" s="4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ht="14.25" customHeight="1">
      <c r="A104" s="1"/>
      <c r="B104" s="236"/>
      <c r="C104" s="3"/>
      <c r="D104" s="3"/>
      <c r="E104" s="3"/>
      <c r="F104" s="3"/>
      <c r="G104" s="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76"/>
      <c r="AJ104" s="3"/>
      <c r="AK104" s="3"/>
      <c r="AL104" s="3"/>
      <c r="AM104" s="4"/>
      <c r="AN104" s="3"/>
      <c r="AO104" s="3"/>
      <c r="AP104" s="3"/>
      <c r="AQ104" s="3"/>
      <c r="AR104" s="3"/>
      <c r="AS104" s="177"/>
      <c r="AT104" s="4"/>
      <c r="AU104" s="4"/>
      <c r="AV104" s="4"/>
      <c r="AW104" s="4"/>
      <c r="AX104" s="4"/>
      <c r="AY104" s="4"/>
      <c r="AZ104" s="4"/>
      <c r="BA104" s="4"/>
      <c r="BB104" s="4"/>
      <c r="BC104" s="132"/>
      <c r="BD104" s="132"/>
      <c r="BE104" s="177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ht="14.25" customHeight="1">
      <c r="A105" s="3"/>
      <c r="B105" s="215">
        <v>46113</v>
      </c>
      <c r="C105" s="94">
        <f>27685.59-D105-0</f>
      </c>
      <c r="D105" s="95">
        <v>1311.76</v>
      </c>
      <c r="E105" s="97"/>
      <c r="F105" s="97"/>
      <c r="G105" s="216">
        <f ref="G105:G134" t="shared" si="68">+C105+D105+E105+F105</f>
        <v>0</v>
      </c>
      <c r="H105" s="192">
        <v>975.46</v>
      </c>
      <c r="I105" s="186"/>
      <c r="J105" s="186"/>
      <c r="K105" s="186">
        <v>2168.47</v>
      </c>
      <c r="L105" s="186"/>
      <c r="M105" s="186"/>
      <c r="N105" s="186"/>
      <c r="O105" s="186"/>
      <c r="P105" s="186"/>
      <c r="Q105" s="186"/>
      <c r="R105" s="186"/>
      <c r="S105" s="186"/>
      <c r="T105" s="186"/>
      <c r="U105" s="188">
        <v>87.64</v>
      </c>
      <c r="V105" s="103">
        <f ref="V105:V106" t="shared" si="69">SUM(H105:U105)</f>
        <v>0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03">
        <f ref="AI105:AI134" t="shared" si="70">SUM(W105:AH105)</f>
        <v>0</v>
      </c>
      <c r="AJ105" s="95">
        <v>3717.89</v>
      </c>
      <c r="AK105" s="95">
        <v>402.07</v>
      </c>
      <c r="AL105" s="104"/>
      <c r="AM105" s="191">
        <f ref="AM105:AM134" t="shared" si="71">SUM(AJ105:AL105)</f>
        <v>0</v>
      </c>
      <c r="AN105" s="101"/>
      <c r="AO105" s="101"/>
      <c r="AP105" s="101"/>
      <c r="AQ105" s="101"/>
      <c r="AR105" s="106"/>
      <c r="AS105" s="219">
        <f ref="AS105:AS134" t="shared" si="72">+G105-V105-AI105-AM105-AN105-AP105-AQ105-AR105</f>
        <v>0</v>
      </c>
      <c r="AT105" s="1721">
        <v>19002.4</v>
      </c>
      <c r="AU105" s="1537"/>
      <c r="AV105" s="1537"/>
      <c r="AW105" s="1548"/>
      <c r="AX105" s="1548"/>
      <c r="AY105" s="1548"/>
      <c r="AZ105" s="1721">
        <v>1311.8</v>
      </c>
      <c r="BA105" s="1548"/>
      <c r="BB105" s="1548"/>
      <c r="BC105" s="1548"/>
      <c r="BD105" s="1537"/>
      <c r="BE105" s="222">
        <f ref="BE105:BE134" t="shared" si="73">SUM(AT105:BD105)-BC105</f>
        <v>0</v>
      </c>
      <c r="BF105" s="114">
        <f ref="BF105:BF134" t="shared" si="74">+AS105-BE105</f>
        <v>0</v>
      </c>
      <c r="BG105" s="3"/>
      <c r="BH105" s="114">
        <f ref="BH105:BH134" t="shared" si="75">SUM(BI105:BU105)</f>
        <v>0</v>
      </c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250"/>
      <c r="BT105" s="115">
        <v>20</v>
      </c>
      <c r="BU105" s="115"/>
      <c r="BV105" s="116">
        <f ref="BV105:BV134" t="shared" si="76">+BF105-BH105</f>
        <v>0</v>
      </c>
      <c r="BW105" s="3"/>
    </row>
    <row r="106" ht="14.25" customHeight="1">
      <c r="A106" s="5"/>
      <c r="B106" s="215">
        <v>46114</v>
      </c>
      <c r="C106" s="118">
        <f>23741.29-D106-0</f>
      </c>
      <c r="D106" s="119">
        <v>1785.31</v>
      </c>
      <c r="E106" s="120"/>
      <c r="F106" s="120"/>
      <c r="G106" s="147">
        <f t="shared" si="68"/>
        <v>0</v>
      </c>
      <c r="H106" s="144"/>
      <c r="I106" s="143"/>
      <c r="J106" s="143"/>
      <c r="K106" s="143">
        <v>4720.38</v>
      </c>
      <c r="L106" s="143"/>
      <c r="M106" s="143"/>
      <c r="N106" s="143"/>
      <c r="O106" s="143"/>
      <c r="P106" s="143"/>
      <c r="Q106" s="143"/>
      <c r="R106" s="143"/>
      <c r="S106" s="143"/>
      <c r="T106" s="143"/>
      <c r="U106" s="145">
        <v>40.8</v>
      </c>
      <c r="V106" s="103">
        <f t="shared" si="69"/>
        <v>0</v>
      </c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03">
        <f t="shared" si="70"/>
        <v>0</v>
      </c>
      <c r="AJ106" s="119">
        <v>3658.39</v>
      </c>
      <c r="AK106" s="119">
        <v>715.28</v>
      </c>
      <c r="AL106" s="123"/>
      <c r="AM106" s="105">
        <f t="shared" si="71"/>
        <v>0</v>
      </c>
      <c r="AN106" s="99"/>
      <c r="AO106" s="99"/>
      <c r="AP106" s="99"/>
      <c r="AQ106" s="99"/>
      <c r="AR106" s="124"/>
      <c r="AS106" s="224">
        <f t="shared" si="72"/>
        <v>0</v>
      </c>
      <c r="AT106" s="1554">
        <v>12821.1</v>
      </c>
      <c r="AU106" s="1546"/>
      <c r="AV106" s="1546"/>
      <c r="AW106" s="1548"/>
      <c r="AX106" s="1548"/>
      <c r="AY106" s="1548"/>
      <c r="AZ106" s="1554">
        <v>1785.4</v>
      </c>
      <c r="BA106" s="1548"/>
      <c r="BB106" s="1548"/>
      <c r="BC106" s="1548"/>
      <c r="BD106" s="1546"/>
      <c r="BE106" s="222">
        <f t="shared" si="73"/>
        <v>0</v>
      </c>
      <c r="BF106" s="113">
        <f t="shared" si="74"/>
        <v>0</v>
      </c>
      <c r="BG106" s="3"/>
      <c r="BH106" s="113">
        <f t="shared" si="75"/>
        <v>0</v>
      </c>
      <c r="BI106" s="129"/>
      <c r="BJ106" s="129"/>
      <c r="BK106" s="129"/>
      <c r="BL106" s="129"/>
      <c r="BM106" s="129"/>
      <c r="BN106" s="129"/>
      <c r="BO106" s="129"/>
      <c r="BP106" s="129"/>
      <c r="BQ106" s="129"/>
      <c r="BR106" s="129"/>
      <c r="BS106" s="129"/>
      <c r="BT106" s="129"/>
      <c r="BU106" s="129"/>
      <c r="BV106" s="130">
        <f t="shared" si="76"/>
        <v>0</v>
      </c>
      <c r="BW106" s="3"/>
    </row>
    <row r="107" ht="14.25" customHeight="1">
      <c r="A107" s="3"/>
      <c r="B107" s="215">
        <v>46115</v>
      </c>
      <c r="C107" s="118">
        <f>23876.62-D107-0</f>
      </c>
      <c r="D107" s="119">
        <v>1868.49</v>
      </c>
      <c r="E107" s="120"/>
      <c r="F107" s="120"/>
      <c r="G107" s="147">
        <f t="shared" si="68"/>
        <v>0</v>
      </c>
      <c r="H107" s="199">
        <v>230.66</v>
      </c>
      <c r="I107" s="143"/>
      <c r="J107" s="143"/>
      <c r="K107" s="145">
        <v>2348.57</v>
      </c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03">
        <f ref="V107:V108" t="shared" si="77">SUM(H107:T107)</f>
        <v>0</v>
      </c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3"/>
      <c r="AH107" s="143"/>
      <c r="AI107" s="103">
        <f t="shared" si="70"/>
        <v>0</v>
      </c>
      <c r="AJ107" s="119">
        <v>10101.51</v>
      </c>
      <c r="AK107" s="119">
        <v>391.88</v>
      </c>
      <c r="AL107" s="123"/>
      <c r="AM107" s="105">
        <f t="shared" si="71"/>
        <v>0</v>
      </c>
      <c r="AN107" s="99"/>
      <c r="AO107" s="99"/>
      <c r="AP107" s="99"/>
      <c r="AQ107" s="99"/>
      <c r="AR107" s="124"/>
      <c r="AS107" s="224">
        <f t="shared" si="72"/>
        <v>0</v>
      </c>
      <c r="AT107" s="1554">
        <v>8935.5</v>
      </c>
      <c r="AU107" s="1546"/>
      <c r="AV107" s="1546"/>
      <c r="AW107" s="1548"/>
      <c r="AX107" s="1548"/>
      <c r="AY107" s="1548"/>
      <c r="AZ107" s="1554">
        <v>1868.5</v>
      </c>
      <c r="BA107" s="1548"/>
      <c r="BB107" s="1548"/>
      <c r="BC107" s="1548"/>
      <c r="BD107" s="1546"/>
      <c r="BE107" s="222">
        <f t="shared" si="73"/>
        <v>0</v>
      </c>
      <c r="BF107" s="113">
        <f t="shared" si="74"/>
        <v>0</v>
      </c>
      <c r="BG107" s="3"/>
      <c r="BH107" s="113">
        <f t="shared" si="75"/>
        <v>0</v>
      </c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30">
        <f t="shared" si="76"/>
        <v>0</v>
      </c>
      <c r="BW107" s="3"/>
    </row>
    <row r="108" ht="14.25" customHeight="1">
      <c r="A108" s="3"/>
      <c r="B108" s="215">
        <v>46116</v>
      </c>
      <c r="C108" s="118">
        <f>14167.83-D108-0</f>
      </c>
      <c r="D108" s="119">
        <v>1586.73</v>
      </c>
      <c r="E108" s="120"/>
      <c r="F108" s="120"/>
      <c r="G108" s="147">
        <f t="shared" si="68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3"/>
      <c r="U108" s="120"/>
      <c r="V108" s="103">
        <f t="shared" si="77"/>
        <v>0</v>
      </c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43"/>
      <c r="AI108" s="103">
        <f t="shared" si="70"/>
        <v>0</v>
      </c>
      <c r="AJ108" s="119">
        <v>2539.1</v>
      </c>
      <c r="AK108" s="119">
        <v>640.51</v>
      </c>
      <c r="AL108" s="123"/>
      <c r="AM108" s="105">
        <f t="shared" si="71"/>
        <v>0</v>
      </c>
      <c r="AN108" s="99"/>
      <c r="AO108" s="99"/>
      <c r="AP108" s="99"/>
      <c r="AQ108" s="99"/>
      <c r="AR108" s="124"/>
      <c r="AS108" s="224">
        <f t="shared" si="72"/>
        <v>0</v>
      </c>
      <c r="AT108" s="1554">
        <v>9381.5</v>
      </c>
      <c r="AU108" s="1546"/>
      <c r="AV108" s="1546"/>
      <c r="AW108" s="1548"/>
      <c r="AX108" s="1548"/>
      <c r="AY108" s="1548"/>
      <c r="AZ108" s="1554">
        <v>1586.8</v>
      </c>
      <c r="BA108" s="1548"/>
      <c r="BB108" s="1548"/>
      <c r="BC108" s="1548"/>
      <c r="BD108" s="1546"/>
      <c r="BE108" s="222">
        <f t="shared" si="73"/>
        <v>0</v>
      </c>
      <c r="BF108" s="113">
        <f t="shared" si="74"/>
        <v>0</v>
      </c>
      <c r="BG108" s="3"/>
      <c r="BH108" s="113">
        <f t="shared" si="75"/>
        <v>0</v>
      </c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31"/>
      <c r="BT108" s="129">
        <v>20</v>
      </c>
      <c r="BU108" s="129"/>
      <c r="BV108" s="130">
        <f t="shared" si="76"/>
        <v>0</v>
      </c>
      <c r="BW108" s="3"/>
    </row>
    <row r="109" ht="14.25" customHeight="1">
      <c r="A109" s="132"/>
      <c r="B109" s="215">
        <v>46117</v>
      </c>
      <c r="C109" s="133">
        <f>19578.22-D109-0</f>
      </c>
      <c r="D109" s="134">
        <v>1645.56</v>
      </c>
      <c r="E109" s="135"/>
      <c r="F109" s="135"/>
      <c r="G109" s="147">
        <f t="shared" si="68"/>
        <v>0</v>
      </c>
      <c r="H109" s="144"/>
      <c r="I109" s="143"/>
      <c r="J109" s="143"/>
      <c r="K109" s="145">
        <v>1898.19</v>
      </c>
      <c r="L109" s="143"/>
      <c r="M109" s="143"/>
      <c r="N109" s="143"/>
      <c r="O109" s="143"/>
      <c r="P109" s="143"/>
      <c r="Q109" s="143"/>
      <c r="R109" s="143"/>
      <c r="S109" s="143"/>
      <c r="T109" s="143"/>
      <c r="U109" s="145">
        <v>32.25</v>
      </c>
      <c r="V109" s="103">
        <f ref="V109:V111" t="shared" si="78">SUM(H109:U109)</f>
        <v>0</v>
      </c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03">
        <f t="shared" si="70"/>
        <v>0</v>
      </c>
      <c r="AJ109" s="134">
        <v>2539.54</v>
      </c>
      <c r="AK109" s="134">
        <v>198.62</v>
      </c>
      <c r="AL109" s="136"/>
      <c r="AM109" s="105">
        <f t="shared" si="71"/>
        <v>0</v>
      </c>
      <c r="AN109" s="99"/>
      <c r="AO109" s="99"/>
      <c r="AP109" s="99"/>
      <c r="AQ109" s="99"/>
      <c r="AR109" s="124"/>
      <c r="AS109" s="224">
        <f t="shared" si="72"/>
        <v>0</v>
      </c>
      <c r="AT109" s="1554">
        <v>13264.2</v>
      </c>
      <c r="AU109" s="1546"/>
      <c r="AV109" s="1546"/>
      <c r="AW109" s="1548"/>
      <c r="AX109" s="1548"/>
      <c r="AY109" s="1548"/>
      <c r="AZ109" s="1554">
        <v>1645.6</v>
      </c>
      <c r="BA109" s="1548"/>
      <c r="BB109" s="1548"/>
      <c r="BC109" s="1548"/>
      <c r="BD109" s="1546"/>
      <c r="BE109" s="222">
        <f t="shared" si="73"/>
        <v>0</v>
      </c>
      <c r="BF109" s="113">
        <f t="shared" si="74"/>
        <v>0</v>
      </c>
      <c r="BG109" s="132"/>
      <c r="BH109" s="140">
        <f t="shared" si="75"/>
        <v>0</v>
      </c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30">
        <f t="shared" si="76"/>
        <v>0</v>
      </c>
      <c r="BW109" s="132"/>
    </row>
    <row r="110" ht="14.25" customHeight="1">
      <c r="A110" s="132"/>
      <c r="B110" s="215">
        <v>46118</v>
      </c>
      <c r="C110" s="133">
        <f>14272.91-D110-0</f>
      </c>
      <c r="D110" s="134">
        <v>874.3</v>
      </c>
      <c r="E110" s="135"/>
      <c r="F110" s="135"/>
      <c r="G110" s="147">
        <f t="shared" si="68"/>
        <v>0</v>
      </c>
      <c r="H110" s="144">
        <v>1100.95</v>
      </c>
      <c r="I110" s="143"/>
      <c r="J110" s="143"/>
      <c r="K110" s="145">
        <v>1757.84</v>
      </c>
      <c r="L110" s="143"/>
      <c r="M110" s="143"/>
      <c r="N110" s="143"/>
      <c r="O110" s="143"/>
      <c r="P110" s="143"/>
      <c r="Q110" s="143"/>
      <c r="R110" s="143"/>
      <c r="S110" s="143"/>
      <c r="T110" s="143"/>
      <c r="U110" s="145">
        <v>35.3</v>
      </c>
      <c r="V110" s="103">
        <f t="shared" si="78"/>
        <v>0</v>
      </c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43"/>
      <c r="AI110" s="103">
        <f t="shared" si="70"/>
        <v>0</v>
      </c>
      <c r="AJ110" s="134">
        <v>1783.91</v>
      </c>
      <c r="AK110" s="134">
        <v>252.13</v>
      </c>
      <c r="AL110" s="136"/>
      <c r="AM110" s="105">
        <f t="shared" si="71"/>
        <v>0</v>
      </c>
      <c r="AN110" s="99"/>
      <c r="AO110" s="99"/>
      <c r="AP110" s="99"/>
      <c r="AQ110" s="99"/>
      <c r="AR110" s="124"/>
      <c r="AS110" s="224">
        <f t="shared" si="72"/>
        <v>0</v>
      </c>
      <c r="AT110" s="1554">
        <v>8448.5</v>
      </c>
      <c r="AU110" s="1546"/>
      <c r="AV110" s="1546"/>
      <c r="AW110" s="1548"/>
      <c r="AX110" s="1548"/>
      <c r="AY110" s="1548"/>
      <c r="AZ110" s="1554">
        <v>874.3</v>
      </c>
      <c r="BA110" s="1548"/>
      <c r="BB110" s="1548"/>
      <c r="BC110" s="1548"/>
      <c r="BD110" s="1546"/>
      <c r="BE110" s="222">
        <f t="shared" si="73"/>
        <v>0</v>
      </c>
      <c r="BF110" s="113">
        <f t="shared" si="74"/>
        <v>0</v>
      </c>
      <c r="BG110" s="132"/>
      <c r="BH110" s="140">
        <f t="shared" si="75"/>
        <v>0</v>
      </c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50"/>
      <c r="BT110" s="141">
        <v>20</v>
      </c>
      <c r="BU110" s="141"/>
      <c r="BV110" s="130">
        <f t="shared" si="76"/>
        <v>0</v>
      </c>
      <c r="BW110" s="132"/>
    </row>
    <row r="111" ht="14.25" customHeight="1">
      <c r="A111" s="132"/>
      <c r="B111" s="215">
        <v>46119</v>
      </c>
      <c r="C111" s="133">
        <f>30430.20-D111-0</f>
      </c>
      <c r="D111" s="134">
        <v>798.74</v>
      </c>
      <c r="E111" s="135"/>
      <c r="F111" s="135"/>
      <c r="G111" s="147">
        <f t="shared" si="68"/>
        <v>0</v>
      </c>
      <c r="H111" s="144"/>
      <c r="I111" s="143"/>
      <c r="J111" s="143"/>
      <c r="K111" s="145">
        <v>1633.1</v>
      </c>
      <c r="L111" s="143"/>
      <c r="M111" s="143"/>
      <c r="N111" s="143"/>
      <c r="O111" s="143"/>
      <c r="P111" s="143"/>
      <c r="Q111" s="143"/>
      <c r="R111" s="143"/>
      <c r="S111" s="143"/>
      <c r="T111" s="143"/>
      <c r="U111" s="145">
        <v>43.05</v>
      </c>
      <c r="V111" s="103">
        <f t="shared" si="78"/>
        <v>0</v>
      </c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03">
        <f t="shared" si="70"/>
        <v>0</v>
      </c>
      <c r="AJ111" s="134">
        <v>4287.67</v>
      </c>
      <c r="AK111" s="134">
        <v>292.53</v>
      </c>
      <c r="AL111" s="136"/>
      <c r="AM111" s="105">
        <f t="shared" si="71"/>
        <v>0</v>
      </c>
      <c r="AN111" s="99"/>
      <c r="AO111" s="99"/>
      <c r="AP111" s="99"/>
      <c r="AQ111" s="99"/>
      <c r="AR111" s="124"/>
      <c r="AS111" s="224">
        <f t="shared" si="72"/>
        <v>0</v>
      </c>
      <c r="AT111" s="1554">
        <v>23375.3</v>
      </c>
      <c r="AU111" s="1546"/>
      <c r="AV111" s="1546"/>
      <c r="AW111" s="1548"/>
      <c r="AX111" s="1548"/>
      <c r="AY111" s="1548"/>
      <c r="AZ111" s="1554">
        <v>798.8</v>
      </c>
      <c r="BA111" s="1548"/>
      <c r="BB111" s="1548"/>
      <c r="BC111" s="1548"/>
      <c r="BD111" s="1546"/>
      <c r="BE111" s="222">
        <f t="shared" si="73"/>
        <v>0</v>
      </c>
      <c r="BF111" s="113">
        <f t="shared" si="74"/>
        <v>0</v>
      </c>
      <c r="BG111" s="132"/>
      <c r="BH111" s="140">
        <f t="shared" si="75"/>
        <v>0</v>
      </c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30">
        <f t="shared" si="76"/>
        <v>0</v>
      </c>
      <c r="BW111" s="132"/>
    </row>
    <row r="112" ht="14.25" customHeight="1">
      <c r="A112" s="132"/>
      <c r="B112" s="215">
        <v>46120</v>
      </c>
      <c r="C112" s="133">
        <f>24281.58-D112-0</f>
      </c>
      <c r="D112" s="134">
        <v>1517.67</v>
      </c>
      <c r="E112" s="135"/>
      <c r="F112" s="135"/>
      <c r="G112" s="147">
        <f t="shared" si="68"/>
        <v>0</v>
      </c>
      <c r="H112" s="144"/>
      <c r="I112" s="143"/>
      <c r="J112" s="143"/>
      <c r="K112" s="145">
        <v>1362.58</v>
      </c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03">
        <f>SUM(H112:T112)</f>
        <v>0</v>
      </c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03">
        <f t="shared" si="70"/>
        <v>0</v>
      </c>
      <c r="AJ112" s="134">
        <v>4419.03</v>
      </c>
      <c r="AK112" s="134">
        <v>428.89</v>
      </c>
      <c r="AL112" s="136"/>
      <c r="AM112" s="105">
        <f t="shared" si="71"/>
        <v>0</v>
      </c>
      <c r="AN112" s="99"/>
      <c r="AO112" s="99"/>
      <c r="AP112" s="99"/>
      <c r="AQ112" s="99"/>
      <c r="AR112" s="124"/>
      <c r="AS112" s="224">
        <f t="shared" si="72"/>
        <v>0</v>
      </c>
      <c r="AT112" s="1554">
        <v>16533.4</v>
      </c>
      <c r="AU112" s="1546"/>
      <c r="AV112" s="1546"/>
      <c r="AW112" s="1548"/>
      <c r="AX112" s="1548"/>
      <c r="AY112" s="1548"/>
      <c r="AZ112" s="1554">
        <v>1517.7</v>
      </c>
      <c r="BA112" s="1548"/>
      <c r="BB112" s="1548"/>
      <c r="BC112" s="1548"/>
      <c r="BD112" s="1546"/>
      <c r="BE112" s="222">
        <f t="shared" si="73"/>
        <v>0</v>
      </c>
      <c r="BF112" s="113">
        <f t="shared" si="74"/>
        <v>0</v>
      </c>
      <c r="BG112" s="132"/>
      <c r="BH112" s="140">
        <f t="shared" si="75"/>
        <v>0</v>
      </c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50"/>
      <c r="BT112" s="141">
        <v>20</v>
      </c>
      <c r="BU112" s="141"/>
      <c r="BV112" s="130">
        <f t="shared" si="76"/>
        <v>0</v>
      </c>
      <c r="BW112" s="132"/>
    </row>
    <row r="113" ht="14.25" customHeight="1">
      <c r="A113" s="132"/>
      <c r="B113" s="215">
        <v>46121</v>
      </c>
      <c r="C113" s="133">
        <f>20831.54-D113-0</f>
      </c>
      <c r="D113" s="134">
        <v>1328</v>
      </c>
      <c r="E113" s="135"/>
      <c r="F113" s="135"/>
      <c r="G113" s="147">
        <f t="shared" si="68"/>
        <v>0</v>
      </c>
      <c r="H113" s="144">
        <v>531.44</v>
      </c>
      <c r="I113" s="143"/>
      <c r="J113" s="143"/>
      <c r="K113" s="143">
        <v>2318.78</v>
      </c>
      <c r="L113" s="143"/>
      <c r="M113" s="143"/>
      <c r="N113" s="143"/>
      <c r="O113" s="143"/>
      <c r="P113" s="143"/>
      <c r="Q113" s="143"/>
      <c r="R113" s="143"/>
      <c r="S113" s="143"/>
      <c r="T113" s="132"/>
      <c r="U113" s="460">
        <v>49.53</v>
      </c>
      <c r="V113" s="103">
        <f ref="V113:V117" t="shared" si="79">SUM(H113:U113)</f>
        <v>0</v>
      </c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03">
        <f t="shared" si="70"/>
        <v>0</v>
      </c>
      <c r="AJ113" s="134">
        <v>3725.21</v>
      </c>
      <c r="AK113" s="134">
        <v>314.15</v>
      </c>
      <c r="AL113" s="136"/>
      <c r="AM113" s="105">
        <f t="shared" si="71"/>
        <v>0</v>
      </c>
      <c r="AN113" s="99"/>
      <c r="AO113" s="99"/>
      <c r="AP113" s="99"/>
      <c r="AQ113" s="99"/>
      <c r="AR113" s="124"/>
      <c r="AS113" s="224">
        <f t="shared" si="72"/>
        <v>0</v>
      </c>
      <c r="AT113" s="1554">
        <v>12564.5</v>
      </c>
      <c r="AU113" s="1546"/>
      <c r="AV113" s="1546"/>
      <c r="AW113" s="1548"/>
      <c r="AX113" s="1548"/>
      <c r="AY113" s="1548"/>
      <c r="AZ113" s="1554">
        <v>1328</v>
      </c>
      <c r="BA113" s="1548"/>
      <c r="BB113" s="1548"/>
      <c r="BC113" s="1548"/>
      <c r="BD113" s="1546"/>
      <c r="BE113" s="222">
        <f t="shared" si="73"/>
        <v>0</v>
      </c>
      <c r="BF113" s="113">
        <f t="shared" si="74"/>
        <v>0</v>
      </c>
      <c r="BG113" s="132"/>
      <c r="BH113" s="140">
        <f t="shared" si="75"/>
        <v>0</v>
      </c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30">
        <f t="shared" si="76"/>
        <v>0</v>
      </c>
      <c r="BW113" s="132"/>
    </row>
    <row r="114" ht="14.25" customHeight="1">
      <c r="A114" s="132"/>
      <c r="B114" s="215">
        <v>46122</v>
      </c>
      <c r="C114" s="133">
        <f>20161.86-D114-0</f>
      </c>
      <c r="D114" s="134">
        <v>1075.52</v>
      </c>
      <c r="E114" s="135"/>
      <c r="F114" s="135"/>
      <c r="G114" s="147">
        <f t="shared" si="68"/>
        <v>0</v>
      </c>
      <c r="H114" s="144"/>
      <c r="I114" s="143"/>
      <c r="J114" s="143"/>
      <c r="K114" s="145">
        <v>1527.64</v>
      </c>
      <c r="L114" s="143"/>
      <c r="M114" s="143"/>
      <c r="N114" s="143"/>
      <c r="O114" s="143"/>
      <c r="P114" s="143"/>
      <c r="Q114" s="143"/>
      <c r="R114" s="143"/>
      <c r="S114" s="143"/>
      <c r="T114" s="143"/>
      <c r="U114" s="145">
        <v>49.66</v>
      </c>
      <c r="V114" s="103">
        <f t="shared" si="79"/>
        <v>0</v>
      </c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03">
        <f t="shared" si="70"/>
        <v>0</v>
      </c>
      <c r="AJ114" s="134">
        <v>2466.09</v>
      </c>
      <c r="AK114" s="134">
        <v>386.74</v>
      </c>
      <c r="AL114" s="136"/>
      <c r="AM114" s="105">
        <f t="shared" si="71"/>
        <v>0</v>
      </c>
      <c r="AN114" s="99"/>
      <c r="AO114" s="99"/>
      <c r="AP114" s="99"/>
      <c r="AQ114" s="99"/>
      <c r="AR114" s="124"/>
      <c r="AS114" s="224">
        <f t="shared" si="72"/>
        <v>0</v>
      </c>
      <c r="AT114" s="1554">
        <v>14636.2</v>
      </c>
      <c r="AU114" s="1546"/>
      <c r="AV114" s="1546"/>
      <c r="AW114" s="1548"/>
      <c r="AX114" s="1548"/>
      <c r="AY114" s="1548"/>
      <c r="AZ114" s="1554">
        <v>1075.6</v>
      </c>
      <c r="BA114" s="1548"/>
      <c r="BB114" s="1548"/>
      <c r="BC114" s="1548"/>
      <c r="BD114" s="1546"/>
      <c r="BE114" s="222">
        <f t="shared" si="73"/>
        <v>0</v>
      </c>
      <c r="BF114" s="113">
        <f t="shared" si="74"/>
        <v>0</v>
      </c>
      <c r="BG114" s="132"/>
      <c r="BH114" s="140">
        <f t="shared" si="75"/>
        <v>0</v>
      </c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50"/>
      <c r="BT114" s="141">
        <v>20</v>
      </c>
      <c r="BU114" s="141"/>
      <c r="BV114" s="130">
        <f t="shared" si="76"/>
        <v>0</v>
      </c>
      <c r="BW114" s="132"/>
    </row>
    <row r="115" ht="14.25" customHeight="1">
      <c r="A115" s="132"/>
      <c r="B115" s="215">
        <v>46123</v>
      </c>
      <c r="C115" s="133">
        <f>21991.74-D115-0</f>
      </c>
      <c r="D115" s="134">
        <v>1556.59</v>
      </c>
      <c r="E115" s="135"/>
      <c r="F115" s="135"/>
      <c r="G115" s="147">
        <f t="shared" si="68"/>
        <v>0</v>
      </c>
      <c r="H115" s="144"/>
      <c r="I115" s="143"/>
      <c r="J115" s="143"/>
      <c r="K115" s="143">
        <v>4919.06</v>
      </c>
      <c r="L115" s="143"/>
      <c r="M115" s="143"/>
      <c r="N115" s="143"/>
      <c r="O115" s="143"/>
      <c r="P115" s="143"/>
      <c r="Q115" s="143"/>
      <c r="R115" s="143"/>
      <c r="S115" s="143"/>
      <c r="T115" s="143"/>
      <c r="U115" s="145">
        <v>115.06</v>
      </c>
      <c r="V115" s="103">
        <f t="shared" si="79"/>
        <v>0</v>
      </c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03">
        <f t="shared" si="70"/>
        <v>0</v>
      </c>
      <c r="AJ115" s="134">
        <v>2250.27</v>
      </c>
      <c r="AK115" s="134">
        <v>517.68</v>
      </c>
      <c r="AL115" s="136"/>
      <c r="AM115" s="105">
        <f t="shared" si="71"/>
        <v>0</v>
      </c>
      <c r="AN115" s="99"/>
      <c r="AO115" s="99"/>
      <c r="AP115" s="99"/>
      <c r="AQ115" s="99"/>
      <c r="AR115" s="124"/>
      <c r="AS115" s="224">
        <f t="shared" si="72"/>
        <v>0</v>
      </c>
      <c r="AT115" s="1554">
        <v>12633.1</v>
      </c>
      <c r="AU115" s="1546"/>
      <c r="AV115" s="1546"/>
      <c r="AW115" s="1548"/>
      <c r="AX115" s="1548"/>
      <c r="AY115" s="1548"/>
      <c r="AZ115" s="1554">
        <v>1556.6</v>
      </c>
      <c r="BA115" s="1548"/>
      <c r="BB115" s="1548"/>
      <c r="BC115" s="1548"/>
      <c r="BD115" s="1546"/>
      <c r="BE115" s="222">
        <f t="shared" si="73"/>
        <v>0</v>
      </c>
      <c r="BF115" s="113">
        <f t="shared" si="74"/>
        <v>0</v>
      </c>
      <c r="BG115" s="132"/>
      <c r="BH115" s="140">
        <f t="shared" si="75"/>
        <v>0</v>
      </c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30">
        <f t="shared" si="76"/>
        <v>0</v>
      </c>
      <c r="BW115" s="132"/>
    </row>
    <row r="116" ht="14.25" customHeight="1">
      <c r="A116" s="132"/>
      <c r="B116" s="215">
        <v>46124</v>
      </c>
      <c r="C116" s="133">
        <f>31288.36-D116-0</f>
      </c>
      <c r="D116" s="134">
        <v>1706.81</v>
      </c>
      <c r="E116" s="135"/>
      <c r="F116" s="135"/>
      <c r="G116" s="147">
        <f t="shared" si="68"/>
        <v>0</v>
      </c>
      <c r="H116" s="144"/>
      <c r="I116" s="143"/>
      <c r="J116" s="143"/>
      <c r="K116" s="145">
        <v>2345.44</v>
      </c>
      <c r="L116" s="143"/>
      <c r="M116" s="143"/>
      <c r="N116" s="143"/>
      <c r="O116" s="143"/>
      <c r="P116" s="143"/>
      <c r="Q116" s="143"/>
      <c r="R116" s="143"/>
      <c r="S116" s="143"/>
      <c r="T116" s="143"/>
      <c r="U116" s="145">
        <v>49.49</v>
      </c>
      <c r="V116" s="103">
        <f t="shared" si="79"/>
        <v>0</v>
      </c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43"/>
      <c r="AI116" s="103">
        <f t="shared" si="70"/>
        <v>0</v>
      </c>
      <c r="AJ116" s="134">
        <v>9845.27</v>
      </c>
      <c r="AK116" s="134">
        <v>704.91</v>
      </c>
      <c r="AL116" s="136"/>
      <c r="AM116" s="105">
        <f t="shared" si="71"/>
        <v>0</v>
      </c>
      <c r="AN116" s="99"/>
      <c r="AO116" s="99"/>
      <c r="AP116" s="99"/>
      <c r="AQ116" s="99"/>
      <c r="AR116" s="124"/>
      <c r="AS116" s="224">
        <f t="shared" si="72"/>
        <v>0</v>
      </c>
      <c r="AT116" s="1554">
        <v>16636.4</v>
      </c>
      <c r="AU116" s="1546"/>
      <c r="AV116" s="1546"/>
      <c r="AW116" s="1548"/>
      <c r="AX116" s="1548"/>
      <c r="AY116" s="1548"/>
      <c r="AZ116" s="1554">
        <v>1706.9</v>
      </c>
      <c r="BA116" s="1548"/>
      <c r="BB116" s="1548"/>
      <c r="BC116" s="1548"/>
      <c r="BD116" s="1546"/>
      <c r="BE116" s="222">
        <f t="shared" si="73"/>
        <v>0</v>
      </c>
      <c r="BF116" s="113">
        <f t="shared" si="74"/>
        <v>0</v>
      </c>
      <c r="BG116" s="132"/>
      <c r="BH116" s="140">
        <f t="shared" si="75"/>
        <v>0</v>
      </c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41"/>
      <c r="BV116" s="130">
        <f t="shared" si="76"/>
        <v>0</v>
      </c>
      <c r="BW116" s="132"/>
    </row>
    <row r="117" ht="14.25" customHeight="1">
      <c r="A117" s="132"/>
      <c r="B117" s="215">
        <v>46125</v>
      </c>
      <c r="C117" s="133">
        <f>21969.48-D117-0</f>
      </c>
      <c r="D117" s="134">
        <v>1049.48</v>
      </c>
      <c r="E117" s="135"/>
      <c r="F117" s="135"/>
      <c r="G117" s="147">
        <f t="shared" si="68"/>
        <v>0</v>
      </c>
      <c r="H117" s="199">
        <v>320.57</v>
      </c>
      <c r="I117" s="143"/>
      <c r="J117" s="143"/>
      <c r="K117" s="145">
        <v>1997.82</v>
      </c>
      <c r="L117" s="143"/>
      <c r="M117" s="143"/>
      <c r="N117" s="143"/>
      <c r="O117" s="143"/>
      <c r="P117" s="143"/>
      <c r="Q117" s="143"/>
      <c r="R117" s="143"/>
      <c r="S117" s="143"/>
      <c r="T117" s="143"/>
      <c r="U117" s="145">
        <v>49.06</v>
      </c>
      <c r="V117" s="103">
        <f t="shared" si="79"/>
        <v>0</v>
      </c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43"/>
      <c r="AI117" s="103">
        <f t="shared" si="70"/>
        <v>0</v>
      </c>
      <c r="AJ117" s="134">
        <v>2758.22</v>
      </c>
      <c r="AK117" s="134">
        <v>258.85</v>
      </c>
      <c r="AL117" s="136"/>
      <c r="AM117" s="105">
        <f t="shared" si="71"/>
        <v>0</v>
      </c>
      <c r="AN117" s="99"/>
      <c r="AO117" s="99"/>
      <c r="AP117" s="99"/>
      <c r="AQ117" s="99"/>
      <c r="AR117" s="124"/>
      <c r="AS117" s="224">
        <f t="shared" si="72"/>
        <v>0</v>
      </c>
      <c r="AT117" s="1554">
        <v>15515.5</v>
      </c>
      <c r="AU117" s="1546"/>
      <c r="AV117" s="1546"/>
      <c r="AW117" s="1548"/>
      <c r="AX117" s="1548"/>
      <c r="AY117" s="1548"/>
      <c r="AZ117" s="1554">
        <v>1049.5</v>
      </c>
      <c r="BA117" s="1548"/>
      <c r="BB117" s="1548"/>
      <c r="BC117" s="1548"/>
      <c r="BD117" s="1546"/>
      <c r="BE117" s="222">
        <f t="shared" si="73"/>
        <v>0</v>
      </c>
      <c r="BF117" s="140">
        <f t="shared" si="74"/>
        <v>0</v>
      </c>
      <c r="BG117" s="132"/>
      <c r="BH117" s="140">
        <f t="shared" si="75"/>
        <v>0</v>
      </c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50"/>
      <c r="BT117" s="141">
        <v>20</v>
      </c>
      <c r="BU117" s="141"/>
      <c r="BV117" s="130">
        <f t="shared" si="76"/>
        <v>0</v>
      </c>
      <c r="BW117" s="132"/>
    </row>
    <row r="118" ht="14.25" customHeight="1">
      <c r="A118" s="132"/>
      <c r="B118" s="215">
        <v>46126</v>
      </c>
      <c r="C118" s="133">
        <f>23384.36-D118-0</f>
      </c>
      <c r="D118" s="134">
        <v>1352.12</v>
      </c>
      <c r="E118" s="135"/>
      <c r="F118" s="135"/>
      <c r="G118" s="147">
        <f t="shared" si="68"/>
        <v>0</v>
      </c>
      <c r="H118" s="144"/>
      <c r="I118" s="143"/>
      <c r="J118" s="143"/>
      <c r="K118" s="145">
        <v>1073.07</v>
      </c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03">
        <f>SUM(H118:T118)</f>
        <v>0</v>
      </c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03">
        <f t="shared" si="70"/>
        <v>0</v>
      </c>
      <c r="AJ118" s="134">
        <v>3305.22</v>
      </c>
      <c r="AK118" s="134">
        <v>419.11</v>
      </c>
      <c r="AL118" s="136"/>
      <c r="AM118" s="105">
        <f t="shared" si="71"/>
        <v>0</v>
      </c>
      <c r="AN118" s="99"/>
      <c r="AO118" s="99"/>
      <c r="AP118" s="99"/>
      <c r="AQ118" s="99"/>
      <c r="AR118" s="124"/>
      <c r="AS118" s="224">
        <f t="shared" si="72"/>
        <v>0</v>
      </c>
      <c r="AT118" s="1554">
        <v>17234.9</v>
      </c>
      <c r="AU118" s="1546"/>
      <c r="AV118" s="1546"/>
      <c r="AW118" s="1548"/>
      <c r="AX118" s="1548"/>
      <c r="AY118" s="1548"/>
      <c r="AZ118" s="1554">
        <v>1352.2</v>
      </c>
      <c r="BA118" s="1548"/>
      <c r="BB118" s="1548"/>
      <c r="BC118" s="1548"/>
      <c r="BD118" s="1546"/>
      <c r="BE118" s="222">
        <f t="shared" si="73"/>
        <v>0</v>
      </c>
      <c r="BF118" s="140">
        <f t="shared" si="74"/>
        <v>0</v>
      </c>
      <c r="BG118" s="132"/>
      <c r="BH118" s="140">
        <f t="shared" si="75"/>
        <v>0</v>
      </c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30">
        <f t="shared" si="76"/>
        <v>0</v>
      </c>
      <c r="BW118" s="132"/>
    </row>
    <row r="119" ht="14.25" customHeight="1">
      <c r="A119" s="132"/>
      <c r="B119" s="215">
        <v>46127</v>
      </c>
      <c r="C119" s="133">
        <f>23341.12-D119-0</f>
      </c>
      <c r="D119" s="134">
        <v>1397.07</v>
      </c>
      <c r="E119" s="135"/>
      <c r="F119" s="135"/>
      <c r="G119" s="147">
        <f t="shared" si="68"/>
        <v>0</v>
      </c>
      <c r="H119" s="144"/>
      <c r="I119" s="143"/>
      <c r="J119" s="143"/>
      <c r="K119" s="145">
        <v>1422.65</v>
      </c>
      <c r="L119" s="143"/>
      <c r="M119" s="143"/>
      <c r="N119" s="143"/>
      <c r="O119" s="143"/>
      <c r="P119" s="143"/>
      <c r="Q119" s="143"/>
      <c r="R119" s="143"/>
      <c r="S119" s="143"/>
      <c r="T119" s="143"/>
      <c r="U119" s="145">
        <v>157.52</v>
      </c>
      <c r="V119" s="103">
        <f>SUM(H119:U119)</f>
        <v>0</v>
      </c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03">
        <f t="shared" si="70"/>
        <v>0</v>
      </c>
      <c r="AJ119" s="134">
        <v>3214.59</v>
      </c>
      <c r="AK119" s="134">
        <v>337.65</v>
      </c>
      <c r="AL119" s="136"/>
      <c r="AM119" s="105">
        <f t="shared" si="71"/>
        <v>0</v>
      </c>
      <c r="AN119" s="99"/>
      <c r="AO119" s="99"/>
      <c r="AP119" s="99"/>
      <c r="AQ119" s="99"/>
      <c r="AR119" s="256">
        <v>7.33</v>
      </c>
      <c r="AS119" s="224">
        <f t="shared" si="72"/>
        <v>0</v>
      </c>
      <c r="AT119" s="1554">
        <v>16784.4</v>
      </c>
      <c r="AU119" s="1546"/>
      <c r="AV119" s="1546"/>
      <c r="AW119" s="1548"/>
      <c r="AX119" s="1548"/>
      <c r="AY119" s="1548"/>
      <c r="AZ119" s="1554">
        <v>1397.1</v>
      </c>
      <c r="BA119" s="1548"/>
      <c r="BB119" s="1548"/>
      <c r="BC119" s="1548"/>
      <c r="BD119" s="1546"/>
      <c r="BE119" s="222">
        <f t="shared" si="73"/>
        <v>0</v>
      </c>
      <c r="BF119" s="140">
        <f t="shared" si="74"/>
        <v>0</v>
      </c>
      <c r="BG119" s="132"/>
      <c r="BH119" s="140">
        <f t="shared" si="75"/>
        <v>0</v>
      </c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50">
        <v>20</v>
      </c>
      <c r="BU119" s="141"/>
      <c r="BV119" s="130">
        <f t="shared" si="76"/>
        <v>0</v>
      </c>
      <c r="BW119" s="132"/>
    </row>
    <row r="120" ht="14.25" customHeight="1">
      <c r="A120" s="132"/>
      <c r="B120" s="215">
        <v>46128</v>
      </c>
      <c r="C120" s="133">
        <f>29040.67-D120-0</f>
      </c>
      <c r="D120" s="134">
        <v>1618.63</v>
      </c>
      <c r="E120" s="135"/>
      <c r="F120" s="135"/>
      <c r="G120" s="147">
        <f t="shared" si="68"/>
        <v>0</v>
      </c>
      <c r="H120" s="199">
        <v>397.99</v>
      </c>
      <c r="I120" s="143"/>
      <c r="J120" s="143"/>
      <c r="K120" s="145">
        <v>669.68</v>
      </c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03">
        <f>SUM(H120:T120)</f>
        <v>0</v>
      </c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03">
        <f t="shared" si="70"/>
        <v>0</v>
      </c>
      <c r="AJ120" s="134">
        <v>6881.44</v>
      </c>
      <c r="AK120" s="134">
        <v>270.08</v>
      </c>
      <c r="AL120" s="136"/>
      <c r="AM120" s="105">
        <f t="shared" si="71"/>
        <v>0</v>
      </c>
      <c r="AN120" s="99"/>
      <c r="AO120" s="99"/>
      <c r="AP120" s="99"/>
      <c r="AQ120" s="99"/>
      <c r="AR120" s="124"/>
      <c r="AS120" s="224">
        <f t="shared" si="72"/>
        <v>0</v>
      </c>
      <c r="AT120" s="1554">
        <v>19202.9</v>
      </c>
      <c r="AU120" s="1546"/>
      <c r="AV120" s="1546"/>
      <c r="AW120" s="1548"/>
      <c r="AX120" s="1548"/>
      <c r="AY120" s="1548"/>
      <c r="AZ120" s="1554">
        <v>1618.7</v>
      </c>
      <c r="BA120" s="1548"/>
      <c r="BB120" s="1548"/>
      <c r="BC120" s="1548"/>
      <c r="BD120" s="1546"/>
      <c r="BE120" s="222">
        <f t="shared" si="73"/>
        <v>0</v>
      </c>
      <c r="BF120" s="140">
        <f t="shared" si="74"/>
        <v>0</v>
      </c>
      <c r="BG120" s="132"/>
      <c r="BH120" s="140">
        <f t="shared" si="75"/>
        <v>0</v>
      </c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41"/>
      <c r="BV120" s="130">
        <f t="shared" si="76"/>
        <v>0</v>
      </c>
      <c r="BW120" s="132"/>
    </row>
    <row r="121" ht="14.25" customHeight="1">
      <c r="A121" s="132"/>
      <c r="B121" s="215">
        <v>46129</v>
      </c>
      <c r="C121" s="133">
        <f>25640.73-D121-0</f>
      </c>
      <c r="D121" s="134">
        <v>2068.89</v>
      </c>
      <c r="E121" s="135"/>
      <c r="F121" s="135"/>
      <c r="G121" s="147">
        <f t="shared" si="68"/>
        <v>0</v>
      </c>
      <c r="H121" s="144"/>
      <c r="I121" s="143"/>
      <c r="J121" s="143"/>
      <c r="K121" s="143">
        <v>3116.26</v>
      </c>
      <c r="L121" s="143"/>
      <c r="M121" s="143"/>
      <c r="N121" s="143"/>
      <c r="O121" s="143"/>
      <c r="P121" s="143"/>
      <c r="Q121" s="143"/>
      <c r="R121" s="143"/>
      <c r="S121" s="143"/>
      <c r="T121" s="143"/>
      <c r="U121" s="145">
        <v>79.23</v>
      </c>
      <c r="V121" s="103">
        <f>SUM(H121:U121)</f>
        <v>0</v>
      </c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03">
        <f t="shared" si="70"/>
        <v>0</v>
      </c>
      <c r="AJ121" s="134">
        <v>4104.21</v>
      </c>
      <c r="AK121" s="134">
        <v>450.82</v>
      </c>
      <c r="AL121" s="136"/>
      <c r="AM121" s="105">
        <f t="shared" si="71"/>
        <v>0</v>
      </c>
      <c r="AN121" s="99"/>
      <c r="AO121" s="99"/>
      <c r="AP121" s="99"/>
      <c r="AQ121" s="99"/>
      <c r="AR121" s="124"/>
      <c r="AS121" s="224">
        <f t="shared" si="72"/>
        <v>0</v>
      </c>
      <c r="AT121" s="1554">
        <v>15801.3</v>
      </c>
      <c r="AU121" s="1546"/>
      <c r="AV121" s="1546"/>
      <c r="AW121" s="1548"/>
      <c r="AX121" s="1548"/>
      <c r="AY121" s="1548"/>
      <c r="AZ121" s="1554">
        <v>2068.9</v>
      </c>
      <c r="BA121" s="1548"/>
      <c r="BB121" s="1548"/>
      <c r="BC121" s="1548"/>
      <c r="BD121" s="1546"/>
      <c r="BE121" s="222">
        <f t="shared" si="73"/>
        <v>0</v>
      </c>
      <c r="BF121" s="140">
        <f t="shared" si="74"/>
        <v>0</v>
      </c>
      <c r="BG121" s="132"/>
      <c r="BH121" s="140">
        <f t="shared" si="75"/>
        <v>0</v>
      </c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50">
        <v>20</v>
      </c>
      <c r="BU121" s="141"/>
      <c r="BV121" s="130">
        <f t="shared" si="76"/>
        <v>0</v>
      </c>
      <c r="BW121" s="132"/>
    </row>
    <row r="122" ht="14.25" customHeight="1">
      <c r="A122" s="132"/>
      <c r="B122" s="215">
        <v>46130</v>
      </c>
      <c r="C122" s="133">
        <f>34567.79-D122-0</f>
      </c>
      <c r="D122" s="134">
        <v>2846.07</v>
      </c>
      <c r="E122" s="135"/>
      <c r="F122" s="135"/>
      <c r="G122" s="147">
        <f t="shared" si="68"/>
        <v>0</v>
      </c>
      <c r="H122" s="199">
        <v>711.98</v>
      </c>
      <c r="I122" s="143"/>
      <c r="J122" s="143"/>
      <c r="K122" s="143">
        <v>2642.94</v>
      </c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03">
        <f>SUM(H122:T122)</f>
        <v>0</v>
      </c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03">
        <f t="shared" si="70"/>
        <v>0</v>
      </c>
      <c r="AJ122" s="134">
        <v>10420.97</v>
      </c>
      <c r="AK122" s="134">
        <v>689.14</v>
      </c>
      <c r="AL122" s="136"/>
      <c r="AM122" s="105">
        <f t="shared" si="71"/>
        <v>0</v>
      </c>
      <c r="AN122" s="99"/>
      <c r="AO122" s="99"/>
      <c r="AP122" s="99"/>
      <c r="AQ122" s="99"/>
      <c r="AR122" s="124"/>
      <c r="AS122" s="224">
        <f t="shared" si="72"/>
        <v>0</v>
      </c>
      <c r="AT122" s="1554">
        <v>17256.7</v>
      </c>
      <c r="AU122" s="1546"/>
      <c r="AV122" s="1546"/>
      <c r="AW122" s="1548"/>
      <c r="AX122" s="1548"/>
      <c r="AY122" s="1548"/>
      <c r="AZ122" s="1554">
        <v>2846.1</v>
      </c>
      <c r="BA122" s="1548"/>
      <c r="BB122" s="1548"/>
      <c r="BC122" s="1548"/>
      <c r="BD122" s="1546"/>
      <c r="BE122" s="222">
        <f t="shared" si="73"/>
        <v>0</v>
      </c>
      <c r="BF122" s="140">
        <f t="shared" si="74"/>
        <v>0</v>
      </c>
      <c r="BG122" s="132"/>
      <c r="BH122" s="140">
        <f t="shared" si="75"/>
        <v>0</v>
      </c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30">
        <f t="shared" si="76"/>
        <v>0</v>
      </c>
      <c r="BW122" s="132"/>
    </row>
    <row r="123" ht="14.25" customHeight="1">
      <c r="A123" s="132"/>
      <c r="B123" s="215">
        <v>46131</v>
      </c>
      <c r="C123" s="133">
        <f>18490.75-D123-0</f>
      </c>
      <c r="D123" s="134">
        <v>2519.13</v>
      </c>
      <c r="E123" s="135"/>
      <c r="F123" s="135"/>
      <c r="G123" s="147">
        <f t="shared" si="68"/>
        <v>0</v>
      </c>
      <c r="H123" s="199">
        <v>150</v>
      </c>
      <c r="I123" s="143"/>
      <c r="J123" s="143"/>
      <c r="K123" s="143">
        <v>959.42</v>
      </c>
      <c r="L123" s="143"/>
      <c r="M123" s="143"/>
      <c r="N123" s="143"/>
      <c r="O123" s="143"/>
      <c r="P123" s="143"/>
      <c r="Q123" s="143"/>
      <c r="R123" s="143"/>
      <c r="S123" s="143"/>
      <c r="T123" s="143"/>
      <c r="U123" s="145">
        <v>53.49</v>
      </c>
      <c r="V123" s="103">
        <f ref="V123:V129" t="shared" si="80">SUM(H123:U123)</f>
        <v>0</v>
      </c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43"/>
      <c r="AI123" s="103">
        <f t="shared" si="70"/>
        <v>0</v>
      </c>
      <c r="AJ123" s="134">
        <v>2697.89</v>
      </c>
      <c r="AK123" s="134">
        <v>503.54</v>
      </c>
      <c r="AL123" s="136"/>
      <c r="AM123" s="105">
        <f t="shared" si="71"/>
        <v>0</v>
      </c>
      <c r="AN123" s="99"/>
      <c r="AO123" s="99"/>
      <c r="AP123" s="99"/>
      <c r="AQ123" s="99"/>
      <c r="AR123" s="124"/>
      <c r="AS123" s="224">
        <f t="shared" si="72"/>
        <v>0</v>
      </c>
      <c r="AT123" s="1554">
        <v>11607.3</v>
      </c>
      <c r="AU123" s="1546"/>
      <c r="AV123" s="1546"/>
      <c r="AW123" s="1548"/>
      <c r="AX123" s="1548"/>
      <c r="AY123" s="1548"/>
      <c r="AZ123" s="1554">
        <v>2519.2</v>
      </c>
      <c r="BA123" s="1548"/>
      <c r="BB123" s="1548"/>
      <c r="BC123" s="1548"/>
      <c r="BD123" s="1546"/>
      <c r="BE123" s="222">
        <f t="shared" si="73"/>
        <v>0</v>
      </c>
      <c r="BF123" s="140">
        <f t="shared" si="74"/>
        <v>0</v>
      </c>
      <c r="BG123" s="132"/>
      <c r="BH123" s="140">
        <f t="shared" si="75"/>
        <v>0</v>
      </c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30">
        <f t="shared" si="76"/>
        <v>0</v>
      </c>
      <c r="BW123" s="132"/>
    </row>
    <row r="124" ht="14.25" customHeight="1">
      <c r="A124" s="132"/>
      <c r="B124" s="215">
        <v>46132</v>
      </c>
      <c r="C124" s="133">
        <f>24045.94-D124-0</f>
      </c>
      <c r="D124" s="134">
        <v>2769.74</v>
      </c>
      <c r="E124" s="135"/>
      <c r="F124" s="135"/>
      <c r="G124" s="147">
        <f t="shared" si="68"/>
        <v>0</v>
      </c>
      <c r="H124" s="199">
        <v>221.37</v>
      </c>
      <c r="I124" s="143"/>
      <c r="J124" s="143"/>
      <c r="K124" s="145">
        <v>3297.94</v>
      </c>
      <c r="L124" s="143"/>
      <c r="M124" s="143"/>
      <c r="N124" s="143"/>
      <c r="O124" s="143"/>
      <c r="P124" s="143"/>
      <c r="Q124" s="143"/>
      <c r="R124" s="143"/>
      <c r="S124" s="143"/>
      <c r="T124" s="143"/>
      <c r="U124" s="145">
        <v>60.39</v>
      </c>
      <c r="V124" s="103">
        <f t="shared" si="80"/>
        <v>0</v>
      </c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43"/>
      <c r="AI124" s="103">
        <f t="shared" si="70"/>
        <v>0</v>
      </c>
      <c r="AJ124" s="134">
        <v>3697.63</v>
      </c>
      <c r="AK124" s="134">
        <v>272.12</v>
      </c>
      <c r="AL124" s="136"/>
      <c r="AM124" s="105">
        <f t="shared" si="71"/>
        <v>0</v>
      </c>
      <c r="AN124" s="99"/>
      <c r="AO124" s="99"/>
      <c r="AP124" s="99"/>
      <c r="AQ124" s="99"/>
      <c r="AR124" s="124"/>
      <c r="AS124" s="224">
        <f t="shared" si="72"/>
        <v>0</v>
      </c>
      <c r="AT124" s="1637">
        <v>13706.7</v>
      </c>
      <c r="AU124" s="1546"/>
      <c r="AV124" s="1546"/>
      <c r="AW124" s="1548"/>
      <c r="AX124" s="1548"/>
      <c r="AY124" s="1548"/>
      <c r="AZ124" s="1637">
        <v>2769.8</v>
      </c>
      <c r="BA124" s="1548"/>
      <c r="BB124" s="1548"/>
      <c r="BC124" s="1548"/>
      <c r="BD124" s="1546"/>
      <c r="BE124" s="222">
        <f t="shared" si="73"/>
        <v>0</v>
      </c>
      <c r="BF124" s="140">
        <f t="shared" si="74"/>
        <v>0</v>
      </c>
      <c r="BG124" s="132"/>
      <c r="BH124" s="140">
        <f t="shared" si="75"/>
        <v>0</v>
      </c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50">
        <v>20</v>
      </c>
      <c r="BU124" s="141"/>
      <c r="BV124" s="130">
        <f t="shared" si="76"/>
        <v>0</v>
      </c>
      <c r="BW124" s="132"/>
    </row>
    <row r="125" ht="14.25" customHeight="1">
      <c r="A125" s="132"/>
      <c r="B125" s="215">
        <v>46133</v>
      </c>
      <c r="C125" s="133">
        <f>26949.09-D125-0</f>
      </c>
      <c r="D125" s="134">
        <v>2563.9</v>
      </c>
      <c r="E125" s="135"/>
      <c r="F125" s="135"/>
      <c r="G125" s="147">
        <f t="shared" si="68"/>
        <v>0</v>
      </c>
      <c r="H125" s="199">
        <v>285.03</v>
      </c>
      <c r="I125" s="143"/>
      <c r="J125" s="143"/>
      <c r="K125" s="145">
        <v>2232.44</v>
      </c>
      <c r="L125" s="143"/>
      <c r="M125" s="143"/>
      <c r="N125" s="143"/>
      <c r="O125" s="143"/>
      <c r="P125" s="143"/>
      <c r="Q125" s="143"/>
      <c r="R125" s="143"/>
      <c r="S125" s="143"/>
      <c r="T125" s="145">
        <v>85.96</v>
      </c>
      <c r="U125" s="145">
        <v>82.65</v>
      </c>
      <c r="V125" s="103">
        <f t="shared" si="80"/>
        <v>0</v>
      </c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43"/>
      <c r="AI125" s="103">
        <f t="shared" si="70"/>
        <v>0</v>
      </c>
      <c r="AJ125" s="134">
        <v>4184.6</v>
      </c>
      <c r="AK125" s="134">
        <v>521.11</v>
      </c>
      <c r="AL125" s="136"/>
      <c r="AM125" s="105">
        <f t="shared" si="71"/>
        <v>0</v>
      </c>
      <c r="AN125" s="99"/>
      <c r="AO125" s="99"/>
      <c r="AP125" s="99"/>
      <c r="AQ125" s="99"/>
      <c r="AR125" s="124"/>
      <c r="AS125" s="224">
        <f t="shared" si="72"/>
        <v>0</v>
      </c>
      <c r="AT125" s="1637">
        <v>16993.4</v>
      </c>
      <c r="AU125" s="1546"/>
      <c r="AV125" s="1546"/>
      <c r="AW125" s="1548"/>
      <c r="AX125" s="1548"/>
      <c r="AY125" s="1548"/>
      <c r="AZ125" s="1637">
        <v>2563.9</v>
      </c>
      <c r="BA125" s="1548"/>
      <c r="BB125" s="1548"/>
      <c r="BC125" s="1548"/>
      <c r="BD125" s="1546"/>
      <c r="BE125" s="222">
        <f t="shared" si="73"/>
        <v>0</v>
      </c>
      <c r="BF125" s="140">
        <f t="shared" si="74"/>
        <v>0</v>
      </c>
      <c r="BG125" s="132"/>
      <c r="BH125" s="140">
        <f t="shared" si="75"/>
        <v>0</v>
      </c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30">
        <f t="shared" si="76"/>
        <v>0</v>
      </c>
      <c r="BW125" s="132"/>
    </row>
    <row r="126" ht="14.25" customHeight="1">
      <c r="A126" s="132"/>
      <c r="B126" s="215">
        <v>46134</v>
      </c>
      <c r="C126" s="133">
        <f>22342.71-D126-0</f>
      </c>
      <c r="D126" s="230">
        <v>2289.74</v>
      </c>
      <c r="E126" s="135"/>
      <c r="F126" s="135"/>
      <c r="G126" s="147">
        <f t="shared" si="68"/>
        <v>0</v>
      </c>
      <c r="H126" s="199">
        <v>284.58</v>
      </c>
      <c r="I126" s="143"/>
      <c r="J126" s="143"/>
      <c r="K126" s="145">
        <v>542.9</v>
      </c>
      <c r="L126" s="143"/>
      <c r="M126" s="143"/>
      <c r="N126" s="143"/>
      <c r="O126" s="143"/>
      <c r="P126" s="143"/>
      <c r="Q126" s="143"/>
      <c r="R126" s="143"/>
      <c r="S126" s="143"/>
      <c r="T126" s="143"/>
      <c r="U126" s="145">
        <v>65.02</v>
      </c>
      <c r="V126" s="103">
        <f t="shared" si="80"/>
        <v>0</v>
      </c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43"/>
      <c r="AI126" s="103">
        <f t="shared" si="70"/>
        <v>0</v>
      </c>
      <c r="AJ126" s="134">
        <v>4905.67</v>
      </c>
      <c r="AK126" s="134">
        <v>313.72</v>
      </c>
      <c r="AL126" s="136"/>
      <c r="AM126" s="105">
        <f t="shared" si="71"/>
        <v>0</v>
      </c>
      <c r="AN126" s="99"/>
      <c r="AO126" s="99"/>
      <c r="AP126" s="99"/>
      <c r="AQ126" s="99"/>
      <c r="AR126" s="124"/>
      <c r="AS126" s="224">
        <f t="shared" si="72"/>
        <v>0</v>
      </c>
      <c r="AT126" s="1637">
        <v>13921.1</v>
      </c>
      <c r="AU126" s="1546"/>
      <c r="AV126" s="1546"/>
      <c r="AW126" s="1548"/>
      <c r="AX126" s="1548"/>
      <c r="AY126" s="1548"/>
      <c r="AZ126" s="1637">
        <v>2289.8</v>
      </c>
      <c r="BA126" s="1548"/>
      <c r="BB126" s="1548"/>
      <c r="BC126" s="1548"/>
      <c r="BD126" s="1546"/>
      <c r="BE126" s="222">
        <f t="shared" si="73"/>
        <v>0</v>
      </c>
      <c r="BF126" s="140">
        <f t="shared" si="74"/>
        <v>0</v>
      </c>
      <c r="BG126" s="132"/>
      <c r="BH126" s="140">
        <f t="shared" si="75"/>
        <v>0</v>
      </c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50">
        <v>20</v>
      </c>
      <c r="BU126" s="141"/>
      <c r="BV126" s="130">
        <f t="shared" si="76"/>
        <v>0</v>
      </c>
      <c r="BW126" s="132"/>
    </row>
    <row r="127" ht="14.25" customHeight="1">
      <c r="A127" s="132"/>
      <c r="B127" s="215">
        <v>46135</v>
      </c>
      <c r="C127" s="133">
        <f>27455.21-D127-0</f>
      </c>
      <c r="D127" s="134">
        <v>2717.74</v>
      </c>
      <c r="E127" s="135"/>
      <c r="F127" s="135"/>
      <c r="G127" s="147">
        <f t="shared" si="68"/>
        <v>0</v>
      </c>
      <c r="H127" s="199">
        <v>290</v>
      </c>
      <c r="I127" s="143"/>
      <c r="J127" s="143"/>
      <c r="K127" s="145">
        <v>2531.67</v>
      </c>
      <c r="L127" s="143"/>
      <c r="M127" s="143"/>
      <c r="N127" s="143"/>
      <c r="O127" s="143"/>
      <c r="P127" s="143"/>
      <c r="Q127" s="143"/>
      <c r="R127" s="143"/>
      <c r="S127" s="143"/>
      <c r="T127" s="143"/>
      <c r="U127" s="145">
        <v>43.45</v>
      </c>
      <c r="V127" s="103">
        <f t="shared" si="80"/>
        <v>0</v>
      </c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03">
        <f t="shared" si="70"/>
        <v>0</v>
      </c>
      <c r="AJ127" s="134">
        <v>5807.95</v>
      </c>
      <c r="AK127" s="134">
        <v>646.58</v>
      </c>
      <c r="AL127" s="136"/>
      <c r="AM127" s="105">
        <f t="shared" si="71"/>
        <v>0</v>
      </c>
      <c r="AN127" s="99"/>
      <c r="AO127" s="99"/>
      <c r="AP127" s="99"/>
      <c r="AQ127" s="99"/>
      <c r="AR127" s="124"/>
      <c r="AS127" s="224">
        <f t="shared" si="72"/>
        <v>0</v>
      </c>
      <c r="AT127" s="1637">
        <v>15417.9</v>
      </c>
      <c r="AU127" s="1546"/>
      <c r="AV127" s="1546"/>
      <c r="AW127" s="1548"/>
      <c r="AX127" s="1548"/>
      <c r="AY127" s="1548"/>
      <c r="AZ127" s="1637">
        <v>2717.8</v>
      </c>
      <c r="BA127" s="1548"/>
      <c r="BB127" s="1548"/>
      <c r="BC127" s="1548"/>
      <c r="BD127" s="1546"/>
      <c r="BE127" s="222">
        <f t="shared" si="73"/>
        <v>0</v>
      </c>
      <c r="BF127" s="140">
        <f t="shared" si="74"/>
        <v>0</v>
      </c>
      <c r="BG127" s="132"/>
      <c r="BH127" s="140">
        <f t="shared" si="75"/>
        <v>0</v>
      </c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41"/>
      <c r="BV127" s="130">
        <f t="shared" si="76"/>
        <v>0</v>
      </c>
      <c r="BW127" s="132"/>
    </row>
    <row r="128" ht="14.25" customHeight="1">
      <c r="A128" s="132"/>
      <c r="B128" s="215">
        <v>46136</v>
      </c>
      <c r="C128" s="133">
        <f>22724.89-D128-0</f>
      </c>
      <c r="D128" s="134">
        <v>2934.43</v>
      </c>
      <c r="E128" s="135"/>
      <c r="F128" s="135"/>
      <c r="G128" s="147">
        <f t="shared" si="68"/>
        <v>0</v>
      </c>
      <c r="H128" s="199">
        <v>370.06</v>
      </c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5">
        <v>52.41</v>
      </c>
      <c r="V128" s="103">
        <f t="shared" si="80"/>
        <v>0</v>
      </c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43"/>
      <c r="AI128" s="103">
        <f t="shared" si="70"/>
        <v>0</v>
      </c>
      <c r="AJ128" s="134">
        <v>3321.84</v>
      </c>
      <c r="AK128" s="134">
        <v>409.32</v>
      </c>
      <c r="AL128" s="136"/>
      <c r="AM128" s="105">
        <f t="shared" si="71"/>
        <v>0</v>
      </c>
      <c r="AN128" s="99"/>
      <c r="AO128" s="99"/>
      <c r="AP128" s="99"/>
      <c r="AQ128" s="99"/>
      <c r="AR128" s="124"/>
      <c r="AS128" s="224">
        <f t="shared" si="72"/>
        <v>0</v>
      </c>
      <c r="AT128" s="1637">
        <v>15616.9</v>
      </c>
      <c r="AU128" s="1546"/>
      <c r="AV128" s="1546"/>
      <c r="AW128" s="1548"/>
      <c r="AX128" s="1548"/>
      <c r="AY128" s="1548"/>
      <c r="AZ128" s="1637">
        <v>2934.5</v>
      </c>
      <c r="BA128" s="1548"/>
      <c r="BB128" s="1548"/>
      <c r="BC128" s="1548"/>
      <c r="BD128" s="1546"/>
      <c r="BE128" s="222">
        <f t="shared" si="73"/>
        <v>0</v>
      </c>
      <c r="BF128" s="140">
        <f t="shared" si="74"/>
        <v>0</v>
      </c>
      <c r="BG128" s="132"/>
      <c r="BH128" s="140">
        <f t="shared" si="75"/>
        <v>0</v>
      </c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50"/>
      <c r="BT128" s="150">
        <v>20</v>
      </c>
      <c r="BU128" s="141"/>
      <c r="BV128" s="130">
        <f t="shared" si="76"/>
        <v>0</v>
      </c>
      <c r="BW128" s="132"/>
    </row>
    <row r="129" ht="14.25" customHeight="1">
      <c r="A129" s="132"/>
      <c r="B129" s="215">
        <v>46137</v>
      </c>
      <c r="C129" s="133">
        <f>26389.85-D129-0</f>
      </c>
      <c r="D129" s="134">
        <v>3291.1</v>
      </c>
      <c r="E129" s="135"/>
      <c r="F129" s="135"/>
      <c r="G129" s="147">
        <f t="shared" si="68"/>
        <v>0</v>
      </c>
      <c r="H129" s="144">
        <v>575.91</v>
      </c>
      <c r="I129" s="143"/>
      <c r="J129" s="143"/>
      <c r="K129" s="145">
        <v>3139.15</v>
      </c>
      <c r="L129" s="143"/>
      <c r="M129" s="143"/>
      <c r="N129" s="143"/>
      <c r="O129" s="143"/>
      <c r="P129" s="143"/>
      <c r="Q129" s="143"/>
      <c r="R129" s="143"/>
      <c r="S129" s="143"/>
      <c r="T129" s="143"/>
      <c r="U129" s="145">
        <v>140.05</v>
      </c>
      <c r="V129" s="103">
        <f t="shared" si="80"/>
        <v>0</v>
      </c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43"/>
      <c r="AH129" s="143"/>
      <c r="AI129" s="103">
        <f t="shared" si="70"/>
        <v>0</v>
      </c>
      <c r="AJ129" s="134">
        <v>4198.19</v>
      </c>
      <c r="AK129" s="134">
        <v>600.72</v>
      </c>
      <c r="AL129" s="136"/>
      <c r="AM129" s="105">
        <f t="shared" si="71"/>
        <v>0</v>
      </c>
      <c r="AN129" s="99"/>
      <c r="AO129" s="99"/>
      <c r="AP129" s="99"/>
      <c r="AQ129" s="99"/>
      <c r="AR129" s="256">
        <v>3.28</v>
      </c>
      <c r="AS129" s="224">
        <f t="shared" si="72"/>
        <v>0</v>
      </c>
      <c r="AT129" s="1637">
        <v>14441.5</v>
      </c>
      <c r="AU129" s="1546"/>
      <c r="AV129" s="1546"/>
      <c r="AW129" s="1548"/>
      <c r="AX129" s="1548"/>
      <c r="AY129" s="1548"/>
      <c r="AZ129" s="1637">
        <v>3291.1</v>
      </c>
      <c r="BA129" s="1548"/>
      <c r="BB129" s="1548"/>
      <c r="BC129" s="1548"/>
      <c r="BD129" s="1546"/>
      <c r="BE129" s="222">
        <f t="shared" si="73"/>
        <v>0</v>
      </c>
      <c r="BF129" s="140">
        <f t="shared" si="74"/>
        <v>0</v>
      </c>
      <c r="BG129" s="132"/>
      <c r="BH129" s="140">
        <f t="shared" si="75"/>
        <v>0</v>
      </c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30">
        <f t="shared" si="76"/>
        <v>0</v>
      </c>
      <c r="BW129" s="132"/>
    </row>
    <row r="130" ht="14.25" customHeight="1">
      <c r="A130" s="132"/>
      <c r="B130" s="215">
        <v>46138</v>
      </c>
      <c r="C130" s="133">
        <f>18946.59-D130-0</f>
      </c>
      <c r="D130" s="134">
        <v>2844.37</v>
      </c>
      <c r="E130" s="135"/>
      <c r="F130" s="135"/>
      <c r="G130" s="147">
        <f t="shared" si="68"/>
        <v>0</v>
      </c>
      <c r="H130" s="199">
        <v>312.19</v>
      </c>
      <c r="I130" s="143"/>
      <c r="J130" s="143"/>
      <c r="K130" s="143">
        <v>2166.47</v>
      </c>
      <c r="L130" s="143"/>
      <c r="M130" s="143"/>
      <c r="N130" s="99"/>
      <c r="O130" s="143"/>
      <c r="P130" s="143"/>
      <c r="Q130" s="143"/>
      <c r="R130" s="143"/>
      <c r="S130" s="143"/>
      <c r="T130" s="143"/>
      <c r="U130" s="143"/>
      <c r="V130" s="103">
        <f>SUM(H130:T130)</f>
        <v>0</v>
      </c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43"/>
      <c r="AH130" s="143"/>
      <c r="AI130" s="103">
        <f t="shared" si="70"/>
        <v>0</v>
      </c>
      <c r="AJ130" s="134">
        <v>2102.15</v>
      </c>
      <c r="AK130" s="134">
        <v>500.28</v>
      </c>
      <c r="AL130" s="136"/>
      <c r="AM130" s="105">
        <f t="shared" si="71"/>
        <v>0</v>
      </c>
      <c r="AN130" s="99"/>
      <c r="AO130" s="99"/>
      <c r="AP130" s="99"/>
      <c r="AQ130" s="99"/>
      <c r="AR130" s="124"/>
      <c r="AS130" s="224">
        <f t="shared" si="72"/>
        <v>0</v>
      </c>
      <c r="AT130" s="1637">
        <v>11021.1</v>
      </c>
      <c r="AU130" s="1546"/>
      <c r="AV130" s="1546"/>
      <c r="AW130" s="1548"/>
      <c r="AX130" s="1548"/>
      <c r="AY130" s="1548"/>
      <c r="AZ130" s="1637">
        <v>2844.4</v>
      </c>
      <c r="BA130" s="1548"/>
      <c r="BB130" s="1548"/>
      <c r="BC130" s="1548"/>
      <c r="BD130" s="1546"/>
      <c r="BE130" s="222">
        <f t="shared" si="73"/>
        <v>0</v>
      </c>
      <c r="BF130" s="140">
        <f t="shared" si="74"/>
        <v>0</v>
      </c>
      <c r="BG130" s="132"/>
      <c r="BH130" s="140">
        <f t="shared" si="75"/>
        <v>0</v>
      </c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30">
        <f t="shared" si="76"/>
        <v>0</v>
      </c>
      <c r="BW130" s="132"/>
    </row>
    <row r="131" ht="14.25" customHeight="1">
      <c r="A131" s="132"/>
      <c r="B131" s="215">
        <v>46139</v>
      </c>
      <c r="C131" s="133">
        <f>24283.12-D131-0</f>
      </c>
      <c r="D131" s="134">
        <v>3511.08</v>
      </c>
      <c r="E131" s="135"/>
      <c r="F131" s="135"/>
      <c r="G131" s="147">
        <f t="shared" si="68"/>
        <v>0</v>
      </c>
      <c r="H131" s="144"/>
      <c r="I131" s="143"/>
      <c r="J131" s="143"/>
      <c r="K131" s="143">
        <v>1598.31</v>
      </c>
      <c r="L131" s="143"/>
      <c r="M131" s="143"/>
      <c r="N131" s="143"/>
      <c r="O131" s="143"/>
      <c r="P131" s="143"/>
      <c r="Q131" s="143"/>
      <c r="R131" s="143"/>
      <c r="S131" s="143"/>
      <c r="T131" s="143"/>
      <c r="U131" s="145">
        <v>88.97</v>
      </c>
      <c r="V131" s="103">
        <f>SUM(H131:U131)</f>
        <v>0</v>
      </c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43"/>
      <c r="AH131" s="143"/>
      <c r="AI131" s="103">
        <f t="shared" si="70"/>
        <v>0</v>
      </c>
      <c r="AJ131" s="134">
        <v>3348.66</v>
      </c>
      <c r="AK131" s="134">
        <v>873.84</v>
      </c>
      <c r="AL131" s="136"/>
      <c r="AM131" s="105">
        <f t="shared" si="71"/>
        <v>0</v>
      </c>
      <c r="AN131" s="99"/>
      <c r="AO131" s="99"/>
      <c r="AP131" s="99"/>
      <c r="AQ131" s="99"/>
      <c r="AR131" s="124"/>
      <c r="AS131" s="224">
        <f t="shared" si="72"/>
        <v>0</v>
      </c>
      <c r="AT131" s="1637">
        <v>14842.4</v>
      </c>
      <c r="AU131" s="1546"/>
      <c r="AV131" s="1546"/>
      <c r="AW131" s="1548"/>
      <c r="AX131" s="1548"/>
      <c r="AY131" s="1548"/>
      <c r="AZ131" s="1637">
        <v>3511.1</v>
      </c>
      <c r="BA131" s="1548"/>
      <c r="BB131" s="1548"/>
      <c r="BC131" s="1548"/>
      <c r="BD131" s="1546"/>
      <c r="BE131" s="222">
        <f t="shared" si="73"/>
        <v>0</v>
      </c>
      <c r="BF131" s="140">
        <f t="shared" si="74"/>
        <v>0</v>
      </c>
      <c r="BG131" s="132"/>
      <c r="BH131" s="140">
        <f t="shared" si="75"/>
        <v>0</v>
      </c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50">
        <v>20</v>
      </c>
      <c r="BU131" s="141"/>
      <c r="BV131" s="130">
        <f t="shared" si="76"/>
        <v>0</v>
      </c>
      <c r="BW131" s="132"/>
    </row>
    <row r="132" ht="14.25" customHeight="1">
      <c r="A132" s="132"/>
      <c r="B132" s="215">
        <v>46140</v>
      </c>
      <c r="C132" s="133">
        <f>23955.32-D132-0</f>
      </c>
      <c r="D132" s="134">
        <v>3114.05</v>
      </c>
      <c r="E132" s="135"/>
      <c r="F132" s="135"/>
      <c r="G132" s="147">
        <f t="shared" si="68"/>
        <v>0</v>
      </c>
      <c r="H132" s="199">
        <v>186.49</v>
      </c>
      <c r="I132" s="143"/>
      <c r="J132" s="143"/>
      <c r="K132" s="145">
        <v>724.03</v>
      </c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03">
        <f>SUM(H132:T132)</f>
        <v>0</v>
      </c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03">
        <f t="shared" si="70"/>
        <v>0</v>
      </c>
      <c r="AJ132" s="134">
        <v>4024.15</v>
      </c>
      <c r="AK132" s="134">
        <v>584.3</v>
      </c>
      <c r="AL132" s="136"/>
      <c r="AM132" s="105">
        <f t="shared" si="71"/>
        <v>0</v>
      </c>
      <c r="AN132" s="99"/>
      <c r="AO132" s="99"/>
      <c r="AP132" s="99"/>
      <c r="AQ132" s="99"/>
      <c r="AR132" s="124"/>
      <c r="AS132" s="224">
        <f t="shared" si="72"/>
        <v>0</v>
      </c>
      <c r="AT132" s="1637">
        <v>15322.1</v>
      </c>
      <c r="AU132" s="1546"/>
      <c r="AV132" s="1546"/>
      <c r="AW132" s="1548"/>
      <c r="AX132" s="1548"/>
      <c r="AY132" s="1548"/>
      <c r="AZ132" s="1637">
        <v>3114.1</v>
      </c>
      <c r="BA132" s="1548"/>
      <c r="BB132" s="1548"/>
      <c r="BC132" s="1548"/>
      <c r="BD132" s="1546"/>
      <c r="BE132" s="222">
        <f t="shared" si="73"/>
        <v>0</v>
      </c>
      <c r="BF132" s="140">
        <f t="shared" si="74"/>
        <v>0</v>
      </c>
      <c r="BG132" s="132"/>
      <c r="BH132" s="140">
        <f t="shared" si="75"/>
        <v>0</v>
      </c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30">
        <f t="shared" si="76"/>
        <v>0</v>
      </c>
      <c r="BW132" s="132"/>
    </row>
    <row r="133" ht="14.25" customHeight="1">
      <c r="A133" s="132"/>
      <c r="B133" s="215">
        <v>46141</v>
      </c>
      <c r="C133" s="133">
        <f>35514.32-D133-0</f>
      </c>
      <c r="D133" s="134">
        <v>3702.16</v>
      </c>
      <c r="E133" s="135"/>
      <c r="F133" s="135"/>
      <c r="G133" s="147">
        <f t="shared" si="68"/>
        <v>0</v>
      </c>
      <c r="H133" s="199">
        <v>526.55</v>
      </c>
      <c r="I133" s="143"/>
      <c r="J133" s="143"/>
      <c r="K133" s="143">
        <v>6537.68</v>
      </c>
      <c r="L133" s="143"/>
      <c r="M133" s="143"/>
      <c r="N133" s="143"/>
      <c r="O133" s="143"/>
      <c r="P133" s="143"/>
      <c r="Q133" s="143"/>
      <c r="R133" s="143"/>
      <c r="S133" s="143"/>
      <c r="T133" s="143"/>
      <c r="U133" s="145">
        <v>113.55</v>
      </c>
      <c r="V133" s="103">
        <f>SUM(H133:U133)</f>
        <v>0</v>
      </c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43"/>
      <c r="AI133" s="103">
        <f t="shared" si="70"/>
        <v>0</v>
      </c>
      <c r="AJ133" s="134">
        <v>6712.08</v>
      </c>
      <c r="AK133" s="134">
        <v>579.67</v>
      </c>
      <c r="AL133" s="136"/>
      <c r="AM133" s="105">
        <f t="shared" si="71"/>
        <v>0</v>
      </c>
      <c r="AN133" s="99"/>
      <c r="AO133" s="99"/>
      <c r="AP133" s="99"/>
      <c r="AQ133" s="99"/>
      <c r="AR133" s="124"/>
      <c r="AS133" s="224">
        <f t="shared" si="72"/>
        <v>0</v>
      </c>
      <c r="AT133" s="1637">
        <v>17322.6</v>
      </c>
      <c r="AU133" s="1546"/>
      <c r="AV133" s="1546"/>
      <c r="AW133" s="1548"/>
      <c r="AX133" s="1548"/>
      <c r="AY133" s="1548"/>
      <c r="AZ133" s="1637">
        <v>3702.2</v>
      </c>
      <c r="BA133" s="1548"/>
      <c r="BB133" s="1548"/>
      <c r="BC133" s="1548"/>
      <c r="BD133" s="1546"/>
      <c r="BE133" s="222">
        <f t="shared" si="73"/>
        <v>0</v>
      </c>
      <c r="BF133" s="140">
        <f t="shared" si="74"/>
        <v>0</v>
      </c>
      <c r="BG133" s="132"/>
      <c r="BH133" s="140">
        <f t="shared" si="75"/>
        <v>0</v>
      </c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50">
        <v>20</v>
      </c>
      <c r="BU133" s="141"/>
      <c r="BV133" s="130">
        <f t="shared" si="76"/>
        <v>0</v>
      </c>
      <c r="BW133" s="132"/>
    </row>
    <row r="134" ht="14.25" customHeight="1">
      <c r="A134" s="132"/>
      <c r="B134" s="215">
        <v>46142</v>
      </c>
      <c r="C134" s="133">
        <f>25827.09-D134-0</f>
      </c>
      <c r="D134" s="134">
        <v>3562.09</v>
      </c>
      <c r="E134" s="135"/>
      <c r="F134" s="135"/>
      <c r="G134" s="147">
        <f t="shared" si="68"/>
        <v>0</v>
      </c>
      <c r="H134" s="199">
        <v>411.54</v>
      </c>
      <c r="I134" s="143"/>
      <c r="J134" s="143"/>
      <c r="K134" s="145">
        <v>1491.38</v>
      </c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03">
        <f>SUM(H134:T134)</f>
        <v>0</v>
      </c>
      <c r="W134" s="1214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03">
        <f t="shared" si="70"/>
        <v>0</v>
      </c>
      <c r="AJ134" s="134">
        <v>4560.87</v>
      </c>
      <c r="AK134" s="134">
        <v>676.34</v>
      </c>
      <c r="AL134" s="136"/>
      <c r="AM134" s="105">
        <f t="shared" si="71"/>
        <v>0</v>
      </c>
      <c r="AN134" s="99"/>
      <c r="AO134" s="99"/>
      <c r="AP134" s="99"/>
      <c r="AQ134" s="99"/>
      <c r="AR134" s="124"/>
      <c r="AS134" s="232">
        <f t="shared" si="72"/>
        <v>0</v>
      </c>
      <c r="AT134" s="1705">
        <v>15124.9</v>
      </c>
      <c r="AU134" s="1557"/>
      <c r="AV134" s="1557"/>
      <c r="AW134" s="1548"/>
      <c r="AX134" s="1548"/>
      <c r="AY134" s="1548"/>
      <c r="AZ134" s="1705">
        <v>3562.1</v>
      </c>
      <c r="BA134" s="1548"/>
      <c r="BB134" s="1548"/>
      <c r="BC134" s="1548"/>
      <c r="BD134" s="1557"/>
      <c r="BE134" s="222">
        <f t="shared" si="73"/>
        <v>0</v>
      </c>
      <c r="BF134" s="140">
        <f t="shared" si="74"/>
        <v>0</v>
      </c>
      <c r="BG134" s="132"/>
      <c r="BH134" s="140">
        <f t="shared" si="75"/>
        <v>0</v>
      </c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41"/>
      <c r="BV134" s="130">
        <f t="shared" si="76"/>
        <v>0</v>
      </c>
      <c r="BW134" s="132"/>
    </row>
    <row r="135" ht="14.25" customHeight="1">
      <c r="A135" s="3"/>
      <c r="B135" s="1019" t="s">
        <v>78</v>
      </c>
      <c r="C135" s="166">
        <f ref="C135:G135" t="shared" si="81">SUM(C104:C134)</f>
        <v>0</v>
      </c>
      <c r="D135" s="166">
        <f t="shared" si="81"/>
        <v>0</v>
      </c>
      <c r="E135" s="166">
        <f t="shared" si="81"/>
        <v>0</v>
      </c>
      <c r="F135" s="166">
        <f t="shared" si="81"/>
        <v>0</v>
      </c>
      <c r="G135" s="166">
        <f t="shared" si="81"/>
        <v>0</v>
      </c>
      <c r="H135" s="166">
        <f>SUMIF(H104:H134,"&gt;0")</f>
        <v>0</v>
      </c>
      <c r="I135" s="166">
        <f ref="I135:Q135" t="shared" si="82">SUM(I104:I134)</f>
        <v>0</v>
      </c>
      <c r="J135" s="166">
        <f t="shared" si="82"/>
        <v>0</v>
      </c>
      <c r="K135" s="166">
        <f t="shared" si="82"/>
        <v>0</v>
      </c>
      <c r="L135" s="166">
        <f t="shared" si="82"/>
        <v>0</v>
      </c>
      <c r="M135" s="166">
        <f t="shared" si="82"/>
        <v>0</v>
      </c>
      <c r="N135" s="166">
        <f t="shared" si="82"/>
        <v>0</v>
      </c>
      <c r="O135" s="166">
        <f t="shared" si="82"/>
        <v>0</v>
      </c>
      <c r="P135" s="166">
        <f t="shared" si="82"/>
        <v>0</v>
      </c>
      <c r="Q135" s="166">
        <f t="shared" si="82"/>
        <v>0</v>
      </c>
      <c r="R135" s="166"/>
      <c r="S135" s="166">
        <f ref="S135:AF135" t="shared" si="83">SUM(S104:S134)</f>
        <v>0</v>
      </c>
      <c r="T135" s="166">
        <f t="shared" si="83"/>
        <v>0</v>
      </c>
      <c r="U135" s="166">
        <f t="shared" si="83"/>
        <v>0</v>
      </c>
      <c r="V135" s="166">
        <f t="shared" si="83"/>
        <v>0</v>
      </c>
      <c r="W135" s="166">
        <f t="shared" si="83"/>
        <v>0</v>
      </c>
      <c r="X135" s="166">
        <f t="shared" si="83"/>
        <v>0</v>
      </c>
      <c r="Y135" s="166">
        <f t="shared" si="83"/>
        <v>0</v>
      </c>
      <c r="Z135" s="166">
        <f t="shared" si="83"/>
        <v>0</v>
      </c>
      <c r="AA135" s="166">
        <f t="shared" si="83"/>
        <v>0</v>
      </c>
      <c r="AB135" s="166">
        <f t="shared" si="83"/>
        <v>0</v>
      </c>
      <c r="AC135" s="166">
        <f t="shared" si="83"/>
        <v>0</v>
      </c>
      <c r="AD135" s="166">
        <f t="shared" si="83"/>
        <v>0</v>
      </c>
      <c r="AE135" s="166">
        <f t="shared" si="83"/>
        <v>0</v>
      </c>
      <c r="AF135" s="166">
        <f t="shared" si="83"/>
        <v>0</v>
      </c>
      <c r="AG135" s="166"/>
      <c r="AH135" s="166">
        <f ref="AH135:AI135" t="shared" si="84">SUM(AH104:AH134)</f>
        <v>0</v>
      </c>
      <c r="AI135" s="166">
        <f t="shared" si="84"/>
        <v>0</v>
      </c>
      <c r="AJ135" s="166">
        <f ref="AJ135:AN135" t="shared" si="85">SUM(AJ105:AJ134)</f>
        <v>0</v>
      </c>
      <c r="AK135" s="166">
        <f t="shared" si="85"/>
        <v>0</v>
      </c>
      <c r="AL135" s="166">
        <f t="shared" si="85"/>
        <v>0</v>
      </c>
      <c r="AM135" s="166">
        <f t="shared" si="85"/>
        <v>0</v>
      </c>
      <c r="AN135" s="166">
        <f t="shared" si="85"/>
        <v>0</v>
      </c>
      <c r="AO135" s="166"/>
      <c r="AP135" s="166">
        <f ref="AP135:BF135" t="shared" si="86">SUM(AP104:AP134)</f>
        <v>0</v>
      </c>
      <c r="AQ135" s="166">
        <f t="shared" si="86"/>
        <v>0</v>
      </c>
      <c r="AR135" s="166">
        <f t="shared" si="86"/>
        <v>0</v>
      </c>
      <c r="AS135" s="165">
        <f t="shared" si="86"/>
        <v>0</v>
      </c>
      <c r="AT135" s="165">
        <f t="shared" si="86"/>
        <v>0</v>
      </c>
      <c r="AU135" s="165">
        <f t="shared" si="86"/>
        <v>0</v>
      </c>
      <c r="AV135" s="165">
        <f t="shared" si="86"/>
        <v>0</v>
      </c>
      <c r="AW135" s="165">
        <f t="shared" si="86"/>
        <v>0</v>
      </c>
      <c r="AX135" s="165">
        <f t="shared" si="86"/>
        <v>0</v>
      </c>
      <c r="AY135" s="165">
        <f t="shared" si="86"/>
        <v>0</v>
      </c>
      <c r="AZ135" s="165">
        <f t="shared" si="86"/>
        <v>0</v>
      </c>
      <c r="BA135" s="165">
        <f t="shared" si="86"/>
        <v>0</v>
      </c>
      <c r="BB135" s="165">
        <f t="shared" si="86"/>
        <v>0</v>
      </c>
      <c r="BC135" s="165">
        <f t="shared" si="86"/>
        <v>0</v>
      </c>
      <c r="BD135" s="165">
        <f t="shared" si="86"/>
        <v>0</v>
      </c>
      <c r="BE135" s="166">
        <f t="shared" si="86"/>
        <v>0</v>
      </c>
      <c r="BF135" s="166">
        <f t="shared" si="86"/>
        <v>0</v>
      </c>
      <c r="BG135" s="235"/>
      <c r="BH135" s="166">
        <f ref="BH135:BV135" t="shared" si="87">SUM(BH104:BH134)</f>
        <v>0</v>
      </c>
      <c r="BI135" s="166">
        <f t="shared" si="87"/>
        <v>0</v>
      </c>
      <c r="BJ135" s="166">
        <f t="shared" si="87"/>
        <v>0</v>
      </c>
      <c r="BK135" s="166">
        <f t="shared" si="87"/>
        <v>0</v>
      </c>
      <c r="BL135" s="166">
        <f t="shared" si="87"/>
        <v>0</v>
      </c>
      <c r="BM135" s="166">
        <f t="shared" si="87"/>
        <v>0</v>
      </c>
      <c r="BN135" s="166">
        <f t="shared" si="87"/>
        <v>0</v>
      </c>
      <c r="BO135" s="166">
        <f t="shared" si="87"/>
        <v>0</v>
      </c>
      <c r="BP135" s="166">
        <f t="shared" si="87"/>
        <v>0</v>
      </c>
      <c r="BQ135" s="166">
        <f t="shared" si="87"/>
        <v>0</v>
      </c>
      <c r="BR135" s="166">
        <f t="shared" si="87"/>
        <v>0</v>
      </c>
      <c r="BS135" s="166">
        <f t="shared" si="87"/>
        <v>0</v>
      </c>
      <c r="BT135" s="166">
        <f t="shared" si="87"/>
        <v>0</v>
      </c>
      <c r="BU135" s="166">
        <f t="shared" si="87"/>
        <v>0</v>
      </c>
      <c r="BV135" s="166">
        <f t="shared" si="87"/>
        <v>0</v>
      </c>
      <c r="BW135" s="235"/>
    </row>
    <row r="136" ht="14.25" customHeight="1">
      <c r="A136" s="1"/>
      <c r="B136" s="1023" t="s">
        <v>11</v>
      </c>
      <c r="C136" s="3"/>
      <c r="D136" s="3"/>
      <c r="E136" s="3"/>
      <c r="F136" s="3"/>
      <c r="G136" s="4"/>
      <c r="H136" s="263">
        <f ref="H136:U136" t="shared" si="88">SUMIF(H105:H135,"&lt;0")</f>
        <v>0</v>
      </c>
      <c r="I136" s="263">
        <f t="shared" si="88"/>
        <v>0</v>
      </c>
      <c r="J136" s="263">
        <f t="shared" si="88"/>
        <v>0</v>
      </c>
      <c r="K136" s="263">
        <f t="shared" si="88"/>
        <v>0</v>
      </c>
      <c r="L136" s="263">
        <f t="shared" si="88"/>
        <v>0</v>
      </c>
      <c r="M136" s="263">
        <f t="shared" si="88"/>
        <v>0</v>
      </c>
      <c r="N136" s="263">
        <f t="shared" si="88"/>
        <v>0</v>
      </c>
      <c r="O136" s="263">
        <f t="shared" si="88"/>
        <v>0</v>
      </c>
      <c r="P136" s="263">
        <f t="shared" si="88"/>
        <v>0</v>
      </c>
      <c r="Q136" s="263">
        <f t="shared" si="88"/>
        <v>0</v>
      </c>
      <c r="R136" s="263">
        <f t="shared" si="88"/>
        <v>0</v>
      </c>
      <c r="S136" s="263">
        <f t="shared" si="88"/>
        <v>0</v>
      </c>
      <c r="T136" s="263">
        <f t="shared" si="88"/>
        <v>0</v>
      </c>
      <c r="U136" s="263">
        <f t="shared" si="88"/>
        <v>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96"/>
      <c r="AJ136" s="3"/>
      <c r="AK136" s="3"/>
      <c r="AL136" s="3"/>
      <c r="AM136" s="4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135"/>
      <c r="BC136" s="1135"/>
      <c r="BD136" s="1135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ht="14.25" customHeight="1">
      <c r="A137" s="1"/>
      <c r="B137" s="2"/>
      <c r="C137" s="3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76"/>
      <c r="AJ137" s="3"/>
      <c r="AK137" s="3"/>
      <c r="AL137" s="3"/>
      <c r="AM137" s="4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135"/>
      <c r="BC137" s="1135"/>
      <c r="BD137" s="1135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ht="14.25" customHeight="1">
      <c r="A138" s="3"/>
      <c r="B138" s="215">
        <v>46143</v>
      </c>
      <c r="C138" s="94"/>
      <c r="D138" s="95"/>
      <c r="E138" s="97"/>
      <c r="F138" s="97"/>
      <c r="G138" s="816">
        <f ref="G138:G168" t="shared" si="89">+C138+D138+E138+F138</f>
        <v>0</v>
      </c>
      <c r="H138" s="188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88"/>
      <c r="V138" s="877">
        <f>SUM(H138:U138)</f>
        <v>0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03">
        <f ref="AI138:AI168" t="shared" si="90">SUM(W138:AH138)</f>
        <v>0</v>
      </c>
      <c r="AJ138" s="95"/>
      <c r="AK138" s="95"/>
      <c r="AL138" s="104"/>
      <c r="AM138" s="191">
        <f ref="AM138:AM168" t="shared" si="91">SUM(AJ138:AL138)</f>
        <v>0</v>
      </c>
      <c r="AN138" s="186"/>
      <c r="AO138" s="186"/>
      <c r="AP138" s="186"/>
      <c r="AQ138" s="186"/>
      <c r="AR138" s="193"/>
      <c r="AS138" s="266">
        <f ref="AS138:AS168" t="shared" si="92">+G138-V138-AI138-AM138-AN138-AP138-AQ138-AR138</f>
        <v>0</v>
      </c>
      <c r="AT138" s="271"/>
      <c r="AU138" s="109"/>
      <c r="AV138" s="109"/>
      <c r="AW138" s="109"/>
      <c r="AX138" s="109"/>
      <c r="AY138" s="109"/>
      <c r="AZ138" s="271"/>
      <c r="BA138" s="269"/>
      <c r="BB138" s="269"/>
      <c r="BC138" s="269"/>
      <c r="BD138" s="269"/>
      <c r="BE138" s="222">
        <f ref="BE138:BE168" t="shared" si="93">SUM(AT138:BD138)-BC138</f>
        <v>0</v>
      </c>
      <c r="BF138" s="114">
        <f ref="BF138:BF168" t="shared" si="94">+AS138-BE138</f>
        <v>0</v>
      </c>
      <c r="BG138" s="3"/>
      <c r="BH138" s="114">
        <f ref="BH138:BH168" t="shared" si="95">SUM(BI138:BU138)</f>
        <v>0</v>
      </c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6">
        <f ref="BV138:BV168" t="shared" si="96">+BF138-BH138</f>
        <v>0</v>
      </c>
      <c r="BW138" s="3"/>
    </row>
    <row r="139" ht="14.25" customHeight="1">
      <c r="A139" s="3"/>
      <c r="B139" s="215">
        <v>46144</v>
      </c>
      <c r="C139" s="118"/>
      <c r="D139" s="119"/>
      <c r="E139" s="120"/>
      <c r="F139" s="120"/>
      <c r="G139" s="98">
        <f t="shared" si="89"/>
        <v>0</v>
      </c>
      <c r="H139" s="145"/>
      <c r="I139" s="143"/>
      <c r="J139" s="143"/>
      <c r="K139" s="145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877">
        <f ref="V139:V140" t="shared" si="97">SUM(H139:T139)</f>
        <v>0</v>
      </c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3"/>
      <c r="AG139" s="143"/>
      <c r="AH139" s="143"/>
      <c r="AI139" s="103">
        <f t="shared" si="90"/>
        <v>0</v>
      </c>
      <c r="AJ139" s="119"/>
      <c r="AK139" s="119"/>
      <c r="AL139" s="123"/>
      <c r="AM139" s="105">
        <f t="shared" si="91"/>
        <v>0</v>
      </c>
      <c r="AN139" s="143"/>
      <c r="AO139" s="143"/>
      <c r="AP139" s="143"/>
      <c r="AQ139" s="143"/>
      <c r="AR139" s="146"/>
      <c r="AS139" s="224">
        <f t="shared" si="92"/>
        <v>0</v>
      </c>
      <c r="AT139" s="229"/>
      <c r="AU139" s="126"/>
      <c r="AV139" s="126"/>
      <c r="AW139" s="126"/>
      <c r="AX139" s="126"/>
      <c r="AY139" s="126"/>
      <c r="AZ139" s="229"/>
      <c r="BA139" s="274"/>
      <c r="BB139" s="274"/>
      <c r="BC139" s="274"/>
      <c r="BD139" s="274"/>
      <c r="BE139" s="222">
        <f t="shared" si="93"/>
        <v>0</v>
      </c>
      <c r="BF139" s="113">
        <f t="shared" si="94"/>
        <v>0</v>
      </c>
      <c r="BG139" s="3"/>
      <c r="BH139" s="113">
        <f t="shared" si="95"/>
        <v>0</v>
      </c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31"/>
      <c r="BT139" s="129"/>
      <c r="BU139" s="129"/>
      <c r="BV139" s="130">
        <f t="shared" si="96"/>
        <v>0</v>
      </c>
      <c r="BW139" s="3"/>
    </row>
    <row r="140" ht="14.25" customHeight="1">
      <c r="A140" s="3"/>
      <c r="B140" s="215">
        <v>46145</v>
      </c>
      <c r="C140" s="228"/>
      <c r="D140" s="119"/>
      <c r="E140" s="120"/>
      <c r="F140" s="120"/>
      <c r="G140" s="98">
        <f t="shared" si="89"/>
        <v>0</v>
      </c>
      <c r="H140" s="143"/>
      <c r="I140" s="143"/>
      <c r="J140" s="143"/>
      <c r="K140" s="145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877">
        <f t="shared" si="97"/>
        <v>0</v>
      </c>
      <c r="W140" s="143"/>
      <c r="X140" s="143"/>
      <c r="Y140" s="143"/>
      <c r="Z140" s="143"/>
      <c r="AA140" s="143"/>
      <c r="AB140" s="143"/>
      <c r="AC140" s="143"/>
      <c r="AD140" s="143"/>
      <c r="AE140" s="143"/>
      <c r="AF140" s="143"/>
      <c r="AG140" s="143"/>
      <c r="AH140" s="143"/>
      <c r="AI140" s="103">
        <f t="shared" si="90"/>
        <v>0</v>
      </c>
      <c r="AJ140" s="119"/>
      <c r="AK140" s="119"/>
      <c r="AL140" s="123"/>
      <c r="AM140" s="105">
        <f t="shared" si="91"/>
        <v>0</v>
      </c>
      <c r="AN140" s="143"/>
      <c r="AO140" s="143"/>
      <c r="AP140" s="143"/>
      <c r="AQ140" s="143"/>
      <c r="AR140" s="146"/>
      <c r="AS140" s="224">
        <f t="shared" si="92"/>
        <v>0</v>
      </c>
      <c r="AT140" s="229"/>
      <c r="AU140" s="126"/>
      <c r="AV140" s="126"/>
      <c r="AW140" s="126"/>
      <c r="AX140" s="126"/>
      <c r="AY140" s="126"/>
      <c r="AZ140" s="229"/>
      <c r="BA140" s="274"/>
      <c r="BB140" s="274"/>
      <c r="BC140" s="274"/>
      <c r="BD140" s="274"/>
      <c r="BE140" s="222">
        <f t="shared" si="93"/>
        <v>0</v>
      </c>
      <c r="BF140" s="113">
        <f t="shared" si="94"/>
        <v>0</v>
      </c>
      <c r="BG140" s="3"/>
      <c r="BH140" s="113">
        <f t="shared" si="95"/>
        <v>0</v>
      </c>
      <c r="BI140" s="129"/>
      <c r="BJ140" s="129"/>
      <c r="BK140" s="129"/>
      <c r="BL140" s="129"/>
      <c r="BM140" s="129"/>
      <c r="BN140" s="129"/>
      <c r="BO140" s="129"/>
      <c r="BP140" s="129"/>
      <c r="BQ140" s="129"/>
      <c r="BR140" s="129"/>
      <c r="BS140" s="131"/>
      <c r="BT140" s="129"/>
      <c r="BU140" s="129"/>
      <c r="BV140" s="130">
        <f t="shared" si="96"/>
        <v>0</v>
      </c>
      <c r="BW140" s="3"/>
    </row>
    <row r="141" ht="14.25" customHeight="1">
      <c r="A141" s="3"/>
      <c r="B141" s="215">
        <v>46146</v>
      </c>
      <c r="C141" s="118"/>
      <c r="D141" s="119"/>
      <c r="E141" s="120"/>
      <c r="F141" s="120"/>
      <c r="G141" s="98">
        <f t="shared" si="89"/>
        <v>0</v>
      </c>
      <c r="H141" s="143"/>
      <c r="I141" s="143"/>
      <c r="J141" s="143"/>
      <c r="K141" s="145"/>
      <c r="L141" s="143"/>
      <c r="M141" s="143"/>
      <c r="N141" s="143"/>
      <c r="O141" s="143"/>
      <c r="P141" s="143"/>
      <c r="Q141" s="143"/>
      <c r="R141" s="143"/>
      <c r="S141" s="143"/>
      <c r="T141" s="143"/>
      <c r="U141" s="145"/>
      <c r="V141" s="877">
        <f>SUM(H141:U141)</f>
        <v>0</v>
      </c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43"/>
      <c r="AH141" s="143"/>
      <c r="AI141" s="103">
        <f t="shared" si="90"/>
        <v>0</v>
      </c>
      <c r="AJ141" s="119"/>
      <c r="AK141" s="119"/>
      <c r="AL141" s="123"/>
      <c r="AM141" s="105">
        <f t="shared" si="91"/>
        <v>0</v>
      </c>
      <c r="AN141" s="143"/>
      <c r="AO141" s="143"/>
      <c r="AP141" s="143"/>
      <c r="AQ141" s="143"/>
      <c r="AR141" s="146"/>
      <c r="AS141" s="224">
        <f t="shared" si="92"/>
        <v>0</v>
      </c>
      <c r="AT141" s="229"/>
      <c r="AU141" s="126"/>
      <c r="AV141" s="126"/>
      <c r="AW141" s="126"/>
      <c r="AX141" s="126"/>
      <c r="AY141" s="126"/>
      <c r="AZ141" s="229"/>
      <c r="BA141" s="274"/>
      <c r="BB141" s="274"/>
      <c r="BC141" s="274"/>
      <c r="BD141" s="274"/>
      <c r="BE141" s="222">
        <f t="shared" si="93"/>
        <v>0</v>
      </c>
      <c r="BF141" s="113">
        <f t="shared" si="94"/>
        <v>0</v>
      </c>
      <c r="BG141" s="3"/>
      <c r="BH141" s="113">
        <f t="shared" si="95"/>
        <v>0</v>
      </c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31"/>
      <c r="BT141" s="129"/>
      <c r="BU141" s="129"/>
      <c r="BV141" s="130">
        <f t="shared" si="96"/>
        <v>0</v>
      </c>
      <c r="BW141" s="3"/>
    </row>
    <row r="142" ht="14.25" customHeight="1">
      <c r="A142" s="3"/>
      <c r="B142" s="215">
        <v>46147</v>
      </c>
      <c r="C142" s="118"/>
      <c r="D142" s="119"/>
      <c r="E142" s="120"/>
      <c r="F142" s="120"/>
      <c r="G142" s="98">
        <f t="shared" si="89"/>
        <v>0</v>
      </c>
      <c r="H142" s="143"/>
      <c r="I142" s="143"/>
      <c r="J142" s="143"/>
      <c r="K142" s="145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877">
        <f>SUM(H142:T142)</f>
        <v>0</v>
      </c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43"/>
      <c r="AI142" s="103">
        <f t="shared" si="90"/>
        <v>0</v>
      </c>
      <c r="AJ142" s="119"/>
      <c r="AK142" s="119"/>
      <c r="AL142" s="123"/>
      <c r="AM142" s="105">
        <f t="shared" si="91"/>
        <v>0</v>
      </c>
      <c r="AN142" s="143"/>
      <c r="AO142" s="143"/>
      <c r="AP142" s="143"/>
      <c r="AQ142" s="143"/>
      <c r="AR142" s="146"/>
      <c r="AS142" s="224">
        <f t="shared" si="92"/>
        <v>0</v>
      </c>
      <c r="AT142" s="229"/>
      <c r="AU142" s="126"/>
      <c r="AV142" s="126"/>
      <c r="AW142" s="126"/>
      <c r="AX142" s="126"/>
      <c r="AY142" s="126"/>
      <c r="AZ142" s="229"/>
      <c r="BA142" s="274"/>
      <c r="BB142" s="274"/>
      <c r="BC142" s="274"/>
      <c r="BD142" s="274"/>
      <c r="BE142" s="222">
        <f t="shared" si="93"/>
        <v>0</v>
      </c>
      <c r="BF142" s="113">
        <f t="shared" si="94"/>
        <v>0</v>
      </c>
      <c r="BG142" s="3"/>
      <c r="BH142" s="113">
        <f t="shared" si="95"/>
        <v>0</v>
      </c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31"/>
      <c r="BT142" s="129"/>
      <c r="BU142" s="129"/>
      <c r="BV142" s="130">
        <f t="shared" si="96"/>
        <v>0</v>
      </c>
      <c r="BW142" s="3"/>
    </row>
    <row r="143" ht="14.25" customHeight="1">
      <c r="A143" s="3"/>
      <c r="B143" s="215">
        <v>46148</v>
      </c>
      <c r="C143" s="118"/>
      <c r="D143" s="119"/>
      <c r="E143" s="120"/>
      <c r="F143" s="120"/>
      <c r="G143" s="98">
        <f t="shared" si="89"/>
        <v>0</v>
      </c>
      <c r="H143" s="143"/>
      <c r="I143" s="143"/>
      <c r="J143" s="143"/>
      <c r="K143" s="145"/>
      <c r="L143" s="143"/>
      <c r="M143" s="143"/>
      <c r="N143" s="143"/>
      <c r="O143" s="143"/>
      <c r="P143" s="143"/>
      <c r="Q143" s="143"/>
      <c r="R143" s="143"/>
      <c r="S143" s="143"/>
      <c r="T143" s="143"/>
      <c r="U143" s="145"/>
      <c r="V143" s="877">
        <f>SUM(H143:U143)</f>
        <v>0</v>
      </c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03">
        <f t="shared" si="90"/>
        <v>0</v>
      </c>
      <c r="AJ143" s="119"/>
      <c r="AK143" s="119"/>
      <c r="AL143" s="123"/>
      <c r="AM143" s="105">
        <f t="shared" si="91"/>
        <v>0</v>
      </c>
      <c r="AN143" s="143"/>
      <c r="AO143" s="143"/>
      <c r="AP143" s="143"/>
      <c r="AQ143" s="143"/>
      <c r="AR143" s="146"/>
      <c r="AS143" s="224">
        <f t="shared" si="92"/>
        <v>0</v>
      </c>
      <c r="AT143" s="229"/>
      <c r="AU143" s="126"/>
      <c r="AV143" s="126"/>
      <c r="AW143" s="126"/>
      <c r="AX143" s="126"/>
      <c r="AY143" s="126"/>
      <c r="AZ143" s="229"/>
      <c r="BA143" s="274"/>
      <c r="BB143" s="274"/>
      <c r="BC143" s="274"/>
      <c r="BD143" s="274"/>
      <c r="BE143" s="222">
        <f t="shared" si="93"/>
        <v>0</v>
      </c>
      <c r="BF143" s="113">
        <f t="shared" si="94"/>
        <v>0</v>
      </c>
      <c r="BG143" s="3"/>
      <c r="BH143" s="113">
        <f t="shared" si="95"/>
        <v>0</v>
      </c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31"/>
      <c r="BT143" s="129"/>
      <c r="BU143" s="129"/>
      <c r="BV143" s="130">
        <f t="shared" si="96"/>
        <v>0</v>
      </c>
      <c r="BW143" s="3"/>
    </row>
    <row r="144" ht="14.25" customHeight="1">
      <c r="A144" s="3"/>
      <c r="B144" s="215">
        <v>46149</v>
      </c>
      <c r="C144" s="118"/>
      <c r="D144" s="123"/>
      <c r="E144" s="120"/>
      <c r="F144" s="120"/>
      <c r="G144" s="98">
        <f t="shared" si="89"/>
        <v>0</v>
      </c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877">
        <f ref="V144:V157" t="shared" si="98">SUM(H144:T144)</f>
        <v>0</v>
      </c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43"/>
      <c r="AI144" s="103">
        <f t="shared" si="90"/>
        <v>0</v>
      </c>
      <c r="AJ144" s="123"/>
      <c r="AK144" s="123"/>
      <c r="AL144" s="123"/>
      <c r="AM144" s="105">
        <f t="shared" si="91"/>
        <v>0</v>
      </c>
      <c r="AN144" s="143"/>
      <c r="AO144" s="143"/>
      <c r="AP144" s="143"/>
      <c r="AQ144" s="143"/>
      <c r="AR144" s="146"/>
      <c r="AS144" s="224">
        <f t="shared" si="92"/>
        <v>0</v>
      </c>
      <c r="AT144" s="126"/>
      <c r="AU144" s="126"/>
      <c r="AV144" s="126"/>
      <c r="AW144" s="126"/>
      <c r="AX144" s="126"/>
      <c r="AY144" s="126"/>
      <c r="AZ144" s="126"/>
      <c r="BA144" s="274"/>
      <c r="BB144" s="274"/>
      <c r="BC144" s="274"/>
      <c r="BD144" s="274"/>
      <c r="BE144" s="222">
        <f t="shared" si="93"/>
        <v>0</v>
      </c>
      <c r="BF144" s="113">
        <f t="shared" si="94"/>
        <v>0</v>
      </c>
      <c r="BG144" s="3"/>
      <c r="BH144" s="113">
        <f t="shared" si="95"/>
        <v>0</v>
      </c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30">
        <f t="shared" si="96"/>
        <v>0</v>
      </c>
      <c r="BW144" s="3"/>
    </row>
    <row r="145" ht="14.25" customHeight="1">
      <c r="A145" s="3"/>
      <c r="B145" s="215">
        <v>46150</v>
      </c>
      <c r="C145" s="118"/>
      <c r="D145" s="123"/>
      <c r="E145" s="120"/>
      <c r="F145" s="120"/>
      <c r="G145" s="98">
        <f t="shared" si="89"/>
        <v>0</v>
      </c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877">
        <f t="shared" si="98"/>
        <v>0</v>
      </c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43"/>
      <c r="AI145" s="103">
        <f t="shared" si="90"/>
        <v>0</v>
      </c>
      <c r="AJ145" s="123"/>
      <c r="AK145" s="123"/>
      <c r="AL145" s="123"/>
      <c r="AM145" s="105">
        <f t="shared" si="91"/>
        <v>0</v>
      </c>
      <c r="AN145" s="143"/>
      <c r="AO145" s="143"/>
      <c r="AP145" s="143"/>
      <c r="AQ145" s="143"/>
      <c r="AR145" s="146"/>
      <c r="AS145" s="224">
        <f t="shared" si="92"/>
        <v>0</v>
      </c>
      <c r="AT145" s="126"/>
      <c r="AU145" s="126"/>
      <c r="AV145" s="126"/>
      <c r="AW145" s="126"/>
      <c r="AX145" s="126"/>
      <c r="AY145" s="126"/>
      <c r="AZ145" s="126"/>
      <c r="BA145" s="274"/>
      <c r="BB145" s="274"/>
      <c r="BC145" s="274"/>
      <c r="BD145" s="274"/>
      <c r="BE145" s="222">
        <f t="shared" si="93"/>
        <v>0</v>
      </c>
      <c r="BF145" s="113">
        <f t="shared" si="94"/>
        <v>0</v>
      </c>
      <c r="BG145" s="3"/>
      <c r="BH145" s="113">
        <f t="shared" si="95"/>
        <v>0</v>
      </c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29"/>
      <c r="BU145" s="129"/>
      <c r="BV145" s="130">
        <f t="shared" si="96"/>
        <v>0</v>
      </c>
      <c r="BW145" s="3"/>
    </row>
    <row r="146" ht="14.25" customHeight="1">
      <c r="A146" s="3"/>
      <c r="B146" s="215">
        <v>46151</v>
      </c>
      <c r="C146" s="118"/>
      <c r="D146" s="123"/>
      <c r="E146" s="120"/>
      <c r="F146" s="120"/>
      <c r="G146" s="98">
        <f t="shared" si="89"/>
        <v>0</v>
      </c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877">
        <f t="shared" si="98"/>
        <v>0</v>
      </c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43"/>
      <c r="AI146" s="103">
        <f t="shared" si="90"/>
        <v>0</v>
      </c>
      <c r="AJ146" s="123"/>
      <c r="AK146" s="123"/>
      <c r="AL146" s="123"/>
      <c r="AM146" s="105">
        <f t="shared" si="91"/>
        <v>0</v>
      </c>
      <c r="AN146" s="143"/>
      <c r="AO146" s="143"/>
      <c r="AP146" s="143"/>
      <c r="AQ146" s="143"/>
      <c r="AR146" s="146"/>
      <c r="AS146" s="224">
        <f t="shared" si="92"/>
        <v>0</v>
      </c>
      <c r="AT146" s="126"/>
      <c r="AU146" s="126"/>
      <c r="AV146" s="126"/>
      <c r="AW146" s="126"/>
      <c r="AX146" s="126"/>
      <c r="AY146" s="126"/>
      <c r="AZ146" s="126"/>
      <c r="BA146" s="274"/>
      <c r="BB146" s="274"/>
      <c r="BC146" s="274"/>
      <c r="BD146" s="274"/>
      <c r="BE146" s="222">
        <f t="shared" si="93"/>
        <v>0</v>
      </c>
      <c r="BF146" s="113">
        <f t="shared" si="94"/>
        <v>0</v>
      </c>
      <c r="BG146" s="3"/>
      <c r="BH146" s="113">
        <f t="shared" si="95"/>
        <v>0</v>
      </c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129"/>
      <c r="BT146" s="129"/>
      <c r="BU146" s="129"/>
      <c r="BV146" s="130">
        <f t="shared" si="96"/>
        <v>0</v>
      </c>
      <c r="BW146" s="3"/>
    </row>
    <row r="147" ht="14.25" customHeight="1">
      <c r="A147" s="3"/>
      <c r="B147" s="215">
        <v>46152</v>
      </c>
      <c r="C147" s="118"/>
      <c r="D147" s="123"/>
      <c r="E147" s="120"/>
      <c r="F147" s="120"/>
      <c r="G147" s="98">
        <f t="shared" si="89"/>
        <v>0</v>
      </c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877">
        <f t="shared" si="98"/>
        <v>0</v>
      </c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43"/>
      <c r="AI147" s="103">
        <f t="shared" si="90"/>
        <v>0</v>
      </c>
      <c r="AJ147" s="123"/>
      <c r="AK147" s="123"/>
      <c r="AL147" s="123"/>
      <c r="AM147" s="105">
        <f t="shared" si="91"/>
        <v>0</v>
      </c>
      <c r="AN147" s="143"/>
      <c r="AO147" s="143"/>
      <c r="AP147" s="143"/>
      <c r="AQ147" s="143"/>
      <c r="AR147" s="146"/>
      <c r="AS147" s="224">
        <f t="shared" si="92"/>
        <v>0</v>
      </c>
      <c r="AT147" s="126"/>
      <c r="AU147" s="126"/>
      <c r="AV147" s="126"/>
      <c r="AW147" s="126"/>
      <c r="AX147" s="126"/>
      <c r="AY147" s="126"/>
      <c r="AZ147" s="126"/>
      <c r="BA147" s="274"/>
      <c r="BB147" s="274"/>
      <c r="BC147" s="274"/>
      <c r="BD147" s="274"/>
      <c r="BE147" s="222">
        <f t="shared" si="93"/>
        <v>0</v>
      </c>
      <c r="BF147" s="113">
        <f t="shared" si="94"/>
        <v>0</v>
      </c>
      <c r="BG147" s="3"/>
      <c r="BH147" s="113">
        <f t="shared" si="95"/>
        <v>0</v>
      </c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129"/>
      <c r="BT147" s="129"/>
      <c r="BU147" s="129"/>
      <c r="BV147" s="130">
        <f t="shared" si="96"/>
        <v>0</v>
      </c>
      <c r="BW147" s="3"/>
    </row>
    <row r="148" ht="14.25" customHeight="1">
      <c r="A148" s="3"/>
      <c r="B148" s="215">
        <v>46153</v>
      </c>
      <c r="C148" s="118"/>
      <c r="D148" s="123"/>
      <c r="E148" s="120"/>
      <c r="F148" s="120"/>
      <c r="G148" s="98">
        <f t="shared" si="89"/>
        <v>0</v>
      </c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877">
        <f t="shared" si="98"/>
        <v>0</v>
      </c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43"/>
      <c r="AI148" s="103">
        <f t="shared" si="90"/>
        <v>0</v>
      </c>
      <c r="AJ148" s="123"/>
      <c r="AK148" s="123"/>
      <c r="AL148" s="123"/>
      <c r="AM148" s="105">
        <f t="shared" si="91"/>
        <v>0</v>
      </c>
      <c r="AN148" s="143"/>
      <c r="AO148" s="143"/>
      <c r="AP148" s="143"/>
      <c r="AQ148" s="143"/>
      <c r="AR148" s="146"/>
      <c r="AS148" s="224">
        <f t="shared" si="92"/>
        <v>0</v>
      </c>
      <c r="AT148" s="126"/>
      <c r="AU148" s="126"/>
      <c r="AV148" s="126"/>
      <c r="AW148" s="126"/>
      <c r="AX148" s="126"/>
      <c r="AY148" s="126"/>
      <c r="AZ148" s="126"/>
      <c r="BA148" s="274"/>
      <c r="BB148" s="274"/>
      <c r="BC148" s="274"/>
      <c r="BD148" s="274"/>
      <c r="BE148" s="222">
        <f t="shared" si="93"/>
        <v>0</v>
      </c>
      <c r="BF148" s="113">
        <f t="shared" si="94"/>
        <v>0</v>
      </c>
      <c r="BG148" s="3"/>
      <c r="BH148" s="113">
        <f t="shared" si="95"/>
        <v>0</v>
      </c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129"/>
      <c r="BT148" s="129"/>
      <c r="BU148" s="129"/>
      <c r="BV148" s="130">
        <f t="shared" si="96"/>
        <v>0</v>
      </c>
      <c r="BW148" s="3"/>
    </row>
    <row r="149" ht="14.25" customHeight="1">
      <c r="A149" s="3"/>
      <c r="B149" s="215">
        <v>46154</v>
      </c>
      <c r="C149" s="118"/>
      <c r="D149" s="123"/>
      <c r="E149" s="120"/>
      <c r="F149" s="120"/>
      <c r="G149" s="98">
        <f t="shared" si="89"/>
        <v>0</v>
      </c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877">
        <f t="shared" si="98"/>
        <v>0</v>
      </c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43"/>
      <c r="AI149" s="103">
        <f t="shared" si="90"/>
        <v>0</v>
      </c>
      <c r="AJ149" s="123"/>
      <c r="AK149" s="123"/>
      <c r="AL149" s="123"/>
      <c r="AM149" s="105">
        <f t="shared" si="91"/>
        <v>0</v>
      </c>
      <c r="AN149" s="143"/>
      <c r="AO149" s="143"/>
      <c r="AP149" s="143"/>
      <c r="AQ149" s="143"/>
      <c r="AR149" s="146"/>
      <c r="AS149" s="224">
        <f t="shared" si="92"/>
        <v>0</v>
      </c>
      <c r="AT149" s="126"/>
      <c r="AU149" s="126"/>
      <c r="AV149" s="126"/>
      <c r="AW149" s="126"/>
      <c r="AX149" s="126"/>
      <c r="AY149" s="126"/>
      <c r="AZ149" s="126"/>
      <c r="BA149" s="274"/>
      <c r="BB149" s="274"/>
      <c r="BC149" s="274"/>
      <c r="BD149" s="274"/>
      <c r="BE149" s="222">
        <f t="shared" si="93"/>
        <v>0</v>
      </c>
      <c r="BF149" s="113">
        <f t="shared" si="94"/>
        <v>0</v>
      </c>
      <c r="BG149" s="3"/>
      <c r="BH149" s="113">
        <f t="shared" si="95"/>
        <v>0</v>
      </c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129"/>
      <c r="BT149" s="129"/>
      <c r="BU149" s="129"/>
      <c r="BV149" s="130">
        <f t="shared" si="96"/>
        <v>0</v>
      </c>
      <c r="BW149" s="3"/>
    </row>
    <row r="150" ht="14.25" customHeight="1">
      <c r="A150" s="3"/>
      <c r="B150" s="215">
        <v>46155</v>
      </c>
      <c r="C150" s="118"/>
      <c r="D150" s="123"/>
      <c r="E150" s="120"/>
      <c r="F150" s="120"/>
      <c r="G150" s="98">
        <f t="shared" si="89"/>
        <v>0</v>
      </c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877">
        <f t="shared" si="98"/>
        <v>0</v>
      </c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43"/>
      <c r="AI150" s="103">
        <f t="shared" si="90"/>
        <v>0</v>
      </c>
      <c r="AJ150" s="123"/>
      <c r="AK150" s="123"/>
      <c r="AL150" s="123"/>
      <c r="AM150" s="105">
        <f t="shared" si="91"/>
        <v>0</v>
      </c>
      <c r="AN150" s="143"/>
      <c r="AO150" s="143"/>
      <c r="AP150" s="143"/>
      <c r="AQ150" s="143"/>
      <c r="AR150" s="146"/>
      <c r="AS150" s="224">
        <f t="shared" si="92"/>
        <v>0</v>
      </c>
      <c r="AT150" s="126"/>
      <c r="AU150" s="126"/>
      <c r="AV150" s="126"/>
      <c r="AW150" s="126"/>
      <c r="AX150" s="126"/>
      <c r="AY150" s="126"/>
      <c r="AZ150" s="126"/>
      <c r="BA150" s="274"/>
      <c r="BB150" s="274"/>
      <c r="BC150" s="274"/>
      <c r="BD150" s="274"/>
      <c r="BE150" s="222">
        <f t="shared" si="93"/>
        <v>0</v>
      </c>
      <c r="BF150" s="113">
        <f t="shared" si="94"/>
        <v>0</v>
      </c>
      <c r="BG150" s="3"/>
      <c r="BH150" s="113">
        <f t="shared" si="95"/>
        <v>0</v>
      </c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129"/>
      <c r="BT150" s="129"/>
      <c r="BU150" s="129"/>
      <c r="BV150" s="130">
        <f t="shared" si="96"/>
        <v>0</v>
      </c>
      <c r="BW150" s="3"/>
    </row>
    <row r="151" ht="14.25" customHeight="1">
      <c r="A151" s="132"/>
      <c r="B151" s="215">
        <v>46156</v>
      </c>
      <c r="C151" s="133"/>
      <c r="D151" s="136"/>
      <c r="E151" s="135"/>
      <c r="F151" s="135"/>
      <c r="G151" s="98">
        <f t="shared" si="89"/>
        <v>0</v>
      </c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877">
        <f t="shared" si="98"/>
        <v>0</v>
      </c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43"/>
      <c r="AI151" s="103">
        <f t="shared" si="90"/>
        <v>0</v>
      </c>
      <c r="AJ151" s="136"/>
      <c r="AK151" s="136"/>
      <c r="AL151" s="136"/>
      <c r="AM151" s="105">
        <f t="shared" si="91"/>
        <v>0</v>
      </c>
      <c r="AN151" s="143"/>
      <c r="AO151" s="143"/>
      <c r="AP151" s="143"/>
      <c r="AQ151" s="143"/>
      <c r="AR151" s="146"/>
      <c r="AS151" s="224">
        <f t="shared" si="92"/>
        <v>0</v>
      </c>
      <c r="AT151" s="126"/>
      <c r="AU151" s="126"/>
      <c r="AV151" s="126"/>
      <c r="AW151" s="126"/>
      <c r="AX151" s="126"/>
      <c r="AY151" s="126"/>
      <c r="AZ151" s="126"/>
      <c r="BA151" s="274"/>
      <c r="BB151" s="274"/>
      <c r="BC151" s="274"/>
      <c r="BD151" s="274"/>
      <c r="BE151" s="222">
        <f t="shared" si="93"/>
        <v>0</v>
      </c>
      <c r="BF151" s="140">
        <f t="shared" si="94"/>
        <v>0</v>
      </c>
      <c r="BG151" s="132"/>
      <c r="BH151" s="140">
        <f t="shared" si="95"/>
        <v>0</v>
      </c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30">
        <f t="shared" si="96"/>
        <v>0</v>
      </c>
      <c r="BW151" s="132"/>
    </row>
    <row r="152" ht="14.25" customHeight="1">
      <c r="A152" s="132"/>
      <c r="B152" s="215">
        <v>46157</v>
      </c>
      <c r="C152" s="133"/>
      <c r="D152" s="136"/>
      <c r="E152" s="135"/>
      <c r="F152" s="135"/>
      <c r="G152" s="98">
        <f t="shared" si="89"/>
        <v>0</v>
      </c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877">
        <f t="shared" si="98"/>
        <v>0</v>
      </c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43"/>
      <c r="AI152" s="103">
        <f t="shared" si="90"/>
        <v>0</v>
      </c>
      <c r="AJ152" s="136"/>
      <c r="AK152" s="136"/>
      <c r="AL152" s="136"/>
      <c r="AM152" s="105">
        <f t="shared" si="91"/>
        <v>0</v>
      </c>
      <c r="AN152" s="143"/>
      <c r="AO152" s="143"/>
      <c r="AP152" s="143"/>
      <c r="AQ152" s="143"/>
      <c r="AR152" s="146"/>
      <c r="AS152" s="224">
        <f t="shared" si="92"/>
        <v>0</v>
      </c>
      <c r="AT152" s="126"/>
      <c r="AU152" s="126"/>
      <c r="AV152" s="126"/>
      <c r="AW152" s="126"/>
      <c r="AX152" s="126"/>
      <c r="AY152" s="126"/>
      <c r="AZ152" s="126"/>
      <c r="BA152" s="274"/>
      <c r="BB152" s="274"/>
      <c r="BC152" s="274"/>
      <c r="BD152" s="274"/>
      <c r="BE152" s="222">
        <f t="shared" si="93"/>
        <v>0</v>
      </c>
      <c r="BF152" s="140">
        <f t="shared" si="94"/>
        <v>0</v>
      </c>
      <c r="BG152" s="132"/>
      <c r="BH152" s="140">
        <f t="shared" si="95"/>
        <v>0</v>
      </c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30">
        <f t="shared" si="96"/>
        <v>0</v>
      </c>
      <c r="BW152" s="132"/>
    </row>
    <row r="153" ht="14.25" customHeight="1">
      <c r="A153" s="132"/>
      <c r="B153" s="215">
        <v>46158</v>
      </c>
      <c r="C153" s="133"/>
      <c r="D153" s="136"/>
      <c r="E153" s="135"/>
      <c r="F153" s="135"/>
      <c r="G153" s="98">
        <f t="shared" si="89"/>
        <v>0</v>
      </c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877">
        <f t="shared" si="98"/>
        <v>0</v>
      </c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43"/>
      <c r="AI153" s="103">
        <f t="shared" si="90"/>
        <v>0</v>
      </c>
      <c r="AJ153" s="136"/>
      <c r="AK153" s="136"/>
      <c r="AL153" s="136"/>
      <c r="AM153" s="105">
        <f t="shared" si="91"/>
        <v>0</v>
      </c>
      <c r="AN153" s="143"/>
      <c r="AO153" s="143"/>
      <c r="AP153" s="143"/>
      <c r="AQ153" s="143"/>
      <c r="AR153" s="146"/>
      <c r="AS153" s="224">
        <f t="shared" si="92"/>
        <v>0</v>
      </c>
      <c r="AT153" s="274"/>
      <c r="AU153" s="274"/>
      <c r="AV153" s="126"/>
      <c r="AW153" s="126"/>
      <c r="AX153" s="126"/>
      <c r="AY153" s="126"/>
      <c r="AZ153" s="126"/>
      <c r="BA153" s="274"/>
      <c r="BB153" s="274"/>
      <c r="BC153" s="274"/>
      <c r="BD153" s="274"/>
      <c r="BE153" s="222">
        <f t="shared" si="93"/>
        <v>0</v>
      </c>
      <c r="BF153" s="140">
        <f t="shared" si="94"/>
        <v>0</v>
      </c>
      <c r="BG153" s="132"/>
      <c r="BH153" s="140">
        <f t="shared" si="95"/>
        <v>0</v>
      </c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30">
        <f t="shared" si="96"/>
        <v>0</v>
      </c>
      <c r="BW153" s="132"/>
    </row>
    <row r="154" ht="14.25" customHeight="1">
      <c r="A154" s="132"/>
      <c r="B154" s="215">
        <v>46159</v>
      </c>
      <c r="C154" s="133"/>
      <c r="D154" s="136"/>
      <c r="E154" s="135"/>
      <c r="F154" s="135"/>
      <c r="G154" s="98">
        <f t="shared" si="89"/>
        <v>0</v>
      </c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877">
        <f t="shared" si="98"/>
        <v>0</v>
      </c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43"/>
      <c r="AI154" s="103">
        <f t="shared" si="90"/>
        <v>0</v>
      </c>
      <c r="AJ154" s="136"/>
      <c r="AK154" s="136"/>
      <c r="AL154" s="136"/>
      <c r="AM154" s="105">
        <f t="shared" si="91"/>
        <v>0</v>
      </c>
      <c r="AN154" s="143"/>
      <c r="AO154" s="143"/>
      <c r="AP154" s="143"/>
      <c r="AQ154" s="143"/>
      <c r="AR154" s="146"/>
      <c r="AS154" s="224">
        <f t="shared" si="92"/>
        <v>0</v>
      </c>
      <c r="AT154" s="274"/>
      <c r="AU154" s="274"/>
      <c r="AV154" s="126"/>
      <c r="AW154" s="126"/>
      <c r="AX154" s="126"/>
      <c r="AY154" s="126"/>
      <c r="AZ154" s="126"/>
      <c r="BA154" s="274"/>
      <c r="BB154" s="274"/>
      <c r="BC154" s="274"/>
      <c r="BD154" s="274"/>
      <c r="BE154" s="222">
        <f t="shared" si="93"/>
        <v>0</v>
      </c>
      <c r="BF154" s="140">
        <f t="shared" si="94"/>
        <v>0</v>
      </c>
      <c r="BG154" s="132"/>
      <c r="BH154" s="140">
        <f t="shared" si="95"/>
        <v>0</v>
      </c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30">
        <f t="shared" si="96"/>
        <v>0</v>
      </c>
      <c r="BW154" s="132"/>
    </row>
    <row r="155" ht="14.25" customHeight="1">
      <c r="A155" s="132"/>
      <c r="B155" s="215">
        <v>46160</v>
      </c>
      <c r="C155" s="133"/>
      <c r="D155" s="136"/>
      <c r="E155" s="135"/>
      <c r="F155" s="135"/>
      <c r="G155" s="98">
        <f t="shared" si="89"/>
        <v>0</v>
      </c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877">
        <f t="shared" si="98"/>
        <v>0</v>
      </c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03">
        <f t="shared" si="90"/>
        <v>0</v>
      </c>
      <c r="AJ155" s="136"/>
      <c r="AK155" s="136"/>
      <c r="AL155" s="136"/>
      <c r="AM155" s="105">
        <f t="shared" si="91"/>
        <v>0</v>
      </c>
      <c r="AN155" s="143"/>
      <c r="AO155" s="143"/>
      <c r="AP155" s="143"/>
      <c r="AQ155" s="143"/>
      <c r="AR155" s="146"/>
      <c r="AS155" s="224">
        <f t="shared" si="92"/>
        <v>0</v>
      </c>
      <c r="AT155" s="274"/>
      <c r="AU155" s="274"/>
      <c r="AV155" s="126"/>
      <c r="AW155" s="126"/>
      <c r="AX155" s="126"/>
      <c r="AY155" s="126"/>
      <c r="AZ155" s="126"/>
      <c r="BA155" s="274"/>
      <c r="BB155" s="274"/>
      <c r="BC155" s="274"/>
      <c r="BD155" s="274"/>
      <c r="BE155" s="222">
        <f t="shared" si="93"/>
        <v>0</v>
      </c>
      <c r="BF155" s="140">
        <f t="shared" si="94"/>
        <v>0</v>
      </c>
      <c r="BG155" s="132"/>
      <c r="BH155" s="140">
        <f t="shared" si="95"/>
        <v>0</v>
      </c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30">
        <f t="shared" si="96"/>
        <v>0</v>
      </c>
      <c r="BW155" s="132"/>
    </row>
    <row r="156" ht="14.25" customHeight="1">
      <c r="A156" s="132"/>
      <c r="B156" s="215">
        <v>46161</v>
      </c>
      <c r="C156" s="133"/>
      <c r="D156" s="136"/>
      <c r="E156" s="135"/>
      <c r="F156" s="135"/>
      <c r="G156" s="98">
        <f t="shared" si="89"/>
        <v>0</v>
      </c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877">
        <f t="shared" si="98"/>
        <v>0</v>
      </c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43"/>
      <c r="AI156" s="103">
        <f t="shared" si="90"/>
        <v>0</v>
      </c>
      <c r="AJ156" s="136"/>
      <c r="AK156" s="136"/>
      <c r="AL156" s="136"/>
      <c r="AM156" s="105">
        <f t="shared" si="91"/>
        <v>0</v>
      </c>
      <c r="AN156" s="143"/>
      <c r="AO156" s="143"/>
      <c r="AP156" s="143"/>
      <c r="AQ156" s="143"/>
      <c r="AR156" s="146"/>
      <c r="AS156" s="224">
        <f t="shared" si="92"/>
        <v>0</v>
      </c>
      <c r="AT156" s="274"/>
      <c r="AU156" s="274"/>
      <c r="AV156" s="126"/>
      <c r="AW156" s="126"/>
      <c r="AX156" s="126"/>
      <c r="AY156" s="126"/>
      <c r="AZ156" s="126"/>
      <c r="BA156" s="274"/>
      <c r="BB156" s="274"/>
      <c r="BC156" s="274"/>
      <c r="BD156" s="274"/>
      <c r="BE156" s="222">
        <f t="shared" si="93"/>
        <v>0</v>
      </c>
      <c r="BF156" s="140">
        <f t="shared" si="94"/>
        <v>0</v>
      </c>
      <c r="BG156" s="132"/>
      <c r="BH156" s="140">
        <f t="shared" si="95"/>
        <v>0</v>
      </c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30">
        <f t="shared" si="96"/>
        <v>0</v>
      </c>
      <c r="BW156" s="132"/>
    </row>
    <row r="157" ht="14.25" customHeight="1">
      <c r="A157" s="132"/>
      <c r="B157" s="215">
        <v>46162</v>
      </c>
      <c r="C157" s="133"/>
      <c r="D157" s="136"/>
      <c r="E157" s="135"/>
      <c r="F157" s="135"/>
      <c r="G157" s="98">
        <f t="shared" si="89"/>
        <v>0</v>
      </c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877">
        <f t="shared" si="98"/>
        <v>0</v>
      </c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43"/>
      <c r="AI157" s="103">
        <f t="shared" si="90"/>
        <v>0</v>
      </c>
      <c r="AJ157" s="136"/>
      <c r="AK157" s="136"/>
      <c r="AL157" s="136"/>
      <c r="AM157" s="105">
        <f t="shared" si="91"/>
        <v>0</v>
      </c>
      <c r="AN157" s="143"/>
      <c r="AO157" s="143"/>
      <c r="AP157" s="143"/>
      <c r="AQ157" s="143"/>
      <c r="AR157" s="146"/>
      <c r="AS157" s="224">
        <f t="shared" si="92"/>
        <v>0</v>
      </c>
      <c r="AT157" s="274"/>
      <c r="AU157" s="274"/>
      <c r="AV157" s="126"/>
      <c r="AW157" s="126"/>
      <c r="AX157" s="126"/>
      <c r="AY157" s="126"/>
      <c r="AZ157" s="126"/>
      <c r="BA157" s="274"/>
      <c r="BB157" s="274"/>
      <c r="BC157" s="274"/>
      <c r="BD157" s="274"/>
      <c r="BE157" s="222">
        <f t="shared" si="93"/>
        <v>0</v>
      </c>
      <c r="BF157" s="140">
        <f t="shared" si="94"/>
        <v>0</v>
      </c>
      <c r="BG157" s="132"/>
      <c r="BH157" s="140">
        <f t="shared" si="95"/>
        <v>0</v>
      </c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30">
        <f t="shared" si="96"/>
        <v>0</v>
      </c>
      <c r="BW157" s="132"/>
    </row>
    <row r="158" ht="14.25" customHeight="1">
      <c r="A158" s="132"/>
      <c r="B158" s="215">
        <v>46163</v>
      </c>
      <c r="C158" s="133"/>
      <c r="D158" s="136"/>
      <c r="E158" s="135"/>
      <c r="F158" s="135"/>
      <c r="G158" s="98">
        <f t="shared" si="89"/>
        <v>0</v>
      </c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877">
        <f>SUM(H158:U158)</f>
        <v>0</v>
      </c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03">
        <f t="shared" si="90"/>
        <v>0</v>
      </c>
      <c r="AJ158" s="136"/>
      <c r="AK158" s="136"/>
      <c r="AL158" s="136"/>
      <c r="AM158" s="105">
        <f t="shared" si="91"/>
        <v>0</v>
      </c>
      <c r="AN158" s="143"/>
      <c r="AO158" s="143"/>
      <c r="AP158" s="143"/>
      <c r="AQ158" s="143"/>
      <c r="AR158" s="146"/>
      <c r="AS158" s="224">
        <f t="shared" si="92"/>
        <v>0</v>
      </c>
      <c r="AT158" s="274"/>
      <c r="AU158" s="274"/>
      <c r="AV158" s="126"/>
      <c r="AW158" s="126"/>
      <c r="AX158" s="126"/>
      <c r="AY158" s="126"/>
      <c r="AZ158" s="126"/>
      <c r="BA158" s="274"/>
      <c r="BB158" s="274"/>
      <c r="BC158" s="274"/>
      <c r="BD158" s="274"/>
      <c r="BE158" s="222">
        <f t="shared" si="93"/>
        <v>0</v>
      </c>
      <c r="BF158" s="140">
        <f t="shared" si="94"/>
        <v>0</v>
      </c>
      <c r="BG158" s="132"/>
      <c r="BH158" s="140">
        <f t="shared" si="95"/>
        <v>0</v>
      </c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30">
        <f t="shared" si="96"/>
        <v>0</v>
      </c>
      <c r="BW158" s="132"/>
    </row>
    <row r="159" ht="14.25" customHeight="1">
      <c r="A159" s="132"/>
      <c r="B159" s="215">
        <v>46164</v>
      </c>
      <c r="C159" s="133"/>
      <c r="D159" s="136"/>
      <c r="E159" s="135"/>
      <c r="F159" s="135"/>
      <c r="G159" s="98">
        <f t="shared" si="89"/>
        <v>0</v>
      </c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877">
        <f ref="V159:V161" t="shared" si="99">SUM(H159:T159)</f>
        <v>0</v>
      </c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43"/>
      <c r="AI159" s="103">
        <f t="shared" si="90"/>
        <v>0</v>
      </c>
      <c r="AJ159" s="136"/>
      <c r="AK159" s="136"/>
      <c r="AL159" s="136"/>
      <c r="AM159" s="105">
        <f t="shared" si="91"/>
        <v>0</v>
      </c>
      <c r="AN159" s="143"/>
      <c r="AO159" s="143"/>
      <c r="AP159" s="143"/>
      <c r="AQ159" s="143"/>
      <c r="AR159" s="146"/>
      <c r="AS159" s="224">
        <f t="shared" si="92"/>
        <v>0</v>
      </c>
      <c r="AT159" s="274"/>
      <c r="AU159" s="274"/>
      <c r="AV159" s="126"/>
      <c r="AW159" s="126"/>
      <c r="AX159" s="126"/>
      <c r="AY159" s="126"/>
      <c r="AZ159" s="126"/>
      <c r="BA159" s="274"/>
      <c r="BB159" s="274"/>
      <c r="BC159" s="274"/>
      <c r="BD159" s="274"/>
      <c r="BE159" s="222">
        <f t="shared" si="93"/>
        <v>0</v>
      </c>
      <c r="BF159" s="140">
        <f t="shared" si="94"/>
        <v>0</v>
      </c>
      <c r="BG159" s="132"/>
      <c r="BH159" s="140">
        <f t="shared" si="95"/>
        <v>0</v>
      </c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30">
        <f t="shared" si="96"/>
        <v>0</v>
      </c>
      <c r="BW159" s="132"/>
    </row>
    <row r="160" ht="14.25" customHeight="1">
      <c r="A160" s="132"/>
      <c r="B160" s="215">
        <v>46165</v>
      </c>
      <c r="C160" s="133"/>
      <c r="D160" s="136"/>
      <c r="E160" s="135"/>
      <c r="F160" s="135"/>
      <c r="G160" s="98">
        <f t="shared" si="89"/>
        <v>0</v>
      </c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877">
        <f t="shared" si="99"/>
        <v>0</v>
      </c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43"/>
      <c r="AI160" s="103">
        <f t="shared" si="90"/>
        <v>0</v>
      </c>
      <c r="AJ160" s="136"/>
      <c r="AK160" s="136"/>
      <c r="AL160" s="136"/>
      <c r="AM160" s="105">
        <f t="shared" si="91"/>
        <v>0</v>
      </c>
      <c r="AN160" s="143"/>
      <c r="AO160" s="143"/>
      <c r="AP160" s="143"/>
      <c r="AQ160" s="143"/>
      <c r="AR160" s="146"/>
      <c r="AS160" s="224">
        <f t="shared" si="92"/>
        <v>0</v>
      </c>
      <c r="AT160" s="274"/>
      <c r="AU160" s="274"/>
      <c r="AV160" s="126"/>
      <c r="AW160" s="126"/>
      <c r="AX160" s="126"/>
      <c r="AY160" s="126"/>
      <c r="AZ160" s="126"/>
      <c r="BA160" s="274"/>
      <c r="BB160" s="274"/>
      <c r="BC160" s="274"/>
      <c r="BD160" s="274"/>
      <c r="BE160" s="222">
        <f t="shared" si="93"/>
        <v>0</v>
      </c>
      <c r="BF160" s="140">
        <f t="shared" si="94"/>
        <v>0</v>
      </c>
      <c r="BG160" s="132"/>
      <c r="BH160" s="140">
        <f t="shared" si="95"/>
        <v>0</v>
      </c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30">
        <f t="shared" si="96"/>
        <v>0</v>
      </c>
      <c r="BW160" s="132"/>
    </row>
    <row r="161" ht="14.25" customHeight="1">
      <c r="A161" s="132"/>
      <c r="B161" s="215">
        <v>46166</v>
      </c>
      <c r="C161" s="133"/>
      <c r="D161" s="136"/>
      <c r="E161" s="135"/>
      <c r="F161" s="135"/>
      <c r="G161" s="98">
        <f t="shared" si="89"/>
        <v>0</v>
      </c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877">
        <f t="shared" si="99"/>
        <v>0</v>
      </c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43"/>
      <c r="AI161" s="103">
        <f t="shared" si="90"/>
        <v>0</v>
      </c>
      <c r="AJ161" s="136"/>
      <c r="AK161" s="136"/>
      <c r="AL161" s="136"/>
      <c r="AM161" s="105">
        <f t="shared" si="91"/>
        <v>0</v>
      </c>
      <c r="AN161" s="143"/>
      <c r="AO161" s="143"/>
      <c r="AP161" s="143"/>
      <c r="AQ161" s="143"/>
      <c r="AR161" s="146"/>
      <c r="AS161" s="224">
        <f t="shared" si="92"/>
        <v>0</v>
      </c>
      <c r="AT161" s="274"/>
      <c r="AU161" s="274"/>
      <c r="AV161" s="126"/>
      <c r="AW161" s="126"/>
      <c r="AX161" s="126"/>
      <c r="AY161" s="126"/>
      <c r="AZ161" s="126"/>
      <c r="BA161" s="274"/>
      <c r="BB161" s="274"/>
      <c r="BC161" s="274"/>
      <c r="BD161" s="274"/>
      <c r="BE161" s="222">
        <f t="shared" si="93"/>
        <v>0</v>
      </c>
      <c r="BF161" s="140">
        <f t="shared" si="94"/>
        <v>0</v>
      </c>
      <c r="BG161" s="132"/>
      <c r="BH161" s="140">
        <f t="shared" si="95"/>
        <v>0</v>
      </c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30">
        <f t="shared" si="96"/>
        <v>0</v>
      </c>
      <c r="BW161" s="132"/>
    </row>
    <row r="162" ht="14.25" customHeight="1">
      <c r="A162" s="132"/>
      <c r="B162" s="215">
        <v>46167</v>
      </c>
      <c r="C162" s="133"/>
      <c r="D162" s="136"/>
      <c r="E162" s="309"/>
      <c r="F162" s="309"/>
      <c r="G162" s="98">
        <f t="shared" si="89"/>
        <v>0</v>
      </c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132"/>
      <c r="U162" s="133"/>
      <c r="V162" s="1215">
        <f>SUM(H162:U162)</f>
        <v>0</v>
      </c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1216">
        <f t="shared" si="90"/>
        <v>0</v>
      </c>
      <c r="AJ162" s="136"/>
      <c r="AK162" s="136"/>
      <c r="AL162" s="136"/>
      <c r="AM162" s="105">
        <f t="shared" si="91"/>
        <v>0</v>
      </c>
      <c r="AN162" s="99"/>
      <c r="AO162" s="99"/>
      <c r="AP162" s="99"/>
      <c r="AQ162" s="99"/>
      <c r="AR162" s="124"/>
      <c r="AS162" s="224">
        <f t="shared" si="92"/>
        <v>0</v>
      </c>
      <c r="AT162" s="274"/>
      <c r="AU162" s="274"/>
      <c r="AV162" s="126"/>
      <c r="AW162" s="126"/>
      <c r="AX162" s="126"/>
      <c r="AY162" s="126"/>
      <c r="AZ162" s="126"/>
      <c r="BA162" s="274"/>
      <c r="BB162" s="274"/>
      <c r="BC162" s="274"/>
      <c r="BD162" s="274"/>
      <c r="BE162" s="222">
        <f t="shared" si="93"/>
        <v>0</v>
      </c>
      <c r="BF162" s="136">
        <f t="shared" si="94"/>
        <v>0</v>
      </c>
      <c r="BG162" s="132"/>
      <c r="BH162" s="136">
        <f t="shared" si="95"/>
        <v>0</v>
      </c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05">
        <f t="shared" si="96"/>
        <v>0</v>
      </c>
      <c r="BW162" s="495"/>
    </row>
    <row r="163" ht="14.25" customHeight="1">
      <c r="A163" s="132"/>
      <c r="B163" s="215">
        <v>46168</v>
      </c>
      <c r="C163" s="133"/>
      <c r="D163" s="136"/>
      <c r="E163" s="135"/>
      <c r="F163" s="135"/>
      <c r="G163" s="98">
        <f t="shared" si="89"/>
        <v>0</v>
      </c>
      <c r="H163" s="143"/>
      <c r="I163" s="143"/>
      <c r="J163" s="143"/>
      <c r="K163" s="143"/>
      <c r="L163" s="143"/>
      <c r="M163" s="143"/>
      <c r="N163" s="99"/>
      <c r="O163" s="143"/>
      <c r="P163" s="143"/>
      <c r="Q163" s="143"/>
      <c r="R163" s="143"/>
      <c r="S163" s="143"/>
      <c r="T163" s="143"/>
      <c r="U163" s="143"/>
      <c r="V163" s="877">
        <f>SUM(H163:T163)</f>
        <v>0</v>
      </c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43"/>
      <c r="AI163" s="103">
        <f t="shared" si="90"/>
        <v>0</v>
      </c>
      <c r="AJ163" s="136"/>
      <c r="AK163" s="136"/>
      <c r="AL163" s="136"/>
      <c r="AM163" s="105">
        <f t="shared" si="91"/>
        <v>0</v>
      </c>
      <c r="AN163" s="143"/>
      <c r="AO163" s="143"/>
      <c r="AP163" s="143"/>
      <c r="AQ163" s="143"/>
      <c r="AR163" s="146"/>
      <c r="AS163" s="224">
        <f t="shared" si="92"/>
        <v>0</v>
      </c>
      <c r="AT163" s="274"/>
      <c r="AU163" s="274"/>
      <c r="AV163" s="126"/>
      <c r="AW163" s="126"/>
      <c r="AX163" s="126"/>
      <c r="AY163" s="126"/>
      <c r="AZ163" s="126"/>
      <c r="BA163" s="274"/>
      <c r="BB163" s="274"/>
      <c r="BC163" s="274"/>
      <c r="BD163" s="274"/>
      <c r="BE163" s="222">
        <f t="shared" si="93"/>
        <v>0</v>
      </c>
      <c r="BF163" s="140">
        <f t="shared" si="94"/>
        <v>0</v>
      </c>
      <c r="BG163" s="132"/>
      <c r="BH163" s="140">
        <f t="shared" si="95"/>
        <v>0</v>
      </c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30">
        <f t="shared" si="96"/>
        <v>0</v>
      </c>
      <c r="BW163" s="132"/>
    </row>
    <row r="164" ht="14.25" customHeight="1">
      <c r="A164" s="132"/>
      <c r="B164" s="215">
        <v>46169</v>
      </c>
      <c r="C164" s="133"/>
      <c r="D164" s="136"/>
      <c r="E164" s="135"/>
      <c r="F164" s="135"/>
      <c r="G164" s="98">
        <f t="shared" si="89"/>
        <v>0</v>
      </c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877">
        <f ref="V164:V168" t="shared" si="100">SUM(H164:U164)</f>
        <v>0</v>
      </c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43"/>
      <c r="AI164" s="103">
        <f t="shared" si="90"/>
        <v>0</v>
      </c>
      <c r="AJ164" s="136"/>
      <c r="AK164" s="136"/>
      <c r="AL164" s="136"/>
      <c r="AM164" s="105">
        <f t="shared" si="91"/>
        <v>0</v>
      </c>
      <c r="AN164" s="143"/>
      <c r="AO164" s="143"/>
      <c r="AP164" s="143"/>
      <c r="AQ164" s="143"/>
      <c r="AR164" s="146"/>
      <c r="AS164" s="224">
        <f t="shared" si="92"/>
        <v>0</v>
      </c>
      <c r="AT164" s="274"/>
      <c r="AU164" s="274"/>
      <c r="AV164" s="126"/>
      <c r="AW164" s="126"/>
      <c r="AX164" s="126"/>
      <c r="AY164" s="126"/>
      <c r="AZ164" s="126"/>
      <c r="BA164" s="274"/>
      <c r="BB164" s="274"/>
      <c r="BC164" s="274"/>
      <c r="BD164" s="274"/>
      <c r="BE164" s="222">
        <f t="shared" si="93"/>
        <v>0</v>
      </c>
      <c r="BF164" s="140">
        <f t="shared" si="94"/>
        <v>0</v>
      </c>
      <c r="BG164" s="132"/>
      <c r="BH164" s="140">
        <f t="shared" si="95"/>
        <v>0</v>
      </c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30">
        <f t="shared" si="96"/>
        <v>0</v>
      </c>
      <c r="BW164" s="132"/>
    </row>
    <row r="165" ht="14.25" customHeight="1">
      <c r="A165" s="132"/>
      <c r="B165" s="215">
        <v>46170</v>
      </c>
      <c r="C165" s="133"/>
      <c r="D165" s="136"/>
      <c r="E165" s="135"/>
      <c r="F165" s="135"/>
      <c r="G165" s="98">
        <f t="shared" si="89"/>
        <v>0</v>
      </c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877">
        <f t="shared" si="100"/>
        <v>0</v>
      </c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43"/>
      <c r="AI165" s="103">
        <f t="shared" si="90"/>
        <v>0</v>
      </c>
      <c r="AJ165" s="136"/>
      <c r="AK165" s="136"/>
      <c r="AL165" s="136"/>
      <c r="AM165" s="105">
        <f t="shared" si="91"/>
        <v>0</v>
      </c>
      <c r="AN165" s="143"/>
      <c r="AO165" s="143"/>
      <c r="AP165" s="143"/>
      <c r="AQ165" s="143"/>
      <c r="AR165" s="146"/>
      <c r="AS165" s="224">
        <f t="shared" si="92"/>
        <v>0</v>
      </c>
      <c r="AT165" s="274"/>
      <c r="AU165" s="274"/>
      <c r="AV165" s="126"/>
      <c r="AW165" s="126"/>
      <c r="AX165" s="126"/>
      <c r="AY165" s="126"/>
      <c r="AZ165" s="126"/>
      <c r="BA165" s="274"/>
      <c r="BB165" s="274"/>
      <c r="BC165" s="274"/>
      <c r="BD165" s="274"/>
      <c r="BE165" s="222">
        <f t="shared" si="93"/>
        <v>0</v>
      </c>
      <c r="BF165" s="140">
        <f t="shared" si="94"/>
        <v>0</v>
      </c>
      <c r="BG165" s="132"/>
      <c r="BH165" s="140">
        <f t="shared" si="95"/>
        <v>0</v>
      </c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30">
        <f t="shared" si="96"/>
        <v>0</v>
      </c>
      <c r="BW165" s="132"/>
    </row>
    <row r="166" ht="14.25" customHeight="1">
      <c r="A166" s="132"/>
      <c r="B166" s="215">
        <v>46171</v>
      </c>
      <c r="C166" s="133"/>
      <c r="D166" s="136"/>
      <c r="E166" s="135"/>
      <c r="F166" s="135"/>
      <c r="G166" s="98">
        <f t="shared" si="89"/>
        <v>0</v>
      </c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877">
        <f t="shared" si="100"/>
        <v>0</v>
      </c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43"/>
      <c r="AI166" s="103">
        <f t="shared" si="90"/>
        <v>0</v>
      </c>
      <c r="AJ166" s="136"/>
      <c r="AK166" s="136"/>
      <c r="AL166" s="136"/>
      <c r="AM166" s="105">
        <f t="shared" si="91"/>
        <v>0</v>
      </c>
      <c r="AN166" s="143"/>
      <c r="AO166" s="143"/>
      <c r="AP166" s="143"/>
      <c r="AQ166" s="143"/>
      <c r="AR166" s="146"/>
      <c r="AS166" s="224">
        <f t="shared" si="92"/>
        <v>0</v>
      </c>
      <c r="AT166" s="274"/>
      <c r="AU166" s="274"/>
      <c r="AV166" s="126"/>
      <c r="AW166" s="126"/>
      <c r="AX166" s="126"/>
      <c r="AY166" s="126"/>
      <c r="AZ166" s="126"/>
      <c r="BA166" s="274"/>
      <c r="BB166" s="274"/>
      <c r="BC166" s="274"/>
      <c r="BD166" s="274"/>
      <c r="BE166" s="222">
        <f t="shared" si="93"/>
        <v>0</v>
      </c>
      <c r="BF166" s="140">
        <f t="shared" si="94"/>
        <v>0</v>
      </c>
      <c r="BG166" s="132"/>
      <c r="BH166" s="140">
        <f t="shared" si="95"/>
        <v>0</v>
      </c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30">
        <f t="shared" si="96"/>
        <v>0</v>
      </c>
      <c r="BW166" s="132"/>
    </row>
    <row r="167" ht="14.25" customHeight="1">
      <c r="A167" s="132"/>
      <c r="B167" s="215">
        <v>46172</v>
      </c>
      <c r="C167" s="133"/>
      <c r="D167" s="136"/>
      <c r="E167" s="135"/>
      <c r="F167" s="135"/>
      <c r="G167" s="98">
        <f t="shared" si="89"/>
        <v>0</v>
      </c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877">
        <f t="shared" si="100"/>
        <v>0</v>
      </c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43"/>
      <c r="AI167" s="103">
        <f t="shared" si="90"/>
        <v>0</v>
      </c>
      <c r="AJ167" s="136"/>
      <c r="AK167" s="136"/>
      <c r="AL167" s="136"/>
      <c r="AM167" s="105">
        <f t="shared" si="91"/>
        <v>0</v>
      </c>
      <c r="AN167" s="143"/>
      <c r="AO167" s="143"/>
      <c r="AP167" s="143"/>
      <c r="AQ167" s="143"/>
      <c r="AR167" s="146"/>
      <c r="AS167" s="224">
        <f t="shared" si="92"/>
        <v>0</v>
      </c>
      <c r="AT167" s="274"/>
      <c r="AU167" s="274"/>
      <c r="AV167" s="126"/>
      <c r="AW167" s="126"/>
      <c r="AX167" s="126"/>
      <c r="AY167" s="126"/>
      <c r="AZ167" s="126"/>
      <c r="BA167" s="274"/>
      <c r="BB167" s="274"/>
      <c r="BC167" s="274"/>
      <c r="BD167" s="274"/>
      <c r="BE167" s="222">
        <f t="shared" si="93"/>
        <v>0</v>
      </c>
      <c r="BF167" s="140">
        <f t="shared" si="94"/>
        <v>0</v>
      </c>
      <c r="BG167" s="132"/>
      <c r="BH167" s="140">
        <f t="shared" si="95"/>
        <v>0</v>
      </c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30">
        <f t="shared" si="96"/>
        <v>0</v>
      </c>
      <c r="BW167" s="132"/>
    </row>
    <row r="168" ht="14.25" customHeight="1">
      <c r="A168" s="132"/>
      <c r="B168" s="215">
        <v>46173</v>
      </c>
      <c r="C168" s="153"/>
      <c r="D168" s="159"/>
      <c r="E168" s="156"/>
      <c r="F168" s="156"/>
      <c r="G168" s="98">
        <f t="shared" si="89"/>
        <v>0</v>
      </c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877">
        <f t="shared" si="100"/>
        <v>0</v>
      </c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03">
        <f t="shared" si="90"/>
        <v>0</v>
      </c>
      <c r="AJ168" s="159"/>
      <c r="AK168" s="159"/>
      <c r="AL168" s="159"/>
      <c r="AM168" s="105">
        <f t="shared" si="91"/>
        <v>0</v>
      </c>
      <c r="AN168" s="157"/>
      <c r="AO168" s="157"/>
      <c r="AP168" s="157"/>
      <c r="AQ168" s="157"/>
      <c r="AR168" s="160"/>
      <c r="AS168" s="224">
        <f t="shared" si="92"/>
        <v>0</v>
      </c>
      <c r="AT168" s="296"/>
      <c r="AU168" s="296"/>
      <c r="AV168" s="138"/>
      <c r="AW168" s="138"/>
      <c r="AX168" s="138"/>
      <c r="AY168" s="138"/>
      <c r="AZ168" s="138"/>
      <c r="BA168" s="296"/>
      <c r="BB168" s="296"/>
      <c r="BC168" s="296"/>
      <c r="BD168" s="296"/>
      <c r="BE168" s="222">
        <f t="shared" si="93"/>
        <v>0</v>
      </c>
      <c r="BF168" s="162">
        <f t="shared" si="94"/>
        <v>0</v>
      </c>
      <c r="BG168" s="132"/>
      <c r="BH168" s="162">
        <f t="shared" si="95"/>
        <v>0</v>
      </c>
      <c r="BI168" s="163"/>
      <c r="BJ168" s="163"/>
      <c r="BK168" s="163"/>
      <c r="BL168" s="163"/>
      <c r="BM168" s="163"/>
      <c r="BN168" s="163"/>
      <c r="BO168" s="163"/>
      <c r="BP168" s="163"/>
      <c r="BQ168" s="163"/>
      <c r="BR168" s="141"/>
      <c r="BS168" s="163"/>
      <c r="BT168" s="163"/>
      <c r="BU168" s="163"/>
      <c r="BV168" s="164">
        <f t="shared" si="96"/>
        <v>0</v>
      </c>
      <c r="BW168" s="132"/>
    </row>
    <row r="169" ht="14.25" customHeight="1">
      <c r="A169" s="3"/>
      <c r="B169" s="2" t="s">
        <v>4</v>
      </c>
      <c r="C169" s="166">
        <f ref="C169:Q169" t="shared" si="101">SUM(C138:C168)</f>
        <v>0</v>
      </c>
      <c r="D169" s="166">
        <f t="shared" si="101"/>
        <v>0</v>
      </c>
      <c r="E169" s="166">
        <f t="shared" si="101"/>
        <v>0</v>
      </c>
      <c r="F169" s="166">
        <f t="shared" si="101"/>
        <v>0</v>
      </c>
      <c r="G169" s="166">
        <f t="shared" si="101"/>
        <v>0</v>
      </c>
      <c r="H169" s="165">
        <f t="shared" si="101"/>
        <v>0</v>
      </c>
      <c r="I169" s="165">
        <f t="shared" si="101"/>
        <v>0</v>
      </c>
      <c r="J169" s="165">
        <f t="shared" si="101"/>
        <v>0</v>
      </c>
      <c r="K169" s="165">
        <f t="shared" si="101"/>
        <v>0</v>
      </c>
      <c r="L169" s="165">
        <f t="shared" si="101"/>
        <v>0</v>
      </c>
      <c r="M169" s="165">
        <f t="shared" si="101"/>
        <v>0</v>
      </c>
      <c r="N169" s="165">
        <f t="shared" si="101"/>
        <v>0</v>
      </c>
      <c r="O169" s="165">
        <f t="shared" si="101"/>
        <v>0</v>
      </c>
      <c r="P169" s="165">
        <f t="shared" si="101"/>
        <v>0</v>
      </c>
      <c r="Q169" s="165">
        <f t="shared" si="101"/>
        <v>0</v>
      </c>
      <c r="R169" s="165"/>
      <c r="S169" s="165">
        <f ref="S169:AF169" t="shared" si="102">SUM(S138:S168)</f>
        <v>0</v>
      </c>
      <c r="T169" s="165">
        <f t="shared" si="102"/>
        <v>0</v>
      </c>
      <c r="U169" s="165">
        <f t="shared" si="102"/>
        <v>0</v>
      </c>
      <c r="V169" s="166">
        <f t="shared" si="102"/>
        <v>0</v>
      </c>
      <c r="W169" s="166">
        <f t="shared" si="102"/>
        <v>0</v>
      </c>
      <c r="X169" s="166">
        <f t="shared" si="102"/>
        <v>0</v>
      </c>
      <c r="Y169" s="166">
        <f t="shared" si="102"/>
        <v>0</v>
      </c>
      <c r="Z169" s="166">
        <f t="shared" si="102"/>
        <v>0</v>
      </c>
      <c r="AA169" s="166">
        <f t="shared" si="102"/>
        <v>0</v>
      </c>
      <c r="AB169" s="166">
        <f t="shared" si="102"/>
        <v>0</v>
      </c>
      <c r="AC169" s="166">
        <f t="shared" si="102"/>
        <v>0</v>
      </c>
      <c r="AD169" s="166">
        <f t="shared" si="102"/>
        <v>0</v>
      </c>
      <c r="AE169" s="166">
        <f t="shared" si="102"/>
        <v>0</v>
      </c>
      <c r="AF169" s="166">
        <f t="shared" si="102"/>
        <v>0</v>
      </c>
      <c r="AG169" s="166"/>
      <c r="AH169" s="166">
        <f ref="AH169:AN169" t="shared" si="103">SUM(AH138:AH168)</f>
        <v>0</v>
      </c>
      <c r="AI169" s="166">
        <f t="shared" si="103"/>
        <v>0</v>
      </c>
      <c r="AJ169" s="166">
        <f t="shared" si="103"/>
        <v>0</v>
      </c>
      <c r="AK169" s="166">
        <f t="shared" si="103"/>
        <v>0</v>
      </c>
      <c r="AL169" s="166">
        <f t="shared" si="103"/>
        <v>0</v>
      </c>
      <c r="AM169" s="166">
        <f t="shared" si="103"/>
        <v>0</v>
      </c>
      <c r="AN169" s="166">
        <f t="shared" si="103"/>
        <v>0</v>
      </c>
      <c r="AO169" s="166"/>
      <c r="AP169" s="166">
        <f ref="AP169:BF169" t="shared" si="104">SUM(AP138:AP168)</f>
        <v>0</v>
      </c>
      <c r="AQ169" s="166">
        <f t="shared" si="104"/>
        <v>0</v>
      </c>
      <c r="AR169" s="166">
        <f t="shared" si="104"/>
        <v>0</v>
      </c>
      <c r="AS169" s="166">
        <f t="shared" si="104"/>
        <v>0</v>
      </c>
      <c r="AT169" s="166">
        <f t="shared" si="104"/>
        <v>0</v>
      </c>
      <c r="AU169" s="166">
        <f t="shared" si="104"/>
        <v>0</v>
      </c>
      <c r="AV169" s="166">
        <f t="shared" si="104"/>
        <v>0</v>
      </c>
      <c r="AW169" s="166">
        <f t="shared" si="104"/>
        <v>0</v>
      </c>
      <c r="AX169" s="166">
        <f t="shared" si="104"/>
        <v>0</v>
      </c>
      <c r="AY169" s="166">
        <f t="shared" si="104"/>
        <v>0</v>
      </c>
      <c r="AZ169" s="166">
        <f t="shared" si="104"/>
        <v>0</v>
      </c>
      <c r="BA169" s="166">
        <f t="shared" si="104"/>
        <v>0</v>
      </c>
      <c r="BB169" s="166">
        <f t="shared" si="104"/>
        <v>0</v>
      </c>
      <c r="BC169" s="166">
        <f t="shared" si="104"/>
        <v>0</v>
      </c>
      <c r="BD169" s="166">
        <f t="shared" si="104"/>
        <v>0</v>
      </c>
      <c r="BE169" s="166">
        <f t="shared" si="104"/>
        <v>0</v>
      </c>
      <c r="BF169" s="166">
        <f t="shared" si="104"/>
        <v>0</v>
      </c>
      <c r="BG169" s="235"/>
      <c r="BH169" s="166">
        <f ref="BH169:BV169" t="shared" si="105">SUM(BH138:BH168)</f>
        <v>0</v>
      </c>
      <c r="BI169" s="166">
        <f t="shared" si="105"/>
        <v>0</v>
      </c>
      <c r="BJ169" s="166">
        <f t="shared" si="105"/>
        <v>0</v>
      </c>
      <c r="BK169" s="166">
        <f t="shared" si="105"/>
        <v>0</v>
      </c>
      <c r="BL169" s="166">
        <f t="shared" si="105"/>
        <v>0</v>
      </c>
      <c r="BM169" s="166">
        <f t="shared" si="105"/>
        <v>0</v>
      </c>
      <c r="BN169" s="166">
        <f t="shared" si="105"/>
        <v>0</v>
      </c>
      <c r="BO169" s="166">
        <f t="shared" si="105"/>
        <v>0</v>
      </c>
      <c r="BP169" s="166">
        <f t="shared" si="105"/>
        <v>0</v>
      </c>
      <c r="BQ169" s="166">
        <f t="shared" si="105"/>
        <v>0</v>
      </c>
      <c r="BR169" s="166">
        <f t="shared" si="105"/>
        <v>0</v>
      </c>
      <c r="BS169" s="166">
        <f t="shared" si="105"/>
        <v>0</v>
      </c>
      <c r="BT169" s="166">
        <f t="shared" si="105"/>
        <v>0</v>
      </c>
      <c r="BU169" s="166">
        <f t="shared" si="105"/>
        <v>0</v>
      </c>
      <c r="BV169" s="166">
        <f t="shared" si="105"/>
        <v>0</v>
      </c>
      <c r="BW169" s="235"/>
    </row>
    <row r="170" ht="14.25" customHeight="1">
      <c r="A170" s="1"/>
      <c r="B170" s="2"/>
      <c r="C170" s="3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4"/>
      <c r="AN170" s="3"/>
      <c r="AO170" s="3"/>
      <c r="AP170" s="3"/>
      <c r="AQ170" s="3"/>
      <c r="AR170" s="3"/>
      <c r="AS170" s="4"/>
      <c r="AT170" s="132"/>
      <c r="AU170" s="132"/>
      <c r="AV170" s="132"/>
      <c r="AW170" s="3"/>
      <c r="AX170" s="3"/>
      <c r="AY170" s="3"/>
      <c r="AZ170" s="132"/>
      <c r="BA170" s="132"/>
      <c r="BB170" s="132"/>
      <c r="BC170" s="132"/>
      <c r="BD170" s="132"/>
      <c r="BE170" s="4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ht="14.25" customHeight="1">
      <c r="A171" s="1"/>
      <c r="B171" s="2"/>
      <c r="C171" s="3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176"/>
      <c r="AJ171" s="3"/>
      <c r="AK171" s="3"/>
      <c r="AL171" s="3"/>
      <c r="AM171" s="4"/>
      <c r="AN171" s="3"/>
      <c r="AO171" s="3"/>
      <c r="AP171" s="3"/>
      <c r="AQ171" s="3"/>
      <c r="AR171" s="3"/>
      <c r="AS171" s="177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132"/>
      <c r="BE171" s="177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ht="14.25" customHeight="1">
      <c r="A172" s="3"/>
      <c r="B172" s="215">
        <v>46174</v>
      </c>
      <c r="C172" s="94"/>
      <c r="D172" s="104"/>
      <c r="E172" s="97"/>
      <c r="F172" s="97"/>
      <c r="G172" s="816">
        <f ref="G172:G201" t="shared" si="106">+C172+D172+E172+F172</f>
        <v>0</v>
      </c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86"/>
      <c r="V172" s="877">
        <f ref="V172:V201" t="shared" si="107">SUM(H172:U172)</f>
        <v>0</v>
      </c>
      <c r="W172" s="186"/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03">
        <f ref="AI172:AI201" t="shared" si="108">SUM(W172:AH172)</f>
        <v>0</v>
      </c>
      <c r="AJ172" s="104"/>
      <c r="AK172" s="104"/>
      <c r="AL172" s="104"/>
      <c r="AM172" s="191">
        <f ref="AM172:AM201" t="shared" si="109">SUM(AJ172:AL172)</f>
        <v>0</v>
      </c>
      <c r="AN172" s="186"/>
      <c r="AO172" s="186"/>
      <c r="AP172" s="186"/>
      <c r="AQ172" s="186"/>
      <c r="AR172" s="193"/>
      <c r="AS172" s="224">
        <f ref="AS172:AS201" t="shared" si="110">+G172-V172-AI172-AM172-AN172-AP172-AQ172-AR172</f>
        <v>0</v>
      </c>
      <c r="AT172" s="109"/>
      <c r="AU172" s="109"/>
      <c r="AV172" s="109"/>
      <c r="AW172" s="127"/>
      <c r="AX172" s="127"/>
      <c r="AY172" s="127"/>
      <c r="AZ172" s="109"/>
      <c r="BA172" s="127"/>
      <c r="BB172" s="127"/>
      <c r="BC172" s="127"/>
      <c r="BD172" s="109"/>
      <c r="BE172" s="222">
        <f ref="BE172:BE201" t="shared" si="111">SUM(AT172:BD172)-BC172</f>
        <v>0</v>
      </c>
      <c r="BF172" s="114">
        <f ref="BF172:BF201" t="shared" si="112">+AS172-BE172</f>
        <v>0</v>
      </c>
      <c r="BG172" s="3"/>
      <c r="BH172" s="114">
        <f ref="BH172:BH201" t="shared" si="113">SUM(BI172:BU172)</f>
        <v>0</v>
      </c>
      <c r="BI172" s="115"/>
      <c r="BJ172" s="115"/>
      <c r="BK172" s="115"/>
      <c r="BL172" s="115"/>
      <c r="BM172" s="115"/>
      <c r="BN172" s="115"/>
      <c r="BO172" s="115"/>
      <c r="BP172" s="115"/>
      <c r="BQ172" s="115"/>
      <c r="BR172" s="115"/>
      <c r="BS172" s="115"/>
      <c r="BT172" s="115"/>
      <c r="BU172" s="115"/>
      <c r="BV172" s="116">
        <f ref="BV172:BV201" t="shared" si="114">+BF172-BH172</f>
        <v>0</v>
      </c>
      <c r="BW172" s="3"/>
    </row>
    <row r="173" ht="14.25" customHeight="1">
      <c r="A173" s="3"/>
      <c r="B173" s="215">
        <v>46175</v>
      </c>
      <c r="C173" s="118"/>
      <c r="D173" s="123"/>
      <c r="E173" s="120"/>
      <c r="F173" s="120"/>
      <c r="G173" s="98">
        <f t="shared" si="106"/>
        <v>0</v>
      </c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877">
        <f t="shared" si="107"/>
        <v>0</v>
      </c>
      <c r="W173" s="143"/>
      <c r="X173" s="143"/>
      <c r="Y173" s="143"/>
      <c r="Z173" s="143"/>
      <c r="AA173" s="143"/>
      <c r="AB173" s="143"/>
      <c r="AC173" s="143"/>
      <c r="AD173" s="143"/>
      <c r="AE173" s="143"/>
      <c r="AF173" s="143"/>
      <c r="AG173" s="143"/>
      <c r="AH173" s="143"/>
      <c r="AI173" s="103">
        <f t="shared" si="108"/>
        <v>0</v>
      </c>
      <c r="AJ173" s="123"/>
      <c r="AK173" s="123"/>
      <c r="AL173" s="123"/>
      <c r="AM173" s="105">
        <f t="shared" si="109"/>
        <v>0</v>
      </c>
      <c r="AN173" s="143"/>
      <c r="AO173" s="143"/>
      <c r="AP173" s="143"/>
      <c r="AQ173" s="143"/>
      <c r="AR173" s="146"/>
      <c r="AS173" s="224">
        <f t="shared" si="110"/>
        <v>0</v>
      </c>
      <c r="AT173" s="126"/>
      <c r="AU173" s="126"/>
      <c r="AV173" s="126"/>
      <c r="AW173" s="127"/>
      <c r="AX173" s="127"/>
      <c r="AY173" s="127"/>
      <c r="AZ173" s="126"/>
      <c r="BA173" s="127"/>
      <c r="BB173" s="127"/>
      <c r="BC173" s="127"/>
      <c r="BD173" s="126"/>
      <c r="BE173" s="222">
        <f t="shared" si="111"/>
        <v>0</v>
      </c>
      <c r="BF173" s="113">
        <f t="shared" si="112"/>
        <v>0</v>
      </c>
      <c r="BG173" s="3"/>
      <c r="BH173" s="113">
        <f t="shared" si="113"/>
        <v>0</v>
      </c>
      <c r="BI173" s="129"/>
      <c r="BJ173" s="129"/>
      <c r="BK173" s="129"/>
      <c r="BL173" s="129"/>
      <c r="BM173" s="129"/>
      <c r="BN173" s="129"/>
      <c r="BO173" s="129"/>
      <c r="BP173" s="129"/>
      <c r="BQ173" s="129"/>
      <c r="BR173" s="129"/>
      <c r="BS173" s="129"/>
      <c r="BT173" s="129"/>
      <c r="BU173" s="129"/>
      <c r="BV173" s="130">
        <f t="shared" si="114"/>
        <v>0</v>
      </c>
      <c r="BW173" s="3"/>
    </row>
    <row r="174" ht="14.25" customHeight="1">
      <c r="A174" s="3"/>
      <c r="B174" s="215">
        <v>46176</v>
      </c>
      <c r="C174" s="118"/>
      <c r="D174" s="123"/>
      <c r="E174" s="120"/>
      <c r="F174" s="120"/>
      <c r="G174" s="98">
        <f t="shared" si="106"/>
        <v>0</v>
      </c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877">
        <f t="shared" si="107"/>
        <v>0</v>
      </c>
      <c r="W174" s="143"/>
      <c r="X174" s="143"/>
      <c r="Y174" s="143"/>
      <c r="Z174" s="143"/>
      <c r="AA174" s="143"/>
      <c r="AB174" s="143"/>
      <c r="AC174" s="143"/>
      <c r="AD174" s="143"/>
      <c r="AE174" s="143"/>
      <c r="AF174" s="143"/>
      <c r="AG174" s="143"/>
      <c r="AH174" s="143"/>
      <c r="AI174" s="103">
        <f t="shared" si="108"/>
        <v>0</v>
      </c>
      <c r="AJ174" s="123"/>
      <c r="AK174" s="123"/>
      <c r="AL174" s="123"/>
      <c r="AM174" s="105">
        <f t="shared" si="109"/>
        <v>0</v>
      </c>
      <c r="AN174" s="143"/>
      <c r="AO174" s="143"/>
      <c r="AP174" s="143"/>
      <c r="AQ174" s="143"/>
      <c r="AR174" s="146"/>
      <c r="AS174" s="224">
        <f t="shared" si="110"/>
        <v>0</v>
      </c>
      <c r="AT174" s="126"/>
      <c r="AU174" s="126"/>
      <c r="AV174" s="126"/>
      <c r="AW174" s="127"/>
      <c r="AX174" s="127"/>
      <c r="AY174" s="127"/>
      <c r="AZ174" s="126"/>
      <c r="BA174" s="127"/>
      <c r="BB174" s="127"/>
      <c r="BC174" s="127"/>
      <c r="BD174" s="126"/>
      <c r="BE174" s="222">
        <f t="shared" si="111"/>
        <v>0</v>
      </c>
      <c r="BF174" s="113">
        <f t="shared" si="112"/>
        <v>0</v>
      </c>
      <c r="BG174" s="3"/>
      <c r="BH174" s="113">
        <f t="shared" si="113"/>
        <v>0</v>
      </c>
      <c r="BI174" s="129"/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30">
        <f t="shared" si="114"/>
        <v>0</v>
      </c>
      <c r="BW174" s="3"/>
    </row>
    <row r="175" ht="14.25" customHeight="1">
      <c r="A175" s="132"/>
      <c r="B175" s="215">
        <v>46177</v>
      </c>
      <c r="C175" s="133"/>
      <c r="D175" s="136"/>
      <c r="E175" s="135"/>
      <c r="F175" s="135"/>
      <c r="G175" s="98">
        <f t="shared" si="106"/>
        <v>0</v>
      </c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877">
        <f t="shared" si="107"/>
        <v>0</v>
      </c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03">
        <f t="shared" si="108"/>
        <v>0</v>
      </c>
      <c r="AJ175" s="136"/>
      <c r="AK175" s="136"/>
      <c r="AL175" s="136"/>
      <c r="AM175" s="105">
        <f t="shared" si="109"/>
        <v>0</v>
      </c>
      <c r="AN175" s="143"/>
      <c r="AO175" s="143"/>
      <c r="AP175" s="143"/>
      <c r="AQ175" s="143"/>
      <c r="AR175" s="146"/>
      <c r="AS175" s="224">
        <f t="shared" si="110"/>
        <v>0</v>
      </c>
      <c r="AT175" s="126"/>
      <c r="AU175" s="126"/>
      <c r="AV175" s="126"/>
      <c r="AW175" s="127"/>
      <c r="AX175" s="127"/>
      <c r="AY175" s="127"/>
      <c r="AZ175" s="126"/>
      <c r="BA175" s="127"/>
      <c r="BB175" s="127"/>
      <c r="BC175" s="127"/>
      <c r="BD175" s="126"/>
      <c r="BE175" s="222">
        <f t="shared" si="111"/>
        <v>0</v>
      </c>
      <c r="BF175" s="140">
        <f t="shared" si="112"/>
        <v>0</v>
      </c>
      <c r="BG175" s="132"/>
      <c r="BH175" s="140">
        <f t="shared" si="113"/>
        <v>0</v>
      </c>
      <c r="BI175" s="141"/>
      <c r="BJ175" s="141"/>
      <c r="BK175" s="141"/>
      <c r="BL175" s="141"/>
      <c r="BM175" s="141"/>
      <c r="BN175" s="141"/>
      <c r="BO175" s="141"/>
      <c r="BP175" s="141"/>
      <c r="BQ175" s="141"/>
      <c r="BR175" s="141"/>
      <c r="BS175" s="141"/>
      <c r="BT175" s="141"/>
      <c r="BU175" s="141"/>
      <c r="BV175" s="130">
        <f t="shared" si="114"/>
        <v>0</v>
      </c>
      <c r="BW175" s="132"/>
    </row>
    <row r="176" ht="15" customHeight="1">
      <c r="A176" s="132"/>
      <c r="B176" s="215">
        <v>46178</v>
      </c>
      <c r="C176" s="133"/>
      <c r="D176" s="136"/>
      <c r="E176" s="135"/>
      <c r="F176" s="135"/>
      <c r="G176" s="98">
        <f t="shared" si="106"/>
        <v>0</v>
      </c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877">
        <f t="shared" si="107"/>
        <v>0</v>
      </c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03">
        <f t="shared" si="108"/>
        <v>0</v>
      </c>
      <c r="AJ176" s="136"/>
      <c r="AK176" s="136"/>
      <c r="AL176" s="136"/>
      <c r="AM176" s="105">
        <f t="shared" si="109"/>
        <v>0</v>
      </c>
      <c r="AN176" s="143"/>
      <c r="AO176" s="143"/>
      <c r="AP176" s="143"/>
      <c r="AQ176" s="143"/>
      <c r="AR176" s="146"/>
      <c r="AS176" s="224">
        <f t="shared" si="110"/>
        <v>0</v>
      </c>
      <c r="AT176" s="126"/>
      <c r="AU176" s="126"/>
      <c r="AV176" s="126"/>
      <c r="AW176" s="127"/>
      <c r="AX176" s="127"/>
      <c r="AY176" s="127"/>
      <c r="AZ176" s="126"/>
      <c r="BA176" s="127"/>
      <c r="BB176" s="127"/>
      <c r="BC176" s="127"/>
      <c r="BD176" s="126"/>
      <c r="BE176" s="222">
        <f t="shared" si="111"/>
        <v>0</v>
      </c>
      <c r="BF176" s="140">
        <f t="shared" si="112"/>
        <v>0</v>
      </c>
      <c r="BG176" s="132"/>
      <c r="BH176" s="140">
        <f t="shared" si="113"/>
        <v>0</v>
      </c>
      <c r="BI176" s="141"/>
      <c r="BJ176" s="141"/>
      <c r="BK176" s="141"/>
      <c r="BL176" s="141"/>
      <c r="BM176" s="141"/>
      <c r="BN176" s="141"/>
      <c r="BO176" s="141"/>
      <c r="BP176" s="141"/>
      <c r="BQ176" s="141"/>
      <c r="BR176" s="141"/>
      <c r="BS176" s="141"/>
      <c r="BT176" s="141"/>
      <c r="BU176" s="141"/>
      <c r="BV176" s="130">
        <f t="shared" si="114"/>
        <v>0</v>
      </c>
      <c r="BW176" s="132"/>
    </row>
    <row r="177" ht="14.25" customHeight="1">
      <c r="A177" s="132"/>
      <c r="B177" s="215">
        <v>46179</v>
      </c>
      <c r="C177" s="133"/>
      <c r="D177" s="136"/>
      <c r="E177" s="135"/>
      <c r="F177" s="135"/>
      <c r="G177" s="98">
        <f t="shared" si="106"/>
        <v>0</v>
      </c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877">
        <f t="shared" si="107"/>
        <v>0</v>
      </c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43"/>
      <c r="AI177" s="103">
        <f t="shared" si="108"/>
        <v>0</v>
      </c>
      <c r="AJ177" s="136"/>
      <c r="AK177" s="136"/>
      <c r="AL177" s="136"/>
      <c r="AM177" s="105">
        <f t="shared" si="109"/>
        <v>0</v>
      </c>
      <c r="AN177" s="143"/>
      <c r="AO177" s="143"/>
      <c r="AP177" s="143"/>
      <c r="AQ177" s="143"/>
      <c r="AR177" s="146"/>
      <c r="AS177" s="224">
        <f t="shared" si="110"/>
        <v>0</v>
      </c>
      <c r="AT177" s="126"/>
      <c r="AU177" s="126"/>
      <c r="AV177" s="126"/>
      <c r="AW177" s="127"/>
      <c r="AX177" s="127"/>
      <c r="AY177" s="127"/>
      <c r="AZ177" s="126"/>
      <c r="BA177" s="127"/>
      <c r="BB177" s="127"/>
      <c r="BC177" s="127"/>
      <c r="BD177" s="126"/>
      <c r="BE177" s="222">
        <f t="shared" si="111"/>
        <v>0</v>
      </c>
      <c r="BF177" s="140">
        <f t="shared" si="112"/>
        <v>0</v>
      </c>
      <c r="BG177" s="132"/>
      <c r="BH177" s="140">
        <f t="shared" si="113"/>
        <v>0</v>
      </c>
      <c r="BI177" s="141"/>
      <c r="BJ177" s="141"/>
      <c r="BK177" s="141"/>
      <c r="BL177" s="141"/>
      <c r="BM177" s="141"/>
      <c r="BN177" s="141"/>
      <c r="BO177" s="141"/>
      <c r="BP177" s="141"/>
      <c r="BQ177" s="141"/>
      <c r="BR177" s="141"/>
      <c r="BS177" s="141"/>
      <c r="BT177" s="141"/>
      <c r="BU177" s="141"/>
      <c r="BV177" s="130">
        <f t="shared" si="114"/>
        <v>0</v>
      </c>
      <c r="BW177" s="132"/>
    </row>
    <row r="178" ht="14.25" customHeight="1">
      <c r="A178" s="132"/>
      <c r="B178" s="215">
        <v>46180</v>
      </c>
      <c r="C178" s="133"/>
      <c r="D178" s="136"/>
      <c r="E178" s="135"/>
      <c r="F178" s="135"/>
      <c r="G178" s="98">
        <f t="shared" si="106"/>
        <v>0</v>
      </c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877">
        <f t="shared" si="107"/>
        <v>0</v>
      </c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03">
        <f t="shared" si="108"/>
        <v>0</v>
      </c>
      <c r="AJ178" s="136"/>
      <c r="AK178" s="136"/>
      <c r="AL178" s="136"/>
      <c r="AM178" s="105">
        <f t="shared" si="109"/>
        <v>0</v>
      </c>
      <c r="AN178" s="143"/>
      <c r="AO178" s="143"/>
      <c r="AP178" s="143"/>
      <c r="AQ178" s="143"/>
      <c r="AR178" s="146"/>
      <c r="AS178" s="224">
        <f t="shared" si="110"/>
        <v>0</v>
      </c>
      <c r="AT178" s="126"/>
      <c r="AU178" s="126"/>
      <c r="AV178" s="126"/>
      <c r="AW178" s="127"/>
      <c r="AX178" s="127"/>
      <c r="AY178" s="127"/>
      <c r="AZ178" s="126"/>
      <c r="BA178" s="127"/>
      <c r="BB178" s="127"/>
      <c r="BC178" s="127"/>
      <c r="BD178" s="126"/>
      <c r="BE178" s="222">
        <f t="shared" si="111"/>
        <v>0</v>
      </c>
      <c r="BF178" s="140">
        <f t="shared" si="112"/>
        <v>0</v>
      </c>
      <c r="BG178" s="132"/>
      <c r="BH178" s="140">
        <f t="shared" si="113"/>
        <v>0</v>
      </c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41"/>
      <c r="BU178" s="141"/>
      <c r="BV178" s="130">
        <f t="shared" si="114"/>
        <v>0</v>
      </c>
      <c r="BW178" s="132"/>
    </row>
    <row r="179" ht="14.25" customHeight="1">
      <c r="A179" s="132"/>
      <c r="B179" s="215">
        <v>46181</v>
      </c>
      <c r="C179" s="133"/>
      <c r="D179" s="136"/>
      <c r="E179" s="135"/>
      <c r="F179" s="135"/>
      <c r="G179" s="98">
        <f t="shared" si="106"/>
        <v>0</v>
      </c>
      <c r="H179" s="143"/>
      <c r="I179" s="143"/>
      <c r="J179" s="63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877">
        <f t="shared" si="107"/>
        <v>0</v>
      </c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43"/>
      <c r="AI179" s="103">
        <f t="shared" si="108"/>
        <v>0</v>
      </c>
      <c r="AJ179" s="136"/>
      <c r="AK179" s="136"/>
      <c r="AL179" s="136"/>
      <c r="AM179" s="105">
        <f t="shared" si="109"/>
        <v>0</v>
      </c>
      <c r="AN179" s="143"/>
      <c r="AO179" s="143"/>
      <c r="AP179" s="143"/>
      <c r="AQ179" s="143"/>
      <c r="AR179" s="146"/>
      <c r="AS179" s="224">
        <f t="shared" si="110"/>
        <v>0</v>
      </c>
      <c r="AT179" s="126"/>
      <c r="AU179" s="126"/>
      <c r="AV179" s="126"/>
      <c r="AW179" s="127"/>
      <c r="AX179" s="127"/>
      <c r="AY179" s="127"/>
      <c r="AZ179" s="126"/>
      <c r="BA179" s="127"/>
      <c r="BB179" s="127"/>
      <c r="BC179" s="127"/>
      <c r="BD179" s="126"/>
      <c r="BE179" s="222">
        <f t="shared" si="111"/>
        <v>0</v>
      </c>
      <c r="BF179" s="140">
        <f t="shared" si="112"/>
        <v>0</v>
      </c>
      <c r="BG179" s="132"/>
      <c r="BH179" s="140">
        <f t="shared" si="113"/>
        <v>0</v>
      </c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30">
        <f t="shared" si="114"/>
        <v>0</v>
      </c>
      <c r="BW179" s="132"/>
    </row>
    <row r="180" ht="14.25" customHeight="1">
      <c r="A180" s="132"/>
      <c r="B180" s="215">
        <v>46182</v>
      </c>
      <c r="C180" s="133"/>
      <c r="D180" s="136"/>
      <c r="E180" s="135"/>
      <c r="F180" s="135"/>
      <c r="G180" s="98">
        <f t="shared" si="106"/>
        <v>0</v>
      </c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877">
        <f t="shared" si="107"/>
        <v>0</v>
      </c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43"/>
      <c r="AI180" s="103">
        <f t="shared" si="108"/>
        <v>0</v>
      </c>
      <c r="AJ180" s="136"/>
      <c r="AK180" s="136"/>
      <c r="AL180" s="136"/>
      <c r="AM180" s="105">
        <f t="shared" si="109"/>
        <v>0</v>
      </c>
      <c r="AN180" s="143"/>
      <c r="AO180" s="143"/>
      <c r="AP180" s="143"/>
      <c r="AQ180" s="143"/>
      <c r="AR180" s="146"/>
      <c r="AS180" s="224">
        <f t="shared" si="110"/>
        <v>0</v>
      </c>
      <c r="AT180" s="126"/>
      <c r="AU180" s="126"/>
      <c r="AV180" s="126"/>
      <c r="AW180" s="127"/>
      <c r="AX180" s="127"/>
      <c r="AY180" s="127"/>
      <c r="AZ180" s="126"/>
      <c r="BA180" s="127"/>
      <c r="BB180" s="127"/>
      <c r="BC180" s="127"/>
      <c r="BD180" s="126"/>
      <c r="BE180" s="222">
        <f t="shared" si="111"/>
        <v>0</v>
      </c>
      <c r="BF180" s="140">
        <f t="shared" si="112"/>
        <v>0</v>
      </c>
      <c r="BG180" s="132"/>
      <c r="BH180" s="140">
        <f t="shared" si="113"/>
        <v>0</v>
      </c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30">
        <f t="shared" si="114"/>
        <v>0</v>
      </c>
      <c r="BW180" s="132"/>
    </row>
    <row r="181" ht="14.25" customHeight="1">
      <c r="A181" s="132"/>
      <c r="B181" s="215">
        <v>46183</v>
      </c>
      <c r="C181" s="133"/>
      <c r="D181" s="136"/>
      <c r="E181" s="135"/>
      <c r="F181" s="135"/>
      <c r="G181" s="98">
        <f t="shared" si="106"/>
        <v>0</v>
      </c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877">
        <f t="shared" si="107"/>
        <v>0</v>
      </c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43"/>
      <c r="AI181" s="103">
        <f t="shared" si="108"/>
        <v>0</v>
      </c>
      <c r="AJ181" s="136"/>
      <c r="AK181" s="136"/>
      <c r="AL181" s="136"/>
      <c r="AM181" s="105">
        <f t="shared" si="109"/>
        <v>0</v>
      </c>
      <c r="AN181" s="143"/>
      <c r="AO181" s="143"/>
      <c r="AP181" s="143"/>
      <c r="AQ181" s="143"/>
      <c r="AR181" s="146"/>
      <c r="AS181" s="224">
        <f t="shared" si="110"/>
        <v>0</v>
      </c>
      <c r="AT181" s="126"/>
      <c r="AU181" s="126"/>
      <c r="AV181" s="126"/>
      <c r="AW181" s="127"/>
      <c r="AX181" s="127"/>
      <c r="AY181" s="127"/>
      <c r="AZ181" s="126"/>
      <c r="BA181" s="127"/>
      <c r="BB181" s="127"/>
      <c r="BC181" s="127"/>
      <c r="BD181" s="126"/>
      <c r="BE181" s="222">
        <f t="shared" si="111"/>
        <v>0</v>
      </c>
      <c r="BF181" s="140">
        <f t="shared" si="112"/>
        <v>0</v>
      </c>
      <c r="BG181" s="132"/>
      <c r="BH181" s="140">
        <f t="shared" si="113"/>
        <v>0</v>
      </c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30">
        <f t="shared" si="114"/>
        <v>0</v>
      </c>
      <c r="BW181" s="132"/>
    </row>
    <row r="182" ht="14.25" customHeight="1">
      <c r="A182" s="132"/>
      <c r="B182" s="215">
        <v>46184</v>
      </c>
      <c r="C182" s="133"/>
      <c r="D182" s="136"/>
      <c r="E182" s="135"/>
      <c r="F182" s="135"/>
      <c r="G182" s="98">
        <f t="shared" si="106"/>
        <v>0</v>
      </c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877">
        <f t="shared" si="107"/>
        <v>0</v>
      </c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03">
        <f t="shared" si="108"/>
        <v>0</v>
      </c>
      <c r="AJ182" s="136"/>
      <c r="AK182" s="136"/>
      <c r="AL182" s="136"/>
      <c r="AM182" s="105">
        <f t="shared" si="109"/>
        <v>0</v>
      </c>
      <c r="AN182" s="143"/>
      <c r="AO182" s="143"/>
      <c r="AP182" s="143"/>
      <c r="AQ182" s="143"/>
      <c r="AR182" s="146"/>
      <c r="AS182" s="224">
        <f t="shared" si="110"/>
        <v>0</v>
      </c>
      <c r="AT182" s="126"/>
      <c r="AU182" s="126"/>
      <c r="AV182" s="126"/>
      <c r="AW182" s="127"/>
      <c r="AX182" s="127"/>
      <c r="AY182" s="127"/>
      <c r="AZ182" s="126"/>
      <c r="BA182" s="127"/>
      <c r="BB182" s="127"/>
      <c r="BC182" s="127"/>
      <c r="BD182" s="126"/>
      <c r="BE182" s="222">
        <f t="shared" si="111"/>
        <v>0</v>
      </c>
      <c r="BF182" s="140">
        <f t="shared" si="112"/>
        <v>0</v>
      </c>
      <c r="BG182" s="132"/>
      <c r="BH182" s="140">
        <f t="shared" si="113"/>
        <v>0</v>
      </c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30">
        <f t="shared" si="114"/>
        <v>0</v>
      </c>
      <c r="BW182" s="132"/>
    </row>
    <row r="183" ht="14.25" customHeight="1">
      <c r="A183" s="132"/>
      <c r="B183" s="215">
        <v>46185</v>
      </c>
      <c r="C183" s="133"/>
      <c r="D183" s="136"/>
      <c r="E183" s="135"/>
      <c r="F183" s="135"/>
      <c r="G183" s="98">
        <f t="shared" si="106"/>
        <v>0</v>
      </c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877">
        <f t="shared" si="107"/>
        <v>0</v>
      </c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03">
        <f t="shared" si="108"/>
        <v>0</v>
      </c>
      <c r="AJ183" s="136"/>
      <c r="AK183" s="136"/>
      <c r="AL183" s="136"/>
      <c r="AM183" s="105">
        <f t="shared" si="109"/>
        <v>0</v>
      </c>
      <c r="AN183" s="143"/>
      <c r="AO183" s="143"/>
      <c r="AP183" s="143"/>
      <c r="AQ183" s="143"/>
      <c r="AR183" s="146"/>
      <c r="AS183" s="224">
        <f t="shared" si="110"/>
        <v>0</v>
      </c>
      <c r="AT183" s="126"/>
      <c r="AU183" s="126"/>
      <c r="AV183" s="126"/>
      <c r="AW183" s="127"/>
      <c r="AX183" s="127"/>
      <c r="AY183" s="127"/>
      <c r="AZ183" s="126"/>
      <c r="BA183" s="127"/>
      <c r="BB183" s="127"/>
      <c r="BC183" s="127"/>
      <c r="BD183" s="126"/>
      <c r="BE183" s="222">
        <f t="shared" si="111"/>
        <v>0</v>
      </c>
      <c r="BF183" s="140">
        <f t="shared" si="112"/>
        <v>0</v>
      </c>
      <c r="BG183" s="132"/>
      <c r="BH183" s="140">
        <f t="shared" si="113"/>
        <v>0</v>
      </c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30">
        <f t="shared" si="114"/>
        <v>0</v>
      </c>
      <c r="BW183" s="132"/>
    </row>
    <row r="184" ht="14.25" customHeight="1">
      <c r="A184" s="132"/>
      <c r="B184" s="215">
        <v>46186</v>
      </c>
      <c r="C184" s="133"/>
      <c r="D184" s="136"/>
      <c r="E184" s="135"/>
      <c r="F184" s="135"/>
      <c r="G184" s="98">
        <f t="shared" si="106"/>
        <v>0</v>
      </c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877">
        <f t="shared" si="107"/>
        <v>0</v>
      </c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03">
        <f t="shared" si="108"/>
        <v>0</v>
      </c>
      <c r="AJ184" s="136"/>
      <c r="AK184" s="136"/>
      <c r="AL184" s="136"/>
      <c r="AM184" s="105">
        <f t="shared" si="109"/>
        <v>0</v>
      </c>
      <c r="AN184" s="143"/>
      <c r="AO184" s="143"/>
      <c r="AP184" s="143"/>
      <c r="AQ184" s="143"/>
      <c r="AR184" s="146"/>
      <c r="AS184" s="224">
        <f t="shared" si="110"/>
        <v>0</v>
      </c>
      <c r="AT184" s="126"/>
      <c r="AU184" s="126"/>
      <c r="AV184" s="126"/>
      <c r="AW184" s="127"/>
      <c r="AX184" s="127"/>
      <c r="AY184" s="127"/>
      <c r="AZ184" s="126"/>
      <c r="BA184" s="127"/>
      <c r="BB184" s="127"/>
      <c r="BC184" s="127"/>
      <c r="BD184" s="126"/>
      <c r="BE184" s="222">
        <f t="shared" si="111"/>
        <v>0</v>
      </c>
      <c r="BF184" s="140">
        <f t="shared" si="112"/>
        <v>0</v>
      </c>
      <c r="BG184" s="132"/>
      <c r="BH184" s="140">
        <f t="shared" si="113"/>
        <v>0</v>
      </c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30">
        <f t="shared" si="114"/>
        <v>0</v>
      </c>
      <c r="BW184" s="132"/>
    </row>
    <row r="185" ht="14.25" customHeight="1">
      <c r="A185" s="132"/>
      <c r="B185" s="215">
        <v>46187</v>
      </c>
      <c r="C185" s="133"/>
      <c r="D185" s="136"/>
      <c r="E185" s="135"/>
      <c r="F185" s="135"/>
      <c r="G185" s="98">
        <f t="shared" si="106"/>
        <v>0</v>
      </c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877">
        <f t="shared" si="107"/>
        <v>0</v>
      </c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03">
        <f t="shared" si="108"/>
        <v>0</v>
      </c>
      <c r="AJ185" s="136"/>
      <c r="AK185" s="136"/>
      <c r="AL185" s="136"/>
      <c r="AM185" s="105">
        <f t="shared" si="109"/>
        <v>0</v>
      </c>
      <c r="AN185" s="143"/>
      <c r="AO185" s="143"/>
      <c r="AP185" s="143"/>
      <c r="AQ185" s="143"/>
      <c r="AR185" s="146"/>
      <c r="AS185" s="224">
        <f t="shared" si="110"/>
        <v>0</v>
      </c>
      <c r="AT185" s="126"/>
      <c r="AU185" s="126"/>
      <c r="AV185" s="126"/>
      <c r="AW185" s="127"/>
      <c r="AX185" s="127"/>
      <c r="AY185" s="127"/>
      <c r="AZ185" s="126"/>
      <c r="BA185" s="127"/>
      <c r="BB185" s="127"/>
      <c r="BC185" s="127"/>
      <c r="BD185" s="126"/>
      <c r="BE185" s="222">
        <f t="shared" si="111"/>
        <v>0</v>
      </c>
      <c r="BF185" s="140">
        <f t="shared" si="112"/>
        <v>0</v>
      </c>
      <c r="BG185" s="132"/>
      <c r="BH185" s="140">
        <f t="shared" si="113"/>
        <v>0</v>
      </c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30">
        <f t="shared" si="114"/>
        <v>0</v>
      </c>
      <c r="BW185" s="132"/>
    </row>
    <row r="186" ht="14.25" customHeight="1">
      <c r="A186" s="132"/>
      <c r="B186" s="215">
        <v>46188</v>
      </c>
      <c r="C186" s="133"/>
      <c r="D186" s="136"/>
      <c r="E186" s="135"/>
      <c r="F186" s="135"/>
      <c r="G186" s="98">
        <f t="shared" si="106"/>
        <v>0</v>
      </c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877">
        <f t="shared" si="107"/>
        <v>0</v>
      </c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103">
        <f t="shared" si="108"/>
        <v>0</v>
      </c>
      <c r="AJ186" s="136"/>
      <c r="AK186" s="136"/>
      <c r="AL186" s="136"/>
      <c r="AM186" s="105">
        <f t="shared" si="109"/>
        <v>0</v>
      </c>
      <c r="AN186" s="143"/>
      <c r="AO186" s="143"/>
      <c r="AP186" s="143"/>
      <c r="AQ186" s="143"/>
      <c r="AR186" s="146"/>
      <c r="AS186" s="224">
        <f t="shared" si="110"/>
        <v>0</v>
      </c>
      <c r="AT186" s="126"/>
      <c r="AU186" s="126"/>
      <c r="AV186" s="126"/>
      <c r="AW186" s="127"/>
      <c r="AX186" s="127"/>
      <c r="AY186" s="127"/>
      <c r="AZ186" s="126"/>
      <c r="BA186" s="127"/>
      <c r="BB186" s="127"/>
      <c r="BC186" s="127"/>
      <c r="BD186" s="126"/>
      <c r="BE186" s="222">
        <f t="shared" si="111"/>
        <v>0</v>
      </c>
      <c r="BF186" s="140">
        <f t="shared" si="112"/>
        <v>0</v>
      </c>
      <c r="BG186" s="132"/>
      <c r="BH186" s="140">
        <f t="shared" si="113"/>
        <v>0</v>
      </c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30">
        <f t="shared" si="114"/>
        <v>0</v>
      </c>
      <c r="BW186" s="132"/>
    </row>
    <row r="187" ht="14.25" customHeight="1">
      <c r="A187" s="132"/>
      <c r="B187" s="215">
        <v>46189</v>
      </c>
      <c r="C187" s="133"/>
      <c r="D187" s="136"/>
      <c r="E187" s="135"/>
      <c r="F187" s="135"/>
      <c r="G187" s="98">
        <f t="shared" si="106"/>
        <v>0</v>
      </c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877">
        <f t="shared" si="107"/>
        <v>0</v>
      </c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03">
        <f t="shared" si="108"/>
        <v>0</v>
      </c>
      <c r="AJ187" s="136"/>
      <c r="AK187" s="136"/>
      <c r="AL187" s="136"/>
      <c r="AM187" s="105">
        <f t="shared" si="109"/>
        <v>0</v>
      </c>
      <c r="AN187" s="99"/>
      <c r="AO187" s="99"/>
      <c r="AP187" s="99"/>
      <c r="AQ187" s="143"/>
      <c r="AR187" s="146"/>
      <c r="AS187" s="224">
        <f t="shared" si="110"/>
        <v>0</v>
      </c>
      <c r="AT187" s="126"/>
      <c r="AU187" s="126"/>
      <c r="AV187" s="126"/>
      <c r="AW187" s="127"/>
      <c r="AX187" s="127"/>
      <c r="AY187" s="127"/>
      <c r="AZ187" s="126"/>
      <c r="BA187" s="127"/>
      <c r="BB187" s="127"/>
      <c r="BC187" s="127"/>
      <c r="BD187" s="126"/>
      <c r="BE187" s="222">
        <f t="shared" si="111"/>
        <v>0</v>
      </c>
      <c r="BF187" s="140">
        <f t="shared" si="112"/>
        <v>0</v>
      </c>
      <c r="BG187" s="132"/>
      <c r="BH187" s="140">
        <f t="shared" si="113"/>
        <v>0</v>
      </c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30">
        <f t="shared" si="114"/>
        <v>0</v>
      </c>
      <c r="BW187" s="132"/>
    </row>
    <row r="188" ht="14.25" customHeight="1">
      <c r="A188" s="132"/>
      <c r="B188" s="215">
        <v>46190</v>
      </c>
      <c r="C188" s="133"/>
      <c r="D188" s="136"/>
      <c r="E188" s="135"/>
      <c r="F188" s="135"/>
      <c r="G188" s="98">
        <f t="shared" si="106"/>
        <v>0</v>
      </c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877">
        <f t="shared" si="107"/>
        <v>0</v>
      </c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43"/>
      <c r="AI188" s="103">
        <f t="shared" si="108"/>
        <v>0</v>
      </c>
      <c r="AJ188" s="136"/>
      <c r="AK188" s="136"/>
      <c r="AL188" s="136"/>
      <c r="AM188" s="105">
        <f t="shared" si="109"/>
        <v>0</v>
      </c>
      <c r="AN188" s="99"/>
      <c r="AO188" s="99"/>
      <c r="AP188" s="99"/>
      <c r="AQ188" s="143"/>
      <c r="AR188" s="146"/>
      <c r="AS188" s="224">
        <f t="shared" si="110"/>
        <v>0</v>
      </c>
      <c r="AT188" s="126"/>
      <c r="AU188" s="126"/>
      <c r="AV188" s="126"/>
      <c r="AW188" s="127"/>
      <c r="AX188" s="127"/>
      <c r="AY188" s="127"/>
      <c r="AZ188" s="126"/>
      <c r="BA188" s="127"/>
      <c r="BB188" s="127"/>
      <c r="BC188" s="127"/>
      <c r="BD188" s="126"/>
      <c r="BE188" s="222">
        <f t="shared" si="111"/>
        <v>0</v>
      </c>
      <c r="BF188" s="140">
        <f t="shared" si="112"/>
        <v>0</v>
      </c>
      <c r="BG188" s="132"/>
      <c r="BH188" s="140">
        <f t="shared" si="113"/>
        <v>0</v>
      </c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30">
        <f t="shared" si="114"/>
        <v>0</v>
      </c>
      <c r="BW188" s="132"/>
    </row>
    <row r="189" ht="14.25" customHeight="1">
      <c r="A189" s="132"/>
      <c r="B189" s="215">
        <v>46191</v>
      </c>
      <c r="C189" s="133"/>
      <c r="D189" s="136"/>
      <c r="E189" s="135"/>
      <c r="F189" s="135"/>
      <c r="G189" s="98">
        <f t="shared" si="106"/>
        <v>0</v>
      </c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877">
        <f t="shared" si="107"/>
        <v>0</v>
      </c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43"/>
      <c r="AI189" s="103">
        <f t="shared" si="108"/>
        <v>0</v>
      </c>
      <c r="AJ189" s="136"/>
      <c r="AK189" s="136"/>
      <c r="AL189" s="136"/>
      <c r="AM189" s="105">
        <f t="shared" si="109"/>
        <v>0</v>
      </c>
      <c r="AN189" s="99"/>
      <c r="AO189" s="99"/>
      <c r="AP189" s="99"/>
      <c r="AQ189" s="143"/>
      <c r="AR189" s="146"/>
      <c r="AS189" s="224">
        <f t="shared" si="110"/>
        <v>0</v>
      </c>
      <c r="AT189" s="126"/>
      <c r="AU189" s="126"/>
      <c r="AV189" s="126"/>
      <c r="AW189" s="127"/>
      <c r="AX189" s="127"/>
      <c r="AY189" s="127"/>
      <c r="AZ189" s="126"/>
      <c r="BA189" s="127"/>
      <c r="BB189" s="127"/>
      <c r="BC189" s="127"/>
      <c r="BD189" s="126"/>
      <c r="BE189" s="222">
        <f t="shared" si="111"/>
        <v>0</v>
      </c>
      <c r="BF189" s="140">
        <f t="shared" si="112"/>
        <v>0</v>
      </c>
      <c r="BG189" s="132"/>
      <c r="BH189" s="140">
        <f t="shared" si="113"/>
        <v>0</v>
      </c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30">
        <f t="shared" si="114"/>
        <v>0</v>
      </c>
      <c r="BW189" s="132"/>
    </row>
    <row r="190" ht="14.25" customHeight="1">
      <c r="A190" s="132"/>
      <c r="B190" s="215">
        <v>46192</v>
      </c>
      <c r="C190" s="133"/>
      <c r="D190" s="136"/>
      <c r="E190" s="135"/>
      <c r="F190" s="135"/>
      <c r="G190" s="98">
        <f t="shared" si="106"/>
        <v>0</v>
      </c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877">
        <f t="shared" si="107"/>
        <v>0</v>
      </c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03">
        <f t="shared" si="108"/>
        <v>0</v>
      </c>
      <c r="AJ190" s="136"/>
      <c r="AK190" s="136"/>
      <c r="AL190" s="136"/>
      <c r="AM190" s="105">
        <f t="shared" si="109"/>
        <v>0</v>
      </c>
      <c r="AN190" s="99"/>
      <c r="AO190" s="99"/>
      <c r="AP190" s="99"/>
      <c r="AQ190" s="143"/>
      <c r="AR190" s="146"/>
      <c r="AS190" s="224">
        <f t="shared" si="110"/>
        <v>0</v>
      </c>
      <c r="AT190" s="126"/>
      <c r="AU190" s="126"/>
      <c r="AV190" s="126"/>
      <c r="AW190" s="127"/>
      <c r="AX190" s="127"/>
      <c r="AY190" s="127"/>
      <c r="AZ190" s="126"/>
      <c r="BA190" s="127"/>
      <c r="BB190" s="127"/>
      <c r="BC190" s="127"/>
      <c r="BD190" s="126"/>
      <c r="BE190" s="222">
        <f t="shared" si="111"/>
        <v>0</v>
      </c>
      <c r="BF190" s="140">
        <f t="shared" si="112"/>
        <v>0</v>
      </c>
      <c r="BG190" s="132"/>
      <c r="BH190" s="140">
        <f t="shared" si="113"/>
        <v>0</v>
      </c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30">
        <f t="shared" si="114"/>
        <v>0</v>
      </c>
      <c r="BW190" s="132"/>
    </row>
    <row r="191" ht="14.25" customHeight="1">
      <c r="A191" s="132"/>
      <c r="B191" s="215">
        <v>46193</v>
      </c>
      <c r="C191" s="133"/>
      <c r="D191" s="136"/>
      <c r="E191" s="135"/>
      <c r="F191" s="135"/>
      <c r="G191" s="98">
        <f t="shared" si="106"/>
        <v>0</v>
      </c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877">
        <f t="shared" si="107"/>
        <v>0</v>
      </c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03">
        <f t="shared" si="108"/>
        <v>0</v>
      </c>
      <c r="AJ191" s="136"/>
      <c r="AK191" s="136"/>
      <c r="AL191" s="136"/>
      <c r="AM191" s="105">
        <f t="shared" si="109"/>
        <v>0</v>
      </c>
      <c r="AN191" s="99"/>
      <c r="AO191" s="99"/>
      <c r="AP191" s="99"/>
      <c r="AQ191" s="143"/>
      <c r="AR191" s="146"/>
      <c r="AS191" s="224">
        <f t="shared" si="110"/>
        <v>0</v>
      </c>
      <c r="AT191" s="126"/>
      <c r="AU191" s="126"/>
      <c r="AV191" s="126"/>
      <c r="AW191" s="127"/>
      <c r="AX191" s="127"/>
      <c r="AY191" s="127"/>
      <c r="AZ191" s="126"/>
      <c r="BA191" s="127"/>
      <c r="BB191" s="127"/>
      <c r="BC191" s="127"/>
      <c r="BD191" s="126"/>
      <c r="BE191" s="222">
        <f t="shared" si="111"/>
        <v>0</v>
      </c>
      <c r="BF191" s="140">
        <f t="shared" si="112"/>
        <v>0</v>
      </c>
      <c r="BG191" s="132"/>
      <c r="BH191" s="140">
        <f t="shared" si="113"/>
        <v>0</v>
      </c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30">
        <f t="shared" si="114"/>
        <v>0</v>
      </c>
      <c r="BW191" s="132"/>
    </row>
    <row r="192" ht="14.25" customHeight="1">
      <c r="A192" s="132"/>
      <c r="B192" s="215">
        <v>46194</v>
      </c>
      <c r="C192" s="133"/>
      <c r="D192" s="136"/>
      <c r="E192" s="135"/>
      <c r="F192" s="135"/>
      <c r="G192" s="98">
        <f t="shared" si="106"/>
        <v>0</v>
      </c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877">
        <f t="shared" si="107"/>
        <v>0</v>
      </c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03">
        <f t="shared" si="108"/>
        <v>0</v>
      </c>
      <c r="AJ192" s="136"/>
      <c r="AK192" s="136"/>
      <c r="AL192" s="136"/>
      <c r="AM192" s="105">
        <f t="shared" si="109"/>
        <v>0</v>
      </c>
      <c r="AN192" s="99"/>
      <c r="AO192" s="99"/>
      <c r="AP192" s="99"/>
      <c r="AQ192" s="143"/>
      <c r="AR192" s="146"/>
      <c r="AS192" s="224">
        <f t="shared" si="110"/>
        <v>0</v>
      </c>
      <c r="AT192" s="126"/>
      <c r="AU192" s="126"/>
      <c r="AV192" s="126"/>
      <c r="AW192" s="127"/>
      <c r="AX192" s="127"/>
      <c r="AY192" s="127"/>
      <c r="AZ192" s="126"/>
      <c r="BA192" s="127"/>
      <c r="BB192" s="127"/>
      <c r="BC192" s="127"/>
      <c r="BD192" s="126"/>
      <c r="BE192" s="222">
        <f t="shared" si="111"/>
        <v>0</v>
      </c>
      <c r="BF192" s="140">
        <f t="shared" si="112"/>
        <v>0</v>
      </c>
      <c r="BG192" s="132"/>
      <c r="BH192" s="140">
        <f t="shared" si="113"/>
        <v>0</v>
      </c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30">
        <f t="shared" si="114"/>
        <v>0</v>
      </c>
      <c r="BW192" s="132"/>
    </row>
    <row r="193" ht="14.25" customHeight="1">
      <c r="A193" s="132"/>
      <c r="B193" s="215">
        <v>46195</v>
      </c>
      <c r="C193" s="133"/>
      <c r="D193" s="136"/>
      <c r="E193" s="135"/>
      <c r="F193" s="135"/>
      <c r="G193" s="98">
        <f t="shared" si="106"/>
        <v>0</v>
      </c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877">
        <f t="shared" si="107"/>
        <v>0</v>
      </c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03">
        <f t="shared" si="108"/>
        <v>0</v>
      </c>
      <c r="AJ193" s="136"/>
      <c r="AK193" s="136"/>
      <c r="AL193" s="136"/>
      <c r="AM193" s="105">
        <f t="shared" si="109"/>
        <v>0</v>
      </c>
      <c r="AN193" s="99"/>
      <c r="AO193" s="99"/>
      <c r="AP193" s="99"/>
      <c r="AQ193" s="143"/>
      <c r="AR193" s="146"/>
      <c r="AS193" s="224">
        <f t="shared" si="110"/>
        <v>0</v>
      </c>
      <c r="AT193" s="126"/>
      <c r="AU193" s="126"/>
      <c r="AV193" s="126"/>
      <c r="AW193" s="127"/>
      <c r="AX193" s="127"/>
      <c r="AY193" s="127"/>
      <c r="AZ193" s="126"/>
      <c r="BA193" s="127"/>
      <c r="BB193" s="127"/>
      <c r="BC193" s="127"/>
      <c r="BD193" s="126"/>
      <c r="BE193" s="222">
        <f t="shared" si="111"/>
        <v>0</v>
      </c>
      <c r="BF193" s="140">
        <f t="shared" si="112"/>
        <v>0</v>
      </c>
      <c r="BG193" s="132"/>
      <c r="BH193" s="140">
        <f t="shared" si="113"/>
        <v>0</v>
      </c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30">
        <f t="shared" si="114"/>
        <v>0</v>
      </c>
      <c r="BW193" s="132"/>
    </row>
    <row r="194" ht="14.25" customHeight="1">
      <c r="A194" s="132"/>
      <c r="B194" s="215">
        <v>46196</v>
      </c>
      <c r="C194" s="133"/>
      <c r="D194" s="136"/>
      <c r="E194" s="135"/>
      <c r="F194" s="135"/>
      <c r="G194" s="98">
        <f t="shared" si="106"/>
        <v>0</v>
      </c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877">
        <f t="shared" si="107"/>
        <v>0</v>
      </c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03">
        <f t="shared" si="108"/>
        <v>0</v>
      </c>
      <c r="AJ194" s="136"/>
      <c r="AK194" s="136"/>
      <c r="AL194" s="136"/>
      <c r="AM194" s="105">
        <f t="shared" si="109"/>
        <v>0</v>
      </c>
      <c r="AN194" s="99"/>
      <c r="AO194" s="99"/>
      <c r="AP194" s="99"/>
      <c r="AQ194" s="143"/>
      <c r="AR194" s="146"/>
      <c r="AS194" s="224">
        <f t="shared" si="110"/>
        <v>0</v>
      </c>
      <c r="AT194" s="126"/>
      <c r="AU194" s="126"/>
      <c r="AV194" s="126"/>
      <c r="AW194" s="127"/>
      <c r="AX194" s="127"/>
      <c r="AY194" s="127"/>
      <c r="AZ194" s="126"/>
      <c r="BA194" s="127"/>
      <c r="BB194" s="127"/>
      <c r="BC194" s="127"/>
      <c r="BD194" s="126"/>
      <c r="BE194" s="222">
        <f t="shared" si="111"/>
        <v>0</v>
      </c>
      <c r="BF194" s="140">
        <f t="shared" si="112"/>
        <v>0</v>
      </c>
      <c r="BG194" s="132"/>
      <c r="BH194" s="140">
        <f t="shared" si="113"/>
        <v>0</v>
      </c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30">
        <f t="shared" si="114"/>
        <v>0</v>
      </c>
      <c r="BW194" s="132"/>
    </row>
    <row r="195" ht="14.25" customHeight="1">
      <c r="A195" s="132"/>
      <c r="B195" s="215">
        <v>46197</v>
      </c>
      <c r="C195" s="133"/>
      <c r="D195" s="136"/>
      <c r="E195" s="135"/>
      <c r="F195" s="135"/>
      <c r="G195" s="98">
        <f t="shared" si="106"/>
        <v>0</v>
      </c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877">
        <f t="shared" si="107"/>
        <v>0</v>
      </c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43"/>
      <c r="AI195" s="103">
        <f t="shared" si="108"/>
        <v>0</v>
      </c>
      <c r="AJ195" s="136"/>
      <c r="AK195" s="136"/>
      <c r="AL195" s="136"/>
      <c r="AM195" s="105">
        <f t="shared" si="109"/>
        <v>0</v>
      </c>
      <c r="AN195" s="143"/>
      <c r="AO195" s="143"/>
      <c r="AP195" s="143"/>
      <c r="AQ195" s="143"/>
      <c r="AR195" s="146"/>
      <c r="AS195" s="224">
        <f t="shared" si="110"/>
        <v>0</v>
      </c>
      <c r="AT195" s="126"/>
      <c r="AU195" s="126"/>
      <c r="AV195" s="126"/>
      <c r="AW195" s="127"/>
      <c r="AX195" s="127"/>
      <c r="AY195" s="127"/>
      <c r="AZ195" s="126"/>
      <c r="BA195" s="127"/>
      <c r="BB195" s="127"/>
      <c r="BC195" s="127"/>
      <c r="BD195" s="126"/>
      <c r="BE195" s="222">
        <f t="shared" si="111"/>
        <v>0</v>
      </c>
      <c r="BF195" s="140">
        <f t="shared" si="112"/>
        <v>0</v>
      </c>
      <c r="BG195" s="132"/>
      <c r="BH195" s="140">
        <f t="shared" si="113"/>
        <v>0</v>
      </c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30">
        <f t="shared" si="114"/>
        <v>0</v>
      </c>
      <c r="BW195" s="132"/>
    </row>
    <row r="196" ht="14.25" customHeight="1">
      <c r="A196" s="132"/>
      <c r="B196" s="215">
        <v>46198</v>
      </c>
      <c r="C196" s="133"/>
      <c r="D196" s="136"/>
      <c r="E196" s="135"/>
      <c r="F196" s="135"/>
      <c r="G196" s="98">
        <f t="shared" si="106"/>
        <v>0</v>
      </c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877">
        <f t="shared" si="107"/>
        <v>0</v>
      </c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43"/>
      <c r="AI196" s="103">
        <f t="shared" si="108"/>
        <v>0</v>
      </c>
      <c r="AJ196" s="136"/>
      <c r="AK196" s="136"/>
      <c r="AL196" s="136"/>
      <c r="AM196" s="105">
        <f t="shared" si="109"/>
        <v>0</v>
      </c>
      <c r="AN196" s="143"/>
      <c r="AO196" s="143"/>
      <c r="AP196" s="143"/>
      <c r="AQ196" s="143"/>
      <c r="AR196" s="146"/>
      <c r="AS196" s="224">
        <f t="shared" si="110"/>
        <v>0</v>
      </c>
      <c r="AT196" s="126"/>
      <c r="AU196" s="126"/>
      <c r="AV196" s="126"/>
      <c r="AW196" s="127"/>
      <c r="AX196" s="127"/>
      <c r="AY196" s="127"/>
      <c r="AZ196" s="126"/>
      <c r="BA196" s="127"/>
      <c r="BB196" s="127"/>
      <c r="BC196" s="127"/>
      <c r="BD196" s="126"/>
      <c r="BE196" s="222">
        <f t="shared" si="111"/>
        <v>0</v>
      </c>
      <c r="BF196" s="140">
        <f t="shared" si="112"/>
        <v>0</v>
      </c>
      <c r="BG196" s="132"/>
      <c r="BH196" s="140">
        <f t="shared" si="113"/>
        <v>0</v>
      </c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30">
        <f t="shared" si="114"/>
        <v>0</v>
      </c>
      <c r="BW196" s="132"/>
    </row>
    <row r="197" ht="14.25" customHeight="1">
      <c r="A197" s="132"/>
      <c r="B197" s="215">
        <v>46199</v>
      </c>
      <c r="C197" s="133"/>
      <c r="D197" s="136"/>
      <c r="E197" s="135"/>
      <c r="F197" s="135"/>
      <c r="G197" s="98">
        <f t="shared" si="106"/>
        <v>0</v>
      </c>
      <c r="H197" s="143"/>
      <c r="I197" s="143"/>
      <c r="J197" s="143"/>
      <c r="K197" s="143"/>
      <c r="L197" s="143"/>
      <c r="M197" s="143"/>
      <c r="N197" s="99"/>
      <c r="O197" s="143"/>
      <c r="P197" s="143"/>
      <c r="Q197" s="143"/>
      <c r="R197" s="143"/>
      <c r="S197" s="143"/>
      <c r="T197" s="143"/>
      <c r="U197" s="143"/>
      <c r="V197" s="877">
        <f t="shared" si="107"/>
        <v>0</v>
      </c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43"/>
      <c r="AI197" s="103">
        <f t="shared" si="108"/>
        <v>0</v>
      </c>
      <c r="AJ197" s="136"/>
      <c r="AK197" s="136"/>
      <c r="AL197" s="136"/>
      <c r="AM197" s="105">
        <f t="shared" si="109"/>
        <v>0</v>
      </c>
      <c r="AN197" s="143"/>
      <c r="AO197" s="143"/>
      <c r="AP197" s="143"/>
      <c r="AQ197" s="143"/>
      <c r="AR197" s="146"/>
      <c r="AS197" s="224">
        <f t="shared" si="110"/>
        <v>0</v>
      </c>
      <c r="AT197" s="126"/>
      <c r="AU197" s="126"/>
      <c r="AV197" s="126"/>
      <c r="AW197" s="127"/>
      <c r="AX197" s="127"/>
      <c r="AY197" s="127"/>
      <c r="AZ197" s="126"/>
      <c r="BA197" s="127"/>
      <c r="BB197" s="127"/>
      <c r="BC197" s="127"/>
      <c r="BD197" s="126"/>
      <c r="BE197" s="222">
        <f t="shared" si="111"/>
        <v>0</v>
      </c>
      <c r="BF197" s="140">
        <f t="shared" si="112"/>
        <v>0</v>
      </c>
      <c r="BG197" s="132"/>
      <c r="BH197" s="140">
        <f t="shared" si="113"/>
        <v>0</v>
      </c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30">
        <f t="shared" si="114"/>
        <v>0</v>
      </c>
      <c r="BW197" s="132"/>
    </row>
    <row r="198" ht="14.25" customHeight="1">
      <c r="A198" s="132"/>
      <c r="B198" s="215">
        <v>46200</v>
      </c>
      <c r="C198" s="133"/>
      <c r="D198" s="136"/>
      <c r="E198" s="135"/>
      <c r="F198" s="135"/>
      <c r="G198" s="98">
        <f t="shared" si="106"/>
        <v>0</v>
      </c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877">
        <f t="shared" si="107"/>
        <v>0</v>
      </c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43"/>
      <c r="AI198" s="103">
        <f t="shared" si="108"/>
        <v>0</v>
      </c>
      <c r="AJ198" s="136"/>
      <c r="AK198" s="136"/>
      <c r="AL198" s="136"/>
      <c r="AM198" s="105">
        <f t="shared" si="109"/>
        <v>0</v>
      </c>
      <c r="AN198" s="143"/>
      <c r="AO198" s="143"/>
      <c r="AP198" s="143"/>
      <c r="AQ198" s="143"/>
      <c r="AR198" s="146"/>
      <c r="AS198" s="224">
        <f t="shared" si="110"/>
        <v>0</v>
      </c>
      <c r="AT198" s="126"/>
      <c r="AU198" s="126"/>
      <c r="AV198" s="126"/>
      <c r="AW198" s="127"/>
      <c r="AX198" s="127"/>
      <c r="AY198" s="127"/>
      <c r="AZ198" s="126"/>
      <c r="BA198" s="127"/>
      <c r="BB198" s="127"/>
      <c r="BC198" s="127"/>
      <c r="BD198" s="126"/>
      <c r="BE198" s="222">
        <f t="shared" si="111"/>
        <v>0</v>
      </c>
      <c r="BF198" s="140">
        <f t="shared" si="112"/>
        <v>0</v>
      </c>
      <c r="BG198" s="132"/>
      <c r="BH198" s="140">
        <f t="shared" si="113"/>
        <v>0</v>
      </c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30">
        <f t="shared" si="114"/>
        <v>0</v>
      </c>
      <c r="BW198" s="132"/>
    </row>
    <row r="199" ht="14.25" customHeight="1">
      <c r="A199" s="132"/>
      <c r="B199" s="215">
        <v>46201</v>
      </c>
      <c r="C199" s="133"/>
      <c r="D199" s="136"/>
      <c r="E199" s="135"/>
      <c r="F199" s="135"/>
      <c r="G199" s="98">
        <f t="shared" si="106"/>
        <v>0</v>
      </c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877">
        <f t="shared" si="107"/>
        <v>0</v>
      </c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43"/>
      <c r="AI199" s="103">
        <f t="shared" si="108"/>
        <v>0</v>
      </c>
      <c r="AJ199" s="136"/>
      <c r="AK199" s="136"/>
      <c r="AL199" s="136"/>
      <c r="AM199" s="105">
        <f t="shared" si="109"/>
        <v>0</v>
      </c>
      <c r="AN199" s="143"/>
      <c r="AO199" s="143"/>
      <c r="AP199" s="143"/>
      <c r="AQ199" s="143"/>
      <c r="AR199" s="146"/>
      <c r="AS199" s="224">
        <f t="shared" si="110"/>
        <v>0</v>
      </c>
      <c r="AT199" s="126"/>
      <c r="AU199" s="126"/>
      <c r="AV199" s="126"/>
      <c r="AW199" s="127"/>
      <c r="AX199" s="127"/>
      <c r="AY199" s="127"/>
      <c r="AZ199" s="126"/>
      <c r="BA199" s="127"/>
      <c r="BB199" s="127"/>
      <c r="BC199" s="127"/>
      <c r="BD199" s="126"/>
      <c r="BE199" s="222">
        <f t="shared" si="111"/>
        <v>0</v>
      </c>
      <c r="BF199" s="140">
        <f t="shared" si="112"/>
        <v>0</v>
      </c>
      <c r="BG199" s="132"/>
      <c r="BH199" s="140">
        <f t="shared" si="113"/>
        <v>0</v>
      </c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30">
        <f t="shared" si="114"/>
        <v>0</v>
      </c>
      <c r="BW199" s="132"/>
    </row>
    <row r="200" ht="14.25" customHeight="1">
      <c r="A200" s="132"/>
      <c r="B200" s="215">
        <v>46202</v>
      </c>
      <c r="C200" s="133"/>
      <c r="D200" s="136"/>
      <c r="E200" s="135"/>
      <c r="F200" s="135"/>
      <c r="G200" s="98">
        <f t="shared" si="106"/>
        <v>0</v>
      </c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877">
        <f t="shared" si="107"/>
        <v>0</v>
      </c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43"/>
      <c r="AI200" s="103">
        <f t="shared" si="108"/>
        <v>0</v>
      </c>
      <c r="AJ200" s="136"/>
      <c r="AK200" s="136"/>
      <c r="AL200" s="136"/>
      <c r="AM200" s="105">
        <f t="shared" si="109"/>
        <v>0</v>
      </c>
      <c r="AN200" s="143"/>
      <c r="AO200" s="143"/>
      <c r="AP200" s="143"/>
      <c r="AQ200" s="143"/>
      <c r="AR200" s="146"/>
      <c r="AS200" s="224">
        <f t="shared" si="110"/>
        <v>0</v>
      </c>
      <c r="AT200" s="126"/>
      <c r="AU200" s="126"/>
      <c r="AV200" s="126"/>
      <c r="AW200" s="127"/>
      <c r="AX200" s="127"/>
      <c r="AY200" s="127"/>
      <c r="AZ200" s="126"/>
      <c r="BA200" s="127"/>
      <c r="BB200" s="127"/>
      <c r="BC200" s="127"/>
      <c r="BD200" s="126"/>
      <c r="BE200" s="222">
        <f t="shared" si="111"/>
        <v>0</v>
      </c>
      <c r="BF200" s="140">
        <f t="shared" si="112"/>
        <v>0</v>
      </c>
      <c r="BG200" s="132"/>
      <c r="BH200" s="140">
        <f t="shared" si="113"/>
        <v>0</v>
      </c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30">
        <f t="shared" si="114"/>
        <v>0</v>
      </c>
      <c r="BW200" s="132"/>
    </row>
    <row r="201" ht="14.25" customHeight="1">
      <c r="A201" s="132"/>
      <c r="B201" s="215">
        <v>46203</v>
      </c>
      <c r="C201" s="133"/>
      <c r="D201" s="136"/>
      <c r="E201" s="135"/>
      <c r="F201" s="135"/>
      <c r="G201" s="98">
        <f t="shared" si="106"/>
        <v>0</v>
      </c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877">
        <f t="shared" si="107"/>
        <v>0</v>
      </c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43"/>
      <c r="AI201" s="103">
        <f t="shared" si="108"/>
        <v>0</v>
      </c>
      <c r="AJ201" s="136"/>
      <c r="AK201" s="136"/>
      <c r="AL201" s="136"/>
      <c r="AM201" s="105">
        <f t="shared" si="109"/>
        <v>0</v>
      </c>
      <c r="AN201" s="143"/>
      <c r="AO201" s="143"/>
      <c r="AP201" s="143"/>
      <c r="AQ201" s="143"/>
      <c r="AR201" s="146"/>
      <c r="AS201" s="224">
        <f t="shared" si="110"/>
        <v>0</v>
      </c>
      <c r="AT201" s="138"/>
      <c r="AU201" s="138"/>
      <c r="AV201" s="138"/>
      <c r="AW201" s="127"/>
      <c r="AX201" s="127"/>
      <c r="AY201" s="127"/>
      <c r="AZ201" s="138"/>
      <c r="BA201" s="127"/>
      <c r="BB201" s="127"/>
      <c r="BC201" s="127"/>
      <c r="BD201" s="138"/>
      <c r="BE201" s="222">
        <f t="shared" si="111"/>
        <v>0</v>
      </c>
      <c r="BF201" s="140">
        <f t="shared" si="112"/>
        <v>0</v>
      </c>
      <c r="BG201" s="132"/>
      <c r="BH201" s="140">
        <f t="shared" si="113"/>
        <v>0</v>
      </c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30">
        <f t="shared" si="114"/>
        <v>0</v>
      </c>
      <c r="BW201" s="132"/>
    </row>
    <row r="202" ht="14.25" customHeight="1">
      <c r="A202" s="3"/>
      <c r="B202" s="406" t="s">
        <v>4</v>
      </c>
      <c r="C202" s="166">
        <f ref="C202:J202" t="shared" si="115">SUM(C171:C201)</f>
        <v>0</v>
      </c>
      <c r="D202" s="166">
        <f t="shared" si="115"/>
        <v>0</v>
      </c>
      <c r="E202" s="166">
        <f t="shared" si="115"/>
        <v>0</v>
      </c>
      <c r="F202" s="166">
        <f t="shared" si="115"/>
        <v>0</v>
      </c>
      <c r="G202" s="166">
        <f t="shared" si="115"/>
        <v>0</v>
      </c>
      <c r="H202" s="165">
        <f t="shared" si="115"/>
        <v>0</v>
      </c>
      <c r="I202" s="165">
        <f t="shared" si="115"/>
        <v>0</v>
      </c>
      <c r="J202" s="165">
        <f t="shared" si="115"/>
        <v>0</v>
      </c>
      <c r="K202" s="165">
        <f>SUM(K172:K201)</f>
        <v>0</v>
      </c>
      <c r="L202" s="165">
        <f ref="L202:Q202" t="shared" si="116">SUM(L171:L201)</f>
        <v>0</v>
      </c>
      <c r="M202" s="165">
        <f t="shared" si="116"/>
        <v>0</v>
      </c>
      <c r="N202" s="165">
        <f t="shared" si="116"/>
        <v>0</v>
      </c>
      <c r="O202" s="165">
        <f t="shared" si="116"/>
        <v>0</v>
      </c>
      <c r="P202" s="165">
        <f t="shared" si="116"/>
        <v>0</v>
      </c>
      <c r="Q202" s="165">
        <f t="shared" si="116"/>
        <v>0</v>
      </c>
      <c r="R202" s="165"/>
      <c r="S202" s="165">
        <f ref="S202:AF202" t="shared" si="117">SUM(S171:S201)</f>
        <v>0</v>
      </c>
      <c r="T202" s="165">
        <f t="shared" si="117"/>
        <v>0</v>
      </c>
      <c r="U202" s="165">
        <f t="shared" si="117"/>
        <v>0</v>
      </c>
      <c r="V202" s="166">
        <f t="shared" si="117"/>
        <v>0</v>
      </c>
      <c r="W202" s="166">
        <f t="shared" si="117"/>
        <v>0</v>
      </c>
      <c r="X202" s="166">
        <f t="shared" si="117"/>
        <v>0</v>
      </c>
      <c r="Y202" s="166">
        <f t="shared" si="117"/>
        <v>0</v>
      </c>
      <c r="Z202" s="166">
        <f t="shared" si="117"/>
        <v>0</v>
      </c>
      <c r="AA202" s="166">
        <f t="shared" si="117"/>
        <v>0</v>
      </c>
      <c r="AB202" s="166">
        <f t="shared" si="117"/>
        <v>0</v>
      </c>
      <c r="AC202" s="166">
        <f t="shared" si="117"/>
        <v>0</v>
      </c>
      <c r="AD202" s="166">
        <f t="shared" si="117"/>
        <v>0</v>
      </c>
      <c r="AE202" s="166">
        <f t="shared" si="117"/>
        <v>0</v>
      </c>
      <c r="AF202" s="166">
        <f t="shared" si="117"/>
        <v>0</v>
      </c>
      <c r="AG202" s="166"/>
      <c r="AH202" s="166">
        <f ref="AH202:AN202" t="shared" si="118">SUM(AH171:AH201)</f>
        <v>0</v>
      </c>
      <c r="AI202" s="166">
        <f t="shared" si="118"/>
        <v>0</v>
      </c>
      <c r="AJ202" s="166">
        <f t="shared" si="118"/>
        <v>0</v>
      </c>
      <c r="AK202" s="166">
        <f t="shared" si="118"/>
        <v>0</v>
      </c>
      <c r="AL202" s="166">
        <f t="shared" si="118"/>
        <v>0</v>
      </c>
      <c r="AM202" s="166">
        <f t="shared" si="118"/>
        <v>0</v>
      </c>
      <c r="AN202" s="166">
        <f t="shared" si="118"/>
        <v>0</v>
      </c>
      <c r="AO202" s="166"/>
      <c r="AP202" s="166">
        <f ref="AP202:BF202" t="shared" si="119">SUM(AP171:AP201)</f>
        <v>0</v>
      </c>
      <c r="AQ202" s="166">
        <f t="shared" si="119"/>
        <v>0</v>
      </c>
      <c r="AR202" s="166">
        <f t="shared" si="119"/>
        <v>0</v>
      </c>
      <c r="AS202" s="166">
        <f t="shared" si="119"/>
        <v>0</v>
      </c>
      <c r="AT202" s="165">
        <f t="shared" si="119"/>
        <v>0</v>
      </c>
      <c r="AU202" s="165">
        <f t="shared" si="119"/>
        <v>0</v>
      </c>
      <c r="AV202" s="165">
        <f t="shared" si="119"/>
        <v>0</v>
      </c>
      <c r="AW202" s="165">
        <f t="shared" si="119"/>
        <v>0</v>
      </c>
      <c r="AX202" s="165">
        <f t="shared" si="119"/>
        <v>0</v>
      </c>
      <c r="AY202" s="165">
        <f t="shared" si="119"/>
        <v>0</v>
      </c>
      <c r="AZ202" s="165">
        <f t="shared" si="119"/>
        <v>0</v>
      </c>
      <c r="BA202" s="165">
        <f t="shared" si="119"/>
        <v>0</v>
      </c>
      <c r="BB202" s="165">
        <f t="shared" si="119"/>
        <v>0</v>
      </c>
      <c r="BC202" s="165">
        <f t="shared" si="119"/>
        <v>0</v>
      </c>
      <c r="BD202" s="165">
        <f t="shared" si="119"/>
        <v>0</v>
      </c>
      <c r="BE202" s="166">
        <f t="shared" si="119"/>
        <v>0</v>
      </c>
      <c r="BF202" s="166">
        <f t="shared" si="119"/>
        <v>0</v>
      </c>
      <c r="BG202" s="235"/>
      <c r="BH202" s="166">
        <f ref="BH202:BV202" t="shared" si="120">SUM(BH171:BH201)</f>
        <v>0</v>
      </c>
      <c r="BI202" s="166">
        <f t="shared" si="120"/>
        <v>0</v>
      </c>
      <c r="BJ202" s="166">
        <f t="shared" si="120"/>
        <v>0</v>
      </c>
      <c r="BK202" s="166">
        <f t="shared" si="120"/>
        <v>0</v>
      </c>
      <c r="BL202" s="166">
        <f t="shared" si="120"/>
        <v>0</v>
      </c>
      <c r="BM202" s="166">
        <f t="shared" si="120"/>
        <v>0</v>
      </c>
      <c r="BN202" s="166">
        <f t="shared" si="120"/>
        <v>0</v>
      </c>
      <c r="BO202" s="166">
        <f t="shared" si="120"/>
        <v>0</v>
      </c>
      <c r="BP202" s="166">
        <f t="shared" si="120"/>
        <v>0</v>
      </c>
      <c r="BQ202" s="166">
        <f t="shared" si="120"/>
        <v>0</v>
      </c>
      <c r="BR202" s="166">
        <f t="shared" si="120"/>
        <v>0</v>
      </c>
      <c r="BS202" s="166">
        <f t="shared" si="120"/>
        <v>0</v>
      </c>
      <c r="BT202" s="166">
        <f t="shared" si="120"/>
        <v>0</v>
      </c>
      <c r="BU202" s="166">
        <f t="shared" si="120"/>
        <v>0</v>
      </c>
      <c r="BV202" s="166">
        <f t="shared" si="120"/>
        <v>0</v>
      </c>
      <c r="BW202" s="235"/>
    </row>
    <row r="203" ht="14.25" customHeight="1">
      <c r="A203" s="1"/>
      <c r="B203" s="2"/>
      <c r="C203" s="3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96"/>
      <c r="AJ203" s="3"/>
      <c r="AK203" s="3"/>
      <c r="AL203" s="3"/>
      <c r="AM203" s="4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ht="14.25" customHeight="1">
      <c r="A204" s="1"/>
      <c r="B204" s="2"/>
      <c r="C204" s="3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176"/>
      <c r="AJ204" s="3"/>
      <c r="AK204" s="3"/>
      <c r="AL204" s="3"/>
      <c r="AM204" s="4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ht="14.25" customHeight="1">
      <c r="A205" s="3"/>
      <c r="B205" s="215">
        <v>46204</v>
      </c>
      <c r="C205" s="94"/>
      <c r="D205" s="104"/>
      <c r="E205" s="97"/>
      <c r="F205" s="97"/>
      <c r="G205" s="265">
        <f ref="G205:G235" t="shared" si="121">+C205+D205+E205+F205</f>
        <v>0</v>
      </c>
      <c r="H205" s="187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86"/>
      <c r="V205" s="189">
        <f>SUM(H205:T205)</f>
        <v>0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03">
        <f ref="AI205:AI235" t="shared" si="122">SUM(W205:AH205)</f>
        <v>0</v>
      </c>
      <c r="AJ205" s="101"/>
      <c r="AK205" s="104"/>
      <c r="AL205" s="104"/>
      <c r="AM205" s="191">
        <f ref="AM205:AM235" t="shared" si="123">SUM(AJ205:AL205)</f>
        <v>0</v>
      </c>
      <c r="AN205" s="186"/>
      <c r="AO205" s="186"/>
      <c r="AP205" s="186"/>
      <c r="AQ205" s="186"/>
      <c r="AR205" s="193"/>
      <c r="AS205" s="266">
        <f ref="AS205:AS235" t="shared" si="124">+G205-V205-AI205-AM205-AN205-AP205-AQ205-AR205</f>
        <v>0</v>
      </c>
      <c r="AT205" s="109"/>
      <c r="AU205" s="269"/>
      <c r="AV205" s="109"/>
      <c r="AW205" s="109"/>
      <c r="AX205" s="109"/>
      <c r="AY205" s="270"/>
      <c r="AZ205" s="109"/>
      <c r="BA205" s="269"/>
      <c r="BB205" s="269"/>
      <c r="BC205" s="269"/>
      <c r="BD205" s="269"/>
      <c r="BE205" s="292">
        <f ref="BE205:BE235" t="shared" si="125">SUM(AT205:BD205)-BC205</f>
        <v>0</v>
      </c>
      <c r="BF205" s="114">
        <f ref="BF205:BF235" t="shared" si="126">+AS205-BE205</f>
        <v>0</v>
      </c>
      <c r="BG205" s="3"/>
      <c r="BH205" s="114">
        <f ref="BH205:BH235" t="shared" si="127">SUM(BI205:BU205)</f>
        <v>0</v>
      </c>
      <c r="BI205" s="115"/>
      <c r="BJ205" s="115"/>
      <c r="BK205" s="115"/>
      <c r="BL205" s="115"/>
      <c r="BM205" s="115"/>
      <c r="BN205" s="115"/>
      <c r="BO205" s="115"/>
      <c r="BP205" s="115"/>
      <c r="BQ205" s="115"/>
      <c r="BR205" s="115"/>
      <c r="BS205" s="115"/>
      <c r="BT205" s="115"/>
      <c r="BU205" s="115"/>
      <c r="BV205" s="116">
        <f ref="BV205:BV235" t="shared" si="128">+BF205-BH205</f>
        <v>0</v>
      </c>
      <c r="BW205" s="3"/>
    </row>
    <row r="206" ht="14.25" customHeight="1">
      <c r="A206" s="3"/>
      <c r="B206" s="215">
        <v>46205</v>
      </c>
      <c r="C206" s="118"/>
      <c r="D206" s="123"/>
      <c r="E206" s="120"/>
      <c r="F206" s="120"/>
      <c r="G206" s="147">
        <f t="shared" si="121"/>
        <v>0</v>
      </c>
      <c r="H206" s="144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03">
        <f ref="V206:V235" t="shared" si="129">SUM(H206:U206)</f>
        <v>0</v>
      </c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143"/>
      <c r="AI206" s="103">
        <f t="shared" si="122"/>
        <v>0</v>
      </c>
      <c r="AJ206" s="123"/>
      <c r="AK206" s="123"/>
      <c r="AL206" s="123"/>
      <c r="AM206" s="105">
        <f t="shared" si="123"/>
        <v>0</v>
      </c>
      <c r="AN206" s="143"/>
      <c r="AO206" s="143"/>
      <c r="AP206" s="143"/>
      <c r="AQ206" s="143"/>
      <c r="AR206" s="146"/>
      <c r="AS206" s="224">
        <f t="shared" si="124"/>
        <v>0</v>
      </c>
      <c r="AT206" s="126"/>
      <c r="AU206" s="274"/>
      <c r="AV206" s="126"/>
      <c r="AW206" s="126"/>
      <c r="AX206" s="126"/>
      <c r="AY206" s="275"/>
      <c r="AZ206" s="126"/>
      <c r="BA206" s="274"/>
      <c r="BB206" s="274"/>
      <c r="BC206" s="274"/>
      <c r="BD206" s="274"/>
      <c r="BE206" s="222">
        <f t="shared" si="125"/>
        <v>0</v>
      </c>
      <c r="BF206" s="113">
        <f t="shared" si="126"/>
        <v>0</v>
      </c>
      <c r="BG206" s="3"/>
      <c r="BH206" s="113">
        <f t="shared" si="127"/>
        <v>0</v>
      </c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30">
        <f t="shared" si="128"/>
        <v>0</v>
      </c>
      <c r="BW206" s="3"/>
    </row>
    <row r="207" ht="14.25" customHeight="1">
      <c r="A207" s="3"/>
      <c r="B207" s="215">
        <v>46206</v>
      </c>
      <c r="C207" s="118"/>
      <c r="D207" s="123"/>
      <c r="E207" s="120"/>
      <c r="F207" s="120"/>
      <c r="G207" s="147">
        <f t="shared" si="121"/>
        <v>0</v>
      </c>
      <c r="H207" s="144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03">
        <f t="shared" si="129"/>
        <v>0</v>
      </c>
      <c r="W207" s="143"/>
      <c r="X207" s="143"/>
      <c r="Y207" s="143"/>
      <c r="Z207" s="143"/>
      <c r="AA207" s="143"/>
      <c r="AB207" s="143"/>
      <c r="AC207" s="143"/>
      <c r="AD207" s="143"/>
      <c r="AE207" s="143"/>
      <c r="AF207" s="143"/>
      <c r="AG207" s="143"/>
      <c r="AH207" s="143"/>
      <c r="AI207" s="103">
        <f t="shared" si="122"/>
        <v>0</v>
      </c>
      <c r="AJ207" s="123"/>
      <c r="AK207" s="123"/>
      <c r="AL207" s="123"/>
      <c r="AM207" s="105">
        <f t="shared" si="123"/>
        <v>0</v>
      </c>
      <c r="AN207" s="143"/>
      <c r="AO207" s="143"/>
      <c r="AP207" s="143"/>
      <c r="AQ207" s="143"/>
      <c r="AR207" s="146"/>
      <c r="AS207" s="224">
        <f t="shared" si="124"/>
        <v>0</v>
      </c>
      <c r="AT207" s="126"/>
      <c r="AU207" s="274"/>
      <c r="AV207" s="274"/>
      <c r="AW207" s="126"/>
      <c r="AX207" s="126"/>
      <c r="AY207" s="275"/>
      <c r="AZ207" s="126"/>
      <c r="BA207" s="274"/>
      <c r="BB207" s="274"/>
      <c r="BC207" s="274"/>
      <c r="BD207" s="274"/>
      <c r="BE207" s="222">
        <f t="shared" si="125"/>
        <v>0</v>
      </c>
      <c r="BF207" s="113">
        <f t="shared" si="126"/>
        <v>0</v>
      </c>
      <c r="BG207" s="3"/>
      <c r="BH207" s="113">
        <f t="shared" si="127"/>
        <v>0</v>
      </c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30">
        <f t="shared" si="128"/>
        <v>0</v>
      </c>
      <c r="BW207" s="3"/>
    </row>
    <row r="208" ht="14.25" customHeight="1">
      <c r="A208" s="3"/>
      <c r="B208" s="215">
        <v>46207</v>
      </c>
      <c r="C208" s="118"/>
      <c r="D208" s="123"/>
      <c r="E208" s="120"/>
      <c r="F208" s="120"/>
      <c r="G208" s="147">
        <f t="shared" si="121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03">
        <f t="shared" si="129"/>
        <v>0</v>
      </c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43"/>
      <c r="AH208" s="143"/>
      <c r="AI208" s="103">
        <f t="shared" si="122"/>
        <v>0</v>
      </c>
      <c r="AJ208" s="123"/>
      <c r="AK208" s="123"/>
      <c r="AL208" s="123"/>
      <c r="AM208" s="105">
        <f t="shared" si="123"/>
        <v>0</v>
      </c>
      <c r="AN208" s="143"/>
      <c r="AO208" s="143"/>
      <c r="AP208" s="143"/>
      <c r="AQ208" s="143"/>
      <c r="AR208" s="146"/>
      <c r="AS208" s="224">
        <f t="shared" si="124"/>
        <v>0</v>
      </c>
      <c r="AT208" s="126"/>
      <c r="AU208" s="274"/>
      <c r="AV208" s="274"/>
      <c r="AW208" s="275"/>
      <c r="AX208" s="126"/>
      <c r="AY208" s="127"/>
      <c r="AZ208" s="126"/>
      <c r="BA208" s="274"/>
      <c r="BB208" s="274"/>
      <c r="BC208" s="274"/>
      <c r="BD208" s="274"/>
      <c r="BE208" s="222">
        <f t="shared" si="125"/>
        <v>0</v>
      </c>
      <c r="BF208" s="113">
        <f t="shared" si="126"/>
        <v>0</v>
      </c>
      <c r="BG208" s="3"/>
      <c r="BH208" s="113">
        <f t="shared" si="127"/>
        <v>0</v>
      </c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30">
        <f t="shared" si="128"/>
        <v>0</v>
      </c>
      <c r="BW208" s="3"/>
    </row>
    <row r="209" ht="14.25" customHeight="1">
      <c r="A209" s="3"/>
      <c r="B209" s="215">
        <v>46208</v>
      </c>
      <c r="C209" s="118"/>
      <c r="D209" s="123"/>
      <c r="E209" s="120"/>
      <c r="F209" s="120"/>
      <c r="G209" s="147">
        <f t="shared" si="121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03">
        <f t="shared" si="129"/>
        <v>0</v>
      </c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43"/>
      <c r="AI209" s="103">
        <f t="shared" si="122"/>
        <v>0</v>
      </c>
      <c r="AJ209" s="123"/>
      <c r="AK209" s="123"/>
      <c r="AL209" s="123"/>
      <c r="AM209" s="105">
        <f t="shared" si="123"/>
        <v>0</v>
      </c>
      <c r="AN209" s="143"/>
      <c r="AO209" s="143"/>
      <c r="AP209" s="143"/>
      <c r="AQ209" s="143"/>
      <c r="AR209" s="146"/>
      <c r="AS209" s="224">
        <f t="shared" si="124"/>
        <v>0</v>
      </c>
      <c r="AT209" s="126"/>
      <c r="AU209" s="274"/>
      <c r="AV209" s="126"/>
      <c r="AW209" s="126"/>
      <c r="AX209" s="126"/>
      <c r="AY209" s="275"/>
      <c r="AZ209" s="126"/>
      <c r="BA209" s="274"/>
      <c r="BB209" s="274"/>
      <c r="BC209" s="274"/>
      <c r="BD209" s="274"/>
      <c r="BE209" s="222">
        <f t="shared" si="125"/>
        <v>0</v>
      </c>
      <c r="BF209" s="113">
        <f t="shared" si="126"/>
        <v>0</v>
      </c>
      <c r="BG209" s="3"/>
      <c r="BH209" s="113">
        <f t="shared" si="127"/>
        <v>0</v>
      </c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30">
        <f t="shared" si="128"/>
        <v>0</v>
      </c>
      <c r="BW209" s="3"/>
    </row>
    <row r="210" ht="14.25" customHeight="1">
      <c r="A210" s="3"/>
      <c r="B210" s="215">
        <v>46209</v>
      </c>
      <c r="C210" s="118"/>
      <c r="D210" s="123"/>
      <c r="E210" s="120"/>
      <c r="F210" s="120"/>
      <c r="G210" s="147">
        <f t="shared" si="121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03">
        <f t="shared" si="129"/>
        <v>0</v>
      </c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43"/>
      <c r="AI210" s="103">
        <f t="shared" si="122"/>
        <v>0</v>
      </c>
      <c r="AJ210" s="123"/>
      <c r="AK210" s="123"/>
      <c r="AL210" s="123"/>
      <c r="AM210" s="105">
        <f t="shared" si="123"/>
        <v>0</v>
      </c>
      <c r="AN210" s="143"/>
      <c r="AO210" s="143"/>
      <c r="AP210" s="143"/>
      <c r="AQ210" s="143"/>
      <c r="AR210" s="146"/>
      <c r="AS210" s="224">
        <f t="shared" si="124"/>
        <v>0</v>
      </c>
      <c r="AT210" s="126"/>
      <c r="AU210" s="274"/>
      <c r="AV210" s="126"/>
      <c r="AW210" s="126"/>
      <c r="AX210" s="126"/>
      <c r="AY210" s="275"/>
      <c r="AZ210" s="126"/>
      <c r="BA210" s="274"/>
      <c r="BB210" s="274"/>
      <c r="BC210" s="274"/>
      <c r="BD210" s="274"/>
      <c r="BE210" s="222">
        <f t="shared" si="125"/>
        <v>0</v>
      </c>
      <c r="BF210" s="113">
        <f t="shared" si="126"/>
        <v>0</v>
      </c>
      <c r="BG210" s="3"/>
      <c r="BH210" s="113">
        <f t="shared" si="127"/>
        <v>0</v>
      </c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30">
        <f t="shared" si="128"/>
        <v>0</v>
      </c>
      <c r="BW210" s="3"/>
    </row>
    <row r="211" ht="14.25" customHeight="1">
      <c r="A211" s="3"/>
      <c r="B211" s="215">
        <v>46210</v>
      </c>
      <c r="C211" s="118"/>
      <c r="D211" s="123"/>
      <c r="E211" s="120"/>
      <c r="F211" s="120"/>
      <c r="G211" s="147">
        <f t="shared" si="121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03">
        <f t="shared" si="129"/>
        <v>0</v>
      </c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43"/>
      <c r="AI211" s="103">
        <f t="shared" si="122"/>
        <v>0</v>
      </c>
      <c r="AJ211" s="123"/>
      <c r="AK211" s="123"/>
      <c r="AL211" s="123"/>
      <c r="AM211" s="105">
        <f t="shared" si="123"/>
        <v>0</v>
      </c>
      <c r="AN211" s="143"/>
      <c r="AO211" s="143"/>
      <c r="AP211" s="143"/>
      <c r="AQ211" s="143"/>
      <c r="AR211" s="146"/>
      <c r="AS211" s="224">
        <f t="shared" si="124"/>
        <v>0</v>
      </c>
      <c r="AT211" s="126"/>
      <c r="AU211" s="274"/>
      <c r="AV211" s="126"/>
      <c r="AW211" s="126"/>
      <c r="AX211" s="126"/>
      <c r="AY211" s="275"/>
      <c r="AZ211" s="126"/>
      <c r="BA211" s="274"/>
      <c r="BB211" s="274"/>
      <c r="BC211" s="274"/>
      <c r="BD211" s="274"/>
      <c r="BE211" s="222">
        <f t="shared" si="125"/>
        <v>0</v>
      </c>
      <c r="BF211" s="113">
        <f t="shared" si="126"/>
        <v>0</v>
      </c>
      <c r="BG211" s="3"/>
      <c r="BH211" s="113">
        <f t="shared" si="127"/>
        <v>0</v>
      </c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30">
        <f t="shared" si="128"/>
        <v>0</v>
      </c>
      <c r="BW211" s="3"/>
    </row>
    <row r="212" ht="14.25" customHeight="1">
      <c r="A212" s="3"/>
      <c r="B212" s="215">
        <v>46211</v>
      </c>
      <c r="C212" s="118"/>
      <c r="D212" s="123"/>
      <c r="E212" s="120"/>
      <c r="F212" s="120"/>
      <c r="G212" s="147">
        <f t="shared" si="121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03">
        <f t="shared" si="129"/>
        <v>0</v>
      </c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43"/>
      <c r="AI212" s="103">
        <f t="shared" si="122"/>
        <v>0</v>
      </c>
      <c r="AJ212" s="123"/>
      <c r="AK212" s="123"/>
      <c r="AL212" s="123"/>
      <c r="AM212" s="105">
        <f t="shared" si="123"/>
        <v>0</v>
      </c>
      <c r="AN212" s="143"/>
      <c r="AO212" s="143"/>
      <c r="AP212" s="143"/>
      <c r="AQ212" s="143"/>
      <c r="AR212" s="146"/>
      <c r="AS212" s="224">
        <f t="shared" si="124"/>
        <v>0</v>
      </c>
      <c r="AT212" s="126"/>
      <c r="AU212" s="274"/>
      <c r="AV212" s="126"/>
      <c r="AW212" s="126"/>
      <c r="AX212" s="126"/>
      <c r="AY212" s="275"/>
      <c r="AZ212" s="126"/>
      <c r="BA212" s="274"/>
      <c r="BB212" s="274"/>
      <c r="BC212" s="274"/>
      <c r="BD212" s="274"/>
      <c r="BE212" s="222">
        <f t="shared" si="125"/>
        <v>0</v>
      </c>
      <c r="BF212" s="113">
        <f t="shared" si="126"/>
        <v>0</v>
      </c>
      <c r="BG212" s="3"/>
      <c r="BH212" s="113">
        <f t="shared" si="127"/>
        <v>0</v>
      </c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30">
        <f t="shared" si="128"/>
        <v>0</v>
      </c>
      <c r="BW212" s="3"/>
    </row>
    <row r="213" ht="14.25" customHeight="1">
      <c r="A213" s="3"/>
      <c r="B213" s="215">
        <v>46212</v>
      </c>
      <c r="C213" s="118"/>
      <c r="D213" s="123"/>
      <c r="E213" s="120"/>
      <c r="F213" s="120"/>
      <c r="G213" s="147">
        <f t="shared" si="121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03">
        <f t="shared" si="129"/>
        <v>0</v>
      </c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43"/>
      <c r="AI213" s="103">
        <f t="shared" si="122"/>
        <v>0</v>
      </c>
      <c r="AJ213" s="123"/>
      <c r="AK213" s="123"/>
      <c r="AL213" s="123"/>
      <c r="AM213" s="105">
        <f t="shared" si="123"/>
        <v>0</v>
      </c>
      <c r="AN213" s="143"/>
      <c r="AO213" s="143"/>
      <c r="AP213" s="143"/>
      <c r="AQ213" s="143"/>
      <c r="AR213" s="146"/>
      <c r="AS213" s="224">
        <f t="shared" si="124"/>
        <v>0</v>
      </c>
      <c r="AT213" s="126"/>
      <c r="AU213" s="274"/>
      <c r="AV213" s="126"/>
      <c r="AW213" s="126"/>
      <c r="AX213" s="126"/>
      <c r="AY213" s="275"/>
      <c r="AZ213" s="126"/>
      <c r="BA213" s="274"/>
      <c r="BB213" s="274"/>
      <c r="BC213" s="274"/>
      <c r="BD213" s="274"/>
      <c r="BE213" s="222">
        <f t="shared" si="125"/>
        <v>0</v>
      </c>
      <c r="BF213" s="113">
        <f t="shared" si="126"/>
        <v>0</v>
      </c>
      <c r="BG213" s="3"/>
      <c r="BH213" s="113">
        <f t="shared" si="127"/>
        <v>0</v>
      </c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30">
        <f t="shared" si="128"/>
        <v>0</v>
      </c>
      <c r="BW213" s="3"/>
    </row>
    <row r="214" ht="14.25" customHeight="1">
      <c r="A214" s="3"/>
      <c r="B214" s="215">
        <v>46213</v>
      </c>
      <c r="C214" s="118"/>
      <c r="D214" s="123"/>
      <c r="E214" s="120"/>
      <c r="F214" s="120"/>
      <c r="G214" s="147">
        <f t="shared" si="121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03">
        <f t="shared" si="129"/>
        <v>0</v>
      </c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43"/>
      <c r="AI214" s="103">
        <f t="shared" si="122"/>
        <v>0</v>
      </c>
      <c r="AJ214" s="123"/>
      <c r="AK214" s="123"/>
      <c r="AL214" s="123"/>
      <c r="AM214" s="105">
        <f t="shared" si="123"/>
        <v>0</v>
      </c>
      <c r="AN214" s="143"/>
      <c r="AO214" s="143"/>
      <c r="AP214" s="143"/>
      <c r="AQ214" s="143"/>
      <c r="AR214" s="146"/>
      <c r="AS214" s="224">
        <f t="shared" si="124"/>
        <v>0</v>
      </c>
      <c r="AT214" s="126"/>
      <c r="AU214" s="274"/>
      <c r="AV214" s="126"/>
      <c r="AW214" s="126"/>
      <c r="AX214" s="126"/>
      <c r="AY214" s="275"/>
      <c r="AZ214" s="126"/>
      <c r="BA214" s="274"/>
      <c r="BB214" s="274"/>
      <c r="BC214" s="274"/>
      <c r="BD214" s="274"/>
      <c r="BE214" s="222">
        <f t="shared" si="125"/>
        <v>0</v>
      </c>
      <c r="BF214" s="113">
        <f t="shared" si="126"/>
        <v>0</v>
      </c>
      <c r="BG214" s="3"/>
      <c r="BH214" s="113">
        <f t="shared" si="127"/>
        <v>0</v>
      </c>
      <c r="BI214" s="129"/>
      <c r="BJ214" s="129"/>
      <c r="BK214" s="129"/>
      <c r="BL214" s="129"/>
      <c r="BM214" s="129"/>
      <c r="BN214" s="129"/>
      <c r="BO214" s="129"/>
      <c r="BP214" s="129"/>
      <c r="BQ214" s="129"/>
      <c r="BR214" s="129"/>
      <c r="BS214" s="129"/>
      <c r="BT214" s="129"/>
      <c r="BU214" s="129"/>
      <c r="BV214" s="130">
        <f t="shared" si="128"/>
        <v>0</v>
      </c>
      <c r="BW214" s="3"/>
    </row>
    <row r="215" ht="14.25" customHeight="1">
      <c r="A215" s="3"/>
      <c r="B215" s="215">
        <v>46214</v>
      </c>
      <c r="C215" s="118"/>
      <c r="D215" s="123"/>
      <c r="E215" s="120"/>
      <c r="F215" s="120"/>
      <c r="G215" s="147">
        <f t="shared" si="121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03">
        <f t="shared" si="129"/>
        <v>0</v>
      </c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43"/>
      <c r="AI215" s="103">
        <f t="shared" si="122"/>
        <v>0</v>
      </c>
      <c r="AJ215" s="123"/>
      <c r="AK215" s="123"/>
      <c r="AL215" s="123"/>
      <c r="AM215" s="105">
        <f t="shared" si="123"/>
        <v>0</v>
      </c>
      <c r="AN215" s="143"/>
      <c r="AO215" s="143"/>
      <c r="AP215" s="143"/>
      <c r="AQ215" s="143"/>
      <c r="AR215" s="146"/>
      <c r="AS215" s="224">
        <f t="shared" si="124"/>
        <v>0</v>
      </c>
      <c r="AT215" s="126"/>
      <c r="AU215" s="274"/>
      <c r="AV215" s="126"/>
      <c r="AW215" s="126"/>
      <c r="AX215" s="126"/>
      <c r="AY215" s="275"/>
      <c r="AZ215" s="126"/>
      <c r="BA215" s="274"/>
      <c r="BB215" s="274"/>
      <c r="BC215" s="274"/>
      <c r="BD215" s="274"/>
      <c r="BE215" s="222">
        <f t="shared" si="125"/>
        <v>0</v>
      </c>
      <c r="BF215" s="113">
        <f t="shared" si="126"/>
        <v>0</v>
      </c>
      <c r="BG215" s="3"/>
      <c r="BH215" s="113">
        <f t="shared" si="127"/>
        <v>0</v>
      </c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/>
      <c r="BU215" s="129"/>
      <c r="BV215" s="130">
        <f t="shared" si="128"/>
        <v>0</v>
      </c>
      <c r="BW215" s="3"/>
    </row>
    <row r="216" ht="14.25" customHeight="1">
      <c r="A216" s="132"/>
      <c r="B216" s="215">
        <v>46215</v>
      </c>
      <c r="C216" s="133"/>
      <c r="D216" s="136"/>
      <c r="E216" s="135"/>
      <c r="F216" s="135"/>
      <c r="G216" s="147">
        <f t="shared" si="121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03">
        <f t="shared" si="129"/>
        <v>0</v>
      </c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43"/>
      <c r="AI216" s="103">
        <f t="shared" si="122"/>
        <v>0</v>
      </c>
      <c r="AJ216" s="136"/>
      <c r="AK216" s="136"/>
      <c r="AL216" s="136"/>
      <c r="AM216" s="105">
        <f t="shared" si="123"/>
        <v>0</v>
      </c>
      <c r="AN216" s="143"/>
      <c r="AO216" s="143"/>
      <c r="AP216" s="143"/>
      <c r="AQ216" s="143"/>
      <c r="AR216" s="146"/>
      <c r="AS216" s="224">
        <f t="shared" si="124"/>
        <v>0</v>
      </c>
      <c r="AT216" s="126"/>
      <c r="AU216" s="274"/>
      <c r="AV216" s="126"/>
      <c r="AW216" s="126"/>
      <c r="AX216" s="126"/>
      <c r="AY216" s="275"/>
      <c r="AZ216" s="126"/>
      <c r="BA216" s="274"/>
      <c r="BB216" s="274"/>
      <c r="BC216" s="274"/>
      <c r="BD216" s="274"/>
      <c r="BE216" s="222">
        <f t="shared" si="125"/>
        <v>0</v>
      </c>
      <c r="BF216" s="140">
        <f t="shared" si="126"/>
        <v>0</v>
      </c>
      <c r="BG216" s="132"/>
      <c r="BH216" s="140">
        <f t="shared" si="127"/>
        <v>0</v>
      </c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30">
        <f t="shared" si="128"/>
        <v>0</v>
      </c>
      <c r="BW216" s="132"/>
    </row>
    <row r="217" ht="14.25" customHeight="1">
      <c r="A217" s="132"/>
      <c r="B217" s="215">
        <v>46216</v>
      </c>
      <c r="C217" s="133"/>
      <c r="D217" s="136"/>
      <c r="E217" s="135"/>
      <c r="F217" s="135"/>
      <c r="G217" s="147">
        <f t="shared" si="121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03">
        <f t="shared" si="129"/>
        <v>0</v>
      </c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43"/>
      <c r="AI217" s="103">
        <f t="shared" si="122"/>
        <v>0</v>
      </c>
      <c r="AJ217" s="136"/>
      <c r="AK217" s="136"/>
      <c r="AL217" s="136"/>
      <c r="AM217" s="105">
        <f t="shared" si="123"/>
        <v>0</v>
      </c>
      <c r="AN217" s="143"/>
      <c r="AO217" s="143"/>
      <c r="AP217" s="143"/>
      <c r="AQ217" s="143"/>
      <c r="AR217" s="146"/>
      <c r="AS217" s="224">
        <f t="shared" si="124"/>
        <v>0</v>
      </c>
      <c r="AT217" s="126"/>
      <c r="AU217" s="274"/>
      <c r="AV217" s="126"/>
      <c r="AW217" s="126"/>
      <c r="AX217" s="126"/>
      <c r="AY217" s="275"/>
      <c r="AZ217" s="126"/>
      <c r="BA217" s="274"/>
      <c r="BB217" s="274"/>
      <c r="BC217" s="274"/>
      <c r="BD217" s="274"/>
      <c r="BE217" s="222">
        <f t="shared" si="125"/>
        <v>0</v>
      </c>
      <c r="BF217" s="140">
        <f t="shared" si="126"/>
        <v>0</v>
      </c>
      <c r="BG217" s="132"/>
      <c r="BH217" s="140">
        <f t="shared" si="127"/>
        <v>0</v>
      </c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30">
        <f t="shared" si="128"/>
        <v>0</v>
      </c>
      <c r="BW217" s="132"/>
    </row>
    <row r="218" ht="14.25" customHeight="1">
      <c r="A218" s="132"/>
      <c r="B218" s="215">
        <v>46217</v>
      </c>
      <c r="C218" s="133"/>
      <c r="D218" s="136"/>
      <c r="E218" s="135"/>
      <c r="F218" s="135"/>
      <c r="G218" s="147">
        <f t="shared" si="121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03">
        <f t="shared" si="129"/>
        <v>0</v>
      </c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43"/>
      <c r="AI218" s="103">
        <f t="shared" si="122"/>
        <v>0</v>
      </c>
      <c r="AJ218" s="136"/>
      <c r="AK218" s="136"/>
      <c r="AL218" s="136"/>
      <c r="AM218" s="105">
        <f t="shared" si="123"/>
        <v>0</v>
      </c>
      <c r="AN218" s="143"/>
      <c r="AO218" s="143"/>
      <c r="AP218" s="143"/>
      <c r="AQ218" s="143"/>
      <c r="AR218" s="146"/>
      <c r="AS218" s="224">
        <f t="shared" si="124"/>
        <v>0</v>
      </c>
      <c r="AT218" s="126"/>
      <c r="AU218" s="274"/>
      <c r="AV218" s="126"/>
      <c r="AW218" s="126"/>
      <c r="AX218" s="126"/>
      <c r="AY218" s="275"/>
      <c r="AZ218" s="126"/>
      <c r="BA218" s="274"/>
      <c r="BB218" s="274"/>
      <c r="BC218" s="274"/>
      <c r="BD218" s="274"/>
      <c r="BE218" s="222">
        <f t="shared" si="125"/>
        <v>0</v>
      </c>
      <c r="BF218" s="140">
        <f t="shared" si="126"/>
        <v>0</v>
      </c>
      <c r="BG218" s="132"/>
      <c r="BH218" s="140">
        <f t="shared" si="127"/>
        <v>0</v>
      </c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30">
        <f t="shared" si="128"/>
        <v>0</v>
      </c>
      <c r="BW218" s="132"/>
    </row>
    <row r="219" ht="14.25" customHeight="1">
      <c r="A219" s="132"/>
      <c r="B219" s="215">
        <v>46218</v>
      </c>
      <c r="C219" s="133"/>
      <c r="D219" s="136"/>
      <c r="E219" s="135"/>
      <c r="F219" s="135"/>
      <c r="G219" s="147">
        <f t="shared" si="121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03">
        <f t="shared" si="129"/>
        <v>0</v>
      </c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43"/>
      <c r="AI219" s="103">
        <f t="shared" si="122"/>
        <v>0</v>
      </c>
      <c r="AJ219" s="136"/>
      <c r="AK219" s="136"/>
      <c r="AL219" s="136"/>
      <c r="AM219" s="105">
        <f t="shared" si="123"/>
        <v>0</v>
      </c>
      <c r="AN219" s="143"/>
      <c r="AO219" s="143"/>
      <c r="AP219" s="143"/>
      <c r="AQ219" s="143"/>
      <c r="AR219" s="146"/>
      <c r="AS219" s="224">
        <f t="shared" si="124"/>
        <v>0</v>
      </c>
      <c r="AT219" s="126"/>
      <c r="AU219" s="274"/>
      <c r="AV219" s="126"/>
      <c r="AW219" s="126"/>
      <c r="AX219" s="126"/>
      <c r="AY219" s="275"/>
      <c r="AZ219" s="126"/>
      <c r="BA219" s="274"/>
      <c r="BB219" s="274"/>
      <c r="BC219" s="274"/>
      <c r="BD219" s="274"/>
      <c r="BE219" s="222">
        <f t="shared" si="125"/>
        <v>0</v>
      </c>
      <c r="BF219" s="140">
        <f t="shared" si="126"/>
        <v>0</v>
      </c>
      <c r="BG219" s="132"/>
      <c r="BH219" s="140">
        <f t="shared" si="127"/>
        <v>0</v>
      </c>
      <c r="BI219" s="141"/>
      <c r="BJ219" s="141"/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30">
        <f t="shared" si="128"/>
        <v>0</v>
      </c>
      <c r="BW219" s="132"/>
    </row>
    <row r="220" ht="14.25" customHeight="1">
      <c r="A220" s="132"/>
      <c r="B220" s="215">
        <v>46219</v>
      </c>
      <c r="C220" s="133"/>
      <c r="D220" s="136"/>
      <c r="E220" s="135"/>
      <c r="F220" s="135"/>
      <c r="G220" s="147">
        <f t="shared" si="121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03">
        <f t="shared" si="129"/>
        <v>0</v>
      </c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43"/>
      <c r="AI220" s="103">
        <f t="shared" si="122"/>
        <v>0</v>
      </c>
      <c r="AJ220" s="136"/>
      <c r="AK220" s="136"/>
      <c r="AL220" s="136"/>
      <c r="AM220" s="105">
        <f t="shared" si="123"/>
        <v>0</v>
      </c>
      <c r="AN220" s="143"/>
      <c r="AO220" s="143"/>
      <c r="AP220" s="143"/>
      <c r="AQ220" s="143"/>
      <c r="AR220" s="146"/>
      <c r="AS220" s="224">
        <f t="shared" si="124"/>
        <v>0</v>
      </c>
      <c r="AT220" s="126"/>
      <c r="AU220" s="274"/>
      <c r="AV220" s="126"/>
      <c r="AW220" s="126"/>
      <c r="AX220" s="126"/>
      <c r="AY220" s="275"/>
      <c r="AZ220" s="126"/>
      <c r="BA220" s="274"/>
      <c r="BB220" s="274"/>
      <c r="BC220" s="274"/>
      <c r="BD220" s="274"/>
      <c r="BE220" s="222">
        <f t="shared" si="125"/>
        <v>0</v>
      </c>
      <c r="BF220" s="140">
        <f t="shared" si="126"/>
        <v>0</v>
      </c>
      <c r="BG220" s="132"/>
      <c r="BH220" s="140">
        <f t="shared" si="127"/>
        <v>0</v>
      </c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30">
        <f t="shared" si="128"/>
        <v>0</v>
      </c>
      <c r="BW220" s="132"/>
    </row>
    <row r="221" ht="14.25" customHeight="1">
      <c r="A221" s="132"/>
      <c r="B221" s="215">
        <v>46220</v>
      </c>
      <c r="C221" s="133"/>
      <c r="D221" s="136"/>
      <c r="E221" s="135"/>
      <c r="F221" s="135"/>
      <c r="G221" s="147">
        <f t="shared" si="121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03">
        <f t="shared" si="129"/>
        <v>0</v>
      </c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43"/>
      <c r="AI221" s="103">
        <f t="shared" si="122"/>
        <v>0</v>
      </c>
      <c r="AJ221" s="136"/>
      <c r="AK221" s="136"/>
      <c r="AL221" s="136"/>
      <c r="AM221" s="105">
        <f t="shared" si="123"/>
        <v>0</v>
      </c>
      <c r="AN221" s="143"/>
      <c r="AO221" s="143"/>
      <c r="AP221" s="143"/>
      <c r="AQ221" s="143"/>
      <c r="AR221" s="146"/>
      <c r="AS221" s="224">
        <f t="shared" si="124"/>
        <v>0</v>
      </c>
      <c r="AT221" s="126"/>
      <c r="AU221" s="274"/>
      <c r="AV221" s="126"/>
      <c r="AW221" s="126"/>
      <c r="AX221" s="126"/>
      <c r="AY221" s="275"/>
      <c r="AZ221" s="126"/>
      <c r="BA221" s="274"/>
      <c r="BB221" s="274"/>
      <c r="BC221" s="274"/>
      <c r="BD221" s="274"/>
      <c r="BE221" s="222">
        <f t="shared" si="125"/>
        <v>0</v>
      </c>
      <c r="BF221" s="140">
        <f t="shared" si="126"/>
        <v>0</v>
      </c>
      <c r="BG221" s="132"/>
      <c r="BH221" s="140">
        <f t="shared" si="127"/>
        <v>0</v>
      </c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30">
        <f t="shared" si="128"/>
        <v>0</v>
      </c>
      <c r="BW221" s="132"/>
    </row>
    <row r="222" ht="14.25" customHeight="1">
      <c r="A222" s="132"/>
      <c r="B222" s="215">
        <v>46221</v>
      </c>
      <c r="C222" s="133"/>
      <c r="D222" s="136"/>
      <c r="E222" s="135"/>
      <c r="F222" s="135"/>
      <c r="G222" s="147">
        <f t="shared" si="121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03">
        <f t="shared" si="129"/>
        <v>0</v>
      </c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43"/>
      <c r="AI222" s="103">
        <f t="shared" si="122"/>
        <v>0</v>
      </c>
      <c r="AJ222" s="136"/>
      <c r="AK222" s="136"/>
      <c r="AL222" s="136"/>
      <c r="AM222" s="105">
        <f t="shared" si="123"/>
        <v>0</v>
      </c>
      <c r="AN222" s="143"/>
      <c r="AO222" s="143"/>
      <c r="AP222" s="143"/>
      <c r="AQ222" s="143"/>
      <c r="AR222" s="146"/>
      <c r="AS222" s="224">
        <f t="shared" si="124"/>
        <v>0</v>
      </c>
      <c r="AT222" s="126"/>
      <c r="AU222" s="274"/>
      <c r="AV222" s="126"/>
      <c r="AW222" s="126"/>
      <c r="AX222" s="126"/>
      <c r="AY222" s="275"/>
      <c r="AZ222" s="126"/>
      <c r="BA222" s="274"/>
      <c r="BB222" s="274"/>
      <c r="BC222" s="274"/>
      <c r="BD222" s="274"/>
      <c r="BE222" s="222">
        <f t="shared" si="125"/>
        <v>0</v>
      </c>
      <c r="BF222" s="140">
        <f t="shared" si="126"/>
        <v>0</v>
      </c>
      <c r="BG222" s="132"/>
      <c r="BH222" s="140">
        <f t="shared" si="127"/>
        <v>0</v>
      </c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30">
        <f t="shared" si="128"/>
        <v>0</v>
      </c>
      <c r="BW222" s="132"/>
    </row>
    <row r="223" ht="14.25" customHeight="1">
      <c r="A223" s="132"/>
      <c r="B223" s="215">
        <v>46222</v>
      </c>
      <c r="C223" s="133"/>
      <c r="D223" s="136"/>
      <c r="E223" s="135"/>
      <c r="F223" s="135"/>
      <c r="G223" s="147">
        <f t="shared" si="121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03">
        <f t="shared" si="129"/>
        <v>0</v>
      </c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43"/>
      <c r="AI223" s="103">
        <f t="shared" si="122"/>
        <v>0</v>
      </c>
      <c r="AJ223" s="136"/>
      <c r="AK223" s="136"/>
      <c r="AL223" s="136"/>
      <c r="AM223" s="105">
        <f t="shared" si="123"/>
        <v>0</v>
      </c>
      <c r="AN223" s="143"/>
      <c r="AO223" s="143"/>
      <c r="AP223" s="143"/>
      <c r="AQ223" s="143"/>
      <c r="AR223" s="146"/>
      <c r="AS223" s="224">
        <f t="shared" si="124"/>
        <v>0</v>
      </c>
      <c r="AT223" s="126"/>
      <c r="AU223" s="274"/>
      <c r="AV223" s="126"/>
      <c r="AW223" s="126"/>
      <c r="AX223" s="126"/>
      <c r="AY223" s="275"/>
      <c r="AZ223" s="126"/>
      <c r="BA223" s="274"/>
      <c r="BB223" s="274"/>
      <c r="BC223" s="274"/>
      <c r="BD223" s="274"/>
      <c r="BE223" s="222">
        <f t="shared" si="125"/>
        <v>0</v>
      </c>
      <c r="BF223" s="140">
        <f t="shared" si="126"/>
        <v>0</v>
      </c>
      <c r="BG223" s="132"/>
      <c r="BH223" s="140">
        <f t="shared" si="127"/>
        <v>0</v>
      </c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30">
        <f t="shared" si="128"/>
        <v>0</v>
      </c>
      <c r="BW223" s="132"/>
    </row>
    <row r="224" ht="14.25" customHeight="1">
      <c r="A224" s="132"/>
      <c r="B224" s="215">
        <v>46223</v>
      </c>
      <c r="C224" s="133"/>
      <c r="D224" s="132"/>
      <c r="E224" s="135"/>
      <c r="F224" s="135"/>
      <c r="G224" s="147">
        <f t="shared" si="121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03">
        <f t="shared" si="129"/>
        <v>0</v>
      </c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43"/>
      <c r="AI224" s="103">
        <f t="shared" si="122"/>
        <v>0</v>
      </c>
      <c r="AJ224" s="136"/>
      <c r="AK224" s="136"/>
      <c r="AL224" s="136"/>
      <c r="AM224" s="105">
        <f t="shared" si="123"/>
        <v>0</v>
      </c>
      <c r="AN224" s="143"/>
      <c r="AP224" s="143"/>
      <c r="AQ224" s="143"/>
      <c r="AR224" s="146"/>
      <c r="AS224" s="224">
        <f t="shared" si="124"/>
        <v>0</v>
      </c>
      <c r="AT224" s="126"/>
      <c r="AU224" s="274"/>
      <c r="AV224" s="126"/>
      <c r="AW224" s="126"/>
      <c r="AX224" s="126"/>
      <c r="AY224" s="275"/>
      <c r="AZ224" s="126"/>
      <c r="BA224" s="274"/>
      <c r="BB224" s="274"/>
      <c r="BC224" s="274"/>
      <c r="BD224" s="274"/>
      <c r="BE224" s="222">
        <f t="shared" si="125"/>
        <v>0</v>
      </c>
      <c r="BF224" s="140">
        <f t="shared" si="126"/>
        <v>0</v>
      </c>
      <c r="BG224" s="132"/>
      <c r="BH224" s="140">
        <f t="shared" si="127"/>
        <v>0</v>
      </c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30">
        <f t="shared" si="128"/>
        <v>0</v>
      </c>
      <c r="BW224" s="132"/>
    </row>
    <row r="225" ht="14.25" customHeight="1">
      <c r="A225" s="132"/>
      <c r="B225" s="215">
        <v>46224</v>
      </c>
      <c r="C225" s="133"/>
      <c r="D225" s="136"/>
      <c r="E225" s="135"/>
      <c r="F225" s="135"/>
      <c r="G225" s="147">
        <f t="shared" si="121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03">
        <f t="shared" si="129"/>
        <v>0</v>
      </c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43"/>
      <c r="AI225" s="103">
        <f t="shared" si="122"/>
        <v>0</v>
      </c>
      <c r="AJ225" s="136"/>
      <c r="AK225" s="136"/>
      <c r="AL225" s="136"/>
      <c r="AM225" s="105">
        <f t="shared" si="123"/>
        <v>0</v>
      </c>
      <c r="AN225" s="143"/>
      <c r="AO225" s="143"/>
      <c r="AP225" s="143"/>
      <c r="AQ225" s="143"/>
      <c r="AR225" s="146"/>
      <c r="AS225" s="224">
        <f t="shared" si="124"/>
        <v>0</v>
      </c>
      <c r="AT225" s="126"/>
      <c r="AU225" s="274"/>
      <c r="AV225" s="126"/>
      <c r="AW225" s="126"/>
      <c r="AX225" s="126"/>
      <c r="AY225" s="275"/>
      <c r="AZ225" s="126"/>
      <c r="BA225" s="274"/>
      <c r="BB225" s="274"/>
      <c r="BC225" s="274"/>
      <c r="BD225" s="274"/>
      <c r="BE225" s="222">
        <f t="shared" si="125"/>
        <v>0</v>
      </c>
      <c r="BF225" s="140">
        <f t="shared" si="126"/>
        <v>0</v>
      </c>
      <c r="BG225" s="132"/>
      <c r="BH225" s="140">
        <f t="shared" si="127"/>
        <v>0</v>
      </c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30">
        <f t="shared" si="128"/>
        <v>0</v>
      </c>
      <c r="BW225" s="132"/>
    </row>
    <row r="226" ht="14.25" customHeight="1">
      <c r="A226" s="132"/>
      <c r="B226" s="215">
        <v>46225</v>
      </c>
      <c r="C226" s="133"/>
      <c r="D226" s="136"/>
      <c r="E226" s="135"/>
      <c r="F226" s="135"/>
      <c r="G226" s="147">
        <f t="shared" si="121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03">
        <f t="shared" si="129"/>
        <v>0</v>
      </c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43"/>
      <c r="AI226" s="103">
        <f t="shared" si="122"/>
        <v>0</v>
      </c>
      <c r="AJ226" s="136"/>
      <c r="AK226" s="136"/>
      <c r="AL226" s="136"/>
      <c r="AM226" s="105">
        <f t="shared" si="123"/>
        <v>0</v>
      </c>
      <c r="AN226" s="143"/>
      <c r="AO226" s="143"/>
      <c r="AP226" s="143"/>
      <c r="AQ226" s="143"/>
      <c r="AR226" s="146"/>
      <c r="AS226" s="224">
        <f t="shared" si="124"/>
        <v>0</v>
      </c>
      <c r="AT226" s="126"/>
      <c r="AU226" s="274"/>
      <c r="AV226" s="126"/>
      <c r="AW226" s="126"/>
      <c r="AX226" s="126"/>
      <c r="AY226" s="275"/>
      <c r="AZ226" s="126"/>
      <c r="BA226" s="274"/>
      <c r="BB226" s="274"/>
      <c r="BC226" s="274"/>
      <c r="BD226" s="274"/>
      <c r="BE226" s="222">
        <f t="shared" si="125"/>
        <v>0</v>
      </c>
      <c r="BF226" s="140">
        <f t="shared" si="126"/>
        <v>0</v>
      </c>
      <c r="BG226" s="132"/>
      <c r="BH226" s="140">
        <f t="shared" si="127"/>
        <v>0</v>
      </c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30">
        <f t="shared" si="128"/>
        <v>0</v>
      </c>
      <c r="BW226" s="132"/>
    </row>
    <row r="227" ht="14.25" customHeight="1">
      <c r="A227" s="132"/>
      <c r="B227" s="215">
        <v>46226</v>
      </c>
      <c r="C227" s="133"/>
      <c r="D227" s="136"/>
      <c r="E227" s="135"/>
      <c r="F227" s="135"/>
      <c r="G227" s="147">
        <f t="shared" si="121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03">
        <f t="shared" si="129"/>
        <v>0</v>
      </c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43"/>
      <c r="AI227" s="103">
        <f t="shared" si="122"/>
        <v>0</v>
      </c>
      <c r="AJ227" s="136"/>
      <c r="AK227" s="136"/>
      <c r="AL227" s="136"/>
      <c r="AM227" s="105">
        <f t="shared" si="123"/>
        <v>0</v>
      </c>
      <c r="AN227" s="143"/>
      <c r="AO227" s="143"/>
      <c r="AP227" s="143"/>
      <c r="AQ227" s="143"/>
      <c r="AR227" s="146"/>
      <c r="AS227" s="224">
        <f t="shared" si="124"/>
        <v>0</v>
      </c>
      <c r="AT227" s="126"/>
      <c r="AU227" s="274"/>
      <c r="AV227" s="126"/>
      <c r="AW227" s="126"/>
      <c r="AX227" s="126"/>
      <c r="AY227" s="275"/>
      <c r="AZ227" s="126"/>
      <c r="BA227" s="274"/>
      <c r="BB227" s="274"/>
      <c r="BC227" s="274"/>
      <c r="BD227" s="274"/>
      <c r="BE227" s="222">
        <f t="shared" si="125"/>
        <v>0</v>
      </c>
      <c r="BF227" s="140">
        <f t="shared" si="126"/>
        <v>0</v>
      </c>
      <c r="BG227" s="132"/>
      <c r="BH227" s="140">
        <f t="shared" si="127"/>
        <v>0</v>
      </c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30">
        <f t="shared" si="128"/>
        <v>0</v>
      </c>
      <c r="BW227" s="132"/>
    </row>
    <row r="228" ht="14.25" customHeight="1">
      <c r="A228" s="132"/>
      <c r="B228" s="215">
        <v>46227</v>
      </c>
      <c r="C228" s="133"/>
      <c r="D228" s="136"/>
      <c r="E228" s="135"/>
      <c r="F228" s="135"/>
      <c r="G228" s="147">
        <f t="shared" si="121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03">
        <f t="shared" si="129"/>
        <v>0</v>
      </c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43"/>
      <c r="AI228" s="103">
        <f t="shared" si="122"/>
        <v>0</v>
      </c>
      <c r="AJ228" s="136"/>
      <c r="AK228" s="136"/>
      <c r="AL228" s="136"/>
      <c r="AM228" s="105">
        <f t="shared" si="123"/>
        <v>0</v>
      </c>
      <c r="AN228" s="143"/>
      <c r="AO228" s="143"/>
      <c r="AP228" s="143"/>
      <c r="AQ228" s="143"/>
      <c r="AR228" s="146"/>
      <c r="AS228" s="224">
        <f t="shared" si="124"/>
        <v>0</v>
      </c>
      <c r="AT228" s="126"/>
      <c r="AU228" s="274"/>
      <c r="AV228" s="126"/>
      <c r="AW228" s="126"/>
      <c r="AX228" s="126"/>
      <c r="AY228" s="275"/>
      <c r="AZ228" s="126"/>
      <c r="BA228" s="274"/>
      <c r="BB228" s="274"/>
      <c r="BC228" s="274"/>
      <c r="BD228" s="274"/>
      <c r="BE228" s="222">
        <f t="shared" si="125"/>
        <v>0</v>
      </c>
      <c r="BF228" s="140">
        <f t="shared" si="126"/>
        <v>0</v>
      </c>
      <c r="BG228" s="132"/>
      <c r="BH228" s="140">
        <f t="shared" si="127"/>
        <v>0</v>
      </c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30">
        <f t="shared" si="128"/>
        <v>0</v>
      </c>
      <c r="BW228" s="132"/>
    </row>
    <row r="229" ht="14.25" customHeight="1">
      <c r="A229" s="132"/>
      <c r="B229" s="215">
        <v>46228</v>
      </c>
      <c r="C229" s="133"/>
      <c r="D229" s="136"/>
      <c r="E229" s="135"/>
      <c r="F229" s="135"/>
      <c r="G229" s="147">
        <f t="shared" si="121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03">
        <f t="shared" si="129"/>
        <v>0</v>
      </c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43"/>
      <c r="AI229" s="103">
        <f t="shared" si="122"/>
        <v>0</v>
      </c>
      <c r="AJ229" s="136"/>
      <c r="AK229" s="136"/>
      <c r="AL229" s="136"/>
      <c r="AM229" s="105">
        <f t="shared" si="123"/>
        <v>0</v>
      </c>
      <c r="AN229" s="143"/>
      <c r="AO229" s="143"/>
      <c r="AP229" s="143"/>
      <c r="AQ229" s="143"/>
      <c r="AR229" s="146"/>
      <c r="AS229" s="224">
        <f t="shared" si="124"/>
        <v>0</v>
      </c>
      <c r="AT229" s="126"/>
      <c r="AU229" s="274"/>
      <c r="AV229" s="126"/>
      <c r="AW229" s="126"/>
      <c r="AX229" s="126"/>
      <c r="AY229" s="275"/>
      <c r="AZ229" s="126"/>
      <c r="BA229" s="274"/>
      <c r="BB229" s="274"/>
      <c r="BC229" s="274"/>
      <c r="BD229" s="274"/>
      <c r="BE229" s="222">
        <f t="shared" si="125"/>
        <v>0</v>
      </c>
      <c r="BF229" s="140">
        <f t="shared" si="126"/>
        <v>0</v>
      </c>
      <c r="BG229" s="132"/>
      <c r="BH229" s="140">
        <f t="shared" si="127"/>
        <v>0</v>
      </c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30">
        <f t="shared" si="128"/>
        <v>0</v>
      </c>
      <c r="BW229" s="132"/>
    </row>
    <row r="230" ht="14.25" customHeight="1">
      <c r="A230" s="132"/>
      <c r="B230" s="215">
        <v>46229</v>
      </c>
      <c r="C230" s="133"/>
      <c r="D230" s="136"/>
      <c r="E230" s="135"/>
      <c r="F230" s="135"/>
      <c r="G230" s="147">
        <f t="shared" si="121"/>
        <v>0</v>
      </c>
      <c r="H230" s="144"/>
      <c r="I230" s="143"/>
      <c r="J230" s="143"/>
      <c r="K230" s="143"/>
      <c r="L230" s="143"/>
      <c r="M230" s="143"/>
      <c r="N230" s="99"/>
      <c r="O230" s="143"/>
      <c r="P230" s="143"/>
      <c r="Q230" s="143"/>
      <c r="R230" s="143"/>
      <c r="S230" s="143"/>
      <c r="T230" s="143"/>
      <c r="U230" s="143"/>
      <c r="V230" s="103">
        <f t="shared" si="129"/>
        <v>0</v>
      </c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43"/>
      <c r="AI230" s="103">
        <f t="shared" si="122"/>
        <v>0</v>
      </c>
      <c r="AJ230" s="136"/>
      <c r="AK230" s="136"/>
      <c r="AL230" s="136"/>
      <c r="AM230" s="105">
        <f t="shared" si="123"/>
        <v>0</v>
      </c>
      <c r="AN230" s="143"/>
      <c r="AO230" s="143"/>
      <c r="AP230" s="143"/>
      <c r="AQ230" s="143"/>
      <c r="AR230" s="146"/>
      <c r="AS230" s="224">
        <f t="shared" si="124"/>
        <v>0</v>
      </c>
      <c r="AT230" s="126"/>
      <c r="AU230" s="274"/>
      <c r="AV230" s="126"/>
      <c r="AW230" s="126"/>
      <c r="AX230" s="126"/>
      <c r="AY230" s="275"/>
      <c r="AZ230" s="126"/>
      <c r="BA230" s="274"/>
      <c r="BB230" s="274"/>
      <c r="BC230" s="274"/>
      <c r="BD230" s="274"/>
      <c r="BE230" s="222">
        <f t="shared" si="125"/>
        <v>0</v>
      </c>
      <c r="BF230" s="140">
        <f t="shared" si="126"/>
        <v>0</v>
      </c>
      <c r="BG230" s="132"/>
      <c r="BH230" s="140">
        <f t="shared" si="127"/>
        <v>0</v>
      </c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30">
        <f t="shared" si="128"/>
        <v>0</v>
      </c>
      <c r="BW230" s="132"/>
    </row>
    <row r="231" ht="14.25" customHeight="1">
      <c r="A231" s="132"/>
      <c r="B231" s="215">
        <v>46230</v>
      </c>
      <c r="C231" s="133"/>
      <c r="D231" s="136"/>
      <c r="E231" s="135"/>
      <c r="F231" s="135"/>
      <c r="G231" s="147">
        <f t="shared" si="121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03">
        <f t="shared" si="129"/>
        <v>0</v>
      </c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43"/>
      <c r="AI231" s="103">
        <f t="shared" si="122"/>
        <v>0</v>
      </c>
      <c r="AJ231" s="136"/>
      <c r="AK231" s="136"/>
      <c r="AL231" s="136"/>
      <c r="AM231" s="105">
        <f t="shared" si="123"/>
        <v>0</v>
      </c>
      <c r="AN231" s="143"/>
      <c r="AO231" s="143"/>
      <c r="AP231" s="143"/>
      <c r="AQ231" s="143"/>
      <c r="AR231" s="146"/>
      <c r="AS231" s="224">
        <f t="shared" si="124"/>
        <v>0</v>
      </c>
      <c r="AT231" s="126"/>
      <c r="AU231" s="274"/>
      <c r="AV231" s="126"/>
      <c r="AW231" s="126"/>
      <c r="AX231" s="126"/>
      <c r="AY231" s="275"/>
      <c r="AZ231" s="126"/>
      <c r="BA231" s="274"/>
      <c r="BB231" s="274"/>
      <c r="BC231" s="274"/>
      <c r="BD231" s="274"/>
      <c r="BE231" s="222">
        <f t="shared" si="125"/>
        <v>0</v>
      </c>
      <c r="BF231" s="140">
        <f t="shared" si="126"/>
        <v>0</v>
      </c>
      <c r="BG231" s="132"/>
      <c r="BH231" s="140">
        <f t="shared" si="127"/>
        <v>0</v>
      </c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30">
        <f t="shared" si="128"/>
        <v>0</v>
      </c>
      <c r="BW231" s="132"/>
    </row>
    <row r="232" ht="14.25" customHeight="1">
      <c r="A232" s="132"/>
      <c r="B232" s="215">
        <v>46231</v>
      </c>
      <c r="C232" s="133"/>
      <c r="D232" s="136"/>
      <c r="E232" s="135"/>
      <c r="F232" s="135"/>
      <c r="G232" s="147">
        <f t="shared" si="121"/>
        <v>0</v>
      </c>
      <c r="H232" s="144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03">
        <f t="shared" si="129"/>
        <v>0</v>
      </c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43"/>
      <c r="AI232" s="103">
        <f t="shared" si="122"/>
        <v>0</v>
      </c>
      <c r="AJ232" s="136"/>
      <c r="AK232" s="136"/>
      <c r="AL232" s="136"/>
      <c r="AM232" s="105">
        <f t="shared" si="123"/>
        <v>0</v>
      </c>
      <c r="AN232" s="143"/>
      <c r="AO232" s="143"/>
      <c r="AP232" s="143"/>
      <c r="AQ232" s="143"/>
      <c r="AR232" s="146"/>
      <c r="AS232" s="224">
        <f t="shared" si="124"/>
        <v>0</v>
      </c>
      <c r="AT232" s="126"/>
      <c r="AU232" s="274"/>
      <c r="AV232" s="126"/>
      <c r="AW232" s="126"/>
      <c r="AX232" s="126"/>
      <c r="AY232" s="275"/>
      <c r="AZ232" s="126"/>
      <c r="BA232" s="274"/>
      <c r="BB232" s="274"/>
      <c r="BC232" s="274"/>
      <c r="BD232" s="274"/>
      <c r="BE232" s="222">
        <f t="shared" si="125"/>
        <v>0</v>
      </c>
      <c r="BF232" s="140">
        <f t="shared" si="126"/>
        <v>0</v>
      </c>
      <c r="BG232" s="132"/>
      <c r="BH232" s="140">
        <f t="shared" si="127"/>
        <v>0</v>
      </c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30">
        <f t="shared" si="128"/>
        <v>0</v>
      </c>
      <c r="BW232" s="132"/>
    </row>
    <row r="233" ht="14.25" customHeight="1">
      <c r="A233" s="132"/>
      <c r="B233" s="215">
        <v>46232</v>
      </c>
      <c r="C233" s="133"/>
      <c r="D233" s="136"/>
      <c r="E233" s="135"/>
      <c r="F233" s="135"/>
      <c r="G233" s="147">
        <f t="shared" si="121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03">
        <f t="shared" si="129"/>
        <v>0</v>
      </c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43"/>
      <c r="AI233" s="103">
        <f t="shared" si="122"/>
        <v>0</v>
      </c>
      <c r="AJ233" s="136"/>
      <c r="AK233" s="136"/>
      <c r="AL233" s="136"/>
      <c r="AM233" s="105">
        <f t="shared" si="123"/>
        <v>0</v>
      </c>
      <c r="AN233" s="143"/>
      <c r="AO233" s="143"/>
      <c r="AP233" s="143"/>
      <c r="AQ233" s="143"/>
      <c r="AR233" s="146"/>
      <c r="AS233" s="224">
        <f t="shared" si="124"/>
        <v>0</v>
      </c>
      <c r="AT233" s="126"/>
      <c r="AU233" s="274"/>
      <c r="AV233" s="126"/>
      <c r="AW233" s="126"/>
      <c r="AX233" s="126"/>
      <c r="AY233" s="275"/>
      <c r="AZ233" s="126"/>
      <c r="BA233" s="274"/>
      <c r="BB233" s="274"/>
      <c r="BC233" s="274"/>
      <c r="BD233" s="274"/>
      <c r="BE233" s="222">
        <f t="shared" si="125"/>
        <v>0</v>
      </c>
      <c r="BF233" s="140">
        <f t="shared" si="126"/>
        <v>0</v>
      </c>
      <c r="BG233" s="132"/>
      <c r="BH233" s="140">
        <f t="shared" si="127"/>
        <v>0</v>
      </c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30">
        <f t="shared" si="128"/>
        <v>0</v>
      </c>
      <c r="BW233" s="132"/>
    </row>
    <row r="234" ht="14.25" customHeight="1">
      <c r="A234" s="132"/>
      <c r="B234" s="215">
        <v>46233</v>
      </c>
      <c r="C234" s="133"/>
      <c r="D234" s="136"/>
      <c r="E234" s="135"/>
      <c r="F234" s="135"/>
      <c r="G234" s="147">
        <f t="shared" si="121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03">
        <f t="shared" si="129"/>
        <v>0</v>
      </c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43"/>
      <c r="AI234" s="103">
        <f t="shared" si="122"/>
        <v>0</v>
      </c>
      <c r="AJ234" s="136"/>
      <c r="AK234" s="136"/>
      <c r="AL234" s="136"/>
      <c r="AM234" s="105">
        <f t="shared" si="123"/>
        <v>0</v>
      </c>
      <c r="AN234" s="143"/>
      <c r="AO234" s="143"/>
      <c r="AP234" s="143"/>
      <c r="AQ234" s="143"/>
      <c r="AR234" s="146"/>
      <c r="AS234" s="224">
        <f t="shared" si="124"/>
        <v>0</v>
      </c>
      <c r="AT234" s="126"/>
      <c r="AU234" s="274"/>
      <c r="AV234" s="126"/>
      <c r="AW234" s="126"/>
      <c r="AX234" s="126"/>
      <c r="AY234" s="275"/>
      <c r="AZ234" s="126"/>
      <c r="BA234" s="274"/>
      <c r="BB234" s="274"/>
      <c r="BC234" s="274"/>
      <c r="BD234" s="274"/>
      <c r="BE234" s="222">
        <f t="shared" si="125"/>
        <v>0</v>
      </c>
      <c r="BF234" s="140">
        <f t="shared" si="126"/>
        <v>0</v>
      </c>
      <c r="BG234" s="132"/>
      <c r="BH234" s="140">
        <f t="shared" si="127"/>
        <v>0</v>
      </c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30">
        <f t="shared" si="128"/>
        <v>0</v>
      </c>
      <c r="BW234" s="132"/>
    </row>
    <row r="235" ht="14.25" customHeight="1">
      <c r="A235" s="132"/>
      <c r="B235" s="215">
        <v>46234</v>
      </c>
      <c r="C235" s="153"/>
      <c r="D235" s="159"/>
      <c r="E235" s="156"/>
      <c r="F235" s="156"/>
      <c r="G235" s="147">
        <f t="shared" si="121"/>
        <v>0</v>
      </c>
      <c r="H235" s="612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43"/>
      <c r="V235" s="103">
        <f t="shared" si="129"/>
        <v>0</v>
      </c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57"/>
      <c r="AI235" s="103">
        <f t="shared" si="122"/>
        <v>0</v>
      </c>
      <c r="AJ235" s="159"/>
      <c r="AK235" s="159"/>
      <c r="AL235" s="159"/>
      <c r="AM235" s="105">
        <f t="shared" si="123"/>
        <v>0</v>
      </c>
      <c r="AN235" s="157"/>
      <c r="AO235" s="157"/>
      <c r="AP235" s="157"/>
      <c r="AQ235" s="157"/>
      <c r="AR235" s="160"/>
      <c r="AS235" s="224">
        <f t="shared" si="124"/>
        <v>0</v>
      </c>
      <c r="AT235" s="138"/>
      <c r="AU235" s="296"/>
      <c r="AV235" s="138"/>
      <c r="AW235" s="138"/>
      <c r="AX235" s="138"/>
      <c r="AY235" s="297"/>
      <c r="AZ235" s="138"/>
      <c r="BA235" s="296"/>
      <c r="BB235" s="296"/>
      <c r="BC235" s="296"/>
      <c r="BD235" s="296"/>
      <c r="BE235" s="222">
        <f t="shared" si="125"/>
        <v>0</v>
      </c>
      <c r="BF235" s="162">
        <f t="shared" si="126"/>
        <v>0</v>
      </c>
      <c r="BG235" s="132"/>
      <c r="BH235" s="162">
        <f t="shared" si="127"/>
        <v>0</v>
      </c>
      <c r="BI235" s="163"/>
      <c r="BJ235" s="163"/>
      <c r="BK235" s="163"/>
      <c r="BL235" s="163"/>
      <c r="BM235" s="163"/>
      <c r="BN235" s="163"/>
      <c r="BO235" s="163"/>
      <c r="BP235" s="163"/>
      <c r="BQ235" s="163"/>
      <c r="BR235" s="141"/>
      <c r="BS235" s="163"/>
      <c r="BT235" s="163"/>
      <c r="BU235" s="163"/>
      <c r="BV235" s="164">
        <f t="shared" si="128"/>
        <v>0</v>
      </c>
      <c r="BW235" s="132"/>
    </row>
    <row r="236" ht="14.25" customHeight="1">
      <c r="A236" s="3"/>
      <c r="B236" s="2" t="s">
        <v>4</v>
      </c>
      <c r="C236" s="166">
        <f ref="C236:Q236" t="shared" si="130">SUM(C205:C235)</f>
        <v>0</v>
      </c>
      <c r="D236" s="166">
        <f t="shared" si="130"/>
        <v>0</v>
      </c>
      <c r="E236" s="166">
        <f t="shared" si="130"/>
        <v>0</v>
      </c>
      <c r="F236" s="166">
        <f t="shared" si="130"/>
        <v>0</v>
      </c>
      <c r="G236" s="166">
        <f t="shared" si="130"/>
        <v>0</v>
      </c>
      <c r="H236" s="166">
        <f t="shared" si="130"/>
        <v>0</v>
      </c>
      <c r="I236" s="166">
        <f t="shared" si="130"/>
        <v>0</v>
      </c>
      <c r="J236" s="166">
        <f t="shared" si="130"/>
        <v>0</v>
      </c>
      <c r="K236" s="166">
        <f t="shared" si="130"/>
        <v>0</v>
      </c>
      <c r="L236" s="166">
        <f t="shared" si="130"/>
        <v>0</v>
      </c>
      <c r="M236" s="166">
        <f t="shared" si="130"/>
        <v>0</v>
      </c>
      <c r="N236" s="166">
        <f t="shared" si="130"/>
        <v>0</v>
      </c>
      <c r="O236" s="166">
        <f t="shared" si="130"/>
        <v>0</v>
      </c>
      <c r="P236" s="166">
        <f t="shared" si="130"/>
        <v>0</v>
      </c>
      <c r="Q236" s="166">
        <f t="shared" si="130"/>
        <v>0</v>
      </c>
      <c r="R236" s="166"/>
      <c r="S236" s="166">
        <f ref="S236:T236" t="shared" si="131">SUM(S205:S235)</f>
        <v>0</v>
      </c>
      <c r="T236" s="166">
        <f t="shared" si="131"/>
        <v>0</v>
      </c>
      <c r="U236" s="166"/>
      <c r="V236" s="166">
        <f ref="V236:AF236" t="shared" si="132">SUM(V205:V235)</f>
        <v>0</v>
      </c>
      <c r="W236" s="166">
        <f t="shared" si="132"/>
        <v>0</v>
      </c>
      <c r="X236" s="166">
        <f t="shared" si="132"/>
        <v>0</v>
      </c>
      <c r="Y236" s="166">
        <f t="shared" si="132"/>
        <v>0</v>
      </c>
      <c r="Z236" s="166">
        <f t="shared" si="132"/>
        <v>0</v>
      </c>
      <c r="AA236" s="166">
        <f t="shared" si="132"/>
        <v>0</v>
      </c>
      <c r="AB236" s="166">
        <f t="shared" si="132"/>
        <v>0</v>
      </c>
      <c r="AC236" s="166">
        <f t="shared" si="132"/>
        <v>0</v>
      </c>
      <c r="AD236" s="166">
        <f t="shared" si="132"/>
        <v>0</v>
      </c>
      <c r="AE236" s="166">
        <f t="shared" si="132"/>
        <v>0</v>
      </c>
      <c r="AF236" s="166">
        <f t="shared" si="132"/>
        <v>0</v>
      </c>
      <c r="AG236" s="166"/>
      <c r="AH236" s="166">
        <f ref="AH236:AN236" t="shared" si="133">SUM(AH205:AH235)</f>
        <v>0</v>
      </c>
      <c r="AI236" s="166">
        <f t="shared" si="133"/>
        <v>0</v>
      </c>
      <c r="AJ236" s="166">
        <f t="shared" si="133"/>
        <v>0</v>
      </c>
      <c r="AK236" s="166">
        <f t="shared" si="133"/>
        <v>0</v>
      </c>
      <c r="AL236" s="166">
        <f t="shared" si="133"/>
        <v>0</v>
      </c>
      <c r="AM236" s="166">
        <f t="shared" si="133"/>
        <v>0</v>
      </c>
      <c r="AN236" s="166">
        <f t="shared" si="133"/>
        <v>0</v>
      </c>
      <c r="AO236" s="166"/>
      <c r="AP236" s="166">
        <f ref="AP236:BF236" t="shared" si="134">SUM(AP205:AP235)</f>
        <v>0</v>
      </c>
      <c r="AQ236" s="166">
        <f t="shared" si="134"/>
        <v>0</v>
      </c>
      <c r="AR236" s="166">
        <f t="shared" si="134"/>
        <v>0</v>
      </c>
      <c r="AS236" s="166">
        <f t="shared" si="134"/>
        <v>0</v>
      </c>
      <c r="AT236" s="165">
        <f t="shared" si="134"/>
        <v>0</v>
      </c>
      <c r="AU236" s="166">
        <f t="shared" si="134"/>
        <v>0</v>
      </c>
      <c r="AV236" s="166">
        <f t="shared" si="134"/>
        <v>0</v>
      </c>
      <c r="AW236" s="166">
        <f t="shared" si="134"/>
        <v>0</v>
      </c>
      <c r="AX236" s="166">
        <f t="shared" si="134"/>
        <v>0</v>
      </c>
      <c r="AY236" s="166">
        <f t="shared" si="134"/>
        <v>0</v>
      </c>
      <c r="AZ236" s="165">
        <f t="shared" si="134"/>
        <v>0</v>
      </c>
      <c r="BA236" s="166">
        <f t="shared" si="134"/>
        <v>0</v>
      </c>
      <c r="BB236" s="166">
        <f t="shared" si="134"/>
        <v>0</v>
      </c>
      <c r="BC236" s="166">
        <f t="shared" si="134"/>
        <v>0</v>
      </c>
      <c r="BD236" s="166">
        <f t="shared" si="134"/>
        <v>0</v>
      </c>
      <c r="BE236" s="166">
        <f t="shared" si="134"/>
        <v>0</v>
      </c>
      <c r="BF236" s="166">
        <f t="shared" si="134"/>
        <v>0</v>
      </c>
      <c r="BG236" s="235"/>
      <c r="BH236" s="166">
        <f ref="BH236:BV236" t="shared" si="135">SUM(BH205:BH235)</f>
        <v>0</v>
      </c>
      <c r="BI236" s="166">
        <f t="shared" si="135"/>
        <v>0</v>
      </c>
      <c r="BJ236" s="166">
        <f t="shared" si="135"/>
        <v>0</v>
      </c>
      <c r="BK236" s="166">
        <f t="shared" si="135"/>
        <v>0</v>
      </c>
      <c r="BL236" s="166">
        <f t="shared" si="135"/>
        <v>0</v>
      </c>
      <c r="BM236" s="166">
        <f t="shared" si="135"/>
        <v>0</v>
      </c>
      <c r="BN236" s="166">
        <f t="shared" si="135"/>
        <v>0</v>
      </c>
      <c r="BO236" s="166">
        <f t="shared" si="135"/>
        <v>0</v>
      </c>
      <c r="BP236" s="166">
        <f t="shared" si="135"/>
        <v>0</v>
      </c>
      <c r="BQ236" s="166">
        <f t="shared" si="135"/>
        <v>0</v>
      </c>
      <c r="BR236" s="166">
        <f t="shared" si="135"/>
        <v>0</v>
      </c>
      <c r="BS236" s="166">
        <f t="shared" si="135"/>
        <v>0</v>
      </c>
      <c r="BT236" s="166">
        <f t="shared" si="135"/>
        <v>0</v>
      </c>
      <c r="BU236" s="166">
        <f t="shared" si="135"/>
        <v>0</v>
      </c>
      <c r="BV236" s="166">
        <f t="shared" si="135"/>
        <v>0</v>
      </c>
      <c r="BW236" s="235"/>
    </row>
    <row r="237" ht="14.25" customHeight="1">
      <c r="A237" s="1"/>
      <c r="B237" s="2"/>
      <c r="C237" s="3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4"/>
      <c r="AN237" s="3"/>
      <c r="AO237" s="3"/>
      <c r="AP237" s="3"/>
      <c r="AQ237" s="3"/>
      <c r="AR237" s="3"/>
      <c r="AS237" s="4"/>
      <c r="AT237" s="132"/>
      <c r="AU237" s="132"/>
      <c r="AV237" s="132"/>
      <c r="AW237" s="3"/>
      <c r="AX237" s="3"/>
      <c r="AY237" s="3"/>
      <c r="AZ237" s="132"/>
      <c r="BA237" s="132"/>
      <c r="BB237" s="132"/>
      <c r="BC237" s="132"/>
      <c r="BD237" s="132"/>
      <c r="BE237" s="4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ht="14.25" customHeight="1">
      <c r="A238" s="1"/>
      <c r="B238" s="2"/>
      <c r="C238" s="3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176"/>
      <c r="AJ238" s="3"/>
      <c r="AK238" s="3"/>
      <c r="AL238" s="3"/>
      <c r="AM238" s="4"/>
      <c r="AN238" s="3"/>
      <c r="AO238" s="3"/>
      <c r="AP238" s="3"/>
      <c r="AQ238" s="3"/>
      <c r="AR238" s="3"/>
      <c r="AS238" s="177"/>
      <c r="AT238" s="132"/>
      <c r="AU238" s="132"/>
      <c r="AV238" s="132"/>
      <c r="AW238" s="3"/>
      <c r="AX238" s="3"/>
      <c r="AY238" s="3"/>
      <c r="AZ238" s="132"/>
      <c r="BA238" s="132"/>
      <c r="BB238" s="132"/>
      <c r="BC238" s="132"/>
      <c r="BD238" s="132"/>
      <c r="BE238" s="177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ht="14.25" customHeight="1">
      <c r="A239" s="3"/>
      <c r="B239" s="215">
        <v>46235</v>
      </c>
      <c r="C239" s="94"/>
      <c r="D239" s="104"/>
      <c r="E239" s="97"/>
      <c r="F239" s="97"/>
      <c r="G239" s="265">
        <f ref="G239:G269" t="shared" si="136">+C239+D239+E239+F239</f>
        <v>0</v>
      </c>
      <c r="H239" s="187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86"/>
      <c r="V239" s="189">
        <f ref="V239:V240" t="shared" si="137">SUM(H239:U239)</f>
        <v>0</v>
      </c>
      <c r="W239" s="186"/>
      <c r="X239" s="186"/>
      <c r="Y239" s="186"/>
      <c r="Z239" s="186"/>
      <c r="AA239" s="186"/>
      <c r="AB239" s="186"/>
      <c r="AC239" s="186"/>
      <c r="AD239" s="186"/>
      <c r="AE239" s="186"/>
      <c r="AF239" s="186"/>
      <c r="AG239" s="186"/>
      <c r="AH239" s="186"/>
      <c r="AI239" s="103">
        <f ref="AI239:AI269" t="shared" si="138">SUM(W239:AH239)</f>
        <v>0</v>
      </c>
      <c r="AJ239" s="104"/>
      <c r="AK239" s="104"/>
      <c r="AL239" s="104"/>
      <c r="AM239" s="191">
        <f ref="AM239:AM269" t="shared" si="139">SUM(AJ239:AL239)</f>
        <v>0</v>
      </c>
      <c r="AN239" s="186"/>
      <c r="AO239" s="186"/>
      <c r="AP239" s="186"/>
      <c r="AQ239" s="186"/>
      <c r="AR239" s="193"/>
      <c r="AS239" s="224">
        <f ref="AS239:AS269" t="shared" si="140">+G239-V239-AI239-AM239-AN239-AP239-AQ239-AR239</f>
        <v>0</v>
      </c>
      <c r="AT239" s="109"/>
      <c r="AU239" s="269"/>
      <c r="AV239" s="109"/>
      <c r="AW239" s="109"/>
      <c r="AX239" s="109"/>
      <c r="AY239" s="270"/>
      <c r="AZ239" s="109"/>
      <c r="BA239" s="269"/>
      <c r="BB239" s="269"/>
      <c r="BC239" s="269"/>
      <c r="BD239" s="269"/>
      <c r="BE239" s="222">
        <f ref="BE239:BE269" t="shared" si="141">SUM(AT239:BD239)-BC239</f>
        <v>0</v>
      </c>
      <c r="BF239" s="114">
        <f ref="BF239:BF269" t="shared" si="142">+AS239-BE239</f>
        <v>0</v>
      </c>
      <c r="BG239" s="3"/>
      <c r="BH239" s="114">
        <f ref="BH239:BH269" t="shared" si="143">SUM(BI239:BU239)</f>
        <v>0</v>
      </c>
      <c r="BI239" s="115"/>
      <c r="BJ239" s="115"/>
      <c r="BK239" s="115"/>
      <c r="BL239" s="115"/>
      <c r="BM239" s="115"/>
      <c r="BN239" s="115"/>
      <c r="BO239" s="115"/>
      <c r="BP239" s="115"/>
      <c r="BQ239" s="115"/>
      <c r="BR239" s="115"/>
      <c r="BS239" s="115"/>
      <c r="BT239" s="115"/>
      <c r="BU239" s="115"/>
      <c r="BV239" s="116">
        <f ref="BV239:BV269" t="shared" si="144">+BF239-BH239</f>
        <v>0</v>
      </c>
      <c r="BW239" s="3"/>
    </row>
    <row r="240" ht="14.25" customHeight="1">
      <c r="A240" s="3"/>
      <c r="B240" s="215">
        <v>46236</v>
      </c>
      <c r="C240" s="118"/>
      <c r="D240" s="123"/>
      <c r="E240" s="120"/>
      <c r="F240" s="120"/>
      <c r="G240" s="147">
        <f t="shared" si="136"/>
        <v>0</v>
      </c>
      <c r="H240" s="144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03">
        <f t="shared" si="137"/>
        <v>0</v>
      </c>
      <c r="W240" s="143"/>
      <c r="X240" s="143"/>
      <c r="Y240" s="143"/>
      <c r="Z240" s="143"/>
      <c r="AA240" s="143"/>
      <c r="AB240" s="143"/>
      <c r="AC240" s="143"/>
      <c r="AD240" s="143"/>
      <c r="AE240" s="143"/>
      <c r="AF240" s="143"/>
      <c r="AG240" s="143"/>
      <c r="AH240" s="143"/>
      <c r="AI240" s="103">
        <f t="shared" si="138"/>
        <v>0</v>
      </c>
      <c r="AJ240" s="123"/>
      <c r="AK240" s="123"/>
      <c r="AL240" s="123"/>
      <c r="AM240" s="105">
        <f t="shared" si="139"/>
        <v>0</v>
      </c>
      <c r="AN240" s="143"/>
      <c r="AO240" s="143"/>
      <c r="AP240" s="143"/>
      <c r="AQ240" s="143"/>
      <c r="AR240" s="146"/>
      <c r="AS240" s="224">
        <f t="shared" si="140"/>
        <v>0</v>
      </c>
      <c r="AT240" s="126"/>
      <c r="AU240" s="274"/>
      <c r="AV240" s="126"/>
      <c r="AW240" s="126"/>
      <c r="AX240" s="126"/>
      <c r="AY240" s="275"/>
      <c r="AZ240" s="126"/>
      <c r="BA240" s="274"/>
      <c r="BB240" s="274"/>
      <c r="BC240" s="274"/>
      <c r="BD240" s="274"/>
      <c r="BE240" s="222">
        <f t="shared" si="141"/>
        <v>0</v>
      </c>
      <c r="BF240" s="113">
        <f t="shared" si="142"/>
        <v>0</v>
      </c>
      <c r="BG240" s="3"/>
      <c r="BH240" s="113">
        <f t="shared" si="143"/>
        <v>0</v>
      </c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30">
        <f t="shared" si="144"/>
        <v>0</v>
      </c>
      <c r="BW240" s="3"/>
    </row>
    <row r="241" ht="14.25" customHeight="1">
      <c r="A241" s="3"/>
      <c r="B241" s="215">
        <v>46237</v>
      </c>
      <c r="C241" s="118"/>
      <c r="D241" s="123"/>
      <c r="E241" s="120"/>
      <c r="F241" s="120"/>
      <c r="G241" s="147">
        <f t="shared" si="136"/>
        <v>0</v>
      </c>
      <c r="H241" s="144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03">
        <f>SUM(H241:T241)</f>
        <v>0</v>
      </c>
      <c r="W241" s="143"/>
      <c r="X241" s="143"/>
      <c r="Y241" s="143"/>
      <c r="Z241" s="143"/>
      <c r="AA241" s="143"/>
      <c r="AB241" s="143"/>
      <c r="AC241" s="143"/>
      <c r="AD241" s="143"/>
      <c r="AE241" s="143"/>
      <c r="AF241" s="143"/>
      <c r="AG241" s="143"/>
      <c r="AH241" s="143"/>
      <c r="AI241" s="103">
        <f t="shared" si="138"/>
        <v>0</v>
      </c>
      <c r="AJ241" s="123"/>
      <c r="AK241" s="123"/>
      <c r="AL241" s="123"/>
      <c r="AM241" s="105">
        <f t="shared" si="139"/>
        <v>0</v>
      </c>
      <c r="AN241" s="143"/>
      <c r="AO241" s="143"/>
      <c r="AP241" s="143"/>
      <c r="AQ241" s="143"/>
      <c r="AR241" s="146"/>
      <c r="AS241" s="224">
        <f t="shared" si="140"/>
        <v>0</v>
      </c>
      <c r="AT241" s="126"/>
      <c r="AU241" s="274"/>
      <c r="AV241" s="274"/>
      <c r="AW241" s="126"/>
      <c r="AX241" s="126"/>
      <c r="AY241" s="275"/>
      <c r="AZ241" s="126"/>
      <c r="BA241" s="274"/>
      <c r="BB241" s="274"/>
      <c r="BC241" s="274"/>
      <c r="BD241" s="274"/>
      <c r="BE241" s="222">
        <f t="shared" si="141"/>
        <v>0</v>
      </c>
      <c r="BF241" s="113">
        <f t="shared" si="142"/>
        <v>0</v>
      </c>
      <c r="BG241" s="3"/>
      <c r="BH241" s="113">
        <f t="shared" si="143"/>
        <v>0</v>
      </c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30">
        <f t="shared" si="144"/>
        <v>0</v>
      </c>
      <c r="BW241" s="3"/>
    </row>
    <row r="242" ht="14.25" customHeight="1">
      <c r="A242" s="3"/>
      <c r="B242" s="215">
        <v>46238</v>
      </c>
      <c r="C242" s="118"/>
      <c r="D242" s="123"/>
      <c r="E242" s="120"/>
      <c r="F242" s="120"/>
      <c r="G242" s="147">
        <f t="shared" si="136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03">
        <f ref="V242:V244" t="shared" si="145">SUM(H242:U242)</f>
        <v>0</v>
      </c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03">
        <f t="shared" si="138"/>
        <v>0</v>
      </c>
      <c r="AJ242" s="123"/>
      <c r="AK242" s="123"/>
      <c r="AL242" s="123"/>
      <c r="AM242" s="105">
        <f t="shared" si="139"/>
        <v>0</v>
      </c>
      <c r="AN242" s="143"/>
      <c r="AO242" s="143"/>
      <c r="AP242" s="143"/>
      <c r="AQ242" s="143"/>
      <c r="AR242" s="146"/>
      <c r="AS242" s="224">
        <f t="shared" si="140"/>
        <v>0</v>
      </c>
      <c r="AT242" s="126"/>
      <c r="AU242" s="274"/>
      <c r="AV242" s="274"/>
      <c r="AW242" s="126"/>
      <c r="AX242" s="126"/>
      <c r="AY242" s="275"/>
      <c r="AZ242" s="126"/>
      <c r="BA242" s="274"/>
      <c r="BB242" s="274"/>
      <c r="BC242" s="274"/>
      <c r="BD242" s="274"/>
      <c r="BE242" s="222">
        <f t="shared" si="141"/>
        <v>0</v>
      </c>
      <c r="BF242" s="113">
        <f t="shared" si="142"/>
        <v>0</v>
      </c>
      <c r="BG242" s="3"/>
      <c r="BH242" s="113">
        <f t="shared" si="143"/>
        <v>0</v>
      </c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30">
        <f t="shared" si="144"/>
        <v>0</v>
      </c>
      <c r="BW242" s="3"/>
    </row>
    <row r="243" ht="14.25" customHeight="1">
      <c r="A243" s="3"/>
      <c r="B243" s="215">
        <v>46239</v>
      </c>
      <c r="C243" s="118"/>
      <c r="D243" s="123"/>
      <c r="E243" s="120"/>
      <c r="F243" s="120"/>
      <c r="G243" s="147">
        <f t="shared" si="136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03">
        <f t="shared" si="145"/>
        <v>0</v>
      </c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43"/>
      <c r="AI243" s="103">
        <f t="shared" si="138"/>
        <v>0</v>
      </c>
      <c r="AJ243" s="123"/>
      <c r="AK243" s="123"/>
      <c r="AL243" s="123"/>
      <c r="AM243" s="105">
        <f t="shared" si="139"/>
        <v>0</v>
      </c>
      <c r="AN243" s="143"/>
      <c r="AO243" s="143"/>
      <c r="AP243" s="143"/>
      <c r="AQ243" s="143"/>
      <c r="AR243" s="146"/>
      <c r="AS243" s="224">
        <f t="shared" si="140"/>
        <v>0</v>
      </c>
      <c r="AT243" s="126"/>
      <c r="AU243" s="274"/>
      <c r="AV243" s="126"/>
      <c r="AW243" s="126"/>
      <c r="AX243" s="126"/>
      <c r="AY243" s="275"/>
      <c r="AZ243" s="126"/>
      <c r="BA243" s="274"/>
      <c r="BB243" s="274"/>
      <c r="BC243" s="274"/>
      <c r="BD243" s="274"/>
      <c r="BE243" s="222">
        <f t="shared" si="141"/>
        <v>0</v>
      </c>
      <c r="BF243" s="113">
        <f t="shared" si="142"/>
        <v>0</v>
      </c>
      <c r="BG243" s="3"/>
      <c r="BH243" s="113">
        <f t="shared" si="143"/>
        <v>0</v>
      </c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30">
        <f t="shared" si="144"/>
        <v>0</v>
      </c>
      <c r="BW243" s="3"/>
    </row>
    <row r="244" ht="14.25" customHeight="1">
      <c r="A244" s="3"/>
      <c r="B244" s="215">
        <v>46240</v>
      </c>
      <c r="C244" s="118"/>
      <c r="D244" s="123"/>
      <c r="E244" s="120"/>
      <c r="F244" s="120"/>
      <c r="G244" s="147">
        <f t="shared" si="136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03">
        <f t="shared" si="145"/>
        <v>0</v>
      </c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43"/>
      <c r="AI244" s="103">
        <f t="shared" si="138"/>
        <v>0</v>
      </c>
      <c r="AJ244" s="123"/>
      <c r="AK244" s="123"/>
      <c r="AL244" s="123"/>
      <c r="AM244" s="105">
        <f t="shared" si="139"/>
        <v>0</v>
      </c>
      <c r="AN244" s="143"/>
      <c r="AO244" s="143"/>
      <c r="AP244" s="143"/>
      <c r="AQ244" s="143"/>
      <c r="AR244" s="146"/>
      <c r="AS244" s="224">
        <f t="shared" si="140"/>
        <v>0</v>
      </c>
      <c r="AT244" s="126"/>
      <c r="AU244" s="274"/>
      <c r="AV244" s="126"/>
      <c r="AW244" s="126"/>
      <c r="AX244" s="126"/>
      <c r="AY244" s="275"/>
      <c r="AZ244" s="126"/>
      <c r="BA244" s="274"/>
      <c r="BB244" s="274"/>
      <c r="BC244" s="274"/>
      <c r="BD244" s="274"/>
      <c r="BE244" s="222">
        <f t="shared" si="141"/>
        <v>0</v>
      </c>
      <c r="BF244" s="113">
        <f t="shared" si="142"/>
        <v>0</v>
      </c>
      <c r="BG244" s="3"/>
      <c r="BH244" s="113">
        <f t="shared" si="143"/>
        <v>0</v>
      </c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30">
        <f t="shared" si="144"/>
        <v>0</v>
      </c>
      <c r="BW244" s="3"/>
    </row>
    <row r="245" ht="14.25" customHeight="1">
      <c r="A245" s="3"/>
      <c r="B245" s="215">
        <v>46241</v>
      </c>
      <c r="C245" s="118"/>
      <c r="D245" s="123"/>
      <c r="E245" s="120"/>
      <c r="F245" s="120"/>
      <c r="G245" s="147">
        <f t="shared" si="136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03">
        <f>SUM(H245:T245)</f>
        <v>0</v>
      </c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43"/>
      <c r="AI245" s="103">
        <f t="shared" si="138"/>
        <v>0</v>
      </c>
      <c r="AJ245" s="123"/>
      <c r="AK245" s="123"/>
      <c r="AL245" s="123"/>
      <c r="AM245" s="105">
        <f t="shared" si="139"/>
        <v>0</v>
      </c>
      <c r="AN245" s="143"/>
      <c r="AO245" s="143"/>
      <c r="AP245" s="143"/>
      <c r="AQ245" s="143"/>
      <c r="AR245" s="146"/>
      <c r="AS245" s="224">
        <f t="shared" si="140"/>
        <v>0</v>
      </c>
      <c r="AT245" s="126"/>
      <c r="AU245" s="127"/>
      <c r="AV245" s="126"/>
      <c r="AW245" s="274"/>
      <c r="AX245" s="126"/>
      <c r="AY245" s="275"/>
      <c r="AZ245" s="126"/>
      <c r="BA245" s="274"/>
      <c r="BB245" s="274"/>
      <c r="BC245" s="274"/>
      <c r="BD245" s="274"/>
      <c r="BE245" s="222">
        <f t="shared" si="141"/>
        <v>0</v>
      </c>
      <c r="BF245" s="113">
        <f t="shared" si="142"/>
        <v>0</v>
      </c>
      <c r="BG245" s="3"/>
      <c r="BH245" s="113">
        <f t="shared" si="143"/>
        <v>0</v>
      </c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30">
        <f t="shared" si="144"/>
        <v>0</v>
      </c>
      <c r="BW245" s="3"/>
    </row>
    <row r="246" ht="14.25" customHeight="1">
      <c r="A246" s="3"/>
      <c r="B246" s="215">
        <v>46242</v>
      </c>
      <c r="C246" s="118"/>
      <c r="D246" s="123"/>
      <c r="E246" s="120"/>
      <c r="F246" s="120"/>
      <c r="G246" s="147">
        <f t="shared" si="136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03">
        <f>SUM(H246:U246)</f>
        <v>0</v>
      </c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43"/>
      <c r="AI246" s="103">
        <f t="shared" si="138"/>
        <v>0</v>
      </c>
      <c r="AJ246" s="123"/>
      <c r="AK246" s="123"/>
      <c r="AL246" s="123"/>
      <c r="AM246" s="105">
        <f t="shared" si="139"/>
        <v>0</v>
      </c>
      <c r="AN246" s="143"/>
      <c r="AO246" s="143"/>
      <c r="AP246" s="143"/>
      <c r="AQ246" s="143"/>
      <c r="AR246" s="146"/>
      <c r="AS246" s="224">
        <f t="shared" si="140"/>
        <v>0</v>
      </c>
      <c r="AT246" s="126"/>
      <c r="AU246" s="127"/>
      <c r="AV246" s="126"/>
      <c r="AW246" s="274"/>
      <c r="AX246" s="126"/>
      <c r="AY246" s="275"/>
      <c r="AZ246" s="126"/>
      <c r="BA246" s="274"/>
      <c r="BB246" s="274"/>
      <c r="BC246" s="274"/>
      <c r="BD246" s="274"/>
      <c r="BE246" s="222">
        <f t="shared" si="141"/>
        <v>0</v>
      </c>
      <c r="BF246" s="113">
        <f t="shared" si="142"/>
        <v>0</v>
      </c>
      <c r="BG246" s="3"/>
      <c r="BH246" s="113">
        <f t="shared" si="143"/>
        <v>0</v>
      </c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30">
        <f t="shared" si="144"/>
        <v>0</v>
      </c>
      <c r="BW246" s="3"/>
    </row>
    <row r="247" ht="14.25" customHeight="1">
      <c r="A247" s="3"/>
      <c r="B247" s="215">
        <v>46243</v>
      </c>
      <c r="C247" s="118"/>
      <c r="D247" s="123"/>
      <c r="E247" s="120"/>
      <c r="F247" s="120"/>
      <c r="G247" s="147">
        <f t="shared" si="136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03">
        <f ref="V247:V248" t="shared" si="146">SUM(H247:T247)</f>
        <v>0</v>
      </c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43"/>
      <c r="AI247" s="103">
        <f t="shared" si="138"/>
        <v>0</v>
      </c>
      <c r="AJ247" s="123"/>
      <c r="AK247" s="123"/>
      <c r="AL247" s="123"/>
      <c r="AM247" s="105">
        <f t="shared" si="139"/>
        <v>0</v>
      </c>
      <c r="AN247" s="143"/>
      <c r="AO247" s="143"/>
      <c r="AP247" s="143"/>
      <c r="AQ247" s="143"/>
      <c r="AR247" s="146"/>
      <c r="AS247" s="224">
        <f t="shared" si="140"/>
        <v>0</v>
      </c>
      <c r="AT247" s="126"/>
      <c r="AU247" s="127"/>
      <c r="AV247" s="126"/>
      <c r="AW247" s="274"/>
      <c r="AX247" s="126"/>
      <c r="AY247" s="275"/>
      <c r="AZ247" s="126"/>
      <c r="BA247" s="274"/>
      <c r="BB247" s="274"/>
      <c r="BC247" s="274"/>
      <c r="BD247" s="274"/>
      <c r="BE247" s="222">
        <f t="shared" si="141"/>
        <v>0</v>
      </c>
      <c r="BF247" s="113">
        <f t="shared" si="142"/>
        <v>0</v>
      </c>
      <c r="BG247" s="3"/>
      <c r="BH247" s="113">
        <f t="shared" si="143"/>
        <v>0</v>
      </c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30">
        <f t="shared" si="144"/>
        <v>0</v>
      </c>
      <c r="BW247" s="3"/>
    </row>
    <row r="248" ht="14.25" customHeight="1">
      <c r="A248" s="3"/>
      <c r="B248" s="215">
        <v>46244</v>
      </c>
      <c r="C248" s="118"/>
      <c r="D248" s="123"/>
      <c r="E248" s="120"/>
      <c r="F248" s="120"/>
      <c r="G248" s="147">
        <f t="shared" si="136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03">
        <f t="shared" si="146"/>
        <v>0</v>
      </c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43"/>
      <c r="AI248" s="103">
        <f t="shared" si="138"/>
        <v>0</v>
      </c>
      <c r="AJ248" s="123"/>
      <c r="AK248" s="123"/>
      <c r="AL248" s="123"/>
      <c r="AM248" s="105">
        <f t="shared" si="139"/>
        <v>0</v>
      </c>
      <c r="AN248" s="143"/>
      <c r="AO248" s="143"/>
      <c r="AP248" s="143"/>
      <c r="AQ248" s="143"/>
      <c r="AR248" s="146"/>
      <c r="AS248" s="224">
        <f t="shared" si="140"/>
        <v>0</v>
      </c>
      <c r="AT248" s="126"/>
      <c r="AU248" s="127"/>
      <c r="AV248" s="126"/>
      <c r="AW248" s="274"/>
      <c r="AX248" s="126"/>
      <c r="AY248" s="275"/>
      <c r="AZ248" s="126"/>
      <c r="BA248" s="274"/>
      <c r="BB248" s="274"/>
      <c r="BC248" s="274"/>
      <c r="BD248" s="274"/>
      <c r="BE248" s="222">
        <f t="shared" si="141"/>
        <v>0</v>
      </c>
      <c r="BF248" s="113">
        <f t="shared" si="142"/>
        <v>0</v>
      </c>
      <c r="BG248" s="3"/>
      <c r="BH248" s="113">
        <f t="shared" si="143"/>
        <v>0</v>
      </c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30">
        <f t="shared" si="144"/>
        <v>0</v>
      </c>
      <c r="BW248" s="3"/>
    </row>
    <row r="249" ht="14.25" customHeight="1">
      <c r="A249" s="3"/>
      <c r="B249" s="215">
        <v>46245</v>
      </c>
      <c r="C249" s="118"/>
      <c r="D249" s="123"/>
      <c r="E249" s="120"/>
      <c r="F249" s="120"/>
      <c r="G249" s="147">
        <f t="shared" si="136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03">
        <f ref="V249:V254" t="shared" si="147">SUM(H249:U249)</f>
        <v>0</v>
      </c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03">
        <f t="shared" si="138"/>
        <v>0</v>
      </c>
      <c r="AJ249" s="123"/>
      <c r="AK249" s="123"/>
      <c r="AL249" s="123"/>
      <c r="AM249" s="105">
        <f t="shared" si="139"/>
        <v>0</v>
      </c>
      <c r="AN249" s="143"/>
      <c r="AO249" s="143"/>
      <c r="AP249" s="143"/>
      <c r="AQ249" s="143"/>
      <c r="AR249" s="146"/>
      <c r="AS249" s="224">
        <f t="shared" si="140"/>
        <v>0</v>
      </c>
      <c r="AT249" s="126"/>
      <c r="AU249" s="274"/>
      <c r="AV249" s="126"/>
      <c r="AW249" s="126"/>
      <c r="AX249" s="126"/>
      <c r="AY249" s="275"/>
      <c r="AZ249" s="126"/>
      <c r="BA249" s="274"/>
      <c r="BB249" s="274"/>
      <c r="BC249" s="274"/>
      <c r="BD249" s="274"/>
      <c r="BE249" s="222">
        <f t="shared" si="141"/>
        <v>0</v>
      </c>
      <c r="BF249" s="113">
        <f t="shared" si="142"/>
        <v>0</v>
      </c>
      <c r="BG249" s="3"/>
      <c r="BH249" s="113">
        <f t="shared" si="143"/>
        <v>0</v>
      </c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30">
        <f t="shared" si="144"/>
        <v>0</v>
      </c>
      <c r="BW249" s="3"/>
    </row>
    <row r="250" ht="14.25" customHeight="1">
      <c r="A250" s="3"/>
      <c r="B250" s="215">
        <v>46246</v>
      </c>
      <c r="C250" s="118"/>
      <c r="D250" s="123"/>
      <c r="E250" s="120"/>
      <c r="F250" s="120"/>
      <c r="G250" s="147">
        <f t="shared" si="136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03">
        <f t="shared" si="147"/>
        <v>0</v>
      </c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43"/>
      <c r="AI250" s="103">
        <f t="shared" si="138"/>
        <v>0</v>
      </c>
      <c r="AJ250" s="123"/>
      <c r="AK250" s="123"/>
      <c r="AL250" s="123"/>
      <c r="AM250" s="105">
        <f t="shared" si="139"/>
        <v>0</v>
      </c>
      <c r="AN250" s="143"/>
      <c r="AO250" s="143"/>
      <c r="AP250" s="143"/>
      <c r="AQ250" s="143"/>
      <c r="AR250" s="146"/>
      <c r="AS250" s="224">
        <f t="shared" si="140"/>
        <v>0</v>
      </c>
      <c r="AT250" s="126"/>
      <c r="AU250" s="274"/>
      <c r="AV250" s="126"/>
      <c r="AW250" s="126"/>
      <c r="AX250" s="126"/>
      <c r="AY250" s="275"/>
      <c r="AZ250" s="126"/>
      <c r="BA250" s="274"/>
      <c r="BB250" s="274"/>
      <c r="BC250" s="274"/>
      <c r="BD250" s="274"/>
      <c r="BE250" s="222">
        <f t="shared" si="141"/>
        <v>0</v>
      </c>
      <c r="BF250" s="113">
        <f t="shared" si="142"/>
        <v>0</v>
      </c>
      <c r="BG250" s="3"/>
      <c r="BH250" s="113">
        <f t="shared" si="143"/>
        <v>0</v>
      </c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30">
        <f t="shared" si="144"/>
        <v>0</v>
      </c>
      <c r="BW250" s="3"/>
    </row>
    <row r="251" ht="14.25" customHeight="1">
      <c r="A251" s="132"/>
      <c r="B251" s="215">
        <v>46247</v>
      </c>
      <c r="C251" s="133"/>
      <c r="D251" s="136"/>
      <c r="E251" s="135"/>
      <c r="F251" s="135"/>
      <c r="G251" s="147">
        <f t="shared" si="136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03">
        <f t="shared" si="147"/>
        <v>0</v>
      </c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43"/>
      <c r="AI251" s="103">
        <f t="shared" si="138"/>
        <v>0</v>
      </c>
      <c r="AJ251" s="136"/>
      <c r="AK251" s="136"/>
      <c r="AL251" s="136"/>
      <c r="AM251" s="105">
        <f t="shared" si="139"/>
        <v>0</v>
      </c>
      <c r="AN251" s="143"/>
      <c r="AO251" s="143"/>
      <c r="AP251" s="143"/>
      <c r="AQ251" s="143"/>
      <c r="AR251" s="146"/>
      <c r="AS251" s="224">
        <f t="shared" si="140"/>
        <v>0</v>
      </c>
      <c r="AT251" s="126"/>
      <c r="AU251" s="274"/>
      <c r="AV251" s="126"/>
      <c r="AW251" s="126"/>
      <c r="AX251" s="126"/>
      <c r="AY251" s="275"/>
      <c r="AZ251" s="126"/>
      <c r="BA251" s="274"/>
      <c r="BB251" s="274"/>
      <c r="BC251" s="274"/>
      <c r="BD251" s="274"/>
      <c r="BE251" s="222">
        <f t="shared" si="141"/>
        <v>0</v>
      </c>
      <c r="BF251" s="140">
        <f t="shared" si="142"/>
        <v>0</v>
      </c>
      <c r="BG251" s="132"/>
      <c r="BH251" s="140">
        <f t="shared" si="143"/>
        <v>0</v>
      </c>
      <c r="BI251" s="141"/>
      <c r="BJ251" s="141"/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30">
        <f t="shared" si="144"/>
        <v>0</v>
      </c>
      <c r="BW251" s="132"/>
    </row>
    <row r="252" ht="14.25" customHeight="1">
      <c r="A252" s="132"/>
      <c r="B252" s="215">
        <v>46248</v>
      </c>
      <c r="C252" s="133"/>
      <c r="D252" s="136"/>
      <c r="E252" s="135"/>
      <c r="F252" s="135"/>
      <c r="G252" s="147">
        <f t="shared" si="136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03">
        <f t="shared" si="147"/>
        <v>0</v>
      </c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43"/>
      <c r="AI252" s="103">
        <f t="shared" si="138"/>
        <v>0</v>
      </c>
      <c r="AJ252" s="136"/>
      <c r="AK252" s="136"/>
      <c r="AL252" s="136"/>
      <c r="AM252" s="105">
        <f t="shared" si="139"/>
        <v>0</v>
      </c>
      <c r="AN252" s="143"/>
      <c r="AO252" s="143"/>
      <c r="AP252" s="143"/>
      <c r="AQ252" s="143"/>
      <c r="AR252" s="146"/>
      <c r="AS252" s="224">
        <f t="shared" si="140"/>
        <v>0</v>
      </c>
      <c r="AT252" s="126"/>
      <c r="AU252" s="274"/>
      <c r="AV252" s="126"/>
      <c r="AW252" s="126"/>
      <c r="AX252" s="126"/>
      <c r="AY252" s="275"/>
      <c r="AZ252" s="126"/>
      <c r="BA252" s="274"/>
      <c r="BB252" s="274"/>
      <c r="BC252" s="274"/>
      <c r="BD252" s="274"/>
      <c r="BE252" s="222">
        <f t="shared" si="141"/>
        <v>0</v>
      </c>
      <c r="BF252" s="140">
        <f t="shared" si="142"/>
        <v>0</v>
      </c>
      <c r="BG252" s="132"/>
      <c r="BH252" s="140">
        <f t="shared" si="143"/>
        <v>0</v>
      </c>
      <c r="BI252" s="141"/>
      <c r="BJ252" s="141"/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30">
        <f t="shared" si="144"/>
        <v>0</v>
      </c>
      <c r="BW252" s="132"/>
    </row>
    <row r="253" ht="14.25" customHeight="1">
      <c r="A253" s="132"/>
      <c r="B253" s="215">
        <v>46249</v>
      </c>
      <c r="C253" s="133"/>
      <c r="D253" s="136"/>
      <c r="E253" s="135"/>
      <c r="F253" s="135"/>
      <c r="G253" s="147">
        <f t="shared" si="136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03">
        <f t="shared" si="147"/>
        <v>0</v>
      </c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43"/>
      <c r="AI253" s="103">
        <f t="shared" si="138"/>
        <v>0</v>
      </c>
      <c r="AJ253" s="136"/>
      <c r="AK253" s="136"/>
      <c r="AL253" s="136"/>
      <c r="AM253" s="105">
        <f t="shared" si="139"/>
        <v>0</v>
      </c>
      <c r="AN253" s="143"/>
      <c r="AO253" s="143"/>
      <c r="AP253" s="143"/>
      <c r="AQ253" s="143"/>
      <c r="AR253" s="146"/>
      <c r="AS253" s="224">
        <f t="shared" si="140"/>
        <v>0</v>
      </c>
      <c r="AT253" s="126"/>
      <c r="AU253" s="274"/>
      <c r="AV253" s="126"/>
      <c r="AW253" s="126"/>
      <c r="AX253" s="126"/>
      <c r="AY253" s="275"/>
      <c r="AZ253" s="126"/>
      <c r="BA253" s="274"/>
      <c r="BB253" s="274"/>
      <c r="BC253" s="274"/>
      <c r="BD253" s="274"/>
      <c r="BE253" s="222">
        <f t="shared" si="141"/>
        <v>0</v>
      </c>
      <c r="BF253" s="140">
        <f t="shared" si="142"/>
        <v>0</v>
      </c>
      <c r="BG253" s="132"/>
      <c r="BH253" s="140">
        <f t="shared" si="143"/>
        <v>0</v>
      </c>
      <c r="BI253" s="141"/>
      <c r="BJ253" s="141"/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30">
        <f t="shared" si="144"/>
        <v>0</v>
      </c>
      <c r="BW253" s="132"/>
    </row>
    <row r="254" ht="14.25" customHeight="1">
      <c r="A254" s="132"/>
      <c r="B254" s="215">
        <v>46250</v>
      </c>
      <c r="C254" s="133"/>
      <c r="D254" s="136"/>
      <c r="E254" s="135"/>
      <c r="F254" s="135"/>
      <c r="G254" s="147">
        <f t="shared" si="136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03">
        <f t="shared" si="147"/>
        <v>0</v>
      </c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43"/>
      <c r="AI254" s="103">
        <f t="shared" si="138"/>
        <v>0</v>
      </c>
      <c r="AJ254" s="136"/>
      <c r="AK254" s="136"/>
      <c r="AL254" s="136"/>
      <c r="AM254" s="105">
        <f t="shared" si="139"/>
        <v>0</v>
      </c>
      <c r="AN254" s="143"/>
      <c r="AO254" s="143"/>
      <c r="AP254" s="143"/>
      <c r="AQ254" s="143"/>
      <c r="AR254" s="146"/>
      <c r="AS254" s="224">
        <f t="shared" si="140"/>
        <v>0</v>
      </c>
      <c r="AT254" s="126"/>
      <c r="AU254" s="274"/>
      <c r="AV254" s="126"/>
      <c r="AW254" s="126"/>
      <c r="AX254" s="126"/>
      <c r="AY254" s="275"/>
      <c r="AZ254" s="126"/>
      <c r="BA254" s="274"/>
      <c r="BB254" s="274"/>
      <c r="BC254" s="274"/>
      <c r="BD254" s="274"/>
      <c r="BE254" s="222">
        <f t="shared" si="141"/>
        <v>0</v>
      </c>
      <c r="BF254" s="140">
        <f t="shared" si="142"/>
        <v>0</v>
      </c>
      <c r="BG254" s="132"/>
      <c r="BH254" s="140">
        <f t="shared" si="143"/>
        <v>0</v>
      </c>
      <c r="BI254" s="141"/>
      <c r="BJ254" s="141"/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30">
        <f t="shared" si="144"/>
        <v>0</v>
      </c>
      <c r="BW254" s="132"/>
    </row>
    <row r="255" ht="14.25" customHeight="1">
      <c r="A255" s="132"/>
      <c r="B255" s="215">
        <v>46251</v>
      </c>
      <c r="C255" s="133"/>
      <c r="D255" s="136"/>
      <c r="E255" s="135"/>
      <c r="F255" s="135"/>
      <c r="G255" s="147">
        <f t="shared" si="136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03">
        <f>SUM(H255:T255)</f>
        <v>0</v>
      </c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43"/>
      <c r="AI255" s="103">
        <f t="shared" si="138"/>
        <v>0</v>
      </c>
      <c r="AJ255" s="136"/>
      <c r="AK255" s="136"/>
      <c r="AL255" s="136"/>
      <c r="AM255" s="105">
        <f t="shared" si="139"/>
        <v>0</v>
      </c>
      <c r="AN255" s="143"/>
      <c r="AO255" s="143"/>
      <c r="AP255" s="143"/>
      <c r="AQ255" s="143"/>
      <c r="AR255" s="146"/>
      <c r="AS255" s="224">
        <f t="shared" si="140"/>
        <v>0</v>
      </c>
      <c r="AT255" s="126"/>
      <c r="AU255" s="274"/>
      <c r="AV255" s="126"/>
      <c r="AW255" s="126"/>
      <c r="AX255" s="126"/>
      <c r="AY255" s="275"/>
      <c r="AZ255" s="126"/>
      <c r="BA255" s="274"/>
      <c r="BB255" s="274"/>
      <c r="BC255" s="274"/>
      <c r="BD255" s="274"/>
      <c r="BE255" s="222">
        <f t="shared" si="141"/>
        <v>0</v>
      </c>
      <c r="BF255" s="140">
        <f t="shared" si="142"/>
        <v>0</v>
      </c>
      <c r="BG255" s="132"/>
      <c r="BH255" s="140">
        <f t="shared" si="143"/>
        <v>0</v>
      </c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30">
        <f t="shared" si="144"/>
        <v>0</v>
      </c>
      <c r="BW255" s="132"/>
    </row>
    <row r="256" ht="14.25" customHeight="1">
      <c r="A256" s="132"/>
      <c r="B256" s="215">
        <v>46252</v>
      </c>
      <c r="C256" s="133"/>
      <c r="D256" s="136"/>
      <c r="E256" s="135"/>
      <c r="F256" s="135"/>
      <c r="G256" s="147">
        <f t="shared" si="136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03">
        <f>SUM(H256:U256)</f>
        <v>0</v>
      </c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43"/>
      <c r="AI256" s="103">
        <f t="shared" si="138"/>
        <v>0</v>
      </c>
      <c r="AJ256" s="136"/>
      <c r="AK256" s="136"/>
      <c r="AL256" s="136"/>
      <c r="AM256" s="105">
        <f t="shared" si="139"/>
        <v>0</v>
      </c>
      <c r="AN256" s="143"/>
      <c r="AO256" s="143"/>
      <c r="AP256" s="143"/>
      <c r="AQ256" s="143"/>
      <c r="AR256" s="146"/>
      <c r="AS256" s="224">
        <f t="shared" si="140"/>
        <v>0</v>
      </c>
      <c r="AT256" s="126"/>
      <c r="AU256" s="274"/>
      <c r="AV256" s="126"/>
      <c r="AW256" s="126"/>
      <c r="AX256" s="126"/>
      <c r="AY256" s="275"/>
      <c r="AZ256" s="126"/>
      <c r="BA256" s="274"/>
      <c r="BB256" s="274"/>
      <c r="BC256" s="274"/>
      <c r="BD256" s="274"/>
      <c r="BE256" s="222">
        <f t="shared" si="141"/>
        <v>0</v>
      </c>
      <c r="BF256" s="140">
        <f t="shared" si="142"/>
        <v>0</v>
      </c>
      <c r="BG256" s="132"/>
      <c r="BH256" s="140">
        <f t="shared" si="143"/>
        <v>0</v>
      </c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30">
        <f t="shared" si="144"/>
        <v>0</v>
      </c>
      <c r="BW256" s="132"/>
    </row>
    <row r="257" ht="14.25" customHeight="1">
      <c r="A257" s="132"/>
      <c r="B257" s="215">
        <v>46253</v>
      </c>
      <c r="C257" s="133"/>
      <c r="D257" s="136"/>
      <c r="E257" s="135"/>
      <c r="F257" s="135"/>
      <c r="G257" s="147">
        <f t="shared" si="136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03">
        <f>SUM(H257:T257)</f>
        <v>0</v>
      </c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43"/>
      <c r="AI257" s="103">
        <f t="shared" si="138"/>
        <v>0</v>
      </c>
      <c r="AJ257" s="136"/>
      <c r="AK257" s="136"/>
      <c r="AL257" s="136"/>
      <c r="AM257" s="105">
        <f t="shared" si="139"/>
        <v>0</v>
      </c>
      <c r="AN257" s="143"/>
      <c r="AO257" s="143"/>
      <c r="AP257" s="143"/>
      <c r="AQ257" s="143"/>
      <c r="AR257" s="146"/>
      <c r="AS257" s="224">
        <f t="shared" si="140"/>
        <v>0</v>
      </c>
      <c r="AT257" s="126"/>
      <c r="AU257" s="274"/>
      <c r="AV257" s="126"/>
      <c r="AW257" s="126"/>
      <c r="AX257" s="126"/>
      <c r="AY257" s="275"/>
      <c r="AZ257" s="126"/>
      <c r="BA257" s="274"/>
      <c r="BB257" s="274"/>
      <c r="BC257" s="274"/>
      <c r="BD257" s="274"/>
      <c r="BE257" s="222">
        <f t="shared" si="141"/>
        <v>0</v>
      </c>
      <c r="BF257" s="140">
        <f t="shared" si="142"/>
        <v>0</v>
      </c>
      <c r="BG257" s="132"/>
      <c r="BH257" s="140">
        <f t="shared" si="143"/>
        <v>0</v>
      </c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30">
        <f t="shared" si="144"/>
        <v>0</v>
      </c>
      <c r="BW257" s="132"/>
    </row>
    <row r="258" ht="14.25" customHeight="1">
      <c r="A258" s="132"/>
      <c r="B258" s="215">
        <v>46254</v>
      </c>
      <c r="C258" s="133"/>
      <c r="D258" s="136"/>
      <c r="E258" s="135"/>
      <c r="F258" s="135"/>
      <c r="G258" s="147">
        <f t="shared" si="136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03">
        <f ref="V258:V261" t="shared" si="148">SUM(H258:U258)</f>
        <v>0</v>
      </c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43"/>
      <c r="AI258" s="103">
        <f t="shared" si="138"/>
        <v>0</v>
      </c>
      <c r="AJ258" s="136"/>
      <c r="AK258" s="136"/>
      <c r="AL258" s="136"/>
      <c r="AM258" s="105">
        <f t="shared" si="139"/>
        <v>0</v>
      </c>
      <c r="AN258" s="143"/>
      <c r="AO258" s="143"/>
      <c r="AP258" s="143"/>
      <c r="AQ258" s="143"/>
      <c r="AR258" s="146"/>
      <c r="AS258" s="224">
        <f t="shared" si="140"/>
        <v>0</v>
      </c>
      <c r="AT258" s="126"/>
      <c r="AU258" s="274"/>
      <c r="AV258" s="126"/>
      <c r="AW258" s="126"/>
      <c r="AX258" s="126"/>
      <c r="AY258" s="275"/>
      <c r="AZ258" s="126"/>
      <c r="BA258" s="274"/>
      <c r="BB258" s="274"/>
      <c r="BC258" s="274"/>
      <c r="BD258" s="274"/>
      <c r="BE258" s="222">
        <f t="shared" si="141"/>
        <v>0</v>
      </c>
      <c r="BF258" s="140">
        <f t="shared" si="142"/>
        <v>0</v>
      </c>
      <c r="BG258" s="132"/>
      <c r="BH258" s="140">
        <f t="shared" si="143"/>
        <v>0</v>
      </c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30">
        <f t="shared" si="144"/>
        <v>0</v>
      </c>
      <c r="BW258" s="132"/>
    </row>
    <row r="259" ht="14.25" customHeight="1">
      <c r="A259" s="132"/>
      <c r="B259" s="215">
        <v>46255</v>
      </c>
      <c r="C259" s="133"/>
      <c r="D259" s="136"/>
      <c r="E259" s="135"/>
      <c r="F259" s="135"/>
      <c r="G259" s="147">
        <f t="shared" si="136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03">
        <f t="shared" si="148"/>
        <v>0</v>
      </c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43"/>
      <c r="AI259" s="103">
        <f t="shared" si="138"/>
        <v>0</v>
      </c>
      <c r="AJ259" s="136"/>
      <c r="AK259" s="136"/>
      <c r="AL259" s="136"/>
      <c r="AM259" s="105">
        <f t="shared" si="139"/>
        <v>0</v>
      </c>
      <c r="AN259" s="143"/>
      <c r="AO259" s="143"/>
      <c r="AP259" s="143"/>
      <c r="AQ259" s="143"/>
      <c r="AR259" s="146"/>
      <c r="AS259" s="224">
        <f t="shared" si="140"/>
        <v>0</v>
      </c>
      <c r="AT259" s="126"/>
      <c r="AU259" s="274"/>
      <c r="AV259" s="126"/>
      <c r="AW259" s="126"/>
      <c r="AX259" s="126"/>
      <c r="AY259" s="275"/>
      <c r="AZ259" s="126"/>
      <c r="BA259" s="274"/>
      <c r="BB259" s="274"/>
      <c r="BC259" s="274"/>
      <c r="BD259" s="274"/>
      <c r="BE259" s="222">
        <f t="shared" si="141"/>
        <v>0</v>
      </c>
      <c r="BF259" s="140">
        <f t="shared" si="142"/>
        <v>0</v>
      </c>
      <c r="BG259" s="132"/>
      <c r="BH259" s="140">
        <f t="shared" si="143"/>
        <v>0</v>
      </c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30">
        <f t="shared" si="144"/>
        <v>0</v>
      </c>
      <c r="BW259" s="132"/>
    </row>
    <row r="260" ht="14.25" customHeight="1">
      <c r="A260" s="132"/>
      <c r="B260" s="215">
        <v>46256</v>
      </c>
      <c r="C260" s="133"/>
      <c r="D260" s="136"/>
      <c r="E260" s="135"/>
      <c r="F260" s="135"/>
      <c r="G260" s="147">
        <f t="shared" si="136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03">
        <f t="shared" si="148"/>
        <v>0</v>
      </c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43"/>
      <c r="AI260" s="103">
        <f t="shared" si="138"/>
        <v>0</v>
      </c>
      <c r="AJ260" s="136"/>
      <c r="AK260" s="136"/>
      <c r="AL260" s="136"/>
      <c r="AM260" s="105">
        <f t="shared" si="139"/>
        <v>0</v>
      </c>
      <c r="AN260" s="143"/>
      <c r="AO260" s="143"/>
      <c r="AP260" s="143"/>
      <c r="AQ260" s="143"/>
      <c r="AR260" s="146"/>
      <c r="AS260" s="224">
        <f t="shared" si="140"/>
        <v>0</v>
      </c>
      <c r="AT260" s="126"/>
      <c r="AU260" s="274"/>
      <c r="AV260" s="126"/>
      <c r="AW260" s="126"/>
      <c r="AX260" s="126"/>
      <c r="AY260" s="275"/>
      <c r="AZ260" s="126"/>
      <c r="BA260" s="274"/>
      <c r="BB260" s="274"/>
      <c r="BC260" s="274"/>
      <c r="BD260" s="274"/>
      <c r="BE260" s="222">
        <f t="shared" si="141"/>
        <v>0</v>
      </c>
      <c r="BF260" s="140">
        <f t="shared" si="142"/>
        <v>0</v>
      </c>
      <c r="BG260" s="132"/>
      <c r="BH260" s="140">
        <f t="shared" si="143"/>
        <v>0</v>
      </c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30">
        <f t="shared" si="144"/>
        <v>0</v>
      </c>
      <c r="BW260" s="132"/>
    </row>
    <row r="261" ht="14.25" customHeight="1">
      <c r="A261" s="3"/>
      <c r="B261" s="215">
        <v>46257</v>
      </c>
      <c r="C261" s="118"/>
      <c r="D261" s="123"/>
      <c r="E261" s="120"/>
      <c r="F261" s="120"/>
      <c r="G261" s="147">
        <f t="shared" si="136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03">
        <f t="shared" si="148"/>
        <v>0</v>
      </c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03">
        <f t="shared" si="138"/>
        <v>0</v>
      </c>
      <c r="AJ261" s="123"/>
      <c r="AK261" s="123"/>
      <c r="AL261" s="123"/>
      <c r="AM261" s="105">
        <f t="shared" si="139"/>
        <v>0</v>
      </c>
      <c r="AN261" s="143"/>
      <c r="AO261" s="143"/>
      <c r="AP261" s="143"/>
      <c r="AQ261" s="143"/>
      <c r="AR261" s="146"/>
      <c r="AS261" s="224">
        <f t="shared" si="140"/>
        <v>0</v>
      </c>
      <c r="AT261" s="126"/>
      <c r="AU261" s="274"/>
      <c r="AV261" s="126"/>
      <c r="AW261" s="126"/>
      <c r="AX261" s="126"/>
      <c r="AY261" s="275"/>
      <c r="AZ261" s="126"/>
      <c r="BA261" s="274"/>
      <c r="BB261" s="274"/>
      <c r="BC261" s="274"/>
      <c r="BD261" s="274"/>
      <c r="BE261" s="222">
        <f t="shared" si="141"/>
        <v>0</v>
      </c>
      <c r="BF261" s="113">
        <f t="shared" si="142"/>
        <v>0</v>
      </c>
      <c r="BG261" s="3"/>
      <c r="BH261" s="113">
        <f t="shared" si="143"/>
        <v>0</v>
      </c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129"/>
      <c r="BT261" s="129"/>
      <c r="BU261" s="129"/>
      <c r="BV261" s="130">
        <f t="shared" si="144"/>
        <v>0</v>
      </c>
      <c r="BW261" s="3"/>
    </row>
    <row r="262" ht="14.25" customHeight="1">
      <c r="A262" s="132"/>
      <c r="B262" s="215">
        <v>46258</v>
      </c>
      <c r="C262" s="133"/>
      <c r="D262" s="136"/>
      <c r="E262" s="135"/>
      <c r="F262" s="135"/>
      <c r="G262" s="147">
        <f t="shared" si="136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03">
        <f>SUM(H262:T262)</f>
        <v>0</v>
      </c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43"/>
      <c r="AI262" s="103">
        <f t="shared" si="138"/>
        <v>0</v>
      </c>
      <c r="AJ262" s="136"/>
      <c r="AK262" s="136"/>
      <c r="AL262" s="136"/>
      <c r="AM262" s="105">
        <f t="shared" si="139"/>
        <v>0</v>
      </c>
      <c r="AN262" s="143"/>
      <c r="AO262" s="143"/>
      <c r="AP262" s="143"/>
      <c r="AQ262" s="143"/>
      <c r="AR262" s="146"/>
      <c r="AS262" s="224">
        <f t="shared" si="140"/>
        <v>0</v>
      </c>
      <c r="AT262" s="126"/>
      <c r="AU262" s="274"/>
      <c r="AV262" s="126"/>
      <c r="AW262" s="126"/>
      <c r="AX262" s="126"/>
      <c r="AY262" s="275"/>
      <c r="AZ262" s="126"/>
      <c r="BA262" s="274"/>
      <c r="BB262" s="274"/>
      <c r="BC262" s="274"/>
      <c r="BD262" s="274"/>
      <c r="BE262" s="222">
        <f t="shared" si="141"/>
        <v>0</v>
      </c>
      <c r="BF262" s="140">
        <f t="shared" si="142"/>
        <v>0</v>
      </c>
      <c r="BG262" s="132"/>
      <c r="BH262" s="140">
        <f t="shared" si="143"/>
        <v>0</v>
      </c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30">
        <f t="shared" si="144"/>
        <v>0</v>
      </c>
      <c r="BW262" s="132"/>
    </row>
    <row r="263" ht="14.25" customHeight="1">
      <c r="A263" s="132"/>
      <c r="B263" s="215">
        <v>46259</v>
      </c>
      <c r="C263" s="133"/>
      <c r="D263" s="136"/>
      <c r="E263" s="135"/>
      <c r="F263" s="135"/>
      <c r="G263" s="147">
        <f t="shared" si="136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03">
        <f ref="V263:V265" t="shared" si="149">SUM(H263:U263)</f>
        <v>0</v>
      </c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43"/>
      <c r="AI263" s="103">
        <f t="shared" si="138"/>
        <v>0</v>
      </c>
      <c r="AJ263" s="136"/>
      <c r="AK263" s="136"/>
      <c r="AL263" s="136"/>
      <c r="AM263" s="105">
        <f t="shared" si="139"/>
        <v>0</v>
      </c>
      <c r="AN263" s="143"/>
      <c r="AO263" s="143"/>
      <c r="AP263" s="143"/>
      <c r="AQ263" s="143"/>
      <c r="AR263" s="146"/>
      <c r="AS263" s="224">
        <f t="shared" si="140"/>
        <v>0</v>
      </c>
      <c r="AT263" s="126"/>
      <c r="AU263" s="274"/>
      <c r="AV263" s="126"/>
      <c r="AW263" s="126"/>
      <c r="AX263" s="126"/>
      <c r="AY263" s="275"/>
      <c r="AZ263" s="126"/>
      <c r="BA263" s="274"/>
      <c r="BB263" s="274"/>
      <c r="BC263" s="274"/>
      <c r="BD263" s="274"/>
      <c r="BE263" s="222">
        <f t="shared" si="141"/>
        <v>0</v>
      </c>
      <c r="BF263" s="140">
        <f t="shared" si="142"/>
        <v>0</v>
      </c>
      <c r="BG263" s="132"/>
      <c r="BH263" s="140">
        <f t="shared" si="143"/>
        <v>0</v>
      </c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30">
        <f t="shared" si="144"/>
        <v>0</v>
      </c>
      <c r="BW263" s="132"/>
    </row>
    <row r="264" ht="14.25" customHeight="1">
      <c r="A264" s="132"/>
      <c r="B264" s="215">
        <v>46260</v>
      </c>
      <c r="C264" s="133"/>
      <c r="D264" s="136"/>
      <c r="E264" s="135"/>
      <c r="F264" s="135"/>
      <c r="G264" s="147">
        <f t="shared" si="136"/>
        <v>0</v>
      </c>
      <c r="H264" s="144"/>
      <c r="I264" s="143"/>
      <c r="J264" s="143"/>
      <c r="K264" s="143"/>
      <c r="L264" s="143"/>
      <c r="M264" s="143"/>
      <c r="N264" s="99"/>
      <c r="O264" s="143"/>
      <c r="P264" s="143"/>
      <c r="Q264" s="143"/>
      <c r="R264" s="143"/>
      <c r="S264" s="143"/>
      <c r="T264" s="143"/>
      <c r="U264" s="143"/>
      <c r="V264" s="103">
        <f t="shared" si="149"/>
        <v>0</v>
      </c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43"/>
      <c r="AI264" s="103">
        <f t="shared" si="138"/>
        <v>0</v>
      </c>
      <c r="AJ264" s="136"/>
      <c r="AK264" s="136"/>
      <c r="AL264" s="136"/>
      <c r="AM264" s="105">
        <f t="shared" si="139"/>
        <v>0</v>
      </c>
      <c r="AN264" s="143"/>
      <c r="AO264" s="143"/>
      <c r="AP264" s="143"/>
      <c r="AQ264" s="143"/>
      <c r="AR264" s="146"/>
      <c r="AS264" s="224">
        <f t="shared" si="140"/>
        <v>0</v>
      </c>
      <c r="AT264" s="126"/>
      <c r="AU264" s="274"/>
      <c r="AV264" s="126"/>
      <c r="AW264" s="126"/>
      <c r="AX264" s="126"/>
      <c r="AY264" s="275"/>
      <c r="AZ264" s="126"/>
      <c r="BA264" s="274"/>
      <c r="BB264" s="274"/>
      <c r="BC264" s="274"/>
      <c r="BD264" s="274"/>
      <c r="BE264" s="222">
        <f t="shared" si="141"/>
        <v>0</v>
      </c>
      <c r="BF264" s="140">
        <f t="shared" si="142"/>
        <v>0</v>
      </c>
      <c r="BG264" s="132"/>
      <c r="BH264" s="140">
        <f t="shared" si="143"/>
        <v>0</v>
      </c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30">
        <f t="shared" si="144"/>
        <v>0</v>
      </c>
      <c r="BW264" s="132"/>
    </row>
    <row r="265" ht="14.25" customHeight="1">
      <c r="A265" s="132"/>
      <c r="B265" s="215">
        <v>46261</v>
      </c>
      <c r="C265" s="133"/>
      <c r="D265" s="136"/>
      <c r="E265" s="135"/>
      <c r="F265" s="135"/>
      <c r="G265" s="147">
        <f t="shared" si="136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03">
        <f t="shared" si="149"/>
        <v>0</v>
      </c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43"/>
      <c r="AI265" s="103">
        <f t="shared" si="138"/>
        <v>0</v>
      </c>
      <c r="AJ265" s="136"/>
      <c r="AK265" s="136"/>
      <c r="AL265" s="136"/>
      <c r="AM265" s="105">
        <f t="shared" si="139"/>
        <v>0</v>
      </c>
      <c r="AN265" s="143"/>
      <c r="AO265" s="143"/>
      <c r="AP265" s="143"/>
      <c r="AQ265" s="143"/>
      <c r="AR265" s="146"/>
      <c r="AS265" s="224">
        <f t="shared" si="140"/>
        <v>0</v>
      </c>
      <c r="AT265" s="126"/>
      <c r="AU265" s="274"/>
      <c r="AV265" s="126"/>
      <c r="AW265" s="126"/>
      <c r="AX265" s="126"/>
      <c r="AY265" s="275"/>
      <c r="AZ265" s="126"/>
      <c r="BA265" s="274"/>
      <c r="BB265" s="274"/>
      <c r="BC265" s="274"/>
      <c r="BD265" s="274"/>
      <c r="BE265" s="222">
        <f t="shared" si="141"/>
        <v>0</v>
      </c>
      <c r="BF265" s="140">
        <f t="shared" si="142"/>
        <v>0</v>
      </c>
      <c r="BG265" s="132"/>
      <c r="BH265" s="140">
        <f t="shared" si="143"/>
        <v>0</v>
      </c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30">
        <f t="shared" si="144"/>
        <v>0</v>
      </c>
      <c r="BW265" s="132"/>
    </row>
    <row r="266" ht="14.25" customHeight="1">
      <c r="A266" s="132"/>
      <c r="B266" s="215">
        <v>46262</v>
      </c>
      <c r="C266" s="133"/>
      <c r="D266" s="136"/>
      <c r="E266" s="135"/>
      <c r="F266" s="135"/>
      <c r="G266" s="147">
        <f t="shared" si="136"/>
        <v>0</v>
      </c>
      <c r="H266" s="144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03">
        <f>SUM(H266:T266)</f>
        <v>0</v>
      </c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43"/>
      <c r="AI266" s="103">
        <f t="shared" si="138"/>
        <v>0</v>
      </c>
      <c r="AJ266" s="136"/>
      <c r="AK266" s="136"/>
      <c r="AL266" s="136"/>
      <c r="AM266" s="105">
        <f t="shared" si="139"/>
        <v>0</v>
      </c>
      <c r="AN266" s="143"/>
      <c r="AO266" s="143"/>
      <c r="AP266" s="143"/>
      <c r="AQ266" s="143"/>
      <c r="AR266" s="146"/>
      <c r="AS266" s="224">
        <f t="shared" si="140"/>
        <v>0</v>
      </c>
      <c r="AT266" s="126"/>
      <c r="AU266" s="274"/>
      <c r="AV266" s="126"/>
      <c r="AW266" s="126"/>
      <c r="AX266" s="126"/>
      <c r="AY266" s="275"/>
      <c r="AZ266" s="126"/>
      <c r="BA266" s="274"/>
      <c r="BB266" s="274"/>
      <c r="BC266" s="274"/>
      <c r="BD266" s="274"/>
      <c r="BE266" s="222">
        <f t="shared" si="141"/>
        <v>0</v>
      </c>
      <c r="BF266" s="140">
        <f t="shared" si="142"/>
        <v>0</v>
      </c>
      <c r="BG266" s="132"/>
      <c r="BH266" s="140">
        <f t="shared" si="143"/>
        <v>0</v>
      </c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30">
        <f t="shared" si="144"/>
        <v>0</v>
      </c>
      <c r="BW266" s="132"/>
    </row>
    <row r="267" ht="14.25" customHeight="1">
      <c r="A267" s="132"/>
      <c r="B267" s="215">
        <v>46263</v>
      </c>
      <c r="C267" s="133"/>
      <c r="D267" s="136"/>
      <c r="E267" s="135"/>
      <c r="F267" s="135"/>
      <c r="G267" s="147">
        <f t="shared" si="136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03">
        <f ref="V267:V268" t="shared" si="150">SUM(H267:U267)</f>
        <v>0</v>
      </c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43"/>
      <c r="AI267" s="103">
        <f t="shared" si="138"/>
        <v>0</v>
      </c>
      <c r="AJ267" s="136"/>
      <c r="AK267" s="136"/>
      <c r="AL267" s="136"/>
      <c r="AM267" s="105">
        <f t="shared" si="139"/>
        <v>0</v>
      </c>
      <c r="AN267" s="143"/>
      <c r="AO267" s="143"/>
      <c r="AP267" s="143"/>
      <c r="AQ267" s="143"/>
      <c r="AR267" s="146"/>
      <c r="AS267" s="224">
        <f t="shared" si="140"/>
        <v>0</v>
      </c>
      <c r="AT267" s="126"/>
      <c r="AU267" s="274"/>
      <c r="AV267" s="126"/>
      <c r="AW267" s="126"/>
      <c r="AX267" s="126"/>
      <c r="AY267" s="275"/>
      <c r="AZ267" s="126"/>
      <c r="BA267" s="274"/>
      <c r="BB267" s="274"/>
      <c r="BC267" s="274"/>
      <c r="BD267" s="274"/>
      <c r="BE267" s="222">
        <f t="shared" si="141"/>
        <v>0</v>
      </c>
      <c r="BF267" s="140">
        <f t="shared" si="142"/>
        <v>0</v>
      </c>
      <c r="BG267" s="132"/>
      <c r="BH267" s="140">
        <f t="shared" si="143"/>
        <v>0</v>
      </c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30">
        <f t="shared" si="144"/>
        <v>0</v>
      </c>
      <c r="BW267" s="132"/>
    </row>
    <row r="268" ht="14.25" customHeight="1">
      <c r="A268" s="132"/>
      <c r="B268" s="215">
        <v>46264</v>
      </c>
      <c r="C268" s="133"/>
      <c r="D268" s="136"/>
      <c r="E268" s="135"/>
      <c r="F268" s="135"/>
      <c r="G268" s="147">
        <f t="shared" si="136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03">
        <f t="shared" si="150"/>
        <v>0</v>
      </c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43"/>
      <c r="AI268" s="103">
        <f t="shared" si="138"/>
        <v>0</v>
      </c>
      <c r="AJ268" s="136"/>
      <c r="AK268" s="136"/>
      <c r="AL268" s="136"/>
      <c r="AM268" s="105">
        <f t="shared" si="139"/>
        <v>0</v>
      </c>
      <c r="AN268" s="143"/>
      <c r="AO268" s="143"/>
      <c r="AP268" s="143"/>
      <c r="AQ268" s="143"/>
      <c r="AR268" s="146"/>
      <c r="AS268" s="224">
        <f t="shared" si="140"/>
        <v>0</v>
      </c>
      <c r="AT268" s="126"/>
      <c r="AU268" s="274"/>
      <c r="AV268" s="126"/>
      <c r="AW268" s="126"/>
      <c r="AX268" s="126"/>
      <c r="AY268" s="275"/>
      <c r="AZ268" s="126"/>
      <c r="BA268" s="274"/>
      <c r="BB268" s="274"/>
      <c r="BC268" s="274"/>
      <c r="BD268" s="274"/>
      <c r="BE268" s="222">
        <f t="shared" si="141"/>
        <v>0</v>
      </c>
      <c r="BF268" s="140">
        <f t="shared" si="142"/>
        <v>0</v>
      </c>
      <c r="BG268" s="132"/>
      <c r="BH268" s="140">
        <f t="shared" si="143"/>
        <v>0</v>
      </c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30">
        <f t="shared" si="144"/>
        <v>0</v>
      </c>
      <c r="BW268" s="132"/>
    </row>
    <row r="269" ht="14.25" customHeight="1">
      <c r="A269" s="132"/>
      <c r="B269" s="215">
        <v>46265</v>
      </c>
      <c r="C269" s="153"/>
      <c r="D269" s="159"/>
      <c r="E269" s="156"/>
      <c r="F269" s="156"/>
      <c r="G269" s="147">
        <f t="shared" si="136"/>
        <v>0</v>
      </c>
      <c r="H269" s="612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43"/>
      <c r="V269" s="103">
        <f>SUM(H269:T269)</f>
        <v>0</v>
      </c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57"/>
      <c r="AI269" s="103">
        <f t="shared" si="138"/>
        <v>0</v>
      </c>
      <c r="AJ269" s="159"/>
      <c r="AK269" s="159"/>
      <c r="AL269" s="159"/>
      <c r="AM269" s="105">
        <f t="shared" si="139"/>
        <v>0</v>
      </c>
      <c r="AN269" s="157"/>
      <c r="AO269" s="157"/>
      <c r="AP269" s="157"/>
      <c r="AQ269" s="157"/>
      <c r="AR269" s="160"/>
      <c r="AS269" s="224">
        <f t="shared" si="140"/>
        <v>0</v>
      </c>
      <c r="AT269" s="138"/>
      <c r="AU269" s="296"/>
      <c r="AV269" s="126"/>
      <c r="AW269" s="138"/>
      <c r="AX269" s="138"/>
      <c r="AY269" s="297"/>
      <c r="AZ269" s="138"/>
      <c r="BA269" s="296"/>
      <c r="BB269" s="296"/>
      <c r="BC269" s="296"/>
      <c r="BD269" s="296"/>
      <c r="BE269" s="222">
        <f t="shared" si="141"/>
        <v>0</v>
      </c>
      <c r="BF269" s="162">
        <f t="shared" si="142"/>
        <v>0</v>
      </c>
      <c r="BG269" s="132"/>
      <c r="BH269" s="162">
        <f t="shared" si="143"/>
        <v>0</v>
      </c>
      <c r="BI269" s="163"/>
      <c r="BJ269" s="163"/>
      <c r="BK269" s="163"/>
      <c r="BL269" s="163"/>
      <c r="BM269" s="163"/>
      <c r="BN269" s="163"/>
      <c r="BO269" s="163"/>
      <c r="BP269" s="163"/>
      <c r="BQ269" s="163"/>
      <c r="BR269" s="141"/>
      <c r="BS269" s="163"/>
      <c r="BT269" s="163"/>
      <c r="BU269" s="163"/>
      <c r="BV269" s="164">
        <f t="shared" si="144"/>
        <v>0</v>
      </c>
      <c r="BW269" s="132"/>
    </row>
    <row r="270" ht="14.25" customHeight="1">
      <c r="A270" s="3"/>
      <c r="B270" s="2" t="s">
        <v>4</v>
      </c>
      <c r="C270" s="166">
        <f ref="C270:Q270" t="shared" si="151">SUM(C239:C269)</f>
        <v>0</v>
      </c>
      <c r="D270" s="166">
        <f t="shared" si="151"/>
        <v>0</v>
      </c>
      <c r="E270" s="166">
        <f t="shared" si="151"/>
        <v>0</v>
      </c>
      <c r="F270" s="166">
        <f t="shared" si="151"/>
        <v>0</v>
      </c>
      <c r="G270" s="166">
        <f t="shared" si="151"/>
        <v>0</v>
      </c>
      <c r="H270" s="166">
        <f t="shared" si="151"/>
        <v>0</v>
      </c>
      <c r="I270" s="166">
        <f t="shared" si="151"/>
        <v>0</v>
      </c>
      <c r="J270" s="166">
        <f t="shared" si="151"/>
        <v>0</v>
      </c>
      <c r="K270" s="166">
        <f t="shared" si="151"/>
        <v>0</v>
      </c>
      <c r="L270" s="166">
        <f t="shared" si="151"/>
        <v>0</v>
      </c>
      <c r="M270" s="166">
        <f t="shared" si="151"/>
        <v>0</v>
      </c>
      <c r="N270" s="166">
        <f t="shared" si="151"/>
        <v>0</v>
      </c>
      <c r="O270" s="166">
        <f t="shared" si="151"/>
        <v>0</v>
      </c>
      <c r="P270" s="166">
        <f t="shared" si="151"/>
        <v>0</v>
      </c>
      <c r="Q270" s="166">
        <f t="shared" si="151"/>
        <v>0</v>
      </c>
      <c r="R270" s="166"/>
      <c r="S270" s="166">
        <f ref="S270:AF270" t="shared" si="152">SUM(S239:S269)</f>
        <v>0</v>
      </c>
      <c r="T270" s="166">
        <f t="shared" si="152"/>
        <v>0</v>
      </c>
      <c r="U270" s="166">
        <f t="shared" si="152"/>
        <v>0</v>
      </c>
      <c r="V270" s="166">
        <f t="shared" si="152"/>
        <v>0</v>
      </c>
      <c r="W270" s="166">
        <f t="shared" si="152"/>
        <v>0</v>
      </c>
      <c r="X270" s="166">
        <f t="shared" si="152"/>
        <v>0</v>
      </c>
      <c r="Y270" s="166">
        <f t="shared" si="152"/>
        <v>0</v>
      </c>
      <c r="Z270" s="166">
        <f t="shared" si="152"/>
        <v>0</v>
      </c>
      <c r="AA270" s="166">
        <f t="shared" si="152"/>
        <v>0</v>
      </c>
      <c r="AB270" s="166">
        <f t="shared" si="152"/>
        <v>0</v>
      </c>
      <c r="AC270" s="166">
        <f t="shared" si="152"/>
        <v>0</v>
      </c>
      <c r="AD270" s="166">
        <f t="shared" si="152"/>
        <v>0</v>
      </c>
      <c r="AE270" s="166">
        <f t="shared" si="152"/>
        <v>0</v>
      </c>
      <c r="AF270" s="166">
        <f t="shared" si="152"/>
        <v>0</v>
      </c>
      <c r="AG270" s="166"/>
      <c r="AH270" s="166">
        <f ref="AH270:AN270" t="shared" si="153">SUM(AH239:AH269)</f>
        <v>0</v>
      </c>
      <c r="AI270" s="166">
        <f t="shared" si="153"/>
        <v>0</v>
      </c>
      <c r="AJ270" s="166">
        <f t="shared" si="153"/>
        <v>0</v>
      </c>
      <c r="AK270" s="166">
        <f t="shared" si="153"/>
        <v>0</v>
      </c>
      <c r="AL270" s="166">
        <f t="shared" si="153"/>
        <v>0</v>
      </c>
      <c r="AM270" s="166">
        <f t="shared" si="153"/>
        <v>0</v>
      </c>
      <c r="AN270" s="166">
        <f t="shared" si="153"/>
        <v>0</v>
      </c>
      <c r="AO270" s="166"/>
      <c r="AP270" s="166">
        <f ref="AP270:BF270" t="shared" si="154">SUM(AP239:AP269)</f>
        <v>0</v>
      </c>
      <c r="AQ270" s="166">
        <f t="shared" si="154"/>
        <v>0</v>
      </c>
      <c r="AR270" s="166">
        <f t="shared" si="154"/>
        <v>0</v>
      </c>
      <c r="AS270" s="166">
        <f t="shared" si="154"/>
        <v>0</v>
      </c>
      <c r="AT270" s="165">
        <f t="shared" si="154"/>
        <v>0</v>
      </c>
      <c r="AU270" s="166">
        <f t="shared" si="154"/>
        <v>0</v>
      </c>
      <c r="AV270" s="166">
        <f t="shared" si="154"/>
        <v>0</v>
      </c>
      <c r="AW270" s="166">
        <f t="shared" si="154"/>
        <v>0</v>
      </c>
      <c r="AX270" s="166">
        <f t="shared" si="154"/>
        <v>0</v>
      </c>
      <c r="AY270" s="166">
        <f t="shared" si="154"/>
        <v>0</v>
      </c>
      <c r="AZ270" s="165">
        <f t="shared" si="154"/>
        <v>0</v>
      </c>
      <c r="BA270" s="166">
        <f t="shared" si="154"/>
        <v>0</v>
      </c>
      <c r="BB270" s="166">
        <f t="shared" si="154"/>
        <v>0</v>
      </c>
      <c r="BC270" s="166">
        <f t="shared" si="154"/>
        <v>0</v>
      </c>
      <c r="BD270" s="166">
        <f t="shared" si="154"/>
        <v>0</v>
      </c>
      <c r="BE270" s="166">
        <f t="shared" si="154"/>
        <v>0</v>
      </c>
      <c r="BF270" s="166">
        <f t="shared" si="154"/>
        <v>0</v>
      </c>
      <c r="BG270" s="235"/>
      <c r="BH270" s="166">
        <f ref="BH270:BV270" t="shared" si="155">SUM(BH239:BH269)</f>
        <v>0</v>
      </c>
      <c r="BI270" s="166">
        <f t="shared" si="155"/>
        <v>0</v>
      </c>
      <c r="BJ270" s="166">
        <f t="shared" si="155"/>
        <v>0</v>
      </c>
      <c r="BK270" s="166">
        <f t="shared" si="155"/>
        <v>0</v>
      </c>
      <c r="BL270" s="166">
        <f t="shared" si="155"/>
        <v>0</v>
      </c>
      <c r="BM270" s="166">
        <f t="shared" si="155"/>
        <v>0</v>
      </c>
      <c r="BN270" s="166">
        <f t="shared" si="155"/>
        <v>0</v>
      </c>
      <c r="BO270" s="166">
        <f t="shared" si="155"/>
        <v>0</v>
      </c>
      <c r="BP270" s="166">
        <f t="shared" si="155"/>
        <v>0</v>
      </c>
      <c r="BQ270" s="166">
        <f t="shared" si="155"/>
        <v>0</v>
      </c>
      <c r="BR270" s="166">
        <f t="shared" si="155"/>
        <v>0</v>
      </c>
      <c r="BS270" s="166">
        <f t="shared" si="155"/>
        <v>0</v>
      </c>
      <c r="BT270" s="166">
        <f t="shared" si="155"/>
        <v>0</v>
      </c>
      <c r="BU270" s="166">
        <f t="shared" si="155"/>
        <v>0</v>
      </c>
      <c r="BV270" s="166">
        <f t="shared" si="155"/>
        <v>0</v>
      </c>
      <c r="BW270" s="235"/>
    </row>
    <row r="271" ht="14.25" customHeight="1">
      <c r="A271" s="1"/>
      <c r="B271" s="2"/>
      <c r="C271" s="3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4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132"/>
      <c r="BE271" s="4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ht="14.25" customHeight="1">
      <c r="A272" s="1"/>
      <c r="B272" s="2"/>
      <c r="C272" s="3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176"/>
      <c r="AJ272" s="3"/>
      <c r="AK272" s="3"/>
      <c r="AL272" s="3"/>
      <c r="AM272" s="4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132"/>
      <c r="BE272" s="177"/>
      <c r="BF272" s="3"/>
      <c r="BG272" s="3"/>
      <c r="BH272" s="3"/>
      <c r="BI272" s="3"/>
      <c r="BJ272" s="3"/>
      <c r="BK272" s="3"/>
      <c r="BL272" s="176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ht="14.25" customHeight="1">
      <c r="A273" s="3"/>
      <c r="B273" s="215">
        <v>46266</v>
      </c>
      <c r="C273" s="94"/>
      <c r="D273" s="104"/>
      <c r="E273" s="97"/>
      <c r="F273" s="97"/>
      <c r="G273" s="265">
        <f ref="G273:G302" t="shared" si="156">+C273+D273+E273+F273</f>
        <v>0</v>
      </c>
      <c r="H273" s="187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43"/>
      <c r="V273" s="103">
        <f ref="V273:V275" t="shared" si="157">SUM(H273:U273)</f>
        <v>0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03">
        <f ref="AI273:AI302" t="shared" si="158">SUM(W273:AH273)</f>
        <v>0</v>
      </c>
      <c r="AJ273" s="104"/>
      <c r="AK273" s="104"/>
      <c r="AL273" s="104"/>
      <c r="AM273" s="191">
        <f ref="AM273:AM302" t="shared" si="159">SUM(AJ273:AL273)</f>
        <v>0</v>
      </c>
      <c r="AN273" s="186"/>
      <c r="AO273" s="186"/>
      <c r="AP273" s="186"/>
      <c r="AQ273" s="186"/>
      <c r="AR273" s="193"/>
      <c r="AS273" s="266">
        <f ref="AS273:AS302" t="shared" si="160">+G273-V273-AI273-AM273-AN273-AP273-AQ273-AR273</f>
        <v>0</v>
      </c>
      <c r="AT273" s="109"/>
      <c r="AU273" s="269"/>
      <c r="AV273" s="109"/>
      <c r="AW273" s="109"/>
      <c r="AX273" s="109"/>
      <c r="AY273" s="270"/>
      <c r="AZ273" s="109"/>
      <c r="BA273" s="269"/>
      <c r="BB273" s="269"/>
      <c r="BC273" s="269"/>
      <c r="BD273" s="269"/>
      <c r="BE273" s="222">
        <f ref="BE273:BE302" t="shared" si="161">SUM(AT273:BD273)-BC273</f>
        <v>0</v>
      </c>
      <c r="BF273" s="114">
        <f ref="BF273:BF302" t="shared" si="162">+AS273-BE273</f>
        <v>0</v>
      </c>
      <c r="BG273" s="3"/>
      <c r="BH273" s="114">
        <f ref="BH273:BH302" t="shared" si="163">SUM(BI273:BU273)</f>
        <v>0</v>
      </c>
      <c r="BI273" s="115"/>
      <c r="BJ273" s="115"/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116">
        <f ref="BV273:BV302" t="shared" si="164">+BF273-BH273</f>
        <v>0</v>
      </c>
      <c r="BW273" s="3"/>
    </row>
    <row r="274" ht="14.25" customHeight="1">
      <c r="A274" s="3"/>
      <c r="B274" s="215">
        <v>46267</v>
      </c>
      <c r="C274" s="118"/>
      <c r="D274" s="123"/>
      <c r="E274" s="120"/>
      <c r="F274" s="120"/>
      <c r="G274" s="147">
        <f t="shared" si="156"/>
        <v>0</v>
      </c>
      <c r="H274" s="144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03">
        <f t="shared" si="157"/>
        <v>0</v>
      </c>
      <c r="W274" s="143"/>
      <c r="X274" s="143"/>
      <c r="Y274" s="143"/>
      <c r="Z274" s="143"/>
      <c r="AA274" s="143"/>
      <c r="AB274" s="143"/>
      <c r="AC274" s="143"/>
      <c r="AD274" s="143"/>
      <c r="AE274" s="143"/>
      <c r="AF274" s="143"/>
      <c r="AG274" s="143"/>
      <c r="AH274" s="143"/>
      <c r="AI274" s="103">
        <f t="shared" si="158"/>
        <v>0</v>
      </c>
      <c r="AJ274" s="123"/>
      <c r="AK274" s="123"/>
      <c r="AL274" s="123"/>
      <c r="AM274" s="105">
        <f t="shared" si="159"/>
        <v>0</v>
      </c>
      <c r="AN274" s="143"/>
      <c r="AO274" s="143"/>
      <c r="AP274" s="143"/>
      <c r="AQ274" s="143"/>
      <c r="AR274" s="146"/>
      <c r="AS274" s="224">
        <f t="shared" si="160"/>
        <v>0</v>
      </c>
      <c r="AT274" s="126"/>
      <c r="AU274" s="274"/>
      <c r="AV274" s="126"/>
      <c r="AW274" s="126"/>
      <c r="AX274" s="126"/>
      <c r="AY274" s="275"/>
      <c r="AZ274" s="126"/>
      <c r="BA274" s="274"/>
      <c r="BB274" s="274"/>
      <c r="BC274" s="274"/>
      <c r="BD274" s="274"/>
      <c r="BE274" s="222">
        <f t="shared" si="161"/>
        <v>0</v>
      </c>
      <c r="BF274" s="113">
        <f t="shared" si="162"/>
        <v>0</v>
      </c>
      <c r="BG274" s="3"/>
      <c r="BH274" s="113">
        <f t="shared" si="163"/>
        <v>0</v>
      </c>
      <c r="BI274" s="129"/>
      <c r="BJ274" s="129"/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30">
        <f t="shared" si="164"/>
        <v>0</v>
      </c>
      <c r="BW274" s="3"/>
    </row>
    <row r="275" ht="14.25" customHeight="1">
      <c r="A275" s="3"/>
      <c r="B275" s="215">
        <v>46268</v>
      </c>
      <c r="C275" s="118"/>
      <c r="D275" s="123"/>
      <c r="E275" s="120"/>
      <c r="F275" s="120"/>
      <c r="G275" s="147">
        <f t="shared" si="156"/>
        <v>0</v>
      </c>
      <c r="H275" s="144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03">
        <f t="shared" si="157"/>
        <v>0</v>
      </c>
      <c r="W275" s="143"/>
      <c r="X275" s="143"/>
      <c r="Y275" s="143"/>
      <c r="Z275" s="143"/>
      <c r="AA275" s="143"/>
      <c r="AB275" s="143"/>
      <c r="AC275" s="143"/>
      <c r="AD275" s="143"/>
      <c r="AE275" s="143"/>
      <c r="AF275" s="143"/>
      <c r="AG275" s="143"/>
      <c r="AH275" s="143"/>
      <c r="AI275" s="103">
        <f t="shared" si="158"/>
        <v>0</v>
      </c>
      <c r="AJ275" s="123"/>
      <c r="AK275" s="123"/>
      <c r="AL275" s="123"/>
      <c r="AM275" s="105">
        <f t="shared" si="159"/>
        <v>0</v>
      </c>
      <c r="AN275" s="143"/>
      <c r="AO275" s="143"/>
      <c r="AP275" s="143"/>
      <c r="AQ275" s="143"/>
      <c r="AR275" s="146"/>
      <c r="AS275" s="224">
        <f t="shared" si="160"/>
        <v>0</v>
      </c>
      <c r="AT275" s="126"/>
      <c r="AU275" s="274"/>
      <c r="AV275" s="274"/>
      <c r="AW275" s="126"/>
      <c r="AX275" s="126"/>
      <c r="AY275" s="275"/>
      <c r="AZ275" s="126"/>
      <c r="BA275" s="274"/>
      <c r="BB275" s="274"/>
      <c r="BC275" s="274"/>
      <c r="BD275" s="274"/>
      <c r="BE275" s="222">
        <f t="shared" si="161"/>
        <v>0</v>
      </c>
      <c r="BF275" s="113">
        <f t="shared" si="162"/>
        <v>0</v>
      </c>
      <c r="BG275" s="3"/>
      <c r="BH275" s="113">
        <f t="shared" si="163"/>
        <v>0</v>
      </c>
      <c r="BI275" s="129"/>
      <c r="BJ275" s="129"/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30">
        <f t="shared" si="164"/>
        <v>0</v>
      </c>
      <c r="BW275" s="3"/>
    </row>
    <row r="276" ht="14.25" customHeight="1">
      <c r="A276" s="3"/>
      <c r="B276" s="215">
        <v>46269</v>
      </c>
      <c r="C276" s="118"/>
      <c r="D276" s="123"/>
      <c r="E276" s="120"/>
      <c r="F276" s="120"/>
      <c r="G276" s="147">
        <f t="shared" si="156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03">
        <f>SUM(H276:T276)</f>
        <v>0</v>
      </c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43"/>
      <c r="AH276" s="143"/>
      <c r="AI276" s="103">
        <f t="shared" si="158"/>
        <v>0</v>
      </c>
      <c r="AJ276" s="123"/>
      <c r="AK276" s="123"/>
      <c r="AL276" s="123"/>
      <c r="AM276" s="105">
        <f t="shared" si="159"/>
        <v>0</v>
      </c>
      <c r="AN276" s="143"/>
      <c r="AO276" s="143"/>
      <c r="AP276" s="143"/>
      <c r="AQ276" s="143"/>
      <c r="AR276" s="146"/>
      <c r="AS276" s="224">
        <f t="shared" si="160"/>
        <v>0</v>
      </c>
      <c r="AT276" s="126"/>
      <c r="AU276" s="274"/>
      <c r="AV276" s="274"/>
      <c r="AW276" s="126"/>
      <c r="AX276" s="126"/>
      <c r="AY276" s="275"/>
      <c r="AZ276" s="126"/>
      <c r="BA276" s="274"/>
      <c r="BB276" s="274"/>
      <c r="BC276" s="274"/>
      <c r="BD276" s="274"/>
      <c r="BE276" s="222">
        <f t="shared" si="161"/>
        <v>0</v>
      </c>
      <c r="BF276" s="113">
        <f t="shared" si="162"/>
        <v>0</v>
      </c>
      <c r="BG276" s="3"/>
      <c r="BH276" s="113">
        <f t="shared" si="163"/>
        <v>0</v>
      </c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30">
        <f t="shared" si="164"/>
        <v>0</v>
      </c>
      <c r="BW276" s="3"/>
    </row>
    <row r="277" ht="14.25" customHeight="1">
      <c r="A277" s="132"/>
      <c r="B277" s="215">
        <v>46270</v>
      </c>
      <c r="C277" s="133"/>
      <c r="D277" s="136"/>
      <c r="E277" s="135"/>
      <c r="F277" s="135"/>
      <c r="G277" s="147">
        <f t="shared" si="156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03">
        <f>SUM(H277:U277)</f>
        <v>0</v>
      </c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43"/>
      <c r="AI277" s="103">
        <f t="shared" si="158"/>
        <v>0</v>
      </c>
      <c r="AJ277" s="136"/>
      <c r="AK277" s="136"/>
      <c r="AL277" s="136"/>
      <c r="AM277" s="105">
        <f t="shared" si="159"/>
        <v>0</v>
      </c>
      <c r="AN277" s="143"/>
      <c r="AO277" s="143"/>
      <c r="AP277" s="143"/>
      <c r="AQ277" s="143"/>
      <c r="AR277" s="146"/>
      <c r="AS277" s="224">
        <f t="shared" si="160"/>
        <v>0</v>
      </c>
      <c r="AT277" s="126"/>
      <c r="AU277" s="274"/>
      <c r="AV277" s="126"/>
      <c r="AW277" s="126"/>
      <c r="AX277" s="126"/>
      <c r="AY277" s="275"/>
      <c r="AZ277" s="126"/>
      <c r="BA277" s="274"/>
      <c r="BB277" s="274"/>
      <c r="BC277" s="274"/>
      <c r="BD277" s="274"/>
      <c r="BE277" s="222">
        <f t="shared" si="161"/>
        <v>0</v>
      </c>
      <c r="BF277" s="140">
        <f t="shared" si="162"/>
        <v>0</v>
      </c>
      <c r="BG277" s="132"/>
      <c r="BH277" s="140">
        <f t="shared" si="163"/>
        <v>0</v>
      </c>
      <c r="BI277" s="141"/>
      <c r="BJ277" s="141"/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30">
        <f t="shared" si="164"/>
        <v>0</v>
      </c>
      <c r="BW277" s="132"/>
    </row>
    <row r="278" ht="14.25" customHeight="1">
      <c r="A278" s="3"/>
      <c r="B278" s="215">
        <v>46271</v>
      </c>
      <c r="C278" s="118"/>
      <c r="D278" s="123"/>
      <c r="E278" s="120"/>
      <c r="F278" s="120"/>
      <c r="G278" s="147">
        <f t="shared" si="156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03">
        <f ref="V278:V280" t="shared" si="165">SUM(H278:T278)</f>
        <v>0</v>
      </c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03">
        <f t="shared" si="158"/>
        <v>0</v>
      </c>
      <c r="AJ278" s="123"/>
      <c r="AK278" s="123"/>
      <c r="AL278" s="123"/>
      <c r="AM278" s="105">
        <f t="shared" si="159"/>
        <v>0</v>
      </c>
      <c r="AN278" s="143"/>
      <c r="AO278" s="143"/>
      <c r="AP278" s="143"/>
      <c r="AQ278" s="143"/>
      <c r="AR278" s="146"/>
      <c r="AS278" s="224">
        <f t="shared" si="160"/>
        <v>0</v>
      </c>
      <c r="AT278" s="126"/>
      <c r="AU278" s="274"/>
      <c r="AV278" s="126"/>
      <c r="AW278" s="126"/>
      <c r="AX278" s="126"/>
      <c r="AY278" s="275"/>
      <c r="AZ278" s="126"/>
      <c r="BA278" s="274"/>
      <c r="BB278" s="274"/>
      <c r="BC278" s="274"/>
      <c r="BD278" s="274"/>
      <c r="BE278" s="222">
        <f t="shared" si="161"/>
        <v>0</v>
      </c>
      <c r="BF278" s="113">
        <f t="shared" si="162"/>
        <v>0</v>
      </c>
      <c r="BG278" s="3"/>
      <c r="BH278" s="113">
        <f t="shared" si="163"/>
        <v>0</v>
      </c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30">
        <f t="shared" si="164"/>
        <v>0</v>
      </c>
      <c r="BW278" s="3"/>
    </row>
    <row r="279" ht="14.25" customHeight="1">
      <c r="A279" s="3"/>
      <c r="B279" s="215">
        <v>46272</v>
      </c>
      <c r="C279" s="118"/>
      <c r="D279" s="123"/>
      <c r="E279" s="120"/>
      <c r="F279" s="120"/>
      <c r="G279" s="147">
        <f t="shared" si="156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03">
        <f t="shared" si="165"/>
        <v>0</v>
      </c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03">
        <f t="shared" si="158"/>
        <v>0</v>
      </c>
      <c r="AJ279" s="123"/>
      <c r="AK279" s="123"/>
      <c r="AL279" s="123"/>
      <c r="AM279" s="105">
        <f t="shared" si="159"/>
        <v>0</v>
      </c>
      <c r="AN279" s="143"/>
      <c r="AO279" s="143"/>
      <c r="AP279" s="143"/>
      <c r="AQ279" s="143"/>
      <c r="AR279" s="146"/>
      <c r="AS279" s="224">
        <f t="shared" si="160"/>
        <v>0</v>
      </c>
      <c r="AT279" s="126"/>
      <c r="AU279" s="274"/>
      <c r="AV279" s="126"/>
      <c r="AW279" s="126"/>
      <c r="AX279" s="126"/>
      <c r="AY279" s="275"/>
      <c r="AZ279" s="126"/>
      <c r="BA279" s="274"/>
      <c r="BB279" s="274"/>
      <c r="BC279" s="274"/>
      <c r="BD279" s="274"/>
      <c r="BE279" s="222">
        <f t="shared" si="161"/>
        <v>0</v>
      </c>
      <c r="BF279" s="113">
        <f t="shared" si="162"/>
        <v>0</v>
      </c>
      <c r="BG279" s="3"/>
      <c r="BH279" s="113">
        <f t="shared" si="163"/>
        <v>0</v>
      </c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30">
        <f t="shared" si="164"/>
        <v>0</v>
      </c>
      <c r="BW279" s="3"/>
    </row>
    <row r="280" ht="14.25" customHeight="1">
      <c r="A280" s="3"/>
      <c r="B280" s="215">
        <v>46273</v>
      </c>
      <c r="C280" s="118"/>
      <c r="D280" s="123"/>
      <c r="E280" s="120"/>
      <c r="F280" s="120"/>
      <c r="G280" s="147">
        <f t="shared" si="156"/>
        <v>0</v>
      </c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03">
        <f t="shared" si="165"/>
        <v>0</v>
      </c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43"/>
      <c r="AI280" s="103">
        <f t="shared" si="158"/>
        <v>0</v>
      </c>
      <c r="AJ280" s="123"/>
      <c r="AK280" s="123"/>
      <c r="AL280" s="123"/>
      <c r="AM280" s="105">
        <f t="shared" si="159"/>
        <v>0</v>
      </c>
      <c r="AN280" s="143"/>
      <c r="AO280" s="143"/>
      <c r="AP280" s="143"/>
      <c r="AQ280" s="143"/>
      <c r="AR280" s="146"/>
      <c r="AS280" s="224">
        <f t="shared" si="160"/>
        <v>0</v>
      </c>
      <c r="AT280" s="126"/>
      <c r="AU280" s="274"/>
      <c r="AV280" s="126"/>
      <c r="AW280" s="126"/>
      <c r="AX280" s="126"/>
      <c r="AY280" s="275"/>
      <c r="AZ280" s="126"/>
      <c r="BA280" s="274"/>
      <c r="BB280" s="274"/>
      <c r="BC280" s="274"/>
      <c r="BD280" s="274"/>
      <c r="BE280" s="222">
        <f t="shared" si="161"/>
        <v>0</v>
      </c>
      <c r="BF280" s="113">
        <f t="shared" si="162"/>
        <v>0</v>
      </c>
      <c r="BG280" s="3"/>
      <c r="BH280" s="113">
        <f t="shared" si="163"/>
        <v>0</v>
      </c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30">
        <f t="shared" si="164"/>
        <v>0</v>
      </c>
      <c r="BW280" s="3"/>
    </row>
    <row r="281" ht="14.25" customHeight="1">
      <c r="A281" s="3"/>
      <c r="B281" s="215">
        <v>46274</v>
      </c>
      <c r="C281" s="118"/>
      <c r="D281" s="123"/>
      <c r="E281" s="120"/>
      <c r="F281" s="120"/>
      <c r="G281" s="147">
        <f t="shared" si="156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03">
        <f>SUM(H281:U281)</f>
        <v>0</v>
      </c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43"/>
      <c r="AI281" s="103">
        <f t="shared" si="158"/>
        <v>0</v>
      </c>
      <c r="AJ281" s="123"/>
      <c r="AK281" s="123"/>
      <c r="AL281" s="123"/>
      <c r="AM281" s="105">
        <f t="shared" si="159"/>
        <v>0</v>
      </c>
      <c r="AN281" s="143"/>
      <c r="AO281" s="143"/>
      <c r="AP281" s="143"/>
      <c r="AQ281" s="143"/>
      <c r="AR281" s="146"/>
      <c r="AS281" s="224">
        <f t="shared" si="160"/>
        <v>0</v>
      </c>
      <c r="AT281" s="126"/>
      <c r="AU281" s="274"/>
      <c r="AV281" s="126"/>
      <c r="AW281" s="126"/>
      <c r="AX281" s="126"/>
      <c r="AY281" s="275"/>
      <c r="AZ281" s="126"/>
      <c r="BA281" s="274"/>
      <c r="BB281" s="274"/>
      <c r="BC281" s="274"/>
      <c r="BD281" s="274"/>
      <c r="BE281" s="222">
        <f t="shared" si="161"/>
        <v>0</v>
      </c>
      <c r="BF281" s="113">
        <f t="shared" si="162"/>
        <v>0</v>
      </c>
      <c r="BG281" s="3"/>
      <c r="BH281" s="113">
        <f t="shared" si="163"/>
        <v>0</v>
      </c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30">
        <f t="shared" si="164"/>
        <v>0</v>
      </c>
      <c r="BW281" s="3"/>
    </row>
    <row r="282" ht="14.25" customHeight="1">
      <c r="A282" s="3"/>
      <c r="B282" s="215">
        <v>46275</v>
      </c>
      <c r="C282" s="118"/>
      <c r="D282" s="123"/>
      <c r="E282" s="120"/>
      <c r="F282" s="120"/>
      <c r="G282" s="147">
        <f t="shared" si="156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03">
        <f>SUM(H282:T282)</f>
        <v>0</v>
      </c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43"/>
      <c r="AI282" s="103">
        <f t="shared" si="158"/>
        <v>0</v>
      </c>
      <c r="AJ282" s="123"/>
      <c r="AK282" s="123"/>
      <c r="AL282" s="123"/>
      <c r="AM282" s="105">
        <f t="shared" si="159"/>
        <v>0</v>
      </c>
      <c r="AN282" s="143"/>
      <c r="AO282" s="143"/>
      <c r="AP282" s="143"/>
      <c r="AQ282" s="143"/>
      <c r="AR282" s="146"/>
      <c r="AS282" s="224">
        <f t="shared" si="160"/>
        <v>0</v>
      </c>
      <c r="AT282" s="126"/>
      <c r="AU282" s="274"/>
      <c r="AV282" s="126"/>
      <c r="AW282" s="126"/>
      <c r="AX282" s="126"/>
      <c r="AY282" s="275"/>
      <c r="AZ282" s="126"/>
      <c r="BA282" s="274"/>
      <c r="BB282" s="274"/>
      <c r="BC282" s="274"/>
      <c r="BD282" s="274"/>
      <c r="BE282" s="222">
        <f t="shared" si="161"/>
        <v>0</v>
      </c>
      <c r="BF282" s="113">
        <f t="shared" si="162"/>
        <v>0</v>
      </c>
      <c r="BG282" s="3"/>
      <c r="BH282" s="113">
        <f t="shared" si="163"/>
        <v>0</v>
      </c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30">
        <f t="shared" si="164"/>
        <v>0</v>
      </c>
      <c r="BW282" s="3"/>
    </row>
    <row r="283" ht="14.25" customHeight="1">
      <c r="A283" s="3"/>
      <c r="B283" s="215">
        <v>46276</v>
      </c>
      <c r="C283" s="118"/>
      <c r="D283" s="123"/>
      <c r="E283" s="120"/>
      <c r="F283" s="120"/>
      <c r="G283" s="147">
        <f t="shared" si="156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03">
        <f ref="V283:V284" t="shared" si="166">SUM(H283:U283)</f>
        <v>0</v>
      </c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43"/>
      <c r="AI283" s="103">
        <f t="shared" si="158"/>
        <v>0</v>
      </c>
      <c r="AJ283" s="123"/>
      <c r="AK283" s="123"/>
      <c r="AL283" s="123"/>
      <c r="AM283" s="105">
        <f t="shared" si="159"/>
        <v>0</v>
      </c>
      <c r="AN283" s="143"/>
      <c r="AO283" s="143"/>
      <c r="AP283" s="143"/>
      <c r="AQ283" s="143"/>
      <c r="AR283" s="146"/>
      <c r="AS283" s="224">
        <f t="shared" si="160"/>
        <v>0</v>
      </c>
      <c r="AT283" s="126"/>
      <c r="AU283" s="274"/>
      <c r="AV283" s="126"/>
      <c r="AW283" s="126"/>
      <c r="AX283" s="126"/>
      <c r="AY283" s="275"/>
      <c r="AZ283" s="126"/>
      <c r="BA283" s="274"/>
      <c r="BB283" s="274"/>
      <c r="BC283" s="274"/>
      <c r="BD283" s="274"/>
      <c r="BE283" s="222">
        <f t="shared" si="161"/>
        <v>0</v>
      </c>
      <c r="BF283" s="113">
        <f t="shared" si="162"/>
        <v>0</v>
      </c>
      <c r="BG283" s="3"/>
      <c r="BH283" s="113">
        <f t="shared" si="163"/>
        <v>0</v>
      </c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30">
        <f t="shared" si="164"/>
        <v>0</v>
      </c>
      <c r="BW283" s="3"/>
    </row>
    <row r="284" ht="14.25" customHeight="1">
      <c r="A284" s="132"/>
      <c r="B284" s="215">
        <v>46277</v>
      </c>
      <c r="C284" s="133"/>
      <c r="D284" s="136"/>
      <c r="E284" s="135"/>
      <c r="F284" s="135"/>
      <c r="G284" s="147">
        <f t="shared" si="156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03">
        <f t="shared" si="166"/>
        <v>0</v>
      </c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43"/>
      <c r="AI284" s="103">
        <f t="shared" si="158"/>
        <v>0</v>
      </c>
      <c r="AJ284" s="136"/>
      <c r="AK284" s="136"/>
      <c r="AL284" s="136"/>
      <c r="AM284" s="105">
        <f t="shared" si="159"/>
        <v>0</v>
      </c>
      <c r="AN284" s="143"/>
      <c r="AO284" s="143"/>
      <c r="AP284" s="143"/>
      <c r="AQ284" s="143"/>
      <c r="AR284" s="146"/>
      <c r="AS284" s="224">
        <f t="shared" si="160"/>
        <v>0</v>
      </c>
      <c r="AT284" s="126"/>
      <c r="AU284" s="274"/>
      <c r="AV284" s="126"/>
      <c r="AW284" s="126"/>
      <c r="AX284" s="126"/>
      <c r="AY284" s="275"/>
      <c r="AZ284" s="126"/>
      <c r="BA284" s="274"/>
      <c r="BB284" s="274"/>
      <c r="BC284" s="274"/>
      <c r="BD284" s="274"/>
      <c r="BE284" s="222">
        <f t="shared" si="161"/>
        <v>0</v>
      </c>
      <c r="BF284" s="140">
        <f t="shared" si="162"/>
        <v>0</v>
      </c>
      <c r="BG284" s="132"/>
      <c r="BH284" s="140">
        <f t="shared" si="163"/>
        <v>0</v>
      </c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30">
        <f t="shared" si="164"/>
        <v>0</v>
      </c>
      <c r="BW284" s="132"/>
    </row>
    <row r="285" ht="14.25" customHeight="1">
      <c r="A285" s="132"/>
      <c r="B285" s="215">
        <v>46278</v>
      </c>
      <c r="C285" s="133"/>
      <c r="D285" s="136"/>
      <c r="E285" s="135"/>
      <c r="F285" s="135"/>
      <c r="G285" s="147">
        <f t="shared" si="156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03">
        <f ref="V285:V286" t="shared" si="167">SUM(H285:T285)</f>
        <v>0</v>
      </c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43"/>
      <c r="AI285" s="103">
        <f t="shared" si="158"/>
        <v>0</v>
      </c>
      <c r="AJ285" s="136"/>
      <c r="AK285" s="136"/>
      <c r="AL285" s="136"/>
      <c r="AM285" s="105">
        <f t="shared" si="159"/>
        <v>0</v>
      </c>
      <c r="AN285" s="143"/>
      <c r="AO285" s="143"/>
      <c r="AP285" s="143"/>
      <c r="AQ285" s="143"/>
      <c r="AR285" s="146"/>
      <c r="AS285" s="224">
        <f t="shared" si="160"/>
        <v>0</v>
      </c>
      <c r="AT285" s="126"/>
      <c r="AU285" s="274"/>
      <c r="AV285" s="126"/>
      <c r="AW285" s="126"/>
      <c r="AX285" s="126"/>
      <c r="AY285" s="275"/>
      <c r="AZ285" s="126"/>
      <c r="BA285" s="274"/>
      <c r="BB285" s="274"/>
      <c r="BC285" s="274"/>
      <c r="BD285" s="274"/>
      <c r="BE285" s="222">
        <f t="shared" si="161"/>
        <v>0</v>
      </c>
      <c r="BF285" s="140">
        <f t="shared" si="162"/>
        <v>0</v>
      </c>
      <c r="BG285" s="132"/>
      <c r="BH285" s="140">
        <f t="shared" si="163"/>
        <v>0</v>
      </c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30">
        <f t="shared" si="164"/>
        <v>0</v>
      </c>
      <c r="BW285" s="132"/>
    </row>
    <row r="286" ht="14.25" customHeight="1">
      <c r="A286" s="132"/>
      <c r="B286" s="215">
        <v>46279</v>
      </c>
      <c r="C286" s="133"/>
      <c r="D286" s="136"/>
      <c r="E286" s="135"/>
      <c r="F286" s="135"/>
      <c r="G286" s="147">
        <f t="shared" si="156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03">
        <f t="shared" si="167"/>
        <v>0</v>
      </c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43"/>
      <c r="AI286" s="103">
        <f t="shared" si="158"/>
        <v>0</v>
      </c>
      <c r="AJ286" s="136"/>
      <c r="AK286" s="136"/>
      <c r="AL286" s="136"/>
      <c r="AM286" s="105">
        <f t="shared" si="159"/>
        <v>0</v>
      </c>
      <c r="AN286" s="143"/>
      <c r="AO286" s="143"/>
      <c r="AP286" s="143"/>
      <c r="AQ286" s="143"/>
      <c r="AR286" s="146"/>
      <c r="AS286" s="224">
        <f t="shared" si="160"/>
        <v>0</v>
      </c>
      <c r="AT286" s="126"/>
      <c r="AU286" s="274"/>
      <c r="AV286" s="126"/>
      <c r="AW286" s="126"/>
      <c r="AX286" s="126"/>
      <c r="AY286" s="275"/>
      <c r="AZ286" s="126"/>
      <c r="BA286" s="274"/>
      <c r="BB286" s="274"/>
      <c r="BC286" s="274"/>
      <c r="BD286" s="274"/>
      <c r="BE286" s="222">
        <f t="shared" si="161"/>
        <v>0</v>
      </c>
      <c r="BF286" s="140">
        <f t="shared" si="162"/>
        <v>0</v>
      </c>
      <c r="BG286" s="132"/>
      <c r="BH286" s="140">
        <f t="shared" si="163"/>
        <v>0</v>
      </c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30">
        <f t="shared" si="164"/>
        <v>0</v>
      </c>
      <c r="BW286" s="132"/>
    </row>
    <row r="287" ht="14.25" customHeight="1">
      <c r="A287" s="132"/>
      <c r="B287" s="215">
        <v>46280</v>
      </c>
      <c r="C287" s="133"/>
      <c r="D287" s="136"/>
      <c r="E287" s="135"/>
      <c r="F287" s="135"/>
      <c r="G287" s="147">
        <f t="shared" si="156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03">
        <f ref="V287:V288" t="shared" si="168">SUM(H287:U287)</f>
        <v>0</v>
      </c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43"/>
      <c r="AI287" s="103">
        <f t="shared" si="158"/>
        <v>0</v>
      </c>
      <c r="AJ287" s="136"/>
      <c r="AK287" s="136"/>
      <c r="AL287" s="136"/>
      <c r="AM287" s="105">
        <f t="shared" si="159"/>
        <v>0</v>
      </c>
      <c r="AN287" s="143"/>
      <c r="AO287" s="143"/>
      <c r="AP287" s="143"/>
      <c r="AQ287" s="143"/>
      <c r="AR287" s="146"/>
      <c r="AS287" s="224">
        <f t="shared" si="160"/>
        <v>0</v>
      </c>
      <c r="AT287" s="126"/>
      <c r="AU287" s="274"/>
      <c r="AV287" s="126"/>
      <c r="AW287" s="126"/>
      <c r="AX287" s="126"/>
      <c r="AY287" s="275"/>
      <c r="AZ287" s="126"/>
      <c r="BA287" s="274"/>
      <c r="BB287" s="274"/>
      <c r="BC287" s="274"/>
      <c r="BD287" s="274"/>
      <c r="BE287" s="222">
        <f t="shared" si="161"/>
        <v>0</v>
      </c>
      <c r="BF287" s="140">
        <f t="shared" si="162"/>
        <v>0</v>
      </c>
      <c r="BG287" s="132"/>
      <c r="BH287" s="140">
        <f t="shared" si="163"/>
        <v>0</v>
      </c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30">
        <f t="shared" si="164"/>
        <v>0</v>
      </c>
      <c r="BW287" s="132"/>
    </row>
    <row r="288" ht="14.25" customHeight="1">
      <c r="A288" s="132"/>
      <c r="B288" s="215">
        <v>46281</v>
      </c>
      <c r="C288" s="133"/>
      <c r="D288" s="136"/>
      <c r="E288" s="135"/>
      <c r="F288" s="135"/>
      <c r="G288" s="147">
        <f t="shared" si="156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03">
        <f t="shared" si="168"/>
        <v>0</v>
      </c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43"/>
      <c r="AI288" s="103">
        <f t="shared" si="158"/>
        <v>0</v>
      </c>
      <c r="AJ288" s="136"/>
      <c r="AK288" s="136"/>
      <c r="AL288" s="136"/>
      <c r="AM288" s="105">
        <f t="shared" si="159"/>
        <v>0</v>
      </c>
      <c r="AN288" s="143"/>
      <c r="AO288" s="143"/>
      <c r="AP288" s="143"/>
      <c r="AQ288" s="143"/>
      <c r="AR288" s="146"/>
      <c r="AS288" s="224">
        <f t="shared" si="160"/>
        <v>0</v>
      </c>
      <c r="AT288" s="126"/>
      <c r="AU288" s="274"/>
      <c r="AV288" s="126"/>
      <c r="AW288" s="126"/>
      <c r="AX288" s="126"/>
      <c r="AY288" s="275"/>
      <c r="AZ288" s="126"/>
      <c r="BA288" s="274"/>
      <c r="BB288" s="274"/>
      <c r="BC288" s="274"/>
      <c r="BD288" s="274"/>
      <c r="BE288" s="222">
        <f t="shared" si="161"/>
        <v>0</v>
      </c>
      <c r="BF288" s="140">
        <f t="shared" si="162"/>
        <v>0</v>
      </c>
      <c r="BG288" s="132"/>
      <c r="BH288" s="140">
        <f t="shared" si="163"/>
        <v>0</v>
      </c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30">
        <f t="shared" si="164"/>
        <v>0</v>
      </c>
      <c r="BW288" s="132"/>
    </row>
    <row r="289" ht="14.25" customHeight="1">
      <c r="A289" s="132"/>
      <c r="B289" s="215">
        <v>46282</v>
      </c>
      <c r="C289" s="133"/>
      <c r="D289" s="136"/>
      <c r="E289" s="135"/>
      <c r="F289" s="135"/>
      <c r="G289" s="147">
        <f t="shared" si="156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03">
        <f>SUM(H289:T289)</f>
        <v>0</v>
      </c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43"/>
      <c r="AI289" s="103">
        <f t="shared" si="158"/>
        <v>0</v>
      </c>
      <c r="AJ289" s="136"/>
      <c r="AK289" s="136"/>
      <c r="AL289" s="136"/>
      <c r="AM289" s="105">
        <f t="shared" si="159"/>
        <v>0</v>
      </c>
      <c r="AN289" s="143"/>
      <c r="AO289" s="143"/>
      <c r="AP289" s="143"/>
      <c r="AQ289" s="143"/>
      <c r="AR289" s="146"/>
      <c r="AS289" s="224">
        <f t="shared" si="160"/>
        <v>0</v>
      </c>
      <c r="AT289" s="126"/>
      <c r="AU289" s="274"/>
      <c r="AV289" s="126"/>
      <c r="AW289" s="126"/>
      <c r="AX289" s="126"/>
      <c r="AY289" s="275"/>
      <c r="AZ289" s="126"/>
      <c r="BA289" s="274"/>
      <c r="BB289" s="274"/>
      <c r="BC289" s="274"/>
      <c r="BD289" s="274"/>
      <c r="BE289" s="222">
        <f t="shared" si="161"/>
        <v>0</v>
      </c>
      <c r="BF289" s="140">
        <f t="shared" si="162"/>
        <v>0</v>
      </c>
      <c r="BG289" s="132"/>
      <c r="BH289" s="140">
        <f t="shared" si="163"/>
        <v>0</v>
      </c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30">
        <f t="shared" si="164"/>
        <v>0</v>
      </c>
      <c r="BW289" s="132"/>
    </row>
    <row r="290" ht="14.25" customHeight="1">
      <c r="A290" s="132"/>
      <c r="B290" s="215">
        <v>46283</v>
      </c>
      <c r="C290" s="133"/>
      <c r="D290" s="136"/>
      <c r="E290" s="135"/>
      <c r="F290" s="135"/>
      <c r="G290" s="147">
        <f t="shared" si="156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03">
        <f ref="V290:V292" t="shared" si="169">SUM(H290:U290)</f>
        <v>0</v>
      </c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43"/>
      <c r="AI290" s="103">
        <f t="shared" si="158"/>
        <v>0</v>
      </c>
      <c r="AJ290" s="136"/>
      <c r="AK290" s="136"/>
      <c r="AL290" s="136"/>
      <c r="AM290" s="105">
        <f t="shared" si="159"/>
        <v>0</v>
      </c>
      <c r="AN290" s="143"/>
      <c r="AO290" s="143"/>
      <c r="AP290" s="143"/>
      <c r="AQ290" s="143"/>
      <c r="AR290" s="146"/>
      <c r="AS290" s="224">
        <f t="shared" si="160"/>
        <v>0</v>
      </c>
      <c r="AT290" s="126"/>
      <c r="AU290" s="274"/>
      <c r="AV290" s="126"/>
      <c r="AW290" s="126"/>
      <c r="AX290" s="126"/>
      <c r="AY290" s="275"/>
      <c r="AZ290" s="126"/>
      <c r="BA290" s="274"/>
      <c r="BB290" s="274"/>
      <c r="BC290" s="274"/>
      <c r="BD290" s="274"/>
      <c r="BE290" s="222">
        <f t="shared" si="161"/>
        <v>0</v>
      </c>
      <c r="BF290" s="140">
        <f t="shared" si="162"/>
        <v>0</v>
      </c>
      <c r="BG290" s="132"/>
      <c r="BH290" s="140">
        <f t="shared" si="163"/>
        <v>0</v>
      </c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30">
        <f t="shared" si="164"/>
        <v>0</v>
      </c>
      <c r="BW290" s="132"/>
    </row>
    <row r="291" ht="14.25" customHeight="1">
      <c r="A291" s="132"/>
      <c r="B291" s="215">
        <v>46284</v>
      </c>
      <c r="C291" s="133"/>
      <c r="D291" s="136"/>
      <c r="E291" s="135"/>
      <c r="F291" s="135"/>
      <c r="G291" s="147">
        <f t="shared" si="156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03">
        <f t="shared" si="169"/>
        <v>0</v>
      </c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43"/>
      <c r="AI291" s="103">
        <f t="shared" si="158"/>
        <v>0</v>
      </c>
      <c r="AJ291" s="136"/>
      <c r="AK291" s="136"/>
      <c r="AL291" s="136"/>
      <c r="AM291" s="105">
        <f t="shared" si="159"/>
        <v>0</v>
      </c>
      <c r="AN291" s="143"/>
      <c r="AO291" s="143"/>
      <c r="AP291" s="143"/>
      <c r="AQ291" s="143"/>
      <c r="AR291" s="146"/>
      <c r="AS291" s="224">
        <f t="shared" si="160"/>
        <v>0</v>
      </c>
      <c r="AT291" s="126"/>
      <c r="AU291" s="274"/>
      <c r="AV291" s="126"/>
      <c r="AW291" s="126"/>
      <c r="AX291" s="126"/>
      <c r="AY291" s="275"/>
      <c r="AZ291" s="126"/>
      <c r="BA291" s="274"/>
      <c r="BB291" s="274"/>
      <c r="BC291" s="274"/>
      <c r="BD291" s="274"/>
      <c r="BE291" s="222">
        <f t="shared" si="161"/>
        <v>0</v>
      </c>
      <c r="BF291" s="140">
        <f t="shared" si="162"/>
        <v>0</v>
      </c>
      <c r="BG291" s="132"/>
      <c r="BH291" s="140">
        <f t="shared" si="163"/>
        <v>0</v>
      </c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30">
        <f t="shared" si="164"/>
        <v>0</v>
      </c>
      <c r="BW291" s="132"/>
    </row>
    <row r="292" ht="14.25" customHeight="1">
      <c r="A292" s="132"/>
      <c r="B292" s="215">
        <v>46285</v>
      </c>
      <c r="C292" s="133"/>
      <c r="D292" s="136"/>
      <c r="E292" s="135"/>
      <c r="F292" s="135"/>
      <c r="G292" s="147">
        <f t="shared" si="156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03">
        <f t="shared" si="169"/>
        <v>0</v>
      </c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43"/>
      <c r="AI292" s="103">
        <f t="shared" si="158"/>
        <v>0</v>
      </c>
      <c r="AJ292" s="136"/>
      <c r="AK292" s="136"/>
      <c r="AL292" s="136"/>
      <c r="AM292" s="105">
        <f t="shared" si="159"/>
        <v>0</v>
      </c>
      <c r="AN292" s="143"/>
      <c r="AO292" s="143"/>
      <c r="AP292" s="143"/>
      <c r="AQ292" s="143"/>
      <c r="AR292" s="146"/>
      <c r="AS292" s="224">
        <f t="shared" si="160"/>
        <v>0</v>
      </c>
      <c r="AT292" s="126"/>
      <c r="AU292" s="274"/>
      <c r="AV292" s="126"/>
      <c r="AW292" s="126"/>
      <c r="AX292" s="126"/>
      <c r="AY292" s="275"/>
      <c r="AZ292" s="126"/>
      <c r="BA292" s="274"/>
      <c r="BB292" s="274"/>
      <c r="BC292" s="274"/>
      <c r="BD292" s="274"/>
      <c r="BE292" s="222">
        <f t="shared" si="161"/>
        <v>0</v>
      </c>
      <c r="BF292" s="140">
        <f t="shared" si="162"/>
        <v>0</v>
      </c>
      <c r="BG292" s="132"/>
      <c r="BH292" s="140">
        <f t="shared" si="163"/>
        <v>0</v>
      </c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30">
        <f t="shared" si="164"/>
        <v>0</v>
      </c>
      <c r="BW292" s="132"/>
    </row>
    <row r="293" ht="14.25" customHeight="1">
      <c r="A293" s="132"/>
      <c r="B293" s="215">
        <v>46286</v>
      </c>
      <c r="C293" s="133"/>
      <c r="D293" s="136"/>
      <c r="E293" s="135"/>
      <c r="F293" s="135"/>
      <c r="G293" s="147">
        <f t="shared" si="156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03">
        <f ref="V293:V294" t="shared" si="170">SUM(H293:T293)</f>
        <v>0</v>
      </c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43"/>
      <c r="AI293" s="103">
        <f t="shared" si="158"/>
        <v>0</v>
      </c>
      <c r="AJ293" s="136"/>
      <c r="AK293" s="136"/>
      <c r="AL293" s="136"/>
      <c r="AM293" s="105">
        <f t="shared" si="159"/>
        <v>0</v>
      </c>
      <c r="AN293" s="143"/>
      <c r="AO293" s="143"/>
      <c r="AP293" s="143"/>
      <c r="AQ293" s="143"/>
      <c r="AR293" s="146"/>
      <c r="AS293" s="224">
        <f t="shared" si="160"/>
        <v>0</v>
      </c>
      <c r="AT293" s="126"/>
      <c r="AU293" s="274"/>
      <c r="AV293" s="126"/>
      <c r="AW293" s="126"/>
      <c r="AX293" s="126"/>
      <c r="AY293" s="275"/>
      <c r="AZ293" s="126"/>
      <c r="BA293" s="274"/>
      <c r="BB293" s="274"/>
      <c r="BC293" s="274"/>
      <c r="BD293" s="274"/>
      <c r="BE293" s="222">
        <f t="shared" si="161"/>
        <v>0</v>
      </c>
      <c r="BF293" s="140">
        <f t="shared" si="162"/>
        <v>0</v>
      </c>
      <c r="BG293" s="132"/>
      <c r="BH293" s="140">
        <f t="shared" si="163"/>
        <v>0</v>
      </c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30">
        <f t="shared" si="164"/>
        <v>0</v>
      </c>
      <c r="BW293" s="132"/>
    </row>
    <row r="294" ht="14.25" customHeight="1">
      <c r="A294" s="132"/>
      <c r="B294" s="215">
        <v>46287</v>
      </c>
      <c r="C294" s="133"/>
      <c r="D294" s="136"/>
      <c r="E294" s="135"/>
      <c r="F294" s="135"/>
      <c r="G294" s="147">
        <f t="shared" si="156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03">
        <f t="shared" si="170"/>
        <v>0</v>
      </c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43"/>
      <c r="AI294" s="103">
        <f t="shared" si="158"/>
        <v>0</v>
      </c>
      <c r="AJ294" s="136"/>
      <c r="AK294" s="136"/>
      <c r="AL294" s="136"/>
      <c r="AM294" s="105">
        <f t="shared" si="159"/>
        <v>0</v>
      </c>
      <c r="AN294" s="143"/>
      <c r="AO294" s="143"/>
      <c r="AP294" s="143"/>
      <c r="AQ294" s="143"/>
      <c r="AR294" s="146"/>
      <c r="AS294" s="224">
        <f t="shared" si="160"/>
        <v>0</v>
      </c>
      <c r="AT294" s="126"/>
      <c r="AU294" s="274"/>
      <c r="AV294" s="126"/>
      <c r="AW294" s="126"/>
      <c r="AX294" s="126"/>
      <c r="AY294" s="275"/>
      <c r="AZ294" s="126"/>
      <c r="BA294" s="274"/>
      <c r="BB294" s="274"/>
      <c r="BC294" s="274"/>
      <c r="BD294" s="274"/>
      <c r="BE294" s="222">
        <f t="shared" si="161"/>
        <v>0</v>
      </c>
      <c r="BF294" s="140">
        <f t="shared" si="162"/>
        <v>0</v>
      </c>
      <c r="BG294" s="132"/>
      <c r="BH294" s="140">
        <f t="shared" si="163"/>
        <v>0</v>
      </c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30">
        <f t="shared" si="164"/>
        <v>0</v>
      </c>
      <c r="BW294" s="132"/>
    </row>
    <row r="295" ht="14.25" customHeight="1">
      <c r="A295" s="132"/>
      <c r="B295" s="215">
        <v>46288</v>
      </c>
      <c r="C295" s="133"/>
      <c r="D295" s="136"/>
      <c r="E295" s="135"/>
      <c r="F295" s="135"/>
      <c r="G295" s="147">
        <f t="shared" si="156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03">
        <f>SUM(H295:U295)</f>
        <v>0</v>
      </c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43"/>
      <c r="AI295" s="103">
        <f t="shared" si="158"/>
        <v>0</v>
      </c>
      <c r="AJ295" s="136"/>
      <c r="AK295" s="136"/>
      <c r="AL295" s="136"/>
      <c r="AM295" s="105">
        <f t="shared" si="159"/>
        <v>0</v>
      </c>
      <c r="AN295" s="143"/>
      <c r="AO295" s="143"/>
      <c r="AP295" s="143"/>
      <c r="AQ295" s="143"/>
      <c r="AR295" s="146"/>
      <c r="AS295" s="224">
        <f t="shared" si="160"/>
        <v>0</v>
      </c>
      <c r="AT295" s="126"/>
      <c r="AU295" s="274"/>
      <c r="AV295" s="126"/>
      <c r="AW295" s="126"/>
      <c r="AX295" s="126"/>
      <c r="AY295" s="275"/>
      <c r="AZ295" s="126"/>
      <c r="BA295" s="274"/>
      <c r="BB295" s="274"/>
      <c r="BC295" s="274"/>
      <c r="BD295" s="274"/>
      <c r="BE295" s="222">
        <f t="shared" si="161"/>
        <v>0</v>
      </c>
      <c r="BF295" s="140">
        <f t="shared" si="162"/>
        <v>0</v>
      </c>
      <c r="BG295" s="132"/>
      <c r="BH295" s="140">
        <f t="shared" si="163"/>
        <v>0</v>
      </c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30">
        <f t="shared" si="164"/>
        <v>0</v>
      </c>
      <c r="BW295" s="132"/>
    </row>
    <row r="296" ht="14.25" customHeight="1">
      <c r="A296" s="132"/>
      <c r="B296" s="215">
        <v>46289</v>
      </c>
      <c r="C296" s="133"/>
      <c r="D296" s="136"/>
      <c r="E296" s="135"/>
      <c r="F296" s="135"/>
      <c r="G296" s="147">
        <f t="shared" si="156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03">
        <f>SUM(H296:T296)</f>
        <v>0</v>
      </c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43"/>
      <c r="AI296" s="103">
        <f t="shared" si="158"/>
        <v>0</v>
      </c>
      <c r="AJ296" s="136"/>
      <c r="AK296" s="136"/>
      <c r="AL296" s="136"/>
      <c r="AM296" s="105">
        <f t="shared" si="159"/>
        <v>0</v>
      </c>
      <c r="AN296" s="143"/>
      <c r="AO296" s="143"/>
      <c r="AP296" s="143"/>
      <c r="AQ296" s="143"/>
      <c r="AR296" s="146"/>
      <c r="AS296" s="224">
        <f t="shared" si="160"/>
        <v>0</v>
      </c>
      <c r="AT296" s="126"/>
      <c r="AU296" s="274"/>
      <c r="AV296" s="126"/>
      <c r="AW296" s="126"/>
      <c r="AX296" s="126"/>
      <c r="AY296" s="275"/>
      <c r="AZ296" s="126"/>
      <c r="BA296" s="274"/>
      <c r="BB296" s="274"/>
      <c r="BC296" s="274"/>
      <c r="BD296" s="274"/>
      <c r="BE296" s="222">
        <f t="shared" si="161"/>
        <v>0</v>
      </c>
      <c r="BF296" s="140">
        <f t="shared" si="162"/>
        <v>0</v>
      </c>
      <c r="BG296" s="132"/>
      <c r="BH296" s="140">
        <f t="shared" si="163"/>
        <v>0</v>
      </c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30">
        <f t="shared" si="164"/>
        <v>0</v>
      </c>
      <c r="BW296" s="132"/>
    </row>
    <row r="297" ht="14.25" customHeight="1">
      <c r="A297" s="132"/>
      <c r="B297" s="215">
        <v>46290</v>
      </c>
      <c r="C297" s="133"/>
      <c r="D297" s="136"/>
      <c r="E297" s="135"/>
      <c r="F297" s="135"/>
      <c r="G297" s="147">
        <f t="shared" si="156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03">
        <f ref="V297:V299" t="shared" si="171">SUM(H297:U297)</f>
        <v>0</v>
      </c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43"/>
      <c r="AI297" s="103">
        <f t="shared" si="158"/>
        <v>0</v>
      </c>
      <c r="AJ297" s="136"/>
      <c r="AK297" s="136"/>
      <c r="AL297" s="136"/>
      <c r="AM297" s="105">
        <f t="shared" si="159"/>
        <v>0</v>
      </c>
      <c r="AN297" s="143"/>
      <c r="AO297" s="143"/>
      <c r="AP297" s="143"/>
      <c r="AQ297" s="143"/>
      <c r="AR297" s="146"/>
      <c r="AS297" s="224">
        <f t="shared" si="160"/>
        <v>0</v>
      </c>
      <c r="AT297" s="126"/>
      <c r="AU297" s="274"/>
      <c r="AV297" s="126"/>
      <c r="AW297" s="126"/>
      <c r="AX297" s="126"/>
      <c r="AY297" s="275"/>
      <c r="AZ297" s="126"/>
      <c r="BA297" s="274"/>
      <c r="BB297" s="274"/>
      <c r="BC297" s="274"/>
      <c r="BD297" s="274"/>
      <c r="BE297" s="222">
        <f t="shared" si="161"/>
        <v>0</v>
      </c>
      <c r="BF297" s="140">
        <f t="shared" si="162"/>
        <v>0</v>
      </c>
      <c r="BG297" s="132"/>
      <c r="BH297" s="140">
        <f t="shared" si="163"/>
        <v>0</v>
      </c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30">
        <f t="shared" si="164"/>
        <v>0</v>
      </c>
      <c r="BW297" s="132"/>
    </row>
    <row r="298" ht="14.25" customHeight="1">
      <c r="A298" s="132"/>
      <c r="B298" s="215">
        <v>46291</v>
      </c>
      <c r="C298" s="133"/>
      <c r="D298" s="136"/>
      <c r="E298" s="135"/>
      <c r="F298" s="135"/>
      <c r="G298" s="147">
        <f t="shared" si="156"/>
        <v>0</v>
      </c>
      <c r="H298" s="144"/>
      <c r="I298" s="143"/>
      <c r="J298" s="143"/>
      <c r="K298" s="143"/>
      <c r="L298" s="143"/>
      <c r="M298" s="143"/>
      <c r="N298" s="99"/>
      <c r="O298" s="143"/>
      <c r="P298" s="143"/>
      <c r="Q298" s="143"/>
      <c r="R298" s="143"/>
      <c r="S298" s="143"/>
      <c r="T298" s="143"/>
      <c r="U298" s="143"/>
      <c r="V298" s="103">
        <f t="shared" si="171"/>
        <v>0</v>
      </c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43"/>
      <c r="AI298" s="103">
        <f t="shared" si="158"/>
        <v>0</v>
      </c>
      <c r="AJ298" s="136"/>
      <c r="AK298" s="136"/>
      <c r="AL298" s="136"/>
      <c r="AM298" s="105">
        <f t="shared" si="159"/>
        <v>0</v>
      </c>
      <c r="AN298" s="143"/>
      <c r="AO298" s="143"/>
      <c r="AP298" s="143"/>
      <c r="AQ298" s="143"/>
      <c r="AR298" s="146"/>
      <c r="AS298" s="224">
        <f t="shared" si="160"/>
        <v>0</v>
      </c>
      <c r="AT298" s="126"/>
      <c r="AU298" s="274"/>
      <c r="AV298" s="126"/>
      <c r="AW298" s="126"/>
      <c r="AX298" s="126"/>
      <c r="AY298" s="275"/>
      <c r="AZ298" s="126"/>
      <c r="BA298" s="274"/>
      <c r="BB298" s="274"/>
      <c r="BC298" s="274"/>
      <c r="BD298" s="274"/>
      <c r="BE298" s="222">
        <f t="shared" si="161"/>
        <v>0</v>
      </c>
      <c r="BF298" s="140">
        <f t="shared" si="162"/>
        <v>0</v>
      </c>
      <c r="BG298" s="132"/>
      <c r="BH298" s="140">
        <f t="shared" si="163"/>
        <v>0</v>
      </c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30">
        <f t="shared" si="164"/>
        <v>0</v>
      </c>
      <c r="BW298" s="132"/>
    </row>
    <row r="299" ht="14.25" customHeight="1">
      <c r="A299" s="132"/>
      <c r="B299" s="215">
        <v>46292</v>
      </c>
      <c r="C299" s="133"/>
      <c r="D299" s="136"/>
      <c r="E299" s="135"/>
      <c r="F299" s="135"/>
      <c r="G299" s="147">
        <f t="shared" si="156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03">
        <f t="shared" si="171"/>
        <v>0</v>
      </c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43"/>
      <c r="AI299" s="103">
        <f t="shared" si="158"/>
        <v>0</v>
      </c>
      <c r="AJ299" s="136"/>
      <c r="AK299" s="136"/>
      <c r="AL299" s="136"/>
      <c r="AM299" s="105">
        <f t="shared" si="159"/>
        <v>0</v>
      </c>
      <c r="AN299" s="143"/>
      <c r="AO299" s="143"/>
      <c r="AP299" s="143"/>
      <c r="AQ299" s="143"/>
      <c r="AR299" s="146"/>
      <c r="AS299" s="224">
        <f t="shared" si="160"/>
        <v>0</v>
      </c>
      <c r="AT299" s="126"/>
      <c r="AU299" s="274"/>
      <c r="AV299" s="126"/>
      <c r="AW299" s="126"/>
      <c r="AX299" s="126"/>
      <c r="AY299" s="275"/>
      <c r="AZ299" s="126"/>
      <c r="BA299" s="274"/>
      <c r="BB299" s="274"/>
      <c r="BC299" s="274"/>
      <c r="BD299" s="274"/>
      <c r="BE299" s="222">
        <f t="shared" si="161"/>
        <v>0</v>
      </c>
      <c r="BF299" s="140">
        <f t="shared" si="162"/>
        <v>0</v>
      </c>
      <c r="BG299" s="132"/>
      <c r="BH299" s="140">
        <f t="shared" si="163"/>
        <v>0</v>
      </c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30">
        <f t="shared" si="164"/>
        <v>0</v>
      </c>
      <c r="BW299" s="132"/>
    </row>
    <row r="300" ht="14.25" customHeight="1">
      <c r="A300" s="132"/>
      <c r="B300" s="215">
        <v>46293</v>
      </c>
      <c r="C300" s="133"/>
      <c r="D300" s="136"/>
      <c r="E300" s="135"/>
      <c r="F300" s="135"/>
      <c r="G300" s="147">
        <f t="shared" si="156"/>
        <v>0</v>
      </c>
      <c r="H300" s="144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03">
        <f>SUM(H300:T300)</f>
        <v>0</v>
      </c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43"/>
      <c r="AI300" s="103">
        <f t="shared" si="158"/>
        <v>0</v>
      </c>
      <c r="AJ300" s="136"/>
      <c r="AK300" s="136"/>
      <c r="AL300" s="136"/>
      <c r="AM300" s="105">
        <f t="shared" si="159"/>
        <v>0</v>
      </c>
      <c r="AN300" s="143"/>
      <c r="AO300" s="143"/>
      <c r="AP300" s="143"/>
      <c r="AQ300" s="143"/>
      <c r="AR300" s="146"/>
      <c r="AS300" s="224">
        <f t="shared" si="160"/>
        <v>0</v>
      </c>
      <c r="AT300" s="126"/>
      <c r="AU300" s="274"/>
      <c r="AV300" s="126"/>
      <c r="AW300" s="126"/>
      <c r="AX300" s="126"/>
      <c r="AY300" s="275"/>
      <c r="AZ300" s="126"/>
      <c r="BA300" s="274"/>
      <c r="BB300" s="274"/>
      <c r="BC300" s="274"/>
      <c r="BD300" s="274"/>
      <c r="BE300" s="222">
        <f t="shared" si="161"/>
        <v>0</v>
      </c>
      <c r="BF300" s="140">
        <f t="shared" si="162"/>
        <v>0</v>
      </c>
      <c r="BG300" s="132"/>
      <c r="BH300" s="140">
        <f t="shared" si="163"/>
        <v>0</v>
      </c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30">
        <f t="shared" si="164"/>
        <v>0</v>
      </c>
      <c r="BW300" s="132"/>
    </row>
    <row r="301" ht="14.25" customHeight="1">
      <c r="A301" s="132"/>
      <c r="B301" s="215">
        <v>46294</v>
      </c>
      <c r="C301" s="133"/>
      <c r="D301" s="136"/>
      <c r="E301" s="135"/>
      <c r="F301" s="135"/>
      <c r="G301" s="147">
        <f t="shared" si="156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03">
        <f>SUM(H301:U301)</f>
        <v>0</v>
      </c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43"/>
      <c r="AI301" s="103">
        <f t="shared" si="158"/>
        <v>0</v>
      </c>
      <c r="AJ301" s="136"/>
      <c r="AK301" s="136"/>
      <c r="AL301" s="136"/>
      <c r="AM301" s="105">
        <f t="shared" si="159"/>
        <v>0</v>
      </c>
      <c r="AN301" s="143"/>
      <c r="AO301" s="143"/>
      <c r="AP301" s="143"/>
      <c r="AQ301" s="143"/>
      <c r="AR301" s="146"/>
      <c r="AS301" s="224">
        <f t="shared" si="160"/>
        <v>0</v>
      </c>
      <c r="AT301" s="126"/>
      <c r="AU301" s="274"/>
      <c r="AV301" s="126"/>
      <c r="AW301" s="126"/>
      <c r="AX301" s="126"/>
      <c r="AY301" s="275"/>
      <c r="AZ301" s="126"/>
      <c r="BA301" s="274"/>
      <c r="BB301" s="274"/>
      <c r="BC301" s="274"/>
      <c r="BD301" s="274"/>
      <c r="BE301" s="222">
        <f t="shared" si="161"/>
        <v>0</v>
      </c>
      <c r="BF301" s="140">
        <f t="shared" si="162"/>
        <v>0</v>
      </c>
      <c r="BG301" s="132"/>
      <c r="BH301" s="140">
        <f t="shared" si="163"/>
        <v>0</v>
      </c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30">
        <f t="shared" si="164"/>
        <v>0</v>
      </c>
      <c r="BW301" s="132"/>
    </row>
    <row r="302" ht="14.25" customHeight="1">
      <c r="A302" s="132"/>
      <c r="B302" s="215">
        <v>46295</v>
      </c>
      <c r="C302" s="133"/>
      <c r="D302" s="136"/>
      <c r="E302" s="135"/>
      <c r="F302" s="135"/>
      <c r="G302" s="147">
        <f t="shared" si="156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03">
        <f>SUM(H302:T302)</f>
        <v>0</v>
      </c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43"/>
      <c r="AI302" s="103">
        <f t="shared" si="158"/>
        <v>0</v>
      </c>
      <c r="AJ302" s="136"/>
      <c r="AK302" s="136"/>
      <c r="AL302" s="136"/>
      <c r="AM302" s="105">
        <f t="shared" si="159"/>
        <v>0</v>
      </c>
      <c r="AN302" s="143"/>
      <c r="AO302" s="143"/>
      <c r="AP302" s="143"/>
      <c r="AQ302" s="143"/>
      <c r="AR302" s="146"/>
      <c r="AS302" s="224">
        <f t="shared" si="160"/>
        <v>0</v>
      </c>
      <c r="AT302" s="138"/>
      <c r="AU302" s="161"/>
      <c r="AV302" s="138"/>
      <c r="AW302" s="274"/>
      <c r="AX302" s="126"/>
      <c r="AY302" s="275"/>
      <c r="AZ302" s="138"/>
      <c r="BA302" s="274"/>
      <c r="BB302" s="274"/>
      <c r="BC302" s="274"/>
      <c r="BD302" s="274"/>
      <c r="BE302" s="222">
        <f t="shared" si="161"/>
        <v>0</v>
      </c>
      <c r="BF302" s="140">
        <f t="shared" si="162"/>
        <v>0</v>
      </c>
      <c r="BG302" s="132"/>
      <c r="BH302" s="140">
        <f t="shared" si="163"/>
        <v>0</v>
      </c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30">
        <f t="shared" si="164"/>
        <v>0</v>
      </c>
      <c r="BW302" s="132"/>
    </row>
    <row r="303" ht="14.25" customHeight="1">
      <c r="A303" s="3"/>
      <c r="B303" s="2" t="s">
        <v>4</v>
      </c>
      <c r="C303" s="166">
        <f ref="C303:Q303" t="shared" si="172">SUM(C272:C302)</f>
        <v>0</v>
      </c>
      <c r="D303" s="166">
        <f t="shared" si="172"/>
        <v>0</v>
      </c>
      <c r="E303" s="166">
        <f t="shared" si="172"/>
        <v>0</v>
      </c>
      <c r="F303" s="166">
        <f t="shared" si="172"/>
        <v>0</v>
      </c>
      <c r="G303" s="166">
        <f t="shared" si="172"/>
        <v>0</v>
      </c>
      <c r="H303" s="166">
        <f t="shared" si="172"/>
        <v>0</v>
      </c>
      <c r="I303" s="166">
        <f t="shared" si="172"/>
        <v>0</v>
      </c>
      <c r="J303" s="166">
        <f t="shared" si="172"/>
        <v>0</v>
      </c>
      <c r="K303" s="166">
        <f t="shared" si="172"/>
        <v>0</v>
      </c>
      <c r="L303" s="166">
        <f t="shared" si="172"/>
        <v>0</v>
      </c>
      <c r="M303" s="166">
        <f t="shared" si="172"/>
        <v>0</v>
      </c>
      <c r="N303" s="166">
        <f t="shared" si="172"/>
        <v>0</v>
      </c>
      <c r="O303" s="166">
        <f t="shared" si="172"/>
        <v>0</v>
      </c>
      <c r="P303" s="166">
        <f t="shared" si="172"/>
        <v>0</v>
      </c>
      <c r="Q303" s="166">
        <f t="shared" si="172"/>
        <v>0</v>
      </c>
      <c r="R303" s="166"/>
      <c r="S303" s="166">
        <f ref="S303:AF303" t="shared" si="173">SUM(S272:S302)</f>
        <v>0</v>
      </c>
      <c r="T303" s="166">
        <f t="shared" si="173"/>
        <v>0</v>
      </c>
      <c r="U303" s="166">
        <f t="shared" si="173"/>
        <v>0</v>
      </c>
      <c r="V303" s="166">
        <f t="shared" si="173"/>
        <v>0</v>
      </c>
      <c r="W303" s="166">
        <f t="shared" si="173"/>
        <v>0</v>
      </c>
      <c r="X303" s="166">
        <f t="shared" si="173"/>
        <v>0</v>
      </c>
      <c r="Y303" s="166">
        <f t="shared" si="173"/>
        <v>0</v>
      </c>
      <c r="Z303" s="166">
        <f t="shared" si="173"/>
        <v>0</v>
      </c>
      <c r="AA303" s="166">
        <f t="shared" si="173"/>
        <v>0</v>
      </c>
      <c r="AB303" s="166">
        <f t="shared" si="173"/>
        <v>0</v>
      </c>
      <c r="AC303" s="166">
        <f t="shared" si="173"/>
        <v>0</v>
      </c>
      <c r="AD303" s="166">
        <f t="shared" si="173"/>
        <v>0</v>
      </c>
      <c r="AE303" s="166">
        <f t="shared" si="173"/>
        <v>0</v>
      </c>
      <c r="AF303" s="166">
        <f t="shared" si="173"/>
        <v>0</v>
      </c>
      <c r="AG303" s="166"/>
      <c r="AH303" s="166">
        <f ref="AH303:AN303" t="shared" si="174">SUM(AH272:AH302)</f>
        <v>0</v>
      </c>
      <c r="AI303" s="166">
        <f t="shared" si="174"/>
        <v>0</v>
      </c>
      <c r="AJ303" s="166">
        <f t="shared" si="174"/>
        <v>0</v>
      </c>
      <c r="AK303" s="166">
        <f t="shared" si="174"/>
        <v>0</v>
      </c>
      <c r="AL303" s="166">
        <f t="shared" si="174"/>
        <v>0</v>
      </c>
      <c r="AM303" s="166">
        <f t="shared" si="174"/>
        <v>0</v>
      </c>
      <c r="AN303" s="166">
        <f t="shared" si="174"/>
        <v>0</v>
      </c>
      <c r="AO303" s="166"/>
      <c r="AP303" s="166">
        <f ref="AP303:BF303" t="shared" si="175">SUM(AP272:AP302)</f>
        <v>0</v>
      </c>
      <c r="AQ303" s="166">
        <f t="shared" si="175"/>
        <v>0</v>
      </c>
      <c r="AR303" s="166">
        <f t="shared" si="175"/>
        <v>0</v>
      </c>
      <c r="AS303" s="166">
        <f t="shared" si="175"/>
        <v>0</v>
      </c>
      <c r="AT303" s="165">
        <f t="shared" si="175"/>
        <v>0</v>
      </c>
      <c r="AU303" s="166">
        <f t="shared" si="175"/>
        <v>0</v>
      </c>
      <c r="AV303" s="165">
        <f t="shared" si="175"/>
        <v>0</v>
      </c>
      <c r="AW303" s="166">
        <f t="shared" si="175"/>
        <v>0</v>
      </c>
      <c r="AX303" s="166">
        <f t="shared" si="175"/>
        <v>0</v>
      </c>
      <c r="AY303" s="166">
        <f t="shared" si="175"/>
        <v>0</v>
      </c>
      <c r="AZ303" s="165">
        <f t="shared" si="175"/>
        <v>0</v>
      </c>
      <c r="BA303" s="166">
        <f t="shared" si="175"/>
        <v>0</v>
      </c>
      <c r="BB303" s="166">
        <f t="shared" si="175"/>
        <v>0</v>
      </c>
      <c r="BC303" s="166">
        <f t="shared" si="175"/>
        <v>0</v>
      </c>
      <c r="BD303" s="166">
        <f t="shared" si="175"/>
        <v>0</v>
      </c>
      <c r="BE303" s="166">
        <f t="shared" si="175"/>
        <v>0</v>
      </c>
      <c r="BF303" s="166">
        <f t="shared" si="175"/>
        <v>0</v>
      </c>
      <c r="BG303" s="235"/>
      <c r="BH303" s="166">
        <f ref="BH303:BV303" t="shared" si="176">SUM(BH272:BH302)</f>
        <v>0</v>
      </c>
      <c r="BI303" s="166">
        <f t="shared" si="176"/>
        <v>0</v>
      </c>
      <c r="BJ303" s="166">
        <f t="shared" si="176"/>
        <v>0</v>
      </c>
      <c r="BK303" s="166">
        <f t="shared" si="176"/>
        <v>0</v>
      </c>
      <c r="BL303" s="166">
        <f t="shared" si="176"/>
        <v>0</v>
      </c>
      <c r="BM303" s="166">
        <f t="shared" si="176"/>
        <v>0</v>
      </c>
      <c r="BN303" s="166">
        <f t="shared" si="176"/>
        <v>0</v>
      </c>
      <c r="BO303" s="166">
        <f t="shared" si="176"/>
        <v>0</v>
      </c>
      <c r="BP303" s="166">
        <f t="shared" si="176"/>
        <v>0</v>
      </c>
      <c r="BQ303" s="166">
        <f t="shared" si="176"/>
        <v>0</v>
      </c>
      <c r="BR303" s="166">
        <f t="shared" si="176"/>
        <v>0</v>
      </c>
      <c r="BS303" s="166">
        <f t="shared" si="176"/>
        <v>0</v>
      </c>
      <c r="BT303" s="166">
        <f t="shared" si="176"/>
        <v>0</v>
      </c>
      <c r="BU303" s="166">
        <f t="shared" si="176"/>
        <v>0</v>
      </c>
      <c r="BV303" s="166">
        <f t="shared" si="176"/>
        <v>0</v>
      </c>
      <c r="BW303" s="235"/>
    </row>
    <row r="304" ht="14.25" customHeight="1">
      <c r="A304" s="1"/>
      <c r="B304" s="2"/>
      <c r="C304" s="3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96"/>
      <c r="AJ304" s="96"/>
      <c r="AK304" s="3"/>
      <c r="AL304" s="3"/>
      <c r="AM304" s="4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ht="14.25" customHeight="1">
      <c r="A305" s="1"/>
      <c r="B305" s="2"/>
      <c r="C305" s="3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176"/>
      <c r="AJ305" s="176"/>
      <c r="AK305" s="3"/>
      <c r="AL305" s="3"/>
      <c r="AM305" s="4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ht="14.25" customHeight="1">
      <c r="A306" s="3"/>
      <c r="B306" s="215">
        <v>46296</v>
      </c>
      <c r="C306" s="94"/>
      <c r="D306" s="104"/>
      <c r="E306" s="97"/>
      <c r="F306" s="97"/>
      <c r="G306" s="216">
        <f ref="G306:G336" t="shared" si="177">+C306+D306+E306+F306</f>
        <v>0</v>
      </c>
      <c r="H306" s="187"/>
      <c r="I306" s="186"/>
      <c r="J306" s="186"/>
      <c r="K306" s="186"/>
      <c r="L306" s="186"/>
      <c r="M306" s="186"/>
      <c r="N306" s="186"/>
      <c r="O306" s="186"/>
      <c r="P306" s="186"/>
      <c r="Q306" s="186"/>
      <c r="R306" s="186"/>
      <c r="S306" s="186"/>
      <c r="T306" s="186"/>
      <c r="U306" s="143"/>
      <c r="V306" s="103">
        <f ref="V306:V309" t="shared" si="178">SUM(H306:U306)</f>
        <v>0</v>
      </c>
      <c r="W306" s="186"/>
      <c r="X306" s="186"/>
      <c r="Y306" s="186"/>
      <c r="Z306" s="186"/>
      <c r="AA306" s="186"/>
      <c r="AB306" s="186"/>
      <c r="AC306" s="186"/>
      <c r="AD306" s="186"/>
      <c r="AE306" s="186"/>
      <c r="AF306" s="186"/>
      <c r="AG306" s="186"/>
      <c r="AH306" s="186"/>
      <c r="AI306" s="103">
        <f ref="AI306:AI336" t="shared" si="179">SUM(W306:AH306)</f>
        <v>0</v>
      </c>
      <c r="AJ306" s="104"/>
      <c r="AK306" s="104"/>
      <c r="AL306" s="104"/>
      <c r="AM306" s="191">
        <f ref="AM306:AM336" t="shared" si="180">SUM(AJ306:AL306)</f>
        <v>0</v>
      </c>
      <c r="AN306" s="186"/>
      <c r="AO306" s="186"/>
      <c r="AP306" s="186"/>
      <c r="AQ306" s="186"/>
      <c r="AR306" s="193"/>
      <c r="AS306" s="219">
        <f ref="AS306:AS336" t="shared" si="181">+G306-V306-AI306-AM306-AN306-AP306-AQ306-AR306</f>
        <v>0</v>
      </c>
      <c r="AT306" s="109"/>
      <c r="AU306" s="110"/>
      <c r="AV306" s="109"/>
      <c r="AW306" s="269"/>
      <c r="AX306" s="109"/>
      <c r="AY306" s="270"/>
      <c r="AZ306" s="109"/>
      <c r="BA306" s="269"/>
      <c r="BB306" s="269"/>
      <c r="BC306" s="269"/>
      <c r="BD306" s="269"/>
      <c r="BE306" s="272">
        <f ref="BE306:BE336" t="shared" si="182">SUM(AT306:BD306)-BC306</f>
        <v>0</v>
      </c>
      <c r="BF306" s="114">
        <f ref="BF306:BF336" t="shared" si="183">+AS306-BE306</f>
        <v>0</v>
      </c>
      <c r="BG306" s="3"/>
      <c r="BH306" s="114">
        <f ref="BH306:BH336" t="shared" si="184">SUM(BI306:BU306)</f>
        <v>0</v>
      </c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6">
        <f ref="BV306:BV336" t="shared" si="185">+BF306-BH306</f>
        <v>0</v>
      </c>
      <c r="BW306" s="3"/>
    </row>
    <row r="307" ht="14.25" customHeight="1">
      <c r="A307" s="3"/>
      <c r="B307" s="215">
        <v>46297</v>
      </c>
      <c r="C307" s="118"/>
      <c r="D307" s="123"/>
      <c r="E307" s="120"/>
      <c r="F307" s="120"/>
      <c r="G307" s="147">
        <f t="shared" si="177"/>
        <v>0</v>
      </c>
      <c r="H307" s="144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03">
        <f t="shared" si="178"/>
        <v>0</v>
      </c>
      <c r="W307" s="143"/>
      <c r="X307" s="143"/>
      <c r="Y307" s="143"/>
      <c r="Z307" s="143"/>
      <c r="AA307" s="143"/>
      <c r="AB307" s="143"/>
      <c r="AC307" s="143"/>
      <c r="AD307" s="143"/>
      <c r="AE307" s="143"/>
      <c r="AF307" s="143"/>
      <c r="AG307" s="143"/>
      <c r="AH307" s="143"/>
      <c r="AI307" s="103">
        <f t="shared" si="179"/>
        <v>0</v>
      </c>
      <c r="AJ307" s="123"/>
      <c r="AK307" s="123"/>
      <c r="AL307" s="123"/>
      <c r="AM307" s="105">
        <f t="shared" si="180"/>
        <v>0</v>
      </c>
      <c r="AN307" s="143"/>
      <c r="AO307" s="143"/>
      <c r="AP307" s="143"/>
      <c r="AQ307" s="143"/>
      <c r="AR307" s="146"/>
      <c r="AS307" s="224">
        <f t="shared" si="181"/>
        <v>0</v>
      </c>
      <c r="AT307" s="126"/>
      <c r="AU307" s="127"/>
      <c r="AV307" s="126"/>
      <c r="AW307" s="274"/>
      <c r="AX307" s="126"/>
      <c r="AY307" s="275"/>
      <c r="AZ307" s="126"/>
      <c r="BA307" s="274"/>
      <c r="BB307" s="274"/>
      <c r="BC307" s="274"/>
      <c r="BD307" s="274"/>
      <c r="BE307" s="222">
        <f t="shared" si="182"/>
        <v>0</v>
      </c>
      <c r="BF307" s="113">
        <f t="shared" si="183"/>
        <v>0</v>
      </c>
      <c r="BG307" s="3"/>
      <c r="BH307" s="113">
        <f t="shared" si="184"/>
        <v>0</v>
      </c>
      <c r="BI307" s="129"/>
      <c r="BJ307" s="129"/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30">
        <f t="shared" si="185"/>
        <v>0</v>
      </c>
      <c r="BW307" s="3"/>
    </row>
    <row r="308" ht="14.25" customHeight="1">
      <c r="A308" s="3"/>
      <c r="B308" s="215">
        <v>46298</v>
      </c>
      <c r="C308" s="118"/>
      <c r="D308" s="123"/>
      <c r="E308" s="120"/>
      <c r="F308" s="120"/>
      <c r="G308" s="147">
        <f t="shared" si="177"/>
        <v>0</v>
      </c>
      <c r="H308" s="144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03">
        <f t="shared" si="178"/>
        <v>0</v>
      </c>
      <c r="W308" s="143"/>
      <c r="X308" s="143"/>
      <c r="Y308" s="143"/>
      <c r="Z308" s="143"/>
      <c r="AA308" s="143"/>
      <c r="AB308" s="143"/>
      <c r="AC308" s="143"/>
      <c r="AD308" s="143"/>
      <c r="AE308" s="143"/>
      <c r="AF308" s="143"/>
      <c r="AG308" s="143"/>
      <c r="AH308" s="143"/>
      <c r="AI308" s="103">
        <f t="shared" si="179"/>
        <v>0</v>
      </c>
      <c r="AJ308" s="123"/>
      <c r="AK308" s="123"/>
      <c r="AL308" s="123"/>
      <c r="AM308" s="105">
        <f t="shared" si="180"/>
        <v>0</v>
      </c>
      <c r="AN308" s="143"/>
      <c r="AO308" s="143"/>
      <c r="AP308" s="143"/>
      <c r="AQ308" s="143"/>
      <c r="AR308" s="146"/>
      <c r="AS308" s="224">
        <f t="shared" si="181"/>
        <v>0</v>
      </c>
      <c r="AT308" s="126"/>
      <c r="AU308" s="127"/>
      <c r="AV308" s="126"/>
      <c r="AW308" s="274"/>
      <c r="AX308" s="126"/>
      <c r="AY308" s="275"/>
      <c r="AZ308" s="126"/>
      <c r="BA308" s="274"/>
      <c r="BB308" s="274"/>
      <c r="BC308" s="274"/>
      <c r="BD308" s="274"/>
      <c r="BE308" s="222">
        <f t="shared" si="182"/>
        <v>0</v>
      </c>
      <c r="BF308" s="113">
        <f t="shared" si="183"/>
        <v>0</v>
      </c>
      <c r="BG308" s="3"/>
      <c r="BH308" s="113">
        <f t="shared" si="184"/>
        <v>0</v>
      </c>
      <c r="BI308" s="129"/>
      <c r="BJ308" s="129"/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30">
        <f t="shared" si="185"/>
        <v>0</v>
      </c>
      <c r="BW308" s="3"/>
    </row>
    <row r="309" ht="14.25" customHeight="1">
      <c r="A309" s="3"/>
      <c r="B309" s="215">
        <v>46299</v>
      </c>
      <c r="C309" s="118"/>
      <c r="D309" s="123"/>
      <c r="E309" s="120"/>
      <c r="F309" s="120"/>
      <c r="G309" s="147">
        <f t="shared" si="177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03">
        <f t="shared" si="178"/>
        <v>0</v>
      </c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43"/>
      <c r="AH309" s="143"/>
      <c r="AI309" s="103">
        <f t="shared" si="179"/>
        <v>0</v>
      </c>
      <c r="AJ309" s="123"/>
      <c r="AK309" s="123"/>
      <c r="AL309" s="123"/>
      <c r="AM309" s="105">
        <f t="shared" si="180"/>
        <v>0</v>
      </c>
      <c r="AN309" s="143"/>
      <c r="AO309" s="143"/>
      <c r="AP309" s="143"/>
      <c r="AQ309" s="143"/>
      <c r="AR309" s="146"/>
      <c r="AS309" s="224">
        <f t="shared" si="181"/>
        <v>0</v>
      </c>
      <c r="AT309" s="126"/>
      <c r="AU309" s="127"/>
      <c r="AV309" s="126"/>
      <c r="AW309" s="274"/>
      <c r="AX309" s="126"/>
      <c r="AY309" s="275"/>
      <c r="AZ309" s="126"/>
      <c r="BA309" s="274"/>
      <c r="BB309" s="274"/>
      <c r="BC309" s="274"/>
      <c r="BD309" s="274"/>
      <c r="BE309" s="222">
        <f t="shared" si="182"/>
        <v>0</v>
      </c>
      <c r="BF309" s="113">
        <f t="shared" si="183"/>
        <v>0</v>
      </c>
      <c r="BG309" s="3"/>
      <c r="BH309" s="113">
        <f t="shared" si="184"/>
        <v>0</v>
      </c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30">
        <f t="shared" si="185"/>
        <v>0</v>
      </c>
      <c r="BW309" s="3"/>
    </row>
    <row r="310" ht="14.25" customHeight="1">
      <c r="A310" s="3"/>
      <c r="B310" s="215">
        <v>46300</v>
      </c>
      <c r="C310" s="118"/>
      <c r="D310" s="123"/>
      <c r="E310" s="120"/>
      <c r="F310" s="120"/>
      <c r="G310" s="147">
        <f t="shared" si="177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03">
        <f>SUM(H310:T310)</f>
        <v>0</v>
      </c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43"/>
      <c r="AI310" s="103">
        <f t="shared" si="179"/>
        <v>0</v>
      </c>
      <c r="AJ310" s="123"/>
      <c r="AK310" s="123"/>
      <c r="AL310" s="123"/>
      <c r="AM310" s="105">
        <f t="shared" si="180"/>
        <v>0</v>
      </c>
      <c r="AN310" s="143"/>
      <c r="AO310" s="143"/>
      <c r="AP310" s="143"/>
      <c r="AQ310" s="143"/>
      <c r="AR310" s="146"/>
      <c r="AS310" s="224">
        <f t="shared" si="181"/>
        <v>0</v>
      </c>
      <c r="AT310" s="126"/>
      <c r="AU310" s="127"/>
      <c r="AV310" s="126"/>
      <c r="AW310" s="274"/>
      <c r="AX310" s="126"/>
      <c r="AY310" s="275"/>
      <c r="AZ310" s="126"/>
      <c r="BA310" s="274"/>
      <c r="BB310" s="274"/>
      <c r="BC310" s="274"/>
      <c r="BD310" s="274"/>
      <c r="BE310" s="222">
        <f t="shared" si="182"/>
        <v>0</v>
      </c>
      <c r="BF310" s="113">
        <f t="shared" si="183"/>
        <v>0</v>
      </c>
      <c r="BG310" s="3"/>
      <c r="BH310" s="113">
        <f t="shared" si="184"/>
        <v>0</v>
      </c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30">
        <f t="shared" si="185"/>
        <v>0</v>
      </c>
      <c r="BW310" s="3"/>
    </row>
    <row r="311" ht="14.25" customHeight="1">
      <c r="A311" s="3"/>
      <c r="B311" s="215">
        <v>46301</v>
      </c>
      <c r="C311" s="118"/>
      <c r="D311" s="123"/>
      <c r="E311" s="120"/>
      <c r="F311" s="120"/>
      <c r="G311" s="147">
        <f t="shared" si="177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03">
        <f>SUM(H311:U311)</f>
        <v>0</v>
      </c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43"/>
      <c r="AI311" s="103">
        <f t="shared" si="179"/>
        <v>0</v>
      </c>
      <c r="AJ311" s="123"/>
      <c r="AK311" s="123"/>
      <c r="AL311" s="123"/>
      <c r="AM311" s="105">
        <f t="shared" si="180"/>
        <v>0</v>
      </c>
      <c r="AN311" s="143"/>
      <c r="AO311" s="143"/>
      <c r="AP311" s="143"/>
      <c r="AQ311" s="143"/>
      <c r="AR311" s="146"/>
      <c r="AS311" s="224">
        <f t="shared" si="181"/>
        <v>0</v>
      </c>
      <c r="AT311" s="126"/>
      <c r="AU311" s="127"/>
      <c r="AV311" s="126"/>
      <c r="AW311" s="274"/>
      <c r="AX311" s="126"/>
      <c r="AY311" s="275"/>
      <c r="AZ311" s="126"/>
      <c r="BA311" s="274"/>
      <c r="BB311" s="274"/>
      <c r="BC311" s="274"/>
      <c r="BD311" s="274"/>
      <c r="BE311" s="222">
        <f t="shared" si="182"/>
        <v>0</v>
      </c>
      <c r="BF311" s="113">
        <f t="shared" si="183"/>
        <v>0</v>
      </c>
      <c r="BG311" s="3"/>
      <c r="BH311" s="113">
        <f t="shared" si="184"/>
        <v>0</v>
      </c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30">
        <f t="shared" si="185"/>
        <v>0</v>
      </c>
      <c r="BW311" s="3"/>
    </row>
    <row r="312" ht="14.25" customHeight="1">
      <c r="A312" s="132"/>
      <c r="B312" s="215">
        <v>46302</v>
      </c>
      <c r="C312" s="133"/>
      <c r="D312" s="136"/>
      <c r="E312" s="135"/>
      <c r="F312" s="135"/>
      <c r="G312" s="147">
        <f t="shared" si="177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03">
        <f>SUM(H312:T312)</f>
        <v>0</v>
      </c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43"/>
      <c r="AI312" s="103">
        <f t="shared" si="179"/>
        <v>0</v>
      </c>
      <c r="AJ312" s="136"/>
      <c r="AK312" s="136"/>
      <c r="AL312" s="136"/>
      <c r="AM312" s="105">
        <f t="shared" si="180"/>
        <v>0</v>
      </c>
      <c r="AN312" s="143"/>
      <c r="AO312" s="143"/>
      <c r="AP312" s="143"/>
      <c r="AQ312" s="143"/>
      <c r="AR312" s="146"/>
      <c r="AS312" s="224">
        <f t="shared" si="181"/>
        <v>0</v>
      </c>
      <c r="AT312" s="126"/>
      <c r="AU312" s="127"/>
      <c r="AV312" s="126"/>
      <c r="AW312" s="274"/>
      <c r="AX312" s="126"/>
      <c r="AY312" s="275"/>
      <c r="AZ312" s="126"/>
      <c r="BA312" s="274"/>
      <c r="BB312" s="274"/>
      <c r="BC312" s="274"/>
      <c r="BD312" s="274"/>
      <c r="BE312" s="222">
        <f t="shared" si="182"/>
        <v>0</v>
      </c>
      <c r="BF312" s="140">
        <f t="shared" si="183"/>
        <v>0</v>
      </c>
      <c r="BG312" s="132"/>
      <c r="BH312" s="140">
        <f t="shared" si="184"/>
        <v>0</v>
      </c>
      <c r="BI312" s="141"/>
      <c r="BJ312" s="141"/>
      <c r="BK312" s="141"/>
      <c r="BL312" s="141"/>
      <c r="BM312" s="141"/>
      <c r="BN312" s="141"/>
      <c r="BO312" s="141"/>
      <c r="BP312" s="141"/>
      <c r="BQ312" s="141"/>
      <c r="BR312" s="141"/>
      <c r="BS312" s="141"/>
      <c r="BT312" s="141"/>
      <c r="BU312" s="141"/>
      <c r="BV312" s="130">
        <f t="shared" si="185"/>
        <v>0</v>
      </c>
      <c r="BW312" s="132"/>
    </row>
    <row r="313" ht="14.25" customHeight="1">
      <c r="A313" s="132"/>
      <c r="B313" s="215">
        <v>46303</v>
      </c>
      <c r="C313" s="133"/>
      <c r="D313" s="136"/>
      <c r="E313" s="135"/>
      <c r="F313" s="135"/>
      <c r="G313" s="147">
        <f t="shared" si="177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03">
        <f ref="V313:V316" t="shared" si="186">SUM(H313:U313)</f>
        <v>0</v>
      </c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43"/>
      <c r="AI313" s="103">
        <f t="shared" si="179"/>
        <v>0</v>
      </c>
      <c r="AJ313" s="136"/>
      <c r="AK313" s="136"/>
      <c r="AL313" s="136"/>
      <c r="AM313" s="105">
        <f t="shared" si="180"/>
        <v>0</v>
      </c>
      <c r="AN313" s="143"/>
      <c r="AO313" s="143"/>
      <c r="AP313" s="143"/>
      <c r="AQ313" s="143"/>
      <c r="AR313" s="146"/>
      <c r="AS313" s="224">
        <f t="shared" si="181"/>
        <v>0</v>
      </c>
      <c r="AT313" s="126"/>
      <c r="AU313" s="127"/>
      <c r="AV313" s="126"/>
      <c r="AW313" s="274"/>
      <c r="AX313" s="126"/>
      <c r="AY313" s="275"/>
      <c r="AZ313" s="126"/>
      <c r="BA313" s="274"/>
      <c r="BB313" s="274"/>
      <c r="BC313" s="274"/>
      <c r="BD313" s="274"/>
      <c r="BE313" s="222">
        <f t="shared" si="182"/>
        <v>0</v>
      </c>
      <c r="BF313" s="140">
        <f t="shared" si="183"/>
        <v>0</v>
      </c>
      <c r="BG313" s="132"/>
      <c r="BH313" s="140">
        <f t="shared" si="184"/>
        <v>0</v>
      </c>
      <c r="BI313" s="141"/>
      <c r="BJ313" s="141"/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30">
        <f t="shared" si="185"/>
        <v>0</v>
      </c>
      <c r="BW313" s="132"/>
    </row>
    <row r="314" ht="14.25" customHeight="1">
      <c r="A314" s="132"/>
      <c r="B314" s="215">
        <v>46304</v>
      </c>
      <c r="C314" s="133"/>
      <c r="D314" s="136"/>
      <c r="E314" s="135"/>
      <c r="F314" s="135"/>
      <c r="G314" s="147">
        <f t="shared" si="177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03">
        <f t="shared" si="186"/>
        <v>0</v>
      </c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43"/>
      <c r="AI314" s="103">
        <f t="shared" si="179"/>
        <v>0</v>
      </c>
      <c r="AJ314" s="136"/>
      <c r="AK314" s="136"/>
      <c r="AL314" s="136"/>
      <c r="AM314" s="105">
        <f t="shared" si="180"/>
        <v>0</v>
      </c>
      <c r="AN314" s="143"/>
      <c r="AO314" s="143"/>
      <c r="AP314" s="143"/>
      <c r="AQ314" s="143"/>
      <c r="AR314" s="146"/>
      <c r="AS314" s="224">
        <f t="shared" si="181"/>
        <v>0</v>
      </c>
      <c r="AT314" s="126"/>
      <c r="AU314" s="127"/>
      <c r="AV314" s="126"/>
      <c r="AW314" s="274"/>
      <c r="AX314" s="126"/>
      <c r="AY314" s="275"/>
      <c r="AZ314" s="126"/>
      <c r="BA314" s="274"/>
      <c r="BB314" s="274"/>
      <c r="BC314" s="274"/>
      <c r="BD314" s="274"/>
      <c r="BE314" s="222">
        <f t="shared" si="182"/>
        <v>0</v>
      </c>
      <c r="BF314" s="140">
        <f t="shared" si="183"/>
        <v>0</v>
      </c>
      <c r="BG314" s="132"/>
      <c r="BH314" s="140">
        <f t="shared" si="184"/>
        <v>0</v>
      </c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30">
        <f t="shared" si="185"/>
        <v>0</v>
      </c>
      <c r="BW314" s="132"/>
    </row>
    <row r="315" ht="14.25" customHeight="1">
      <c r="A315" s="132"/>
      <c r="B315" s="215">
        <v>46305</v>
      </c>
      <c r="C315" s="133"/>
      <c r="D315" s="136"/>
      <c r="E315" s="135"/>
      <c r="F315" s="135"/>
      <c r="G315" s="147">
        <f t="shared" si="177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03">
        <f t="shared" si="186"/>
        <v>0</v>
      </c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43"/>
      <c r="AI315" s="103">
        <f t="shared" si="179"/>
        <v>0</v>
      </c>
      <c r="AJ315" s="136"/>
      <c r="AK315" s="136"/>
      <c r="AL315" s="136"/>
      <c r="AM315" s="105">
        <f t="shared" si="180"/>
        <v>0</v>
      </c>
      <c r="AN315" s="143"/>
      <c r="AO315" s="143"/>
      <c r="AP315" s="143"/>
      <c r="AQ315" s="143"/>
      <c r="AR315" s="146"/>
      <c r="AS315" s="224">
        <f t="shared" si="181"/>
        <v>0</v>
      </c>
      <c r="AT315" s="126"/>
      <c r="AU315" s="127"/>
      <c r="AV315" s="126"/>
      <c r="AW315" s="274"/>
      <c r="AX315" s="126"/>
      <c r="AY315" s="275"/>
      <c r="AZ315" s="126"/>
      <c r="BA315" s="274"/>
      <c r="BB315" s="274"/>
      <c r="BC315" s="274"/>
      <c r="BD315" s="274"/>
      <c r="BE315" s="222">
        <f t="shared" si="182"/>
        <v>0</v>
      </c>
      <c r="BF315" s="140">
        <f t="shared" si="183"/>
        <v>0</v>
      </c>
      <c r="BG315" s="132"/>
      <c r="BH315" s="140">
        <f t="shared" si="184"/>
        <v>0</v>
      </c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30">
        <f t="shared" si="185"/>
        <v>0</v>
      </c>
      <c r="BW315" s="132"/>
    </row>
    <row r="316" ht="14.25" customHeight="1">
      <c r="A316" s="132"/>
      <c r="B316" s="215">
        <v>46306</v>
      </c>
      <c r="C316" s="133"/>
      <c r="D316" s="136"/>
      <c r="E316" s="135"/>
      <c r="F316" s="135"/>
      <c r="G316" s="147">
        <f t="shared" si="177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03">
        <f t="shared" si="186"/>
        <v>0</v>
      </c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43"/>
      <c r="AI316" s="103">
        <f t="shared" si="179"/>
        <v>0</v>
      </c>
      <c r="AJ316" s="136"/>
      <c r="AK316" s="136"/>
      <c r="AL316" s="136"/>
      <c r="AM316" s="105">
        <f t="shared" si="180"/>
        <v>0</v>
      </c>
      <c r="AN316" s="143"/>
      <c r="AO316" s="143"/>
      <c r="AP316" s="143"/>
      <c r="AQ316" s="143"/>
      <c r="AR316" s="146"/>
      <c r="AS316" s="224">
        <f t="shared" si="181"/>
        <v>0</v>
      </c>
      <c r="AT316" s="126"/>
      <c r="AU316" s="127"/>
      <c r="AV316" s="126"/>
      <c r="AW316" s="274"/>
      <c r="AX316" s="126"/>
      <c r="AY316" s="275"/>
      <c r="AZ316" s="126"/>
      <c r="BA316" s="274"/>
      <c r="BB316" s="274"/>
      <c r="BC316" s="274"/>
      <c r="BD316" s="274"/>
      <c r="BE316" s="222">
        <f t="shared" si="182"/>
        <v>0</v>
      </c>
      <c r="BF316" s="140">
        <f t="shared" si="183"/>
        <v>0</v>
      </c>
      <c r="BG316" s="132"/>
      <c r="BH316" s="140">
        <f t="shared" si="184"/>
        <v>0</v>
      </c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30">
        <f t="shared" si="185"/>
        <v>0</v>
      </c>
      <c r="BW316" s="132"/>
    </row>
    <row r="317" ht="14.25" customHeight="1">
      <c r="A317" s="132"/>
      <c r="B317" s="215">
        <v>46307</v>
      </c>
      <c r="C317" s="133"/>
      <c r="D317" s="136"/>
      <c r="E317" s="135"/>
      <c r="F317" s="135"/>
      <c r="G317" s="147">
        <f t="shared" si="177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03">
        <f ref="V317:V318" t="shared" si="187">SUM(H317:T317)</f>
        <v>0</v>
      </c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43"/>
      <c r="AI317" s="103">
        <f t="shared" si="179"/>
        <v>0</v>
      </c>
      <c r="AJ317" s="136"/>
      <c r="AK317" s="136"/>
      <c r="AL317" s="136"/>
      <c r="AM317" s="105">
        <f t="shared" si="180"/>
        <v>0</v>
      </c>
      <c r="AN317" s="143"/>
      <c r="AO317" s="143"/>
      <c r="AP317" s="143"/>
      <c r="AQ317" s="143"/>
      <c r="AR317" s="146"/>
      <c r="AS317" s="224">
        <f t="shared" si="181"/>
        <v>0</v>
      </c>
      <c r="AT317" s="126"/>
      <c r="AU317" s="127"/>
      <c r="AV317" s="126"/>
      <c r="AW317" s="274"/>
      <c r="AX317" s="126"/>
      <c r="AY317" s="275"/>
      <c r="AZ317" s="126"/>
      <c r="BA317" s="274"/>
      <c r="BB317" s="274"/>
      <c r="BC317" s="274"/>
      <c r="BD317" s="274"/>
      <c r="BE317" s="222">
        <f t="shared" si="182"/>
        <v>0</v>
      </c>
      <c r="BF317" s="140">
        <f t="shared" si="183"/>
        <v>0</v>
      </c>
      <c r="BG317" s="132"/>
      <c r="BH317" s="140">
        <f t="shared" si="184"/>
        <v>0</v>
      </c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30">
        <f t="shared" si="185"/>
        <v>0</v>
      </c>
      <c r="BW317" s="132"/>
    </row>
    <row r="318" ht="14.25" customHeight="1">
      <c r="A318" s="132"/>
      <c r="B318" s="215">
        <v>46308</v>
      </c>
      <c r="C318" s="133"/>
      <c r="D318" s="136"/>
      <c r="E318" s="135"/>
      <c r="F318" s="135"/>
      <c r="G318" s="147">
        <f t="shared" si="177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03">
        <f t="shared" si="187"/>
        <v>0</v>
      </c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43"/>
      <c r="AI318" s="103">
        <f t="shared" si="179"/>
        <v>0</v>
      </c>
      <c r="AJ318" s="136"/>
      <c r="AK318" s="136"/>
      <c r="AL318" s="136"/>
      <c r="AM318" s="105">
        <f t="shared" si="180"/>
        <v>0</v>
      </c>
      <c r="AN318" s="143"/>
      <c r="AO318" s="143"/>
      <c r="AP318" s="143"/>
      <c r="AQ318" s="143"/>
      <c r="AR318" s="146"/>
      <c r="AS318" s="224">
        <f t="shared" si="181"/>
        <v>0</v>
      </c>
      <c r="AT318" s="126"/>
      <c r="AU318" s="127"/>
      <c r="AV318" s="126"/>
      <c r="AW318" s="274"/>
      <c r="AX318" s="126"/>
      <c r="AY318" s="275"/>
      <c r="AZ318" s="126"/>
      <c r="BA318" s="274"/>
      <c r="BB318" s="274"/>
      <c r="BC318" s="274"/>
      <c r="BD318" s="274"/>
      <c r="BE318" s="222">
        <f t="shared" si="182"/>
        <v>0</v>
      </c>
      <c r="BF318" s="140">
        <f t="shared" si="183"/>
        <v>0</v>
      </c>
      <c r="BG318" s="132"/>
      <c r="BH318" s="140">
        <f t="shared" si="184"/>
        <v>0</v>
      </c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30">
        <f t="shared" si="185"/>
        <v>0</v>
      </c>
      <c r="BW318" s="132"/>
    </row>
    <row r="319" ht="14.25" customHeight="1">
      <c r="A319" s="132"/>
      <c r="B319" s="215">
        <v>46309</v>
      </c>
      <c r="C319" s="133"/>
      <c r="D319" s="136"/>
      <c r="E319" s="135"/>
      <c r="F319" s="135"/>
      <c r="G319" s="147">
        <f t="shared" si="177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03">
        <f ref="V319:V323" t="shared" si="188">SUM(H319:U319)</f>
        <v>0</v>
      </c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43"/>
      <c r="AI319" s="103">
        <f t="shared" si="179"/>
        <v>0</v>
      </c>
      <c r="AJ319" s="136"/>
      <c r="AK319" s="136"/>
      <c r="AL319" s="136"/>
      <c r="AM319" s="105">
        <f t="shared" si="180"/>
        <v>0</v>
      </c>
      <c r="AN319" s="143"/>
      <c r="AO319" s="143"/>
      <c r="AP319" s="143"/>
      <c r="AQ319" s="143"/>
      <c r="AR319" s="146"/>
      <c r="AS319" s="224">
        <f t="shared" si="181"/>
        <v>0</v>
      </c>
      <c r="AT319" s="126"/>
      <c r="AU319" s="127"/>
      <c r="AV319" s="126"/>
      <c r="AW319" s="274"/>
      <c r="AX319" s="126"/>
      <c r="AY319" s="275"/>
      <c r="AZ319" s="126"/>
      <c r="BA319" s="274"/>
      <c r="BB319" s="274"/>
      <c r="BC319" s="274"/>
      <c r="BD319" s="274"/>
      <c r="BE319" s="222">
        <f t="shared" si="182"/>
        <v>0</v>
      </c>
      <c r="BF319" s="140">
        <f t="shared" si="183"/>
        <v>0</v>
      </c>
      <c r="BG319" s="132"/>
      <c r="BH319" s="140">
        <f t="shared" si="184"/>
        <v>0</v>
      </c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30">
        <f t="shared" si="185"/>
        <v>0</v>
      </c>
      <c r="BW319" s="132"/>
    </row>
    <row r="320" ht="14.25" customHeight="1">
      <c r="A320" s="132"/>
      <c r="B320" s="215">
        <v>46310</v>
      </c>
      <c r="C320" s="133"/>
      <c r="D320" s="136"/>
      <c r="E320" s="135"/>
      <c r="F320" s="135"/>
      <c r="G320" s="147">
        <f t="shared" si="177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03">
        <f t="shared" si="188"/>
        <v>0</v>
      </c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43"/>
      <c r="AI320" s="103">
        <f t="shared" si="179"/>
        <v>0</v>
      </c>
      <c r="AJ320" s="136"/>
      <c r="AK320" s="136"/>
      <c r="AL320" s="136"/>
      <c r="AM320" s="105">
        <f t="shared" si="180"/>
        <v>0</v>
      </c>
      <c r="AN320" s="143"/>
      <c r="AO320" s="143"/>
      <c r="AP320" s="143"/>
      <c r="AQ320" s="143"/>
      <c r="AR320" s="146"/>
      <c r="AS320" s="224">
        <f t="shared" si="181"/>
        <v>0</v>
      </c>
      <c r="AT320" s="126"/>
      <c r="AU320" s="127"/>
      <c r="AV320" s="126"/>
      <c r="AW320" s="274"/>
      <c r="AX320" s="126"/>
      <c r="AY320" s="275"/>
      <c r="AZ320" s="126"/>
      <c r="BA320" s="274"/>
      <c r="BB320" s="274"/>
      <c r="BC320" s="274"/>
      <c r="BD320" s="274"/>
      <c r="BE320" s="222">
        <f t="shared" si="182"/>
        <v>0</v>
      </c>
      <c r="BF320" s="140">
        <f t="shared" si="183"/>
        <v>0</v>
      </c>
      <c r="BG320" s="132"/>
      <c r="BH320" s="140">
        <f t="shared" si="184"/>
        <v>0</v>
      </c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30">
        <f t="shared" si="185"/>
        <v>0</v>
      </c>
      <c r="BW320" s="132"/>
    </row>
    <row r="321" ht="14.25" customHeight="1">
      <c r="A321" s="132"/>
      <c r="B321" s="215">
        <v>46311</v>
      </c>
      <c r="C321" s="133"/>
      <c r="D321" s="136"/>
      <c r="E321" s="135"/>
      <c r="F321" s="135"/>
      <c r="G321" s="147">
        <f t="shared" si="177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03">
        <f t="shared" si="188"/>
        <v>0</v>
      </c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43"/>
      <c r="AI321" s="103">
        <f t="shared" si="179"/>
        <v>0</v>
      </c>
      <c r="AJ321" s="136"/>
      <c r="AK321" s="136"/>
      <c r="AL321" s="136"/>
      <c r="AM321" s="105">
        <f t="shared" si="180"/>
        <v>0</v>
      </c>
      <c r="AN321" s="143"/>
      <c r="AO321" s="143"/>
      <c r="AP321" s="143"/>
      <c r="AQ321" s="143"/>
      <c r="AR321" s="146"/>
      <c r="AS321" s="224">
        <f t="shared" si="181"/>
        <v>0</v>
      </c>
      <c r="AT321" s="126"/>
      <c r="AU321" s="127"/>
      <c r="AV321" s="126"/>
      <c r="AW321" s="274"/>
      <c r="AX321" s="126"/>
      <c r="AY321" s="275"/>
      <c r="AZ321" s="126"/>
      <c r="BA321" s="274"/>
      <c r="BB321" s="274"/>
      <c r="BC321" s="274"/>
      <c r="BD321" s="274"/>
      <c r="BE321" s="222">
        <f t="shared" si="182"/>
        <v>0</v>
      </c>
      <c r="BF321" s="140">
        <f t="shared" si="183"/>
        <v>0</v>
      </c>
      <c r="BG321" s="132"/>
      <c r="BH321" s="140">
        <f t="shared" si="184"/>
        <v>0</v>
      </c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30">
        <f t="shared" si="185"/>
        <v>0</v>
      </c>
      <c r="BW321" s="132"/>
    </row>
    <row r="322" ht="14.25" customHeight="1">
      <c r="A322" s="132"/>
      <c r="B322" s="215">
        <v>46312</v>
      </c>
      <c r="C322" s="133"/>
      <c r="D322" s="136"/>
      <c r="E322" s="135"/>
      <c r="F322" s="135"/>
      <c r="G322" s="147">
        <f t="shared" si="177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03">
        <f t="shared" si="188"/>
        <v>0</v>
      </c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43"/>
      <c r="AI322" s="103">
        <f t="shared" si="179"/>
        <v>0</v>
      </c>
      <c r="AJ322" s="136"/>
      <c r="AK322" s="136"/>
      <c r="AL322" s="136"/>
      <c r="AM322" s="105">
        <f t="shared" si="180"/>
        <v>0</v>
      </c>
      <c r="AN322" s="143"/>
      <c r="AO322" s="143"/>
      <c r="AP322" s="143"/>
      <c r="AQ322" s="143"/>
      <c r="AR322" s="146"/>
      <c r="AS322" s="224">
        <f t="shared" si="181"/>
        <v>0</v>
      </c>
      <c r="AT322" s="126"/>
      <c r="AU322" s="127"/>
      <c r="AV322" s="126"/>
      <c r="AW322" s="274"/>
      <c r="AX322" s="126"/>
      <c r="AY322" s="275"/>
      <c r="AZ322" s="126"/>
      <c r="BA322" s="274"/>
      <c r="BB322" s="274"/>
      <c r="BC322" s="274"/>
      <c r="BD322" s="274"/>
      <c r="BE322" s="222">
        <f t="shared" si="182"/>
        <v>0</v>
      </c>
      <c r="BF322" s="140">
        <f t="shared" si="183"/>
        <v>0</v>
      </c>
      <c r="BG322" s="132"/>
      <c r="BH322" s="140">
        <f t="shared" si="184"/>
        <v>0</v>
      </c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30">
        <f t="shared" si="185"/>
        <v>0</v>
      </c>
      <c r="BW322" s="132"/>
    </row>
    <row r="323" ht="14.25" customHeight="1">
      <c r="A323" s="132"/>
      <c r="B323" s="215">
        <v>46313</v>
      </c>
      <c r="C323" s="133"/>
      <c r="D323" s="136"/>
      <c r="E323" s="135"/>
      <c r="F323" s="135"/>
      <c r="G323" s="147">
        <f t="shared" si="177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03">
        <f t="shared" si="188"/>
        <v>0</v>
      </c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43"/>
      <c r="AI323" s="103">
        <f t="shared" si="179"/>
        <v>0</v>
      </c>
      <c r="AJ323" s="136"/>
      <c r="AK323" s="136"/>
      <c r="AL323" s="136"/>
      <c r="AM323" s="105">
        <f t="shared" si="180"/>
        <v>0</v>
      </c>
      <c r="AN323" s="143"/>
      <c r="AO323" s="143"/>
      <c r="AP323" s="143"/>
      <c r="AQ323" s="143"/>
      <c r="AR323" s="146"/>
      <c r="AS323" s="224">
        <f t="shared" si="181"/>
        <v>0</v>
      </c>
      <c r="AT323" s="126"/>
      <c r="AU323" s="127"/>
      <c r="AV323" s="126"/>
      <c r="AW323" s="274"/>
      <c r="AX323" s="126"/>
      <c r="AY323" s="275"/>
      <c r="AZ323" s="126"/>
      <c r="BA323" s="274"/>
      <c r="BB323" s="274"/>
      <c r="BC323" s="274"/>
      <c r="BD323" s="274"/>
      <c r="BE323" s="222">
        <f t="shared" si="182"/>
        <v>0</v>
      </c>
      <c r="BF323" s="140">
        <f t="shared" si="183"/>
        <v>0</v>
      </c>
      <c r="BG323" s="132"/>
      <c r="BH323" s="140">
        <f t="shared" si="184"/>
        <v>0</v>
      </c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30">
        <f t="shared" si="185"/>
        <v>0</v>
      </c>
      <c r="BW323" s="132"/>
    </row>
    <row r="324" ht="14.25" customHeight="1">
      <c r="A324" s="132"/>
      <c r="B324" s="215">
        <v>46314</v>
      </c>
      <c r="C324" s="133"/>
      <c r="D324" s="136"/>
      <c r="E324" s="135"/>
      <c r="F324" s="135"/>
      <c r="G324" s="147">
        <f t="shared" si="177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03">
        <f>SUM(H324:T324)</f>
        <v>0</v>
      </c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43"/>
      <c r="AI324" s="103">
        <f t="shared" si="179"/>
        <v>0</v>
      </c>
      <c r="AJ324" s="136"/>
      <c r="AK324" s="136"/>
      <c r="AL324" s="136"/>
      <c r="AM324" s="105">
        <f t="shared" si="180"/>
        <v>0</v>
      </c>
      <c r="AN324" s="143"/>
      <c r="AO324" s="143"/>
      <c r="AP324" s="143"/>
      <c r="AQ324" s="143"/>
      <c r="AR324" s="146"/>
      <c r="AS324" s="224">
        <f t="shared" si="181"/>
        <v>0</v>
      </c>
      <c r="AT324" s="126"/>
      <c r="AU324" s="127"/>
      <c r="AV324" s="126"/>
      <c r="AW324" s="274"/>
      <c r="AX324" s="126"/>
      <c r="AY324" s="275"/>
      <c r="AZ324" s="126"/>
      <c r="BA324" s="274"/>
      <c r="BB324" s="274"/>
      <c r="BC324" s="274"/>
      <c r="BD324" s="274"/>
      <c r="BE324" s="222">
        <f t="shared" si="182"/>
        <v>0</v>
      </c>
      <c r="BF324" s="140">
        <f t="shared" si="183"/>
        <v>0</v>
      </c>
      <c r="BG324" s="132"/>
      <c r="BH324" s="140">
        <f t="shared" si="184"/>
        <v>0</v>
      </c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30">
        <f t="shared" si="185"/>
        <v>0</v>
      </c>
      <c r="BW324" s="132"/>
    </row>
    <row r="325" ht="14.25" customHeight="1">
      <c r="A325" s="132"/>
      <c r="B325" s="215">
        <v>46315</v>
      </c>
      <c r="C325" s="133"/>
      <c r="D325" s="136"/>
      <c r="E325" s="135"/>
      <c r="F325" s="135"/>
      <c r="G325" s="147">
        <f t="shared" si="177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03">
        <f ref="V325:V327" t="shared" si="189">SUM(H325:U325)</f>
        <v>0</v>
      </c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43"/>
      <c r="AI325" s="103">
        <f t="shared" si="179"/>
        <v>0</v>
      </c>
      <c r="AJ325" s="136"/>
      <c r="AK325" s="136"/>
      <c r="AL325" s="136"/>
      <c r="AM325" s="105">
        <f t="shared" si="180"/>
        <v>0</v>
      </c>
      <c r="AN325" s="143"/>
      <c r="AO325" s="143"/>
      <c r="AP325" s="143"/>
      <c r="AQ325" s="143"/>
      <c r="AR325" s="146"/>
      <c r="AS325" s="224">
        <f t="shared" si="181"/>
        <v>0</v>
      </c>
      <c r="AT325" s="126"/>
      <c r="AU325" s="127"/>
      <c r="AV325" s="126"/>
      <c r="AW325" s="274"/>
      <c r="AX325" s="126"/>
      <c r="AY325" s="275"/>
      <c r="AZ325" s="126"/>
      <c r="BA325" s="274"/>
      <c r="BB325" s="274"/>
      <c r="BC325" s="274"/>
      <c r="BD325" s="274"/>
      <c r="BE325" s="222">
        <f t="shared" si="182"/>
        <v>0</v>
      </c>
      <c r="BF325" s="140">
        <f t="shared" si="183"/>
        <v>0</v>
      </c>
      <c r="BG325" s="132"/>
      <c r="BH325" s="140">
        <f t="shared" si="184"/>
        <v>0</v>
      </c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30">
        <f t="shared" si="185"/>
        <v>0</v>
      </c>
      <c r="BW325" s="132"/>
    </row>
    <row r="326" ht="14.25" customHeight="1">
      <c r="A326" s="132"/>
      <c r="B326" s="215">
        <v>46316</v>
      </c>
      <c r="C326" s="133"/>
      <c r="D326" s="136"/>
      <c r="E326" s="135"/>
      <c r="F326" s="135"/>
      <c r="G326" s="147">
        <f t="shared" si="177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03">
        <f t="shared" si="189"/>
        <v>0</v>
      </c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43"/>
      <c r="AI326" s="103">
        <f t="shared" si="179"/>
        <v>0</v>
      </c>
      <c r="AJ326" s="136"/>
      <c r="AK326" s="136"/>
      <c r="AL326" s="136"/>
      <c r="AM326" s="105">
        <f t="shared" si="180"/>
        <v>0</v>
      </c>
      <c r="AN326" s="143"/>
      <c r="AO326" s="143"/>
      <c r="AP326" s="143"/>
      <c r="AQ326" s="143"/>
      <c r="AR326" s="146"/>
      <c r="AS326" s="224">
        <f t="shared" si="181"/>
        <v>0</v>
      </c>
      <c r="AT326" s="126"/>
      <c r="AU326" s="127"/>
      <c r="AV326" s="126"/>
      <c r="AW326" s="274"/>
      <c r="AX326" s="126"/>
      <c r="AY326" s="275"/>
      <c r="AZ326" s="126"/>
      <c r="BA326" s="274"/>
      <c r="BB326" s="274"/>
      <c r="BC326" s="274"/>
      <c r="BD326" s="274"/>
      <c r="BE326" s="222">
        <f t="shared" si="182"/>
        <v>0</v>
      </c>
      <c r="BF326" s="140">
        <f t="shared" si="183"/>
        <v>0</v>
      </c>
      <c r="BG326" s="132"/>
      <c r="BH326" s="140">
        <f t="shared" si="184"/>
        <v>0</v>
      </c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30">
        <f t="shared" si="185"/>
        <v>0</v>
      </c>
      <c r="BW326" s="132"/>
    </row>
    <row r="327" ht="14.25" customHeight="1">
      <c r="A327" s="132"/>
      <c r="B327" s="215">
        <v>46317</v>
      </c>
      <c r="C327" s="133"/>
      <c r="D327" s="136"/>
      <c r="E327" s="135"/>
      <c r="F327" s="135"/>
      <c r="G327" s="147">
        <f t="shared" si="177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03">
        <f t="shared" si="189"/>
        <v>0</v>
      </c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43"/>
      <c r="AI327" s="103">
        <f t="shared" si="179"/>
        <v>0</v>
      </c>
      <c r="AJ327" s="136"/>
      <c r="AK327" s="136"/>
      <c r="AL327" s="136"/>
      <c r="AM327" s="105">
        <f t="shared" si="180"/>
        <v>0</v>
      </c>
      <c r="AN327" s="143"/>
      <c r="AO327" s="143"/>
      <c r="AP327" s="143"/>
      <c r="AQ327" s="143"/>
      <c r="AR327" s="146"/>
      <c r="AS327" s="224">
        <f t="shared" si="181"/>
        <v>0</v>
      </c>
      <c r="AT327" s="126"/>
      <c r="AU327" s="127"/>
      <c r="AV327" s="126"/>
      <c r="AW327" s="274"/>
      <c r="AX327" s="126"/>
      <c r="AY327" s="275"/>
      <c r="AZ327" s="126"/>
      <c r="BA327" s="274"/>
      <c r="BB327" s="274"/>
      <c r="BC327" s="274"/>
      <c r="BD327" s="274"/>
      <c r="BE327" s="222">
        <f t="shared" si="182"/>
        <v>0</v>
      </c>
      <c r="BF327" s="140">
        <f t="shared" si="183"/>
        <v>0</v>
      </c>
      <c r="BG327" s="132"/>
      <c r="BH327" s="140">
        <f t="shared" si="184"/>
        <v>0</v>
      </c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30">
        <f t="shared" si="185"/>
        <v>0</v>
      </c>
      <c r="BW327" s="132"/>
    </row>
    <row r="328" ht="14.25" customHeight="1">
      <c r="A328" s="132"/>
      <c r="B328" s="215">
        <v>46318</v>
      </c>
      <c r="C328" s="133"/>
      <c r="D328" s="136"/>
      <c r="E328" s="135"/>
      <c r="F328" s="135"/>
      <c r="G328" s="147">
        <f t="shared" si="177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03">
        <f>SUM(H328:T328)</f>
        <v>0</v>
      </c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43"/>
      <c r="AI328" s="103">
        <f t="shared" si="179"/>
        <v>0</v>
      </c>
      <c r="AJ328" s="136"/>
      <c r="AK328" s="136"/>
      <c r="AL328" s="136"/>
      <c r="AM328" s="105">
        <f t="shared" si="180"/>
        <v>0</v>
      </c>
      <c r="AN328" s="143"/>
      <c r="AO328" s="143"/>
      <c r="AP328" s="143"/>
      <c r="AQ328" s="143"/>
      <c r="AR328" s="146"/>
      <c r="AS328" s="224">
        <f t="shared" si="181"/>
        <v>0</v>
      </c>
      <c r="AT328" s="126"/>
      <c r="AU328" s="127"/>
      <c r="AV328" s="126"/>
      <c r="AW328" s="274"/>
      <c r="AX328" s="126"/>
      <c r="AY328" s="275"/>
      <c r="AZ328" s="126"/>
      <c r="BA328" s="274"/>
      <c r="BB328" s="274"/>
      <c r="BC328" s="274"/>
      <c r="BD328" s="274"/>
      <c r="BE328" s="222">
        <f t="shared" si="182"/>
        <v>0</v>
      </c>
      <c r="BF328" s="140">
        <f t="shared" si="183"/>
        <v>0</v>
      </c>
      <c r="BG328" s="132"/>
      <c r="BH328" s="140">
        <f t="shared" si="184"/>
        <v>0</v>
      </c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30">
        <f t="shared" si="185"/>
        <v>0</v>
      </c>
      <c r="BW328" s="132"/>
    </row>
    <row r="329" ht="14.25" customHeight="1">
      <c r="A329" s="132"/>
      <c r="B329" s="215">
        <v>46319</v>
      </c>
      <c r="C329" s="133"/>
      <c r="D329" s="136"/>
      <c r="E329" s="135"/>
      <c r="F329" s="135"/>
      <c r="G329" s="147">
        <f t="shared" si="177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03">
        <f ref="V329:V330" t="shared" si="190">SUM(H329:U329)</f>
        <v>0</v>
      </c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43"/>
      <c r="AI329" s="103">
        <f t="shared" si="179"/>
        <v>0</v>
      </c>
      <c r="AJ329" s="136"/>
      <c r="AK329" s="136"/>
      <c r="AL329" s="136"/>
      <c r="AM329" s="105">
        <f t="shared" si="180"/>
        <v>0</v>
      </c>
      <c r="AN329" s="143"/>
      <c r="AO329" s="143"/>
      <c r="AP329" s="143"/>
      <c r="AQ329" s="143"/>
      <c r="AR329" s="146"/>
      <c r="AS329" s="224">
        <f t="shared" si="181"/>
        <v>0</v>
      </c>
      <c r="AT329" s="126"/>
      <c r="AU329" s="127"/>
      <c r="AV329" s="126"/>
      <c r="AW329" s="274"/>
      <c r="AX329" s="126"/>
      <c r="AY329" s="275"/>
      <c r="AZ329" s="126"/>
      <c r="BA329" s="274"/>
      <c r="BB329" s="274"/>
      <c r="BC329" s="274"/>
      <c r="BD329" s="274"/>
      <c r="BE329" s="222">
        <f t="shared" si="182"/>
        <v>0</v>
      </c>
      <c r="BF329" s="140">
        <f t="shared" si="183"/>
        <v>0</v>
      </c>
      <c r="BG329" s="132"/>
      <c r="BH329" s="140">
        <f t="shared" si="184"/>
        <v>0</v>
      </c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30">
        <f t="shared" si="185"/>
        <v>0</v>
      </c>
      <c r="BW329" s="132"/>
    </row>
    <row r="330" ht="14.25" customHeight="1">
      <c r="A330" s="132"/>
      <c r="B330" s="215">
        <v>46320</v>
      </c>
      <c r="C330" s="133"/>
      <c r="D330" s="136"/>
      <c r="E330" s="135"/>
      <c r="F330" s="135"/>
      <c r="G330" s="147">
        <f t="shared" si="177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03">
        <f t="shared" si="190"/>
        <v>0</v>
      </c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43"/>
      <c r="AI330" s="103">
        <f t="shared" si="179"/>
        <v>0</v>
      </c>
      <c r="AJ330" s="136"/>
      <c r="AK330" s="136"/>
      <c r="AL330" s="136"/>
      <c r="AM330" s="105">
        <f t="shared" si="180"/>
        <v>0</v>
      </c>
      <c r="AN330" s="143"/>
      <c r="AO330" s="143"/>
      <c r="AP330" s="143"/>
      <c r="AQ330" s="143"/>
      <c r="AR330" s="146"/>
      <c r="AS330" s="224">
        <f t="shared" si="181"/>
        <v>0</v>
      </c>
      <c r="AT330" s="126"/>
      <c r="AU330" s="127"/>
      <c r="AV330" s="126"/>
      <c r="AW330" s="274"/>
      <c r="AX330" s="126"/>
      <c r="AY330" s="275"/>
      <c r="AZ330" s="126"/>
      <c r="BA330" s="274"/>
      <c r="BB330" s="274"/>
      <c r="BC330" s="274"/>
      <c r="BD330" s="274"/>
      <c r="BE330" s="222">
        <f t="shared" si="182"/>
        <v>0</v>
      </c>
      <c r="BF330" s="140">
        <f t="shared" si="183"/>
        <v>0</v>
      </c>
      <c r="BG330" s="132"/>
      <c r="BH330" s="140">
        <f t="shared" si="184"/>
        <v>0</v>
      </c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30">
        <f t="shared" si="185"/>
        <v>0</v>
      </c>
      <c r="BW330" s="132"/>
    </row>
    <row r="331" ht="14.25" customHeight="1">
      <c r="A331" s="132"/>
      <c r="B331" s="215">
        <v>46321</v>
      </c>
      <c r="C331" s="133"/>
      <c r="D331" s="136"/>
      <c r="E331" s="135"/>
      <c r="F331" s="135"/>
      <c r="G331" s="147">
        <f t="shared" si="177"/>
        <v>0</v>
      </c>
      <c r="H331" s="144"/>
      <c r="I331" s="143"/>
      <c r="J331" s="143"/>
      <c r="K331" s="143"/>
      <c r="L331" s="143"/>
      <c r="M331" s="143"/>
      <c r="N331" s="99"/>
      <c r="O331" s="143"/>
      <c r="P331" s="143"/>
      <c r="Q331" s="143"/>
      <c r="R331" s="143"/>
      <c r="S331" s="143"/>
      <c r="T331" s="143"/>
      <c r="U331" s="143"/>
      <c r="V331" s="103">
        <f>SUM(H331:T331)</f>
        <v>0</v>
      </c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43"/>
      <c r="AI331" s="103">
        <f t="shared" si="179"/>
        <v>0</v>
      </c>
      <c r="AJ331" s="136"/>
      <c r="AK331" s="136"/>
      <c r="AL331" s="136"/>
      <c r="AM331" s="105">
        <f t="shared" si="180"/>
        <v>0</v>
      </c>
      <c r="AN331" s="143"/>
      <c r="AO331" s="143"/>
      <c r="AP331" s="143"/>
      <c r="AQ331" s="143"/>
      <c r="AR331" s="146"/>
      <c r="AS331" s="224">
        <f t="shared" si="181"/>
        <v>0</v>
      </c>
      <c r="AT331" s="126"/>
      <c r="AU331" s="127"/>
      <c r="AV331" s="126"/>
      <c r="AW331" s="274"/>
      <c r="AX331" s="126"/>
      <c r="AY331" s="275"/>
      <c r="AZ331" s="126"/>
      <c r="BA331" s="274"/>
      <c r="BB331" s="274"/>
      <c r="BC331" s="274"/>
      <c r="BD331" s="274"/>
      <c r="BE331" s="222">
        <f t="shared" si="182"/>
        <v>0</v>
      </c>
      <c r="BF331" s="140">
        <f t="shared" si="183"/>
        <v>0</v>
      </c>
      <c r="BG331" s="132"/>
      <c r="BH331" s="140">
        <f t="shared" si="184"/>
        <v>0</v>
      </c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30">
        <f t="shared" si="185"/>
        <v>0</v>
      </c>
      <c r="BW331" s="132"/>
    </row>
    <row r="332" ht="14.25" customHeight="1">
      <c r="A332" s="132"/>
      <c r="B332" s="215">
        <v>46322</v>
      </c>
      <c r="C332" s="133"/>
      <c r="D332" s="136"/>
      <c r="E332" s="135"/>
      <c r="F332" s="135"/>
      <c r="G332" s="147">
        <f t="shared" si="177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03">
        <f ref="V332:V336" t="shared" si="191">SUM(H332:U332)</f>
        <v>0</v>
      </c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43"/>
      <c r="AI332" s="103">
        <f t="shared" si="179"/>
        <v>0</v>
      </c>
      <c r="AJ332" s="136"/>
      <c r="AK332" s="136"/>
      <c r="AL332" s="136"/>
      <c r="AM332" s="105">
        <f t="shared" si="180"/>
        <v>0</v>
      </c>
      <c r="AN332" s="143"/>
      <c r="AO332" s="143"/>
      <c r="AP332" s="143"/>
      <c r="AQ332" s="143"/>
      <c r="AR332" s="146"/>
      <c r="AS332" s="224">
        <f t="shared" si="181"/>
        <v>0</v>
      </c>
      <c r="AT332" s="126"/>
      <c r="AU332" s="127"/>
      <c r="AV332" s="126"/>
      <c r="AW332" s="274"/>
      <c r="AX332" s="126"/>
      <c r="AY332" s="275"/>
      <c r="AZ332" s="126"/>
      <c r="BA332" s="274"/>
      <c r="BB332" s="274"/>
      <c r="BC332" s="274"/>
      <c r="BD332" s="274"/>
      <c r="BE332" s="222">
        <f t="shared" si="182"/>
        <v>0</v>
      </c>
      <c r="BF332" s="140">
        <f t="shared" si="183"/>
        <v>0</v>
      </c>
      <c r="BG332" s="132"/>
      <c r="BH332" s="140">
        <f t="shared" si="184"/>
        <v>0</v>
      </c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30">
        <f t="shared" si="185"/>
        <v>0</v>
      </c>
      <c r="BW332" s="132"/>
    </row>
    <row r="333" ht="14.25" customHeight="1">
      <c r="A333" s="132"/>
      <c r="B333" s="215">
        <v>46323</v>
      </c>
      <c r="C333" s="133"/>
      <c r="D333" s="136"/>
      <c r="E333" s="135"/>
      <c r="F333" s="135"/>
      <c r="G333" s="147">
        <f t="shared" si="177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03">
        <f t="shared" si="191"/>
        <v>0</v>
      </c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43"/>
      <c r="AI333" s="103">
        <f t="shared" si="179"/>
        <v>0</v>
      </c>
      <c r="AJ333" s="136"/>
      <c r="AK333" s="136"/>
      <c r="AL333" s="136"/>
      <c r="AM333" s="105">
        <f t="shared" si="180"/>
        <v>0</v>
      </c>
      <c r="AN333" s="143"/>
      <c r="AO333" s="143"/>
      <c r="AP333" s="143"/>
      <c r="AQ333" s="143"/>
      <c r="AR333" s="146"/>
      <c r="AS333" s="224">
        <f t="shared" si="181"/>
        <v>0</v>
      </c>
      <c r="AT333" s="126"/>
      <c r="AU333" s="127"/>
      <c r="AV333" s="126"/>
      <c r="AW333" s="274"/>
      <c r="AX333" s="126"/>
      <c r="AY333" s="275"/>
      <c r="AZ333" s="126"/>
      <c r="BA333" s="274"/>
      <c r="BB333" s="274"/>
      <c r="BC333" s="274"/>
      <c r="BD333" s="274"/>
      <c r="BE333" s="222">
        <f t="shared" si="182"/>
        <v>0</v>
      </c>
      <c r="BF333" s="140">
        <f t="shared" si="183"/>
        <v>0</v>
      </c>
      <c r="BG333" s="132"/>
      <c r="BH333" s="140">
        <f t="shared" si="184"/>
        <v>0</v>
      </c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30">
        <f t="shared" si="185"/>
        <v>0</v>
      </c>
      <c r="BW333" s="132"/>
    </row>
    <row r="334" ht="14.25" customHeight="1">
      <c r="A334" s="132"/>
      <c r="B334" s="215">
        <v>46324</v>
      </c>
      <c r="C334" s="133"/>
      <c r="D334" s="136"/>
      <c r="E334" s="135"/>
      <c r="F334" s="135"/>
      <c r="G334" s="147">
        <f t="shared" si="177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03">
        <f t="shared" si="191"/>
        <v>0</v>
      </c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43"/>
      <c r="AI334" s="103">
        <f t="shared" si="179"/>
        <v>0</v>
      </c>
      <c r="AJ334" s="136"/>
      <c r="AK334" s="136"/>
      <c r="AL334" s="136"/>
      <c r="AM334" s="105">
        <f t="shared" si="180"/>
        <v>0</v>
      </c>
      <c r="AN334" s="143"/>
      <c r="AO334" s="143"/>
      <c r="AP334" s="143"/>
      <c r="AQ334" s="143"/>
      <c r="AR334" s="146"/>
      <c r="AS334" s="224">
        <f t="shared" si="181"/>
        <v>0</v>
      </c>
      <c r="AT334" s="126"/>
      <c r="AU334" s="127"/>
      <c r="AV334" s="126"/>
      <c r="AW334" s="274"/>
      <c r="AX334" s="126"/>
      <c r="AY334" s="275"/>
      <c r="AZ334" s="126"/>
      <c r="BA334" s="274"/>
      <c r="BB334" s="274"/>
      <c r="BC334" s="274"/>
      <c r="BD334" s="274"/>
      <c r="BE334" s="222">
        <f t="shared" si="182"/>
        <v>0</v>
      </c>
      <c r="BF334" s="140">
        <f t="shared" si="183"/>
        <v>0</v>
      </c>
      <c r="BG334" s="132"/>
      <c r="BH334" s="140">
        <f t="shared" si="184"/>
        <v>0</v>
      </c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30">
        <f t="shared" si="185"/>
        <v>0</v>
      </c>
      <c r="BW334" s="132"/>
    </row>
    <row r="335" ht="14.25" customHeight="1">
      <c r="A335" s="132"/>
      <c r="B335" s="215">
        <v>46325</v>
      </c>
      <c r="C335" s="133"/>
      <c r="D335" s="136"/>
      <c r="E335" s="135"/>
      <c r="F335" s="135"/>
      <c r="G335" s="147">
        <f t="shared" si="177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03">
        <f t="shared" si="191"/>
        <v>0</v>
      </c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43"/>
      <c r="AI335" s="103">
        <f t="shared" si="179"/>
        <v>0</v>
      </c>
      <c r="AJ335" s="136"/>
      <c r="AK335" s="136"/>
      <c r="AL335" s="136"/>
      <c r="AM335" s="105">
        <f t="shared" si="180"/>
        <v>0</v>
      </c>
      <c r="AN335" s="143"/>
      <c r="AO335" s="143"/>
      <c r="AP335" s="143"/>
      <c r="AQ335" s="143"/>
      <c r="AR335" s="146"/>
      <c r="AS335" s="224">
        <f t="shared" si="181"/>
        <v>0</v>
      </c>
      <c r="AT335" s="126"/>
      <c r="AU335" s="127"/>
      <c r="AV335" s="126"/>
      <c r="AW335" s="274"/>
      <c r="AX335" s="126"/>
      <c r="AY335" s="275"/>
      <c r="AZ335" s="126"/>
      <c r="BA335" s="274"/>
      <c r="BB335" s="274"/>
      <c r="BC335" s="274"/>
      <c r="BD335" s="274"/>
      <c r="BE335" s="222">
        <f t="shared" si="182"/>
        <v>0</v>
      </c>
      <c r="BF335" s="140">
        <f t="shared" si="183"/>
        <v>0</v>
      </c>
      <c r="BG335" s="132"/>
      <c r="BH335" s="140">
        <f t="shared" si="184"/>
        <v>0</v>
      </c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30">
        <f t="shared" si="185"/>
        <v>0</v>
      </c>
      <c r="BW335" s="132"/>
    </row>
    <row r="336" ht="14.25" customHeight="1">
      <c r="A336" s="132"/>
      <c r="B336" s="215">
        <v>46326</v>
      </c>
      <c r="C336" s="153"/>
      <c r="D336" s="159"/>
      <c r="E336" s="156"/>
      <c r="F336" s="156"/>
      <c r="G336" s="147">
        <f t="shared" si="177"/>
        <v>0</v>
      </c>
      <c r="H336" s="612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43"/>
      <c r="V336" s="103">
        <f t="shared" si="191"/>
        <v>0</v>
      </c>
      <c r="W336" s="157"/>
      <c r="X336" s="143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57"/>
      <c r="AI336" s="103">
        <f t="shared" si="179"/>
        <v>0</v>
      </c>
      <c r="AJ336" s="159"/>
      <c r="AK336" s="159"/>
      <c r="AL336" s="159"/>
      <c r="AM336" s="105">
        <f t="shared" si="180"/>
        <v>0</v>
      </c>
      <c r="AN336" s="157"/>
      <c r="AO336" s="157"/>
      <c r="AP336" s="157"/>
      <c r="AQ336" s="157"/>
      <c r="AR336" s="160"/>
      <c r="AS336" s="224">
        <f t="shared" si="181"/>
        <v>0</v>
      </c>
      <c r="AT336" s="138"/>
      <c r="AU336" s="161"/>
      <c r="AV336" s="138"/>
      <c r="AW336" s="296"/>
      <c r="AX336" s="138"/>
      <c r="AY336" s="297"/>
      <c r="AZ336" s="138"/>
      <c r="BA336" s="296"/>
      <c r="BB336" s="296"/>
      <c r="BC336" s="296"/>
      <c r="BD336" s="296"/>
      <c r="BE336" s="222">
        <f t="shared" si="182"/>
        <v>0</v>
      </c>
      <c r="BF336" s="162">
        <f t="shared" si="183"/>
        <v>0</v>
      </c>
      <c r="BG336" s="132"/>
      <c r="BH336" s="162">
        <f t="shared" si="184"/>
        <v>0</v>
      </c>
      <c r="BI336" s="163"/>
      <c r="BJ336" s="163"/>
      <c r="BK336" s="163"/>
      <c r="BL336" s="163"/>
      <c r="BM336" s="163"/>
      <c r="BN336" s="163"/>
      <c r="BO336" s="163"/>
      <c r="BP336" s="163"/>
      <c r="BQ336" s="163"/>
      <c r="BR336" s="141"/>
      <c r="BS336" s="163"/>
      <c r="BT336" s="163"/>
      <c r="BU336" s="163"/>
      <c r="BV336" s="164">
        <f t="shared" si="185"/>
        <v>0</v>
      </c>
      <c r="BW336" s="132"/>
    </row>
    <row r="337" ht="14.25" customHeight="1">
      <c r="A337" s="3"/>
      <c r="B337" s="2" t="s">
        <v>4</v>
      </c>
      <c r="C337" s="166">
        <f ref="C337:Q337" t="shared" si="192">SUM(C306:C336)</f>
        <v>0</v>
      </c>
      <c r="D337" s="166">
        <f t="shared" si="192"/>
        <v>0</v>
      </c>
      <c r="E337" s="166">
        <f t="shared" si="192"/>
        <v>0</v>
      </c>
      <c r="F337" s="166">
        <f t="shared" si="192"/>
        <v>0</v>
      </c>
      <c r="G337" s="166">
        <f t="shared" si="192"/>
        <v>0</v>
      </c>
      <c r="H337" s="166">
        <f t="shared" si="192"/>
        <v>0</v>
      </c>
      <c r="I337" s="166">
        <f t="shared" si="192"/>
        <v>0</v>
      </c>
      <c r="J337" s="166">
        <f t="shared" si="192"/>
        <v>0</v>
      </c>
      <c r="K337" s="166">
        <f t="shared" si="192"/>
        <v>0</v>
      </c>
      <c r="L337" s="166">
        <f t="shared" si="192"/>
        <v>0</v>
      </c>
      <c r="M337" s="166">
        <f t="shared" si="192"/>
        <v>0</v>
      </c>
      <c r="N337" s="166">
        <f t="shared" si="192"/>
        <v>0</v>
      </c>
      <c r="O337" s="166">
        <f t="shared" si="192"/>
        <v>0</v>
      </c>
      <c r="P337" s="166">
        <f t="shared" si="192"/>
        <v>0</v>
      </c>
      <c r="Q337" s="166">
        <f t="shared" si="192"/>
        <v>0</v>
      </c>
      <c r="R337" s="166"/>
      <c r="S337" s="166">
        <f ref="S337:AF337" t="shared" si="193">SUM(S306:S336)</f>
        <v>0</v>
      </c>
      <c r="T337" s="166">
        <f t="shared" si="193"/>
        <v>0</v>
      </c>
      <c r="U337" s="166">
        <f t="shared" si="193"/>
        <v>0</v>
      </c>
      <c r="V337" s="166">
        <f t="shared" si="193"/>
        <v>0</v>
      </c>
      <c r="W337" s="166">
        <f t="shared" si="193"/>
        <v>0</v>
      </c>
      <c r="X337" s="166">
        <f t="shared" si="193"/>
        <v>0</v>
      </c>
      <c r="Y337" s="166">
        <f t="shared" si="193"/>
        <v>0</v>
      </c>
      <c r="Z337" s="166">
        <f t="shared" si="193"/>
        <v>0</v>
      </c>
      <c r="AA337" s="166">
        <f t="shared" si="193"/>
        <v>0</v>
      </c>
      <c r="AB337" s="166">
        <f t="shared" si="193"/>
        <v>0</v>
      </c>
      <c r="AC337" s="166">
        <f t="shared" si="193"/>
        <v>0</v>
      </c>
      <c r="AD337" s="166">
        <f t="shared" si="193"/>
        <v>0</v>
      </c>
      <c r="AE337" s="166">
        <f t="shared" si="193"/>
        <v>0</v>
      </c>
      <c r="AF337" s="166">
        <f t="shared" si="193"/>
        <v>0</v>
      </c>
      <c r="AG337" s="166"/>
      <c r="AH337" s="166">
        <f ref="AH337:AN337" t="shared" si="194">SUM(AH306:AH336)</f>
        <v>0</v>
      </c>
      <c r="AI337" s="166">
        <f t="shared" si="194"/>
        <v>0</v>
      </c>
      <c r="AJ337" s="166">
        <f t="shared" si="194"/>
        <v>0</v>
      </c>
      <c r="AK337" s="166">
        <f t="shared" si="194"/>
        <v>0</v>
      </c>
      <c r="AL337" s="166">
        <f t="shared" si="194"/>
        <v>0</v>
      </c>
      <c r="AM337" s="166">
        <f t="shared" si="194"/>
        <v>0</v>
      </c>
      <c r="AN337" s="166">
        <f t="shared" si="194"/>
        <v>0</v>
      </c>
      <c r="AO337" s="166"/>
      <c r="AP337" s="166">
        <f ref="AP337:BF337" t="shared" si="195">SUM(AP306:AP336)</f>
        <v>0</v>
      </c>
      <c r="AQ337" s="166">
        <f t="shared" si="195"/>
        <v>0</v>
      </c>
      <c r="AR337" s="166">
        <f t="shared" si="195"/>
        <v>0</v>
      </c>
      <c r="AS337" s="166">
        <f t="shared" si="195"/>
        <v>0</v>
      </c>
      <c r="AT337" s="165">
        <f t="shared" si="195"/>
        <v>0</v>
      </c>
      <c r="AU337" s="165">
        <f t="shared" si="195"/>
        <v>0</v>
      </c>
      <c r="AV337" s="165">
        <f t="shared" si="195"/>
        <v>0</v>
      </c>
      <c r="AW337" s="165">
        <f t="shared" si="195"/>
        <v>0</v>
      </c>
      <c r="AX337" s="165">
        <f t="shared" si="195"/>
        <v>0</v>
      </c>
      <c r="AY337" s="165">
        <f t="shared" si="195"/>
        <v>0</v>
      </c>
      <c r="AZ337" s="165">
        <f t="shared" si="195"/>
        <v>0</v>
      </c>
      <c r="BA337" s="165">
        <f t="shared" si="195"/>
        <v>0</v>
      </c>
      <c r="BB337" s="165">
        <f t="shared" si="195"/>
        <v>0</v>
      </c>
      <c r="BC337" s="165">
        <f t="shared" si="195"/>
        <v>0</v>
      </c>
      <c r="BD337" s="165">
        <f t="shared" si="195"/>
        <v>0</v>
      </c>
      <c r="BE337" s="166">
        <f t="shared" si="195"/>
        <v>0</v>
      </c>
      <c r="BF337" s="166">
        <f t="shared" si="195"/>
        <v>0</v>
      </c>
      <c r="BG337" s="235"/>
      <c r="BH337" s="166">
        <f ref="BH337:BV337" t="shared" si="196">SUM(BH306:BH336)</f>
        <v>0</v>
      </c>
      <c r="BI337" s="166">
        <f t="shared" si="196"/>
        <v>0</v>
      </c>
      <c r="BJ337" s="166">
        <f t="shared" si="196"/>
        <v>0</v>
      </c>
      <c r="BK337" s="166">
        <f t="shared" si="196"/>
        <v>0</v>
      </c>
      <c r="BL337" s="166">
        <f t="shared" si="196"/>
        <v>0</v>
      </c>
      <c r="BM337" s="166">
        <f t="shared" si="196"/>
        <v>0</v>
      </c>
      <c r="BN337" s="166">
        <f t="shared" si="196"/>
        <v>0</v>
      </c>
      <c r="BO337" s="166">
        <f t="shared" si="196"/>
        <v>0</v>
      </c>
      <c r="BP337" s="166">
        <f t="shared" si="196"/>
        <v>0</v>
      </c>
      <c r="BQ337" s="166">
        <f t="shared" si="196"/>
        <v>0</v>
      </c>
      <c r="BR337" s="166">
        <f t="shared" si="196"/>
        <v>0</v>
      </c>
      <c r="BS337" s="166">
        <f t="shared" si="196"/>
        <v>0</v>
      </c>
      <c r="BT337" s="166">
        <f t="shared" si="196"/>
        <v>0</v>
      </c>
      <c r="BU337" s="166">
        <f t="shared" si="196"/>
        <v>0</v>
      </c>
      <c r="BV337" s="166">
        <f t="shared" si="196"/>
        <v>0</v>
      </c>
      <c r="BW337" s="235"/>
    </row>
    <row r="338" ht="14.25" customHeight="1">
      <c r="A338" s="1"/>
      <c r="B338" s="2"/>
      <c r="C338" s="3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4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4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ht="14.25" customHeight="1">
      <c r="A339" s="1"/>
      <c r="B339" s="2"/>
      <c r="C339" s="3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176"/>
      <c r="AJ339" s="3"/>
      <c r="AK339" s="3"/>
      <c r="AL339" s="3"/>
      <c r="AM339" s="4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05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ht="14.25" customHeight="1">
      <c r="A340" s="3"/>
      <c r="B340" s="215">
        <v>46327</v>
      </c>
      <c r="C340" s="94"/>
      <c r="D340" s="104"/>
      <c r="E340" s="97"/>
      <c r="F340" s="97"/>
      <c r="G340" s="816">
        <f ref="G340:G369" t="shared" si="197">+C340+D340+E340+F340</f>
        <v>0</v>
      </c>
      <c r="H340" s="186"/>
      <c r="I340" s="186"/>
      <c r="J340" s="186"/>
      <c r="K340" s="186"/>
      <c r="L340" s="186"/>
      <c r="M340" s="186"/>
      <c r="N340" s="186"/>
      <c r="O340" s="186"/>
      <c r="P340" s="186"/>
      <c r="Q340" s="186"/>
      <c r="R340" s="186"/>
      <c r="S340" s="186"/>
      <c r="T340" s="186"/>
      <c r="U340" s="186"/>
      <c r="V340" s="877">
        <f ref="V340:V341" t="shared" si="198">SUM(H340:T340)</f>
        <v>0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03">
        <f ref="AI340:AI369" t="shared" si="199">SUM(W340:AH340)</f>
        <v>0</v>
      </c>
      <c r="AJ340" s="104"/>
      <c r="AK340" s="104"/>
      <c r="AL340" s="104"/>
      <c r="AM340" s="191">
        <f ref="AM340:AM369" t="shared" si="200">SUM(AJ340:AL340)</f>
        <v>0</v>
      </c>
      <c r="AN340" s="186"/>
      <c r="AO340" s="186"/>
      <c r="AP340" s="186"/>
      <c r="AQ340" s="186"/>
      <c r="AR340" s="193"/>
      <c r="AS340" s="219">
        <f ref="AS340:AS369" t="shared" si="201">+G340-V340-AI340-AM340-AN340-AP340-AQ340-AR340</f>
        <v>0</v>
      </c>
      <c r="AT340" s="109"/>
      <c r="AU340" s="110"/>
      <c r="AV340" s="270"/>
      <c r="AW340" s="109"/>
      <c r="AX340" s="110"/>
      <c r="AY340" s="270"/>
      <c r="AZ340" s="109"/>
      <c r="BA340" s="269"/>
      <c r="BB340" s="269"/>
      <c r="BC340" s="269"/>
      <c r="BD340" s="269"/>
      <c r="BE340" s="222">
        <f ref="BE340:BE369" t="shared" si="202">SUM(AT340:BD340)-BC340</f>
        <v>0</v>
      </c>
      <c r="BF340" s="114">
        <f ref="BF340:BF369" t="shared" si="203">+AS340-BE340</f>
        <v>0</v>
      </c>
      <c r="BG340" s="3"/>
      <c r="BH340" s="114">
        <f ref="BH340:BH369" t="shared" si="204">SUM(BI340:BU340)</f>
        <v>0</v>
      </c>
      <c r="BI340" s="115"/>
      <c r="BJ340" s="115"/>
      <c r="BK340" s="115"/>
      <c r="BL340" s="115"/>
      <c r="BM340" s="115"/>
      <c r="BN340" s="115"/>
      <c r="BO340" s="115"/>
      <c r="BP340" s="115"/>
      <c r="BQ340" s="115"/>
      <c r="BR340" s="115"/>
      <c r="BS340" s="115"/>
      <c r="BT340" s="115"/>
      <c r="BU340" s="115"/>
      <c r="BV340" s="116">
        <f ref="BV340:BV369" t="shared" si="205">+BF340-BH340</f>
        <v>0</v>
      </c>
      <c r="BW340" s="3"/>
    </row>
    <row r="341" ht="14.25" customHeight="1">
      <c r="A341" s="3"/>
      <c r="B341" s="215">
        <v>46328</v>
      </c>
      <c r="C341" s="118"/>
      <c r="D341" s="123"/>
      <c r="E341" s="120"/>
      <c r="F341" s="120"/>
      <c r="G341" s="98">
        <f t="shared" si="197"/>
        <v>0</v>
      </c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877">
        <f t="shared" si="198"/>
        <v>0</v>
      </c>
      <c r="W341" s="143"/>
      <c r="X341" s="143"/>
      <c r="Y341" s="143"/>
      <c r="Z341" s="143"/>
      <c r="AA341" s="143"/>
      <c r="AB341" s="143"/>
      <c r="AC341" s="143"/>
      <c r="AD341" s="143"/>
      <c r="AE341" s="143"/>
      <c r="AF341" s="143"/>
      <c r="AG341" s="143"/>
      <c r="AH341" s="143"/>
      <c r="AI341" s="103">
        <f t="shared" si="199"/>
        <v>0</v>
      </c>
      <c r="AJ341" s="123"/>
      <c r="AK341" s="123"/>
      <c r="AL341" s="123"/>
      <c r="AM341" s="105">
        <f t="shared" si="200"/>
        <v>0</v>
      </c>
      <c r="AN341" s="143"/>
      <c r="AO341" s="143"/>
      <c r="AP341" s="143"/>
      <c r="AQ341" s="143"/>
      <c r="AR341" s="146"/>
      <c r="AS341" s="224">
        <f t="shared" si="201"/>
        <v>0</v>
      </c>
      <c r="AT341" s="126"/>
      <c r="AU341" s="127"/>
      <c r="AV341" s="275"/>
      <c r="AW341" s="126"/>
      <c r="AX341" s="127"/>
      <c r="AY341" s="275"/>
      <c r="AZ341" s="126"/>
      <c r="BA341" s="274"/>
      <c r="BB341" s="274"/>
      <c r="BC341" s="274"/>
      <c r="BD341" s="274"/>
      <c r="BE341" s="222">
        <f t="shared" si="202"/>
        <v>0</v>
      </c>
      <c r="BF341" s="113">
        <f t="shared" si="203"/>
        <v>0</v>
      </c>
      <c r="BG341" s="3"/>
      <c r="BH341" s="113">
        <f t="shared" si="204"/>
        <v>0</v>
      </c>
      <c r="BI341" s="129"/>
      <c r="BJ341" s="129"/>
      <c r="BK341" s="129"/>
      <c r="BL341" s="129"/>
      <c r="BM341" s="129"/>
      <c r="BN341" s="129"/>
      <c r="BO341" s="129"/>
      <c r="BP341" s="129"/>
      <c r="BQ341" s="129"/>
      <c r="BR341" s="129"/>
      <c r="BS341" s="129"/>
      <c r="BT341" s="129"/>
      <c r="BU341" s="129"/>
      <c r="BV341" s="130">
        <f t="shared" si="205"/>
        <v>0</v>
      </c>
      <c r="BW341" s="3"/>
    </row>
    <row r="342" ht="14.25" customHeight="1">
      <c r="A342" s="132"/>
      <c r="B342" s="215">
        <v>46329</v>
      </c>
      <c r="C342" s="133"/>
      <c r="D342" s="136"/>
      <c r="E342" s="135"/>
      <c r="F342" s="135"/>
      <c r="G342" s="98">
        <f t="shared" si="197"/>
        <v>0</v>
      </c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877">
        <f ref="V342:V343" t="shared" si="206">SUM(H342:U342)</f>
        <v>0</v>
      </c>
      <c r="W342" s="143"/>
      <c r="X342" s="143"/>
      <c r="Y342" s="143"/>
      <c r="Z342" s="143"/>
      <c r="AA342" s="143"/>
      <c r="AB342" s="143"/>
      <c r="AC342" s="143"/>
      <c r="AD342" s="143"/>
      <c r="AE342" s="143"/>
      <c r="AF342" s="143"/>
      <c r="AG342" s="143"/>
      <c r="AH342" s="143"/>
      <c r="AI342" s="103">
        <f t="shared" si="199"/>
        <v>0</v>
      </c>
      <c r="AJ342" s="136"/>
      <c r="AK342" s="136"/>
      <c r="AL342" s="136"/>
      <c r="AM342" s="105">
        <f t="shared" si="200"/>
        <v>0</v>
      </c>
      <c r="AN342" s="143"/>
      <c r="AO342" s="143"/>
      <c r="AP342" s="143"/>
      <c r="AQ342" s="143"/>
      <c r="AR342" s="146"/>
      <c r="AS342" s="224">
        <f t="shared" si="201"/>
        <v>0</v>
      </c>
      <c r="AT342" s="126"/>
      <c r="AU342" s="127"/>
      <c r="AV342" s="275"/>
      <c r="AW342" s="126"/>
      <c r="AX342" s="127"/>
      <c r="AY342" s="275"/>
      <c r="AZ342" s="126"/>
      <c r="BA342" s="274"/>
      <c r="BB342" s="274"/>
      <c r="BC342" s="274"/>
      <c r="BD342" s="274"/>
      <c r="BE342" s="222">
        <f t="shared" si="202"/>
        <v>0</v>
      </c>
      <c r="BF342" s="140">
        <f t="shared" si="203"/>
        <v>0</v>
      </c>
      <c r="BG342" s="132"/>
      <c r="BH342" s="140">
        <f t="shared" si="204"/>
        <v>0</v>
      </c>
      <c r="BI342" s="141"/>
      <c r="BJ342" s="141"/>
      <c r="BK342" s="141"/>
      <c r="BL342" s="141"/>
      <c r="BM342" s="141"/>
      <c r="BN342" s="141"/>
      <c r="BO342" s="141"/>
      <c r="BP342" s="141"/>
      <c r="BQ342" s="141"/>
      <c r="BR342" s="141"/>
      <c r="BS342" s="141"/>
      <c r="BT342" s="141"/>
      <c r="BU342" s="141"/>
      <c r="BV342" s="130">
        <f t="shared" si="205"/>
        <v>0</v>
      </c>
      <c r="BW342" s="132"/>
    </row>
    <row r="343" ht="14.25" customHeight="1">
      <c r="A343" s="132"/>
      <c r="B343" s="215">
        <v>46330</v>
      </c>
      <c r="C343" s="133"/>
      <c r="D343" s="136"/>
      <c r="E343" s="135"/>
      <c r="F343" s="135"/>
      <c r="G343" s="98">
        <f t="shared" si="197"/>
        <v>0</v>
      </c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877">
        <f t="shared" si="206"/>
        <v>0</v>
      </c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43"/>
      <c r="AH343" s="143"/>
      <c r="AI343" s="103">
        <f t="shared" si="199"/>
        <v>0</v>
      </c>
      <c r="AJ343" s="136"/>
      <c r="AK343" s="136"/>
      <c r="AL343" s="136"/>
      <c r="AM343" s="105">
        <f t="shared" si="200"/>
        <v>0</v>
      </c>
      <c r="AN343" s="143"/>
      <c r="AO343" s="143"/>
      <c r="AP343" s="143"/>
      <c r="AQ343" s="143"/>
      <c r="AR343" s="146"/>
      <c r="AS343" s="224">
        <f t="shared" si="201"/>
        <v>0</v>
      </c>
      <c r="AT343" s="126"/>
      <c r="AU343" s="127"/>
      <c r="AV343" s="275"/>
      <c r="AW343" s="126"/>
      <c r="AX343" s="127"/>
      <c r="AY343" s="275"/>
      <c r="AZ343" s="126"/>
      <c r="BA343" s="274"/>
      <c r="BB343" s="274"/>
      <c r="BC343" s="274"/>
      <c r="BD343" s="274"/>
      <c r="BE343" s="222">
        <f t="shared" si="202"/>
        <v>0</v>
      </c>
      <c r="BF343" s="140">
        <f t="shared" si="203"/>
        <v>0</v>
      </c>
      <c r="BG343" s="132"/>
      <c r="BH343" s="140">
        <f t="shared" si="204"/>
        <v>0</v>
      </c>
      <c r="BI343" s="141"/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30">
        <f t="shared" si="205"/>
        <v>0</v>
      </c>
      <c r="BW343" s="132"/>
    </row>
    <row r="344" ht="14.25" customHeight="1">
      <c r="A344" s="132"/>
      <c r="B344" s="215">
        <v>46331</v>
      </c>
      <c r="C344" s="133"/>
      <c r="D344" s="136"/>
      <c r="E344" s="135"/>
      <c r="F344" s="135"/>
      <c r="G344" s="98">
        <f t="shared" si="197"/>
        <v>0</v>
      </c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877">
        <f>SUM(H344:T344)</f>
        <v>0</v>
      </c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43"/>
      <c r="AI344" s="103">
        <f t="shared" si="199"/>
        <v>0</v>
      </c>
      <c r="AJ344" s="136"/>
      <c r="AK344" s="136"/>
      <c r="AL344" s="136"/>
      <c r="AM344" s="105">
        <f t="shared" si="200"/>
        <v>0</v>
      </c>
      <c r="AN344" s="143"/>
      <c r="AO344" s="143"/>
      <c r="AP344" s="143"/>
      <c r="AQ344" s="143"/>
      <c r="AR344" s="146"/>
      <c r="AS344" s="224">
        <f t="shared" si="201"/>
        <v>0</v>
      </c>
      <c r="AT344" s="126"/>
      <c r="AU344" s="127"/>
      <c r="AV344" s="275"/>
      <c r="AW344" s="126"/>
      <c r="AX344" s="127"/>
      <c r="AY344" s="275"/>
      <c r="AZ344" s="126"/>
      <c r="BA344" s="274"/>
      <c r="BB344" s="274"/>
      <c r="BC344" s="274"/>
      <c r="BD344" s="274"/>
      <c r="BE344" s="222">
        <f t="shared" si="202"/>
        <v>0</v>
      </c>
      <c r="BF344" s="140">
        <f t="shared" si="203"/>
        <v>0</v>
      </c>
      <c r="BG344" s="132"/>
      <c r="BH344" s="140">
        <f t="shared" si="204"/>
        <v>0</v>
      </c>
      <c r="BI344" s="141"/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30">
        <f t="shared" si="205"/>
        <v>0</v>
      </c>
      <c r="BW344" s="132"/>
    </row>
    <row r="345" ht="14.25" customHeight="1">
      <c r="A345" s="132"/>
      <c r="B345" s="215">
        <v>46332</v>
      </c>
      <c r="C345" s="133"/>
      <c r="D345" s="136"/>
      <c r="E345" s="135"/>
      <c r="F345" s="135"/>
      <c r="G345" s="98">
        <f t="shared" si="197"/>
        <v>0</v>
      </c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877">
        <f ref="V345:V347" t="shared" si="207">SUM(H345:U345)</f>
        <v>0</v>
      </c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43"/>
      <c r="AI345" s="103">
        <f t="shared" si="199"/>
        <v>0</v>
      </c>
      <c r="AJ345" s="136"/>
      <c r="AK345" s="136"/>
      <c r="AL345" s="136"/>
      <c r="AM345" s="105">
        <f t="shared" si="200"/>
        <v>0</v>
      </c>
      <c r="AN345" s="143"/>
      <c r="AO345" s="143"/>
      <c r="AP345" s="143"/>
      <c r="AQ345" s="143"/>
      <c r="AR345" s="146"/>
      <c r="AS345" s="224">
        <f t="shared" si="201"/>
        <v>0</v>
      </c>
      <c r="AT345" s="126"/>
      <c r="AU345" s="127"/>
      <c r="AV345" s="275"/>
      <c r="AW345" s="126"/>
      <c r="AX345" s="127"/>
      <c r="AY345" s="275"/>
      <c r="AZ345" s="126"/>
      <c r="BA345" s="274"/>
      <c r="BB345" s="274"/>
      <c r="BC345" s="274"/>
      <c r="BD345" s="274"/>
      <c r="BE345" s="222">
        <f t="shared" si="202"/>
        <v>0</v>
      </c>
      <c r="BF345" s="140">
        <f t="shared" si="203"/>
        <v>0</v>
      </c>
      <c r="BG345" s="132"/>
      <c r="BH345" s="140">
        <f t="shared" si="204"/>
        <v>0</v>
      </c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30">
        <f t="shared" si="205"/>
        <v>0</v>
      </c>
      <c r="BW345" s="132"/>
    </row>
    <row r="346" ht="14.25" customHeight="1">
      <c r="A346" s="132"/>
      <c r="B346" s="215">
        <v>46333</v>
      </c>
      <c r="C346" s="133"/>
      <c r="D346" s="136"/>
      <c r="E346" s="135"/>
      <c r="F346" s="135"/>
      <c r="G346" s="98">
        <f t="shared" si="197"/>
        <v>0</v>
      </c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877">
        <f t="shared" si="207"/>
        <v>0</v>
      </c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43"/>
      <c r="AI346" s="103">
        <f t="shared" si="199"/>
        <v>0</v>
      </c>
      <c r="AJ346" s="136"/>
      <c r="AK346" s="136"/>
      <c r="AL346" s="136"/>
      <c r="AM346" s="105">
        <f t="shared" si="200"/>
        <v>0</v>
      </c>
      <c r="AN346" s="143"/>
      <c r="AO346" s="143"/>
      <c r="AP346" s="143"/>
      <c r="AQ346" s="143"/>
      <c r="AR346" s="146"/>
      <c r="AS346" s="224">
        <f t="shared" si="201"/>
        <v>0</v>
      </c>
      <c r="AT346" s="126"/>
      <c r="AU346" s="127"/>
      <c r="AV346" s="275"/>
      <c r="AW346" s="126"/>
      <c r="AX346" s="127"/>
      <c r="AY346" s="275"/>
      <c r="AZ346" s="126"/>
      <c r="BA346" s="274"/>
      <c r="BB346" s="274"/>
      <c r="BC346" s="274"/>
      <c r="BD346" s="274"/>
      <c r="BE346" s="222">
        <f t="shared" si="202"/>
        <v>0</v>
      </c>
      <c r="BF346" s="140">
        <f t="shared" si="203"/>
        <v>0</v>
      </c>
      <c r="BG346" s="132"/>
      <c r="BH346" s="140">
        <f t="shared" si="204"/>
        <v>0</v>
      </c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30">
        <f t="shared" si="205"/>
        <v>0</v>
      </c>
      <c r="BW346" s="132"/>
    </row>
    <row r="347" ht="14.25" customHeight="1">
      <c r="A347" s="132"/>
      <c r="B347" s="215">
        <v>46334</v>
      </c>
      <c r="C347" s="133"/>
      <c r="D347" s="136"/>
      <c r="E347" s="135"/>
      <c r="F347" s="135"/>
      <c r="G347" s="98">
        <f t="shared" si="197"/>
        <v>0</v>
      </c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877">
        <f t="shared" si="207"/>
        <v>0</v>
      </c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43"/>
      <c r="AI347" s="103">
        <f t="shared" si="199"/>
        <v>0</v>
      </c>
      <c r="AJ347" s="136"/>
      <c r="AK347" s="136"/>
      <c r="AL347" s="136"/>
      <c r="AM347" s="105">
        <f t="shared" si="200"/>
        <v>0</v>
      </c>
      <c r="AN347" s="143"/>
      <c r="AO347" s="143"/>
      <c r="AP347" s="143"/>
      <c r="AQ347" s="143"/>
      <c r="AR347" s="146"/>
      <c r="AS347" s="224">
        <f t="shared" si="201"/>
        <v>0</v>
      </c>
      <c r="AT347" s="126"/>
      <c r="AU347" s="127"/>
      <c r="AV347" s="275"/>
      <c r="AW347" s="126"/>
      <c r="AX347" s="127"/>
      <c r="AY347" s="275"/>
      <c r="AZ347" s="126"/>
      <c r="BA347" s="274"/>
      <c r="BB347" s="274"/>
      <c r="BC347" s="274"/>
      <c r="BD347" s="274"/>
      <c r="BE347" s="222">
        <f t="shared" si="202"/>
        <v>0</v>
      </c>
      <c r="BF347" s="140">
        <f t="shared" si="203"/>
        <v>0</v>
      </c>
      <c r="BG347" s="132"/>
      <c r="BH347" s="140">
        <f t="shared" si="204"/>
        <v>0</v>
      </c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30">
        <f t="shared" si="205"/>
        <v>0</v>
      </c>
      <c r="BW347" s="132"/>
    </row>
    <row r="348" ht="14.25" customHeight="1">
      <c r="A348" s="132"/>
      <c r="B348" s="215">
        <v>46335</v>
      </c>
      <c r="C348" s="133"/>
      <c r="D348" s="136"/>
      <c r="E348" s="135"/>
      <c r="F348" s="135"/>
      <c r="G348" s="98">
        <f t="shared" si="197"/>
        <v>0</v>
      </c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877">
        <f>SUM(H348:T348)</f>
        <v>0</v>
      </c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43"/>
      <c r="AI348" s="103">
        <f t="shared" si="199"/>
        <v>0</v>
      </c>
      <c r="AJ348" s="136"/>
      <c r="AK348" s="136"/>
      <c r="AL348" s="136"/>
      <c r="AM348" s="105">
        <f t="shared" si="200"/>
        <v>0</v>
      </c>
      <c r="AN348" s="143"/>
      <c r="AO348" s="143"/>
      <c r="AP348" s="143"/>
      <c r="AQ348" s="143"/>
      <c r="AR348" s="146"/>
      <c r="AS348" s="224">
        <f t="shared" si="201"/>
        <v>0</v>
      </c>
      <c r="AT348" s="126"/>
      <c r="AU348" s="127"/>
      <c r="AV348" s="275"/>
      <c r="AW348" s="126"/>
      <c r="AX348" s="127"/>
      <c r="AY348" s="275"/>
      <c r="AZ348" s="126"/>
      <c r="BA348" s="274"/>
      <c r="BB348" s="274"/>
      <c r="BC348" s="274"/>
      <c r="BD348" s="274"/>
      <c r="BE348" s="222">
        <f t="shared" si="202"/>
        <v>0</v>
      </c>
      <c r="BF348" s="140">
        <f t="shared" si="203"/>
        <v>0</v>
      </c>
      <c r="BG348" s="132"/>
      <c r="BH348" s="140">
        <f t="shared" si="204"/>
        <v>0</v>
      </c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30">
        <f t="shared" si="205"/>
        <v>0</v>
      </c>
      <c r="BW348" s="132"/>
    </row>
    <row r="349" ht="14.25" customHeight="1">
      <c r="A349" s="132"/>
      <c r="B349" s="215">
        <v>46336</v>
      </c>
      <c r="C349" s="133"/>
      <c r="D349" s="136"/>
      <c r="E349" s="135"/>
      <c r="F349" s="135"/>
      <c r="G349" s="98">
        <f t="shared" si="197"/>
        <v>0</v>
      </c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877">
        <f ref="V349:V353" t="shared" si="208">SUM(H349:U349)</f>
        <v>0</v>
      </c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43"/>
      <c r="AI349" s="103">
        <f t="shared" si="199"/>
        <v>0</v>
      </c>
      <c r="AJ349" s="136"/>
      <c r="AK349" s="136"/>
      <c r="AL349" s="136"/>
      <c r="AM349" s="105">
        <f t="shared" si="200"/>
        <v>0</v>
      </c>
      <c r="AN349" s="143"/>
      <c r="AO349" s="143"/>
      <c r="AP349" s="143"/>
      <c r="AQ349" s="143"/>
      <c r="AR349" s="146"/>
      <c r="AS349" s="224">
        <f t="shared" si="201"/>
        <v>0</v>
      </c>
      <c r="AT349" s="126"/>
      <c r="AU349" s="127"/>
      <c r="AV349" s="275"/>
      <c r="AW349" s="126"/>
      <c r="AX349" s="127"/>
      <c r="AY349" s="275"/>
      <c r="AZ349" s="126"/>
      <c r="BA349" s="274"/>
      <c r="BB349" s="274"/>
      <c r="BC349" s="274"/>
      <c r="BD349" s="274"/>
      <c r="BE349" s="222">
        <f t="shared" si="202"/>
        <v>0</v>
      </c>
      <c r="BF349" s="140">
        <f t="shared" si="203"/>
        <v>0</v>
      </c>
      <c r="BG349" s="132"/>
      <c r="BH349" s="140">
        <f t="shared" si="204"/>
        <v>0</v>
      </c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30">
        <f t="shared" si="205"/>
        <v>0</v>
      </c>
      <c r="BW349" s="132"/>
    </row>
    <row r="350" ht="14.25" customHeight="1">
      <c r="A350" s="132"/>
      <c r="B350" s="215">
        <v>46337</v>
      </c>
      <c r="C350" s="133"/>
      <c r="D350" s="136"/>
      <c r="E350" s="135"/>
      <c r="F350" s="135"/>
      <c r="G350" s="98">
        <f t="shared" si="197"/>
        <v>0</v>
      </c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877">
        <f t="shared" si="208"/>
        <v>0</v>
      </c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43"/>
      <c r="AI350" s="103">
        <f t="shared" si="199"/>
        <v>0</v>
      </c>
      <c r="AJ350" s="136"/>
      <c r="AK350" s="136"/>
      <c r="AL350" s="136"/>
      <c r="AM350" s="105">
        <f t="shared" si="200"/>
        <v>0</v>
      </c>
      <c r="AN350" s="143"/>
      <c r="AO350" s="143"/>
      <c r="AP350" s="143"/>
      <c r="AQ350" s="143"/>
      <c r="AR350" s="146"/>
      <c r="AS350" s="224">
        <f t="shared" si="201"/>
        <v>0</v>
      </c>
      <c r="AT350" s="126"/>
      <c r="AU350" s="127"/>
      <c r="AV350" s="275"/>
      <c r="AW350" s="126"/>
      <c r="AX350" s="127"/>
      <c r="AY350" s="275"/>
      <c r="AZ350" s="126"/>
      <c r="BA350" s="274"/>
      <c r="BB350" s="274"/>
      <c r="BC350" s="274"/>
      <c r="BD350" s="274"/>
      <c r="BE350" s="222">
        <f t="shared" si="202"/>
        <v>0</v>
      </c>
      <c r="BF350" s="140">
        <f t="shared" si="203"/>
        <v>0</v>
      </c>
      <c r="BG350" s="132"/>
      <c r="BH350" s="140">
        <f t="shared" si="204"/>
        <v>0</v>
      </c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30">
        <f t="shared" si="205"/>
        <v>0</v>
      </c>
      <c r="BW350" s="132"/>
    </row>
    <row r="351" ht="14.25" customHeight="1">
      <c r="A351" s="132"/>
      <c r="B351" s="215">
        <v>46338</v>
      </c>
      <c r="C351" s="133"/>
      <c r="D351" s="136"/>
      <c r="E351" s="135"/>
      <c r="F351" s="135"/>
      <c r="G351" s="98">
        <f t="shared" si="197"/>
        <v>0</v>
      </c>
      <c r="H351" s="143"/>
      <c r="I351" s="231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877">
        <f t="shared" si="208"/>
        <v>0</v>
      </c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43"/>
      <c r="AI351" s="103">
        <f t="shared" si="199"/>
        <v>0</v>
      </c>
      <c r="AJ351" s="136"/>
      <c r="AK351" s="136"/>
      <c r="AL351" s="136"/>
      <c r="AM351" s="105">
        <f t="shared" si="200"/>
        <v>0</v>
      </c>
      <c r="AN351" s="143"/>
      <c r="AO351" s="143"/>
      <c r="AP351" s="143"/>
      <c r="AQ351" s="143"/>
      <c r="AR351" s="146"/>
      <c r="AS351" s="224">
        <f t="shared" si="201"/>
        <v>0</v>
      </c>
      <c r="AT351" s="126"/>
      <c r="AU351" s="127"/>
      <c r="AV351" s="275"/>
      <c r="AW351" s="126"/>
      <c r="AX351" s="127"/>
      <c r="AY351" s="275"/>
      <c r="AZ351" s="126"/>
      <c r="BA351" s="274"/>
      <c r="BB351" s="274"/>
      <c r="BC351" s="274"/>
      <c r="BD351" s="274"/>
      <c r="BE351" s="222">
        <f t="shared" si="202"/>
        <v>0</v>
      </c>
      <c r="BF351" s="140">
        <f t="shared" si="203"/>
        <v>0</v>
      </c>
      <c r="BG351" s="132"/>
      <c r="BH351" s="140">
        <f t="shared" si="204"/>
        <v>0</v>
      </c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30">
        <f t="shared" si="205"/>
        <v>0</v>
      </c>
      <c r="BW351" s="132"/>
    </row>
    <row r="352" ht="14.25" customHeight="1">
      <c r="A352" s="132"/>
      <c r="B352" s="215">
        <v>46339</v>
      </c>
      <c r="C352" s="133"/>
      <c r="D352" s="136"/>
      <c r="E352" s="135"/>
      <c r="F352" s="135"/>
      <c r="G352" s="98">
        <f t="shared" si="197"/>
        <v>0</v>
      </c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877">
        <f t="shared" si="208"/>
        <v>0</v>
      </c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43"/>
      <c r="AI352" s="103">
        <f t="shared" si="199"/>
        <v>0</v>
      </c>
      <c r="AJ352" s="136"/>
      <c r="AK352" s="136"/>
      <c r="AL352" s="136"/>
      <c r="AM352" s="105">
        <f t="shared" si="200"/>
        <v>0</v>
      </c>
      <c r="AN352" s="143"/>
      <c r="AO352" s="143"/>
      <c r="AP352" s="143"/>
      <c r="AQ352" s="143"/>
      <c r="AR352" s="146"/>
      <c r="AS352" s="224">
        <f t="shared" si="201"/>
        <v>0</v>
      </c>
      <c r="AT352" s="126"/>
      <c r="AU352" s="127"/>
      <c r="AV352" s="275"/>
      <c r="AW352" s="126"/>
      <c r="AX352" s="127"/>
      <c r="AY352" s="275"/>
      <c r="AZ352" s="126"/>
      <c r="BA352" s="274"/>
      <c r="BB352" s="274"/>
      <c r="BC352" s="274"/>
      <c r="BD352" s="274"/>
      <c r="BE352" s="222">
        <f t="shared" si="202"/>
        <v>0</v>
      </c>
      <c r="BF352" s="140">
        <f t="shared" si="203"/>
        <v>0</v>
      </c>
      <c r="BG352" s="132"/>
      <c r="BH352" s="140">
        <f t="shared" si="204"/>
        <v>0</v>
      </c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30">
        <f t="shared" si="205"/>
        <v>0</v>
      </c>
      <c r="BW352" s="132"/>
    </row>
    <row r="353" ht="14.25" customHeight="1">
      <c r="A353" s="132"/>
      <c r="B353" s="215">
        <v>46340</v>
      </c>
      <c r="C353" s="133"/>
      <c r="D353" s="136"/>
      <c r="E353" s="135"/>
      <c r="F353" s="135"/>
      <c r="G353" s="98">
        <f t="shared" si="197"/>
        <v>0</v>
      </c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877">
        <f t="shared" si="208"/>
        <v>0</v>
      </c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43"/>
      <c r="AI353" s="103">
        <f t="shared" si="199"/>
        <v>0</v>
      </c>
      <c r="AJ353" s="136"/>
      <c r="AK353" s="136"/>
      <c r="AL353" s="136"/>
      <c r="AM353" s="105">
        <f t="shared" si="200"/>
        <v>0</v>
      </c>
      <c r="AN353" s="143"/>
      <c r="AO353" s="143"/>
      <c r="AP353" s="143"/>
      <c r="AQ353" s="143"/>
      <c r="AR353" s="146"/>
      <c r="AS353" s="224">
        <f t="shared" si="201"/>
        <v>0</v>
      </c>
      <c r="AT353" s="126"/>
      <c r="AU353" s="127"/>
      <c r="AV353" s="275"/>
      <c r="AW353" s="126"/>
      <c r="AX353" s="127"/>
      <c r="AY353" s="275"/>
      <c r="AZ353" s="126"/>
      <c r="BA353" s="274"/>
      <c r="BB353" s="274"/>
      <c r="BC353" s="274"/>
      <c r="BD353" s="274"/>
      <c r="BE353" s="222">
        <f t="shared" si="202"/>
        <v>0</v>
      </c>
      <c r="BF353" s="140">
        <f t="shared" si="203"/>
        <v>0</v>
      </c>
      <c r="BG353" s="132"/>
      <c r="BH353" s="140">
        <f t="shared" si="204"/>
        <v>0</v>
      </c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30">
        <f t="shared" si="205"/>
        <v>0</v>
      </c>
      <c r="BW353" s="132"/>
    </row>
    <row r="354" ht="14.25" customHeight="1">
      <c r="A354" s="132"/>
      <c r="B354" s="215">
        <v>46341</v>
      </c>
      <c r="C354" s="133"/>
      <c r="D354" s="136"/>
      <c r="E354" s="135"/>
      <c r="F354" s="135"/>
      <c r="G354" s="98">
        <f t="shared" si="197"/>
        <v>0</v>
      </c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877">
        <f>SUM(H354:T354)</f>
        <v>0</v>
      </c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43"/>
      <c r="AI354" s="103">
        <f t="shared" si="199"/>
        <v>0</v>
      </c>
      <c r="AJ354" s="136"/>
      <c r="AK354" s="136"/>
      <c r="AL354" s="136"/>
      <c r="AM354" s="105">
        <f t="shared" si="200"/>
        <v>0</v>
      </c>
      <c r="AN354" s="143"/>
      <c r="AO354" s="143"/>
      <c r="AP354" s="143"/>
      <c r="AQ354" s="143"/>
      <c r="AR354" s="146"/>
      <c r="AS354" s="224">
        <f t="shared" si="201"/>
        <v>0</v>
      </c>
      <c r="AT354" s="126"/>
      <c r="AU354" s="127"/>
      <c r="AV354" s="275"/>
      <c r="AW354" s="126"/>
      <c r="AX354" s="127"/>
      <c r="AY354" s="275"/>
      <c r="AZ354" s="126"/>
      <c r="BA354" s="274"/>
      <c r="BB354" s="274"/>
      <c r="BC354" s="274"/>
      <c r="BD354" s="274"/>
      <c r="BE354" s="222">
        <f t="shared" si="202"/>
        <v>0</v>
      </c>
      <c r="BF354" s="140">
        <f t="shared" si="203"/>
        <v>0</v>
      </c>
      <c r="BG354" s="132"/>
      <c r="BH354" s="140">
        <f t="shared" si="204"/>
        <v>0</v>
      </c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30">
        <f t="shared" si="205"/>
        <v>0</v>
      </c>
      <c r="BW354" s="132"/>
    </row>
    <row r="355" ht="14.25" customHeight="1">
      <c r="A355" s="132"/>
      <c r="B355" s="215">
        <v>46342</v>
      </c>
      <c r="C355" s="133"/>
      <c r="D355" s="136"/>
      <c r="E355" s="135"/>
      <c r="F355" s="135"/>
      <c r="G355" s="98">
        <f t="shared" si="197"/>
        <v>0</v>
      </c>
      <c r="H355" s="143"/>
      <c r="I355" s="1217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877">
        <f>SUM(H355:U355)</f>
        <v>0</v>
      </c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43"/>
      <c r="AI355" s="103">
        <f t="shared" si="199"/>
        <v>0</v>
      </c>
      <c r="AJ355" s="136"/>
      <c r="AK355" s="136"/>
      <c r="AL355" s="136"/>
      <c r="AM355" s="105">
        <f t="shared" si="200"/>
        <v>0</v>
      </c>
      <c r="AN355" s="143"/>
      <c r="AO355" s="143"/>
      <c r="AP355" s="143"/>
      <c r="AQ355" s="143"/>
      <c r="AR355" s="146"/>
      <c r="AS355" s="224">
        <f t="shared" si="201"/>
        <v>0</v>
      </c>
      <c r="AT355" s="126"/>
      <c r="AU355" s="127"/>
      <c r="AV355" s="275"/>
      <c r="AW355" s="126"/>
      <c r="AX355" s="127"/>
      <c r="AY355" s="275"/>
      <c r="AZ355" s="126"/>
      <c r="BA355" s="274"/>
      <c r="BB355" s="274"/>
      <c r="BC355" s="274"/>
      <c r="BD355" s="274"/>
      <c r="BE355" s="222">
        <f t="shared" si="202"/>
        <v>0</v>
      </c>
      <c r="BF355" s="140">
        <f t="shared" si="203"/>
        <v>0</v>
      </c>
      <c r="BG355" s="132"/>
      <c r="BH355" s="140">
        <f t="shared" si="204"/>
        <v>0</v>
      </c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30">
        <f t="shared" si="205"/>
        <v>0</v>
      </c>
      <c r="BW355" s="132"/>
    </row>
    <row r="356" ht="14.25" customHeight="1">
      <c r="A356" s="132"/>
      <c r="B356" s="215">
        <v>46343</v>
      </c>
      <c r="C356" s="133"/>
      <c r="D356" s="136"/>
      <c r="E356" s="135"/>
      <c r="F356" s="135"/>
      <c r="G356" s="98">
        <f t="shared" si="197"/>
        <v>0</v>
      </c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877">
        <f>SUM(H356:T356)</f>
        <v>0</v>
      </c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43"/>
      <c r="AI356" s="103">
        <f t="shared" si="199"/>
        <v>0</v>
      </c>
      <c r="AJ356" s="136"/>
      <c r="AK356" s="136"/>
      <c r="AL356" s="136"/>
      <c r="AM356" s="105">
        <f t="shared" si="200"/>
        <v>0</v>
      </c>
      <c r="AN356" s="143"/>
      <c r="AO356" s="143"/>
      <c r="AP356" s="143"/>
      <c r="AQ356" s="143"/>
      <c r="AR356" s="146"/>
      <c r="AS356" s="224">
        <f t="shared" si="201"/>
        <v>0</v>
      </c>
      <c r="AT356" s="126"/>
      <c r="AU356" s="127"/>
      <c r="AV356" s="275"/>
      <c r="AW356" s="126"/>
      <c r="AX356" s="127"/>
      <c r="AY356" s="275"/>
      <c r="AZ356" s="126"/>
      <c r="BA356" s="274"/>
      <c r="BB356" s="274"/>
      <c r="BC356" s="274"/>
      <c r="BD356" s="274"/>
      <c r="BE356" s="222">
        <f t="shared" si="202"/>
        <v>0</v>
      </c>
      <c r="BF356" s="140">
        <f t="shared" si="203"/>
        <v>0</v>
      </c>
      <c r="BG356" s="132"/>
      <c r="BH356" s="140">
        <f t="shared" si="204"/>
        <v>0</v>
      </c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30">
        <f t="shared" si="205"/>
        <v>0</v>
      </c>
      <c r="BW356" s="132"/>
    </row>
    <row r="357" ht="14.25" customHeight="1">
      <c r="A357" s="132"/>
      <c r="B357" s="215">
        <v>46344</v>
      </c>
      <c r="C357" s="133"/>
      <c r="D357" s="136"/>
      <c r="E357" s="135"/>
      <c r="F357" s="135"/>
      <c r="G357" s="98">
        <f t="shared" si="197"/>
        <v>0</v>
      </c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877">
        <f ref="V357:V368" t="shared" si="209">SUM(H357:U357)</f>
        <v>0</v>
      </c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43"/>
      <c r="AI357" s="103">
        <f t="shared" si="199"/>
        <v>0</v>
      </c>
      <c r="AJ357" s="136"/>
      <c r="AK357" s="136"/>
      <c r="AL357" s="136"/>
      <c r="AM357" s="105">
        <f t="shared" si="200"/>
        <v>0</v>
      </c>
      <c r="AN357" s="143"/>
      <c r="AO357" s="143"/>
      <c r="AP357" s="143"/>
      <c r="AQ357" s="143"/>
      <c r="AR357" s="146"/>
      <c r="AS357" s="224">
        <f t="shared" si="201"/>
        <v>0</v>
      </c>
      <c r="AT357" s="126"/>
      <c r="AU357" s="127"/>
      <c r="AV357" s="275"/>
      <c r="AW357" s="126"/>
      <c r="AX357" s="127"/>
      <c r="AY357" s="275"/>
      <c r="AZ357" s="126"/>
      <c r="BA357" s="274"/>
      <c r="BB357" s="274"/>
      <c r="BC357" s="274"/>
      <c r="BD357" s="274"/>
      <c r="BE357" s="222">
        <f t="shared" si="202"/>
        <v>0</v>
      </c>
      <c r="BF357" s="140">
        <f t="shared" si="203"/>
        <v>0</v>
      </c>
      <c r="BG357" s="132"/>
      <c r="BH357" s="140">
        <f t="shared" si="204"/>
        <v>0</v>
      </c>
      <c r="BI357" s="141"/>
      <c r="BJ357" s="141"/>
      <c r="BK357" s="141"/>
      <c r="BL357" s="141"/>
      <c r="BM357" s="141"/>
      <c r="BN357" s="141"/>
      <c r="BO357" s="141"/>
      <c r="BP357" s="141"/>
      <c r="BQ357" s="495"/>
      <c r="BR357" s="141"/>
      <c r="BS357" s="141"/>
      <c r="BT357" s="141"/>
      <c r="BU357" s="141"/>
      <c r="BV357" s="130">
        <f t="shared" si="205"/>
        <v>0</v>
      </c>
      <c r="BW357" s="132"/>
    </row>
    <row r="358" ht="14.25" customHeight="1">
      <c r="A358" s="132"/>
      <c r="B358" s="215">
        <v>46345</v>
      </c>
      <c r="C358" s="133"/>
      <c r="D358" s="136"/>
      <c r="E358" s="135"/>
      <c r="F358" s="135"/>
      <c r="G358" s="98">
        <f t="shared" si="197"/>
        <v>0</v>
      </c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877">
        <f t="shared" si="209"/>
        <v>0</v>
      </c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43"/>
      <c r="AI358" s="103">
        <f t="shared" si="199"/>
        <v>0</v>
      </c>
      <c r="AJ358" s="136"/>
      <c r="AK358" s="136"/>
      <c r="AL358" s="136"/>
      <c r="AM358" s="105">
        <f t="shared" si="200"/>
        <v>0</v>
      </c>
      <c r="AN358" s="143"/>
      <c r="AO358" s="143"/>
      <c r="AP358" s="143"/>
      <c r="AQ358" s="143"/>
      <c r="AR358" s="146"/>
      <c r="AS358" s="224">
        <f t="shared" si="201"/>
        <v>0</v>
      </c>
      <c r="AT358" s="126"/>
      <c r="AU358" s="127"/>
      <c r="AV358" s="275"/>
      <c r="AW358" s="126"/>
      <c r="AX358" s="127"/>
      <c r="AY358" s="275"/>
      <c r="AZ358" s="126"/>
      <c r="BA358" s="274"/>
      <c r="BB358" s="274"/>
      <c r="BC358" s="274"/>
      <c r="BD358" s="274"/>
      <c r="BE358" s="222">
        <f t="shared" si="202"/>
        <v>0</v>
      </c>
      <c r="BF358" s="140">
        <f t="shared" si="203"/>
        <v>0</v>
      </c>
      <c r="BG358" s="132"/>
      <c r="BH358" s="140">
        <f t="shared" si="204"/>
        <v>0</v>
      </c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30">
        <f t="shared" si="205"/>
        <v>0</v>
      </c>
      <c r="BW358" s="132"/>
    </row>
    <row r="359" ht="14.25" customHeight="1">
      <c r="A359" s="132"/>
      <c r="B359" s="215">
        <v>46346</v>
      </c>
      <c r="C359" s="133"/>
      <c r="D359" s="136"/>
      <c r="E359" s="135"/>
      <c r="F359" s="135"/>
      <c r="G359" s="98">
        <f t="shared" si="197"/>
        <v>0</v>
      </c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877">
        <f t="shared" si="209"/>
        <v>0</v>
      </c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43"/>
      <c r="AI359" s="103">
        <f t="shared" si="199"/>
        <v>0</v>
      </c>
      <c r="AJ359" s="136"/>
      <c r="AK359" s="136"/>
      <c r="AL359" s="136"/>
      <c r="AM359" s="105">
        <f t="shared" si="200"/>
        <v>0</v>
      </c>
      <c r="AN359" s="143"/>
      <c r="AO359" s="143"/>
      <c r="AP359" s="143"/>
      <c r="AQ359" s="143"/>
      <c r="AR359" s="146"/>
      <c r="AS359" s="224">
        <f t="shared" si="201"/>
        <v>0</v>
      </c>
      <c r="AT359" s="126"/>
      <c r="AU359" s="127"/>
      <c r="AV359" s="275"/>
      <c r="AW359" s="126"/>
      <c r="AX359" s="127"/>
      <c r="AY359" s="275"/>
      <c r="AZ359" s="126"/>
      <c r="BA359" s="274"/>
      <c r="BB359" s="274"/>
      <c r="BC359" s="274"/>
      <c r="BD359" s="274"/>
      <c r="BE359" s="222">
        <f t="shared" si="202"/>
        <v>0</v>
      </c>
      <c r="BF359" s="140">
        <f t="shared" si="203"/>
        <v>0</v>
      </c>
      <c r="BG359" s="132"/>
      <c r="BH359" s="140">
        <f t="shared" si="204"/>
        <v>0</v>
      </c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30">
        <f t="shared" si="205"/>
        <v>0</v>
      </c>
      <c r="BW359" s="132"/>
    </row>
    <row r="360" ht="14.25" customHeight="1">
      <c r="A360" s="132"/>
      <c r="B360" s="215">
        <v>46347</v>
      </c>
      <c r="C360" s="133"/>
      <c r="D360" s="136"/>
      <c r="E360" s="135"/>
      <c r="F360" s="135"/>
      <c r="G360" s="98">
        <f t="shared" si="197"/>
        <v>0</v>
      </c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877">
        <f t="shared" si="209"/>
        <v>0</v>
      </c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43"/>
      <c r="AI360" s="103">
        <f t="shared" si="199"/>
        <v>0</v>
      </c>
      <c r="AJ360" s="136"/>
      <c r="AK360" s="136"/>
      <c r="AL360" s="136"/>
      <c r="AM360" s="105">
        <f t="shared" si="200"/>
        <v>0</v>
      </c>
      <c r="AN360" s="143"/>
      <c r="AO360" s="143"/>
      <c r="AP360" s="143"/>
      <c r="AQ360" s="143"/>
      <c r="AR360" s="146"/>
      <c r="AS360" s="224">
        <f t="shared" si="201"/>
        <v>0</v>
      </c>
      <c r="AT360" s="126"/>
      <c r="AU360" s="127"/>
      <c r="AV360" s="275"/>
      <c r="AW360" s="126"/>
      <c r="AX360" s="127"/>
      <c r="AY360" s="275"/>
      <c r="AZ360" s="126"/>
      <c r="BA360" s="274"/>
      <c r="BB360" s="274"/>
      <c r="BC360" s="274"/>
      <c r="BD360" s="274"/>
      <c r="BE360" s="222">
        <f t="shared" si="202"/>
        <v>0</v>
      </c>
      <c r="BF360" s="140">
        <f t="shared" si="203"/>
        <v>0</v>
      </c>
      <c r="BG360" s="132"/>
      <c r="BH360" s="140">
        <f t="shared" si="204"/>
        <v>0</v>
      </c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30">
        <f t="shared" si="205"/>
        <v>0</v>
      </c>
      <c r="BW360" s="132"/>
    </row>
    <row r="361" ht="14.25" customHeight="1">
      <c r="A361" s="132"/>
      <c r="B361" s="215">
        <v>46348</v>
      </c>
      <c r="C361" s="133"/>
      <c r="D361" s="136"/>
      <c r="E361" s="135"/>
      <c r="F361" s="135"/>
      <c r="G361" s="98">
        <f t="shared" si="197"/>
        <v>0</v>
      </c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877">
        <f t="shared" si="209"/>
        <v>0</v>
      </c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43"/>
      <c r="AI361" s="103">
        <f t="shared" si="199"/>
        <v>0</v>
      </c>
      <c r="AJ361" s="136"/>
      <c r="AK361" s="136"/>
      <c r="AL361" s="136"/>
      <c r="AM361" s="105">
        <f t="shared" si="200"/>
        <v>0</v>
      </c>
      <c r="AN361" s="143"/>
      <c r="AO361" s="143"/>
      <c r="AP361" s="143"/>
      <c r="AQ361" s="143"/>
      <c r="AR361" s="146"/>
      <c r="AS361" s="224">
        <f t="shared" si="201"/>
        <v>0</v>
      </c>
      <c r="AT361" s="126"/>
      <c r="AU361" s="127"/>
      <c r="AV361" s="275"/>
      <c r="AW361" s="126"/>
      <c r="AX361" s="127"/>
      <c r="AY361" s="275"/>
      <c r="AZ361" s="126"/>
      <c r="BA361" s="274"/>
      <c r="BB361" s="274"/>
      <c r="BC361" s="274"/>
      <c r="BD361" s="274"/>
      <c r="BE361" s="222">
        <f t="shared" si="202"/>
        <v>0</v>
      </c>
      <c r="BF361" s="140">
        <f t="shared" si="203"/>
        <v>0</v>
      </c>
      <c r="BG361" s="132"/>
      <c r="BH361" s="140">
        <f t="shared" si="204"/>
        <v>0</v>
      </c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30">
        <f t="shared" si="205"/>
        <v>0</v>
      </c>
      <c r="BW361" s="132"/>
    </row>
    <row r="362" ht="14.25" customHeight="1">
      <c r="A362" s="132"/>
      <c r="B362" s="215">
        <v>46349</v>
      </c>
      <c r="C362" s="133"/>
      <c r="D362" s="136"/>
      <c r="E362" s="135"/>
      <c r="F362" s="135"/>
      <c r="G362" s="98">
        <f t="shared" si="197"/>
        <v>0</v>
      </c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877">
        <f t="shared" si="209"/>
        <v>0</v>
      </c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43"/>
      <c r="AI362" s="103">
        <f t="shared" si="199"/>
        <v>0</v>
      </c>
      <c r="AJ362" s="136"/>
      <c r="AK362" s="136"/>
      <c r="AL362" s="136"/>
      <c r="AM362" s="105">
        <f t="shared" si="200"/>
        <v>0</v>
      </c>
      <c r="AN362" s="143"/>
      <c r="AO362" s="143"/>
      <c r="AP362" s="143"/>
      <c r="AQ362" s="143"/>
      <c r="AR362" s="146"/>
      <c r="AS362" s="224">
        <f t="shared" si="201"/>
        <v>0</v>
      </c>
      <c r="AT362" s="126"/>
      <c r="AU362" s="127"/>
      <c r="AV362" s="275"/>
      <c r="AW362" s="126"/>
      <c r="AX362" s="127"/>
      <c r="AY362" s="275"/>
      <c r="AZ362" s="126"/>
      <c r="BA362" s="274"/>
      <c r="BB362" s="274"/>
      <c r="BC362" s="274"/>
      <c r="BD362" s="274"/>
      <c r="BE362" s="222">
        <f t="shared" si="202"/>
        <v>0</v>
      </c>
      <c r="BF362" s="140">
        <f t="shared" si="203"/>
        <v>0</v>
      </c>
      <c r="BG362" s="132"/>
      <c r="BH362" s="140">
        <f t="shared" si="204"/>
        <v>0</v>
      </c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30">
        <f t="shared" si="205"/>
        <v>0</v>
      </c>
      <c r="BW362" s="132"/>
    </row>
    <row r="363" ht="14.25" customHeight="1">
      <c r="A363" s="132"/>
      <c r="B363" s="215">
        <v>46350</v>
      </c>
      <c r="C363" s="133"/>
      <c r="D363" s="136"/>
      <c r="E363" s="135"/>
      <c r="F363" s="135"/>
      <c r="G363" s="98">
        <f t="shared" si="197"/>
        <v>0</v>
      </c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877">
        <f t="shared" si="209"/>
        <v>0</v>
      </c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43"/>
      <c r="AI363" s="103">
        <f t="shared" si="199"/>
        <v>0</v>
      </c>
      <c r="AJ363" s="136"/>
      <c r="AK363" s="136"/>
      <c r="AL363" s="136"/>
      <c r="AM363" s="105">
        <f t="shared" si="200"/>
        <v>0</v>
      </c>
      <c r="AN363" s="143"/>
      <c r="AO363" s="143"/>
      <c r="AP363" s="143"/>
      <c r="AQ363" s="143"/>
      <c r="AR363" s="146"/>
      <c r="AS363" s="224">
        <f t="shared" si="201"/>
        <v>0</v>
      </c>
      <c r="AT363" s="126"/>
      <c r="AU363" s="127"/>
      <c r="AV363" s="275"/>
      <c r="AW363" s="126"/>
      <c r="AX363" s="127"/>
      <c r="AY363" s="275"/>
      <c r="AZ363" s="126"/>
      <c r="BA363" s="274"/>
      <c r="BB363" s="274"/>
      <c r="BC363" s="274"/>
      <c r="BD363" s="274"/>
      <c r="BE363" s="222">
        <f t="shared" si="202"/>
        <v>0</v>
      </c>
      <c r="BF363" s="140">
        <f t="shared" si="203"/>
        <v>0</v>
      </c>
      <c r="BG363" s="132"/>
      <c r="BH363" s="140">
        <f t="shared" si="204"/>
        <v>0</v>
      </c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30">
        <f t="shared" si="205"/>
        <v>0</v>
      </c>
      <c r="BW363" s="132"/>
    </row>
    <row r="364" ht="14.25" customHeight="1">
      <c r="A364" s="132"/>
      <c r="B364" s="215">
        <v>46351</v>
      </c>
      <c r="C364" s="133"/>
      <c r="D364" s="136"/>
      <c r="E364" s="135"/>
      <c r="F364" s="135"/>
      <c r="G364" s="98">
        <f t="shared" si="197"/>
        <v>0</v>
      </c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877">
        <f t="shared" si="209"/>
        <v>0</v>
      </c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43"/>
      <c r="AI364" s="103">
        <f t="shared" si="199"/>
        <v>0</v>
      </c>
      <c r="AJ364" s="136"/>
      <c r="AK364" s="136"/>
      <c r="AL364" s="136"/>
      <c r="AM364" s="105">
        <f t="shared" si="200"/>
        <v>0</v>
      </c>
      <c r="AN364" s="143"/>
      <c r="AO364" s="143"/>
      <c r="AP364" s="143"/>
      <c r="AQ364" s="143"/>
      <c r="AR364" s="146"/>
      <c r="AS364" s="224">
        <f t="shared" si="201"/>
        <v>0</v>
      </c>
      <c r="AT364" s="126"/>
      <c r="AU364" s="127"/>
      <c r="AV364" s="275"/>
      <c r="AW364" s="126"/>
      <c r="AX364" s="127"/>
      <c r="AY364" s="275"/>
      <c r="AZ364" s="126"/>
      <c r="BA364" s="274"/>
      <c r="BB364" s="274"/>
      <c r="BC364" s="274"/>
      <c r="BD364" s="274"/>
      <c r="BE364" s="222">
        <f t="shared" si="202"/>
        <v>0</v>
      </c>
      <c r="BF364" s="140">
        <f t="shared" si="203"/>
        <v>0</v>
      </c>
      <c r="BG364" s="132"/>
      <c r="BH364" s="140">
        <f t="shared" si="204"/>
        <v>0</v>
      </c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30">
        <f t="shared" si="205"/>
        <v>0</v>
      </c>
      <c r="BW364" s="132"/>
    </row>
    <row r="365" ht="14.25" customHeight="1">
      <c r="A365" s="132"/>
      <c r="B365" s="215">
        <v>46352</v>
      </c>
      <c r="C365" s="133"/>
      <c r="D365" s="136"/>
      <c r="E365" s="135"/>
      <c r="F365" s="135"/>
      <c r="G365" s="98">
        <f t="shared" si="197"/>
        <v>0</v>
      </c>
      <c r="H365" s="143"/>
      <c r="I365" s="143"/>
      <c r="J365" s="143"/>
      <c r="K365" s="143"/>
      <c r="L365" s="143"/>
      <c r="M365" s="143"/>
      <c r="N365" s="99"/>
      <c r="O365" s="143"/>
      <c r="P365" s="143"/>
      <c r="Q365" s="143"/>
      <c r="R365" s="143"/>
      <c r="S365" s="143"/>
      <c r="T365" s="143"/>
      <c r="U365" s="143"/>
      <c r="V365" s="877">
        <f t="shared" si="209"/>
        <v>0</v>
      </c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43"/>
      <c r="AI365" s="103">
        <f t="shared" si="199"/>
        <v>0</v>
      </c>
      <c r="AJ365" s="136"/>
      <c r="AK365" s="136"/>
      <c r="AL365" s="136"/>
      <c r="AM365" s="105">
        <f t="shared" si="200"/>
        <v>0</v>
      </c>
      <c r="AN365" s="143"/>
      <c r="AO365" s="143"/>
      <c r="AP365" s="143"/>
      <c r="AQ365" s="143"/>
      <c r="AR365" s="146"/>
      <c r="AS365" s="224">
        <f t="shared" si="201"/>
        <v>0</v>
      </c>
      <c r="AT365" s="126"/>
      <c r="AU365" s="127"/>
      <c r="AV365" s="275"/>
      <c r="AW365" s="126"/>
      <c r="AX365" s="127"/>
      <c r="AY365" s="275"/>
      <c r="AZ365" s="126"/>
      <c r="BA365" s="274"/>
      <c r="BB365" s="274"/>
      <c r="BC365" s="274"/>
      <c r="BD365" s="274"/>
      <c r="BE365" s="222">
        <f t="shared" si="202"/>
        <v>0</v>
      </c>
      <c r="BF365" s="140">
        <f t="shared" si="203"/>
        <v>0</v>
      </c>
      <c r="BG365" s="132"/>
      <c r="BH365" s="140">
        <f t="shared" si="204"/>
        <v>0</v>
      </c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30">
        <f t="shared" si="205"/>
        <v>0</v>
      </c>
      <c r="BW365" s="132"/>
    </row>
    <row r="366" ht="14.25" customHeight="1">
      <c r="A366" s="132"/>
      <c r="B366" s="215">
        <v>46353</v>
      </c>
      <c r="C366" s="133"/>
      <c r="D366" s="136"/>
      <c r="E366" s="135"/>
      <c r="F366" s="135"/>
      <c r="G366" s="98">
        <f t="shared" si="197"/>
        <v>0</v>
      </c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877">
        <f t="shared" si="209"/>
        <v>0</v>
      </c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43"/>
      <c r="AI366" s="103">
        <f t="shared" si="199"/>
        <v>0</v>
      </c>
      <c r="AJ366" s="136"/>
      <c r="AK366" s="136"/>
      <c r="AL366" s="136"/>
      <c r="AM366" s="105">
        <f t="shared" si="200"/>
        <v>0</v>
      </c>
      <c r="AN366" s="143"/>
      <c r="AO366" s="143"/>
      <c r="AP366" s="143"/>
      <c r="AQ366" s="143"/>
      <c r="AR366" s="146"/>
      <c r="AS366" s="224">
        <f t="shared" si="201"/>
        <v>0</v>
      </c>
      <c r="AT366" s="126"/>
      <c r="AU366" s="127"/>
      <c r="AV366" s="275"/>
      <c r="AW366" s="126"/>
      <c r="AX366" s="127"/>
      <c r="AY366" s="275"/>
      <c r="AZ366" s="126"/>
      <c r="BA366" s="274"/>
      <c r="BB366" s="274"/>
      <c r="BC366" s="274"/>
      <c r="BD366" s="274"/>
      <c r="BE366" s="222">
        <f t="shared" si="202"/>
        <v>0</v>
      </c>
      <c r="BF366" s="140">
        <f t="shared" si="203"/>
        <v>0</v>
      </c>
      <c r="BG366" s="132"/>
      <c r="BH366" s="140">
        <f t="shared" si="204"/>
        <v>0</v>
      </c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30">
        <f t="shared" si="205"/>
        <v>0</v>
      </c>
      <c r="BW366" s="132"/>
    </row>
    <row r="367" ht="14.25" customHeight="1">
      <c r="A367" s="132"/>
      <c r="B367" s="215">
        <v>46354</v>
      </c>
      <c r="C367" s="133"/>
      <c r="D367" s="136"/>
      <c r="E367" s="135"/>
      <c r="F367" s="135"/>
      <c r="G367" s="98">
        <f t="shared" si="197"/>
        <v>0</v>
      </c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877">
        <f t="shared" si="209"/>
        <v>0</v>
      </c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43"/>
      <c r="AI367" s="103">
        <f t="shared" si="199"/>
        <v>0</v>
      </c>
      <c r="AJ367" s="136"/>
      <c r="AK367" s="136"/>
      <c r="AL367" s="136"/>
      <c r="AM367" s="105">
        <f t="shared" si="200"/>
        <v>0</v>
      </c>
      <c r="AN367" s="143"/>
      <c r="AO367" s="143"/>
      <c r="AP367" s="143"/>
      <c r="AQ367" s="143"/>
      <c r="AR367" s="146"/>
      <c r="AS367" s="224">
        <f t="shared" si="201"/>
        <v>0</v>
      </c>
      <c r="AT367" s="126"/>
      <c r="AU367" s="127"/>
      <c r="AV367" s="275"/>
      <c r="AW367" s="126"/>
      <c r="AX367" s="127"/>
      <c r="AY367" s="275"/>
      <c r="AZ367" s="126"/>
      <c r="BA367" s="274"/>
      <c r="BB367" s="274"/>
      <c r="BC367" s="274"/>
      <c r="BD367" s="274"/>
      <c r="BE367" s="222">
        <f t="shared" si="202"/>
        <v>0</v>
      </c>
      <c r="BF367" s="140">
        <f t="shared" si="203"/>
        <v>0</v>
      </c>
      <c r="BG367" s="132"/>
      <c r="BH367" s="140">
        <f t="shared" si="204"/>
        <v>0</v>
      </c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30">
        <f t="shared" si="205"/>
        <v>0</v>
      </c>
      <c r="BW367" s="132"/>
    </row>
    <row r="368" ht="14.25" customHeight="1">
      <c r="A368" s="132"/>
      <c r="B368" s="215">
        <v>46355</v>
      </c>
      <c r="C368" s="133"/>
      <c r="D368" s="136"/>
      <c r="E368" s="135"/>
      <c r="F368" s="135"/>
      <c r="G368" s="98">
        <f t="shared" si="197"/>
        <v>0</v>
      </c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877">
        <f t="shared" si="209"/>
        <v>0</v>
      </c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43"/>
      <c r="AI368" s="103">
        <f t="shared" si="199"/>
        <v>0</v>
      </c>
      <c r="AJ368" s="136"/>
      <c r="AK368" s="136"/>
      <c r="AL368" s="136"/>
      <c r="AM368" s="105">
        <f t="shared" si="200"/>
        <v>0</v>
      </c>
      <c r="AN368" s="143"/>
      <c r="AO368" s="143"/>
      <c r="AP368" s="143"/>
      <c r="AQ368" s="143"/>
      <c r="AR368" s="146"/>
      <c r="AS368" s="224">
        <f t="shared" si="201"/>
        <v>0</v>
      </c>
      <c r="AT368" s="126"/>
      <c r="AU368" s="127"/>
      <c r="AV368" s="275"/>
      <c r="AW368" s="126"/>
      <c r="AX368" s="127"/>
      <c r="AY368" s="275"/>
      <c r="AZ368" s="126"/>
      <c r="BA368" s="274"/>
      <c r="BB368" s="274"/>
      <c r="BC368" s="274"/>
      <c r="BD368" s="274"/>
      <c r="BE368" s="222">
        <f t="shared" si="202"/>
        <v>0</v>
      </c>
      <c r="BF368" s="140">
        <f t="shared" si="203"/>
        <v>0</v>
      </c>
      <c r="BG368" s="132"/>
      <c r="BH368" s="140">
        <f t="shared" si="204"/>
        <v>0</v>
      </c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30">
        <f t="shared" si="205"/>
        <v>0</v>
      </c>
      <c r="BW368" s="132"/>
    </row>
    <row r="369" ht="14.25" customHeight="1">
      <c r="A369" s="132"/>
      <c r="B369" s="215">
        <v>46356</v>
      </c>
      <c r="C369" s="133"/>
      <c r="D369" s="136"/>
      <c r="E369" s="135"/>
      <c r="F369" s="135"/>
      <c r="G369" s="98">
        <f t="shared" si="197"/>
        <v>0</v>
      </c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877">
        <f>SUM(H369:T369)</f>
        <v>0</v>
      </c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43"/>
      <c r="AI369" s="103">
        <f t="shared" si="199"/>
        <v>0</v>
      </c>
      <c r="AJ369" s="136"/>
      <c r="AK369" s="136"/>
      <c r="AL369" s="136"/>
      <c r="AM369" s="105">
        <f t="shared" si="200"/>
        <v>0</v>
      </c>
      <c r="AN369" s="143"/>
      <c r="AO369" s="143"/>
      <c r="AP369" s="143"/>
      <c r="AQ369" s="143"/>
      <c r="AR369" s="146"/>
      <c r="AS369" s="224">
        <f t="shared" si="201"/>
        <v>0</v>
      </c>
      <c r="AT369" s="138"/>
      <c r="AU369" s="127"/>
      <c r="AV369" s="297"/>
      <c r="AW369" s="138"/>
      <c r="AX369" s="161"/>
      <c r="AY369" s="297"/>
      <c r="AZ369" s="138"/>
      <c r="BA369" s="274"/>
      <c r="BB369" s="274"/>
      <c r="BC369" s="274"/>
      <c r="BD369" s="274"/>
      <c r="BE369" s="222">
        <f t="shared" si="202"/>
        <v>0</v>
      </c>
      <c r="BF369" s="140">
        <f t="shared" si="203"/>
        <v>0</v>
      </c>
      <c r="BG369" s="132"/>
      <c r="BH369" s="140">
        <f t="shared" si="204"/>
        <v>0</v>
      </c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30">
        <f t="shared" si="205"/>
        <v>0</v>
      </c>
      <c r="BW369" s="132"/>
    </row>
    <row r="370" ht="14.25" customHeight="1">
      <c r="A370" s="3"/>
      <c r="B370" s="2" t="s">
        <v>4</v>
      </c>
      <c r="C370" s="166">
        <f ref="C370:Q370" t="shared" si="210">SUM(C339:C369)</f>
        <v>0</v>
      </c>
      <c r="D370" s="166">
        <f t="shared" si="210"/>
        <v>0</v>
      </c>
      <c r="E370" s="166">
        <f t="shared" si="210"/>
        <v>0</v>
      </c>
      <c r="F370" s="166">
        <f t="shared" si="210"/>
        <v>0</v>
      </c>
      <c r="G370" s="166">
        <f t="shared" si="210"/>
        <v>0</v>
      </c>
      <c r="H370" s="165">
        <f t="shared" si="210"/>
        <v>0</v>
      </c>
      <c r="I370" s="165">
        <f t="shared" si="210"/>
        <v>0</v>
      </c>
      <c r="J370" s="165">
        <f t="shared" si="210"/>
        <v>0</v>
      </c>
      <c r="K370" s="165">
        <f t="shared" si="210"/>
        <v>0</v>
      </c>
      <c r="L370" s="165">
        <f t="shared" si="210"/>
        <v>0</v>
      </c>
      <c r="M370" s="165">
        <f t="shared" si="210"/>
        <v>0</v>
      </c>
      <c r="N370" s="165">
        <f t="shared" si="210"/>
        <v>0</v>
      </c>
      <c r="O370" s="165">
        <f t="shared" si="210"/>
        <v>0</v>
      </c>
      <c r="P370" s="165">
        <f t="shared" si="210"/>
        <v>0</v>
      </c>
      <c r="Q370" s="165">
        <f t="shared" si="210"/>
        <v>0</v>
      </c>
      <c r="R370" s="165"/>
      <c r="S370" s="165">
        <f ref="S370:BF370" t="shared" si="211">SUM(S339:S369)</f>
        <v>0</v>
      </c>
      <c r="T370" s="165">
        <f t="shared" si="211"/>
        <v>0</v>
      </c>
      <c r="U370" s="165">
        <f t="shared" si="211"/>
        <v>0</v>
      </c>
      <c r="V370" s="166">
        <f t="shared" si="211"/>
        <v>0</v>
      </c>
      <c r="W370" s="166">
        <f t="shared" si="211"/>
        <v>0</v>
      </c>
      <c r="X370" s="166">
        <f t="shared" si="211"/>
        <v>0</v>
      </c>
      <c r="Y370" s="166">
        <f t="shared" si="211"/>
        <v>0</v>
      </c>
      <c r="Z370" s="166">
        <f t="shared" si="211"/>
        <v>0</v>
      </c>
      <c r="AA370" s="166">
        <f t="shared" si="211"/>
        <v>0</v>
      </c>
      <c r="AB370" s="166">
        <f t="shared" si="211"/>
        <v>0</v>
      </c>
      <c r="AC370" s="166">
        <f t="shared" si="211"/>
        <v>0</v>
      </c>
      <c r="AD370" s="166">
        <f t="shared" si="211"/>
        <v>0</v>
      </c>
      <c r="AE370" s="166">
        <f t="shared" si="211"/>
        <v>0</v>
      </c>
      <c r="AF370" s="166">
        <f t="shared" si="211"/>
        <v>0</v>
      </c>
      <c r="AG370" s="166">
        <f t="shared" si="211"/>
        <v>0</v>
      </c>
      <c r="AH370" s="166">
        <f t="shared" si="211"/>
        <v>0</v>
      </c>
      <c r="AI370" s="166">
        <f t="shared" si="211"/>
        <v>0</v>
      </c>
      <c r="AJ370" s="166">
        <f t="shared" si="211"/>
        <v>0</v>
      </c>
      <c r="AK370" s="166">
        <f t="shared" si="211"/>
        <v>0</v>
      </c>
      <c r="AL370" s="166">
        <f t="shared" si="211"/>
        <v>0</v>
      </c>
      <c r="AM370" s="166">
        <f t="shared" si="211"/>
        <v>0</v>
      </c>
      <c r="AN370" s="166">
        <f t="shared" si="211"/>
        <v>0</v>
      </c>
      <c r="AO370" s="166">
        <f t="shared" si="211"/>
        <v>0</v>
      </c>
      <c r="AP370" s="166">
        <f t="shared" si="211"/>
        <v>0</v>
      </c>
      <c r="AQ370" s="166">
        <f t="shared" si="211"/>
        <v>0</v>
      </c>
      <c r="AR370" s="166">
        <f t="shared" si="211"/>
        <v>0</v>
      </c>
      <c r="AS370" s="166">
        <f t="shared" si="211"/>
        <v>0</v>
      </c>
      <c r="AT370" s="165">
        <f t="shared" si="211"/>
        <v>0</v>
      </c>
      <c r="AU370" s="166">
        <f t="shared" si="211"/>
        <v>0</v>
      </c>
      <c r="AV370" s="165">
        <f t="shared" si="211"/>
        <v>0</v>
      </c>
      <c r="AW370" s="165">
        <f t="shared" si="211"/>
        <v>0</v>
      </c>
      <c r="AX370" s="165">
        <f t="shared" si="211"/>
        <v>0</v>
      </c>
      <c r="AY370" s="165">
        <f t="shared" si="211"/>
        <v>0</v>
      </c>
      <c r="AZ370" s="165">
        <f t="shared" si="211"/>
        <v>0</v>
      </c>
      <c r="BA370" s="166">
        <f t="shared" si="211"/>
        <v>0</v>
      </c>
      <c r="BB370" s="166">
        <f t="shared" si="211"/>
        <v>0</v>
      </c>
      <c r="BC370" s="166">
        <f t="shared" si="211"/>
        <v>0</v>
      </c>
      <c r="BD370" s="166">
        <f t="shared" si="211"/>
        <v>0</v>
      </c>
      <c r="BE370" s="166">
        <f t="shared" si="211"/>
        <v>0</v>
      </c>
      <c r="BF370" s="166">
        <f t="shared" si="211"/>
        <v>0</v>
      </c>
      <c r="BG370" s="235"/>
      <c r="BH370" s="166">
        <f ref="BH370:BV370" t="shared" si="212">SUM(BH339:BH369)</f>
        <v>0</v>
      </c>
      <c r="BI370" s="166">
        <f t="shared" si="212"/>
        <v>0</v>
      </c>
      <c r="BJ370" s="166">
        <f t="shared" si="212"/>
        <v>0</v>
      </c>
      <c r="BK370" s="166">
        <f t="shared" si="212"/>
        <v>0</v>
      </c>
      <c r="BL370" s="166">
        <f t="shared" si="212"/>
        <v>0</v>
      </c>
      <c r="BM370" s="166">
        <f t="shared" si="212"/>
        <v>0</v>
      </c>
      <c r="BN370" s="166">
        <f t="shared" si="212"/>
        <v>0</v>
      </c>
      <c r="BO370" s="166">
        <f t="shared" si="212"/>
        <v>0</v>
      </c>
      <c r="BP370" s="166">
        <f t="shared" si="212"/>
        <v>0</v>
      </c>
      <c r="BQ370" s="166">
        <f t="shared" si="212"/>
        <v>0</v>
      </c>
      <c r="BR370" s="166">
        <f t="shared" si="212"/>
        <v>0</v>
      </c>
      <c r="BS370" s="166">
        <f t="shared" si="212"/>
        <v>0</v>
      </c>
      <c r="BT370" s="166">
        <f t="shared" si="212"/>
        <v>0</v>
      </c>
      <c r="BU370" s="166">
        <f t="shared" si="212"/>
        <v>0</v>
      </c>
      <c r="BV370" s="166">
        <f t="shared" si="212"/>
        <v>0</v>
      </c>
      <c r="BW370" s="235"/>
    </row>
    <row r="371" ht="14.25" customHeight="1">
      <c r="A371" s="1"/>
      <c r="B371" s="2"/>
      <c r="C371" s="3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96"/>
      <c r="AJ371" s="96"/>
      <c r="AK371" s="3"/>
      <c r="AL371" s="3"/>
      <c r="AM371" s="4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132"/>
      <c r="BE371" s="4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ht="14.25" customHeight="1">
      <c r="A372" s="1189"/>
      <c r="B372" s="2"/>
      <c r="C372" s="176"/>
      <c r="D372" s="176"/>
      <c r="E372" s="176"/>
      <c r="F372" s="176"/>
      <c r="G372" s="305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6"/>
      <c r="AG372" s="176"/>
      <c r="AH372" s="176"/>
      <c r="AI372" s="176"/>
      <c r="AJ372" s="176"/>
      <c r="AK372" s="176"/>
      <c r="AL372" s="176"/>
      <c r="AM372" s="305"/>
      <c r="AN372" s="176"/>
      <c r="AO372" s="176"/>
      <c r="AP372" s="176"/>
      <c r="AQ372" s="176"/>
      <c r="AR372" s="176"/>
      <c r="AS372" s="176"/>
      <c r="AT372" s="3"/>
      <c r="AU372" s="176"/>
      <c r="AV372" s="3"/>
      <c r="AW372" s="176"/>
      <c r="AX372" s="176"/>
      <c r="AY372" s="176"/>
      <c r="AZ372" s="3"/>
      <c r="BA372" s="176"/>
      <c r="BB372" s="176"/>
      <c r="BC372" s="176"/>
      <c r="BD372" s="155"/>
      <c r="BE372" s="305"/>
      <c r="BF372" s="176"/>
      <c r="BG372" s="176"/>
      <c r="BH372" s="176"/>
      <c r="BI372" s="176"/>
      <c r="BJ372" s="176"/>
      <c r="BK372" s="176"/>
      <c r="BL372" s="176"/>
      <c r="BM372" s="176"/>
      <c r="BN372" s="176"/>
      <c r="BO372" s="176"/>
      <c r="BP372" s="176"/>
      <c r="BQ372" s="176"/>
      <c r="BR372" s="176"/>
      <c r="BS372" s="176"/>
      <c r="BT372" s="176"/>
      <c r="BU372" s="176"/>
      <c r="BV372" s="176"/>
      <c r="BW372" s="176"/>
    </row>
    <row r="373" ht="14.25" customHeight="1">
      <c r="A373" s="3"/>
      <c r="B373" s="215">
        <v>46357</v>
      </c>
      <c r="C373" s="118"/>
      <c r="D373" s="123"/>
      <c r="E373" s="120"/>
      <c r="F373" s="120"/>
      <c r="G373" s="147">
        <f ref="G373:G403" t="shared" si="213">+C373+D373+E373+F373</f>
        <v>0</v>
      </c>
      <c r="H373" s="144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03">
        <f ref="V373:V375" t="shared" si="214">SUM(H373:U373)</f>
        <v>0</v>
      </c>
      <c r="W373" s="143"/>
      <c r="X373" s="143"/>
      <c r="Y373" s="143"/>
      <c r="Z373" s="143"/>
      <c r="AA373" s="143"/>
      <c r="AB373" s="143"/>
      <c r="AC373" s="143"/>
      <c r="AD373" s="143"/>
      <c r="AE373" s="143"/>
      <c r="AF373" s="143"/>
      <c r="AG373" s="143"/>
      <c r="AH373" s="143"/>
      <c r="AI373" s="103">
        <f ref="AI373:AI403" t="shared" si="215">SUM(W373:AH373)</f>
        <v>0</v>
      </c>
      <c r="AJ373" s="123"/>
      <c r="AK373" s="123"/>
      <c r="AL373" s="123"/>
      <c r="AM373" s="105">
        <f ref="AM373:AM403" t="shared" si="216">SUM(AJ373:AL373)</f>
        <v>0</v>
      </c>
      <c r="AN373" s="143"/>
      <c r="AO373" s="143"/>
      <c r="AP373" s="143"/>
      <c r="AQ373" s="143"/>
      <c r="AR373" s="146"/>
      <c r="AS373" s="224">
        <f ref="AS373:AS403" t="shared" si="217">+G373-V373-AI373-AM373-AN373-AP373-AQ373-AR373</f>
        <v>0</v>
      </c>
      <c r="AT373" s="109"/>
      <c r="AU373" s="110"/>
      <c r="AV373" s="109"/>
      <c r="AW373" s="269"/>
      <c r="AX373" s="109"/>
      <c r="AY373" s="270"/>
      <c r="AZ373" s="109"/>
      <c r="BA373" s="269"/>
      <c r="BB373" s="269"/>
      <c r="BC373" s="269"/>
      <c r="BD373" s="269"/>
      <c r="BE373" s="222">
        <f ref="BE373:BE403" t="shared" si="218">SUM(AT373:BD373)-BC373</f>
        <v>0</v>
      </c>
      <c r="BF373" s="113">
        <f ref="BF373:BF403" t="shared" si="219">+AS373-BE373</f>
        <v>0</v>
      </c>
      <c r="BG373" s="3"/>
      <c r="BH373" s="113">
        <f ref="BH373:BH403" t="shared" si="220">SUM(BI373:BU373)</f>
        <v>0</v>
      </c>
      <c r="BI373" s="129"/>
      <c r="BJ373" s="129"/>
      <c r="BK373" s="129"/>
      <c r="BL373" s="129"/>
      <c r="BM373" s="129"/>
      <c r="BN373" s="129"/>
      <c r="BO373" s="129"/>
      <c r="BP373" s="129"/>
      <c r="BQ373" s="129"/>
      <c r="BR373" s="129"/>
      <c r="BS373" s="129"/>
      <c r="BT373" s="129"/>
      <c r="BU373" s="129"/>
      <c r="BV373" s="130">
        <f ref="BV373:BV403" t="shared" si="221">+BF373-BH373</f>
        <v>0</v>
      </c>
      <c r="BW373" s="3"/>
    </row>
    <row r="374" ht="14.25" customHeight="1">
      <c r="A374" s="3"/>
      <c r="B374" s="215">
        <v>46358</v>
      </c>
      <c r="C374" s="118"/>
      <c r="D374" s="123"/>
      <c r="E374" s="120"/>
      <c r="F374" s="120"/>
      <c r="G374" s="147">
        <f t="shared" si="213"/>
        <v>0</v>
      </c>
      <c r="H374" s="144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03">
        <f t="shared" si="214"/>
        <v>0</v>
      </c>
      <c r="W374" s="143"/>
      <c r="X374" s="143"/>
      <c r="Y374" s="143"/>
      <c r="Z374" s="143"/>
      <c r="AA374" s="143"/>
      <c r="AB374" s="143"/>
      <c r="AC374" s="143"/>
      <c r="AD374" s="143"/>
      <c r="AE374" s="143"/>
      <c r="AF374" s="143"/>
      <c r="AG374" s="143"/>
      <c r="AH374" s="143"/>
      <c r="AI374" s="103">
        <f t="shared" si="215"/>
        <v>0</v>
      </c>
      <c r="AJ374" s="123"/>
      <c r="AK374" s="123"/>
      <c r="AL374" s="123"/>
      <c r="AM374" s="105">
        <f t="shared" si="216"/>
        <v>0</v>
      </c>
      <c r="AN374" s="143"/>
      <c r="AO374" s="143"/>
      <c r="AP374" s="143"/>
      <c r="AQ374" s="143"/>
      <c r="AR374" s="146"/>
      <c r="AS374" s="224">
        <f t="shared" si="217"/>
        <v>0</v>
      </c>
      <c r="AT374" s="126"/>
      <c r="AU374" s="127"/>
      <c r="AV374" s="126"/>
      <c r="AW374" s="274"/>
      <c r="AX374" s="126"/>
      <c r="AY374" s="275"/>
      <c r="AZ374" s="126"/>
      <c r="BA374" s="274"/>
      <c r="BB374" s="274"/>
      <c r="BC374" s="274"/>
      <c r="BD374" s="274"/>
      <c r="BE374" s="222">
        <f t="shared" si="218"/>
        <v>0</v>
      </c>
      <c r="BF374" s="113">
        <f t="shared" si="219"/>
        <v>0</v>
      </c>
      <c r="BG374" s="3"/>
      <c r="BH374" s="113">
        <f t="shared" si="220"/>
        <v>0</v>
      </c>
      <c r="BI374" s="129"/>
      <c r="BJ374" s="129"/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30">
        <f t="shared" si="221"/>
        <v>0</v>
      </c>
      <c r="BW374" s="3"/>
    </row>
    <row r="375" ht="14.25" customHeight="1">
      <c r="A375" s="3"/>
      <c r="B375" s="215">
        <v>46359</v>
      </c>
      <c r="C375" s="118"/>
      <c r="D375" s="123"/>
      <c r="E375" s="120"/>
      <c r="F375" s="120"/>
      <c r="G375" s="147">
        <f t="shared" si="213"/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03">
        <f t="shared" si="214"/>
        <v>0</v>
      </c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43"/>
      <c r="AH375" s="143"/>
      <c r="AI375" s="103">
        <f t="shared" si="215"/>
        <v>0</v>
      </c>
      <c r="AJ375" s="123"/>
      <c r="AK375" s="123"/>
      <c r="AL375" s="123"/>
      <c r="AM375" s="105">
        <f t="shared" si="216"/>
        <v>0</v>
      </c>
      <c r="AN375" s="143"/>
      <c r="AO375" s="143"/>
      <c r="AP375" s="143"/>
      <c r="AQ375" s="143"/>
      <c r="AR375" s="146"/>
      <c r="AS375" s="224">
        <f t="shared" si="217"/>
        <v>0</v>
      </c>
      <c r="AT375" s="126"/>
      <c r="AU375" s="127"/>
      <c r="AV375" s="126"/>
      <c r="AW375" s="274"/>
      <c r="AX375" s="126"/>
      <c r="AY375" s="275"/>
      <c r="AZ375" s="126"/>
      <c r="BA375" s="274"/>
      <c r="BB375" s="274"/>
      <c r="BC375" s="274"/>
      <c r="BD375" s="274"/>
      <c r="BE375" s="222">
        <f t="shared" si="218"/>
        <v>0</v>
      </c>
      <c r="BF375" s="113">
        <f t="shared" si="219"/>
        <v>0</v>
      </c>
      <c r="BG375" s="3"/>
      <c r="BH375" s="113">
        <f t="shared" si="220"/>
        <v>0</v>
      </c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30">
        <f t="shared" si="221"/>
        <v>0</v>
      </c>
      <c r="BW375" s="3"/>
    </row>
    <row r="376" ht="14.25" customHeight="1">
      <c r="A376" s="3"/>
      <c r="B376" s="215">
        <v>46360</v>
      </c>
      <c r="C376" s="118"/>
      <c r="D376" s="123"/>
      <c r="E376" s="120"/>
      <c r="F376" s="120"/>
      <c r="G376" s="147">
        <f t="shared" si="213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03">
        <f>SUM(H376:T376)</f>
        <v>0</v>
      </c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43"/>
      <c r="AI376" s="103">
        <f t="shared" si="215"/>
        <v>0</v>
      </c>
      <c r="AJ376" s="123"/>
      <c r="AK376" s="123"/>
      <c r="AL376" s="123"/>
      <c r="AM376" s="105">
        <f t="shared" si="216"/>
        <v>0</v>
      </c>
      <c r="AN376" s="143"/>
      <c r="AO376" s="143"/>
      <c r="AP376" s="143"/>
      <c r="AQ376" s="143"/>
      <c r="AR376" s="146"/>
      <c r="AS376" s="224">
        <f t="shared" si="217"/>
        <v>0</v>
      </c>
      <c r="AT376" s="126"/>
      <c r="AU376" s="127"/>
      <c r="AV376" s="126"/>
      <c r="AW376" s="274"/>
      <c r="AX376" s="126"/>
      <c r="AY376" s="275"/>
      <c r="AZ376" s="126"/>
      <c r="BA376" s="274"/>
      <c r="BB376" s="274"/>
      <c r="BC376" s="274"/>
      <c r="BD376" s="274"/>
      <c r="BE376" s="222">
        <f t="shared" si="218"/>
        <v>0</v>
      </c>
      <c r="BF376" s="113">
        <f t="shared" si="219"/>
        <v>0</v>
      </c>
      <c r="BG376" s="3"/>
      <c r="BH376" s="113">
        <f t="shared" si="220"/>
        <v>0</v>
      </c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30">
        <f t="shared" si="221"/>
        <v>0</v>
      </c>
      <c r="BW376" s="3"/>
    </row>
    <row r="377" ht="14.25" customHeight="1">
      <c r="A377" s="3"/>
      <c r="B377" s="215">
        <v>46361</v>
      </c>
      <c r="C377" s="118"/>
      <c r="D377" s="123"/>
      <c r="E377" s="120"/>
      <c r="F377" s="120"/>
      <c r="G377" s="147">
        <f t="shared" si="213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03">
        <f ref="V377:V378" t="shared" si="222">SUM(H377:U377)</f>
        <v>0</v>
      </c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43"/>
      <c r="AI377" s="103">
        <f t="shared" si="215"/>
        <v>0</v>
      </c>
      <c r="AJ377" s="123"/>
      <c r="AK377" s="123"/>
      <c r="AL377" s="123"/>
      <c r="AM377" s="105">
        <f t="shared" si="216"/>
        <v>0</v>
      </c>
      <c r="AN377" s="143"/>
      <c r="AO377" s="143"/>
      <c r="AP377" s="143"/>
      <c r="AQ377" s="143"/>
      <c r="AR377" s="146"/>
      <c r="AS377" s="224">
        <f t="shared" si="217"/>
        <v>0</v>
      </c>
      <c r="AT377" s="126"/>
      <c r="AU377" s="127"/>
      <c r="AV377" s="126"/>
      <c r="AW377" s="274"/>
      <c r="AX377" s="126"/>
      <c r="AY377" s="275"/>
      <c r="AZ377" s="126"/>
      <c r="BA377" s="274"/>
      <c r="BB377" s="274"/>
      <c r="BC377" s="274"/>
      <c r="BD377" s="274"/>
      <c r="BE377" s="222">
        <f t="shared" si="218"/>
        <v>0</v>
      </c>
      <c r="BF377" s="113">
        <f t="shared" si="219"/>
        <v>0</v>
      </c>
      <c r="BG377" s="3"/>
      <c r="BH377" s="113">
        <f t="shared" si="220"/>
        <v>0</v>
      </c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30">
        <f t="shared" si="221"/>
        <v>0</v>
      </c>
      <c r="BW377" s="3"/>
    </row>
    <row r="378" ht="14.25" customHeight="1">
      <c r="A378" s="3"/>
      <c r="B378" s="215">
        <v>46362</v>
      </c>
      <c r="C378" s="118"/>
      <c r="D378" s="123"/>
      <c r="E378" s="120"/>
      <c r="F378" s="120"/>
      <c r="G378" s="147">
        <f t="shared" si="213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03">
        <f t="shared" si="222"/>
        <v>0</v>
      </c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43"/>
      <c r="AI378" s="103">
        <f t="shared" si="215"/>
        <v>0</v>
      </c>
      <c r="AJ378" s="123"/>
      <c r="AK378" s="123"/>
      <c r="AL378" s="123"/>
      <c r="AM378" s="105">
        <f t="shared" si="216"/>
        <v>0</v>
      </c>
      <c r="AN378" s="143"/>
      <c r="AO378" s="143"/>
      <c r="AP378" s="143"/>
      <c r="AQ378" s="143"/>
      <c r="AR378" s="146"/>
      <c r="AS378" s="224">
        <f t="shared" si="217"/>
        <v>0</v>
      </c>
      <c r="AT378" s="126"/>
      <c r="AU378" s="127"/>
      <c r="AV378" s="126"/>
      <c r="AW378" s="274"/>
      <c r="AX378" s="126"/>
      <c r="AY378" s="275"/>
      <c r="AZ378" s="126"/>
      <c r="BA378" s="274"/>
      <c r="BB378" s="274"/>
      <c r="BC378" s="274"/>
      <c r="BD378" s="274"/>
      <c r="BE378" s="222">
        <f t="shared" si="218"/>
        <v>0</v>
      </c>
      <c r="BF378" s="113">
        <f t="shared" si="219"/>
        <v>0</v>
      </c>
      <c r="BG378" s="3"/>
      <c r="BH378" s="113">
        <f t="shared" si="220"/>
        <v>0</v>
      </c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30">
        <f t="shared" si="221"/>
        <v>0</v>
      </c>
      <c r="BW378" s="3"/>
    </row>
    <row r="379" ht="14.25" customHeight="1">
      <c r="A379" s="132"/>
      <c r="B379" s="215">
        <v>46363</v>
      </c>
      <c r="C379" s="133"/>
      <c r="D379" s="136"/>
      <c r="E379" s="135"/>
      <c r="F379" s="135"/>
      <c r="G379" s="147">
        <f t="shared" si="213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03">
        <f>SUM(H379:T379)</f>
        <v>0</v>
      </c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43"/>
      <c r="AI379" s="103">
        <f t="shared" si="215"/>
        <v>0</v>
      </c>
      <c r="AJ379" s="136"/>
      <c r="AK379" s="136"/>
      <c r="AL379" s="136"/>
      <c r="AM379" s="105">
        <f t="shared" si="216"/>
        <v>0</v>
      </c>
      <c r="AN379" s="143"/>
      <c r="AO379" s="143"/>
      <c r="AP379" s="143"/>
      <c r="AQ379" s="143"/>
      <c r="AR379" s="146"/>
      <c r="AS379" s="224">
        <f t="shared" si="217"/>
        <v>0</v>
      </c>
      <c r="AT379" s="126"/>
      <c r="AU379" s="127"/>
      <c r="AV379" s="126"/>
      <c r="AW379" s="274"/>
      <c r="AX379" s="126"/>
      <c r="AY379" s="275"/>
      <c r="AZ379" s="126"/>
      <c r="BA379" s="274"/>
      <c r="BB379" s="274"/>
      <c r="BC379" s="274"/>
      <c r="BD379" s="274"/>
      <c r="BE379" s="222">
        <f t="shared" si="218"/>
        <v>0</v>
      </c>
      <c r="BF379" s="140">
        <f t="shared" si="219"/>
        <v>0</v>
      </c>
      <c r="BG379" s="132"/>
      <c r="BH379" s="140">
        <f t="shared" si="220"/>
        <v>0</v>
      </c>
      <c r="BI379" s="141"/>
      <c r="BJ379" s="141"/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30">
        <f t="shared" si="221"/>
        <v>0</v>
      </c>
      <c r="BW379" s="132"/>
    </row>
    <row r="380" ht="14.25" customHeight="1">
      <c r="A380" s="132"/>
      <c r="B380" s="215">
        <v>46364</v>
      </c>
      <c r="C380" s="133"/>
      <c r="D380" s="136"/>
      <c r="E380" s="135"/>
      <c r="F380" s="135"/>
      <c r="G380" s="147">
        <f t="shared" si="213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03">
        <f>SUM(H380:U380)</f>
        <v>0</v>
      </c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43"/>
      <c r="AI380" s="103">
        <f t="shared" si="215"/>
        <v>0</v>
      </c>
      <c r="AJ380" s="136"/>
      <c r="AK380" s="136"/>
      <c r="AL380" s="136"/>
      <c r="AM380" s="105">
        <f t="shared" si="216"/>
        <v>0</v>
      </c>
      <c r="AN380" s="143"/>
      <c r="AO380" s="143"/>
      <c r="AP380" s="143"/>
      <c r="AQ380" s="143"/>
      <c r="AR380" s="146"/>
      <c r="AS380" s="224">
        <f t="shared" si="217"/>
        <v>0</v>
      </c>
      <c r="AT380" s="126"/>
      <c r="AU380" s="127"/>
      <c r="AV380" s="126"/>
      <c r="AW380" s="274"/>
      <c r="AX380" s="126"/>
      <c r="AY380" s="275"/>
      <c r="AZ380" s="126"/>
      <c r="BA380" s="274"/>
      <c r="BB380" s="274"/>
      <c r="BC380" s="274"/>
      <c r="BD380" s="274"/>
      <c r="BE380" s="222">
        <f t="shared" si="218"/>
        <v>0</v>
      </c>
      <c r="BF380" s="140">
        <f t="shared" si="219"/>
        <v>0</v>
      </c>
      <c r="BG380" s="132"/>
      <c r="BH380" s="140">
        <f t="shared" si="220"/>
        <v>0</v>
      </c>
      <c r="BI380" s="141"/>
      <c r="BJ380" s="141"/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30">
        <f t="shared" si="221"/>
        <v>0</v>
      </c>
      <c r="BW380" s="132"/>
    </row>
    <row r="381" ht="14.25" customHeight="1">
      <c r="A381" s="132"/>
      <c r="B381" s="215">
        <v>46365</v>
      </c>
      <c r="C381" s="133"/>
      <c r="D381" s="136"/>
      <c r="E381" s="135"/>
      <c r="F381" s="135"/>
      <c r="G381" s="147">
        <f t="shared" si="213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03">
        <f>SUM(H381:T381)</f>
        <v>0</v>
      </c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43"/>
      <c r="AI381" s="103">
        <f t="shared" si="215"/>
        <v>0</v>
      </c>
      <c r="AJ381" s="136"/>
      <c r="AK381" s="136"/>
      <c r="AL381" s="136"/>
      <c r="AM381" s="105">
        <f t="shared" si="216"/>
        <v>0</v>
      </c>
      <c r="AN381" s="143"/>
      <c r="AO381" s="143"/>
      <c r="AP381" s="143"/>
      <c r="AQ381" s="143"/>
      <c r="AR381" s="146"/>
      <c r="AS381" s="224">
        <f t="shared" si="217"/>
        <v>0</v>
      </c>
      <c r="AT381" s="126"/>
      <c r="AU381" s="127"/>
      <c r="AV381" s="126"/>
      <c r="AW381" s="274"/>
      <c r="AX381" s="126"/>
      <c r="AY381" s="275"/>
      <c r="AZ381" s="126"/>
      <c r="BA381" s="274"/>
      <c r="BB381" s="274"/>
      <c r="BC381" s="274"/>
      <c r="BD381" s="274"/>
      <c r="BE381" s="222">
        <f t="shared" si="218"/>
        <v>0</v>
      </c>
      <c r="BF381" s="140">
        <f t="shared" si="219"/>
        <v>0</v>
      </c>
      <c r="BG381" s="132"/>
      <c r="BH381" s="140">
        <f t="shared" si="220"/>
        <v>0</v>
      </c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30">
        <f t="shared" si="221"/>
        <v>0</v>
      </c>
      <c r="BW381" s="132"/>
    </row>
    <row r="382" ht="14.25" customHeight="1">
      <c r="A382" s="132"/>
      <c r="B382" s="215">
        <v>46366</v>
      </c>
      <c r="C382" s="133"/>
      <c r="D382" s="136"/>
      <c r="E382" s="135"/>
      <c r="F382" s="135"/>
      <c r="G382" s="147">
        <f t="shared" si="213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03">
        <f ref="V382:V383" t="shared" si="223">SUM(H382:U382)</f>
        <v>0</v>
      </c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43"/>
      <c r="AI382" s="103">
        <f t="shared" si="215"/>
        <v>0</v>
      </c>
      <c r="AJ382" s="136"/>
      <c r="AK382" s="136"/>
      <c r="AL382" s="136"/>
      <c r="AM382" s="105">
        <f t="shared" si="216"/>
        <v>0</v>
      </c>
      <c r="AN382" s="143"/>
      <c r="AO382" s="143"/>
      <c r="AP382" s="143"/>
      <c r="AQ382" s="143"/>
      <c r="AR382" s="146"/>
      <c r="AS382" s="224">
        <f t="shared" si="217"/>
        <v>0</v>
      </c>
      <c r="AT382" s="126"/>
      <c r="AU382" s="127"/>
      <c r="AV382" s="126"/>
      <c r="AW382" s="274"/>
      <c r="AX382" s="126"/>
      <c r="AY382" s="275"/>
      <c r="AZ382" s="126"/>
      <c r="BA382" s="274"/>
      <c r="BB382" s="274"/>
      <c r="BC382" s="274"/>
      <c r="BD382" s="274"/>
      <c r="BE382" s="222">
        <f t="shared" si="218"/>
        <v>0</v>
      </c>
      <c r="BF382" s="140">
        <f t="shared" si="219"/>
        <v>0</v>
      </c>
      <c r="BG382" s="132"/>
      <c r="BH382" s="140">
        <f t="shared" si="220"/>
        <v>0</v>
      </c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30">
        <f t="shared" si="221"/>
        <v>0</v>
      </c>
      <c r="BW382" s="132"/>
    </row>
    <row r="383" ht="14.25" customHeight="1">
      <c r="A383" s="132"/>
      <c r="B383" s="215">
        <v>46367</v>
      </c>
      <c r="C383" s="133"/>
      <c r="D383" s="136"/>
      <c r="E383" s="135"/>
      <c r="F383" s="135"/>
      <c r="G383" s="147">
        <f t="shared" si="213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03">
        <f t="shared" si="223"/>
        <v>0</v>
      </c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43"/>
      <c r="AI383" s="103">
        <f t="shared" si="215"/>
        <v>0</v>
      </c>
      <c r="AJ383" s="136"/>
      <c r="AK383" s="136"/>
      <c r="AL383" s="136"/>
      <c r="AM383" s="105">
        <f t="shared" si="216"/>
        <v>0</v>
      </c>
      <c r="AN383" s="143"/>
      <c r="AO383" s="143"/>
      <c r="AP383" s="143"/>
      <c r="AQ383" s="143"/>
      <c r="AR383" s="146"/>
      <c r="AS383" s="224">
        <f t="shared" si="217"/>
        <v>0</v>
      </c>
      <c r="AT383" s="126"/>
      <c r="AU383" s="127"/>
      <c r="AV383" s="126"/>
      <c r="AW383" s="274"/>
      <c r="AX383" s="126"/>
      <c r="AY383" s="275"/>
      <c r="AZ383" s="126"/>
      <c r="BA383" s="274"/>
      <c r="BB383" s="274"/>
      <c r="BC383" s="274"/>
      <c r="BD383" s="274"/>
      <c r="BE383" s="222">
        <f t="shared" si="218"/>
        <v>0</v>
      </c>
      <c r="BF383" s="140">
        <f t="shared" si="219"/>
        <v>0</v>
      </c>
      <c r="BG383" s="132"/>
      <c r="BH383" s="140">
        <f t="shared" si="220"/>
        <v>0</v>
      </c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30">
        <f t="shared" si="221"/>
        <v>0</v>
      </c>
      <c r="BW383" s="132"/>
    </row>
    <row r="384" ht="14.25" customHeight="1">
      <c r="A384" s="132"/>
      <c r="B384" s="215">
        <v>46368</v>
      </c>
      <c r="C384" s="133"/>
      <c r="D384" s="136"/>
      <c r="E384" s="135"/>
      <c r="F384" s="135"/>
      <c r="G384" s="147">
        <f t="shared" si="213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03">
        <f>SUM(H384:T384)</f>
        <v>0</v>
      </c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43"/>
      <c r="AI384" s="103">
        <f t="shared" si="215"/>
        <v>0</v>
      </c>
      <c r="AJ384" s="136"/>
      <c r="AK384" s="136"/>
      <c r="AL384" s="136"/>
      <c r="AM384" s="105">
        <f t="shared" si="216"/>
        <v>0</v>
      </c>
      <c r="AN384" s="143"/>
      <c r="AO384" s="143"/>
      <c r="AP384" s="143"/>
      <c r="AQ384" s="143"/>
      <c r="AR384" s="146"/>
      <c r="AS384" s="224">
        <f t="shared" si="217"/>
        <v>0</v>
      </c>
      <c r="AT384" s="126"/>
      <c r="AU384" s="127"/>
      <c r="AV384" s="126"/>
      <c r="AW384" s="274"/>
      <c r="AX384" s="126"/>
      <c r="AY384" s="275"/>
      <c r="AZ384" s="126"/>
      <c r="BA384" s="274"/>
      <c r="BB384" s="274"/>
      <c r="BC384" s="274"/>
      <c r="BD384" s="274"/>
      <c r="BE384" s="222">
        <f t="shared" si="218"/>
        <v>0</v>
      </c>
      <c r="BF384" s="140">
        <f t="shared" si="219"/>
        <v>0</v>
      </c>
      <c r="BG384" s="132"/>
      <c r="BH384" s="140">
        <f t="shared" si="220"/>
        <v>0</v>
      </c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30">
        <f t="shared" si="221"/>
        <v>0</v>
      </c>
      <c r="BW384" s="132"/>
    </row>
    <row r="385" ht="14.25" customHeight="1">
      <c r="A385" s="132"/>
      <c r="B385" s="215">
        <v>46369</v>
      </c>
      <c r="C385" s="133"/>
      <c r="D385" s="136"/>
      <c r="E385" s="135"/>
      <c r="F385" s="135"/>
      <c r="G385" s="147">
        <f t="shared" si="213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03">
        <f>SUM(H385:U385)</f>
        <v>0</v>
      </c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43"/>
      <c r="AI385" s="103">
        <f t="shared" si="215"/>
        <v>0</v>
      </c>
      <c r="AJ385" s="136"/>
      <c r="AK385" s="136"/>
      <c r="AL385" s="136"/>
      <c r="AM385" s="105">
        <f t="shared" si="216"/>
        <v>0</v>
      </c>
      <c r="AN385" s="143"/>
      <c r="AO385" s="143"/>
      <c r="AP385" s="143"/>
      <c r="AQ385" s="143"/>
      <c r="AR385" s="146"/>
      <c r="AS385" s="224">
        <f t="shared" si="217"/>
        <v>0</v>
      </c>
      <c r="AT385" s="126"/>
      <c r="AU385" s="127"/>
      <c r="AV385" s="126"/>
      <c r="AW385" s="274"/>
      <c r="AX385" s="126"/>
      <c r="AY385" s="275"/>
      <c r="AZ385" s="126"/>
      <c r="BA385" s="274"/>
      <c r="BB385" s="274"/>
      <c r="BC385" s="274"/>
      <c r="BD385" s="274"/>
      <c r="BE385" s="222">
        <f t="shared" si="218"/>
        <v>0</v>
      </c>
      <c r="BF385" s="140">
        <f t="shared" si="219"/>
        <v>0</v>
      </c>
      <c r="BG385" s="132"/>
      <c r="BH385" s="140">
        <f t="shared" si="220"/>
        <v>0</v>
      </c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30">
        <f t="shared" si="221"/>
        <v>0</v>
      </c>
      <c r="BW385" s="132"/>
    </row>
    <row r="386" ht="14.25" customHeight="1">
      <c r="A386" s="132"/>
      <c r="B386" s="215">
        <v>46370</v>
      </c>
      <c r="C386" s="133"/>
      <c r="D386" s="136"/>
      <c r="E386" s="135"/>
      <c r="F386" s="135"/>
      <c r="G386" s="147">
        <f t="shared" si="213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03">
        <f>SUM(H386:T386)</f>
        <v>0</v>
      </c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43"/>
      <c r="AI386" s="103">
        <f t="shared" si="215"/>
        <v>0</v>
      </c>
      <c r="AJ386" s="136"/>
      <c r="AK386" s="136"/>
      <c r="AL386" s="136"/>
      <c r="AM386" s="105">
        <f t="shared" si="216"/>
        <v>0</v>
      </c>
      <c r="AN386" s="143"/>
      <c r="AO386" s="143"/>
      <c r="AP386" s="143"/>
      <c r="AQ386" s="143"/>
      <c r="AR386" s="146"/>
      <c r="AS386" s="224">
        <f t="shared" si="217"/>
        <v>0</v>
      </c>
      <c r="AT386" s="126"/>
      <c r="AU386" s="127"/>
      <c r="AV386" s="126"/>
      <c r="AW386" s="274"/>
      <c r="AX386" s="126"/>
      <c r="AY386" s="275"/>
      <c r="AZ386" s="126"/>
      <c r="BA386" s="274"/>
      <c r="BB386" s="274"/>
      <c r="BC386" s="274"/>
      <c r="BD386" s="274"/>
      <c r="BE386" s="222">
        <f t="shared" si="218"/>
        <v>0</v>
      </c>
      <c r="BF386" s="140">
        <f t="shared" si="219"/>
        <v>0</v>
      </c>
      <c r="BG386" s="132"/>
      <c r="BH386" s="140">
        <f t="shared" si="220"/>
        <v>0</v>
      </c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30">
        <f t="shared" si="221"/>
        <v>0</v>
      </c>
      <c r="BW386" s="132"/>
    </row>
    <row r="387" ht="14.25" customHeight="1">
      <c r="A387" s="132"/>
      <c r="B387" s="215">
        <v>46371</v>
      </c>
      <c r="C387" s="133"/>
      <c r="D387" s="136"/>
      <c r="E387" s="135"/>
      <c r="F387" s="135"/>
      <c r="G387" s="147">
        <f t="shared" si="213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03">
        <f>SUM(H387:U387)</f>
        <v>0</v>
      </c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43"/>
      <c r="AI387" s="103">
        <f t="shared" si="215"/>
        <v>0</v>
      </c>
      <c r="AJ387" s="136"/>
      <c r="AK387" s="136"/>
      <c r="AL387" s="136"/>
      <c r="AM387" s="105">
        <f t="shared" si="216"/>
        <v>0</v>
      </c>
      <c r="AN387" s="143"/>
      <c r="AO387" s="143"/>
      <c r="AP387" s="143"/>
      <c r="AQ387" s="143"/>
      <c r="AR387" s="146"/>
      <c r="AS387" s="224">
        <f t="shared" si="217"/>
        <v>0</v>
      </c>
      <c r="AT387" s="126"/>
      <c r="AU387" s="127"/>
      <c r="AV387" s="126"/>
      <c r="AW387" s="274"/>
      <c r="AX387" s="126"/>
      <c r="AY387" s="275"/>
      <c r="AZ387" s="126"/>
      <c r="BA387" s="274"/>
      <c r="BB387" s="274"/>
      <c r="BC387" s="274"/>
      <c r="BD387" s="274"/>
      <c r="BE387" s="222">
        <f t="shared" si="218"/>
        <v>0</v>
      </c>
      <c r="BF387" s="140">
        <f t="shared" si="219"/>
        <v>0</v>
      </c>
      <c r="BG387" s="132"/>
      <c r="BH387" s="140">
        <f t="shared" si="220"/>
        <v>0</v>
      </c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30">
        <f t="shared" si="221"/>
        <v>0</v>
      </c>
      <c r="BW387" s="132"/>
    </row>
    <row r="388" ht="14.25" customHeight="1">
      <c r="A388" s="132"/>
      <c r="B388" s="215">
        <v>46372</v>
      </c>
      <c r="C388" s="133"/>
      <c r="D388" s="136"/>
      <c r="E388" s="135"/>
      <c r="F388" s="135"/>
      <c r="G388" s="147">
        <f t="shared" si="213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03">
        <f>SUM(H388:T388)</f>
        <v>0</v>
      </c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43"/>
      <c r="AI388" s="103">
        <f t="shared" si="215"/>
        <v>0</v>
      </c>
      <c r="AJ388" s="136"/>
      <c r="AK388" s="136"/>
      <c r="AL388" s="136"/>
      <c r="AM388" s="105">
        <f t="shared" si="216"/>
        <v>0</v>
      </c>
      <c r="AN388" s="143"/>
      <c r="AO388" s="143"/>
      <c r="AP388" s="143"/>
      <c r="AQ388" s="143"/>
      <c r="AR388" s="146"/>
      <c r="AS388" s="224">
        <f t="shared" si="217"/>
        <v>0</v>
      </c>
      <c r="AT388" s="126"/>
      <c r="AU388" s="127"/>
      <c r="AV388" s="126"/>
      <c r="AW388" s="274"/>
      <c r="AX388" s="126"/>
      <c r="AY388" s="275"/>
      <c r="AZ388" s="126"/>
      <c r="BA388" s="274"/>
      <c r="BB388" s="274"/>
      <c r="BC388" s="274"/>
      <c r="BD388" s="274"/>
      <c r="BE388" s="222">
        <f t="shared" si="218"/>
        <v>0</v>
      </c>
      <c r="BF388" s="140">
        <f t="shared" si="219"/>
        <v>0</v>
      </c>
      <c r="BG388" s="132"/>
      <c r="BH388" s="140">
        <f t="shared" si="220"/>
        <v>0</v>
      </c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30">
        <f t="shared" si="221"/>
        <v>0</v>
      </c>
      <c r="BW388" s="132"/>
    </row>
    <row r="389" ht="14.25" customHeight="1">
      <c r="A389" s="132"/>
      <c r="B389" s="215">
        <v>46373</v>
      </c>
      <c r="C389" s="133"/>
      <c r="D389" s="136"/>
      <c r="E389" s="135"/>
      <c r="F389" s="135"/>
      <c r="G389" s="147">
        <f t="shared" si="213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03">
        <f ref="V389:V390" t="shared" si="224">SUM(H389:U389)</f>
        <v>0</v>
      </c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43"/>
      <c r="AI389" s="103">
        <f t="shared" si="215"/>
        <v>0</v>
      </c>
      <c r="AJ389" s="136"/>
      <c r="AK389" s="136"/>
      <c r="AL389" s="136"/>
      <c r="AM389" s="105">
        <f t="shared" si="216"/>
        <v>0</v>
      </c>
      <c r="AN389" s="143"/>
      <c r="AO389" s="143"/>
      <c r="AP389" s="143"/>
      <c r="AQ389" s="143"/>
      <c r="AR389" s="146"/>
      <c r="AS389" s="224">
        <f t="shared" si="217"/>
        <v>0</v>
      </c>
      <c r="AT389" s="126"/>
      <c r="AU389" s="127"/>
      <c r="AV389" s="126"/>
      <c r="AW389" s="274"/>
      <c r="AX389" s="126"/>
      <c r="AY389" s="275"/>
      <c r="AZ389" s="126"/>
      <c r="BA389" s="274"/>
      <c r="BB389" s="274"/>
      <c r="BC389" s="274"/>
      <c r="BD389" s="274"/>
      <c r="BE389" s="222">
        <f t="shared" si="218"/>
        <v>0</v>
      </c>
      <c r="BF389" s="140">
        <f t="shared" si="219"/>
        <v>0</v>
      </c>
      <c r="BG389" s="132"/>
      <c r="BH389" s="140">
        <f t="shared" si="220"/>
        <v>0</v>
      </c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30">
        <f t="shared" si="221"/>
        <v>0</v>
      </c>
      <c r="BW389" s="132"/>
    </row>
    <row r="390" ht="14.25" customHeight="1">
      <c r="A390" s="132"/>
      <c r="B390" s="215">
        <v>46374</v>
      </c>
      <c r="C390" s="133"/>
      <c r="D390" s="136"/>
      <c r="E390" s="135"/>
      <c r="F390" s="135"/>
      <c r="G390" s="147">
        <f t="shared" si="213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03">
        <f t="shared" si="224"/>
        <v>0</v>
      </c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43"/>
      <c r="AI390" s="103">
        <f t="shared" si="215"/>
        <v>0</v>
      </c>
      <c r="AJ390" s="136"/>
      <c r="AK390" s="136"/>
      <c r="AL390" s="136"/>
      <c r="AM390" s="105">
        <f t="shared" si="216"/>
        <v>0</v>
      </c>
      <c r="AN390" s="143"/>
      <c r="AO390" s="143"/>
      <c r="AP390" s="143"/>
      <c r="AQ390" s="143"/>
      <c r="AR390" s="146"/>
      <c r="AS390" s="224">
        <f t="shared" si="217"/>
        <v>0</v>
      </c>
      <c r="AT390" s="126"/>
      <c r="AU390" s="127"/>
      <c r="AV390" s="126"/>
      <c r="AW390" s="274"/>
      <c r="AX390" s="126"/>
      <c r="AY390" s="275"/>
      <c r="AZ390" s="126"/>
      <c r="BA390" s="274"/>
      <c r="BB390" s="274"/>
      <c r="BC390" s="274"/>
      <c r="BD390" s="274"/>
      <c r="BE390" s="222">
        <f t="shared" si="218"/>
        <v>0</v>
      </c>
      <c r="BF390" s="140">
        <f t="shared" si="219"/>
        <v>0</v>
      </c>
      <c r="BG390" s="132"/>
      <c r="BH390" s="140">
        <f t="shared" si="220"/>
        <v>0</v>
      </c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30">
        <f t="shared" si="221"/>
        <v>0</v>
      </c>
      <c r="BW390" s="132"/>
    </row>
    <row r="391" ht="14.25" customHeight="1">
      <c r="A391" s="132"/>
      <c r="B391" s="215">
        <v>46375</v>
      </c>
      <c r="C391" s="133"/>
      <c r="D391" s="136"/>
      <c r="E391" s="135"/>
      <c r="F391" s="135"/>
      <c r="G391" s="147">
        <f t="shared" si="213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03">
        <f>SUM(H391:T391)</f>
        <v>0</v>
      </c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43"/>
      <c r="AI391" s="103">
        <f t="shared" si="215"/>
        <v>0</v>
      </c>
      <c r="AJ391" s="136"/>
      <c r="AK391" s="136"/>
      <c r="AL391" s="136"/>
      <c r="AM391" s="105">
        <f t="shared" si="216"/>
        <v>0</v>
      </c>
      <c r="AN391" s="143"/>
      <c r="AO391" s="143"/>
      <c r="AP391" s="143"/>
      <c r="AQ391" s="143"/>
      <c r="AR391" s="146"/>
      <c r="AS391" s="224">
        <f t="shared" si="217"/>
        <v>0</v>
      </c>
      <c r="AT391" s="126"/>
      <c r="AU391" s="127"/>
      <c r="AV391" s="126"/>
      <c r="AW391" s="274"/>
      <c r="AX391" s="126"/>
      <c r="AY391" s="275"/>
      <c r="AZ391" s="126"/>
      <c r="BA391" s="274"/>
      <c r="BB391" s="274"/>
      <c r="BC391" s="274"/>
      <c r="BD391" s="274"/>
      <c r="BE391" s="222">
        <f t="shared" si="218"/>
        <v>0</v>
      </c>
      <c r="BF391" s="140">
        <f t="shared" si="219"/>
        <v>0</v>
      </c>
      <c r="BG391" s="132"/>
      <c r="BH391" s="140">
        <f t="shared" si="220"/>
        <v>0</v>
      </c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30">
        <f t="shared" si="221"/>
        <v>0</v>
      </c>
      <c r="BW391" s="132"/>
    </row>
    <row r="392" ht="14.25" customHeight="1">
      <c r="A392" s="132"/>
      <c r="B392" s="215">
        <v>46376</v>
      </c>
      <c r="C392" s="133"/>
      <c r="D392" s="133"/>
      <c r="E392" s="135"/>
      <c r="F392" s="135"/>
      <c r="G392" s="147">
        <f t="shared" si="213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03">
        <f>SUM(H392:U392)</f>
        <v>0</v>
      </c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43"/>
      <c r="AI392" s="103">
        <f t="shared" si="215"/>
        <v>0</v>
      </c>
      <c r="AJ392" s="136"/>
      <c r="AK392" s="136"/>
      <c r="AL392" s="136"/>
      <c r="AM392" s="105">
        <f t="shared" si="216"/>
        <v>0</v>
      </c>
      <c r="AN392" s="143"/>
      <c r="AO392" s="143"/>
      <c r="AP392" s="143"/>
      <c r="AQ392" s="143"/>
      <c r="AR392" s="146"/>
      <c r="AS392" s="224">
        <f t="shared" si="217"/>
        <v>0</v>
      </c>
      <c r="AT392" s="126"/>
      <c r="AU392" s="127"/>
      <c r="AV392" s="126"/>
      <c r="AW392" s="274"/>
      <c r="AX392" s="126"/>
      <c r="AY392" s="275"/>
      <c r="AZ392" s="126"/>
      <c r="BA392" s="274"/>
      <c r="BB392" s="274"/>
      <c r="BC392" s="274"/>
      <c r="BD392" s="274"/>
      <c r="BE392" s="222">
        <f t="shared" si="218"/>
        <v>0</v>
      </c>
      <c r="BF392" s="140">
        <f t="shared" si="219"/>
        <v>0</v>
      </c>
      <c r="BG392" s="132"/>
      <c r="BH392" s="140">
        <f t="shared" si="220"/>
        <v>0</v>
      </c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30">
        <f t="shared" si="221"/>
        <v>0</v>
      </c>
      <c r="BW392" s="132"/>
    </row>
    <row r="393" ht="14.25" customHeight="1">
      <c r="A393" s="132"/>
      <c r="B393" s="215">
        <v>46377</v>
      </c>
      <c r="C393" s="133"/>
      <c r="D393" s="133"/>
      <c r="E393" s="135"/>
      <c r="F393" s="135"/>
      <c r="G393" s="147">
        <f t="shared" si="213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03">
        <f>SUM(H393:T393)</f>
        <v>0</v>
      </c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43"/>
      <c r="AI393" s="103">
        <f t="shared" si="215"/>
        <v>0</v>
      </c>
      <c r="AJ393" s="136"/>
      <c r="AK393" s="136"/>
      <c r="AL393" s="136"/>
      <c r="AM393" s="105">
        <f t="shared" si="216"/>
        <v>0</v>
      </c>
      <c r="AN393" s="143"/>
      <c r="AO393" s="143"/>
      <c r="AP393" s="143"/>
      <c r="AQ393" s="143"/>
      <c r="AR393" s="146"/>
      <c r="AS393" s="224">
        <f t="shared" si="217"/>
        <v>0</v>
      </c>
      <c r="AT393" s="126"/>
      <c r="AU393" s="127"/>
      <c r="AV393" s="126"/>
      <c r="AW393" s="274"/>
      <c r="AX393" s="126"/>
      <c r="AY393" s="275"/>
      <c r="AZ393" s="126"/>
      <c r="BA393" s="274"/>
      <c r="BB393" s="274"/>
      <c r="BC393" s="274"/>
      <c r="BD393" s="274"/>
      <c r="BE393" s="222">
        <f t="shared" si="218"/>
        <v>0</v>
      </c>
      <c r="BF393" s="140">
        <f t="shared" si="219"/>
        <v>0</v>
      </c>
      <c r="BG393" s="132"/>
      <c r="BH393" s="140">
        <f t="shared" si="220"/>
        <v>0</v>
      </c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30">
        <f t="shared" si="221"/>
        <v>0</v>
      </c>
      <c r="BW393" s="132"/>
    </row>
    <row r="394" ht="14.25" customHeight="1">
      <c r="A394" s="132"/>
      <c r="B394" s="215">
        <v>46378</v>
      </c>
      <c r="C394" s="1218"/>
      <c r="D394" s="1217"/>
      <c r="E394" s="135"/>
      <c r="F394" s="135"/>
      <c r="G394" s="147">
        <f t="shared" si="213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03">
        <f ref="V394:V396" t="shared" si="225">SUM(H394:U394)</f>
        <v>0</v>
      </c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43"/>
      <c r="AI394" s="103">
        <f t="shared" si="215"/>
        <v>0</v>
      </c>
      <c r="AJ394" s="136"/>
      <c r="AK394" s="136"/>
      <c r="AL394" s="136"/>
      <c r="AM394" s="105">
        <f t="shared" si="216"/>
        <v>0</v>
      </c>
      <c r="AN394" s="143"/>
      <c r="AO394" s="143"/>
      <c r="AP394" s="143"/>
      <c r="AQ394" s="143"/>
      <c r="AR394" s="146"/>
      <c r="AS394" s="224">
        <f t="shared" si="217"/>
        <v>0</v>
      </c>
      <c r="AT394" s="126"/>
      <c r="AU394" s="127"/>
      <c r="AV394" s="126"/>
      <c r="AW394" s="274"/>
      <c r="AX394" s="126"/>
      <c r="AY394" s="275"/>
      <c r="AZ394" s="126"/>
      <c r="BA394" s="274"/>
      <c r="BB394" s="274"/>
      <c r="BC394" s="274"/>
      <c r="BD394" s="274"/>
      <c r="BE394" s="222">
        <f t="shared" si="218"/>
        <v>0</v>
      </c>
      <c r="BF394" s="140">
        <f t="shared" si="219"/>
        <v>0</v>
      </c>
      <c r="BG394" s="132"/>
      <c r="BH394" s="140">
        <f t="shared" si="220"/>
        <v>0</v>
      </c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30">
        <f t="shared" si="221"/>
        <v>0</v>
      </c>
      <c r="BW394" s="132"/>
    </row>
    <row r="395" ht="14.25" customHeight="1">
      <c r="A395" s="132"/>
      <c r="B395" s="215">
        <v>46379</v>
      </c>
      <c r="C395" s="133"/>
      <c r="D395" s="133"/>
      <c r="E395" s="135"/>
      <c r="F395" s="135"/>
      <c r="G395" s="147">
        <f t="shared" si="213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03">
        <f t="shared" si="225"/>
        <v>0</v>
      </c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43"/>
      <c r="AI395" s="103">
        <f t="shared" si="215"/>
        <v>0</v>
      </c>
      <c r="AJ395" s="136"/>
      <c r="AK395" s="136"/>
      <c r="AL395" s="136"/>
      <c r="AM395" s="105">
        <f t="shared" si="216"/>
        <v>0</v>
      </c>
      <c r="AN395" s="143"/>
      <c r="AO395" s="143"/>
      <c r="AP395" s="143"/>
      <c r="AQ395" s="143"/>
      <c r="AR395" s="146"/>
      <c r="AS395" s="224">
        <f t="shared" si="217"/>
        <v>0</v>
      </c>
      <c r="AT395" s="126"/>
      <c r="AU395" s="127"/>
      <c r="AV395" s="126"/>
      <c r="AW395" s="274"/>
      <c r="AX395" s="126"/>
      <c r="AY395" s="275"/>
      <c r="AZ395" s="126"/>
      <c r="BA395" s="274"/>
      <c r="BB395" s="274"/>
      <c r="BC395" s="274"/>
      <c r="BD395" s="274"/>
      <c r="BE395" s="222">
        <f t="shared" si="218"/>
        <v>0</v>
      </c>
      <c r="BF395" s="140">
        <f t="shared" si="219"/>
        <v>0</v>
      </c>
      <c r="BG395" s="132"/>
      <c r="BH395" s="140">
        <f t="shared" si="220"/>
        <v>0</v>
      </c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30">
        <f t="shared" si="221"/>
        <v>0</v>
      </c>
      <c r="BW395" s="132"/>
    </row>
    <row r="396" ht="14.25" customHeight="1">
      <c r="A396" s="132"/>
      <c r="B396" s="215">
        <v>46380</v>
      </c>
      <c r="C396" s="133"/>
      <c r="D396" s="133"/>
      <c r="E396" s="135"/>
      <c r="F396" s="135"/>
      <c r="G396" s="147">
        <f t="shared" si="213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03">
        <f t="shared" si="225"/>
        <v>0</v>
      </c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43"/>
      <c r="AI396" s="103">
        <f t="shared" si="215"/>
        <v>0</v>
      </c>
      <c r="AJ396" s="136"/>
      <c r="AK396" s="136"/>
      <c r="AL396" s="136"/>
      <c r="AM396" s="105">
        <f t="shared" si="216"/>
        <v>0</v>
      </c>
      <c r="AN396" s="143"/>
      <c r="AO396" s="143"/>
      <c r="AP396" s="143"/>
      <c r="AQ396" s="143"/>
      <c r="AR396" s="146"/>
      <c r="AS396" s="224">
        <f t="shared" si="217"/>
        <v>0</v>
      </c>
      <c r="AT396" s="126"/>
      <c r="AU396" s="127"/>
      <c r="AV396" s="126"/>
      <c r="AW396" s="274"/>
      <c r="AX396" s="126"/>
      <c r="AY396" s="275"/>
      <c r="AZ396" s="126"/>
      <c r="BA396" s="274"/>
      <c r="BB396" s="274"/>
      <c r="BC396" s="274"/>
      <c r="BD396" s="274"/>
      <c r="BE396" s="222">
        <f t="shared" si="218"/>
        <v>0</v>
      </c>
      <c r="BF396" s="140">
        <f t="shared" si="219"/>
        <v>0</v>
      </c>
      <c r="BG396" s="132"/>
      <c r="BH396" s="140">
        <f t="shared" si="220"/>
        <v>0</v>
      </c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30">
        <f t="shared" si="221"/>
        <v>0</v>
      </c>
      <c r="BW396" s="132"/>
    </row>
    <row r="397" ht="14.25" customHeight="1">
      <c r="A397" s="132"/>
      <c r="B397" s="215">
        <v>46381</v>
      </c>
      <c r="C397" s="133"/>
      <c r="D397" s="136"/>
      <c r="E397" s="135"/>
      <c r="F397" s="135"/>
      <c r="G397" s="147">
        <f t="shared" si="213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03">
        <f>SUM(H397:T397)</f>
        <v>0</v>
      </c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43"/>
      <c r="AI397" s="103">
        <f t="shared" si="215"/>
        <v>0</v>
      </c>
      <c r="AJ397" s="136"/>
      <c r="AK397" s="136"/>
      <c r="AL397" s="136"/>
      <c r="AM397" s="105">
        <f t="shared" si="216"/>
        <v>0</v>
      </c>
      <c r="AN397" s="143"/>
      <c r="AO397" s="143"/>
      <c r="AP397" s="143"/>
      <c r="AQ397" s="143"/>
      <c r="AR397" s="146"/>
      <c r="AS397" s="224">
        <f t="shared" si="217"/>
        <v>0</v>
      </c>
      <c r="AT397" s="126"/>
      <c r="AU397" s="127"/>
      <c r="AV397" s="126"/>
      <c r="AW397" s="274"/>
      <c r="AX397" s="126"/>
      <c r="AY397" s="275"/>
      <c r="AZ397" s="126"/>
      <c r="BA397" s="274"/>
      <c r="BB397" s="274"/>
      <c r="BC397" s="274"/>
      <c r="BD397" s="274"/>
      <c r="BE397" s="222">
        <f t="shared" si="218"/>
        <v>0</v>
      </c>
      <c r="BF397" s="140">
        <f t="shared" si="219"/>
        <v>0</v>
      </c>
      <c r="BG397" s="132"/>
      <c r="BH397" s="140">
        <f t="shared" si="220"/>
        <v>0</v>
      </c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30">
        <f t="shared" si="221"/>
        <v>0</v>
      </c>
      <c r="BW397" s="132"/>
    </row>
    <row r="398" ht="14.25" customHeight="1">
      <c r="A398" s="132"/>
      <c r="B398" s="215">
        <v>46382</v>
      </c>
      <c r="C398" s="133"/>
      <c r="D398" s="136"/>
      <c r="E398" s="135"/>
      <c r="F398" s="135"/>
      <c r="G398" s="147">
        <f t="shared" si="213"/>
        <v>0</v>
      </c>
      <c r="H398" s="144"/>
      <c r="I398" s="143"/>
      <c r="J398" s="143"/>
      <c r="K398" s="143"/>
      <c r="L398" s="143"/>
      <c r="M398" s="143"/>
      <c r="N398" s="99"/>
      <c r="O398" s="143"/>
      <c r="P398" s="143"/>
      <c r="Q398" s="143"/>
      <c r="R398" s="143"/>
      <c r="S398" s="143"/>
      <c r="T398" s="143"/>
      <c r="U398" s="143"/>
      <c r="V398" s="103">
        <f ref="V398:V399" t="shared" si="226">SUM(H398:U398)</f>
        <v>0</v>
      </c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43"/>
      <c r="AI398" s="103">
        <f t="shared" si="215"/>
        <v>0</v>
      </c>
      <c r="AJ398" s="136"/>
      <c r="AK398" s="136"/>
      <c r="AL398" s="136"/>
      <c r="AM398" s="105">
        <f t="shared" si="216"/>
        <v>0</v>
      </c>
      <c r="AN398" s="143"/>
      <c r="AO398" s="143"/>
      <c r="AP398" s="143"/>
      <c r="AQ398" s="143"/>
      <c r="AR398" s="146"/>
      <c r="AS398" s="224">
        <f t="shared" si="217"/>
        <v>0</v>
      </c>
      <c r="AT398" s="126"/>
      <c r="AU398" s="127"/>
      <c r="AV398" s="126"/>
      <c r="AW398" s="274"/>
      <c r="AX398" s="126"/>
      <c r="AY398" s="275"/>
      <c r="AZ398" s="126"/>
      <c r="BA398" s="274"/>
      <c r="BB398" s="274"/>
      <c r="BC398" s="274"/>
      <c r="BD398" s="274"/>
      <c r="BE398" s="222">
        <f t="shared" si="218"/>
        <v>0</v>
      </c>
      <c r="BF398" s="140">
        <f t="shared" si="219"/>
        <v>0</v>
      </c>
      <c r="BG398" s="132"/>
      <c r="BH398" s="140">
        <f t="shared" si="220"/>
        <v>0</v>
      </c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30">
        <f t="shared" si="221"/>
        <v>0</v>
      </c>
      <c r="BW398" s="132"/>
    </row>
    <row r="399" ht="14.25" customHeight="1">
      <c r="A399" s="132"/>
      <c r="B399" s="215">
        <v>46383</v>
      </c>
      <c r="C399" s="133"/>
      <c r="D399" s="136"/>
      <c r="E399" s="135"/>
      <c r="F399" s="135"/>
      <c r="G399" s="147">
        <f t="shared" si="213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03">
        <f t="shared" si="226"/>
        <v>0</v>
      </c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43"/>
      <c r="AI399" s="103">
        <f t="shared" si="215"/>
        <v>0</v>
      </c>
      <c r="AJ399" s="136"/>
      <c r="AK399" s="136"/>
      <c r="AL399" s="136"/>
      <c r="AM399" s="105">
        <f t="shared" si="216"/>
        <v>0</v>
      </c>
      <c r="AN399" s="143"/>
      <c r="AO399" s="143"/>
      <c r="AP399" s="143"/>
      <c r="AQ399" s="143"/>
      <c r="AR399" s="146"/>
      <c r="AS399" s="224">
        <f t="shared" si="217"/>
        <v>0</v>
      </c>
      <c r="AT399" s="126"/>
      <c r="AU399" s="127"/>
      <c r="AV399" s="126"/>
      <c r="AW399" s="274"/>
      <c r="AX399" s="126"/>
      <c r="AY399" s="275"/>
      <c r="AZ399" s="126"/>
      <c r="BA399" s="274"/>
      <c r="BB399" s="274"/>
      <c r="BC399" s="274"/>
      <c r="BD399" s="274"/>
      <c r="BE399" s="222">
        <f t="shared" si="218"/>
        <v>0</v>
      </c>
      <c r="BF399" s="140">
        <f t="shared" si="219"/>
        <v>0</v>
      </c>
      <c r="BG399" s="132"/>
      <c r="BH399" s="140">
        <f t="shared" si="220"/>
        <v>0</v>
      </c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30">
        <f t="shared" si="221"/>
        <v>0</v>
      </c>
      <c r="BW399" s="132"/>
    </row>
    <row r="400" ht="14.25" customHeight="1">
      <c r="A400" s="132"/>
      <c r="B400" s="215">
        <v>46384</v>
      </c>
      <c r="C400" s="133"/>
      <c r="D400" s="136"/>
      <c r="E400" s="135"/>
      <c r="F400" s="135"/>
      <c r="G400" s="147">
        <f t="shared" si="213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03">
        <f ref="V400:V403" t="shared" si="227">SUM(H400:T400)</f>
        <v>0</v>
      </c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43"/>
      <c r="AI400" s="103">
        <f t="shared" si="215"/>
        <v>0</v>
      </c>
      <c r="AJ400" s="136"/>
      <c r="AK400" s="136"/>
      <c r="AL400" s="136"/>
      <c r="AM400" s="105">
        <f t="shared" si="216"/>
        <v>0</v>
      </c>
      <c r="AN400" s="143"/>
      <c r="AO400" s="143"/>
      <c r="AP400" s="143"/>
      <c r="AQ400" s="143"/>
      <c r="AR400" s="146"/>
      <c r="AS400" s="224">
        <f t="shared" si="217"/>
        <v>0</v>
      </c>
      <c r="AT400" s="126"/>
      <c r="AU400" s="127"/>
      <c r="AV400" s="126"/>
      <c r="AW400" s="274"/>
      <c r="AX400" s="126"/>
      <c r="AY400" s="275"/>
      <c r="AZ400" s="126"/>
      <c r="BA400" s="274"/>
      <c r="BB400" s="274"/>
      <c r="BC400" s="274"/>
      <c r="BD400" s="274"/>
      <c r="BE400" s="222">
        <f t="shared" si="218"/>
        <v>0</v>
      </c>
      <c r="BF400" s="140">
        <f t="shared" si="219"/>
        <v>0</v>
      </c>
      <c r="BG400" s="132"/>
      <c r="BH400" s="140">
        <f t="shared" si="220"/>
        <v>0</v>
      </c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30">
        <f t="shared" si="221"/>
        <v>0</v>
      </c>
      <c r="BW400" s="132"/>
    </row>
    <row r="401" ht="14.25" customHeight="1">
      <c r="A401" s="132"/>
      <c r="B401" s="215">
        <v>46385</v>
      </c>
      <c r="C401" s="133"/>
      <c r="D401" s="136"/>
      <c r="E401" s="135"/>
      <c r="F401" s="135"/>
      <c r="G401" s="147">
        <f t="shared" si="213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03">
        <f t="shared" si="227"/>
        <v>0</v>
      </c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43"/>
      <c r="AI401" s="103">
        <f t="shared" si="215"/>
        <v>0</v>
      </c>
      <c r="AJ401" s="136"/>
      <c r="AK401" s="136"/>
      <c r="AL401" s="136"/>
      <c r="AM401" s="105">
        <f t="shared" si="216"/>
        <v>0</v>
      </c>
      <c r="AN401" s="143"/>
      <c r="AO401" s="143"/>
      <c r="AP401" s="143"/>
      <c r="AQ401" s="143"/>
      <c r="AR401" s="146"/>
      <c r="AS401" s="224">
        <f t="shared" si="217"/>
        <v>0</v>
      </c>
      <c r="AT401" s="126"/>
      <c r="AU401" s="127"/>
      <c r="AV401" s="126"/>
      <c r="AW401" s="274"/>
      <c r="AX401" s="126"/>
      <c r="AY401" s="275"/>
      <c r="AZ401" s="126"/>
      <c r="BA401" s="274"/>
      <c r="BB401" s="274"/>
      <c r="BC401" s="274"/>
      <c r="BD401" s="274"/>
      <c r="BE401" s="222">
        <f t="shared" si="218"/>
        <v>0</v>
      </c>
      <c r="BF401" s="140">
        <f t="shared" si="219"/>
        <v>0</v>
      </c>
      <c r="BG401" s="132"/>
      <c r="BH401" s="140">
        <f t="shared" si="220"/>
        <v>0</v>
      </c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30">
        <f t="shared" si="221"/>
        <v>0</v>
      </c>
      <c r="BW401" s="132"/>
    </row>
    <row r="402" ht="14.25" customHeight="1">
      <c r="A402" s="132"/>
      <c r="B402" s="215">
        <v>46386</v>
      </c>
      <c r="C402" s="133"/>
      <c r="D402" s="136"/>
      <c r="E402" s="135"/>
      <c r="F402" s="135"/>
      <c r="G402" s="147">
        <f t="shared" si="213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03">
        <f t="shared" si="227"/>
        <v>0</v>
      </c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43"/>
      <c r="AI402" s="103">
        <f t="shared" si="215"/>
        <v>0</v>
      </c>
      <c r="AJ402" s="136"/>
      <c r="AK402" s="136"/>
      <c r="AL402" s="136"/>
      <c r="AM402" s="105">
        <f t="shared" si="216"/>
        <v>0</v>
      </c>
      <c r="AN402" s="143"/>
      <c r="AO402" s="143"/>
      <c r="AP402" s="143"/>
      <c r="AQ402" s="143"/>
      <c r="AR402" s="146"/>
      <c r="AS402" s="224">
        <f t="shared" si="217"/>
        <v>0</v>
      </c>
      <c r="AT402" s="126"/>
      <c r="AU402" s="127"/>
      <c r="AV402" s="126"/>
      <c r="AW402" s="274"/>
      <c r="AX402" s="126"/>
      <c r="AY402" s="275"/>
      <c r="AZ402" s="126"/>
      <c r="BA402" s="274"/>
      <c r="BB402" s="274"/>
      <c r="BC402" s="274"/>
      <c r="BD402" s="274"/>
      <c r="BE402" s="222">
        <f t="shared" si="218"/>
        <v>0</v>
      </c>
      <c r="BF402" s="140">
        <f t="shared" si="219"/>
        <v>0</v>
      </c>
      <c r="BG402" s="132"/>
      <c r="BH402" s="140">
        <f t="shared" si="220"/>
        <v>0</v>
      </c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52"/>
      <c r="BU402" s="141"/>
      <c r="BV402" s="130">
        <f t="shared" si="221"/>
        <v>0</v>
      </c>
      <c r="BW402" s="132"/>
    </row>
    <row r="403" ht="14.25" customHeight="1">
      <c r="A403" s="132"/>
      <c r="B403" s="215">
        <v>46387</v>
      </c>
      <c r="C403" s="153"/>
      <c r="D403" s="159"/>
      <c r="E403" s="156"/>
      <c r="F403" s="156"/>
      <c r="G403" s="147">
        <f t="shared" si="213"/>
        <v>0</v>
      </c>
      <c r="H403" s="612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43"/>
      <c r="V403" s="103">
        <f t="shared" si="227"/>
        <v>0</v>
      </c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57"/>
      <c r="AI403" s="103">
        <f t="shared" si="215"/>
        <v>0</v>
      </c>
      <c r="AJ403" s="159"/>
      <c r="AK403" s="159"/>
      <c r="AL403" s="159"/>
      <c r="AM403" s="105">
        <f t="shared" si="216"/>
        <v>0</v>
      </c>
      <c r="AN403" s="157"/>
      <c r="AO403" s="157"/>
      <c r="AP403" s="157"/>
      <c r="AQ403" s="157"/>
      <c r="AR403" s="160"/>
      <c r="AS403" s="224">
        <f t="shared" si="217"/>
        <v>0</v>
      </c>
      <c r="AT403" s="138"/>
      <c r="AU403" s="161"/>
      <c r="AV403" s="138"/>
      <c r="AW403" s="296"/>
      <c r="AX403" s="138"/>
      <c r="AY403" s="297"/>
      <c r="AZ403" s="138"/>
      <c r="BA403" s="296"/>
      <c r="BB403" s="296"/>
      <c r="BC403" s="296"/>
      <c r="BD403" s="296"/>
      <c r="BE403" s="222">
        <f t="shared" si="218"/>
        <v>0</v>
      </c>
      <c r="BF403" s="162">
        <f t="shared" si="219"/>
        <v>0</v>
      </c>
      <c r="BG403" s="132"/>
      <c r="BH403" s="162">
        <f t="shared" si="220"/>
        <v>0</v>
      </c>
      <c r="BI403" s="163"/>
      <c r="BJ403" s="163"/>
      <c r="BK403" s="163"/>
      <c r="BL403" s="163"/>
      <c r="BM403" s="163"/>
      <c r="BN403" s="163"/>
      <c r="BO403" s="163"/>
      <c r="BP403" s="163"/>
      <c r="BQ403" s="163"/>
      <c r="BR403" s="141"/>
      <c r="BS403" s="141"/>
      <c r="BT403" s="163"/>
      <c r="BU403" s="163"/>
      <c r="BV403" s="164">
        <f t="shared" si="221"/>
        <v>0</v>
      </c>
      <c r="BW403" s="132"/>
    </row>
    <row r="404" ht="14.25" customHeight="1">
      <c r="A404" s="3"/>
      <c r="B404" s="2" t="s">
        <v>4</v>
      </c>
      <c r="C404" s="166">
        <f ref="C404:Q404" t="shared" si="228">SUM(C373:C403)</f>
        <v>0</v>
      </c>
      <c r="D404" s="166">
        <f t="shared" si="228"/>
        <v>0</v>
      </c>
      <c r="E404" s="166">
        <f t="shared" si="228"/>
        <v>0</v>
      </c>
      <c r="F404" s="166">
        <f t="shared" si="228"/>
        <v>0</v>
      </c>
      <c r="G404" s="166">
        <f t="shared" si="228"/>
        <v>0</v>
      </c>
      <c r="H404" s="166">
        <f t="shared" si="228"/>
        <v>0</v>
      </c>
      <c r="I404" s="166">
        <f t="shared" si="228"/>
        <v>0</v>
      </c>
      <c r="J404" s="166">
        <f t="shared" si="228"/>
        <v>0</v>
      </c>
      <c r="K404" s="166">
        <f t="shared" si="228"/>
        <v>0</v>
      </c>
      <c r="L404" s="166">
        <f t="shared" si="228"/>
        <v>0</v>
      </c>
      <c r="M404" s="166">
        <f t="shared" si="228"/>
        <v>0</v>
      </c>
      <c r="N404" s="166">
        <f t="shared" si="228"/>
        <v>0</v>
      </c>
      <c r="O404" s="166">
        <f t="shared" si="228"/>
        <v>0</v>
      </c>
      <c r="P404" s="166">
        <f t="shared" si="228"/>
        <v>0</v>
      </c>
      <c r="Q404" s="166">
        <f t="shared" si="228"/>
        <v>0</v>
      </c>
      <c r="R404" s="166"/>
      <c r="S404" s="166">
        <f ref="S404:AN404" t="shared" si="229">SUM(S373:S403)</f>
        <v>0</v>
      </c>
      <c r="T404" s="166">
        <f t="shared" si="229"/>
        <v>0</v>
      </c>
      <c r="U404" s="166">
        <f t="shared" si="229"/>
        <v>0</v>
      </c>
      <c r="V404" s="166">
        <f t="shared" si="229"/>
        <v>0</v>
      </c>
      <c r="W404" s="166">
        <f t="shared" si="229"/>
        <v>0</v>
      </c>
      <c r="X404" s="166">
        <f t="shared" si="229"/>
        <v>0</v>
      </c>
      <c r="Y404" s="166">
        <f t="shared" si="229"/>
        <v>0</v>
      </c>
      <c r="Z404" s="166">
        <f t="shared" si="229"/>
        <v>0</v>
      </c>
      <c r="AA404" s="166">
        <f t="shared" si="229"/>
        <v>0</v>
      </c>
      <c r="AB404" s="166">
        <f t="shared" si="229"/>
        <v>0</v>
      </c>
      <c r="AC404" s="166">
        <f t="shared" si="229"/>
        <v>0</v>
      </c>
      <c r="AD404" s="166">
        <f t="shared" si="229"/>
        <v>0</v>
      </c>
      <c r="AE404" s="166">
        <f t="shared" si="229"/>
        <v>0</v>
      </c>
      <c r="AF404" s="166">
        <f t="shared" si="229"/>
        <v>0</v>
      </c>
      <c r="AG404" s="166">
        <f t="shared" si="229"/>
        <v>0</v>
      </c>
      <c r="AH404" s="166">
        <f t="shared" si="229"/>
        <v>0</v>
      </c>
      <c r="AI404" s="166">
        <f t="shared" si="229"/>
        <v>0</v>
      </c>
      <c r="AJ404" s="166">
        <f t="shared" si="229"/>
        <v>0</v>
      </c>
      <c r="AK404" s="166">
        <f t="shared" si="229"/>
        <v>0</v>
      </c>
      <c r="AL404" s="166">
        <f t="shared" si="229"/>
        <v>0</v>
      </c>
      <c r="AM404" s="166">
        <f t="shared" si="229"/>
        <v>0</v>
      </c>
      <c r="AN404" s="166">
        <f t="shared" si="229"/>
        <v>0</v>
      </c>
      <c r="AO404" s="166"/>
      <c r="AP404" s="166">
        <f ref="AP404:BF404" t="shared" si="230">SUM(AP373:AP403)</f>
        <v>0</v>
      </c>
      <c r="AQ404" s="166">
        <f t="shared" si="230"/>
        <v>0</v>
      </c>
      <c r="AR404" s="166">
        <f t="shared" si="230"/>
        <v>0</v>
      </c>
      <c r="AS404" s="166">
        <f t="shared" si="230"/>
        <v>0</v>
      </c>
      <c r="AT404" s="165">
        <f t="shared" si="230"/>
        <v>0</v>
      </c>
      <c r="AU404" s="166">
        <f t="shared" si="230"/>
        <v>0</v>
      </c>
      <c r="AV404" s="165">
        <f t="shared" si="230"/>
        <v>0</v>
      </c>
      <c r="AW404" s="166">
        <f t="shared" si="230"/>
        <v>0</v>
      </c>
      <c r="AX404" s="166">
        <f t="shared" si="230"/>
        <v>0</v>
      </c>
      <c r="AY404" s="166">
        <f t="shared" si="230"/>
        <v>0</v>
      </c>
      <c r="AZ404" s="165">
        <f t="shared" si="230"/>
        <v>0</v>
      </c>
      <c r="BA404" s="166">
        <f t="shared" si="230"/>
        <v>0</v>
      </c>
      <c r="BB404" s="166">
        <f t="shared" si="230"/>
        <v>0</v>
      </c>
      <c r="BC404" s="166">
        <f t="shared" si="230"/>
        <v>0</v>
      </c>
      <c r="BD404" s="166">
        <f t="shared" si="230"/>
        <v>0</v>
      </c>
      <c r="BE404" s="166">
        <f t="shared" si="230"/>
        <v>0</v>
      </c>
      <c r="BF404" s="166">
        <f t="shared" si="230"/>
        <v>0</v>
      </c>
      <c r="BG404" s="235"/>
      <c r="BH404" s="166">
        <f ref="BH404:BV404" t="shared" si="231">SUM(BH373:BH403)</f>
        <v>0</v>
      </c>
      <c r="BI404" s="166">
        <f t="shared" si="231"/>
        <v>0</v>
      </c>
      <c r="BJ404" s="166">
        <f t="shared" si="231"/>
        <v>0</v>
      </c>
      <c r="BK404" s="166">
        <f t="shared" si="231"/>
        <v>0</v>
      </c>
      <c r="BL404" s="166">
        <f t="shared" si="231"/>
        <v>0</v>
      </c>
      <c r="BM404" s="166">
        <f t="shared" si="231"/>
        <v>0</v>
      </c>
      <c r="BN404" s="166">
        <f t="shared" si="231"/>
        <v>0</v>
      </c>
      <c r="BO404" s="166">
        <f t="shared" si="231"/>
        <v>0</v>
      </c>
      <c r="BP404" s="166">
        <f t="shared" si="231"/>
        <v>0</v>
      </c>
      <c r="BQ404" s="166">
        <f t="shared" si="231"/>
        <v>0</v>
      </c>
      <c r="BR404" s="166">
        <f t="shared" si="231"/>
        <v>0</v>
      </c>
      <c r="BS404" s="166">
        <f t="shared" si="231"/>
        <v>0</v>
      </c>
      <c r="BT404" s="166">
        <f t="shared" si="231"/>
        <v>0</v>
      </c>
      <c r="BU404" s="166">
        <f t="shared" si="231"/>
        <v>0</v>
      </c>
      <c r="BV404" s="166">
        <f t="shared" si="231"/>
        <v>0</v>
      </c>
      <c r="BW404" s="235"/>
    </row>
  </sheetData>
  <pageMargins left="0.7" right="0.7" top="0.75" bottom="0.75" header="0" footer="0"/>
  <pageSetup orientation="portrait"/>
  <headerFooter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99CC"/>
  </sheetPr>
  <dimension ref="A1:BY406"/>
  <sheetViews>
    <sheetView showGridLines="0" zoomScale="30" zoomScaleNormal="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T136" sqref="AT136"/>
    </sheetView>
  </sheetViews>
  <sheetFormatPr baseColWidth="10" defaultColWidth="14.42578125" defaultRowHeight="15" customHeight="1" x14ac:dyDescent="0.25"/>
  <cols>
    <col min="1" max="1" width="5.28515625" customWidth="1"/>
    <col min="2" max="2" width="10.85546875" customWidth="1"/>
    <col min="3" max="4" width="13.42578125" customWidth="1"/>
    <col min="5" max="5" hidden="1" width="12.42578125" customWidth="1"/>
    <col min="6" max="6" hidden="1" width="12.7109375" customWidth="1"/>
    <col min="7" max="7" width="13.42578125" customWidth="1"/>
    <col min="8" max="8" width="15.42578125" customWidth="1"/>
    <col min="9" max="10" width="14" customWidth="1"/>
    <col min="11" max="11" hidden="1" width="25.5703125" customWidth="1"/>
    <col min="12" max="13" width="14.140625" customWidth="1"/>
    <col min="14" max="14" width="23.28515625" customWidth="1"/>
    <col min="15" max="16" width="16.140625" customWidth="1"/>
    <col min="17" max="18" width="14" customWidth="1"/>
    <col min="19" max="23" hidden="1" width="11.28515625" customWidth="1"/>
    <col min="24" max="24" width="18" customWidth="1"/>
    <col min="25" max="25" width="19.28515625" customWidth="1"/>
    <col min="26" max="26" width="13.28515625" customWidth="1"/>
    <col min="27" max="27" width="18.42578125" customWidth="1"/>
    <col min="28" max="28" width="12.28515625" customWidth="1"/>
    <col min="29" max="29" width="11.85546875" customWidth="1"/>
    <col min="30" max="35" hidden="1" width="12.7109375" customWidth="1"/>
    <col min="36" max="36" width="11.5703125" customWidth="1"/>
    <col min="37" max="37" width="7.42578125" customWidth="1"/>
    <col min="38" max="38" width="12" customWidth="1"/>
    <col min="39" max="40" width="12.85546875" customWidth="1"/>
    <col min="41" max="41" hidden="1" width="12.85546875" customWidth="1"/>
    <col min="42" max="42" width="16.42578125" customWidth="1"/>
    <col min="43" max="43" width="12.7109375" customWidth="1"/>
    <col min="44" max="44" width="15.140625" customWidth="1"/>
    <col min="45" max="45" hidden="1" width="15.140625" customWidth="1"/>
    <col min="46" max="46" width="12.7109375" customWidth="1"/>
    <col min="47" max="47" width="13.140625" customWidth="1"/>
    <col min="48" max="48" width="11.85546875" customWidth="1"/>
    <col min="49" max="49" width="13.28515625" customWidth="1"/>
    <col min="50" max="50" hidden="1" width="12.42578125" customWidth="1"/>
    <col min="51" max="51" hidden="1" width="13" customWidth="1"/>
    <col min="52" max="52" width="12.28515625" customWidth="1"/>
    <col min="53" max="53" hidden="1" width="11.85546875" customWidth="1"/>
    <col min="54" max="54" width="14" customWidth="1"/>
    <col min="55" max="56" hidden="1" width="11.85546875" customWidth="1"/>
    <col min="57" max="57" hidden="1" width="13.42578125" customWidth="1"/>
    <col min="58" max="58" width="11.85546875" customWidth="1"/>
    <col min="59" max="59" width="13" customWidth="1"/>
    <col min="60" max="60" width="16.42578125" customWidth="1"/>
    <col min="61" max="61" width="4" customWidth="1"/>
    <col min="62" max="62" width="11.42578125" customWidth="1"/>
    <col min="63" max="63" width="12.7109375" customWidth="1"/>
    <col min="64" max="64" hidden="1" width="12.7109375" customWidth="1"/>
    <col min="65" max="65" width="12.7109375" customWidth="1"/>
    <col min="66" max="68" hidden="1" width="12.7109375" customWidth="1"/>
    <col min="69" max="69" width="15" customWidth="1"/>
    <col min="70" max="70" hidden="1" width="14.42578125" customWidth="1"/>
    <col min="72" max="72" width="12.7109375" customWidth="1"/>
    <col min="73" max="73" width="9.85546875" customWidth="1"/>
    <col min="74" max="74" width="13.140625" customWidth="1"/>
    <col min="75" max="75" width="10" customWidth="1"/>
    <col min="76" max="76" width="13.140625" customWidth="1"/>
    <col min="77" max="77" width="4" customWidth="1"/>
  </cols>
  <sheetData>
    <row r="1" ht="3" customHeight="1">
      <c r="A1" s="790"/>
      <c r="B1" s="2"/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1219"/>
      <c r="Y1" s="1"/>
      <c r="Z1" s="1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3"/>
      <c r="AR1" s="3"/>
      <c r="AS1" s="3"/>
      <c r="AT1" s="3"/>
      <c r="AU1" s="4"/>
      <c r="AV1" s="132"/>
      <c r="AW1" s="132"/>
      <c r="AX1" s="380"/>
      <c r="AY1" s="1"/>
      <c r="AZ1" s="1"/>
      <c r="BA1" s="3"/>
      <c r="BB1" s="132"/>
      <c r="BC1" s="132"/>
      <c r="BD1" s="132"/>
      <c r="BE1" s="132"/>
      <c r="BF1" s="132"/>
      <c r="BG1" s="4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ht="15" customHeight="1">
      <c r="A2" s="559"/>
      <c r="B2" s="1927" t="s">
        <v>236</v>
      </c>
      <c r="C2" s="1922"/>
      <c r="D2" s="1922"/>
      <c r="E2" s="1922"/>
      <c r="F2" s="1922"/>
      <c r="G2" s="1922"/>
      <c r="H2" s="1922"/>
      <c r="I2" s="1922"/>
      <c r="J2" s="1922"/>
      <c r="K2" s="1220"/>
      <c r="L2" s="562"/>
      <c r="M2" s="562"/>
      <c r="N2" s="562"/>
      <c r="O2" s="1221"/>
      <c r="P2" s="1221"/>
      <c r="Q2" s="562"/>
      <c r="R2" s="562"/>
      <c r="S2" s="559"/>
      <c r="T2" s="561"/>
      <c r="U2" s="561"/>
      <c r="V2" s="561"/>
      <c r="W2" s="559"/>
      <c r="X2" s="1222"/>
      <c r="Y2" s="562"/>
      <c r="Z2" s="562"/>
      <c r="AA2" s="559"/>
      <c r="AB2" s="559"/>
      <c r="AC2" s="559"/>
      <c r="AD2" s="559"/>
      <c r="AE2" s="559"/>
      <c r="AF2" s="559"/>
      <c r="AG2" s="559"/>
      <c r="AH2" s="559"/>
      <c r="AI2" s="559"/>
      <c r="AJ2" s="559"/>
      <c r="AK2" s="559"/>
      <c r="AL2" s="559"/>
      <c r="AM2" s="559"/>
      <c r="AN2" s="559"/>
      <c r="AO2" s="559"/>
      <c r="AP2" s="563"/>
      <c r="AQ2" s="563"/>
      <c r="AR2" s="563"/>
      <c r="AS2" s="563"/>
      <c r="AT2" s="563"/>
      <c r="AU2" s="563"/>
      <c r="AV2" s="1223"/>
      <c r="AW2" s="1223"/>
      <c r="AX2" s="1224"/>
      <c r="AY2" s="1225"/>
      <c r="AZ2" s="1225"/>
      <c r="BA2" s="563"/>
      <c r="BB2" s="559"/>
      <c r="BC2" s="559"/>
      <c r="BD2" s="559"/>
      <c r="BE2" s="559"/>
      <c r="BF2" s="559"/>
      <c r="BG2" s="563"/>
      <c r="BH2" s="559"/>
      <c r="BI2" s="559"/>
      <c r="BJ2" s="559"/>
      <c r="BK2" s="559"/>
      <c r="BL2" s="559"/>
      <c r="BM2" s="559"/>
      <c r="BN2" s="559"/>
      <c r="BO2" s="559"/>
      <c r="BP2" s="559"/>
      <c r="BQ2" s="559"/>
      <c r="BR2" s="559"/>
      <c r="BS2" s="559"/>
      <c r="BT2" s="559"/>
      <c r="BU2" s="559"/>
      <c r="BV2" s="559"/>
      <c r="BW2" s="559"/>
      <c r="BX2" s="559"/>
      <c r="BY2" s="559"/>
    </row>
    <row r="3" ht="16.5" customHeight="1">
      <c r="A3" s="559"/>
      <c r="B3" s="1928" t="s">
        <v>237</v>
      </c>
      <c r="C3" s="1922"/>
      <c r="D3" s="1922"/>
      <c r="E3" s="1922"/>
      <c r="F3" s="1922"/>
      <c r="G3" s="1922"/>
      <c r="H3" s="1922"/>
      <c r="I3" s="1922"/>
      <c r="J3" s="1922"/>
      <c r="K3" s="1226"/>
      <c r="L3" s="562"/>
      <c r="M3" s="562"/>
      <c r="N3" s="562"/>
      <c r="O3" s="1221"/>
      <c r="P3" s="1221"/>
      <c r="Q3" s="562"/>
      <c r="R3" s="562"/>
      <c r="S3" s="559"/>
      <c r="T3" s="561"/>
      <c r="U3" s="561"/>
      <c r="V3" s="561"/>
      <c r="W3" s="559"/>
      <c r="X3" s="1222"/>
      <c r="Y3" s="562"/>
      <c r="Z3" s="562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  <c r="AM3" s="559"/>
      <c r="AN3" s="559"/>
      <c r="AO3" s="559"/>
      <c r="AP3" s="563"/>
      <c r="AQ3" s="563"/>
      <c r="AR3" s="563"/>
      <c r="AS3" s="563"/>
      <c r="AT3" s="563"/>
      <c r="AU3" s="563"/>
      <c r="AV3" s="563"/>
      <c r="AW3" s="563"/>
      <c r="AX3" s="1225"/>
      <c r="AY3" s="1225"/>
      <c r="AZ3" s="1225"/>
      <c r="BA3" s="563"/>
      <c r="BB3" s="559"/>
      <c r="BC3" s="559"/>
      <c r="BD3" s="559"/>
      <c r="BE3" s="559"/>
      <c r="BF3" s="559"/>
      <c r="BG3" s="563"/>
      <c r="BH3" s="559"/>
      <c r="BI3" s="559"/>
      <c r="BJ3" s="559" t="s">
        <v>3</v>
      </c>
      <c r="BK3" s="559"/>
      <c r="BL3" s="559"/>
      <c r="BM3" s="559"/>
      <c r="BN3" s="559"/>
      <c r="BO3" s="559"/>
      <c r="BP3" s="559"/>
      <c r="BQ3" s="559"/>
      <c r="BR3" s="559"/>
      <c r="BS3" s="559"/>
      <c r="BT3" s="559"/>
      <c r="BU3" s="559"/>
      <c r="BV3" s="559"/>
      <c r="BW3" s="559"/>
      <c r="BX3" s="559"/>
      <c r="BY3" s="559"/>
    </row>
    <row r="4" ht="1.5" customHeight="1">
      <c r="A4" s="22"/>
      <c r="B4" s="23"/>
      <c r="C4" s="22"/>
      <c r="D4" s="22"/>
      <c r="E4" s="22"/>
      <c r="F4" s="22" t="e">
        <f>+'28. CATACAOS'!#REF!</f>
        <v>#REF!</v>
      </c>
      <c r="G4" s="24"/>
      <c r="H4" s="564"/>
      <c r="I4" s="564"/>
      <c r="J4" s="564"/>
      <c r="K4" s="564"/>
      <c r="L4" s="564"/>
      <c r="M4" s="564"/>
      <c r="N4" s="564"/>
      <c r="O4" s="564"/>
      <c r="P4" s="564"/>
      <c r="Q4" s="564"/>
      <c r="R4" s="564"/>
      <c r="S4" s="24"/>
      <c r="T4" s="24"/>
      <c r="U4" s="24"/>
      <c r="V4" s="24"/>
      <c r="W4" s="24"/>
      <c r="X4" s="1227"/>
      <c r="Y4" s="564"/>
      <c r="Z4" s="56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1228" t="s">
        <v>4</v>
      </c>
      <c r="AM4" s="22"/>
      <c r="AN4" s="22"/>
      <c r="AO4" s="22"/>
      <c r="AP4" s="26" t="s">
        <v>5</v>
      </c>
      <c r="AQ4" s="24"/>
      <c r="AR4" s="24"/>
      <c r="AS4" s="24"/>
      <c r="AT4" s="24"/>
      <c r="AU4" s="27"/>
      <c r="AV4" s="27"/>
      <c r="AW4" s="27"/>
      <c r="AX4" s="321"/>
      <c r="AY4" s="321"/>
      <c r="AZ4" s="321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7"/>
      <c r="BY4" s="22"/>
    </row>
    <row r="5" ht="9" customHeight="1">
      <c r="A5" s="323"/>
      <c r="B5" s="1229" t="s">
        <v>6</v>
      </c>
      <c r="C5" s="335" t="s">
        <v>7</v>
      </c>
      <c r="D5" s="335" t="s">
        <v>7</v>
      </c>
      <c r="E5" s="327" t="s">
        <v>8</v>
      </c>
      <c r="F5" s="328" t="s">
        <v>9</v>
      </c>
      <c r="G5" s="346" t="s">
        <v>8</v>
      </c>
      <c r="H5" s="1228" t="s">
        <v>10</v>
      </c>
      <c r="I5" s="1228" t="s">
        <v>10</v>
      </c>
      <c r="J5" s="1228" t="s">
        <v>10</v>
      </c>
      <c r="K5" s="1228"/>
      <c r="L5" s="1228" t="s">
        <v>10</v>
      </c>
      <c r="M5" s="1228" t="s">
        <v>10</v>
      </c>
      <c r="N5" s="1228" t="s">
        <v>10</v>
      </c>
      <c r="O5" s="1228" t="s">
        <v>10</v>
      </c>
      <c r="P5" s="1228" t="s">
        <v>10</v>
      </c>
      <c r="Q5" s="1228"/>
      <c r="R5" s="1228" t="s">
        <v>10</v>
      </c>
      <c r="S5" s="25" t="s">
        <v>10</v>
      </c>
      <c r="T5" s="25" t="s">
        <v>10</v>
      </c>
      <c r="U5" s="25" t="s">
        <v>10</v>
      </c>
      <c r="V5" s="25" t="s">
        <v>10</v>
      </c>
      <c r="W5" s="25" t="s">
        <v>10</v>
      </c>
      <c r="X5" s="1228" t="s">
        <v>11</v>
      </c>
      <c r="Y5" s="1228"/>
      <c r="Z5" s="1228" t="s">
        <v>12</v>
      </c>
      <c r="AA5" s="1228" t="s">
        <v>12</v>
      </c>
      <c r="AB5" s="1228" t="s">
        <v>12</v>
      </c>
      <c r="AC5" s="1228" t="s">
        <v>12</v>
      </c>
      <c r="AD5" s="1228" t="s">
        <v>12</v>
      </c>
      <c r="AE5" s="1228" t="s">
        <v>12</v>
      </c>
      <c r="AF5" s="1228" t="s">
        <v>12</v>
      </c>
      <c r="AG5" s="1228" t="s">
        <v>12</v>
      </c>
      <c r="AH5" s="1228" t="s">
        <v>12</v>
      </c>
      <c r="AI5" s="1228" t="s">
        <v>12</v>
      </c>
      <c r="AJ5" s="1228" t="s">
        <v>12</v>
      </c>
      <c r="AK5" s="1230" t="s">
        <v>12</v>
      </c>
      <c r="AL5" s="1231" t="s">
        <v>12</v>
      </c>
      <c r="AM5" s="334" t="s">
        <v>13</v>
      </c>
      <c r="AN5" s="335" t="s">
        <v>13</v>
      </c>
      <c r="AO5" s="335" t="s">
        <v>13</v>
      </c>
      <c r="AP5" s="702" t="s">
        <v>14</v>
      </c>
      <c r="AQ5" s="336" t="s">
        <v>15</v>
      </c>
      <c r="AR5" s="336" t="s">
        <v>15</v>
      </c>
      <c r="AS5" s="337" t="s">
        <v>15</v>
      </c>
      <c r="AT5" s="338" t="s">
        <v>16</v>
      </c>
      <c r="AU5" s="1232" t="s">
        <v>4</v>
      </c>
      <c r="AV5" s="1233" t="s">
        <v>17</v>
      </c>
      <c r="AW5" s="26" t="s">
        <v>17</v>
      </c>
      <c r="AX5" s="26" t="s">
        <v>20</v>
      </c>
      <c r="AY5" s="26" t="s">
        <v>20</v>
      </c>
      <c r="AZ5" s="26" t="s">
        <v>20</v>
      </c>
      <c r="BA5" s="26" t="s">
        <v>20</v>
      </c>
      <c r="BB5" s="1234" t="s">
        <v>20</v>
      </c>
      <c r="BC5" s="342" t="s">
        <v>20</v>
      </c>
      <c r="BD5" s="342" t="s">
        <v>21</v>
      </c>
      <c r="BE5" s="26" t="s">
        <v>22</v>
      </c>
      <c r="BF5" s="1235" t="s">
        <v>24</v>
      </c>
      <c r="BG5" s="1232" t="s">
        <v>5</v>
      </c>
      <c r="BH5" s="344" t="s">
        <v>25</v>
      </c>
      <c r="BI5" s="323"/>
      <c r="BJ5" s="344" t="s">
        <v>4</v>
      </c>
      <c r="BK5" s="26" t="s">
        <v>26</v>
      </c>
      <c r="BL5" s="26" t="s">
        <v>89</v>
      </c>
      <c r="BM5" s="26" t="s">
        <v>90</v>
      </c>
      <c r="BN5" s="26" t="s">
        <v>91</v>
      </c>
      <c r="BO5" s="26" t="s">
        <v>92</v>
      </c>
      <c r="BP5" s="26" t="s">
        <v>93</v>
      </c>
      <c r="BQ5" s="26" t="s">
        <v>94</v>
      </c>
      <c r="BR5" s="26" t="s">
        <v>95</v>
      </c>
      <c r="BS5" s="26" t="s">
        <v>95</v>
      </c>
      <c r="BT5" s="26" t="s">
        <v>27</v>
      </c>
      <c r="BU5" s="26" t="s">
        <v>28</v>
      </c>
      <c r="BV5" s="26" t="s">
        <v>28</v>
      </c>
      <c r="BW5" s="26" t="s">
        <v>28</v>
      </c>
      <c r="BX5" s="345" t="s">
        <v>29</v>
      </c>
      <c r="BY5" s="323"/>
    </row>
    <row r="6" ht="21.75" customHeight="1">
      <c r="A6" s="323"/>
      <c r="B6" s="1236"/>
      <c r="C6" s="364" t="s">
        <v>30</v>
      </c>
      <c r="D6" s="364" t="s">
        <v>31</v>
      </c>
      <c r="E6" s="348" t="s">
        <v>32</v>
      </c>
      <c r="F6" s="349" t="s">
        <v>33</v>
      </c>
      <c r="G6" s="377" t="s">
        <v>34</v>
      </c>
      <c r="H6" s="1237" t="s">
        <v>190</v>
      </c>
      <c r="I6" s="1237" t="s">
        <v>35</v>
      </c>
      <c r="J6" s="1237" t="s">
        <v>106</v>
      </c>
      <c r="K6" s="1237" t="s">
        <v>238</v>
      </c>
      <c r="L6" s="1237" t="s">
        <v>147</v>
      </c>
      <c r="M6" s="1237" t="s">
        <v>239</v>
      </c>
      <c r="N6" s="1237" t="s">
        <v>240</v>
      </c>
      <c r="O6" s="1237" t="s">
        <v>179</v>
      </c>
      <c r="P6" s="1237" t="s">
        <v>110</v>
      </c>
      <c r="Q6" s="1237" t="s">
        <v>112</v>
      </c>
      <c r="R6" s="1237" t="s">
        <v>241</v>
      </c>
      <c r="S6" s="362"/>
      <c r="T6" s="362" t="s">
        <v>58</v>
      </c>
      <c r="U6" s="362" t="s">
        <v>59</v>
      </c>
      <c r="V6" s="362" t="s">
        <v>46</v>
      </c>
      <c r="W6" s="362" t="s">
        <v>47</v>
      </c>
      <c r="X6" s="1238" t="s">
        <v>48</v>
      </c>
      <c r="Y6" s="1239" t="s">
        <v>242</v>
      </c>
      <c r="Z6" s="1239" t="s">
        <v>243</v>
      </c>
      <c r="AA6" s="1240" t="s">
        <v>244</v>
      </c>
      <c r="AB6" s="1239" t="s">
        <v>245</v>
      </c>
      <c r="AC6" s="1240" t="s">
        <v>246</v>
      </c>
      <c r="AD6" s="1240" t="s">
        <v>247</v>
      </c>
      <c r="AE6" s="1240" t="s">
        <v>56</v>
      </c>
      <c r="AF6" s="1240" t="s">
        <v>57</v>
      </c>
      <c r="AG6" s="1240" t="s">
        <v>58</v>
      </c>
      <c r="AH6" s="1240" t="s">
        <v>59</v>
      </c>
      <c r="AI6" s="1240"/>
      <c r="AJ6" s="1240" t="s">
        <v>248</v>
      </c>
      <c r="AK6" s="1240" t="s">
        <v>47</v>
      </c>
      <c r="AL6" s="1238" t="s">
        <v>30</v>
      </c>
      <c r="AM6" s="363" t="s">
        <v>30</v>
      </c>
      <c r="AN6" s="364" t="s">
        <v>31</v>
      </c>
      <c r="AO6" s="364" t="s">
        <v>32</v>
      </c>
      <c r="AP6" s="365" t="s">
        <v>34</v>
      </c>
      <c r="AQ6" s="366" t="s">
        <v>48</v>
      </c>
      <c r="AR6" s="366" t="s">
        <v>31</v>
      </c>
      <c r="AS6" s="367" t="s">
        <v>32</v>
      </c>
      <c r="AT6" s="368" t="s">
        <v>60</v>
      </c>
      <c r="AU6" s="1241" t="s">
        <v>61</v>
      </c>
      <c r="AV6" s="1242" t="s">
        <v>62</v>
      </c>
      <c r="AW6" s="702" t="s">
        <v>65</v>
      </c>
      <c r="AX6" s="702" t="s">
        <v>158</v>
      </c>
      <c r="AY6" s="702" t="s">
        <v>66</v>
      </c>
      <c r="AZ6" s="702" t="s">
        <v>67</v>
      </c>
      <c r="BA6" s="702" t="s">
        <v>68</v>
      </c>
      <c r="BB6" s="1243" t="s">
        <v>31</v>
      </c>
      <c r="BC6" s="372" t="s">
        <v>32</v>
      </c>
      <c r="BD6" s="372" t="s">
        <v>32</v>
      </c>
      <c r="BE6" s="365"/>
      <c r="BF6" s="1244" t="s">
        <v>69</v>
      </c>
      <c r="BG6" s="1241" t="s">
        <v>70</v>
      </c>
      <c r="BH6" s="374" t="s">
        <v>71</v>
      </c>
      <c r="BI6" s="323"/>
      <c r="BJ6" s="374" t="s">
        <v>72</v>
      </c>
      <c r="BK6" s="365"/>
      <c r="BL6" s="365" t="s">
        <v>125</v>
      </c>
      <c r="BM6" s="365"/>
      <c r="BN6" s="365" t="s">
        <v>126</v>
      </c>
      <c r="BO6" s="365" t="s">
        <v>127</v>
      </c>
      <c r="BP6" s="365" t="s">
        <v>128</v>
      </c>
      <c r="BQ6" s="365" t="s">
        <v>129</v>
      </c>
      <c r="BR6" s="365" t="s">
        <v>130</v>
      </c>
      <c r="BS6" s="365" t="s">
        <v>131</v>
      </c>
      <c r="BT6" s="365" t="s">
        <v>73</v>
      </c>
      <c r="BU6" s="365" t="s">
        <v>74</v>
      </c>
      <c r="BV6" s="365" t="s">
        <v>75</v>
      </c>
      <c r="BW6" s="365" t="s">
        <v>52</v>
      </c>
      <c r="BX6" s="376"/>
      <c r="BY6" s="323"/>
    </row>
    <row r="7" ht="14.25" customHeight="1">
      <c r="A7" s="3"/>
      <c r="B7" s="512">
        <v>46023</v>
      </c>
      <c r="C7" s="1245">
        <f>8641.00-D7-0</f>
      </c>
      <c r="D7" s="891">
        <v>2735.24</v>
      </c>
      <c r="E7" s="97"/>
      <c r="F7" s="97"/>
      <c r="G7" s="147">
        <f ref="G7:G37" t="shared" si="0">+C7+D7+E7+F7</f>
        <v>0</v>
      </c>
      <c r="H7" s="1048"/>
      <c r="I7" s="1050"/>
      <c r="J7" s="1050"/>
      <c r="K7" s="619"/>
      <c r="L7" s="1246">
        <v>551.62</v>
      </c>
      <c r="M7" s="619"/>
      <c r="N7" s="1247"/>
      <c r="O7" s="619"/>
      <c r="P7" s="619"/>
      <c r="Q7" s="619"/>
      <c r="R7" s="619"/>
      <c r="S7" s="186"/>
      <c r="T7" s="186"/>
      <c r="U7" s="186"/>
      <c r="V7" s="186"/>
      <c r="W7" s="186"/>
      <c r="X7" s="1248">
        <f ref="X7:X37" t="shared" si="1">SUM(H7:W7)</f>
        <v>0</v>
      </c>
      <c r="Y7" s="619"/>
      <c r="Z7" s="619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03">
        <f ref="AL7:AL37" t="shared" si="2">SUM(Y7:AK7)</f>
        <v>0</v>
      </c>
      <c r="AM7" s="896">
        <v>3180.84</v>
      </c>
      <c r="AN7" s="891">
        <v>1008.85</v>
      </c>
      <c r="AO7" s="104"/>
      <c r="AP7" s="105">
        <f ref="AP7:AP37" t="shared" si="3">SUM(AM7:AO7)</f>
        <v>0</v>
      </c>
      <c r="AQ7" s="101"/>
      <c r="AR7" s="101"/>
      <c r="AS7" s="101"/>
      <c r="AT7" s="1249"/>
      <c r="AU7" s="224">
        <f ref="AU7:AU37" t="shared" si="4">+G7-X7-AL7-AP7-AQ7-AR7-AS7-AT7</f>
        <v>0</v>
      </c>
      <c r="AV7" s="1759">
        <v>2173.3</v>
      </c>
      <c r="AW7" s="1824"/>
      <c r="AX7" s="1777"/>
      <c r="AY7" s="1825"/>
      <c r="AZ7" s="1687"/>
      <c r="BA7" s="1826"/>
      <c r="BB7" s="1759">
        <v>1696.4</v>
      </c>
      <c r="BC7" s="1655"/>
      <c r="BD7" s="1655"/>
      <c r="BE7" s="1655"/>
      <c r="BF7" s="1655"/>
      <c r="BG7" s="222">
        <f ref="BG7:BG37" t="shared" si="5">SUM(AV7:BF7)-BE7</f>
        <v>0</v>
      </c>
      <c r="BH7" s="114">
        <f ref="BH7:BH37" t="shared" si="6">+AU7-BG7</f>
        <v>0</v>
      </c>
      <c r="BI7" s="3"/>
      <c r="BJ7" s="114">
        <f ref="BJ7:BJ37" t="shared" si="7">SUM(BK7:BW7)</f>
        <v>0</v>
      </c>
      <c r="BK7" s="115"/>
      <c r="BL7" s="115"/>
      <c r="BM7" s="115"/>
      <c r="BN7" s="115"/>
      <c r="BO7" s="115"/>
      <c r="BP7" s="115"/>
      <c r="BQ7" s="115"/>
      <c r="BR7" s="115"/>
      <c r="BS7" s="115"/>
      <c r="BT7" s="115"/>
      <c r="BU7" s="898"/>
      <c r="BV7" s="899"/>
      <c r="BW7" s="115"/>
      <c r="BX7" s="116">
        <f ref="BX7:BX37" t="shared" si="8">+BH7-BJ7</f>
        <v>0</v>
      </c>
      <c r="BY7" s="3"/>
    </row>
    <row r="8" ht="14.25" customHeight="1">
      <c r="A8" s="3"/>
      <c r="B8" s="512">
        <v>46024</v>
      </c>
      <c r="C8" s="1250">
        <f>10459.89-D8-0</f>
      </c>
      <c r="D8" s="901">
        <v>2893.19</v>
      </c>
      <c r="E8" s="120"/>
      <c r="F8" s="120"/>
      <c r="G8" s="147">
        <f t="shared" si="0"/>
        <v>0</v>
      </c>
      <c r="H8" s="1053"/>
      <c r="I8" s="1054"/>
      <c r="J8" s="1054"/>
      <c r="K8" s="611"/>
      <c r="L8" s="1251">
        <v>1286.14</v>
      </c>
      <c r="M8" s="611"/>
      <c r="N8" s="1252"/>
      <c r="O8" s="611"/>
      <c r="P8" s="611"/>
      <c r="Q8" s="611"/>
      <c r="R8" s="611"/>
      <c r="S8" s="143"/>
      <c r="T8" s="143"/>
      <c r="U8" s="143"/>
      <c r="V8" s="143"/>
      <c r="W8" s="143"/>
      <c r="X8" s="1248">
        <f t="shared" si="1"/>
        <v>0</v>
      </c>
      <c r="Y8" s="611"/>
      <c r="Z8" s="611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03">
        <f t="shared" si="2"/>
        <v>0</v>
      </c>
      <c r="AM8" s="906">
        <v>3420.54</v>
      </c>
      <c r="AN8" s="901">
        <v>1531.33</v>
      </c>
      <c r="AO8" s="123"/>
      <c r="AP8" s="105">
        <f t="shared" si="3"/>
        <v>0</v>
      </c>
      <c r="AQ8" s="99"/>
      <c r="AR8" s="99"/>
      <c r="AS8" s="99"/>
      <c r="AT8" s="1253"/>
      <c r="AU8" s="224">
        <f t="shared" si="4"/>
        <v>0</v>
      </c>
      <c r="AV8" s="1760">
        <v>2830</v>
      </c>
      <c r="AW8" s="1548"/>
      <c r="AX8" s="1827"/>
      <c r="AY8" s="1828"/>
      <c r="AZ8" s="1690"/>
      <c r="BA8" s="1731"/>
      <c r="BB8" s="1760">
        <v>1361.8</v>
      </c>
      <c r="BC8" s="1655"/>
      <c r="BD8" s="1655"/>
      <c r="BE8" s="1655"/>
      <c r="BF8" s="1655"/>
      <c r="BG8" s="222">
        <f t="shared" si="5"/>
        <v>0</v>
      </c>
      <c r="BH8" s="113">
        <f t="shared" si="6"/>
        <v>0</v>
      </c>
      <c r="BI8" s="3"/>
      <c r="BJ8" s="113">
        <f t="shared" si="7"/>
        <v>0</v>
      </c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04"/>
      <c r="BV8" s="909">
        <v>30</v>
      </c>
      <c r="BW8" s="129"/>
      <c r="BX8" s="130">
        <f t="shared" si="8"/>
        <v>0</v>
      </c>
      <c r="BY8" s="3"/>
    </row>
    <row r="9" ht="14.25" customHeight="1">
      <c r="A9" s="3"/>
      <c r="B9" s="512">
        <v>46025</v>
      </c>
      <c r="C9" s="1250">
        <f>12757.49-D9-0</f>
      </c>
      <c r="D9" s="901">
        <v>3332.93</v>
      </c>
      <c r="E9" s="120"/>
      <c r="F9" s="120"/>
      <c r="G9" s="147">
        <f t="shared" si="0"/>
        <v>0</v>
      </c>
      <c r="H9" s="1053"/>
      <c r="I9" s="1054"/>
      <c r="J9" s="1054"/>
      <c r="K9" s="611"/>
      <c r="L9" s="1251">
        <v>305.92</v>
      </c>
      <c r="M9" s="611"/>
      <c r="N9" s="1251">
        <v>2582.81</v>
      </c>
      <c r="O9" s="611"/>
      <c r="P9" s="611"/>
      <c r="Q9" s="611"/>
      <c r="R9" s="611"/>
      <c r="S9" s="143"/>
      <c r="T9" s="143"/>
      <c r="U9" s="143"/>
      <c r="V9" s="143"/>
      <c r="W9" s="143"/>
      <c r="X9" s="1248">
        <f t="shared" si="1"/>
        <v>0</v>
      </c>
      <c r="Y9" s="611"/>
      <c r="Z9" s="611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03">
        <f t="shared" si="2"/>
        <v>0</v>
      </c>
      <c r="AM9" s="906">
        <v>3287.53</v>
      </c>
      <c r="AN9" s="901">
        <v>1747.24</v>
      </c>
      <c r="AO9" s="123"/>
      <c r="AP9" s="105">
        <f t="shared" si="3"/>
        <v>0</v>
      </c>
      <c r="AQ9" s="99"/>
      <c r="AR9" s="99"/>
      <c r="AS9" s="99"/>
      <c r="AT9" s="1254">
        <v>0.71</v>
      </c>
      <c r="AU9" s="224">
        <f t="shared" si="4"/>
        <v>0</v>
      </c>
      <c r="AV9" s="1760">
        <v>3040</v>
      </c>
      <c r="AW9" s="1821">
        <v>149.9</v>
      </c>
      <c r="AX9" s="1829"/>
      <c r="AY9" s="1828"/>
      <c r="AZ9" s="1690"/>
      <c r="BA9" s="1731"/>
      <c r="BB9" s="1760">
        <v>1585</v>
      </c>
      <c r="BC9" s="1655"/>
      <c r="BD9" s="1655"/>
      <c r="BE9" s="1655"/>
      <c r="BF9" s="1655"/>
      <c r="BG9" s="222">
        <f t="shared" si="5"/>
        <v>0</v>
      </c>
      <c r="BH9" s="113">
        <f t="shared" si="6"/>
        <v>0</v>
      </c>
      <c r="BI9" s="3"/>
      <c r="BJ9" s="113">
        <f t="shared" si="7"/>
        <v>0</v>
      </c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056"/>
      <c r="BV9" s="910">
        <v>58.38</v>
      </c>
      <c r="BW9" s="129"/>
      <c r="BX9" s="130">
        <f t="shared" si="8"/>
        <v>0</v>
      </c>
      <c r="BY9" s="3"/>
    </row>
    <row r="10" ht="14.25" customHeight="1">
      <c r="A10" s="3"/>
      <c r="B10" s="512">
        <v>46026</v>
      </c>
      <c r="C10" s="1250">
        <f>8190.17-D10-0</f>
      </c>
      <c r="D10" s="901">
        <v>3630.88</v>
      </c>
      <c r="E10" s="120"/>
      <c r="F10" s="120"/>
      <c r="G10" s="147">
        <f t="shared" si="0"/>
        <v>0</v>
      </c>
      <c r="H10" s="1255"/>
      <c r="I10" s="1054"/>
      <c r="J10" s="1054"/>
      <c r="K10" s="611"/>
      <c r="L10" s="1256">
        <v>181.78</v>
      </c>
      <c r="M10" s="611"/>
      <c r="N10" s="1252"/>
      <c r="O10" s="611"/>
      <c r="P10" s="611"/>
      <c r="Q10" s="611"/>
      <c r="R10" s="611"/>
      <c r="S10" s="143"/>
      <c r="T10" s="143"/>
      <c r="U10" s="143"/>
      <c r="V10" s="143"/>
      <c r="W10" s="143"/>
      <c r="X10" s="1248">
        <f t="shared" si="1"/>
        <v>0</v>
      </c>
      <c r="Y10" s="611"/>
      <c r="Z10" s="611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03">
        <f t="shared" si="2"/>
        <v>0</v>
      </c>
      <c r="AM10" s="906">
        <v>2030.47</v>
      </c>
      <c r="AN10" s="901">
        <v>1600.23</v>
      </c>
      <c r="AO10" s="123"/>
      <c r="AP10" s="105">
        <f t="shared" si="3"/>
        <v>0</v>
      </c>
      <c r="AQ10" s="99"/>
      <c r="AR10" s="99"/>
      <c r="AS10" s="99"/>
      <c r="AT10" s="1253"/>
      <c r="AU10" s="224">
        <f t="shared" si="4"/>
        <v>0</v>
      </c>
      <c r="AV10" s="1760">
        <v>2347</v>
      </c>
      <c r="AW10" s="1548"/>
      <c r="AX10" s="1829"/>
      <c r="AY10" s="1828"/>
      <c r="AZ10" s="1690"/>
      <c r="BA10" s="1731"/>
      <c r="BB10" s="1760">
        <v>2030.7</v>
      </c>
      <c r="BC10" s="1655"/>
      <c r="BD10" s="1655"/>
      <c r="BE10" s="1655"/>
      <c r="BF10" s="1655"/>
      <c r="BG10" s="222">
        <f t="shared" si="5"/>
        <v>0</v>
      </c>
      <c r="BH10" s="113">
        <f t="shared" si="6"/>
        <v>0</v>
      </c>
      <c r="BI10" s="3"/>
      <c r="BJ10" s="113">
        <f t="shared" si="7"/>
        <v>0</v>
      </c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908"/>
      <c r="BV10" s="910"/>
      <c r="BW10" s="129"/>
      <c r="BX10" s="130">
        <f t="shared" si="8"/>
        <v>0</v>
      </c>
      <c r="BY10" s="3"/>
    </row>
    <row r="11" ht="14.25" customHeight="1">
      <c r="A11" s="3"/>
      <c r="B11" s="512">
        <v>46027</v>
      </c>
      <c r="C11" s="1250">
        <f>14389.37-D11-0</f>
      </c>
      <c r="D11" s="901">
        <v>3612.61</v>
      </c>
      <c r="E11" s="120"/>
      <c r="F11" s="120"/>
      <c r="G11" s="147">
        <f t="shared" si="0"/>
        <v>0</v>
      </c>
      <c r="H11" s="1053"/>
      <c r="I11" s="1054"/>
      <c r="J11" s="1054"/>
      <c r="K11" s="611"/>
      <c r="L11" s="992">
        <v>1604.79</v>
      </c>
      <c r="M11" s="611"/>
      <c r="N11" s="1252"/>
      <c r="O11" s="611"/>
      <c r="P11" s="611"/>
      <c r="Q11" s="611"/>
      <c r="R11" s="611"/>
      <c r="S11" s="143"/>
      <c r="T11" s="143"/>
      <c r="U11" s="143"/>
      <c r="V11" s="143"/>
      <c r="W11" s="143"/>
      <c r="X11" s="1248">
        <f t="shared" si="1"/>
        <v>0</v>
      </c>
      <c r="Y11" s="611"/>
      <c r="Z11" s="611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03">
        <f t="shared" si="2"/>
        <v>0</v>
      </c>
      <c r="AM11" s="906">
        <v>2508.6</v>
      </c>
      <c r="AN11" s="901">
        <v>1551.5</v>
      </c>
      <c r="AO11" s="123"/>
      <c r="AP11" s="105">
        <f t="shared" si="3"/>
        <v>0</v>
      </c>
      <c r="AQ11" s="99"/>
      <c r="AR11" s="99"/>
      <c r="AS11" s="99"/>
      <c r="AT11" s="1253"/>
      <c r="AU11" s="224">
        <f t="shared" si="4"/>
        <v>0</v>
      </c>
      <c r="AV11" s="1760">
        <v>3335.3</v>
      </c>
      <c r="AW11" s="1821">
        <v>3298</v>
      </c>
      <c r="AX11" s="1778"/>
      <c r="AY11" s="1828"/>
      <c r="AZ11" s="1690"/>
      <c r="BA11" s="1731"/>
      <c r="BB11" s="1760">
        <v>2061.1</v>
      </c>
      <c r="BC11" s="1655"/>
      <c r="BD11" s="1655"/>
      <c r="BE11" s="1655"/>
      <c r="BF11" s="1655"/>
      <c r="BG11" s="222">
        <f t="shared" si="5"/>
        <v>0</v>
      </c>
      <c r="BH11" s="113">
        <f t="shared" si="6"/>
        <v>0</v>
      </c>
      <c r="BI11" s="3"/>
      <c r="BJ11" s="113">
        <f t="shared" si="7"/>
        <v>0</v>
      </c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056"/>
      <c r="BV11" s="909">
        <v>30</v>
      </c>
      <c r="BW11" s="129"/>
      <c r="BX11" s="130">
        <f t="shared" si="8"/>
        <v>0</v>
      </c>
      <c r="BY11" s="3"/>
    </row>
    <row r="12" ht="14.25" customHeight="1">
      <c r="A12" s="132"/>
      <c r="B12" s="512">
        <v>46028</v>
      </c>
      <c r="C12" s="1250">
        <f>10983.11-D12-0</f>
      </c>
      <c r="D12" s="901">
        <v>3026.56</v>
      </c>
      <c r="E12" s="135"/>
      <c r="F12" s="135"/>
      <c r="G12" s="147">
        <f t="shared" si="0"/>
        <v>0</v>
      </c>
      <c r="H12" s="1053"/>
      <c r="I12" s="1054"/>
      <c r="J12" s="1054"/>
      <c r="K12" s="611"/>
      <c r="L12" s="1256">
        <v>2494.14</v>
      </c>
      <c r="M12" s="611"/>
      <c r="N12" s="1252">
        <v>806.65</v>
      </c>
      <c r="O12" s="611"/>
      <c r="P12" s="611"/>
      <c r="Q12" s="611"/>
      <c r="R12" s="611"/>
      <c r="S12" s="143"/>
      <c r="T12" s="143"/>
      <c r="U12" s="143"/>
      <c r="V12" s="143"/>
      <c r="W12" s="143"/>
      <c r="X12" s="1248">
        <f t="shared" si="1"/>
        <v>0</v>
      </c>
      <c r="Y12" s="611"/>
      <c r="Z12" s="611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03">
        <f t="shared" si="2"/>
        <v>0</v>
      </c>
      <c r="AM12" s="906">
        <v>2683.87</v>
      </c>
      <c r="AN12" s="907">
        <v>1540.22</v>
      </c>
      <c r="AO12" s="136"/>
      <c r="AP12" s="105">
        <f t="shared" si="3"/>
        <v>0</v>
      </c>
      <c r="AQ12" s="99"/>
      <c r="AR12" s="99"/>
      <c r="AS12" s="99"/>
      <c r="AT12" s="1253">
        <v>0.3</v>
      </c>
      <c r="AU12" s="224">
        <f t="shared" si="4"/>
        <v>0</v>
      </c>
      <c r="AV12" s="1760">
        <v>1941.6</v>
      </c>
      <c r="AW12" s="1548"/>
      <c r="AX12" s="1778"/>
      <c r="AY12" s="1828"/>
      <c r="AZ12" s="1690"/>
      <c r="BA12" s="1731"/>
      <c r="BB12" s="1760">
        <v>1486.3</v>
      </c>
      <c r="BC12" s="1655"/>
      <c r="BD12" s="1655"/>
      <c r="BE12" s="1655"/>
      <c r="BF12" s="1655"/>
      <c r="BG12" s="222">
        <f t="shared" si="5"/>
        <v>0</v>
      </c>
      <c r="BH12" s="140">
        <f t="shared" si="6"/>
        <v>0</v>
      </c>
      <c r="BI12" s="132"/>
      <c r="BJ12" s="140">
        <f t="shared" si="7"/>
        <v>0</v>
      </c>
      <c r="BK12" s="141"/>
      <c r="BL12" s="141"/>
      <c r="BM12" s="141"/>
      <c r="BN12" s="141"/>
      <c r="BO12" s="141"/>
      <c r="BP12" s="141"/>
      <c r="BQ12" s="141"/>
      <c r="BR12" s="141"/>
      <c r="BS12" s="141"/>
      <c r="BT12" s="141"/>
      <c r="BU12" s="1204"/>
      <c r="BV12" s="909">
        <v>30</v>
      </c>
      <c r="BW12" s="141"/>
      <c r="BX12" s="130">
        <f t="shared" si="8"/>
        <v>0</v>
      </c>
      <c r="BY12" s="132"/>
    </row>
    <row r="13" ht="14.25" customHeight="1">
      <c r="A13" s="132"/>
      <c r="B13" s="512">
        <v>46029</v>
      </c>
      <c r="C13" s="1250">
        <f>10543.54-D13-0</f>
      </c>
      <c r="D13" s="901">
        <v>2833.79</v>
      </c>
      <c r="E13" s="135"/>
      <c r="F13" s="135"/>
      <c r="G13" s="147">
        <f t="shared" si="0"/>
        <v>0</v>
      </c>
      <c r="H13" s="1053"/>
      <c r="I13" s="1054"/>
      <c r="J13" s="1054"/>
      <c r="K13" s="611"/>
      <c r="L13" s="1251">
        <v>1932.42</v>
      </c>
      <c r="M13" s="611"/>
      <c r="N13" s="1257"/>
      <c r="O13" s="611"/>
      <c r="P13" s="611"/>
      <c r="Q13" s="611"/>
      <c r="R13" s="611"/>
      <c r="S13" s="143"/>
      <c r="T13" s="143"/>
      <c r="U13" s="143"/>
      <c r="V13" s="143"/>
      <c r="W13" s="143"/>
      <c r="X13" s="1248">
        <f t="shared" si="1"/>
        <v>0</v>
      </c>
      <c r="Y13" s="611"/>
      <c r="Z13" s="611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03">
        <f t="shared" si="2"/>
        <v>0</v>
      </c>
      <c r="AM13" s="906">
        <v>2186.42</v>
      </c>
      <c r="AN13" s="901">
        <v>1106.61</v>
      </c>
      <c r="AO13" s="136"/>
      <c r="AP13" s="105">
        <f t="shared" si="3"/>
        <v>0</v>
      </c>
      <c r="AQ13" s="99"/>
      <c r="AR13" s="99"/>
      <c r="AS13" s="99"/>
      <c r="AT13" s="1254"/>
      <c r="AU13" s="224">
        <f t="shared" si="4"/>
        <v>0</v>
      </c>
      <c r="AV13" s="1760">
        <v>3399.3</v>
      </c>
      <c r="AW13" s="1821">
        <v>250</v>
      </c>
      <c r="AX13" s="1778"/>
      <c r="AY13" s="1828"/>
      <c r="AZ13" s="1690"/>
      <c r="BA13" s="1731"/>
      <c r="BB13" s="1760">
        <v>1638.7</v>
      </c>
      <c r="BC13" s="1655"/>
      <c r="BD13" s="1655"/>
      <c r="BE13" s="1655"/>
      <c r="BF13" s="1655"/>
      <c r="BG13" s="222">
        <f t="shared" si="5"/>
        <v>0</v>
      </c>
      <c r="BH13" s="140">
        <f t="shared" si="6"/>
        <v>0</v>
      </c>
      <c r="BI13" s="132"/>
      <c r="BJ13" s="140">
        <f t="shared" si="7"/>
        <v>0</v>
      </c>
      <c r="BK13" s="141"/>
      <c r="BL13" s="141"/>
      <c r="BM13" s="141"/>
      <c r="BN13" s="141"/>
      <c r="BO13" s="141"/>
      <c r="BP13" s="141"/>
      <c r="BQ13" s="141"/>
      <c r="BR13" s="141"/>
      <c r="BS13" s="141"/>
      <c r="BT13" s="141"/>
      <c r="BU13" s="1056"/>
      <c r="BV13" s="910">
        <v>30</v>
      </c>
      <c r="BW13" s="141"/>
      <c r="BX13" s="130">
        <f t="shared" si="8"/>
        <v>0</v>
      </c>
      <c r="BY13" s="132"/>
    </row>
    <row r="14" ht="14.25" customHeight="1">
      <c r="A14" s="132"/>
      <c r="B14" s="512">
        <v>46030</v>
      </c>
      <c r="C14" s="1250">
        <f>10533.35-D14-0</f>
      </c>
      <c r="D14" s="901">
        <v>3228.6</v>
      </c>
      <c r="E14" s="135"/>
      <c r="F14" s="135"/>
      <c r="G14" s="147">
        <f t="shared" si="0"/>
        <v>0</v>
      </c>
      <c r="H14" s="1053"/>
      <c r="I14" s="1054"/>
      <c r="J14" s="1054"/>
      <c r="K14" s="611"/>
      <c r="L14" s="1257">
        <v>2188.38</v>
      </c>
      <c r="M14" s="611"/>
      <c r="N14" s="1251">
        <v>120.31</v>
      </c>
      <c r="O14" s="611"/>
      <c r="P14" s="611"/>
      <c r="Q14" s="611"/>
      <c r="R14" s="611"/>
      <c r="S14" s="143"/>
      <c r="T14" s="143"/>
      <c r="U14" s="143"/>
      <c r="V14" s="143"/>
      <c r="W14" s="143"/>
      <c r="X14" s="1248">
        <f t="shared" si="1"/>
        <v>0</v>
      </c>
      <c r="Y14" s="611"/>
      <c r="Z14" s="611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03">
        <f t="shared" si="2"/>
        <v>0</v>
      </c>
      <c r="AM14" s="906">
        <v>2313.9</v>
      </c>
      <c r="AN14" s="907">
        <v>1141.55</v>
      </c>
      <c r="AO14" s="136"/>
      <c r="AP14" s="105">
        <f t="shared" si="3"/>
        <v>0</v>
      </c>
      <c r="AQ14" s="143"/>
      <c r="AR14" s="143"/>
      <c r="AS14" s="143"/>
      <c r="AT14" s="1258"/>
      <c r="AU14" s="224">
        <f t="shared" si="4"/>
        <v>0</v>
      </c>
      <c r="AV14" s="1760">
        <v>2352.1</v>
      </c>
      <c r="AW14" s="1548"/>
      <c r="AX14" s="1778"/>
      <c r="AY14" s="1828"/>
      <c r="AZ14" s="1690"/>
      <c r="BA14" s="1731"/>
      <c r="BB14" s="1760">
        <v>2087.1</v>
      </c>
      <c r="BC14" s="1655"/>
      <c r="BD14" s="1655"/>
      <c r="BE14" s="1655"/>
      <c r="BF14" s="1655"/>
      <c r="BG14" s="222">
        <f t="shared" si="5"/>
        <v>0</v>
      </c>
      <c r="BH14" s="140">
        <f t="shared" si="6"/>
        <v>0</v>
      </c>
      <c r="BI14" s="132"/>
      <c r="BJ14" s="140">
        <f t="shared" si="7"/>
        <v>0</v>
      </c>
      <c r="BK14" s="141"/>
      <c r="BL14" s="141"/>
      <c r="BM14" s="141"/>
      <c r="BN14" s="141"/>
      <c r="BO14" s="141"/>
      <c r="BP14" s="141"/>
      <c r="BQ14" s="141"/>
      <c r="BR14" s="141"/>
      <c r="BS14" s="141"/>
      <c r="BT14" s="141"/>
      <c r="BU14" s="1204"/>
      <c r="BV14" s="910">
        <v>30</v>
      </c>
      <c r="BW14" s="150"/>
      <c r="BX14" s="130">
        <f t="shared" si="8"/>
        <v>0</v>
      </c>
      <c r="BY14" s="132"/>
    </row>
    <row r="15" ht="14.25" customHeight="1">
      <c r="A15" s="132"/>
      <c r="B15" s="512">
        <v>46031</v>
      </c>
      <c r="C15" s="1250">
        <f>20418.49-D15-0</f>
      </c>
      <c r="D15" s="901">
        <v>3657.14</v>
      </c>
      <c r="E15" s="135"/>
      <c r="F15" s="135"/>
      <c r="G15" s="147">
        <f t="shared" si="0"/>
        <v>0</v>
      </c>
      <c r="H15" s="1057"/>
      <c r="I15" s="1054"/>
      <c r="J15" s="1054"/>
      <c r="K15" s="611"/>
      <c r="L15" s="1257">
        <v>8573.6</v>
      </c>
      <c r="M15" s="611"/>
      <c r="N15" s="1259">
        <v>345.68</v>
      </c>
      <c r="O15" s="611"/>
      <c r="P15" s="611"/>
      <c r="Q15" s="611"/>
      <c r="R15" s="611"/>
      <c r="S15" s="143"/>
      <c r="T15" s="143"/>
      <c r="U15" s="143"/>
      <c r="V15" s="143"/>
      <c r="W15" s="143"/>
      <c r="X15" s="1248">
        <f t="shared" si="1"/>
        <v>0</v>
      </c>
      <c r="Y15" s="611"/>
      <c r="Z15" s="611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03">
        <f t="shared" si="2"/>
        <v>0</v>
      </c>
      <c r="AM15" s="906">
        <v>4134.26</v>
      </c>
      <c r="AN15" s="901">
        <v>1507.97</v>
      </c>
      <c r="AO15" s="136"/>
      <c r="AP15" s="105">
        <f t="shared" si="3"/>
        <v>0</v>
      </c>
      <c r="AQ15" s="143"/>
      <c r="AR15" s="143"/>
      <c r="AS15" s="143"/>
      <c r="AT15" s="1258"/>
      <c r="AU15" s="224">
        <f t="shared" si="4"/>
        <v>0</v>
      </c>
      <c r="AV15" s="1760">
        <v>3677.8</v>
      </c>
      <c r="AW15" s="1548"/>
      <c r="AX15" s="1778"/>
      <c r="AY15" s="1828"/>
      <c r="AZ15" s="1690"/>
      <c r="BA15" s="1731"/>
      <c r="BB15" s="1760">
        <v>2149.1</v>
      </c>
      <c r="BC15" s="1655"/>
      <c r="BD15" s="1655"/>
      <c r="BE15" s="1655"/>
      <c r="BF15" s="1655"/>
      <c r="BG15" s="222">
        <f t="shared" si="5"/>
        <v>0</v>
      </c>
      <c r="BH15" s="140">
        <f t="shared" si="6"/>
        <v>0</v>
      </c>
      <c r="BI15" s="132"/>
      <c r="BJ15" s="140">
        <f t="shared" si="7"/>
        <v>0</v>
      </c>
      <c r="BK15" s="141"/>
      <c r="BL15" s="141"/>
      <c r="BM15" s="141"/>
      <c r="BN15" s="141"/>
      <c r="BO15" s="141"/>
      <c r="BP15" s="141"/>
      <c r="BQ15" s="141"/>
      <c r="BR15" s="141"/>
      <c r="BS15" s="141"/>
      <c r="BT15" s="141"/>
      <c r="BU15" s="1204"/>
      <c r="BV15" s="909">
        <v>30</v>
      </c>
      <c r="BW15" s="141"/>
      <c r="BX15" s="130">
        <f t="shared" si="8"/>
        <v>0</v>
      </c>
      <c r="BY15" s="132"/>
    </row>
    <row r="16" ht="14.25" customHeight="1">
      <c r="A16" s="132"/>
      <c r="B16" s="512">
        <v>46032</v>
      </c>
      <c r="C16" s="1250">
        <f>11538.11-D16-0</f>
      </c>
      <c r="D16" s="901">
        <v>3364.54</v>
      </c>
      <c r="E16" s="135"/>
      <c r="F16" s="135"/>
      <c r="G16" s="147">
        <f t="shared" si="0"/>
        <v>0</v>
      </c>
      <c r="H16" s="1053"/>
      <c r="I16" s="1054"/>
      <c r="J16" s="1054"/>
      <c r="K16" s="611"/>
      <c r="L16" s="1251">
        <v>2484.13</v>
      </c>
      <c r="M16" s="611"/>
      <c r="N16" s="1257"/>
      <c r="O16" s="611"/>
      <c r="P16" s="611"/>
      <c r="Q16" s="611"/>
      <c r="R16" s="611"/>
      <c r="S16" s="143"/>
      <c r="T16" s="143"/>
      <c r="U16" s="143"/>
      <c r="V16" s="143"/>
      <c r="W16" s="143"/>
      <c r="X16" s="1248">
        <f t="shared" si="1"/>
        <v>0</v>
      </c>
      <c r="Y16" s="611"/>
      <c r="Z16" s="611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03">
        <f t="shared" si="2"/>
        <v>0</v>
      </c>
      <c r="AM16" s="906">
        <v>2631.43</v>
      </c>
      <c r="AN16" s="901">
        <v>1166.87</v>
      </c>
      <c r="AO16" s="136"/>
      <c r="AP16" s="105">
        <f t="shared" si="3"/>
        <v>0</v>
      </c>
      <c r="AQ16" s="143"/>
      <c r="AR16" s="143"/>
      <c r="AS16" s="143"/>
      <c r="AT16" s="1260"/>
      <c r="AU16" s="224">
        <f t="shared" si="4"/>
        <v>0</v>
      </c>
      <c r="AV16" s="1760">
        <v>3070.6</v>
      </c>
      <c r="AW16" s="1548"/>
      <c r="AX16" s="1778"/>
      <c r="AY16" s="1828"/>
      <c r="AZ16" s="1690"/>
      <c r="BA16" s="1731"/>
      <c r="BB16" s="1760">
        <v>2125.1</v>
      </c>
      <c r="BC16" s="1655"/>
      <c r="BD16" s="1655"/>
      <c r="BE16" s="1655"/>
      <c r="BF16" s="1655"/>
      <c r="BG16" s="222">
        <f t="shared" si="5"/>
        <v>0</v>
      </c>
      <c r="BH16" s="140">
        <f t="shared" si="6"/>
        <v>0</v>
      </c>
      <c r="BI16" s="132"/>
      <c r="BJ16" s="140">
        <f t="shared" si="7"/>
        <v>0</v>
      </c>
      <c r="BK16" s="141"/>
      <c r="BL16" s="141"/>
      <c r="BM16" s="141"/>
      <c r="BN16" s="141"/>
      <c r="BO16" s="141"/>
      <c r="BP16" s="141"/>
      <c r="BQ16" s="141"/>
      <c r="BR16" s="141"/>
      <c r="BS16" s="141"/>
      <c r="BT16" s="141"/>
      <c r="BU16" s="1056"/>
      <c r="BV16" s="1261">
        <v>59.94</v>
      </c>
      <c r="BW16" s="141"/>
      <c r="BX16" s="130">
        <f t="shared" si="8"/>
        <v>0</v>
      </c>
      <c r="BY16" s="132"/>
    </row>
    <row r="17" ht="14.25" customHeight="1">
      <c r="A17" s="132"/>
      <c r="B17" s="512">
        <v>46033</v>
      </c>
      <c r="C17" s="1250">
        <f>10212.47-D17-0</f>
      </c>
      <c r="D17" s="901">
        <v>2745.79</v>
      </c>
      <c r="E17" s="135"/>
      <c r="F17" s="135"/>
      <c r="G17" s="147">
        <f t="shared" si="0"/>
        <v>0</v>
      </c>
      <c r="H17" s="1053"/>
      <c r="I17" s="1054"/>
      <c r="J17" s="1054"/>
      <c r="K17" s="611"/>
      <c r="L17" s="1251">
        <v>536.31</v>
      </c>
      <c r="M17" s="611"/>
      <c r="N17" s="1252"/>
      <c r="O17" s="611"/>
      <c r="P17" s="611"/>
      <c r="Q17" s="611"/>
      <c r="R17" s="611"/>
      <c r="S17" s="143"/>
      <c r="T17" s="143"/>
      <c r="U17" s="143"/>
      <c r="V17" s="143"/>
      <c r="W17" s="143"/>
      <c r="X17" s="1248">
        <f t="shared" si="1"/>
        <v>0</v>
      </c>
      <c r="Y17" s="611"/>
      <c r="Z17" s="611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03">
        <f t="shared" si="2"/>
        <v>0</v>
      </c>
      <c r="AM17" s="906">
        <v>3347.04</v>
      </c>
      <c r="AN17" s="901">
        <v>1191.02</v>
      </c>
      <c r="AO17" s="136"/>
      <c r="AP17" s="105">
        <f t="shared" si="3"/>
        <v>0</v>
      </c>
      <c r="AQ17" s="143"/>
      <c r="AR17" s="143"/>
      <c r="AS17" s="143"/>
      <c r="AT17" s="1258">
        <v>0.16</v>
      </c>
      <c r="AU17" s="224">
        <f t="shared" si="4"/>
        <v>0</v>
      </c>
      <c r="AV17" s="1760">
        <v>3583.2</v>
      </c>
      <c r="AW17" s="1548"/>
      <c r="AX17" s="1829"/>
      <c r="AY17" s="1828"/>
      <c r="AZ17" s="1690"/>
      <c r="BA17" s="1731"/>
      <c r="BB17" s="1760">
        <v>1554.8</v>
      </c>
      <c r="BC17" s="1655"/>
      <c r="BD17" s="1655"/>
      <c r="BE17" s="1655"/>
      <c r="BF17" s="1655"/>
      <c r="BG17" s="222">
        <f t="shared" si="5"/>
        <v>0</v>
      </c>
      <c r="BH17" s="140">
        <f t="shared" si="6"/>
        <v>0</v>
      </c>
      <c r="BI17" s="132"/>
      <c r="BJ17" s="140">
        <f t="shared" si="7"/>
        <v>0</v>
      </c>
      <c r="BK17" s="141"/>
      <c r="BL17" s="141"/>
      <c r="BM17" s="141"/>
      <c r="BN17" s="141"/>
      <c r="BO17" s="141"/>
      <c r="BP17" s="141"/>
      <c r="BQ17" s="141"/>
      <c r="BR17" s="141"/>
      <c r="BS17" s="141"/>
      <c r="BT17" s="141"/>
      <c r="BU17" s="908"/>
      <c r="BV17" s="910"/>
      <c r="BW17" s="141"/>
      <c r="BX17" s="130">
        <f t="shared" si="8"/>
        <v>0</v>
      </c>
      <c r="BY17" s="132"/>
    </row>
    <row r="18" ht="14.25" customHeight="1">
      <c r="A18" s="132"/>
      <c r="B18" s="512">
        <v>46034</v>
      </c>
      <c r="C18" s="1250">
        <f>11478.80-D18-0</f>
      </c>
      <c r="D18" s="901">
        <v>2885.6</v>
      </c>
      <c r="E18" s="135"/>
      <c r="F18" s="135"/>
      <c r="G18" s="147">
        <f t="shared" si="0"/>
        <v>0</v>
      </c>
      <c r="H18" s="1053"/>
      <c r="I18" s="1054"/>
      <c r="J18" s="1054"/>
      <c r="K18" s="611"/>
      <c r="L18" s="1256">
        <v>2395.64</v>
      </c>
      <c r="M18" s="611"/>
      <c r="N18" s="1252"/>
      <c r="O18" s="611"/>
      <c r="P18" s="611"/>
      <c r="Q18" s="611"/>
      <c r="R18" s="611"/>
      <c r="S18" s="143"/>
      <c r="T18" s="143"/>
      <c r="U18" s="143"/>
      <c r="V18" s="143"/>
      <c r="W18" s="143"/>
      <c r="X18" s="1248">
        <f t="shared" si="1"/>
        <v>0</v>
      </c>
      <c r="Y18" s="611"/>
      <c r="Z18" s="611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03">
        <f t="shared" si="2"/>
        <v>0</v>
      </c>
      <c r="AM18" s="906">
        <v>3257.72</v>
      </c>
      <c r="AN18" s="901">
        <v>1423.79</v>
      </c>
      <c r="AO18" s="136"/>
      <c r="AP18" s="105">
        <f t="shared" si="3"/>
        <v>0</v>
      </c>
      <c r="AQ18" s="143"/>
      <c r="AR18" s="143"/>
      <c r="AS18" s="143"/>
      <c r="AT18" s="1258"/>
      <c r="AU18" s="224">
        <f t="shared" si="4"/>
        <v>0</v>
      </c>
      <c r="AV18" s="1760">
        <v>2909.8</v>
      </c>
      <c r="AW18" s="1548"/>
      <c r="AX18" s="1778"/>
      <c r="AY18" s="1828"/>
      <c r="AZ18" s="1690"/>
      <c r="BA18" s="1731"/>
      <c r="BB18" s="1760">
        <v>1461.8</v>
      </c>
      <c r="BC18" s="1655"/>
      <c r="BD18" s="1655"/>
      <c r="BE18" s="1655"/>
      <c r="BF18" s="1655"/>
      <c r="BG18" s="222">
        <f t="shared" si="5"/>
        <v>0</v>
      </c>
      <c r="BH18" s="140">
        <f t="shared" si="6"/>
        <v>0</v>
      </c>
      <c r="BI18" s="132"/>
      <c r="BJ18" s="140">
        <f t="shared" si="7"/>
        <v>0</v>
      </c>
      <c r="BK18" s="141"/>
      <c r="BL18" s="141"/>
      <c r="BM18" s="141"/>
      <c r="BN18" s="141"/>
      <c r="BO18" s="141"/>
      <c r="BP18" s="141"/>
      <c r="BQ18" s="141"/>
      <c r="BR18" s="141"/>
      <c r="BS18" s="141"/>
      <c r="BT18" s="141"/>
      <c r="BU18" s="1056"/>
      <c r="BV18" s="909">
        <v>30</v>
      </c>
      <c r="BW18" s="141"/>
      <c r="BX18" s="130">
        <f t="shared" si="8"/>
        <v>0</v>
      </c>
      <c r="BY18" s="132"/>
    </row>
    <row r="19" ht="14.25" customHeight="1">
      <c r="A19" s="132"/>
      <c r="B19" s="512">
        <v>46035</v>
      </c>
      <c r="C19" s="1250">
        <f>16995.14-D19-0</f>
      </c>
      <c r="D19" s="901">
        <v>3426.49</v>
      </c>
      <c r="E19" s="135"/>
      <c r="F19" s="135"/>
      <c r="G19" s="147">
        <f t="shared" si="0"/>
        <v>0</v>
      </c>
      <c r="H19" s="1053"/>
      <c r="I19" s="1054"/>
      <c r="J19" s="1054"/>
      <c r="K19" s="611"/>
      <c r="L19" s="1257">
        <v>2523.06</v>
      </c>
      <c r="M19" s="611"/>
      <c r="N19" s="1259">
        <v>4508.17</v>
      </c>
      <c r="O19" s="611"/>
      <c r="P19" s="611"/>
      <c r="Q19" s="611"/>
      <c r="R19" s="611"/>
      <c r="S19" s="143"/>
      <c r="T19" s="143"/>
      <c r="U19" s="143"/>
      <c r="V19" s="143"/>
      <c r="W19" s="143"/>
      <c r="X19" s="1248">
        <f t="shared" si="1"/>
        <v>0</v>
      </c>
      <c r="Y19" s="611"/>
      <c r="Z19" s="611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03">
        <f t="shared" si="2"/>
        <v>0</v>
      </c>
      <c r="AM19" s="906">
        <v>4100.95</v>
      </c>
      <c r="AN19" s="901">
        <v>1413.12</v>
      </c>
      <c r="AO19" s="136"/>
      <c r="AP19" s="105">
        <f t="shared" si="3"/>
        <v>0</v>
      </c>
      <c r="AQ19" s="143"/>
      <c r="AR19" s="143"/>
      <c r="AS19" s="143"/>
      <c r="AT19" s="1258"/>
      <c r="AU19" s="224">
        <f t="shared" si="4"/>
        <v>0</v>
      </c>
      <c r="AV19" s="1760">
        <v>2127.3</v>
      </c>
      <c r="AW19" s="1548"/>
      <c r="AX19" s="1778"/>
      <c r="AY19" s="1828"/>
      <c r="AZ19" s="1690"/>
      <c r="BA19" s="1731"/>
      <c r="BB19" s="1760">
        <v>2013.4</v>
      </c>
      <c r="BC19" s="1655"/>
      <c r="BD19" s="1655"/>
      <c r="BE19" s="1655"/>
      <c r="BF19" s="1655"/>
      <c r="BG19" s="222">
        <f t="shared" si="5"/>
        <v>0</v>
      </c>
      <c r="BH19" s="140">
        <f t="shared" si="6"/>
        <v>0</v>
      </c>
      <c r="BI19" s="132"/>
      <c r="BJ19" s="140">
        <f t="shared" si="7"/>
        <v>0</v>
      </c>
      <c r="BK19" s="141"/>
      <c r="BL19" s="141"/>
      <c r="BM19" s="141"/>
      <c r="BN19" s="141"/>
      <c r="BO19" s="141"/>
      <c r="BP19" s="141"/>
      <c r="BQ19" s="141"/>
      <c r="BR19" s="141"/>
      <c r="BS19" s="141"/>
      <c r="BT19" s="141"/>
      <c r="BU19" s="914"/>
      <c r="BV19" s="1062">
        <v>309.1</v>
      </c>
      <c r="BW19" s="141"/>
      <c r="BX19" s="130">
        <f t="shared" si="8"/>
        <v>0</v>
      </c>
      <c r="BY19" s="132"/>
    </row>
    <row r="20" ht="14.25" customHeight="1">
      <c r="A20" s="132"/>
      <c r="B20" s="512">
        <v>46036</v>
      </c>
      <c r="C20" s="1250">
        <f>11863.80-D20-0</f>
      </c>
      <c r="D20" s="901">
        <v>2950.56</v>
      </c>
      <c r="E20" s="135"/>
      <c r="F20" s="135"/>
      <c r="G20" s="147">
        <f t="shared" si="0"/>
        <v>0</v>
      </c>
      <c r="H20" s="1053"/>
      <c r="I20" s="1262"/>
      <c r="J20" s="1262"/>
      <c r="K20" s="611"/>
      <c r="L20" s="1263">
        <v>1523.94</v>
      </c>
      <c r="M20" s="611"/>
      <c r="N20" s="1259">
        <v>2473.5</v>
      </c>
      <c r="O20" s="611"/>
      <c r="P20" s="611"/>
      <c r="Q20" s="611"/>
      <c r="R20" s="611"/>
      <c r="S20" s="143"/>
      <c r="T20" s="143"/>
      <c r="U20" s="143"/>
      <c r="V20" s="143"/>
      <c r="W20" s="143"/>
      <c r="X20" s="1248">
        <f t="shared" si="1"/>
        <v>0</v>
      </c>
      <c r="Y20" s="611"/>
      <c r="Z20" s="611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03">
        <f t="shared" si="2"/>
        <v>0</v>
      </c>
      <c r="AM20" s="906">
        <v>2484.28</v>
      </c>
      <c r="AN20" s="901">
        <v>1253.6</v>
      </c>
      <c r="AO20" s="136"/>
      <c r="AP20" s="105">
        <f t="shared" si="3"/>
        <v>0</v>
      </c>
      <c r="AQ20" s="143"/>
      <c r="AR20" s="143"/>
      <c r="AS20" s="143"/>
      <c r="AT20" s="1258"/>
      <c r="AU20" s="224">
        <f t="shared" si="4"/>
        <v>0</v>
      </c>
      <c r="AV20" s="1762">
        <v>2151.5</v>
      </c>
      <c r="AW20" s="1821">
        <v>250</v>
      </c>
      <c r="AX20" s="1778"/>
      <c r="AY20" s="1828"/>
      <c r="AZ20" s="1690"/>
      <c r="BA20" s="1731"/>
      <c r="BB20" s="1793">
        <v>1696.9</v>
      </c>
      <c r="BC20" s="1655"/>
      <c r="BD20" s="1655"/>
      <c r="BE20" s="1655"/>
      <c r="BF20" s="1655"/>
      <c r="BG20" s="222">
        <f t="shared" si="5"/>
        <v>0</v>
      </c>
      <c r="BH20" s="140">
        <f t="shared" si="6"/>
        <v>0</v>
      </c>
      <c r="BI20" s="132"/>
      <c r="BJ20" s="140">
        <f t="shared" si="7"/>
        <v>0</v>
      </c>
      <c r="BK20" s="141"/>
      <c r="BL20" s="141"/>
      <c r="BM20" s="141"/>
      <c r="BN20" s="141"/>
      <c r="BO20" s="141"/>
      <c r="BP20" s="141"/>
      <c r="BQ20" s="141"/>
      <c r="BR20" s="141"/>
      <c r="BS20" s="141"/>
      <c r="BT20" s="141"/>
      <c r="BU20" s="1056"/>
      <c r="BV20" s="910">
        <v>30</v>
      </c>
      <c r="BW20" s="141"/>
      <c r="BX20" s="130">
        <f t="shared" si="8"/>
        <v>0</v>
      </c>
      <c r="BY20" s="132"/>
    </row>
    <row r="21" ht="14.25" customHeight="1">
      <c r="A21" s="132"/>
      <c r="B21" s="512">
        <v>46037</v>
      </c>
      <c r="C21" s="1250">
        <f>10820.57-D21-0</f>
      </c>
      <c r="D21" s="901">
        <v>3262.73</v>
      </c>
      <c r="E21" s="135"/>
      <c r="F21" s="135"/>
      <c r="G21" s="147">
        <f t="shared" si="0"/>
        <v>0</v>
      </c>
      <c r="H21" s="1053"/>
      <c r="I21" s="1054"/>
      <c r="J21" s="1054"/>
      <c r="K21" s="611"/>
      <c r="L21" s="1251">
        <v>2897.71</v>
      </c>
      <c r="M21" s="611"/>
      <c r="N21" s="1257"/>
      <c r="O21" s="611"/>
      <c r="P21" s="611"/>
      <c r="Q21" s="611"/>
      <c r="R21" s="611"/>
      <c r="S21" s="143"/>
      <c r="T21" s="143"/>
      <c r="U21" s="143"/>
      <c r="V21" s="143"/>
      <c r="W21" s="143"/>
      <c r="X21" s="1248">
        <f t="shared" si="1"/>
        <v>0</v>
      </c>
      <c r="Y21" s="611"/>
      <c r="Z21" s="611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03">
        <f t="shared" si="2"/>
        <v>0</v>
      </c>
      <c r="AM21" s="906">
        <v>2684</v>
      </c>
      <c r="AN21" s="901">
        <v>1110.87</v>
      </c>
      <c r="AO21" s="136"/>
      <c r="AP21" s="105">
        <f t="shared" si="3"/>
        <v>0</v>
      </c>
      <c r="AQ21" s="143"/>
      <c r="AR21" s="143"/>
      <c r="AS21" s="143"/>
      <c r="AT21" s="1258"/>
      <c r="AU21" s="224">
        <f t="shared" si="4"/>
        <v>0</v>
      </c>
      <c r="AV21" s="1762">
        <v>2036.2</v>
      </c>
      <c r="AW21" s="1548"/>
      <c r="AX21" s="1829"/>
      <c r="AY21" s="1828"/>
      <c r="AZ21" s="1690"/>
      <c r="BA21" s="1731"/>
      <c r="BB21" s="1793">
        <v>2061.8</v>
      </c>
      <c r="BC21" s="1655"/>
      <c r="BD21" s="1655"/>
      <c r="BE21" s="1655"/>
      <c r="BF21" s="1655"/>
      <c r="BG21" s="222">
        <f t="shared" si="5"/>
        <v>0</v>
      </c>
      <c r="BH21" s="140">
        <f t="shared" si="6"/>
        <v>0</v>
      </c>
      <c r="BI21" s="132"/>
      <c r="BJ21" s="140">
        <f t="shared" si="7"/>
        <v>0</v>
      </c>
      <c r="BK21" s="141"/>
      <c r="BL21" s="141"/>
      <c r="BM21" s="141"/>
      <c r="BN21" s="141"/>
      <c r="BO21" s="141"/>
      <c r="BP21" s="141"/>
      <c r="BQ21" s="141"/>
      <c r="BR21" s="141"/>
      <c r="BS21" s="141"/>
      <c r="BT21" s="141"/>
      <c r="BU21" s="1204"/>
      <c r="BV21" s="909">
        <v>30</v>
      </c>
      <c r="BW21" s="141"/>
      <c r="BX21" s="130">
        <f t="shared" si="8"/>
        <v>0</v>
      </c>
      <c r="BY21" s="132"/>
    </row>
    <row r="22" ht="14.25" customHeight="1">
      <c r="A22" s="132"/>
      <c r="B22" s="512">
        <v>46038</v>
      </c>
      <c r="C22" s="1250">
        <f>15434.07-D22-0</f>
      </c>
      <c r="D22" s="901">
        <v>3020.1</v>
      </c>
      <c r="E22" s="135"/>
      <c r="F22" s="135"/>
      <c r="G22" s="147">
        <f t="shared" si="0"/>
        <v>0</v>
      </c>
      <c r="H22" s="1059">
        <v>816.17</v>
      </c>
      <c r="I22" s="1054"/>
      <c r="J22" s="1054"/>
      <c r="K22" s="611"/>
      <c r="L22" s="1257">
        <v>1886.87</v>
      </c>
      <c r="M22" s="611"/>
      <c r="N22" s="1257">
        <v>648.35</v>
      </c>
      <c r="O22" s="611"/>
      <c r="P22" s="611"/>
      <c r="Q22" s="611"/>
      <c r="R22" s="611"/>
      <c r="S22" s="143"/>
      <c r="T22" s="143"/>
      <c r="U22" s="143"/>
      <c r="V22" s="143"/>
      <c r="W22" s="143"/>
      <c r="X22" s="1248">
        <f t="shared" si="1"/>
        <v>0</v>
      </c>
      <c r="Y22" s="611"/>
      <c r="Z22" s="611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03">
        <f t="shared" si="2"/>
        <v>0</v>
      </c>
      <c r="AM22" s="906">
        <v>2921.08</v>
      </c>
      <c r="AN22" s="901">
        <v>1295.21</v>
      </c>
      <c r="AO22" s="136"/>
      <c r="AP22" s="105">
        <f t="shared" si="3"/>
        <v>0</v>
      </c>
      <c r="AQ22" s="143"/>
      <c r="AR22" s="143"/>
      <c r="AS22" s="143"/>
      <c r="AT22" s="1258"/>
      <c r="AU22" s="224">
        <f t="shared" si="4"/>
        <v>0</v>
      </c>
      <c r="AV22" s="1762"/>
      <c r="AW22" s="1821">
        <v>3447.9</v>
      </c>
      <c r="AX22" s="1827"/>
      <c r="AY22" s="1828"/>
      <c r="AZ22" s="1690"/>
      <c r="BA22" s="1731"/>
      <c r="BB22" s="1793"/>
      <c r="BC22" s="1655"/>
      <c r="BD22" s="1655"/>
      <c r="BE22" s="1655"/>
      <c r="BF22" s="1655"/>
      <c r="BG22" s="222">
        <f t="shared" si="5"/>
        <v>0</v>
      </c>
      <c r="BH22" s="140">
        <f t="shared" si="6"/>
        <v>0</v>
      </c>
      <c r="BI22" s="132"/>
      <c r="BJ22" s="140">
        <f t="shared" si="7"/>
        <v>0</v>
      </c>
      <c r="BK22" s="141"/>
      <c r="BL22" s="141"/>
      <c r="BM22" s="141"/>
      <c r="BN22" s="141"/>
      <c r="BO22" s="141"/>
      <c r="BP22" s="141"/>
      <c r="BQ22" s="141"/>
      <c r="BR22" s="141"/>
      <c r="BS22" s="141"/>
      <c r="BT22" s="141"/>
      <c r="BU22" s="914"/>
      <c r="BV22" s="909">
        <v>59.47</v>
      </c>
      <c r="BW22" s="150"/>
      <c r="BX22" s="130">
        <f t="shared" si="8"/>
        <v>0</v>
      </c>
      <c r="BY22" s="132"/>
    </row>
    <row r="23" ht="14.25" customHeight="1">
      <c r="A23" s="132"/>
      <c r="B23" s="512">
        <v>46039</v>
      </c>
      <c r="C23" s="1250">
        <f>12519.33-D23-0</f>
      </c>
      <c r="D23" s="901">
        <v>3865.54</v>
      </c>
      <c r="E23" s="135"/>
      <c r="F23" s="135"/>
      <c r="G23" s="147">
        <f t="shared" si="0"/>
        <v>0</v>
      </c>
      <c r="H23" s="1255"/>
      <c r="I23" s="1262"/>
      <c r="J23" s="1262"/>
      <c r="K23" s="611"/>
      <c r="L23" s="1263">
        <v>2998.67</v>
      </c>
      <c r="M23" s="611"/>
      <c r="N23" s="1259">
        <v>119.92</v>
      </c>
      <c r="O23" s="611"/>
      <c r="P23" s="611"/>
      <c r="Q23" s="611"/>
      <c r="R23" s="611"/>
      <c r="S23" s="143"/>
      <c r="T23" s="143"/>
      <c r="U23" s="143"/>
      <c r="V23" s="143"/>
      <c r="W23" s="143"/>
      <c r="X23" s="1248">
        <f t="shared" si="1"/>
        <v>0</v>
      </c>
      <c r="Y23" s="611"/>
      <c r="Z23" s="611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03">
        <f t="shared" si="2"/>
        <v>0</v>
      </c>
      <c r="AM23" s="906">
        <v>2869.97</v>
      </c>
      <c r="AN23" s="901">
        <v>1757.98</v>
      </c>
      <c r="AO23" s="136"/>
      <c r="AP23" s="105">
        <f t="shared" si="3"/>
        <v>0</v>
      </c>
      <c r="AQ23" s="143"/>
      <c r="AR23" s="143"/>
      <c r="AS23" s="143"/>
      <c r="AT23" s="1258"/>
      <c r="AU23" s="224">
        <f t="shared" si="4"/>
        <v>0</v>
      </c>
      <c r="AV23" s="1762">
        <v>2635.2</v>
      </c>
      <c r="AW23" s="1548"/>
      <c r="AX23" s="1778"/>
      <c r="AY23" s="1828"/>
      <c r="AZ23" s="1690"/>
      <c r="BA23" s="1731"/>
      <c r="BB23" s="1793">
        <v>2107.5</v>
      </c>
      <c r="BC23" s="1655"/>
      <c r="BD23" s="1655"/>
      <c r="BE23" s="1655"/>
      <c r="BF23" s="1655"/>
      <c r="BG23" s="222">
        <f t="shared" si="5"/>
        <v>0</v>
      </c>
      <c r="BH23" s="140">
        <f t="shared" si="6"/>
        <v>0</v>
      </c>
      <c r="BI23" s="132"/>
      <c r="BJ23" s="140">
        <f t="shared" si="7"/>
        <v>0</v>
      </c>
      <c r="BK23" s="141"/>
      <c r="BL23" s="141"/>
      <c r="BM23" s="141"/>
      <c r="BN23" s="141"/>
      <c r="BO23" s="141"/>
      <c r="BP23" s="141"/>
      <c r="BQ23" s="141"/>
      <c r="BR23" s="141"/>
      <c r="BS23" s="141"/>
      <c r="BT23" s="141"/>
      <c r="BU23" s="1056"/>
      <c r="BV23" s="910">
        <v>30</v>
      </c>
      <c r="BW23" s="141"/>
      <c r="BX23" s="130">
        <f t="shared" si="8"/>
        <v>0</v>
      </c>
      <c r="BY23" s="132"/>
    </row>
    <row r="24" ht="14.25" customHeight="1">
      <c r="A24" s="132"/>
      <c r="B24" s="512">
        <v>46040</v>
      </c>
      <c r="C24" s="1250">
        <f>9646.63-D24-0</f>
      </c>
      <c r="D24" s="901">
        <v>3454.52</v>
      </c>
      <c r="E24" s="135"/>
      <c r="F24" s="135"/>
      <c r="G24" s="147">
        <f t="shared" si="0"/>
        <v>0</v>
      </c>
      <c r="H24" s="1053"/>
      <c r="I24" s="1054"/>
      <c r="J24" s="1054"/>
      <c r="K24" s="611"/>
      <c r="L24" s="1251">
        <v>740.37</v>
      </c>
      <c r="M24" s="611"/>
      <c r="N24" s="1257"/>
      <c r="O24" s="611"/>
      <c r="P24" s="611"/>
      <c r="Q24" s="611"/>
      <c r="R24" s="611"/>
      <c r="S24" s="143"/>
      <c r="T24" s="143"/>
      <c r="U24" s="143"/>
      <c r="V24" s="143"/>
      <c r="W24" s="143"/>
      <c r="X24" s="1248">
        <f t="shared" si="1"/>
        <v>0</v>
      </c>
      <c r="Y24" s="611"/>
      <c r="Z24" s="611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03">
        <f t="shared" si="2"/>
        <v>0</v>
      </c>
      <c r="AM24" s="906">
        <v>2367.97</v>
      </c>
      <c r="AN24" s="901">
        <v>1648.73</v>
      </c>
      <c r="AO24" s="136"/>
      <c r="AP24" s="105">
        <f t="shared" si="3"/>
        <v>0</v>
      </c>
      <c r="AQ24" s="143"/>
      <c r="AR24" s="143"/>
      <c r="AS24" s="143"/>
      <c r="AT24" s="1258"/>
      <c r="AU24" s="224">
        <f t="shared" si="4"/>
        <v>0</v>
      </c>
      <c r="AV24" s="1762">
        <v>3083.8</v>
      </c>
      <c r="AW24" s="1548"/>
      <c r="AX24" s="1827"/>
      <c r="AY24" s="1828"/>
      <c r="AZ24" s="1690"/>
      <c r="BA24" s="1731"/>
      <c r="BB24" s="1793">
        <v>1805.7</v>
      </c>
      <c r="BC24" s="1655"/>
      <c r="BD24" s="1655"/>
      <c r="BE24" s="1655"/>
      <c r="BF24" s="1655"/>
      <c r="BG24" s="222">
        <f t="shared" si="5"/>
        <v>0</v>
      </c>
      <c r="BH24" s="140">
        <f t="shared" si="6"/>
        <v>0</v>
      </c>
      <c r="BI24" s="132"/>
      <c r="BJ24" s="140">
        <f t="shared" si="7"/>
        <v>0</v>
      </c>
      <c r="BK24" s="141"/>
      <c r="BL24" s="141"/>
      <c r="BM24" s="141"/>
      <c r="BN24" s="141"/>
      <c r="BO24" s="141"/>
      <c r="BP24" s="141"/>
      <c r="BQ24" s="141"/>
      <c r="BR24" s="141"/>
      <c r="BS24" s="141"/>
      <c r="BT24" s="141"/>
      <c r="BU24" s="914"/>
      <c r="BV24" s="909"/>
      <c r="BW24" s="141"/>
      <c r="BX24" s="130">
        <f t="shared" si="8"/>
        <v>0</v>
      </c>
      <c r="BY24" s="132"/>
    </row>
    <row r="25" ht="14.25" customHeight="1">
      <c r="A25" s="132"/>
      <c r="B25" s="512">
        <v>46041</v>
      </c>
      <c r="C25" s="1250">
        <f>14497.52-D25-0</f>
      </c>
      <c r="D25" s="901">
        <v>2601.79</v>
      </c>
      <c r="E25" s="135"/>
      <c r="F25" s="135"/>
      <c r="G25" s="147">
        <f t="shared" si="0"/>
        <v>0</v>
      </c>
      <c r="H25" s="1053"/>
      <c r="I25" s="1054"/>
      <c r="J25" s="1054"/>
      <c r="K25" s="611"/>
      <c r="L25" s="1256">
        <v>4175.32</v>
      </c>
      <c r="M25" s="611"/>
      <c r="N25" s="1252"/>
      <c r="O25" s="611"/>
      <c r="P25" s="611"/>
      <c r="Q25" s="611"/>
      <c r="R25" s="611"/>
      <c r="S25" s="143"/>
      <c r="T25" s="143"/>
      <c r="U25" s="143"/>
      <c r="V25" s="143"/>
      <c r="W25" s="143"/>
      <c r="X25" s="1248">
        <f t="shared" si="1"/>
        <v>0</v>
      </c>
      <c r="Y25" s="611"/>
      <c r="Z25" s="611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03">
        <f t="shared" si="2"/>
        <v>0</v>
      </c>
      <c r="AM25" s="906">
        <v>4919.39</v>
      </c>
      <c r="AN25" s="901">
        <v>877.16</v>
      </c>
      <c r="AO25" s="136"/>
      <c r="AP25" s="105">
        <f t="shared" si="3"/>
        <v>0</v>
      </c>
      <c r="AQ25" s="143"/>
      <c r="AR25" s="143"/>
      <c r="AS25" s="143"/>
      <c r="AT25" s="1258"/>
      <c r="AU25" s="224">
        <f t="shared" si="4"/>
        <v>0</v>
      </c>
      <c r="AV25" s="1762">
        <v>1835</v>
      </c>
      <c r="AW25" s="1548"/>
      <c r="AX25" s="1778"/>
      <c r="AY25" s="1828"/>
      <c r="AZ25" s="1690"/>
      <c r="BA25" s="1731"/>
      <c r="BB25" s="1793">
        <v>1724.6</v>
      </c>
      <c r="BC25" s="1655"/>
      <c r="BD25" s="1655"/>
      <c r="BE25" s="1655"/>
      <c r="BF25" s="1655"/>
      <c r="BG25" s="222">
        <f t="shared" si="5"/>
        <v>0</v>
      </c>
      <c r="BH25" s="140">
        <f t="shared" si="6"/>
        <v>0</v>
      </c>
      <c r="BI25" s="132"/>
      <c r="BJ25" s="140">
        <f t="shared" si="7"/>
        <v>0</v>
      </c>
      <c r="BK25" s="141"/>
      <c r="BL25" s="141"/>
      <c r="BM25" s="141"/>
      <c r="BN25" s="141"/>
      <c r="BO25" s="141"/>
      <c r="BP25" s="141"/>
      <c r="BQ25" s="141"/>
      <c r="BR25" s="141"/>
      <c r="BS25" s="141"/>
      <c r="BT25" s="141"/>
      <c r="BU25" s="908"/>
      <c r="BV25" s="1062">
        <v>966</v>
      </c>
      <c r="BW25" s="141"/>
      <c r="BX25" s="130">
        <f t="shared" si="8"/>
        <v>0</v>
      </c>
      <c r="BY25" s="132"/>
    </row>
    <row r="26" ht="14.25" customHeight="1">
      <c r="A26" s="132"/>
      <c r="B26" s="512">
        <v>46042</v>
      </c>
      <c r="C26" s="1250">
        <f>10648.09-D26-0</f>
      </c>
      <c r="D26" s="901">
        <v>2218.4</v>
      </c>
      <c r="E26" s="135"/>
      <c r="F26" s="135"/>
      <c r="G26" s="147">
        <f t="shared" si="0"/>
        <v>0</v>
      </c>
      <c r="H26" s="1053"/>
      <c r="I26" s="1054"/>
      <c r="J26" s="1054"/>
      <c r="K26" s="611"/>
      <c r="L26" s="1257">
        <v>907.75</v>
      </c>
      <c r="M26" s="611"/>
      <c r="N26" s="1259">
        <v>2959.14</v>
      </c>
      <c r="O26" s="611"/>
      <c r="P26" s="611"/>
      <c r="Q26" s="611"/>
      <c r="R26" s="611"/>
      <c r="S26" s="143"/>
      <c r="T26" s="143"/>
      <c r="U26" s="143"/>
      <c r="V26" s="143"/>
      <c r="W26" s="143"/>
      <c r="X26" s="1248">
        <f t="shared" si="1"/>
        <v>0</v>
      </c>
      <c r="Y26" s="611"/>
      <c r="Z26" s="611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03">
        <f t="shared" si="2"/>
        <v>0</v>
      </c>
      <c r="AM26" s="906">
        <v>2500.94</v>
      </c>
      <c r="AN26" s="901">
        <v>804.13</v>
      </c>
      <c r="AO26" s="136"/>
      <c r="AP26" s="105">
        <f t="shared" si="3"/>
        <v>0</v>
      </c>
      <c r="AQ26" s="143"/>
      <c r="AR26" s="143"/>
      <c r="AS26" s="143"/>
      <c r="AT26" s="1258"/>
      <c r="AU26" s="224">
        <f t="shared" si="4"/>
        <v>0</v>
      </c>
      <c r="AV26" s="1762">
        <v>1159.9</v>
      </c>
      <c r="AW26" s="1548"/>
      <c r="AX26" s="1778"/>
      <c r="AY26" s="1828"/>
      <c r="AZ26" s="1690"/>
      <c r="BA26" s="1731"/>
      <c r="BB26" s="1793">
        <v>1414.3</v>
      </c>
      <c r="BC26" s="1655"/>
      <c r="BD26" s="1655"/>
      <c r="BE26" s="1655"/>
      <c r="BF26" s="1655"/>
      <c r="BG26" s="222">
        <f t="shared" si="5"/>
        <v>0</v>
      </c>
      <c r="BH26" s="140">
        <f t="shared" si="6"/>
        <v>0</v>
      </c>
      <c r="BI26" s="132"/>
      <c r="BJ26" s="140">
        <f t="shared" si="7"/>
        <v>0</v>
      </c>
      <c r="BK26" s="141"/>
      <c r="BL26" s="141"/>
      <c r="BM26" s="141"/>
      <c r="BN26" s="141"/>
      <c r="BO26" s="141"/>
      <c r="BP26" s="141"/>
      <c r="BQ26" s="141"/>
      <c r="BR26" s="141"/>
      <c r="BS26" s="141"/>
      <c r="BT26" s="141"/>
      <c r="BU26" s="914"/>
      <c r="BV26" s="1062">
        <v>901.83</v>
      </c>
      <c r="BW26" s="141"/>
      <c r="BX26" s="130">
        <f t="shared" si="8"/>
        <v>0</v>
      </c>
      <c r="BY26" s="132"/>
    </row>
    <row r="27" ht="14.25" customHeight="1">
      <c r="A27" s="132"/>
      <c r="B27" s="512">
        <v>46043</v>
      </c>
      <c r="C27" s="1250">
        <f>11408.86-D27-0</f>
      </c>
      <c r="D27" s="901">
        <v>2468.95</v>
      </c>
      <c r="E27" s="135"/>
      <c r="F27" s="135"/>
      <c r="G27" s="147">
        <f t="shared" si="0"/>
        <v>0</v>
      </c>
      <c r="H27" s="1053"/>
      <c r="I27" s="1054"/>
      <c r="J27" s="1054"/>
      <c r="K27" s="611"/>
      <c r="L27" s="1256">
        <v>2996.19</v>
      </c>
      <c r="M27" s="611"/>
      <c r="N27" s="1252"/>
      <c r="O27" s="611"/>
      <c r="P27" s="611"/>
      <c r="Q27" s="611"/>
      <c r="R27" s="611"/>
      <c r="S27" s="143"/>
      <c r="T27" s="143"/>
      <c r="U27" s="143"/>
      <c r="V27" s="143"/>
      <c r="W27" s="143"/>
      <c r="X27" s="1248">
        <f t="shared" si="1"/>
        <v>0</v>
      </c>
      <c r="Y27" s="611"/>
      <c r="Z27" s="611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03">
        <f t="shared" si="2"/>
        <v>0</v>
      </c>
      <c r="AM27" s="906">
        <v>2063.16</v>
      </c>
      <c r="AN27" s="901">
        <v>1114.34</v>
      </c>
      <c r="AO27" s="136"/>
      <c r="AP27" s="105">
        <f t="shared" si="3"/>
        <v>0</v>
      </c>
      <c r="AQ27" s="143"/>
      <c r="AR27" s="143"/>
      <c r="AS27" s="143"/>
      <c r="AT27" s="1260"/>
      <c r="AU27" s="224">
        <f t="shared" si="4"/>
        <v>0</v>
      </c>
      <c r="AV27" s="1762">
        <v>3850.5</v>
      </c>
      <c r="AW27" s="1548"/>
      <c r="AX27" s="1829"/>
      <c r="AY27" s="1828"/>
      <c r="AZ27" s="1690"/>
      <c r="BA27" s="1731"/>
      <c r="BB27" s="1793">
        <v>1354.6</v>
      </c>
      <c r="BC27" s="1655"/>
      <c r="BD27" s="1655"/>
      <c r="BE27" s="1655"/>
      <c r="BF27" s="1655"/>
      <c r="BG27" s="222">
        <f t="shared" si="5"/>
        <v>0</v>
      </c>
      <c r="BH27" s="140">
        <f t="shared" si="6"/>
        <v>0</v>
      </c>
      <c r="BI27" s="132"/>
      <c r="BJ27" s="140">
        <f t="shared" si="7"/>
        <v>0</v>
      </c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204"/>
      <c r="BV27" s="909">
        <v>30</v>
      </c>
      <c r="BW27" s="141"/>
      <c r="BX27" s="130">
        <f t="shared" si="8"/>
        <v>0</v>
      </c>
      <c r="BY27" s="132"/>
    </row>
    <row r="28" ht="14.25" customHeight="1">
      <c r="A28" s="132"/>
      <c r="B28" s="512">
        <v>46044</v>
      </c>
      <c r="C28" s="1250">
        <f>17557.51-D28-0</f>
      </c>
      <c r="D28" s="901">
        <v>2747.22</v>
      </c>
      <c r="E28" s="135"/>
      <c r="F28" s="135"/>
      <c r="G28" s="147">
        <f t="shared" si="0"/>
        <v>0</v>
      </c>
      <c r="H28" s="1053"/>
      <c r="I28" s="1054"/>
      <c r="J28" s="1054"/>
      <c r="K28" s="611"/>
      <c r="L28" s="1257">
        <v>2223.14</v>
      </c>
      <c r="M28" s="611"/>
      <c r="N28" s="1251">
        <v>8245</v>
      </c>
      <c r="O28" s="611"/>
      <c r="P28" s="611"/>
      <c r="Q28" s="611"/>
      <c r="R28" s="611"/>
      <c r="S28" s="143"/>
      <c r="T28" s="143"/>
      <c r="U28" s="143"/>
      <c r="V28" s="143"/>
      <c r="W28" s="143"/>
      <c r="X28" s="1248">
        <f t="shared" si="1"/>
        <v>0</v>
      </c>
      <c r="Y28" s="611"/>
      <c r="Z28" s="611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03">
        <f t="shared" si="2"/>
        <v>0</v>
      </c>
      <c r="AM28" s="906">
        <v>1756.82</v>
      </c>
      <c r="AN28" s="901">
        <v>1400.93</v>
      </c>
      <c r="AO28" s="136"/>
      <c r="AP28" s="105">
        <f t="shared" si="3"/>
        <v>0</v>
      </c>
      <c r="AQ28" s="143"/>
      <c r="AR28" s="143"/>
      <c r="AS28" s="143"/>
      <c r="AT28" s="1258"/>
      <c r="AU28" s="224">
        <f t="shared" si="4"/>
        <v>0</v>
      </c>
      <c r="AV28" s="1762">
        <v>2555.3</v>
      </c>
      <c r="AW28" s="1548"/>
      <c r="AX28" s="1778"/>
      <c r="AY28" s="1828"/>
      <c r="AZ28" s="1690"/>
      <c r="BA28" s="1731"/>
      <c r="BB28" s="1793">
        <v>1346.3</v>
      </c>
      <c r="BC28" s="1655"/>
      <c r="BD28" s="1655"/>
      <c r="BE28" s="1655"/>
      <c r="BF28" s="1655"/>
      <c r="BG28" s="222">
        <f t="shared" si="5"/>
        <v>0</v>
      </c>
      <c r="BH28" s="140">
        <f t="shared" si="6"/>
        <v>0</v>
      </c>
      <c r="BI28" s="132"/>
      <c r="BJ28" s="140">
        <f t="shared" si="7"/>
        <v>0</v>
      </c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204"/>
      <c r="BV28" s="909">
        <v>30</v>
      </c>
      <c r="BW28" s="141"/>
      <c r="BX28" s="130">
        <f t="shared" si="8"/>
        <v>0</v>
      </c>
      <c r="BY28" s="132"/>
    </row>
    <row r="29" ht="14.25" customHeight="1">
      <c r="A29" s="132"/>
      <c r="B29" s="512">
        <v>46045</v>
      </c>
      <c r="C29" s="1250">
        <f>11072.59-D29-0</f>
      </c>
      <c r="D29" s="901">
        <v>3058.98</v>
      </c>
      <c r="E29" s="135"/>
      <c r="F29" s="135"/>
      <c r="G29" s="147">
        <f t="shared" si="0"/>
        <v>0</v>
      </c>
      <c r="H29" s="1053"/>
      <c r="I29" s="1054"/>
      <c r="J29" s="1054"/>
      <c r="K29" s="611"/>
      <c r="L29" s="1257">
        <v>1439.73</v>
      </c>
      <c r="M29" s="611"/>
      <c r="N29" s="1259">
        <v>171.08</v>
      </c>
      <c r="O29" s="611"/>
      <c r="P29" s="611"/>
      <c r="Q29" s="611"/>
      <c r="R29" s="611"/>
      <c r="S29" s="143"/>
      <c r="T29" s="143"/>
      <c r="U29" s="143"/>
      <c r="V29" s="143"/>
      <c r="W29" s="143"/>
      <c r="X29" s="1248">
        <f t="shared" si="1"/>
        <v>0</v>
      </c>
      <c r="Y29" s="611"/>
      <c r="Z29" s="611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03">
        <f t="shared" si="2"/>
        <v>0</v>
      </c>
      <c r="AM29" s="906">
        <v>3281.86</v>
      </c>
      <c r="AN29" s="901">
        <v>1133.83</v>
      </c>
      <c r="AO29" s="136"/>
      <c r="AP29" s="105">
        <f t="shared" si="3"/>
        <v>0</v>
      </c>
      <c r="AQ29" s="143"/>
      <c r="AR29" s="143"/>
      <c r="AS29" s="143"/>
      <c r="AT29" s="1260">
        <v>3.26</v>
      </c>
      <c r="AU29" s="224">
        <f t="shared" si="4"/>
        <v>0</v>
      </c>
      <c r="AV29" s="1762">
        <v>2840.9</v>
      </c>
      <c r="AW29" s="1821">
        <v>250</v>
      </c>
      <c r="AX29" s="1829"/>
      <c r="AY29" s="1828"/>
      <c r="AZ29" s="1690"/>
      <c r="BA29" s="1731"/>
      <c r="BB29" s="1793">
        <v>1921.8</v>
      </c>
      <c r="BC29" s="1655"/>
      <c r="BD29" s="1655"/>
      <c r="BE29" s="1655"/>
      <c r="BF29" s="1655"/>
      <c r="BG29" s="222">
        <f t="shared" si="5"/>
        <v>0</v>
      </c>
      <c r="BH29" s="140">
        <f t="shared" si="6"/>
        <v>0</v>
      </c>
      <c r="BI29" s="132"/>
      <c r="BJ29" s="140">
        <f t="shared" si="7"/>
        <v>0</v>
      </c>
      <c r="BK29" s="141"/>
      <c r="BL29" s="141"/>
      <c r="BM29" s="141"/>
      <c r="BN29" s="141"/>
      <c r="BO29" s="141"/>
      <c r="BP29" s="141"/>
      <c r="BQ29" s="141"/>
      <c r="BR29" s="141"/>
      <c r="BS29" s="141"/>
      <c r="BT29" s="141"/>
      <c r="BU29" s="1056"/>
      <c r="BV29" s="910">
        <v>30</v>
      </c>
      <c r="BW29" s="141"/>
      <c r="BX29" s="130">
        <f t="shared" si="8"/>
        <v>0</v>
      </c>
      <c r="BY29" s="132"/>
    </row>
    <row r="30" ht="14.25" customHeight="1">
      <c r="A30" s="132"/>
      <c r="B30" s="512">
        <v>46046</v>
      </c>
      <c r="C30" s="1250">
        <f>11603.00-D30-0</f>
      </c>
      <c r="D30" s="901">
        <v>3130.13</v>
      </c>
      <c r="E30" s="135"/>
      <c r="F30" s="135"/>
      <c r="G30" s="147">
        <f t="shared" si="0"/>
        <v>0</v>
      </c>
      <c r="H30" s="1053"/>
      <c r="I30" s="1054"/>
      <c r="J30" s="1054"/>
      <c r="K30" s="611"/>
      <c r="L30" s="1251">
        <v>2393.51</v>
      </c>
      <c r="M30" s="611"/>
      <c r="N30" s="1257"/>
      <c r="O30" s="611"/>
      <c r="P30" s="611"/>
      <c r="Q30" s="611"/>
      <c r="R30" s="611"/>
      <c r="S30" s="143"/>
      <c r="T30" s="143"/>
      <c r="U30" s="143"/>
      <c r="V30" s="143"/>
      <c r="W30" s="143"/>
      <c r="X30" s="1248">
        <f t="shared" si="1"/>
        <v>0</v>
      </c>
      <c r="Y30" s="611"/>
      <c r="Z30" s="611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03">
        <f t="shared" si="2"/>
        <v>0</v>
      </c>
      <c r="AM30" s="906">
        <v>2925.17</v>
      </c>
      <c r="AN30" s="901">
        <v>1519.17</v>
      </c>
      <c r="AO30" s="136"/>
      <c r="AP30" s="105">
        <f t="shared" si="3"/>
        <v>0</v>
      </c>
      <c r="AQ30" s="143"/>
      <c r="AR30" s="143"/>
      <c r="AS30" s="143"/>
      <c r="AT30" s="1258"/>
      <c r="AU30" s="224">
        <f t="shared" si="4"/>
        <v>0</v>
      </c>
      <c r="AV30" s="1762">
        <v>3124.1</v>
      </c>
      <c r="AW30" s="1548"/>
      <c r="AX30" s="1829"/>
      <c r="AY30" s="1828"/>
      <c r="AZ30" s="1690"/>
      <c r="BA30" s="1731"/>
      <c r="BB30" s="1793">
        <v>1611</v>
      </c>
      <c r="BC30" s="1655"/>
      <c r="BD30" s="1655"/>
      <c r="BE30" s="1655"/>
      <c r="BF30" s="1655"/>
      <c r="BG30" s="222">
        <f t="shared" si="5"/>
        <v>0</v>
      </c>
      <c r="BH30" s="140">
        <f t="shared" si="6"/>
        <v>0</v>
      </c>
      <c r="BI30" s="132"/>
      <c r="BJ30" s="140">
        <f t="shared" si="7"/>
        <v>0</v>
      </c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204"/>
      <c r="BV30" s="909">
        <v>30</v>
      </c>
      <c r="BW30" s="141"/>
      <c r="BX30" s="130">
        <f t="shared" si="8"/>
        <v>0</v>
      </c>
      <c r="BY30" s="132"/>
    </row>
    <row r="31" ht="14.25" customHeight="1">
      <c r="A31" s="132"/>
      <c r="B31" s="512">
        <v>46047</v>
      </c>
      <c r="C31" s="1250">
        <f>10664.23-D31-0</f>
      </c>
      <c r="D31" s="901">
        <v>3728.95</v>
      </c>
      <c r="E31" s="135"/>
      <c r="F31" s="135"/>
      <c r="G31" s="147">
        <f t="shared" si="0"/>
        <v>0</v>
      </c>
      <c r="H31" s="1057"/>
      <c r="I31" s="1054"/>
      <c r="J31" s="1054"/>
      <c r="K31" s="611"/>
      <c r="L31" s="1256">
        <v>1134.07</v>
      </c>
      <c r="M31" s="611"/>
      <c r="N31" s="1256">
        <v>186.79</v>
      </c>
      <c r="O31" s="611"/>
      <c r="P31" s="611"/>
      <c r="Q31" s="611"/>
      <c r="R31" s="611"/>
      <c r="S31" s="143"/>
      <c r="T31" s="143"/>
      <c r="U31" s="143"/>
      <c r="V31" s="143"/>
      <c r="W31" s="143"/>
      <c r="X31" s="1248">
        <f t="shared" si="1"/>
        <v>0</v>
      </c>
      <c r="Y31" s="611"/>
      <c r="Z31" s="611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  <c r="AK31" s="143"/>
      <c r="AL31" s="103">
        <f t="shared" si="2"/>
        <v>0</v>
      </c>
      <c r="AM31" s="906">
        <v>3374.16</v>
      </c>
      <c r="AN31" s="901">
        <v>1976.99</v>
      </c>
      <c r="AO31" s="136"/>
      <c r="AP31" s="105">
        <f t="shared" si="3"/>
        <v>0</v>
      </c>
      <c r="AQ31" s="143"/>
      <c r="AR31" s="143"/>
      <c r="AS31" s="143"/>
      <c r="AT31" s="1258"/>
      <c r="AU31" s="224">
        <f t="shared" si="4"/>
        <v>0</v>
      </c>
      <c r="AV31" s="1762">
        <v>2240.3</v>
      </c>
      <c r="AW31" s="1548"/>
      <c r="AX31" s="1778"/>
      <c r="AY31" s="1828"/>
      <c r="AZ31" s="1690"/>
      <c r="BA31" s="1731"/>
      <c r="BB31" s="1793">
        <v>1752</v>
      </c>
      <c r="BC31" s="1655"/>
      <c r="BD31" s="1655"/>
      <c r="BE31" s="1655"/>
      <c r="BF31" s="1655"/>
      <c r="BG31" s="222">
        <f t="shared" si="5"/>
        <v>0</v>
      </c>
      <c r="BH31" s="140">
        <f t="shared" si="6"/>
        <v>0</v>
      </c>
      <c r="BI31" s="132"/>
      <c r="BJ31" s="140">
        <f t="shared" si="7"/>
        <v>0</v>
      </c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U31" s="914"/>
      <c r="BV31" s="909"/>
      <c r="BW31" s="141"/>
      <c r="BX31" s="130">
        <f t="shared" si="8"/>
        <v>0</v>
      </c>
      <c r="BY31" s="132"/>
    </row>
    <row r="32" ht="14.25" customHeight="1">
      <c r="A32" s="132"/>
      <c r="B32" s="512">
        <v>46048</v>
      </c>
      <c r="C32" s="1250">
        <f>13124.14-D32-0</f>
      </c>
      <c r="D32" s="901">
        <v>3207.19</v>
      </c>
      <c r="E32" s="135"/>
      <c r="F32" s="135"/>
      <c r="G32" s="147">
        <f t="shared" si="0"/>
        <v>0</v>
      </c>
      <c r="H32" s="1053"/>
      <c r="I32" s="1054"/>
      <c r="J32" s="1054"/>
      <c r="K32" s="611"/>
      <c r="L32" s="1264">
        <v>1974</v>
      </c>
      <c r="M32" s="641"/>
      <c r="N32" s="1265">
        <v>1032.01</v>
      </c>
      <c r="O32" s="611"/>
      <c r="P32" s="611"/>
      <c r="Q32" s="641"/>
      <c r="R32" s="641"/>
      <c r="S32" s="143"/>
      <c r="T32" s="143"/>
      <c r="U32" s="143"/>
      <c r="V32" s="143"/>
      <c r="W32" s="143"/>
      <c r="X32" s="1248">
        <f t="shared" si="1"/>
        <v>0</v>
      </c>
      <c r="Y32" s="611"/>
      <c r="Z32" s="611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03">
        <f t="shared" si="2"/>
        <v>0</v>
      </c>
      <c r="AM32" s="906">
        <v>3096.21</v>
      </c>
      <c r="AN32" s="901">
        <v>974.01</v>
      </c>
      <c r="AO32" s="136"/>
      <c r="AP32" s="105">
        <f t="shared" si="3"/>
        <v>0</v>
      </c>
      <c r="AQ32" s="143"/>
      <c r="AR32" s="143"/>
      <c r="AS32" s="143"/>
      <c r="AT32" s="1258"/>
      <c r="AU32" s="224">
        <f t="shared" si="4"/>
        <v>0</v>
      </c>
      <c r="AV32" s="1762">
        <v>3784.7</v>
      </c>
      <c r="AW32" s="1548"/>
      <c r="AX32" s="1778"/>
      <c r="AY32" s="1828"/>
      <c r="AZ32" s="1690"/>
      <c r="BA32" s="1731"/>
      <c r="BB32" s="1793">
        <v>2233.1</v>
      </c>
      <c r="BC32" s="1655"/>
      <c r="BD32" s="1655"/>
      <c r="BE32" s="1655"/>
      <c r="BF32" s="1655"/>
      <c r="BG32" s="222">
        <f t="shared" si="5"/>
        <v>0</v>
      </c>
      <c r="BH32" s="140">
        <f t="shared" si="6"/>
        <v>0</v>
      </c>
      <c r="BI32" s="132"/>
      <c r="BJ32" s="140">
        <f t="shared" si="7"/>
        <v>0</v>
      </c>
      <c r="BK32" s="141"/>
      <c r="BL32" s="141"/>
      <c r="BM32" s="141"/>
      <c r="BN32" s="141"/>
      <c r="BO32" s="141"/>
      <c r="BP32" s="141"/>
      <c r="BQ32" s="141"/>
      <c r="BR32" s="141"/>
      <c r="BS32" s="141"/>
      <c r="BT32" s="141"/>
      <c r="BU32" s="1056"/>
      <c r="BV32" s="909">
        <v>30</v>
      </c>
      <c r="BW32" s="141"/>
      <c r="BX32" s="130">
        <f t="shared" si="8"/>
        <v>0</v>
      </c>
      <c r="BY32" s="132"/>
    </row>
    <row r="33" ht="14.25" customHeight="1">
      <c r="A33" s="132"/>
      <c r="B33" s="512">
        <v>46049</v>
      </c>
      <c r="C33" s="1250">
        <f>11655.05-D33-0</f>
      </c>
      <c r="D33" s="901">
        <v>2568.6</v>
      </c>
      <c r="E33" s="135"/>
      <c r="F33" s="135"/>
      <c r="G33" s="147">
        <f t="shared" si="0"/>
        <v>0</v>
      </c>
      <c r="H33" s="1053"/>
      <c r="I33" s="1054"/>
      <c r="J33" s="1054"/>
      <c r="K33" s="611"/>
      <c r="L33" s="1251">
        <v>2056.47</v>
      </c>
      <c r="M33" s="611"/>
      <c r="N33" s="1263"/>
      <c r="O33" s="611"/>
      <c r="P33" s="611"/>
      <c r="Q33" s="611"/>
      <c r="R33" s="611"/>
      <c r="S33" s="143"/>
      <c r="T33" s="143"/>
      <c r="U33" s="143"/>
      <c r="V33" s="143"/>
      <c r="W33" s="143"/>
      <c r="X33" s="1248">
        <f t="shared" si="1"/>
        <v>0</v>
      </c>
      <c r="Y33" s="611"/>
      <c r="Z33" s="611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03">
        <f t="shared" si="2"/>
        <v>0</v>
      </c>
      <c r="AM33" s="906">
        <v>3459.45</v>
      </c>
      <c r="AN33" s="901">
        <v>811.23</v>
      </c>
      <c r="AO33" s="136"/>
      <c r="AP33" s="105">
        <f t="shared" si="3"/>
        <v>0</v>
      </c>
      <c r="AQ33" s="143"/>
      <c r="AR33" s="143"/>
      <c r="AS33" s="143"/>
      <c r="AT33" s="1258"/>
      <c r="AU33" s="224">
        <f t="shared" si="4"/>
        <v>0</v>
      </c>
      <c r="AV33" s="1762">
        <v>3628.7</v>
      </c>
      <c r="AW33" s="1548"/>
      <c r="AX33" s="1778"/>
      <c r="AY33" s="1828"/>
      <c r="AZ33" s="1690"/>
      <c r="BA33" s="1731"/>
      <c r="BB33" s="1793">
        <v>1669.2</v>
      </c>
      <c r="BC33" s="1655"/>
      <c r="BD33" s="1655"/>
      <c r="BE33" s="1655"/>
      <c r="BF33" s="1655"/>
      <c r="BG33" s="222">
        <f t="shared" si="5"/>
        <v>0</v>
      </c>
      <c r="BH33" s="140">
        <f t="shared" si="6"/>
        <v>0</v>
      </c>
      <c r="BI33" s="132"/>
      <c r="BJ33" s="140">
        <f t="shared" si="7"/>
        <v>0</v>
      </c>
      <c r="BK33" s="141"/>
      <c r="BL33" s="141"/>
      <c r="BM33" s="141"/>
      <c r="BN33" s="141"/>
      <c r="BO33" s="141"/>
      <c r="BP33" s="141"/>
      <c r="BQ33" s="141"/>
      <c r="BR33" s="141"/>
      <c r="BS33" s="141"/>
      <c r="BT33" s="141"/>
      <c r="BU33" s="1056"/>
      <c r="BV33" s="910">
        <v>30</v>
      </c>
      <c r="BW33" s="141"/>
      <c r="BX33" s="130">
        <f t="shared" si="8"/>
        <v>0</v>
      </c>
      <c r="BY33" s="132"/>
    </row>
    <row r="34" ht="14.25" customHeight="1">
      <c r="A34" s="132"/>
      <c r="B34" s="512">
        <v>46050</v>
      </c>
      <c r="C34" s="1250">
        <f>10151.28-D34-0</f>
      </c>
      <c r="D34" s="901">
        <v>2176.48</v>
      </c>
      <c r="E34" s="135"/>
      <c r="F34" s="135"/>
      <c r="G34" s="147">
        <f t="shared" si="0"/>
        <v>0</v>
      </c>
      <c r="H34" s="1053"/>
      <c r="I34" s="1054"/>
      <c r="J34" s="1054"/>
      <c r="K34" s="611"/>
      <c r="L34" s="1257">
        <v>1623.48</v>
      </c>
      <c r="M34" s="611"/>
      <c r="N34" s="1256">
        <v>869.42</v>
      </c>
      <c r="O34" s="611"/>
      <c r="P34" s="611"/>
      <c r="Q34" s="611"/>
      <c r="R34" s="611"/>
      <c r="S34" s="143"/>
      <c r="T34" s="143"/>
      <c r="U34" s="143"/>
      <c r="V34" s="143"/>
      <c r="W34" s="143"/>
      <c r="X34" s="1248">
        <f t="shared" si="1"/>
        <v>0</v>
      </c>
      <c r="Y34" s="611"/>
      <c r="Z34" s="611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03">
        <f t="shared" si="2"/>
        <v>0</v>
      </c>
      <c r="AM34" s="906">
        <v>2911.64</v>
      </c>
      <c r="AN34" s="907">
        <v>809.35</v>
      </c>
      <c r="AO34" s="136"/>
      <c r="AP34" s="105">
        <f t="shared" si="3"/>
        <v>0</v>
      </c>
      <c r="AQ34" s="143"/>
      <c r="AR34" s="143"/>
      <c r="AS34" s="143"/>
      <c r="AT34" s="1258"/>
      <c r="AU34" s="224">
        <f t="shared" si="4"/>
        <v>0</v>
      </c>
      <c r="AV34" s="1762">
        <v>2508.8</v>
      </c>
      <c r="AW34" s="1548"/>
      <c r="AX34" s="1829"/>
      <c r="AY34" s="1828"/>
      <c r="AZ34" s="1690"/>
      <c r="BA34" s="1731"/>
      <c r="BB34" s="1793">
        <v>1367.2</v>
      </c>
      <c r="BC34" s="1655"/>
      <c r="BD34" s="1655"/>
      <c r="BE34" s="1655"/>
      <c r="BF34" s="1655"/>
      <c r="BG34" s="222">
        <f t="shared" si="5"/>
        <v>0</v>
      </c>
      <c r="BH34" s="140">
        <f t="shared" si="6"/>
        <v>0</v>
      </c>
      <c r="BI34" s="132"/>
      <c r="BJ34" s="140">
        <f t="shared" si="7"/>
        <v>0</v>
      </c>
      <c r="BK34" s="141"/>
      <c r="BL34" s="141"/>
      <c r="BM34" s="141"/>
      <c r="BN34" s="141"/>
      <c r="BO34" s="141"/>
      <c r="BP34" s="141"/>
      <c r="BQ34" s="141"/>
      <c r="BR34" s="141"/>
      <c r="BS34" s="141"/>
      <c r="BT34" s="141"/>
      <c r="BU34" s="914"/>
      <c r="BV34" s="1062">
        <v>61.39</v>
      </c>
      <c r="BW34" s="141"/>
      <c r="BX34" s="130">
        <f t="shared" si="8"/>
        <v>0</v>
      </c>
      <c r="BY34" s="132"/>
    </row>
    <row r="35" ht="14.25" customHeight="1">
      <c r="A35" s="132"/>
      <c r="B35" s="512">
        <v>46051</v>
      </c>
      <c r="C35" s="1250">
        <f>9241.22-D35-0</f>
      </c>
      <c r="D35" s="901">
        <v>2403.08</v>
      </c>
      <c r="E35" s="135"/>
      <c r="F35" s="135"/>
      <c r="G35" s="147">
        <f t="shared" si="0"/>
        <v>0</v>
      </c>
      <c r="H35" s="1053"/>
      <c r="I35" s="1054"/>
      <c r="J35" s="1054"/>
      <c r="K35" s="611"/>
      <c r="L35" s="1257">
        <v>1039.11</v>
      </c>
      <c r="M35" s="611"/>
      <c r="N35" s="1259">
        <v>166.41</v>
      </c>
      <c r="O35" s="611"/>
      <c r="P35" s="611"/>
      <c r="Q35" s="611"/>
      <c r="R35" s="611"/>
      <c r="S35" s="143"/>
      <c r="T35" s="143"/>
      <c r="U35" s="143"/>
      <c r="V35" s="143"/>
      <c r="W35" s="143"/>
      <c r="X35" s="1248">
        <f t="shared" si="1"/>
        <v>0</v>
      </c>
      <c r="Y35" s="611"/>
      <c r="Z35" s="611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03">
        <f t="shared" si="2"/>
        <v>0</v>
      </c>
      <c r="AM35" s="906">
        <v>2464.78</v>
      </c>
      <c r="AN35" s="907">
        <v>1135.58</v>
      </c>
      <c r="AO35" s="136"/>
      <c r="AP35" s="105">
        <f t="shared" si="3"/>
        <v>0</v>
      </c>
      <c r="AQ35" s="143"/>
      <c r="AR35" s="143"/>
      <c r="AS35" s="143"/>
      <c r="AT35" s="1258"/>
      <c r="AU35" s="224">
        <f t="shared" si="4"/>
        <v>0</v>
      </c>
      <c r="AV35" s="1762">
        <v>3137.8</v>
      </c>
      <c r="AW35" s="1548"/>
      <c r="AX35" s="1778"/>
      <c r="AY35" s="1830"/>
      <c r="AZ35" s="1690"/>
      <c r="BA35" s="1731"/>
      <c r="BB35" s="1793">
        <v>1267.4</v>
      </c>
      <c r="BC35" s="1655"/>
      <c r="BD35" s="1655"/>
      <c r="BE35" s="1655"/>
      <c r="BF35" s="1655"/>
      <c r="BG35" s="222">
        <f t="shared" si="5"/>
        <v>0</v>
      </c>
      <c r="BH35" s="140">
        <f t="shared" si="6"/>
        <v>0</v>
      </c>
      <c r="BI35" s="132"/>
      <c r="BJ35" s="140">
        <f t="shared" si="7"/>
        <v>0</v>
      </c>
      <c r="BK35" s="141"/>
      <c r="BL35" s="141"/>
      <c r="BM35" s="141"/>
      <c r="BN35" s="141"/>
      <c r="BO35" s="141"/>
      <c r="BP35" s="141"/>
      <c r="BQ35" s="141"/>
      <c r="BR35" s="141"/>
      <c r="BS35" s="141"/>
      <c r="BT35" s="141"/>
      <c r="BU35" s="1204"/>
      <c r="BV35" s="909">
        <v>30</v>
      </c>
      <c r="BW35" s="141"/>
      <c r="BX35" s="130">
        <f t="shared" si="8"/>
        <v>0</v>
      </c>
      <c r="BY35" s="132"/>
    </row>
    <row r="36" ht="14.25" customHeight="1">
      <c r="A36" s="132"/>
      <c r="B36" s="512">
        <v>46052</v>
      </c>
      <c r="C36" s="1250">
        <f>11552.18-D36-0</f>
      </c>
      <c r="D36" s="901">
        <v>2866.66</v>
      </c>
      <c r="E36" s="135"/>
      <c r="F36" s="135"/>
      <c r="G36" s="147">
        <f t="shared" si="0"/>
        <v>0</v>
      </c>
      <c r="H36" s="1053"/>
      <c r="I36" s="1054"/>
      <c r="J36" s="1054"/>
      <c r="K36" s="611"/>
      <c r="L36" s="1251">
        <v>1642.66</v>
      </c>
      <c r="M36" s="611"/>
      <c r="N36" s="1252">
        <v>520.52</v>
      </c>
      <c r="O36" s="611"/>
      <c r="P36" s="611"/>
      <c r="Q36" s="611"/>
      <c r="R36" s="611"/>
      <c r="S36" s="143"/>
      <c r="T36" s="143"/>
      <c r="U36" s="143"/>
      <c r="V36" s="143"/>
      <c r="W36" s="143"/>
      <c r="X36" s="1248">
        <f t="shared" si="1"/>
        <v>0</v>
      </c>
      <c r="Y36" s="611"/>
      <c r="Z36" s="611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03">
        <f t="shared" si="2"/>
        <v>0</v>
      </c>
      <c r="AM36" s="906">
        <v>3514.57</v>
      </c>
      <c r="AN36" s="901">
        <v>1624.74</v>
      </c>
      <c r="AO36" s="136"/>
      <c r="AP36" s="105">
        <f t="shared" si="3"/>
        <v>0</v>
      </c>
      <c r="AQ36" s="143"/>
      <c r="AR36" s="143"/>
      <c r="AS36" s="143"/>
      <c r="AT36" s="1260">
        <v>0.28</v>
      </c>
      <c r="AU36" s="224">
        <f t="shared" si="4"/>
        <v>0</v>
      </c>
      <c r="AV36" s="1762">
        <v>2977.5</v>
      </c>
      <c r="AW36" s="1548"/>
      <c r="AX36" s="1829"/>
      <c r="AY36" s="1828"/>
      <c r="AZ36" s="1690"/>
      <c r="BA36" s="1731"/>
      <c r="BB36" s="1793">
        <v>1241.9</v>
      </c>
      <c r="BC36" s="1655"/>
      <c r="BD36" s="1655"/>
      <c r="BE36" s="1655"/>
      <c r="BF36" s="1655"/>
      <c r="BG36" s="222">
        <f t="shared" si="5"/>
        <v>0</v>
      </c>
      <c r="BH36" s="140">
        <f t="shared" si="6"/>
        <v>0</v>
      </c>
      <c r="BI36" s="132"/>
      <c r="BJ36" s="140">
        <f t="shared" si="7"/>
        <v>0</v>
      </c>
      <c r="BK36" s="141"/>
      <c r="BL36" s="141"/>
      <c r="BM36" s="141"/>
      <c r="BN36" s="141"/>
      <c r="BO36" s="141"/>
      <c r="BP36" s="141"/>
      <c r="BQ36" s="141"/>
      <c r="BR36" s="141"/>
      <c r="BS36" s="141"/>
      <c r="BT36" s="141"/>
      <c r="BU36" s="1056"/>
      <c r="BV36" s="910">
        <v>30</v>
      </c>
      <c r="BW36" s="141"/>
      <c r="BX36" s="130">
        <f t="shared" si="8"/>
        <v>0</v>
      </c>
      <c r="BY36" s="132"/>
    </row>
    <row r="37" ht="14.25" customHeight="1">
      <c r="A37" s="132"/>
      <c r="B37" s="512">
        <v>46053</v>
      </c>
      <c r="C37" s="1266">
        <f>10240.73-D37-0</f>
      </c>
      <c r="D37" s="919">
        <v>3162.99</v>
      </c>
      <c r="E37" s="156"/>
      <c r="F37" s="156"/>
      <c r="G37" s="147">
        <f t="shared" si="0"/>
        <v>0</v>
      </c>
      <c r="H37" s="1267"/>
      <c r="I37" s="1066"/>
      <c r="J37" s="1066"/>
      <c r="K37" s="613"/>
      <c r="L37" s="1268">
        <v>1165.05</v>
      </c>
      <c r="M37" s="613"/>
      <c r="N37" s="1269"/>
      <c r="O37" s="613"/>
      <c r="P37" s="613"/>
      <c r="Q37" s="613"/>
      <c r="R37" s="613"/>
      <c r="S37" s="157"/>
      <c r="T37" s="157"/>
      <c r="U37" s="157"/>
      <c r="V37" s="157"/>
      <c r="W37" s="157"/>
      <c r="X37" s="1248">
        <f t="shared" si="1"/>
        <v>0</v>
      </c>
      <c r="Y37" s="613"/>
      <c r="Z37" s="613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03">
        <f t="shared" si="2"/>
        <v>0</v>
      </c>
      <c r="AM37" s="924">
        <v>2292.6</v>
      </c>
      <c r="AN37" s="919">
        <v>1523.07</v>
      </c>
      <c r="AO37" s="159"/>
      <c r="AP37" s="105">
        <f t="shared" si="3"/>
        <v>0</v>
      </c>
      <c r="AQ37" s="157"/>
      <c r="AR37" s="157"/>
      <c r="AS37" s="157"/>
      <c r="AT37" s="1270"/>
      <c r="AU37" s="224">
        <f t="shared" si="4"/>
        <v>0</v>
      </c>
      <c r="AV37" s="1767">
        <v>3278.2</v>
      </c>
      <c r="AW37" s="1831">
        <v>399.9</v>
      </c>
      <c r="AX37" s="1781"/>
      <c r="AY37" s="1832"/>
      <c r="AZ37" s="1692"/>
      <c r="BA37" s="1783"/>
      <c r="BB37" s="1795">
        <v>1551.8</v>
      </c>
      <c r="BC37" s="1833"/>
      <c r="BD37" s="1833"/>
      <c r="BE37" s="1833"/>
      <c r="BF37" s="1833"/>
      <c r="BG37" s="222">
        <f t="shared" si="5"/>
        <v>0</v>
      </c>
      <c r="BH37" s="162">
        <f t="shared" si="6"/>
        <v>0</v>
      </c>
      <c r="BI37" s="132"/>
      <c r="BJ37" s="140">
        <f t="shared" si="7"/>
        <v>0</v>
      </c>
      <c r="BK37" s="141"/>
      <c r="BL37" s="141"/>
      <c r="BM37" s="141"/>
      <c r="BN37" s="141"/>
      <c r="BO37" s="141"/>
      <c r="BP37" s="141"/>
      <c r="BQ37" s="141"/>
      <c r="BR37" s="141"/>
      <c r="BS37" s="141"/>
      <c r="BT37" s="141"/>
      <c r="BU37" s="1154"/>
      <c r="BV37" s="927">
        <v>30</v>
      </c>
      <c r="BW37" s="141"/>
      <c r="BX37" s="130">
        <f t="shared" si="8"/>
        <v>0</v>
      </c>
      <c r="BY37" s="132"/>
    </row>
    <row r="38" ht="14.25" customHeight="1">
      <c r="A38" s="22"/>
      <c r="B38" s="2" t="s">
        <v>132</v>
      </c>
      <c r="C38" s="166">
        <f ref="C38:H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/>
      <c r="J38" s="166">
        <f>SUM(J7:J37)</f>
        <v>0</v>
      </c>
      <c r="K38" s="166"/>
      <c r="L38" s="166">
        <f>SUM(L7:L37)</f>
        <v>0</v>
      </c>
      <c r="M38" s="166"/>
      <c r="N38" s="617">
        <f ref="N38:P38" t="shared" si="10">SUM(N7:N37)</f>
        <v>0</v>
      </c>
      <c r="O38" s="166">
        <f t="shared" si="10"/>
        <v>0</v>
      </c>
      <c r="P38" s="166">
        <f t="shared" si="10"/>
        <v>0</v>
      </c>
      <c r="Q38" s="166"/>
      <c r="R38" s="166">
        <f ref="R38:BH38" t="shared" si="11">SUM(R7:R37)</f>
        <v>0</v>
      </c>
      <c r="S38" s="166">
        <f t="shared" si="11"/>
        <v>0</v>
      </c>
      <c r="T38" s="166">
        <f t="shared" si="11"/>
        <v>0</v>
      </c>
      <c r="U38" s="166">
        <f t="shared" si="11"/>
        <v>0</v>
      </c>
      <c r="V38" s="166">
        <f t="shared" si="11"/>
        <v>0</v>
      </c>
      <c r="W38" s="166">
        <f t="shared" si="11"/>
        <v>0</v>
      </c>
      <c r="X38" s="1271">
        <f t="shared" si="11"/>
        <v>0</v>
      </c>
      <c r="Y38" s="166">
        <f t="shared" si="11"/>
        <v>0</v>
      </c>
      <c r="Z38" s="166">
        <f t="shared" si="11"/>
        <v>0</v>
      </c>
      <c r="AA38" s="166">
        <f t="shared" si="11"/>
        <v>0</v>
      </c>
      <c r="AB38" s="166">
        <f t="shared" si="11"/>
        <v>0</v>
      </c>
      <c r="AC38" s="166">
        <f t="shared" si="11"/>
        <v>0</v>
      </c>
      <c r="AD38" s="166">
        <f t="shared" si="11"/>
        <v>0</v>
      </c>
      <c r="AE38" s="166">
        <f t="shared" si="11"/>
        <v>0</v>
      </c>
      <c r="AF38" s="166">
        <f t="shared" si="11"/>
        <v>0</v>
      </c>
      <c r="AG38" s="166">
        <f t="shared" si="11"/>
        <v>0</v>
      </c>
      <c r="AH38" s="166">
        <f t="shared" si="11"/>
        <v>0</v>
      </c>
      <c r="AI38" s="166">
        <f t="shared" si="11"/>
        <v>0</v>
      </c>
      <c r="AJ38" s="166">
        <f t="shared" si="11"/>
        <v>0</v>
      </c>
      <c r="AK38" s="166">
        <f t="shared" si="11"/>
        <v>0</v>
      </c>
      <c r="AL38" s="166">
        <f t="shared" si="11"/>
        <v>0</v>
      </c>
      <c r="AM38" s="166">
        <f t="shared" si="11"/>
        <v>0</v>
      </c>
      <c r="AN38" s="166">
        <f t="shared" si="11"/>
        <v>0</v>
      </c>
      <c r="AO38" s="166">
        <f t="shared" si="11"/>
        <v>0</v>
      </c>
      <c r="AP38" s="166">
        <f t="shared" si="11"/>
        <v>0</v>
      </c>
      <c r="AQ38" s="166">
        <f t="shared" si="11"/>
        <v>0</v>
      </c>
      <c r="AR38" s="166">
        <f t="shared" si="11"/>
        <v>0</v>
      </c>
      <c r="AS38" s="166">
        <f t="shared" si="11"/>
        <v>0</v>
      </c>
      <c r="AT38" s="166">
        <f t="shared" si="11"/>
        <v>0</v>
      </c>
      <c r="AU38" s="166">
        <f t="shared" si="11"/>
        <v>0</v>
      </c>
      <c r="AV38" s="165">
        <f t="shared" si="11"/>
        <v>0</v>
      </c>
      <c r="AW38" s="166">
        <f t="shared" si="11"/>
        <v>0</v>
      </c>
      <c r="AX38" s="165">
        <f t="shared" si="11"/>
        <v>0</v>
      </c>
      <c r="AY38" s="166">
        <f t="shared" si="11"/>
        <v>0</v>
      </c>
      <c r="AZ38" s="166">
        <f t="shared" si="11"/>
        <v>0</v>
      </c>
      <c r="BA38" s="166">
        <f t="shared" si="11"/>
        <v>0</v>
      </c>
      <c r="BB38" s="165">
        <f t="shared" si="11"/>
        <v>0</v>
      </c>
      <c r="BC38" s="166">
        <f t="shared" si="11"/>
        <v>0</v>
      </c>
      <c r="BD38" s="166">
        <f t="shared" si="11"/>
        <v>0</v>
      </c>
      <c r="BE38" s="166">
        <f t="shared" si="11"/>
        <v>0</v>
      </c>
      <c r="BF38" s="166">
        <f t="shared" si="11"/>
        <v>0</v>
      </c>
      <c r="BG38" s="166">
        <f t="shared" si="11"/>
        <v>0</v>
      </c>
      <c r="BH38" s="166">
        <f t="shared" si="11"/>
        <v>0</v>
      </c>
      <c r="BI38" s="3"/>
      <c r="BJ38" s="172">
        <f ref="BJ38:BX38" t="shared" si="12">SUM(BJ7:BJ37)</f>
        <v>0</v>
      </c>
      <c r="BK38" s="166">
        <f t="shared" si="12"/>
        <v>0</v>
      </c>
      <c r="BL38" s="166">
        <f t="shared" si="12"/>
        <v>0</v>
      </c>
      <c r="BM38" s="166">
        <f t="shared" si="12"/>
        <v>0</v>
      </c>
      <c r="BN38" s="166">
        <f t="shared" si="12"/>
        <v>0</v>
      </c>
      <c r="BO38" s="166">
        <f t="shared" si="12"/>
        <v>0</v>
      </c>
      <c r="BP38" s="166">
        <f t="shared" si="12"/>
        <v>0</v>
      </c>
      <c r="BQ38" s="166">
        <f t="shared" si="12"/>
        <v>0</v>
      </c>
      <c r="BR38" s="166">
        <f t="shared" si="12"/>
        <v>0</v>
      </c>
      <c r="BS38" s="166">
        <f t="shared" si="12"/>
        <v>0</v>
      </c>
      <c r="BT38" s="166">
        <f t="shared" si="12"/>
        <v>0</v>
      </c>
      <c r="BU38" s="166">
        <f t="shared" si="12"/>
        <v>0</v>
      </c>
      <c r="BV38" s="166">
        <f t="shared" si="12"/>
        <v>0</v>
      </c>
      <c r="BW38" s="166">
        <f t="shared" si="12"/>
        <v>0</v>
      </c>
      <c r="BX38" s="166">
        <f t="shared" si="12"/>
        <v>0</v>
      </c>
      <c r="BY38" s="3"/>
    </row>
    <row r="39" ht="15" customHeight="1">
      <c r="A39" s="3"/>
      <c r="B39" s="174"/>
      <c r="C39" s="3"/>
      <c r="D39" s="3"/>
      <c r="E39" s="3"/>
      <c r="F39" s="3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3"/>
      <c r="U39" s="3"/>
      <c r="V39" s="3"/>
      <c r="W39" s="175"/>
      <c r="X39" s="873"/>
      <c r="Y39" s="1"/>
      <c r="Z39" s="1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4"/>
      <c r="AQ39" s="3"/>
      <c r="AR39" s="3"/>
      <c r="AS39" s="3"/>
      <c r="AT39" s="3"/>
      <c r="AU39" s="4"/>
      <c r="AV39" s="132"/>
      <c r="AW39" s="132"/>
      <c r="AX39" s="380"/>
      <c r="AY39" s="1"/>
      <c r="AZ39" s="1"/>
      <c r="BA39" s="3"/>
      <c r="BB39" s="132"/>
      <c r="BC39" s="132"/>
      <c r="BD39" s="132"/>
      <c r="BE39" s="132"/>
      <c r="BF39" s="132"/>
      <c r="BG39" s="4"/>
      <c r="BH39" s="3"/>
      <c r="BI39" s="3"/>
      <c r="BJ39" s="17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173"/>
      <c r="BY39" s="3"/>
    </row>
    <row r="40" ht="14.25" customHeight="1">
      <c r="A40" s="3"/>
      <c r="B40" s="174"/>
      <c r="C40" s="3"/>
      <c r="D40" s="3"/>
      <c r="E40" s="3"/>
      <c r="F40" s="3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3"/>
      <c r="U40" s="3"/>
      <c r="V40" s="3"/>
      <c r="W40" s="175"/>
      <c r="X40" s="873"/>
      <c r="Y40" s="1"/>
      <c r="Z40" s="1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176"/>
      <c r="AM40" s="3"/>
      <c r="AN40" s="3"/>
      <c r="AO40" s="3"/>
      <c r="AP40" s="4"/>
      <c r="AQ40" s="3"/>
      <c r="AR40" s="3"/>
      <c r="AS40" s="3"/>
      <c r="AT40" s="3"/>
      <c r="AU40" s="4"/>
      <c r="AV40" s="132"/>
      <c r="AW40" s="132"/>
      <c r="AX40" s="380"/>
      <c r="AY40" s="1"/>
      <c r="AZ40" s="1"/>
      <c r="BA40" s="3"/>
      <c r="BB40" s="132"/>
      <c r="BC40" s="132"/>
      <c r="BD40" s="132"/>
      <c r="BE40" s="132"/>
      <c r="BF40" s="132"/>
      <c r="BG40" s="177"/>
      <c r="BH40" s="3"/>
      <c r="BI40" s="3"/>
      <c r="BJ40" s="178"/>
      <c r="BK40" s="176"/>
      <c r="BL40" s="176"/>
      <c r="BM40" s="176"/>
      <c r="BN40" s="176"/>
      <c r="BO40" s="176"/>
      <c r="BP40" s="176"/>
      <c r="BQ40" s="176"/>
      <c r="BR40" s="176"/>
      <c r="BS40" s="176"/>
      <c r="BT40" s="176"/>
      <c r="BU40" s="176"/>
      <c r="BV40" s="176"/>
      <c r="BW40" s="176"/>
      <c r="BX40" s="178"/>
      <c r="BY40" s="3"/>
    </row>
    <row r="41" ht="14.25" customHeight="1">
      <c r="A41" s="3"/>
      <c r="B41" s="215">
        <v>46054</v>
      </c>
      <c r="C41" s="94">
        <f>9813.96-D41-0</f>
      </c>
      <c r="D41" s="95">
        <v>3699.76</v>
      </c>
      <c r="E41" s="97"/>
      <c r="F41" s="97"/>
      <c r="G41" s="216">
        <f ref="G41:G69" t="shared" si="13">+C41+D41+E41+F41</f>
        <v>0</v>
      </c>
      <c r="H41" s="619"/>
      <c r="I41" s="619"/>
      <c r="J41" s="619"/>
      <c r="K41" s="619"/>
      <c r="L41" s="796">
        <v>248.76</v>
      </c>
      <c r="M41" s="619"/>
      <c r="N41" s="619"/>
      <c r="O41" s="619"/>
      <c r="P41" s="619"/>
      <c r="Q41" s="619"/>
      <c r="R41" s="619"/>
      <c r="S41" s="186"/>
      <c r="T41" s="186"/>
      <c r="U41" s="186"/>
      <c r="V41" s="186"/>
      <c r="W41" s="186"/>
      <c r="X41" s="1272">
        <f ref="X41:X69" t="shared" si="14">SUM(H41:W41)</f>
        <v>0</v>
      </c>
      <c r="Y41" s="619"/>
      <c r="Z41" s="619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03">
        <f ref="AL41:AL69" t="shared" si="15">SUM(Y41:AK41)</f>
        <v>0</v>
      </c>
      <c r="AM41" s="95">
        <v>3118.31</v>
      </c>
      <c r="AN41" s="95">
        <v>1574.45</v>
      </c>
      <c r="AO41" s="104"/>
      <c r="AP41" s="191">
        <f ref="AP41:AP69" t="shared" si="16">SUM(AM41:AO41)</f>
        <v>0</v>
      </c>
      <c r="AQ41" s="186"/>
      <c r="AR41" s="186"/>
      <c r="AS41" s="186"/>
      <c r="AT41" s="193"/>
      <c r="AU41" s="620">
        <f ref="AU41:AU69" t="shared" si="17">+G41-X41-AL41-AP41-AQ41-AR41-AS41-AT41</f>
        <v>0</v>
      </c>
      <c r="AV41" s="1721">
        <v>2747.1</v>
      </c>
      <c r="AW41" s="1708"/>
      <c r="AX41" s="1825"/>
      <c r="AY41" s="1825"/>
      <c r="AZ41" s="1687"/>
      <c r="BA41" s="1826"/>
      <c r="BB41" s="1721">
        <v>2125.3</v>
      </c>
      <c r="BC41" s="1708"/>
      <c r="BD41" s="1708"/>
      <c r="BE41" s="1708"/>
      <c r="BF41" s="1708"/>
      <c r="BG41" s="222">
        <f ref="BG41:BG69" t="shared" si="18">SUM(AV41:BF41)-BE41</f>
        <v>0</v>
      </c>
      <c r="BH41" s="114">
        <f ref="BH41:BH69" t="shared" si="19">+AU41-BG41</f>
        <v>0</v>
      </c>
      <c r="BI41" s="3"/>
      <c r="BJ41" s="114">
        <f ref="BJ41:BJ69" t="shared" si="20">SUM(BK41:BW41)</f>
        <v>0</v>
      </c>
      <c r="BK41" s="115"/>
      <c r="BL41" s="115"/>
      <c r="BM41" s="115"/>
      <c r="BN41" s="115"/>
      <c r="BO41" s="115"/>
      <c r="BP41" s="115"/>
      <c r="BQ41" s="115"/>
      <c r="BR41" s="115"/>
      <c r="BS41" s="115"/>
      <c r="BT41" s="115"/>
      <c r="BU41" s="129"/>
      <c r="BV41" s="141"/>
      <c r="BW41" s="115"/>
      <c r="BX41" s="116">
        <f ref="BX41:BX69" t="shared" si="21">+BH41-BJ41</f>
        <v>0</v>
      </c>
      <c r="BY41" s="3"/>
    </row>
    <row r="42" ht="14.25" customHeight="1">
      <c r="A42" s="3"/>
      <c r="B42" s="215">
        <v>46055</v>
      </c>
      <c r="C42" s="118">
        <f>11873.99-D42-0</f>
      </c>
      <c r="D42" s="119">
        <v>2805.57</v>
      </c>
      <c r="E42" s="120"/>
      <c r="F42" s="120"/>
      <c r="G42" s="147">
        <f t="shared" si="13"/>
        <v>0</v>
      </c>
      <c r="H42" s="801">
        <v>890.67</v>
      </c>
      <c r="I42" s="611"/>
      <c r="J42" s="611"/>
      <c r="K42" s="611"/>
      <c r="L42" s="611">
        <v>1422.77</v>
      </c>
      <c r="M42" s="611"/>
      <c r="N42" s="611">
        <v>734.52</v>
      </c>
      <c r="O42" s="611"/>
      <c r="P42" s="611"/>
      <c r="Q42" s="611"/>
      <c r="R42" s="611"/>
      <c r="S42" s="143"/>
      <c r="T42" s="143"/>
      <c r="U42" s="143"/>
      <c r="V42" s="143"/>
      <c r="W42" s="143"/>
      <c r="X42" s="1248">
        <f t="shared" si="14"/>
        <v>0</v>
      </c>
      <c r="Y42" s="611"/>
      <c r="Z42" s="611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03">
        <f t="shared" si="15"/>
        <v>0</v>
      </c>
      <c r="AM42" s="119">
        <v>2270.58</v>
      </c>
      <c r="AN42" s="119">
        <v>1024.42</v>
      </c>
      <c r="AO42" s="123"/>
      <c r="AP42" s="105">
        <f t="shared" si="16"/>
        <v>0</v>
      </c>
      <c r="AQ42" s="143"/>
      <c r="AR42" s="143"/>
      <c r="AS42" s="143"/>
      <c r="AT42" s="146"/>
      <c r="AU42" s="621">
        <f t="shared" si="17"/>
        <v>0</v>
      </c>
      <c r="AV42" s="1554">
        <v>3689.9</v>
      </c>
      <c r="AW42" s="1709"/>
      <c r="AX42" s="1828"/>
      <c r="AY42" s="1828"/>
      <c r="AZ42" s="1690"/>
      <c r="BA42" s="1731"/>
      <c r="BB42" s="1554">
        <v>1781.2</v>
      </c>
      <c r="BC42" s="1709"/>
      <c r="BD42" s="1709"/>
      <c r="BE42" s="1709"/>
      <c r="BF42" s="1709"/>
      <c r="BG42" s="222">
        <f t="shared" si="18"/>
        <v>0</v>
      </c>
      <c r="BH42" s="113">
        <f t="shared" si="19"/>
        <v>0</v>
      </c>
      <c r="BI42" s="3"/>
      <c r="BJ42" s="113">
        <f t="shared" si="20"/>
        <v>0</v>
      </c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50">
        <v>60</v>
      </c>
      <c r="BW42" s="129"/>
      <c r="BX42" s="130">
        <f t="shared" si="21"/>
        <v>0</v>
      </c>
      <c r="BY42" s="3"/>
    </row>
    <row r="43" ht="14.25" customHeight="1">
      <c r="A43" s="132"/>
      <c r="B43" s="215">
        <v>46056</v>
      </c>
      <c r="C43" s="133">
        <f>15733.81-D43-0</f>
      </c>
      <c r="D43" s="134">
        <v>2487.91</v>
      </c>
      <c r="E43" s="135"/>
      <c r="F43" s="135"/>
      <c r="G43" s="147">
        <f t="shared" si="13"/>
        <v>0</v>
      </c>
      <c r="H43" s="611"/>
      <c r="I43" s="611"/>
      <c r="J43" s="611"/>
      <c r="K43" s="611"/>
      <c r="L43" s="611">
        <v>3158.52</v>
      </c>
      <c r="M43" s="611"/>
      <c r="N43" s="801">
        <v>2473.5</v>
      </c>
      <c r="O43" s="611"/>
      <c r="P43" s="611"/>
      <c r="Q43" s="611"/>
      <c r="R43" s="611"/>
      <c r="S43" s="143"/>
      <c r="T43" s="143"/>
      <c r="U43" s="143"/>
      <c r="V43" s="143"/>
      <c r="W43" s="143"/>
      <c r="X43" s="1248">
        <f t="shared" si="14"/>
        <v>0</v>
      </c>
      <c r="Y43" s="611"/>
      <c r="Z43" s="611"/>
      <c r="AA43" s="143"/>
      <c r="AB43" s="143"/>
      <c r="AC43" s="143"/>
      <c r="AD43" s="143"/>
      <c r="AE43" s="143"/>
      <c r="AF43" s="143"/>
      <c r="AG43" s="143"/>
      <c r="AH43" s="143"/>
      <c r="AI43" s="143"/>
      <c r="AJ43" s="143"/>
      <c r="AK43" s="143"/>
      <c r="AL43" s="103">
        <f t="shared" si="15"/>
        <v>0</v>
      </c>
      <c r="AM43" s="134">
        <v>3702.42</v>
      </c>
      <c r="AN43" s="134">
        <v>879.01</v>
      </c>
      <c r="AO43" s="136"/>
      <c r="AP43" s="105">
        <f t="shared" si="16"/>
        <v>0</v>
      </c>
      <c r="AQ43" s="143"/>
      <c r="AR43" s="143"/>
      <c r="AS43" s="143"/>
      <c r="AT43" s="149">
        <v>0.71</v>
      </c>
      <c r="AU43" s="621">
        <f t="shared" si="17"/>
        <v>0</v>
      </c>
      <c r="AV43" s="1554">
        <v>3881.4</v>
      </c>
      <c r="AW43" s="1709"/>
      <c r="AX43" s="1828"/>
      <c r="AY43" s="1828"/>
      <c r="AZ43" s="1690"/>
      <c r="BA43" s="1731"/>
      <c r="BB43" s="1554">
        <v>1608.2</v>
      </c>
      <c r="BC43" s="1709"/>
      <c r="BD43" s="1709"/>
      <c r="BE43" s="1709"/>
      <c r="BF43" s="1709"/>
      <c r="BG43" s="222">
        <f t="shared" si="18"/>
        <v>0</v>
      </c>
      <c r="BH43" s="140">
        <f t="shared" si="19"/>
        <v>0</v>
      </c>
      <c r="BI43" s="132"/>
      <c r="BJ43" s="140">
        <f t="shared" si="20"/>
        <v>0</v>
      </c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29"/>
      <c r="BV43" s="150">
        <v>30</v>
      </c>
      <c r="BW43" s="141"/>
      <c r="BX43" s="130">
        <f t="shared" si="21"/>
        <v>0</v>
      </c>
      <c r="BY43" s="132"/>
    </row>
    <row r="44" ht="14.25" customHeight="1">
      <c r="A44" s="132"/>
      <c r="B44" s="215">
        <v>46057</v>
      </c>
      <c r="C44" s="133">
        <f>9945.27-D44-0</f>
      </c>
      <c r="D44" s="134">
        <v>2645.75</v>
      </c>
      <c r="E44" s="135"/>
      <c r="F44" s="135"/>
      <c r="G44" s="147">
        <f t="shared" si="13"/>
        <v>0</v>
      </c>
      <c r="H44" s="611"/>
      <c r="I44" s="611"/>
      <c r="J44" s="611"/>
      <c r="K44" s="611"/>
      <c r="L44" s="611">
        <v>1761.55</v>
      </c>
      <c r="M44" s="611"/>
      <c r="N44" s="801">
        <v>374.75</v>
      </c>
      <c r="O44" s="611"/>
      <c r="P44" s="611"/>
      <c r="Q44" s="611"/>
      <c r="R44" s="611"/>
      <c r="S44" s="143"/>
      <c r="T44" s="143"/>
      <c r="U44" s="143"/>
      <c r="V44" s="143"/>
      <c r="W44" s="143"/>
      <c r="X44" s="1248">
        <f t="shared" si="14"/>
        <v>0</v>
      </c>
      <c r="Y44" s="611"/>
      <c r="Z44" s="611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03">
        <f t="shared" si="15"/>
        <v>0</v>
      </c>
      <c r="AM44" s="134">
        <v>2683.27</v>
      </c>
      <c r="AN44" s="134">
        <v>1078.29</v>
      </c>
      <c r="AO44" s="136"/>
      <c r="AP44" s="105">
        <f t="shared" si="16"/>
        <v>0</v>
      </c>
      <c r="AQ44" s="143"/>
      <c r="AR44" s="143"/>
      <c r="AS44" s="143"/>
      <c r="AT44" s="146"/>
      <c r="AU44" s="621">
        <f t="shared" si="17"/>
        <v>0</v>
      </c>
      <c r="AV44" s="1554">
        <v>2450</v>
      </c>
      <c r="AW44" s="1709"/>
      <c r="AX44" s="1828"/>
      <c r="AY44" s="1828"/>
      <c r="AZ44" s="1690"/>
      <c r="BA44" s="1731"/>
      <c r="BB44" s="1554">
        <v>1567.5</v>
      </c>
      <c r="BC44" s="1709"/>
      <c r="BD44" s="1709"/>
      <c r="BE44" s="1709"/>
      <c r="BF44" s="1709"/>
      <c r="BG44" s="222">
        <f t="shared" si="18"/>
        <v>0</v>
      </c>
      <c r="BH44" s="140">
        <f t="shared" si="19"/>
        <v>0</v>
      </c>
      <c r="BI44" s="132"/>
      <c r="BJ44" s="140">
        <f t="shared" si="20"/>
        <v>0</v>
      </c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29"/>
      <c r="BV44" s="150">
        <v>30</v>
      </c>
      <c r="BW44" s="141"/>
      <c r="BX44" s="130">
        <f t="shared" si="21"/>
        <v>0</v>
      </c>
      <c r="BY44" s="132"/>
    </row>
    <row r="45" ht="14.25" customHeight="1">
      <c r="A45" s="132"/>
      <c r="B45" s="215">
        <v>46058</v>
      </c>
      <c r="C45" s="133">
        <f>14701.55-D45-0</f>
      </c>
      <c r="D45" s="134">
        <v>2609.62</v>
      </c>
      <c r="E45" s="135"/>
      <c r="F45" s="135"/>
      <c r="G45" s="147">
        <f t="shared" si="13"/>
        <v>0</v>
      </c>
      <c r="H45" s="611"/>
      <c r="I45" s="611"/>
      <c r="J45" s="611"/>
      <c r="K45" s="611"/>
      <c r="L45" s="611">
        <v>2389.97</v>
      </c>
      <c r="M45" s="611"/>
      <c r="N45" s="801">
        <v>441.34</v>
      </c>
      <c r="O45" s="611"/>
      <c r="P45" s="611"/>
      <c r="Q45" s="611"/>
      <c r="R45" s="611"/>
      <c r="S45" s="143"/>
      <c r="T45" s="143"/>
      <c r="U45" s="143"/>
      <c r="V45" s="143"/>
      <c r="W45" s="143"/>
      <c r="X45" s="1248">
        <f t="shared" si="14"/>
        <v>0</v>
      </c>
      <c r="Y45" s="611"/>
      <c r="Z45" s="611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03">
        <f t="shared" si="15"/>
        <v>0</v>
      </c>
      <c r="AM45" s="134">
        <v>3687.93</v>
      </c>
      <c r="AN45" s="134">
        <v>1185.49</v>
      </c>
      <c r="AO45" s="136"/>
      <c r="AP45" s="105">
        <f t="shared" si="16"/>
        <v>0</v>
      </c>
      <c r="AQ45" s="143"/>
      <c r="AR45" s="143"/>
      <c r="AS45" s="143"/>
      <c r="AT45" s="146"/>
      <c r="AU45" s="621">
        <f t="shared" si="17"/>
        <v>0</v>
      </c>
      <c r="AV45" s="1554">
        <v>2244.6</v>
      </c>
      <c r="AW45" s="1718">
        <v>3298</v>
      </c>
      <c r="AX45" s="1828"/>
      <c r="AY45" s="1828"/>
      <c r="AZ45" s="1690"/>
      <c r="BA45" s="1731"/>
      <c r="BB45" s="1554">
        <v>1424.1</v>
      </c>
      <c r="BC45" s="1709"/>
      <c r="BD45" s="1709"/>
      <c r="BE45" s="1709"/>
      <c r="BF45" s="1709"/>
      <c r="BG45" s="222">
        <f t="shared" si="18"/>
        <v>0</v>
      </c>
      <c r="BH45" s="140">
        <f t="shared" si="19"/>
        <v>0</v>
      </c>
      <c r="BI45" s="132"/>
      <c r="BJ45" s="140">
        <f t="shared" si="20"/>
        <v>0</v>
      </c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29"/>
      <c r="BV45" s="150">
        <v>30</v>
      </c>
      <c r="BW45" s="141"/>
      <c r="BX45" s="130">
        <f t="shared" si="21"/>
        <v>0</v>
      </c>
      <c r="BY45" s="132"/>
    </row>
    <row r="46" ht="14.25" customHeight="1">
      <c r="A46" s="132"/>
      <c r="B46" s="215">
        <v>46059</v>
      </c>
      <c r="C46" s="133">
        <f>11620.94-D46-0</f>
      </c>
      <c r="D46" s="134">
        <v>3542.77</v>
      </c>
      <c r="E46" s="135"/>
      <c r="F46" s="135"/>
      <c r="G46" s="147">
        <f t="shared" si="13"/>
        <v>0</v>
      </c>
      <c r="H46" s="611"/>
      <c r="I46" s="611"/>
      <c r="J46" s="611"/>
      <c r="K46" s="611"/>
      <c r="L46" s="611">
        <v>2346.61</v>
      </c>
      <c r="M46" s="611"/>
      <c r="N46" s="801">
        <v>146.9</v>
      </c>
      <c r="O46" s="611"/>
      <c r="P46" s="611"/>
      <c r="Q46" s="611"/>
      <c r="R46" s="611"/>
      <c r="S46" s="143"/>
      <c r="T46" s="143"/>
      <c r="U46" s="143"/>
      <c r="V46" s="143"/>
      <c r="W46" s="143"/>
      <c r="X46" s="1248">
        <f t="shared" si="14"/>
        <v>0</v>
      </c>
      <c r="Y46" s="611"/>
      <c r="Z46" s="611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03">
        <f t="shared" si="15"/>
        <v>0</v>
      </c>
      <c r="AM46" s="134">
        <v>2278.38</v>
      </c>
      <c r="AN46" s="134">
        <v>1469.67</v>
      </c>
      <c r="AO46" s="136"/>
      <c r="AP46" s="105">
        <f t="shared" si="16"/>
        <v>0</v>
      </c>
      <c r="AQ46" s="143"/>
      <c r="AR46" s="143"/>
      <c r="AS46" s="143"/>
      <c r="AT46" s="146"/>
      <c r="AU46" s="621">
        <f t="shared" si="17"/>
        <v>0</v>
      </c>
      <c r="AV46" s="1554">
        <v>3276.2</v>
      </c>
      <c r="AW46" s="1709"/>
      <c r="AX46" s="1828"/>
      <c r="AY46" s="1828"/>
      <c r="AZ46" s="1690"/>
      <c r="BA46" s="1731"/>
      <c r="BB46" s="1554">
        <v>2073.1</v>
      </c>
      <c r="BC46" s="1709"/>
      <c r="BD46" s="1709"/>
      <c r="BE46" s="1709"/>
      <c r="BF46" s="1709"/>
      <c r="BG46" s="222">
        <f t="shared" si="18"/>
        <v>0</v>
      </c>
      <c r="BH46" s="140">
        <f t="shared" si="19"/>
        <v>0</v>
      </c>
      <c r="BI46" s="132"/>
      <c r="BJ46" s="140">
        <f t="shared" si="20"/>
        <v>0</v>
      </c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29"/>
      <c r="BV46" s="150">
        <v>30</v>
      </c>
      <c r="BW46" s="141"/>
      <c r="BX46" s="130">
        <f t="shared" si="21"/>
        <v>0</v>
      </c>
      <c r="BY46" s="132"/>
    </row>
    <row r="47" ht="14.25" customHeight="1">
      <c r="A47" s="132"/>
      <c r="B47" s="215">
        <v>46060</v>
      </c>
      <c r="C47" s="133">
        <f>12560.79-D47-0</f>
      </c>
      <c r="D47" s="134">
        <v>4695.12</v>
      </c>
      <c r="E47" s="135"/>
      <c r="F47" s="135"/>
      <c r="G47" s="147">
        <f t="shared" si="13"/>
        <v>0</v>
      </c>
      <c r="H47" s="611"/>
      <c r="I47" s="611"/>
      <c r="J47" s="611"/>
      <c r="K47" s="611"/>
      <c r="L47" s="801">
        <v>250.04</v>
      </c>
      <c r="M47" s="611"/>
      <c r="N47" s="611"/>
      <c r="O47" s="611"/>
      <c r="P47" s="611"/>
      <c r="Q47" s="611"/>
      <c r="R47" s="611"/>
      <c r="S47" s="143"/>
      <c r="T47" s="143"/>
      <c r="U47" s="143"/>
      <c r="V47" s="143"/>
      <c r="W47" s="143"/>
      <c r="X47" s="1248">
        <f t="shared" si="14"/>
        <v>0</v>
      </c>
      <c r="Y47" s="611"/>
      <c r="Z47" s="611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03">
        <f t="shared" si="15"/>
        <v>0</v>
      </c>
      <c r="AM47" s="134">
        <v>4106.83</v>
      </c>
      <c r="AN47" s="134">
        <v>2098.32</v>
      </c>
      <c r="AO47" s="136"/>
      <c r="AP47" s="105">
        <f t="shared" si="16"/>
        <v>0</v>
      </c>
      <c r="AQ47" s="143"/>
      <c r="AR47" s="143"/>
      <c r="AS47" s="143"/>
      <c r="AT47" s="146"/>
      <c r="AU47" s="621">
        <f t="shared" si="17"/>
        <v>0</v>
      </c>
      <c r="AV47" s="1554">
        <v>3530.5</v>
      </c>
      <c r="AW47" s="1709"/>
      <c r="AX47" s="1828"/>
      <c r="AY47" s="1828"/>
      <c r="AZ47" s="1690"/>
      <c r="BA47" s="1731"/>
      <c r="BB47" s="1554">
        <v>2545.1</v>
      </c>
      <c r="BC47" s="1709"/>
      <c r="BD47" s="1709"/>
      <c r="BE47" s="1709"/>
      <c r="BF47" s="1709"/>
      <c r="BG47" s="222">
        <f t="shared" si="18"/>
        <v>0</v>
      </c>
      <c r="BH47" s="140">
        <f t="shared" si="19"/>
        <v>0</v>
      </c>
      <c r="BI47" s="132"/>
      <c r="BJ47" s="140">
        <f t="shared" si="20"/>
        <v>0</v>
      </c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29"/>
      <c r="BV47" s="150">
        <v>30</v>
      </c>
      <c r="BW47" s="141"/>
      <c r="BX47" s="130">
        <f t="shared" si="21"/>
        <v>0</v>
      </c>
      <c r="BY47" s="132"/>
    </row>
    <row r="48" ht="14.25" customHeight="1">
      <c r="A48" s="132"/>
      <c r="B48" s="215">
        <v>46061</v>
      </c>
      <c r="C48" s="133">
        <f>9230.19-D48-0</f>
      </c>
      <c r="D48" s="134">
        <v>3372.5</v>
      </c>
      <c r="E48" s="135"/>
      <c r="F48" s="135"/>
      <c r="G48" s="147">
        <f t="shared" si="13"/>
        <v>0</v>
      </c>
      <c r="H48" s="611"/>
      <c r="I48" s="611"/>
      <c r="J48" s="611"/>
      <c r="K48" s="611"/>
      <c r="L48" s="801">
        <v>255.84</v>
      </c>
      <c r="M48" s="611"/>
      <c r="N48" s="801">
        <v>116.89</v>
      </c>
      <c r="O48" s="611"/>
      <c r="P48" s="611"/>
      <c r="Q48" s="611"/>
      <c r="R48" s="611"/>
      <c r="S48" s="143"/>
      <c r="T48" s="143"/>
      <c r="U48" s="143"/>
      <c r="V48" s="143"/>
      <c r="W48" s="143"/>
      <c r="X48" s="1248">
        <f t="shared" si="14"/>
        <v>0</v>
      </c>
      <c r="Y48" s="611"/>
      <c r="Z48" s="611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03">
        <f t="shared" si="15"/>
        <v>0</v>
      </c>
      <c r="AM48" s="134">
        <v>2975.78</v>
      </c>
      <c r="AN48" s="134">
        <v>1708.6</v>
      </c>
      <c r="AO48" s="136"/>
      <c r="AP48" s="105">
        <f t="shared" si="16"/>
        <v>0</v>
      </c>
      <c r="AQ48" s="143"/>
      <c r="AR48" s="143"/>
      <c r="AS48" s="143"/>
      <c r="AT48" s="146"/>
      <c r="AU48" s="621">
        <f t="shared" si="17"/>
        <v>0</v>
      </c>
      <c r="AV48" s="1554">
        <v>2509.2</v>
      </c>
      <c r="AW48" s="1709"/>
      <c r="AX48" s="1828"/>
      <c r="AY48" s="1828"/>
      <c r="AZ48" s="1690"/>
      <c r="BA48" s="1731"/>
      <c r="BB48" s="1554">
        <v>1663.9</v>
      </c>
      <c r="BC48" s="1709"/>
      <c r="BD48" s="1709"/>
      <c r="BE48" s="1709"/>
      <c r="BF48" s="1709"/>
      <c r="BG48" s="222">
        <f t="shared" si="18"/>
        <v>0</v>
      </c>
      <c r="BH48" s="140">
        <f t="shared" si="19"/>
        <v>0</v>
      </c>
      <c r="BI48" s="132"/>
      <c r="BJ48" s="140">
        <f t="shared" si="20"/>
        <v>0</v>
      </c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29"/>
      <c r="BV48" s="141"/>
      <c r="BW48" s="141"/>
      <c r="BX48" s="130">
        <f t="shared" si="21"/>
        <v>0</v>
      </c>
      <c r="BY48" s="132"/>
    </row>
    <row r="49" ht="14.25" customHeight="1">
      <c r="A49" s="132"/>
      <c r="B49" s="215">
        <v>46062</v>
      </c>
      <c r="C49" s="133">
        <f>10790.50-D49-0</f>
      </c>
      <c r="D49" s="134">
        <v>3243.89</v>
      </c>
      <c r="E49" s="135"/>
      <c r="F49" s="135"/>
      <c r="G49" s="147">
        <f t="shared" si="13"/>
        <v>0</v>
      </c>
      <c r="H49" s="611"/>
      <c r="I49" s="611"/>
      <c r="J49" s="611"/>
      <c r="K49" s="611"/>
      <c r="L49" s="801">
        <v>1053.81</v>
      </c>
      <c r="M49" s="611"/>
      <c r="N49" s="611"/>
      <c r="O49" s="611"/>
      <c r="P49" s="611"/>
      <c r="Q49" s="611"/>
      <c r="R49" s="611"/>
      <c r="S49" s="143"/>
      <c r="T49" s="143"/>
      <c r="U49" s="143"/>
      <c r="V49" s="143"/>
      <c r="W49" s="143"/>
      <c r="X49" s="1248">
        <f t="shared" si="14"/>
        <v>0</v>
      </c>
      <c r="Y49" s="611"/>
      <c r="Z49" s="611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03">
        <f t="shared" si="15"/>
        <v>0</v>
      </c>
      <c r="AM49" s="134">
        <v>2795.13</v>
      </c>
      <c r="AN49" s="134">
        <v>1295.55</v>
      </c>
      <c r="AO49" s="136"/>
      <c r="AP49" s="105">
        <f t="shared" si="16"/>
        <v>0</v>
      </c>
      <c r="AQ49" s="143"/>
      <c r="AR49" s="143"/>
      <c r="AS49" s="143"/>
      <c r="AT49" s="146"/>
      <c r="AU49" s="621">
        <f t="shared" si="17"/>
        <v>0</v>
      </c>
      <c r="AV49" s="1554">
        <v>3417.7</v>
      </c>
      <c r="AW49" s="1718">
        <v>250</v>
      </c>
      <c r="AX49" s="1828"/>
      <c r="AY49" s="1828"/>
      <c r="AZ49" s="1690"/>
      <c r="BA49" s="1731"/>
      <c r="BB49" s="1554">
        <v>1948.4</v>
      </c>
      <c r="BC49" s="1709"/>
      <c r="BD49" s="1709"/>
      <c r="BE49" s="1709"/>
      <c r="BF49" s="1709"/>
      <c r="BG49" s="222">
        <f t="shared" si="18"/>
        <v>0</v>
      </c>
      <c r="BH49" s="140">
        <f t="shared" si="19"/>
        <v>0</v>
      </c>
      <c r="BI49" s="132"/>
      <c r="BJ49" s="140">
        <f t="shared" si="20"/>
        <v>0</v>
      </c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29"/>
      <c r="BV49" s="150">
        <v>30</v>
      </c>
      <c r="BW49" s="141"/>
      <c r="BX49" s="130">
        <f t="shared" si="21"/>
        <v>0</v>
      </c>
      <c r="BY49" s="132"/>
    </row>
    <row r="50" ht="14.25" customHeight="1">
      <c r="A50" s="132"/>
      <c r="B50" s="215">
        <v>46063</v>
      </c>
      <c r="C50" s="133">
        <f>14237.15-D50-0</f>
      </c>
      <c r="D50" s="134">
        <v>3361.03</v>
      </c>
      <c r="E50" s="135"/>
      <c r="F50" s="135"/>
      <c r="G50" s="147">
        <f t="shared" si="13"/>
        <v>0</v>
      </c>
      <c r="H50" s="801">
        <v>725.21</v>
      </c>
      <c r="I50" s="611"/>
      <c r="J50" s="611"/>
      <c r="K50" s="611"/>
      <c r="L50" s="611">
        <v>1722.72</v>
      </c>
      <c r="M50" s="611"/>
      <c r="N50" s="801">
        <v>206.18</v>
      </c>
      <c r="O50" s="611"/>
      <c r="P50" s="611"/>
      <c r="Q50" s="611"/>
      <c r="R50" s="611"/>
      <c r="S50" s="143"/>
      <c r="T50" s="143"/>
      <c r="U50" s="143"/>
      <c r="V50" s="143"/>
      <c r="W50" s="143"/>
      <c r="X50" s="1248">
        <f t="shared" si="14"/>
        <v>0</v>
      </c>
      <c r="Y50" s="611"/>
      <c r="Z50" s="611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03">
        <f t="shared" si="15"/>
        <v>0</v>
      </c>
      <c r="AM50" s="134">
        <v>2479.24</v>
      </c>
      <c r="AN50" s="134">
        <v>1529.63</v>
      </c>
      <c r="AO50" s="136"/>
      <c r="AP50" s="105">
        <f t="shared" si="16"/>
        <v>0</v>
      </c>
      <c r="AQ50" s="143"/>
      <c r="AR50" s="143"/>
      <c r="AS50" s="143"/>
      <c r="AT50" s="146"/>
      <c r="AU50" s="621">
        <f t="shared" si="17"/>
        <v>0</v>
      </c>
      <c r="AV50" s="1554">
        <v>2367.9</v>
      </c>
      <c r="AW50" s="1718">
        <v>3344.9</v>
      </c>
      <c r="AX50" s="1828"/>
      <c r="AY50" s="1828"/>
      <c r="AZ50" s="1690"/>
      <c r="BA50" s="1731"/>
      <c r="BB50" s="1554">
        <v>1832.1</v>
      </c>
      <c r="BC50" s="1709"/>
      <c r="BD50" s="1709"/>
      <c r="BE50" s="1709"/>
      <c r="BF50" s="1709"/>
      <c r="BG50" s="222">
        <f t="shared" si="18"/>
        <v>0</v>
      </c>
      <c r="BH50" s="140">
        <f t="shared" si="19"/>
        <v>0</v>
      </c>
      <c r="BI50" s="132"/>
      <c r="BJ50" s="140">
        <f t="shared" si="20"/>
        <v>0</v>
      </c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29"/>
      <c r="BV50" s="150">
        <v>30</v>
      </c>
      <c r="BW50" s="141"/>
      <c r="BX50" s="130">
        <f t="shared" si="21"/>
        <v>0</v>
      </c>
      <c r="BY50" s="132"/>
    </row>
    <row r="51" ht="14.25" customHeight="1">
      <c r="A51" s="132"/>
      <c r="B51" s="215">
        <v>46064</v>
      </c>
      <c r="C51" s="133">
        <f>13033.23-D51-0</f>
      </c>
      <c r="D51" s="134">
        <v>3682.71</v>
      </c>
      <c r="E51" s="135"/>
      <c r="F51" s="135"/>
      <c r="G51" s="147">
        <f t="shared" si="13"/>
        <v>0</v>
      </c>
      <c r="H51" s="611"/>
      <c r="I51" s="611"/>
      <c r="J51" s="611"/>
      <c r="K51" s="611"/>
      <c r="L51" s="611">
        <v>2215.12</v>
      </c>
      <c r="M51" s="611"/>
      <c r="N51" s="801">
        <v>236.44</v>
      </c>
      <c r="O51" s="611"/>
      <c r="P51" s="611"/>
      <c r="Q51" s="611"/>
      <c r="R51" s="611"/>
      <c r="S51" s="143"/>
      <c r="T51" s="143"/>
      <c r="U51" s="143"/>
      <c r="V51" s="143"/>
      <c r="W51" s="143"/>
      <c r="X51" s="1248">
        <f t="shared" si="14"/>
        <v>0</v>
      </c>
      <c r="Y51" s="611"/>
      <c r="Z51" s="611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03">
        <f t="shared" si="15"/>
        <v>0</v>
      </c>
      <c r="AM51" s="134">
        <v>3075.59</v>
      </c>
      <c r="AN51" s="134">
        <v>1640.69</v>
      </c>
      <c r="AO51" s="136"/>
      <c r="AP51" s="105">
        <f t="shared" si="16"/>
        <v>0</v>
      </c>
      <c r="AQ51" s="143"/>
      <c r="AR51" s="143"/>
      <c r="AS51" s="143"/>
      <c r="AT51" s="146">
        <v>0.13</v>
      </c>
      <c r="AU51" s="621">
        <f t="shared" si="17"/>
        <v>0</v>
      </c>
      <c r="AV51" s="1554">
        <v>3761.3</v>
      </c>
      <c r="AW51" s="1709"/>
      <c r="AX51" s="1828"/>
      <c r="AY51" s="1828"/>
      <c r="AZ51" s="1690"/>
      <c r="BA51" s="1731"/>
      <c r="BB51" s="1554">
        <v>2042</v>
      </c>
      <c r="BC51" s="1709"/>
      <c r="BD51" s="1709"/>
      <c r="BE51" s="1709"/>
      <c r="BF51" s="1709"/>
      <c r="BG51" s="222">
        <f t="shared" si="18"/>
        <v>0</v>
      </c>
      <c r="BH51" s="140">
        <f t="shared" si="19"/>
        <v>0</v>
      </c>
      <c r="BI51" s="132"/>
      <c r="BJ51" s="140">
        <f t="shared" si="20"/>
        <v>0</v>
      </c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41"/>
      <c r="BV51" s="150">
        <v>61.94</v>
      </c>
      <c r="BW51" s="141"/>
      <c r="BX51" s="130">
        <f t="shared" si="21"/>
        <v>0</v>
      </c>
      <c r="BY51" s="132"/>
    </row>
    <row r="52" ht="13.5" customHeight="1">
      <c r="A52" s="132"/>
      <c r="B52" s="215">
        <v>46065</v>
      </c>
      <c r="C52" s="133">
        <f>12981.67-D52-0</f>
      </c>
      <c r="D52" s="134">
        <v>3924.46</v>
      </c>
      <c r="E52" s="135"/>
      <c r="F52" s="135"/>
      <c r="G52" s="147">
        <f t="shared" si="13"/>
        <v>0</v>
      </c>
      <c r="H52" s="801"/>
      <c r="I52" s="611"/>
      <c r="J52" s="611"/>
      <c r="K52" s="611"/>
      <c r="L52" s="611">
        <v>1617.81</v>
      </c>
      <c r="M52" s="611"/>
      <c r="N52" s="611">
        <v>838.81</v>
      </c>
      <c r="O52" s="611"/>
      <c r="P52" s="611"/>
      <c r="Q52" s="611"/>
      <c r="R52" s="611"/>
      <c r="S52" s="143"/>
      <c r="T52" s="143"/>
      <c r="U52" s="143"/>
      <c r="V52" s="143"/>
      <c r="W52" s="143"/>
      <c r="X52" s="1248">
        <f t="shared" si="14"/>
        <v>0</v>
      </c>
      <c r="Y52" s="611"/>
      <c r="Z52" s="611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03">
        <f t="shared" si="15"/>
        <v>0</v>
      </c>
      <c r="AM52" s="134">
        <v>2736.54</v>
      </c>
      <c r="AN52" s="134">
        <v>1785.19</v>
      </c>
      <c r="AO52" s="136"/>
      <c r="AP52" s="105">
        <f t="shared" si="16"/>
        <v>0</v>
      </c>
      <c r="AQ52" s="143"/>
      <c r="AR52" s="143"/>
      <c r="AS52" s="143"/>
      <c r="AT52" s="146">
        <v>1.23</v>
      </c>
      <c r="AU52" s="621">
        <f t="shared" si="17"/>
        <v>0</v>
      </c>
      <c r="AV52" s="1554">
        <v>3833.9</v>
      </c>
      <c r="AW52" s="1709"/>
      <c r="AX52" s="1828"/>
      <c r="AY52" s="1828"/>
      <c r="AZ52" s="1690"/>
      <c r="BA52" s="1731"/>
      <c r="BB52" s="1554">
        <v>2138.1</v>
      </c>
      <c r="BC52" s="1709"/>
      <c r="BD52" s="1709"/>
      <c r="BE52" s="1709"/>
      <c r="BF52" s="1709"/>
      <c r="BG52" s="222">
        <f t="shared" si="18"/>
        <v>0</v>
      </c>
      <c r="BH52" s="140">
        <f t="shared" si="19"/>
        <v>0</v>
      </c>
      <c r="BI52" s="132"/>
      <c r="BJ52" s="140">
        <f t="shared" si="20"/>
        <v>0</v>
      </c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29"/>
      <c r="BV52" s="150">
        <v>30</v>
      </c>
      <c r="BW52" s="141"/>
      <c r="BX52" s="130">
        <f t="shared" si="21"/>
        <v>0</v>
      </c>
      <c r="BY52" s="132"/>
    </row>
    <row r="53" ht="14.25" customHeight="1">
      <c r="A53" s="132"/>
      <c r="B53" s="215">
        <v>46066</v>
      </c>
      <c r="C53" s="133">
        <f>13145.84-D53-0</f>
      </c>
      <c r="D53" s="134">
        <v>4892.86</v>
      </c>
      <c r="E53" s="135"/>
      <c r="F53" s="135"/>
      <c r="G53" s="147">
        <f t="shared" si="13"/>
        <v>0</v>
      </c>
      <c r="H53" s="611"/>
      <c r="I53" s="611"/>
      <c r="J53" s="611"/>
      <c r="K53" s="611"/>
      <c r="L53" s="801">
        <v>1848.19</v>
      </c>
      <c r="M53" s="611"/>
      <c r="N53" s="611"/>
      <c r="O53" s="611"/>
      <c r="P53" s="611"/>
      <c r="Q53" s="611"/>
      <c r="R53" s="611"/>
      <c r="S53" s="143"/>
      <c r="T53" s="143"/>
      <c r="U53" s="143"/>
      <c r="V53" s="143"/>
      <c r="W53" s="143"/>
      <c r="X53" s="1248">
        <f t="shared" si="14"/>
        <v>0</v>
      </c>
      <c r="Y53" s="611"/>
      <c r="Z53" s="611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03">
        <f t="shared" si="15"/>
        <v>0</v>
      </c>
      <c r="AM53" s="134">
        <v>2934.56</v>
      </c>
      <c r="AN53" s="134">
        <v>2161.4</v>
      </c>
      <c r="AO53" s="136"/>
      <c r="AP53" s="105">
        <f t="shared" si="16"/>
        <v>0</v>
      </c>
      <c r="AQ53" s="143"/>
      <c r="AR53" s="143"/>
      <c r="AS53" s="143"/>
      <c r="AT53" s="146"/>
      <c r="AU53" s="621">
        <f t="shared" si="17"/>
        <v>0</v>
      </c>
      <c r="AV53" s="1554">
        <v>3440.3</v>
      </c>
      <c r="AW53" s="1709"/>
      <c r="AX53" s="1828"/>
      <c r="AY53" s="1828"/>
      <c r="AZ53" s="1690"/>
      <c r="BA53" s="1731"/>
      <c r="BB53" s="1554">
        <v>2731.4</v>
      </c>
      <c r="BC53" s="1709"/>
      <c r="BD53" s="1709"/>
      <c r="BE53" s="1709"/>
      <c r="BF53" s="1709"/>
      <c r="BG53" s="222">
        <f t="shared" si="18"/>
        <v>0</v>
      </c>
      <c r="BH53" s="140">
        <f t="shared" si="19"/>
        <v>0</v>
      </c>
      <c r="BI53" s="132"/>
      <c r="BJ53" s="140">
        <f t="shared" si="20"/>
        <v>0</v>
      </c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50">
        <v>30</v>
      </c>
      <c r="BW53" s="141"/>
      <c r="BX53" s="130">
        <f t="shared" si="21"/>
        <v>0</v>
      </c>
      <c r="BY53" s="132"/>
    </row>
    <row r="54" ht="14.25" customHeight="1">
      <c r="A54" s="132"/>
      <c r="B54" s="215">
        <v>46067</v>
      </c>
      <c r="C54" s="133">
        <f>17660.19-D54-0</f>
      </c>
      <c r="D54" s="134">
        <v>5251.53</v>
      </c>
      <c r="E54" s="135"/>
      <c r="F54" s="135"/>
      <c r="G54" s="147">
        <f t="shared" si="13"/>
        <v>0</v>
      </c>
      <c r="H54" s="611"/>
      <c r="I54" s="611"/>
      <c r="J54" s="611"/>
      <c r="K54" s="611"/>
      <c r="L54" s="801">
        <v>946.39</v>
      </c>
      <c r="M54" s="611"/>
      <c r="N54" s="611"/>
      <c r="O54" s="611"/>
      <c r="P54" s="611"/>
      <c r="Q54" s="611"/>
      <c r="R54" s="611"/>
      <c r="S54" s="143"/>
      <c r="T54" s="143"/>
      <c r="U54" s="143"/>
      <c r="V54" s="143"/>
      <c r="W54" s="143"/>
      <c r="X54" s="1248">
        <f t="shared" si="14"/>
        <v>0</v>
      </c>
      <c r="Y54" s="611"/>
      <c r="Z54" s="611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03">
        <f t="shared" si="15"/>
        <v>0</v>
      </c>
      <c r="AM54" s="134">
        <v>3491.23</v>
      </c>
      <c r="AN54" s="134">
        <v>2088.06</v>
      </c>
      <c r="AO54" s="136"/>
      <c r="AP54" s="105">
        <f t="shared" si="16"/>
        <v>0</v>
      </c>
      <c r="AQ54" s="143"/>
      <c r="AR54" s="143"/>
      <c r="AS54" s="143"/>
      <c r="AT54" s="146"/>
      <c r="AU54" s="621">
        <f t="shared" si="17"/>
        <v>0</v>
      </c>
      <c r="AV54" s="1554">
        <v>4743</v>
      </c>
      <c r="AW54" s="1718">
        <v>3198</v>
      </c>
      <c r="AX54" s="1828"/>
      <c r="AY54" s="1828"/>
      <c r="AZ54" s="1690"/>
      <c r="BA54" s="1731"/>
      <c r="BB54" s="1554">
        <v>3163</v>
      </c>
      <c r="BC54" s="1709"/>
      <c r="BD54" s="1709"/>
      <c r="BE54" s="1709"/>
      <c r="BF54" s="1709"/>
      <c r="BG54" s="222">
        <f t="shared" si="18"/>
        <v>0</v>
      </c>
      <c r="BH54" s="140">
        <f t="shared" si="19"/>
        <v>0</v>
      </c>
      <c r="BI54" s="132"/>
      <c r="BJ54" s="140">
        <f t="shared" si="20"/>
        <v>0</v>
      </c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29"/>
      <c r="BV54" s="150">
        <v>30</v>
      </c>
      <c r="BW54" s="141"/>
      <c r="BX54" s="130">
        <f t="shared" si="21"/>
        <v>0</v>
      </c>
      <c r="BY54" s="132"/>
    </row>
    <row r="55" ht="15" customHeight="1">
      <c r="A55" s="132"/>
      <c r="B55" s="215">
        <v>46068</v>
      </c>
      <c r="C55" s="133">
        <f>12766.70-D55-0</f>
      </c>
      <c r="D55" s="134">
        <v>5302.22</v>
      </c>
      <c r="E55" s="135"/>
      <c r="F55" s="135"/>
      <c r="G55" s="147">
        <f t="shared" si="13"/>
        <v>0</v>
      </c>
      <c r="H55" s="611"/>
      <c r="I55" s="611"/>
      <c r="J55" s="611"/>
      <c r="K55" s="611"/>
      <c r="L55" s="801">
        <v>275.46</v>
      </c>
      <c r="M55" s="611"/>
      <c r="N55" s="611"/>
      <c r="O55" s="611"/>
      <c r="P55" s="611"/>
      <c r="Q55" s="611"/>
      <c r="R55" s="611"/>
      <c r="S55" s="143"/>
      <c r="T55" s="143"/>
      <c r="U55" s="143"/>
      <c r="V55" s="143"/>
      <c r="W55" s="143"/>
      <c r="X55" s="1248">
        <f t="shared" si="14"/>
        <v>0</v>
      </c>
      <c r="Y55" s="611"/>
      <c r="Z55" s="611"/>
      <c r="AA55" s="143"/>
      <c r="AB55" s="143"/>
      <c r="AC55" s="143"/>
      <c r="AD55" s="143"/>
      <c r="AE55" s="143"/>
      <c r="AF55" s="143"/>
      <c r="AG55" s="143"/>
      <c r="AH55" s="143"/>
      <c r="AI55" s="143"/>
      <c r="AJ55" s="143"/>
      <c r="AK55" s="143"/>
      <c r="AL55" s="103">
        <f t="shared" si="15"/>
        <v>0</v>
      </c>
      <c r="AM55" s="134">
        <v>3673.21</v>
      </c>
      <c r="AN55" s="134">
        <v>1977.5</v>
      </c>
      <c r="AO55" s="136"/>
      <c r="AP55" s="105">
        <f t="shared" si="16"/>
        <v>0</v>
      </c>
      <c r="AQ55" s="143"/>
      <c r="AR55" s="143"/>
      <c r="AS55" s="143"/>
      <c r="AT55" s="146"/>
      <c r="AU55" s="621">
        <f t="shared" si="17"/>
        <v>0</v>
      </c>
      <c r="AV55" s="1554">
        <v>3515.8</v>
      </c>
      <c r="AW55" s="1709"/>
      <c r="AX55" s="1828"/>
      <c r="AY55" s="1828"/>
      <c r="AZ55" s="1690"/>
      <c r="BA55" s="1731"/>
      <c r="BB55" s="1554">
        <v>3324.9</v>
      </c>
      <c r="BC55" s="1709"/>
      <c r="BD55" s="1709"/>
      <c r="BE55" s="1709"/>
      <c r="BF55" s="1709"/>
      <c r="BG55" s="222">
        <f t="shared" si="18"/>
        <v>0</v>
      </c>
      <c r="BH55" s="140">
        <f t="shared" si="19"/>
        <v>0</v>
      </c>
      <c r="BI55" s="132"/>
      <c r="BJ55" s="140">
        <f t="shared" si="20"/>
        <v>0</v>
      </c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29"/>
      <c r="BV55" s="141"/>
      <c r="BW55" s="141"/>
      <c r="BX55" s="130">
        <f t="shared" si="21"/>
        <v>0</v>
      </c>
      <c r="BY55" s="132"/>
    </row>
    <row r="56" ht="14.25" customHeight="1">
      <c r="A56" s="132"/>
      <c r="B56" s="215">
        <v>46069</v>
      </c>
      <c r="C56" s="133">
        <f>11993.23-D56-0</f>
      </c>
      <c r="D56" s="134">
        <v>3150.49</v>
      </c>
      <c r="E56" s="135"/>
      <c r="F56" s="135"/>
      <c r="G56" s="147">
        <f t="shared" si="13"/>
        <v>0</v>
      </c>
      <c r="H56" s="611"/>
      <c r="I56" s="611"/>
      <c r="J56" s="611"/>
      <c r="K56" s="611"/>
      <c r="L56" s="611">
        <v>1277.48</v>
      </c>
      <c r="M56" s="611"/>
      <c r="N56" s="801">
        <v>234.07</v>
      </c>
      <c r="O56" s="611"/>
      <c r="P56" s="611"/>
      <c r="Q56" s="611"/>
      <c r="R56" s="611"/>
      <c r="S56" s="143"/>
      <c r="T56" s="143"/>
      <c r="U56" s="143"/>
      <c r="V56" s="143"/>
      <c r="W56" s="143"/>
      <c r="X56" s="1248">
        <f t="shared" si="14"/>
        <v>0</v>
      </c>
      <c r="Y56" s="611"/>
      <c r="Z56" s="611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03">
        <f t="shared" si="15"/>
        <v>0</v>
      </c>
      <c r="AM56" s="134">
        <v>3582.63</v>
      </c>
      <c r="AN56" s="134">
        <v>1095</v>
      </c>
      <c r="AO56" s="136"/>
      <c r="AP56" s="105">
        <f t="shared" si="16"/>
        <v>0</v>
      </c>
      <c r="AQ56" s="143"/>
      <c r="AR56" s="143"/>
      <c r="AS56" s="143"/>
      <c r="AT56" s="149">
        <v>1.44</v>
      </c>
      <c r="AU56" s="621">
        <f t="shared" si="17"/>
        <v>0</v>
      </c>
      <c r="AV56" s="1554">
        <v>3651</v>
      </c>
      <c r="AW56" s="1834"/>
      <c r="AX56" s="1828"/>
      <c r="AY56" s="1828"/>
      <c r="AZ56" s="1690"/>
      <c r="BA56" s="1731"/>
      <c r="BB56" s="1554">
        <v>2054</v>
      </c>
      <c r="BC56" s="1709"/>
      <c r="BD56" s="1709"/>
      <c r="BE56" s="1709"/>
      <c r="BF56" s="1709"/>
      <c r="BG56" s="222">
        <f t="shared" si="18"/>
        <v>0</v>
      </c>
      <c r="BH56" s="140">
        <f t="shared" si="19"/>
        <v>0</v>
      </c>
      <c r="BI56" s="132"/>
      <c r="BJ56" s="140">
        <f t="shared" si="20"/>
        <v>0</v>
      </c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29"/>
      <c r="BV56" s="150">
        <v>97.5</v>
      </c>
      <c r="BW56" s="141"/>
      <c r="BX56" s="130">
        <f t="shared" si="21"/>
        <v>0</v>
      </c>
      <c r="BY56" s="132"/>
    </row>
    <row r="57" ht="14.25" customHeight="1">
      <c r="A57" s="132"/>
      <c r="B57" s="215">
        <v>46070</v>
      </c>
      <c r="C57" s="133">
        <f>16618.54-D57-0</f>
      </c>
      <c r="D57" s="134">
        <v>4533.57</v>
      </c>
      <c r="E57" s="135"/>
      <c r="F57" s="135"/>
      <c r="G57" s="147">
        <f t="shared" si="13"/>
        <v>0</v>
      </c>
      <c r="H57" s="611"/>
      <c r="I57" s="611"/>
      <c r="J57" s="611"/>
      <c r="K57" s="611"/>
      <c r="L57" s="611">
        <v>2647.39</v>
      </c>
      <c r="M57" s="611"/>
      <c r="N57" s="801">
        <v>1856.73</v>
      </c>
      <c r="O57" s="611"/>
      <c r="P57" s="611"/>
      <c r="Q57" s="611"/>
      <c r="R57" s="611"/>
      <c r="S57" s="143"/>
      <c r="T57" s="143"/>
      <c r="U57" s="143"/>
      <c r="V57" s="143"/>
      <c r="W57" s="143"/>
      <c r="X57" s="1248">
        <f t="shared" si="14"/>
        <v>0</v>
      </c>
      <c r="Y57" s="611"/>
      <c r="Z57" s="611"/>
      <c r="AA57" s="143"/>
      <c r="AB57" s="143"/>
      <c r="AC57" s="143"/>
      <c r="AD57" s="143"/>
      <c r="AE57" s="143"/>
      <c r="AF57" s="143"/>
      <c r="AG57" s="143"/>
      <c r="AH57" s="143"/>
      <c r="AI57" s="143"/>
      <c r="AJ57" s="143"/>
      <c r="AK57" s="143"/>
      <c r="AL57" s="103">
        <f t="shared" si="15"/>
        <v>0</v>
      </c>
      <c r="AM57" s="134">
        <v>3800.47</v>
      </c>
      <c r="AN57" s="134">
        <v>1736.01</v>
      </c>
      <c r="AO57" s="136"/>
      <c r="AP57" s="105">
        <f t="shared" si="16"/>
        <v>0</v>
      </c>
      <c r="AQ57" s="143"/>
      <c r="AR57" s="143"/>
      <c r="AS57" s="143"/>
      <c r="AT57" s="149">
        <v>0.29</v>
      </c>
      <c r="AU57" s="621">
        <f t="shared" si="17"/>
        <v>0</v>
      </c>
      <c r="AV57" s="1554">
        <v>3814.6</v>
      </c>
      <c r="AW57" s="1709"/>
      <c r="AX57" s="1828"/>
      <c r="AY57" s="1828"/>
      <c r="AZ57" s="1690"/>
      <c r="BA57" s="1731"/>
      <c r="BB57" s="1554">
        <v>2713</v>
      </c>
      <c r="BC57" s="1709"/>
      <c r="BD57" s="1709"/>
      <c r="BE57" s="1709"/>
      <c r="BF57" s="1709"/>
      <c r="BG57" s="222">
        <f t="shared" si="18"/>
        <v>0</v>
      </c>
      <c r="BH57" s="140">
        <f t="shared" si="19"/>
        <v>0</v>
      </c>
      <c r="BI57" s="132"/>
      <c r="BJ57" s="140">
        <f t="shared" si="20"/>
        <v>0</v>
      </c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29"/>
      <c r="BV57" s="150">
        <v>50</v>
      </c>
      <c r="BW57" s="141"/>
      <c r="BX57" s="130">
        <f t="shared" si="21"/>
        <v>0</v>
      </c>
      <c r="BY57" s="132"/>
    </row>
    <row r="58" ht="14.25" customHeight="1">
      <c r="A58" s="132"/>
      <c r="B58" s="215">
        <v>46071</v>
      </c>
      <c r="C58" s="133">
        <f>15862.56-D58-0</f>
      </c>
      <c r="D58" s="134">
        <v>3482.57</v>
      </c>
      <c r="E58" s="135"/>
      <c r="F58" s="135"/>
      <c r="G58" s="147">
        <f t="shared" si="13"/>
        <v>0</v>
      </c>
      <c r="H58" s="611"/>
      <c r="I58" s="611"/>
      <c r="J58" s="611"/>
      <c r="K58" s="611"/>
      <c r="L58" s="611">
        <v>871.33</v>
      </c>
      <c r="M58" s="611"/>
      <c r="N58" s="801">
        <v>570.61</v>
      </c>
      <c r="O58" s="611"/>
      <c r="P58" s="611"/>
      <c r="Q58" s="611"/>
      <c r="R58" s="611"/>
      <c r="S58" s="143"/>
      <c r="T58" s="143"/>
      <c r="U58" s="143"/>
      <c r="V58" s="143"/>
      <c r="W58" s="143"/>
      <c r="X58" s="1248">
        <f t="shared" si="14"/>
        <v>0</v>
      </c>
      <c r="Y58" s="611"/>
      <c r="Z58" s="611"/>
      <c r="AA58" s="143"/>
      <c r="AB58" s="143"/>
      <c r="AC58" s="143"/>
      <c r="AD58" s="143"/>
      <c r="AE58" s="143"/>
      <c r="AF58" s="143"/>
      <c r="AG58" s="143"/>
      <c r="AH58" s="143"/>
      <c r="AI58" s="143"/>
      <c r="AJ58" s="143"/>
      <c r="AK58" s="143"/>
      <c r="AL58" s="103">
        <f t="shared" si="15"/>
        <v>0</v>
      </c>
      <c r="AM58" s="134">
        <v>3332.77</v>
      </c>
      <c r="AN58" s="134">
        <v>1659.06</v>
      </c>
      <c r="AO58" s="136"/>
      <c r="AP58" s="105">
        <f t="shared" si="16"/>
        <v>0</v>
      </c>
      <c r="AQ58" s="143"/>
      <c r="AR58" s="143"/>
      <c r="AS58" s="143"/>
      <c r="AT58" s="146"/>
      <c r="AU58" s="621">
        <f t="shared" si="17"/>
        <v>0</v>
      </c>
      <c r="AV58" s="1554"/>
      <c r="AW58" s="1718">
        <v>3448</v>
      </c>
      <c r="AX58" s="1828"/>
      <c r="AY58" s="1828"/>
      <c r="AZ58" s="1690"/>
      <c r="BA58" s="1731"/>
      <c r="BB58" s="1554"/>
      <c r="BC58" s="1709"/>
      <c r="BD58" s="1709"/>
      <c r="BE58" s="1709"/>
      <c r="BF58" s="1709"/>
      <c r="BG58" s="222">
        <f t="shared" si="18"/>
        <v>0</v>
      </c>
      <c r="BH58" s="140">
        <f t="shared" si="19"/>
        <v>0</v>
      </c>
      <c r="BI58" s="132"/>
      <c r="BJ58" s="140">
        <f t="shared" si="20"/>
        <v>0</v>
      </c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50">
        <v>82.51</v>
      </c>
      <c r="BW58" s="150" t="s">
        <v>226</v>
      </c>
      <c r="BX58" s="130">
        <f t="shared" si="21"/>
        <v>0</v>
      </c>
      <c r="BY58" s="132"/>
    </row>
    <row r="59" ht="14.25" customHeight="1">
      <c r="A59" s="132"/>
      <c r="B59" s="215">
        <v>46072</v>
      </c>
      <c r="C59" s="133">
        <f>13190.47-D59-0</f>
      </c>
      <c r="D59" s="134">
        <v>3226.21</v>
      </c>
      <c r="E59" s="135"/>
      <c r="F59" s="135"/>
      <c r="G59" s="147">
        <f t="shared" si="13"/>
        <v>0</v>
      </c>
      <c r="H59" s="611"/>
      <c r="I59" s="611"/>
      <c r="J59" s="611"/>
      <c r="K59" s="611"/>
      <c r="L59" s="801">
        <v>2422.92</v>
      </c>
      <c r="M59" s="611"/>
      <c r="N59" s="801"/>
      <c r="O59" s="611"/>
      <c r="P59" s="611"/>
      <c r="Q59" s="611"/>
      <c r="R59" s="611"/>
      <c r="S59" s="143"/>
      <c r="T59" s="143"/>
      <c r="U59" s="143"/>
      <c r="V59" s="143"/>
      <c r="W59" s="143"/>
      <c r="X59" s="1248">
        <f t="shared" si="14"/>
        <v>0</v>
      </c>
      <c r="Y59" s="611"/>
      <c r="Z59" s="611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03">
        <f t="shared" si="15"/>
        <v>0</v>
      </c>
      <c r="AM59" s="134">
        <v>3582.98</v>
      </c>
      <c r="AN59" s="134">
        <v>1193.55</v>
      </c>
      <c r="AO59" s="136"/>
      <c r="AP59" s="105">
        <f t="shared" si="16"/>
        <v>0</v>
      </c>
      <c r="AQ59" s="143"/>
      <c r="AR59" s="143"/>
      <c r="AS59" s="143"/>
      <c r="AT59" s="146"/>
      <c r="AU59" s="621">
        <f t="shared" si="17"/>
        <v>0</v>
      </c>
      <c r="AV59" s="1554">
        <v>3908.3</v>
      </c>
      <c r="AW59" s="1709"/>
      <c r="AX59" s="1828"/>
      <c r="AY59" s="1828"/>
      <c r="AZ59" s="1690"/>
      <c r="BA59" s="1731"/>
      <c r="BB59" s="1554">
        <v>2032.7</v>
      </c>
      <c r="BC59" s="1709"/>
      <c r="BD59" s="1709"/>
      <c r="BE59" s="1709"/>
      <c r="BF59" s="1709"/>
      <c r="BG59" s="222">
        <f t="shared" si="18"/>
        <v>0</v>
      </c>
      <c r="BH59" s="140">
        <f t="shared" si="19"/>
        <v>0</v>
      </c>
      <c r="BI59" s="132"/>
      <c r="BJ59" s="140">
        <f t="shared" si="20"/>
        <v>0</v>
      </c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29"/>
      <c r="BV59" s="150">
        <v>50</v>
      </c>
      <c r="BW59" s="141"/>
      <c r="BX59" s="130">
        <f t="shared" si="21"/>
        <v>0</v>
      </c>
      <c r="BY59" s="132"/>
    </row>
    <row r="60" ht="14.25" customHeight="1">
      <c r="A60" s="132"/>
      <c r="B60" s="215">
        <v>46073</v>
      </c>
      <c r="C60" s="133">
        <f>21329.94-D60-0</f>
      </c>
      <c r="D60" s="134">
        <v>5079.94</v>
      </c>
      <c r="E60" s="135"/>
      <c r="F60" s="135"/>
      <c r="G60" s="147">
        <f t="shared" si="13"/>
        <v>0</v>
      </c>
      <c r="H60" s="611"/>
      <c r="I60" s="611"/>
      <c r="J60" s="611"/>
      <c r="K60" s="611"/>
      <c r="L60" s="611">
        <v>8629.23</v>
      </c>
      <c r="M60" s="611"/>
      <c r="N60" s="611">
        <v>609.4</v>
      </c>
      <c r="O60" s="611"/>
      <c r="P60" s="611"/>
      <c r="Q60" s="611"/>
      <c r="R60" s="611"/>
      <c r="S60" s="143"/>
      <c r="T60" s="143"/>
      <c r="U60" s="143"/>
      <c r="V60" s="143"/>
      <c r="W60" s="143"/>
      <c r="X60" s="1248">
        <f t="shared" si="14"/>
        <v>0</v>
      </c>
      <c r="Y60" s="611"/>
      <c r="Z60" s="611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03">
        <f t="shared" si="15"/>
        <v>0</v>
      </c>
      <c r="AM60" s="134">
        <v>3545.1</v>
      </c>
      <c r="AN60" s="134">
        <v>2036.48</v>
      </c>
      <c r="AO60" s="136"/>
      <c r="AP60" s="105">
        <f t="shared" si="16"/>
        <v>0</v>
      </c>
      <c r="AQ60" s="143"/>
      <c r="AR60" s="143"/>
      <c r="AS60" s="143"/>
      <c r="AT60" s="146">
        <v>1.51</v>
      </c>
      <c r="AU60" s="621">
        <f t="shared" si="17"/>
        <v>0</v>
      </c>
      <c r="AV60" s="1554">
        <v>2736.3</v>
      </c>
      <c r="AW60" s="1709"/>
      <c r="AX60" s="1828"/>
      <c r="AY60" s="1828"/>
      <c r="AZ60" s="1690"/>
      <c r="BA60" s="1731"/>
      <c r="BB60" s="1554">
        <v>3042</v>
      </c>
      <c r="BC60" s="1709"/>
      <c r="BD60" s="1709"/>
      <c r="BE60" s="1709"/>
      <c r="BF60" s="1709"/>
      <c r="BG60" s="222">
        <f t="shared" si="18"/>
        <v>0</v>
      </c>
      <c r="BH60" s="140">
        <f t="shared" si="19"/>
        <v>0</v>
      </c>
      <c r="BI60" s="132"/>
      <c r="BJ60" s="140">
        <f t="shared" si="20"/>
        <v>0</v>
      </c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29"/>
      <c r="BV60" s="150">
        <v>730</v>
      </c>
      <c r="BW60" s="141"/>
      <c r="BX60" s="130">
        <f t="shared" si="21"/>
        <v>0</v>
      </c>
      <c r="BY60" s="132"/>
    </row>
    <row r="61" ht="14.25" customHeight="1">
      <c r="A61" s="132"/>
      <c r="B61" s="215">
        <v>46074</v>
      </c>
      <c r="C61" s="133">
        <f>15139.27-D61-0</f>
      </c>
      <c r="D61" s="134">
        <v>5068.39</v>
      </c>
      <c r="E61" s="135"/>
      <c r="F61" s="135"/>
      <c r="G61" s="147">
        <f t="shared" si="13"/>
        <v>0</v>
      </c>
      <c r="H61" s="611"/>
      <c r="I61" s="611"/>
      <c r="J61" s="611"/>
      <c r="K61" s="611"/>
      <c r="L61" s="801">
        <v>1858.83</v>
      </c>
      <c r="M61" s="611"/>
      <c r="N61" s="611"/>
      <c r="O61" s="611"/>
      <c r="P61" s="611"/>
      <c r="Q61" s="611"/>
      <c r="R61" s="611"/>
      <c r="S61" s="143"/>
      <c r="T61" s="143"/>
      <c r="U61" s="143"/>
      <c r="V61" s="143"/>
      <c r="W61" s="143"/>
      <c r="X61" s="1248">
        <f t="shared" si="14"/>
        <v>0</v>
      </c>
      <c r="Y61" s="611"/>
      <c r="Z61" s="611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03">
        <f t="shared" si="15"/>
        <v>0</v>
      </c>
      <c r="AM61" s="134">
        <v>4272.63</v>
      </c>
      <c r="AN61" s="134">
        <v>2291.35</v>
      </c>
      <c r="AO61" s="136"/>
      <c r="AP61" s="105">
        <f t="shared" si="16"/>
        <v>0</v>
      </c>
      <c r="AQ61" s="143"/>
      <c r="AR61" s="143"/>
      <c r="AS61" s="143"/>
      <c r="AT61" s="146"/>
      <c r="AU61" s="621">
        <f t="shared" si="17"/>
        <v>0</v>
      </c>
      <c r="AV61" s="1554">
        <v>3889.4</v>
      </c>
      <c r="AW61" s="1709"/>
      <c r="AX61" s="1828"/>
      <c r="AY61" s="1828"/>
      <c r="AZ61" s="1690"/>
      <c r="BA61" s="1731"/>
      <c r="BB61" s="1554">
        <v>2777</v>
      </c>
      <c r="BC61" s="1709"/>
      <c r="BD61" s="1709"/>
      <c r="BE61" s="1709"/>
      <c r="BF61" s="1709"/>
      <c r="BG61" s="222">
        <f t="shared" si="18"/>
        <v>0</v>
      </c>
      <c r="BH61" s="140">
        <f t="shared" si="19"/>
        <v>0</v>
      </c>
      <c r="BI61" s="132"/>
      <c r="BJ61" s="140">
        <f t="shared" si="20"/>
        <v>0</v>
      </c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29"/>
      <c r="BV61" s="150">
        <v>50</v>
      </c>
      <c r="BW61" s="141"/>
      <c r="BX61" s="130">
        <f t="shared" si="21"/>
        <v>0</v>
      </c>
      <c r="BY61" s="132"/>
    </row>
    <row r="62" ht="14.25" customHeight="1">
      <c r="A62" s="132"/>
      <c r="B62" s="215">
        <v>46075</v>
      </c>
      <c r="C62" s="133">
        <f>15159.61-D62-0</f>
      </c>
      <c r="D62" s="134">
        <v>5141.91</v>
      </c>
      <c r="E62" s="135"/>
      <c r="F62" s="135"/>
      <c r="G62" s="147">
        <f t="shared" si="13"/>
        <v>0</v>
      </c>
      <c r="H62" s="611"/>
      <c r="I62" s="611"/>
      <c r="J62" s="611"/>
      <c r="K62" s="611"/>
      <c r="L62" s="801">
        <v>1183.3</v>
      </c>
      <c r="M62" s="611"/>
      <c r="N62" s="611"/>
      <c r="O62" s="611"/>
      <c r="P62" s="611"/>
      <c r="Q62" s="611"/>
      <c r="R62" s="611"/>
      <c r="S62" s="143"/>
      <c r="T62" s="143"/>
      <c r="U62" s="143"/>
      <c r="V62" s="143"/>
      <c r="W62" s="143"/>
      <c r="X62" s="1248">
        <f t="shared" si="14"/>
        <v>0</v>
      </c>
      <c r="Y62" s="611"/>
      <c r="Z62" s="611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03">
        <f t="shared" si="15"/>
        <v>0</v>
      </c>
      <c r="AM62" s="134">
        <v>2638.95</v>
      </c>
      <c r="AN62" s="134">
        <v>2501.72</v>
      </c>
      <c r="AO62" s="136"/>
      <c r="AP62" s="105">
        <f t="shared" si="16"/>
        <v>0</v>
      </c>
      <c r="AQ62" s="143"/>
      <c r="AR62" s="143"/>
      <c r="AS62" s="143"/>
      <c r="AT62" s="146"/>
      <c r="AU62" s="621">
        <f t="shared" si="17"/>
        <v>0</v>
      </c>
      <c r="AV62" s="1554">
        <v>2997.4</v>
      </c>
      <c r="AW62" s="1718">
        <v>3198</v>
      </c>
      <c r="AX62" s="1828"/>
      <c r="AY62" s="1828"/>
      <c r="AZ62" s="1690"/>
      <c r="BA62" s="1731"/>
      <c r="BB62" s="1554">
        <v>2640.2</v>
      </c>
      <c r="BC62" s="1709"/>
      <c r="BD62" s="1709"/>
      <c r="BE62" s="1709"/>
      <c r="BF62" s="1709"/>
      <c r="BG62" s="222">
        <f t="shared" si="18"/>
        <v>0</v>
      </c>
      <c r="BH62" s="140">
        <f t="shared" si="19"/>
        <v>0</v>
      </c>
      <c r="BI62" s="132"/>
      <c r="BJ62" s="140">
        <f t="shared" si="20"/>
        <v>0</v>
      </c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29"/>
      <c r="BV62" s="141"/>
      <c r="BW62" s="141"/>
      <c r="BX62" s="130">
        <f t="shared" si="21"/>
        <v>0</v>
      </c>
      <c r="BY62" s="132"/>
    </row>
    <row r="63" ht="14.25" customHeight="1">
      <c r="A63" s="132"/>
      <c r="B63" s="215">
        <v>46076</v>
      </c>
      <c r="C63" s="133">
        <f>14160.39-D63-0</f>
      </c>
      <c r="D63" s="134">
        <v>4033.94</v>
      </c>
      <c r="E63" s="135"/>
      <c r="F63" s="135"/>
      <c r="G63" s="147">
        <f t="shared" si="13"/>
        <v>0</v>
      </c>
      <c r="H63" s="611"/>
      <c r="I63" s="611"/>
      <c r="J63" s="611"/>
      <c r="K63" s="611"/>
      <c r="L63" s="611">
        <v>2385.56</v>
      </c>
      <c r="M63" s="611"/>
      <c r="N63" s="801">
        <v>180.69</v>
      </c>
      <c r="O63" s="611"/>
      <c r="P63" s="611"/>
      <c r="Q63" s="611"/>
      <c r="R63" s="611"/>
      <c r="S63" s="143"/>
      <c r="T63" s="143"/>
      <c r="U63" s="143"/>
      <c r="V63" s="143"/>
      <c r="W63" s="143"/>
      <c r="X63" s="1248">
        <f t="shared" si="14"/>
        <v>0</v>
      </c>
      <c r="Y63" s="611"/>
      <c r="Z63" s="611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03">
        <f t="shared" si="15"/>
        <v>0</v>
      </c>
      <c r="AM63" s="134">
        <v>4083.62</v>
      </c>
      <c r="AN63" s="134">
        <v>1744.74</v>
      </c>
      <c r="AO63" s="136"/>
      <c r="AP63" s="105">
        <f t="shared" si="16"/>
        <v>0</v>
      </c>
      <c r="AQ63" s="143"/>
      <c r="AR63" s="143"/>
      <c r="AS63" s="143"/>
      <c r="AT63" s="146"/>
      <c r="AU63" s="621">
        <f t="shared" si="17"/>
        <v>0</v>
      </c>
      <c r="AV63" s="1554">
        <v>3481.7</v>
      </c>
      <c r="AW63" s="1709"/>
      <c r="AX63" s="1828"/>
      <c r="AY63" s="1828"/>
      <c r="AZ63" s="1690"/>
      <c r="BA63" s="1731"/>
      <c r="BB63" s="1554">
        <v>2234.1</v>
      </c>
      <c r="BC63" s="1709"/>
      <c r="BD63" s="1709"/>
      <c r="BE63" s="1709"/>
      <c r="BF63" s="1709"/>
      <c r="BG63" s="222">
        <f t="shared" si="18"/>
        <v>0</v>
      </c>
      <c r="BH63" s="140">
        <f t="shared" si="19"/>
        <v>0</v>
      </c>
      <c r="BI63" s="132"/>
      <c r="BJ63" s="140">
        <f t="shared" si="20"/>
        <v>0</v>
      </c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29"/>
      <c r="BV63" s="150">
        <v>50</v>
      </c>
      <c r="BW63" s="141"/>
      <c r="BX63" s="130">
        <f t="shared" si="21"/>
        <v>0</v>
      </c>
      <c r="BY63" s="132"/>
    </row>
    <row r="64" ht="14.25" customHeight="1">
      <c r="A64" s="132"/>
      <c r="B64" s="215">
        <v>46077</v>
      </c>
      <c r="C64" s="133">
        <f>21123.23-D64-0</f>
      </c>
      <c r="D64" s="134">
        <v>3582.87</v>
      </c>
      <c r="E64" s="135"/>
      <c r="F64" s="135"/>
      <c r="G64" s="147">
        <f t="shared" si="13"/>
        <v>0</v>
      </c>
      <c r="H64" s="611"/>
      <c r="I64" s="611"/>
      <c r="J64" s="611"/>
      <c r="K64" s="611"/>
      <c r="L64" s="611">
        <v>1321.37</v>
      </c>
      <c r="M64" s="611"/>
      <c r="N64" s="801">
        <v>1397.78</v>
      </c>
      <c r="O64" s="611"/>
      <c r="P64" s="611"/>
      <c r="Q64" s="611"/>
      <c r="R64" s="611"/>
      <c r="S64" s="143"/>
      <c r="T64" s="143"/>
      <c r="U64" s="143"/>
      <c r="V64" s="143"/>
      <c r="W64" s="143"/>
      <c r="X64" s="1248">
        <f t="shared" si="14"/>
        <v>0</v>
      </c>
      <c r="Y64" s="611"/>
      <c r="Z64" s="611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03">
        <f t="shared" si="15"/>
        <v>0</v>
      </c>
      <c r="AM64" s="134">
        <v>3509.78</v>
      </c>
      <c r="AN64" s="134">
        <v>1333.4</v>
      </c>
      <c r="AO64" s="136"/>
      <c r="AP64" s="105">
        <f t="shared" si="16"/>
        <v>0</v>
      </c>
      <c r="AQ64" s="145">
        <v>384.1</v>
      </c>
      <c r="AR64" s="143"/>
      <c r="AS64" s="143"/>
      <c r="AT64" s="146"/>
      <c r="AU64" s="621">
        <f t="shared" si="17"/>
        <v>0</v>
      </c>
      <c r="AV64" s="1554">
        <v>2032.4</v>
      </c>
      <c r="AW64" s="1709"/>
      <c r="AX64" s="1828"/>
      <c r="AY64" s="1828"/>
      <c r="AZ64" s="1690"/>
      <c r="BA64" s="1731"/>
      <c r="BB64" s="1554">
        <v>2249.4</v>
      </c>
      <c r="BC64" s="1709"/>
      <c r="BD64" s="1709"/>
      <c r="BE64" s="1709"/>
      <c r="BF64" s="1709"/>
      <c r="BG64" s="222">
        <f t="shared" si="18"/>
        <v>0</v>
      </c>
      <c r="BH64" s="140">
        <f t="shared" si="19"/>
        <v>0</v>
      </c>
      <c r="BI64" s="132"/>
      <c r="BJ64" s="140">
        <f t="shared" si="20"/>
        <v>0</v>
      </c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29"/>
      <c r="BV64" s="150">
        <v>50</v>
      </c>
      <c r="BW64" s="141"/>
      <c r="BX64" s="130">
        <f t="shared" si="21"/>
        <v>0</v>
      </c>
      <c r="BY64" s="132"/>
    </row>
    <row r="65" ht="14.25" customHeight="1">
      <c r="A65" s="132"/>
      <c r="B65" s="215">
        <v>46078</v>
      </c>
      <c r="C65" s="133">
        <f>15368.33-D65-0</f>
      </c>
      <c r="D65" s="134">
        <v>4310.77</v>
      </c>
      <c r="E65" s="135"/>
      <c r="F65" s="135"/>
      <c r="G65" s="147">
        <f t="shared" si="13"/>
        <v>0</v>
      </c>
      <c r="H65" s="611"/>
      <c r="I65" s="611"/>
      <c r="J65" s="611"/>
      <c r="K65" s="611"/>
      <c r="L65" s="801">
        <v>2101.7</v>
      </c>
      <c r="M65" s="611"/>
      <c r="N65" s="611"/>
      <c r="O65" s="611"/>
      <c r="P65" s="611"/>
      <c r="Q65" s="611"/>
      <c r="R65" s="611"/>
      <c r="S65" s="143"/>
      <c r="T65" s="143"/>
      <c r="U65" s="143"/>
      <c r="V65" s="143"/>
      <c r="W65" s="143"/>
      <c r="X65" s="1248">
        <f t="shared" si="14"/>
        <v>0</v>
      </c>
      <c r="Y65" s="611"/>
      <c r="Z65" s="611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03">
        <f t="shared" si="15"/>
        <v>0</v>
      </c>
      <c r="AM65" s="134">
        <v>5504.08</v>
      </c>
      <c r="AN65" s="134">
        <v>1973.55</v>
      </c>
      <c r="AO65" s="136"/>
      <c r="AP65" s="105">
        <f t="shared" si="16"/>
        <v>0</v>
      </c>
      <c r="AQ65" s="145">
        <v>521.67</v>
      </c>
      <c r="AR65" s="143"/>
      <c r="AS65" s="143"/>
      <c r="AT65" s="146"/>
      <c r="AU65" s="621">
        <f t="shared" si="17"/>
        <v>0</v>
      </c>
      <c r="AV65" s="1554">
        <v>2697.7</v>
      </c>
      <c r="AW65" s="1718">
        <v>149.9</v>
      </c>
      <c r="AX65" s="1828"/>
      <c r="AY65" s="1828"/>
      <c r="AZ65" s="1690"/>
      <c r="BA65" s="1731"/>
      <c r="BB65" s="1554">
        <v>2337.2</v>
      </c>
      <c r="BC65" s="1709"/>
      <c r="BD65" s="1709"/>
      <c r="BE65" s="1709"/>
      <c r="BF65" s="1709"/>
      <c r="BG65" s="222">
        <f t="shared" si="18"/>
        <v>0</v>
      </c>
      <c r="BH65" s="140">
        <f t="shared" si="19"/>
        <v>0</v>
      </c>
      <c r="BI65" s="132"/>
      <c r="BJ65" s="140">
        <f t="shared" si="20"/>
        <v>0</v>
      </c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41"/>
      <c r="BV65" s="150">
        <v>82.5</v>
      </c>
      <c r="BW65" s="141"/>
      <c r="BX65" s="130">
        <f t="shared" si="21"/>
        <v>0</v>
      </c>
      <c r="BY65" s="132"/>
    </row>
    <row r="66" ht="14.25" customHeight="1">
      <c r="A66" s="132"/>
      <c r="B66" s="215">
        <v>46079</v>
      </c>
      <c r="C66" s="133">
        <f>14485.90-D66-0</f>
      </c>
      <c r="D66" s="134">
        <v>4240.42</v>
      </c>
      <c r="E66" s="135"/>
      <c r="F66" s="135"/>
      <c r="G66" s="147">
        <f t="shared" si="13"/>
        <v>0</v>
      </c>
      <c r="H66" s="611"/>
      <c r="I66" s="611"/>
      <c r="J66" s="611"/>
      <c r="K66" s="611"/>
      <c r="L66" s="748">
        <v>1406.72</v>
      </c>
      <c r="M66" s="641"/>
      <c r="N66" s="748">
        <v>85.99</v>
      </c>
      <c r="O66" s="611"/>
      <c r="P66" s="611"/>
      <c r="Q66" s="641"/>
      <c r="R66" s="641"/>
      <c r="S66" s="143"/>
      <c r="T66" s="143"/>
      <c r="U66" s="143"/>
      <c r="V66" s="143"/>
      <c r="W66" s="143"/>
      <c r="X66" s="1248">
        <f t="shared" si="14"/>
        <v>0</v>
      </c>
      <c r="Y66" s="611"/>
      <c r="Z66" s="611"/>
      <c r="AA66" s="143"/>
      <c r="AB66" s="143"/>
      <c r="AC66" s="143"/>
      <c r="AD66" s="143"/>
      <c r="AE66" s="143"/>
      <c r="AF66" s="143"/>
      <c r="AG66" s="143"/>
      <c r="AH66" s="143"/>
      <c r="AI66" s="143"/>
      <c r="AJ66" s="143"/>
      <c r="AK66" s="143"/>
      <c r="AL66" s="103">
        <f t="shared" si="15"/>
        <v>0</v>
      </c>
      <c r="AM66" s="134">
        <v>5273.47</v>
      </c>
      <c r="AN66" s="134">
        <v>1634.24</v>
      </c>
      <c r="AO66" s="136"/>
      <c r="AP66" s="105">
        <f t="shared" si="16"/>
        <v>0</v>
      </c>
      <c r="AQ66" s="145">
        <v>632.81</v>
      </c>
      <c r="AR66" s="143"/>
      <c r="AS66" s="143"/>
      <c r="AT66" s="146"/>
      <c r="AU66" s="621">
        <f t="shared" si="17"/>
        <v>0</v>
      </c>
      <c r="AV66" s="1554">
        <v>2796.5</v>
      </c>
      <c r="AW66" s="1709"/>
      <c r="AX66" s="1828"/>
      <c r="AY66" s="1828"/>
      <c r="AZ66" s="1690"/>
      <c r="BA66" s="1731"/>
      <c r="BB66" s="1554">
        <v>2606</v>
      </c>
      <c r="BC66" s="1709"/>
      <c r="BD66" s="1709"/>
      <c r="BE66" s="1709"/>
      <c r="BF66" s="1709"/>
      <c r="BG66" s="222">
        <f t="shared" si="18"/>
        <v>0</v>
      </c>
      <c r="BH66" s="140">
        <f t="shared" si="19"/>
        <v>0</v>
      </c>
      <c r="BI66" s="132"/>
      <c r="BJ66" s="140">
        <f t="shared" si="20"/>
        <v>0</v>
      </c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29"/>
      <c r="BV66" s="150">
        <v>50</v>
      </c>
      <c r="BW66" s="141"/>
      <c r="BX66" s="130">
        <f t="shared" si="21"/>
        <v>0</v>
      </c>
      <c r="BY66" s="132"/>
    </row>
    <row r="67" ht="14.25" customHeight="1">
      <c r="A67" s="132"/>
      <c r="B67" s="215">
        <v>46080</v>
      </c>
      <c r="C67" s="133">
        <f>17091.33-D67-0</f>
      </c>
      <c r="D67" s="134">
        <v>6059.82</v>
      </c>
      <c r="E67" s="135"/>
      <c r="F67" s="135"/>
      <c r="G67" s="147">
        <f t="shared" si="13"/>
        <v>0</v>
      </c>
      <c r="H67" s="801">
        <v>833.61</v>
      </c>
      <c r="I67" s="611"/>
      <c r="J67" s="611"/>
      <c r="K67" s="611"/>
      <c r="L67" s="611">
        <v>1943.87</v>
      </c>
      <c r="M67" s="611"/>
      <c r="N67" s="801">
        <v>152.59</v>
      </c>
      <c r="O67" s="611"/>
      <c r="P67" s="611"/>
      <c r="Q67" s="611"/>
      <c r="R67" s="611"/>
      <c r="S67" s="143"/>
      <c r="T67" s="143"/>
      <c r="U67" s="143"/>
      <c r="V67" s="143"/>
      <c r="W67" s="143"/>
      <c r="X67" s="1248">
        <f t="shared" si="14"/>
        <v>0</v>
      </c>
      <c r="Y67" s="611"/>
      <c r="Z67" s="611"/>
      <c r="AA67" s="143"/>
      <c r="AB67" s="143"/>
      <c r="AC67" s="143"/>
      <c r="AD67" s="143"/>
      <c r="AE67" s="143"/>
      <c r="AF67" s="143"/>
      <c r="AG67" s="143"/>
      <c r="AH67" s="143"/>
      <c r="AI67" s="143"/>
      <c r="AJ67" s="143"/>
      <c r="AK67" s="143"/>
      <c r="AL67" s="103">
        <f t="shared" si="15"/>
        <v>0</v>
      </c>
      <c r="AM67" s="134">
        <v>4618.49</v>
      </c>
      <c r="AN67" s="134">
        <v>2961.54</v>
      </c>
      <c r="AO67" s="136"/>
      <c r="AP67" s="105">
        <f t="shared" si="16"/>
        <v>0</v>
      </c>
      <c r="AQ67" s="145">
        <v>424.91</v>
      </c>
      <c r="AR67" s="143"/>
      <c r="AS67" s="143"/>
      <c r="AT67" s="146">
        <v>0.69</v>
      </c>
      <c r="AU67" s="621">
        <f t="shared" si="17"/>
        <v>0</v>
      </c>
      <c r="AV67" s="1554">
        <v>3008</v>
      </c>
      <c r="AW67" s="1709"/>
      <c r="AX67" s="1828"/>
      <c r="AY67" s="1828"/>
      <c r="AZ67" s="1690"/>
      <c r="BA67" s="1731"/>
      <c r="BB67" s="1554">
        <v>3097.6</v>
      </c>
      <c r="BC67" s="1709"/>
      <c r="BD67" s="1709"/>
      <c r="BE67" s="1709"/>
      <c r="BF67" s="1709"/>
      <c r="BG67" s="222">
        <f t="shared" si="18"/>
        <v>0</v>
      </c>
      <c r="BH67" s="140">
        <f t="shared" si="19"/>
        <v>0</v>
      </c>
      <c r="BI67" s="132"/>
      <c r="BJ67" s="140">
        <f t="shared" si="20"/>
        <v>0</v>
      </c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29"/>
      <c r="BV67" s="150">
        <v>50</v>
      </c>
      <c r="BW67" s="141"/>
      <c r="BX67" s="130">
        <f t="shared" si="21"/>
        <v>0</v>
      </c>
      <c r="BY67" s="132"/>
    </row>
    <row r="68" ht="14.25" customHeight="1">
      <c r="A68" s="132"/>
      <c r="B68" s="215">
        <v>46081</v>
      </c>
      <c r="C68" s="133">
        <f>18560.81-D68-0</f>
      </c>
      <c r="D68" s="134">
        <v>5897.37</v>
      </c>
      <c r="E68" s="135"/>
      <c r="F68" s="135"/>
      <c r="G68" s="147">
        <f t="shared" si="13"/>
        <v>0</v>
      </c>
      <c r="H68" s="611"/>
      <c r="I68" s="611"/>
      <c r="J68" s="611"/>
      <c r="K68" s="611"/>
      <c r="L68" s="801">
        <v>1809.26</v>
      </c>
      <c r="M68" s="611"/>
      <c r="N68" s="611"/>
      <c r="O68" s="611"/>
      <c r="P68" s="611"/>
      <c r="Q68" s="611"/>
      <c r="R68" s="611"/>
      <c r="S68" s="143"/>
      <c r="T68" s="143"/>
      <c r="U68" s="143"/>
      <c r="V68" s="143"/>
      <c r="W68" s="143"/>
      <c r="X68" s="1248">
        <f t="shared" si="14"/>
        <v>0</v>
      </c>
      <c r="Y68" s="611"/>
      <c r="Z68" s="611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03">
        <f t="shared" si="15"/>
        <v>0</v>
      </c>
      <c r="AM68" s="134">
        <v>7091.75</v>
      </c>
      <c r="AN68" s="134">
        <v>2166.2</v>
      </c>
      <c r="AO68" s="136"/>
      <c r="AP68" s="105">
        <f t="shared" si="16"/>
        <v>0</v>
      </c>
      <c r="AQ68" s="145">
        <v>806.87</v>
      </c>
      <c r="AR68" s="143"/>
      <c r="AS68" s="143"/>
      <c r="AT68" s="146"/>
      <c r="AU68" s="621">
        <f t="shared" si="17"/>
        <v>0</v>
      </c>
      <c r="AV68" s="1554">
        <v>2655.5</v>
      </c>
      <c r="AW68" s="1835">
        <v>250</v>
      </c>
      <c r="AX68" s="1832"/>
      <c r="AY68" s="1828"/>
      <c r="AZ68" s="1690"/>
      <c r="BA68" s="1731"/>
      <c r="BB68" s="1554">
        <v>3731.1</v>
      </c>
      <c r="BC68" s="1709"/>
      <c r="BD68" s="1709"/>
      <c r="BE68" s="1709"/>
      <c r="BF68" s="1709"/>
      <c r="BG68" s="222">
        <f t="shared" si="18"/>
        <v>0</v>
      </c>
      <c r="BH68" s="140">
        <f t="shared" si="19"/>
        <v>0</v>
      </c>
      <c r="BI68" s="132"/>
      <c r="BJ68" s="140">
        <f t="shared" si="20"/>
        <v>0</v>
      </c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29"/>
      <c r="BV68" s="150">
        <v>50</v>
      </c>
      <c r="BW68" s="141"/>
      <c r="BX68" s="130">
        <f t="shared" si="21"/>
        <v>0</v>
      </c>
      <c r="BY68" s="132"/>
    </row>
    <row r="69" ht="14.25" customHeight="1">
      <c r="A69" s="132"/>
      <c r="B69" s="117"/>
      <c r="C69" s="133"/>
      <c r="D69" s="136"/>
      <c r="E69" s="135"/>
      <c r="F69" s="135"/>
      <c r="G69" s="147">
        <f t="shared" si="13"/>
        <v>0</v>
      </c>
      <c r="H69" s="611"/>
      <c r="I69" s="611"/>
      <c r="J69" s="611"/>
      <c r="K69" s="611"/>
      <c r="L69" s="611"/>
      <c r="M69" s="611"/>
      <c r="N69" s="611"/>
      <c r="O69" s="611"/>
      <c r="P69" s="611"/>
      <c r="Q69" s="611"/>
      <c r="R69" s="611"/>
      <c r="S69" s="143"/>
      <c r="T69" s="143"/>
      <c r="U69" s="143"/>
      <c r="V69" s="143"/>
      <c r="W69" s="143"/>
      <c r="X69" s="1248">
        <f t="shared" si="14"/>
        <v>0</v>
      </c>
      <c r="Y69" s="611"/>
      <c r="Z69" s="611"/>
      <c r="AA69" s="143"/>
      <c r="AB69" s="143"/>
      <c r="AC69" s="143"/>
      <c r="AD69" s="143"/>
      <c r="AE69" s="143"/>
      <c r="AF69" s="143"/>
      <c r="AG69" s="143"/>
      <c r="AH69" s="143"/>
      <c r="AI69" s="143"/>
      <c r="AJ69" s="143"/>
      <c r="AK69" s="143"/>
      <c r="AL69" s="103">
        <f t="shared" si="15"/>
        <v>0</v>
      </c>
      <c r="AM69" s="136"/>
      <c r="AN69" s="136"/>
      <c r="AO69" s="136"/>
      <c r="AP69" s="105">
        <f t="shared" si="16"/>
        <v>0</v>
      </c>
      <c r="AQ69" s="143"/>
      <c r="AR69" s="143"/>
      <c r="AS69" s="143"/>
      <c r="AT69" s="146"/>
      <c r="AU69" s="621">
        <f t="shared" si="17"/>
        <v>0</v>
      </c>
      <c r="AV69" s="1557"/>
      <c r="AW69" s="1720"/>
      <c r="AX69" s="1832"/>
      <c r="AY69" s="1828"/>
      <c r="AZ69" s="1690"/>
      <c r="BA69" s="1731"/>
      <c r="BB69" s="1557"/>
      <c r="BC69" s="1709"/>
      <c r="BD69" s="1709"/>
      <c r="BE69" s="1709"/>
      <c r="BF69" s="1709"/>
      <c r="BG69" s="222">
        <f t="shared" si="18"/>
        <v>0</v>
      </c>
      <c r="BH69" s="140">
        <f t="shared" si="19"/>
        <v>0</v>
      </c>
      <c r="BI69" s="132"/>
      <c r="BJ69" s="140">
        <f t="shared" si="20"/>
        <v>0</v>
      </c>
      <c r="BK69" s="141"/>
      <c r="BL69" s="141"/>
      <c r="BM69" s="141"/>
      <c r="BN69" s="141"/>
      <c r="BO69" s="141"/>
      <c r="BP69" s="141"/>
      <c r="BQ69" s="141"/>
      <c r="BR69" s="141"/>
      <c r="BS69" s="141"/>
      <c r="BT69" s="141"/>
      <c r="BU69" s="129"/>
      <c r="BV69" s="141"/>
      <c r="BW69" s="141"/>
      <c r="BX69" s="130">
        <f t="shared" si="21"/>
        <v>0</v>
      </c>
      <c r="BY69" s="132"/>
    </row>
    <row r="70" ht="14.25" customHeight="1">
      <c r="A70" s="22"/>
      <c r="B70" s="2" t="s">
        <v>76</v>
      </c>
      <c r="C70" s="166">
        <f ref="C70:D70" t="shared" si="22">SUM(C41:C69)</f>
        <v>0</v>
      </c>
      <c r="D70" s="166">
        <f t="shared" si="22"/>
        <v>0</v>
      </c>
      <c r="E70" s="166">
        <f ref="E70:H70" t="shared" si="23">SUM(E41:E68)</f>
        <v>0</v>
      </c>
      <c r="F70" s="166">
        <f t="shared" si="23"/>
        <v>0</v>
      </c>
      <c r="G70" s="166">
        <f t="shared" si="23"/>
        <v>0</v>
      </c>
      <c r="H70" s="166">
        <f t="shared" si="23"/>
        <v>0</v>
      </c>
      <c r="I70" s="166"/>
      <c r="J70" s="166">
        <f>SUM(J41:J68)</f>
        <v>0</v>
      </c>
      <c r="K70" s="166"/>
      <c r="L70" s="166">
        <f>SUM(L41:L69)</f>
        <v>0</v>
      </c>
      <c r="M70" s="166"/>
      <c r="N70" s="617">
        <f ref="N70:P70" t="shared" si="24">SUM(N41:N68)</f>
        <v>0</v>
      </c>
      <c r="O70" s="166">
        <f t="shared" si="24"/>
        <v>0</v>
      </c>
      <c r="P70" s="166">
        <f t="shared" si="24"/>
        <v>0</v>
      </c>
      <c r="Q70" s="166"/>
      <c r="R70" s="166">
        <f ref="R70:X70" t="shared" si="25">SUM(R41:R68)</f>
        <v>0</v>
      </c>
      <c r="S70" s="166">
        <f t="shared" si="25"/>
        <v>0</v>
      </c>
      <c r="T70" s="166">
        <f t="shared" si="25"/>
        <v>0</v>
      </c>
      <c r="U70" s="166">
        <f t="shared" si="25"/>
        <v>0</v>
      </c>
      <c r="V70" s="166">
        <f t="shared" si="25"/>
        <v>0</v>
      </c>
      <c r="W70" s="166">
        <f t="shared" si="25"/>
        <v>0</v>
      </c>
      <c r="X70" s="1271">
        <f t="shared" si="25"/>
        <v>0</v>
      </c>
      <c r="Y70" s="617"/>
      <c r="Z70" s="617">
        <f ref="Z70:AH70" t="shared" si="26">SUM(Z41:Z68)</f>
        <v>0</v>
      </c>
      <c r="AA70" s="166">
        <f t="shared" si="26"/>
        <v>0</v>
      </c>
      <c r="AB70" s="166">
        <f t="shared" si="26"/>
        <v>0</v>
      </c>
      <c r="AC70" s="166">
        <f t="shared" si="26"/>
        <v>0</v>
      </c>
      <c r="AD70" s="166">
        <f t="shared" si="26"/>
        <v>0</v>
      </c>
      <c r="AE70" s="166">
        <f t="shared" si="26"/>
        <v>0</v>
      </c>
      <c r="AF70" s="166">
        <f t="shared" si="26"/>
        <v>0</v>
      </c>
      <c r="AG70" s="166">
        <f t="shared" si="26"/>
        <v>0</v>
      </c>
      <c r="AH70" s="166">
        <f t="shared" si="26"/>
        <v>0</v>
      </c>
      <c r="AI70" s="166"/>
      <c r="AJ70" s="166">
        <f ref="AJ70:AL70" t="shared" si="27">SUM(AJ41:AJ68)</f>
        <v>0</v>
      </c>
      <c r="AK70" s="166">
        <f t="shared" si="27"/>
        <v>0</v>
      </c>
      <c r="AL70" s="166">
        <f t="shared" si="27"/>
        <v>0</v>
      </c>
      <c r="AM70" s="166">
        <f>SUM(AM41:AM69)</f>
        <v>0</v>
      </c>
      <c r="AN70" s="166">
        <f ref="AN70:AU70" t="shared" si="28">SUM(AN41:AN68)</f>
        <v>0</v>
      </c>
      <c r="AO70" s="166">
        <f t="shared" si="28"/>
        <v>0</v>
      </c>
      <c r="AP70" s="166">
        <f t="shared" si="28"/>
        <v>0</v>
      </c>
      <c r="AQ70" s="166">
        <f t="shared" si="28"/>
        <v>0</v>
      </c>
      <c r="AR70" s="166">
        <f t="shared" si="28"/>
        <v>0</v>
      </c>
      <c r="AS70" s="166">
        <f t="shared" si="28"/>
        <v>0</v>
      </c>
      <c r="AT70" s="166">
        <f t="shared" si="28"/>
        <v>0</v>
      </c>
      <c r="AU70" s="166">
        <f t="shared" si="28"/>
        <v>0</v>
      </c>
      <c r="AV70" s="165">
        <f>SUM(AV41:AV69)</f>
        <v>0</v>
      </c>
      <c r="AW70" s="165">
        <f ref="AW70:BA70" t="shared" si="29">SUM(AW41:AW68)</f>
        <v>0</v>
      </c>
      <c r="AX70" s="165">
        <f t="shared" si="29"/>
        <v>0</v>
      </c>
      <c r="AY70" s="166">
        <f t="shared" si="29"/>
        <v>0</v>
      </c>
      <c r="AZ70" s="166">
        <f t="shared" si="29"/>
        <v>0</v>
      </c>
      <c r="BA70" s="166">
        <f t="shared" si="29"/>
        <v>0</v>
      </c>
      <c r="BB70" s="165">
        <f>SUM(BB41:BB69)</f>
        <v>0</v>
      </c>
      <c r="BC70" s="166">
        <f ref="BC70:BH70" t="shared" si="30">SUM(BC41:BC68)</f>
        <v>0</v>
      </c>
      <c r="BD70" s="166">
        <f t="shared" si="30"/>
        <v>0</v>
      </c>
      <c r="BE70" s="166">
        <f t="shared" si="30"/>
        <v>0</v>
      </c>
      <c r="BF70" s="166">
        <f t="shared" si="30"/>
        <v>0</v>
      </c>
      <c r="BG70" s="166">
        <f t="shared" si="30"/>
        <v>0</v>
      </c>
      <c r="BH70" s="166">
        <f t="shared" si="30"/>
        <v>0</v>
      </c>
      <c r="BI70" s="235"/>
      <c r="BJ70" s="166">
        <f ref="BJ70:BX70" t="shared" si="31">SUM(BJ41:BJ68)</f>
        <v>0</v>
      </c>
      <c r="BK70" s="166">
        <f t="shared" si="31"/>
        <v>0</v>
      </c>
      <c r="BL70" s="166">
        <f t="shared" si="31"/>
        <v>0</v>
      </c>
      <c r="BM70" s="166">
        <f t="shared" si="31"/>
        <v>0</v>
      </c>
      <c r="BN70" s="166">
        <f t="shared" si="31"/>
        <v>0</v>
      </c>
      <c r="BO70" s="166">
        <f t="shared" si="31"/>
        <v>0</v>
      </c>
      <c r="BP70" s="166">
        <f t="shared" si="31"/>
        <v>0</v>
      </c>
      <c r="BQ70" s="166">
        <f t="shared" si="31"/>
        <v>0</v>
      </c>
      <c r="BR70" s="166">
        <f t="shared" si="31"/>
        <v>0</v>
      </c>
      <c r="BS70" s="166">
        <f t="shared" si="31"/>
        <v>0</v>
      </c>
      <c r="BT70" s="166">
        <f t="shared" si="31"/>
        <v>0</v>
      </c>
      <c r="BU70" s="166">
        <f t="shared" si="31"/>
        <v>0</v>
      </c>
      <c r="BV70" s="166">
        <f t="shared" si="31"/>
        <v>0</v>
      </c>
      <c r="BW70" s="166">
        <f t="shared" si="31"/>
        <v>0</v>
      </c>
      <c r="BX70" s="166">
        <f t="shared" si="31"/>
        <v>0</v>
      </c>
      <c r="BY70" s="235"/>
    </row>
    <row r="71" ht="14.25" customHeight="1">
      <c r="A71" s="1"/>
      <c r="B71" s="2"/>
      <c r="C71" s="3"/>
      <c r="D71" s="3"/>
      <c r="E71" s="3"/>
      <c r="F71" s="3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3"/>
      <c r="U71" s="3"/>
      <c r="V71" s="3"/>
      <c r="W71" s="3"/>
      <c r="X71" s="873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4"/>
      <c r="AQ71" s="3"/>
      <c r="AR71" s="3"/>
      <c r="AS71" s="3"/>
      <c r="AT71" s="3"/>
      <c r="AU71" s="4"/>
      <c r="AV71" s="628"/>
      <c r="AW71" s="628"/>
      <c r="AX71" s="772"/>
      <c r="AY71" s="772"/>
      <c r="AZ71" s="772"/>
      <c r="BA71" s="628"/>
      <c r="BB71" s="628"/>
      <c r="BC71" s="628"/>
      <c r="BD71" s="628"/>
      <c r="BE71" s="628"/>
      <c r="BF71" s="628"/>
      <c r="BG71" s="4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235"/>
    </row>
    <row r="72" ht="14.25" customHeight="1">
      <c r="A72" s="205"/>
      <c r="B72" s="206"/>
      <c r="C72" s="207"/>
      <c r="D72" s="207"/>
      <c r="E72" s="207"/>
      <c r="F72" s="207"/>
      <c r="G72" s="208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7"/>
      <c r="T72" s="207"/>
      <c r="U72" s="207"/>
      <c r="V72" s="207"/>
      <c r="W72" s="207"/>
      <c r="X72" s="1274"/>
      <c r="Y72" s="205"/>
      <c r="Z72" s="205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8"/>
      <c r="AQ72" s="207"/>
      <c r="AR72" s="207"/>
      <c r="AS72" s="207"/>
      <c r="AT72" s="207"/>
      <c r="AU72" s="208"/>
      <c r="AV72" s="777"/>
      <c r="AW72" s="777"/>
      <c r="AX72" s="1275"/>
      <c r="AY72" s="1275"/>
      <c r="AZ72" s="1276"/>
      <c r="BA72" s="207"/>
      <c r="BB72" s="316"/>
      <c r="BC72" s="316"/>
      <c r="BD72" s="316"/>
      <c r="BE72" s="316"/>
      <c r="BF72" s="316"/>
      <c r="BG72" s="208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</row>
    <row r="73" ht="14.25" customHeight="1">
      <c r="A73" s="3"/>
      <c r="B73" s="512">
        <v>46082</v>
      </c>
      <c r="C73" s="94">
        <f>11592.06-D73-0</f>
      </c>
      <c r="D73" s="95">
        <v>4534.89</v>
      </c>
      <c r="E73" s="97"/>
      <c r="F73" s="97"/>
      <c r="G73" s="265">
        <f ref="G73:G103" t="shared" si="32">+C73+D73+E73+F73</f>
        <v>0</v>
      </c>
      <c r="H73" s="1277"/>
      <c r="I73" s="778"/>
      <c r="J73" s="619"/>
      <c r="K73" s="619"/>
      <c r="L73" s="796">
        <v>1342.27</v>
      </c>
      <c r="M73" s="619"/>
      <c r="N73" s="619"/>
      <c r="O73" s="619"/>
      <c r="P73" s="619"/>
      <c r="Q73" s="619"/>
      <c r="R73" s="619"/>
      <c r="S73" s="186"/>
      <c r="T73" s="186"/>
      <c r="U73" s="186"/>
      <c r="V73" s="186"/>
      <c r="W73" s="186"/>
      <c r="X73" s="1272">
        <f ref="X73:X103" t="shared" si="33">SUM(H73:W73)</f>
        <v>0</v>
      </c>
      <c r="Y73" s="619"/>
      <c r="Z73" s="619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9">
        <f ref="AL73:AL103" t="shared" si="34">SUM(Y73:AK73)</f>
        <v>0</v>
      </c>
      <c r="AM73" s="1836">
        <v>3054.95</v>
      </c>
      <c r="AN73" s="1836">
        <v>1840.96</v>
      </c>
      <c r="AO73" s="104"/>
      <c r="AP73" s="191">
        <f ref="AP73:AP103" t="shared" si="35">SUM(AM73:AO73)</f>
        <v>0</v>
      </c>
      <c r="AQ73" s="1741">
        <v>139.6</v>
      </c>
      <c r="AR73" s="1742"/>
      <c r="AS73" s="1742"/>
      <c r="AT73" s="1743"/>
      <c r="AU73" s="219">
        <f ref="AU73:AU103" t="shared" si="36">+G73-X73-AL73-AP73-AQ73-AR73-AS73-AT73</f>
        <v>0</v>
      </c>
      <c r="AV73" s="1721">
        <v>2520.3</v>
      </c>
      <c r="AW73" s="1708"/>
      <c r="AX73" s="1687"/>
      <c r="AY73" s="1687"/>
      <c r="AZ73" s="1687"/>
      <c r="BA73" s="1826"/>
      <c r="BB73" s="1721">
        <v>2693.9</v>
      </c>
      <c r="BC73" s="1708"/>
      <c r="BD73" s="1708"/>
      <c r="BE73" s="1708"/>
      <c r="BF73" s="1708"/>
      <c r="BG73" s="272">
        <f ref="BG73:BG103" t="shared" si="37">SUM(AV73:BF73)-BE73</f>
        <v>0</v>
      </c>
      <c r="BH73" s="114">
        <f ref="BH73:BH103" t="shared" si="38">+AU73-BG73</f>
        <v>0</v>
      </c>
      <c r="BI73" s="3"/>
      <c r="BJ73" s="114">
        <f ref="BJ73:BJ103" t="shared" si="39">SUM(BK73:BW73)</f>
        <v>0</v>
      </c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6">
        <f ref="BX73:BX103" t="shared" si="40">+BH73-BJ73</f>
        <v>0</v>
      </c>
      <c r="BY73" s="3"/>
    </row>
    <row r="74" ht="14.25" customHeight="1">
      <c r="A74" s="3"/>
      <c r="B74" s="512">
        <v>46083</v>
      </c>
      <c r="C74" s="118">
        <f>19666.29-D74-0</f>
      </c>
      <c r="D74" s="119">
        <v>4142.68</v>
      </c>
      <c r="E74" s="120"/>
      <c r="F74" s="120"/>
      <c r="G74" s="147">
        <f t="shared" si="32"/>
        <v>0</v>
      </c>
      <c r="H74" s="611"/>
      <c r="I74" s="611"/>
      <c r="J74" s="611"/>
      <c r="K74" s="611"/>
      <c r="L74" s="801">
        <v>2368.27</v>
      </c>
      <c r="M74" s="611"/>
      <c r="N74" s="611"/>
      <c r="O74" s="611"/>
      <c r="P74" s="611"/>
      <c r="Q74" s="611"/>
      <c r="R74" s="611"/>
      <c r="S74" s="143"/>
      <c r="T74" s="143"/>
      <c r="U74" s="143"/>
      <c r="V74" s="143"/>
      <c r="W74" s="143"/>
      <c r="X74" s="1248">
        <f t="shared" si="33"/>
        <v>0</v>
      </c>
      <c r="Y74" s="611"/>
      <c r="Z74" s="611"/>
      <c r="AA74" s="143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03">
        <f t="shared" si="34"/>
        <v>0</v>
      </c>
      <c r="AM74" s="1837">
        <v>5575.9</v>
      </c>
      <c r="AN74" s="1837">
        <v>1926.22</v>
      </c>
      <c r="AO74" s="123"/>
      <c r="AP74" s="105">
        <f t="shared" si="35"/>
        <v>0</v>
      </c>
      <c r="AQ74" s="1744">
        <v>82.59</v>
      </c>
      <c r="AR74" s="1745"/>
      <c r="AS74" s="1745"/>
      <c r="AT74" s="1746"/>
      <c r="AU74" s="224">
        <f t="shared" si="36"/>
        <v>0</v>
      </c>
      <c r="AV74" s="1554">
        <v>3583.9</v>
      </c>
      <c r="AW74" s="1718">
        <v>3198</v>
      </c>
      <c r="AX74" s="1690"/>
      <c r="AY74" s="1690"/>
      <c r="AZ74" s="1690"/>
      <c r="BA74" s="1731"/>
      <c r="BB74" s="1554">
        <v>2216.4</v>
      </c>
      <c r="BC74" s="1709"/>
      <c r="BD74" s="1709"/>
      <c r="BE74" s="1709"/>
      <c r="BF74" s="1709"/>
      <c r="BG74" s="222">
        <f t="shared" si="37"/>
        <v>0</v>
      </c>
      <c r="BH74" s="113">
        <f t="shared" si="38"/>
        <v>0</v>
      </c>
      <c r="BI74" s="3"/>
      <c r="BJ74" s="113">
        <f t="shared" si="39"/>
        <v>0</v>
      </c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31">
        <v>714.95</v>
      </c>
      <c r="BW74" s="129"/>
      <c r="BX74" s="130">
        <f t="shared" si="40"/>
        <v>0</v>
      </c>
      <c r="BY74" s="3"/>
    </row>
    <row r="75" ht="14.25" customHeight="1">
      <c r="A75" s="3"/>
      <c r="B75" s="512">
        <v>46084</v>
      </c>
      <c r="C75" s="118">
        <f>14578.91-D75-0</f>
      </c>
      <c r="D75" s="119">
        <v>4613.71</v>
      </c>
      <c r="E75" s="120"/>
      <c r="F75" s="120"/>
      <c r="G75" s="147">
        <f t="shared" si="32"/>
        <v>0</v>
      </c>
      <c r="H75" s="611"/>
      <c r="I75" s="611"/>
      <c r="J75" s="611"/>
      <c r="K75" s="611"/>
      <c r="L75" s="801">
        <v>1209.46</v>
      </c>
      <c r="M75" s="611"/>
      <c r="N75" s="611"/>
      <c r="O75" s="611"/>
      <c r="P75" s="611"/>
      <c r="Q75" s="611"/>
      <c r="R75" s="611"/>
      <c r="S75" s="143"/>
      <c r="T75" s="143"/>
      <c r="U75" s="143"/>
      <c r="V75" s="143"/>
      <c r="W75" s="143"/>
      <c r="X75" s="1248">
        <f t="shared" si="33"/>
        <v>0</v>
      </c>
      <c r="Y75" s="611"/>
      <c r="Z75" s="611"/>
      <c r="AA75" s="143"/>
      <c r="AB75" s="143"/>
      <c r="AC75" s="143"/>
      <c r="AD75" s="143"/>
      <c r="AE75" s="143"/>
      <c r="AF75" s="143"/>
      <c r="AG75" s="143"/>
      <c r="AH75" s="143"/>
      <c r="AI75" s="143"/>
      <c r="AJ75" s="143"/>
      <c r="AK75" s="143"/>
      <c r="AL75" s="103">
        <f t="shared" si="34"/>
        <v>0</v>
      </c>
      <c r="AM75" s="1837">
        <v>5683.43</v>
      </c>
      <c r="AN75" s="1837">
        <v>2230.28</v>
      </c>
      <c r="AO75" s="123"/>
      <c r="AP75" s="105">
        <f t="shared" si="35"/>
        <v>0</v>
      </c>
      <c r="AQ75" s="1744">
        <v>818.89</v>
      </c>
      <c r="AR75" s="1745"/>
      <c r="AS75" s="1745"/>
      <c r="AT75" s="1746"/>
      <c r="AU75" s="224">
        <f t="shared" si="36"/>
        <v>0</v>
      </c>
      <c r="AV75" s="1554">
        <v>2203.3</v>
      </c>
      <c r="AW75" s="1709"/>
      <c r="AX75" s="1828"/>
      <c r="AY75" s="1690"/>
      <c r="AZ75" s="1690"/>
      <c r="BA75" s="1731"/>
      <c r="BB75" s="1554">
        <v>2383.4</v>
      </c>
      <c r="BC75" s="1709"/>
      <c r="BD75" s="1709"/>
      <c r="BE75" s="1709"/>
      <c r="BF75" s="1709"/>
      <c r="BG75" s="222">
        <f t="shared" si="37"/>
        <v>0</v>
      </c>
      <c r="BH75" s="113">
        <f t="shared" si="38"/>
        <v>0</v>
      </c>
      <c r="BI75" s="3"/>
      <c r="BJ75" s="113">
        <f t="shared" si="39"/>
        <v>0</v>
      </c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31">
        <v>50</v>
      </c>
      <c r="BW75" s="129"/>
      <c r="BX75" s="130">
        <f t="shared" si="40"/>
        <v>0</v>
      </c>
      <c r="BY75" s="3"/>
    </row>
    <row r="76" ht="14.25" customHeight="1">
      <c r="A76" s="3"/>
      <c r="B76" s="512">
        <v>46085</v>
      </c>
      <c r="C76" s="228">
        <f>13791.12-D76-0</f>
      </c>
      <c r="D76" s="119"/>
      <c r="E76" s="120"/>
      <c r="F76" s="120"/>
      <c r="G76" s="147">
        <f t="shared" si="32"/>
        <v>0</v>
      </c>
      <c r="H76" s="611"/>
      <c r="I76" s="611"/>
      <c r="J76" s="611"/>
      <c r="K76" s="611"/>
      <c r="L76" s="611">
        <v>2434.17</v>
      </c>
      <c r="M76" s="611"/>
      <c r="N76" s="801">
        <v>2398.5</v>
      </c>
      <c r="O76" s="611"/>
      <c r="P76" s="611"/>
      <c r="Q76" s="611"/>
      <c r="R76" s="611"/>
      <c r="S76" s="143"/>
      <c r="T76" s="143"/>
      <c r="U76" s="143"/>
      <c r="V76" s="143"/>
      <c r="W76" s="143"/>
      <c r="X76" s="1248">
        <f t="shared" si="33"/>
        <v>0</v>
      </c>
      <c r="Y76" s="611"/>
      <c r="Z76" s="611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  <c r="AL76" s="103">
        <f t="shared" si="34"/>
        <v>0</v>
      </c>
      <c r="AM76" s="1837">
        <v>4694.41</v>
      </c>
      <c r="AN76" s="1837"/>
      <c r="AO76" s="123"/>
      <c r="AP76" s="105">
        <f t="shared" si="35"/>
        <v>0</v>
      </c>
      <c r="AQ76" s="1744">
        <v>554.57</v>
      </c>
      <c r="AR76" s="1745"/>
      <c r="AS76" s="1745"/>
      <c r="AT76" s="1746"/>
      <c r="AU76" s="224">
        <f t="shared" si="36"/>
        <v>0</v>
      </c>
      <c r="AV76" s="1554">
        <v>3659.4</v>
      </c>
      <c r="AW76" s="1709"/>
      <c r="AX76" s="1828"/>
      <c r="AY76" s="1690"/>
      <c r="AZ76" s="1690"/>
      <c r="BA76" s="1731"/>
      <c r="BB76" s="1626"/>
      <c r="BC76" s="1709"/>
      <c r="BD76" s="1709"/>
      <c r="BE76" s="1709"/>
      <c r="BF76" s="1709"/>
      <c r="BG76" s="222">
        <f t="shared" si="37"/>
        <v>0</v>
      </c>
      <c r="BH76" s="113">
        <f t="shared" si="38"/>
        <v>0</v>
      </c>
      <c r="BI76" s="3"/>
      <c r="BJ76" s="113">
        <f t="shared" si="39"/>
        <v>0</v>
      </c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31">
        <v>50</v>
      </c>
      <c r="BW76" s="129"/>
      <c r="BX76" s="130">
        <f t="shared" si="40"/>
        <v>0</v>
      </c>
      <c r="BY76" s="3"/>
    </row>
    <row r="77" ht="14.25" customHeight="1">
      <c r="A77" s="132"/>
      <c r="B77" s="512">
        <v>46086</v>
      </c>
      <c r="C77" s="230">
        <f>18888.21-D77-0</f>
      </c>
      <c r="D77" s="134"/>
      <c r="E77" s="135"/>
      <c r="F77" s="135"/>
      <c r="G77" s="147">
        <f t="shared" si="32"/>
        <v>0</v>
      </c>
      <c r="H77" s="611"/>
      <c r="I77" s="801"/>
      <c r="J77" s="611"/>
      <c r="K77" s="611"/>
      <c r="L77" s="611">
        <v>2828.84</v>
      </c>
      <c r="M77" s="611"/>
      <c r="N77" s="801">
        <v>3090.93</v>
      </c>
      <c r="O77" s="611"/>
      <c r="P77" s="611"/>
      <c r="Q77" s="611"/>
      <c r="R77" s="611"/>
      <c r="S77" s="143"/>
      <c r="T77" s="143"/>
      <c r="U77" s="143"/>
      <c r="V77" s="143"/>
      <c r="W77" s="143"/>
      <c r="X77" s="1248">
        <f t="shared" si="33"/>
        <v>0</v>
      </c>
      <c r="Y77" s="611"/>
      <c r="Z77" s="611"/>
      <c r="AA77" s="143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03">
        <f t="shared" si="34"/>
        <v>0</v>
      </c>
      <c r="AM77" s="1838">
        <v>5986.69</v>
      </c>
      <c r="AN77" s="1838"/>
      <c r="AO77" s="136"/>
      <c r="AP77" s="105">
        <f t="shared" si="35"/>
        <v>0</v>
      </c>
      <c r="AQ77" s="1744">
        <v>480.03</v>
      </c>
      <c r="AR77" s="1745"/>
      <c r="AS77" s="1745"/>
      <c r="AT77" s="1746"/>
      <c r="AU77" s="224">
        <f t="shared" si="36"/>
        <v>0</v>
      </c>
      <c r="AV77" s="1554">
        <v>2877.7</v>
      </c>
      <c r="AW77" s="1718">
        <v>3198</v>
      </c>
      <c r="AX77" s="1690"/>
      <c r="AY77" s="1690"/>
      <c r="AZ77" s="1690"/>
      <c r="BA77" s="1731"/>
      <c r="BB77" s="1626"/>
      <c r="BC77" s="1709"/>
      <c r="BD77" s="1709"/>
      <c r="BE77" s="1709"/>
      <c r="BF77" s="1709"/>
      <c r="BG77" s="222">
        <f t="shared" si="37"/>
        <v>0</v>
      </c>
      <c r="BH77" s="140">
        <f t="shared" si="38"/>
        <v>0</v>
      </c>
      <c r="BI77" s="132"/>
      <c r="BJ77" s="140">
        <f t="shared" si="39"/>
        <v>0</v>
      </c>
      <c r="BK77" s="141"/>
      <c r="BL77" s="141"/>
      <c r="BM77" s="141"/>
      <c r="BN77" s="141"/>
      <c r="BO77" s="141"/>
      <c r="BP77" s="141"/>
      <c r="BQ77" s="141"/>
      <c r="BR77" s="141"/>
      <c r="BS77" s="141"/>
      <c r="BT77" s="141"/>
      <c r="BU77" s="141"/>
      <c r="BV77" s="150">
        <v>350</v>
      </c>
      <c r="BW77" s="141"/>
      <c r="BX77" s="130">
        <f t="shared" si="40"/>
        <v>0</v>
      </c>
      <c r="BY77" s="132"/>
    </row>
    <row r="78" ht="14.25" customHeight="1">
      <c r="A78" s="132"/>
      <c r="B78" s="512">
        <v>46087</v>
      </c>
      <c r="C78" s="230">
        <f>12697.87-D78-0</f>
      </c>
      <c r="D78" s="134"/>
      <c r="E78" s="135"/>
      <c r="F78" s="135"/>
      <c r="G78" s="147">
        <f t="shared" si="32"/>
        <v>0</v>
      </c>
      <c r="H78" s="768"/>
      <c r="I78" s="768"/>
      <c r="J78" s="611"/>
      <c r="K78" s="611"/>
      <c r="L78" s="611">
        <v>1766.32</v>
      </c>
      <c r="M78" s="611"/>
      <c r="N78" s="801">
        <v>220.11</v>
      </c>
      <c r="O78" s="611"/>
      <c r="P78" s="611"/>
      <c r="Q78" s="611"/>
      <c r="R78" s="611"/>
      <c r="S78" s="143"/>
      <c r="T78" s="143"/>
      <c r="U78" s="143"/>
      <c r="V78" s="143"/>
      <c r="W78" s="143"/>
      <c r="X78" s="1248">
        <f t="shared" si="33"/>
        <v>0</v>
      </c>
      <c r="Y78" s="611"/>
      <c r="Z78" s="611"/>
      <c r="AA78" s="143"/>
      <c r="AB78" s="143"/>
      <c r="AC78" s="143"/>
      <c r="AD78" s="143"/>
      <c r="AE78" s="143"/>
      <c r="AF78" s="143"/>
      <c r="AG78" s="143"/>
      <c r="AH78" s="143"/>
      <c r="AI78" s="143"/>
      <c r="AJ78" s="143"/>
      <c r="AK78" s="143"/>
      <c r="AL78" s="103">
        <f t="shared" si="34"/>
        <v>0</v>
      </c>
      <c r="AM78" s="1838">
        <v>6402.67</v>
      </c>
      <c r="AN78" s="1838"/>
      <c r="AO78" s="136"/>
      <c r="AP78" s="105">
        <f t="shared" si="35"/>
        <v>0</v>
      </c>
      <c r="AQ78" s="1744">
        <v>732.81</v>
      </c>
      <c r="AR78" s="1745"/>
      <c r="AS78" s="1745"/>
      <c r="AT78" s="1746"/>
      <c r="AU78" s="224">
        <f t="shared" si="36"/>
        <v>0</v>
      </c>
      <c r="AV78" s="1554">
        <v>3525.9</v>
      </c>
      <c r="AW78" s="1709"/>
      <c r="AX78" s="1828"/>
      <c r="AY78" s="1690"/>
      <c r="AZ78" s="1690"/>
      <c r="BA78" s="1731"/>
      <c r="BB78" s="1626"/>
      <c r="BC78" s="1709"/>
      <c r="BD78" s="1709"/>
      <c r="BE78" s="1709"/>
      <c r="BF78" s="1709"/>
      <c r="BG78" s="222">
        <f t="shared" si="37"/>
        <v>0</v>
      </c>
      <c r="BH78" s="140">
        <f t="shared" si="38"/>
        <v>0</v>
      </c>
      <c r="BI78" s="132"/>
      <c r="BJ78" s="140">
        <f t="shared" si="39"/>
        <v>0</v>
      </c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50">
        <v>50</v>
      </c>
      <c r="BW78" s="141"/>
      <c r="BX78" s="130">
        <f t="shared" si="40"/>
        <v>0</v>
      </c>
      <c r="BY78" s="132"/>
    </row>
    <row r="79" ht="14.25" customHeight="1">
      <c r="A79" s="132"/>
      <c r="B79" s="512">
        <v>46088</v>
      </c>
      <c r="C79" s="230">
        <f>12867.07-D79-0</f>
      </c>
      <c r="D79" s="134"/>
      <c r="E79" s="135"/>
      <c r="F79" s="135"/>
      <c r="G79" s="147">
        <f t="shared" si="32"/>
        <v>0</v>
      </c>
      <c r="H79" s="1070">
        <v>936.24</v>
      </c>
      <c r="I79" s="768"/>
      <c r="J79" s="611"/>
      <c r="K79" s="611"/>
      <c r="L79" s="611">
        <v>1221</v>
      </c>
      <c r="M79" s="611"/>
      <c r="N79" s="801">
        <v>2460.32</v>
      </c>
      <c r="O79" s="611"/>
      <c r="P79" s="611"/>
      <c r="Q79" s="611"/>
      <c r="R79" s="611"/>
      <c r="S79" s="143"/>
      <c r="T79" s="143"/>
      <c r="U79" s="143"/>
      <c r="V79" s="143"/>
      <c r="W79" s="143"/>
      <c r="X79" s="1248">
        <f t="shared" si="33"/>
        <v>0</v>
      </c>
      <c r="Y79" s="611"/>
      <c r="Z79" s="611"/>
      <c r="AA79" s="143"/>
      <c r="AB79" s="143"/>
      <c r="AC79" s="143"/>
      <c r="AD79" s="143"/>
      <c r="AE79" s="143"/>
      <c r="AF79" s="143"/>
      <c r="AG79" s="143"/>
      <c r="AH79" s="143"/>
      <c r="AI79" s="143"/>
      <c r="AJ79" s="143"/>
      <c r="AK79" s="143"/>
      <c r="AL79" s="103">
        <f t="shared" si="34"/>
        <v>0</v>
      </c>
      <c r="AM79" s="1838">
        <v>4464.55</v>
      </c>
      <c r="AN79" s="1838"/>
      <c r="AO79" s="136"/>
      <c r="AP79" s="105">
        <f t="shared" si="35"/>
        <v>0</v>
      </c>
      <c r="AQ79" s="1744">
        <v>372.67</v>
      </c>
      <c r="AR79" s="1745"/>
      <c r="AS79" s="1745"/>
      <c r="AT79" s="1746"/>
      <c r="AU79" s="224">
        <f t="shared" si="36"/>
        <v>0</v>
      </c>
      <c r="AV79" s="1554">
        <v>3362.2</v>
      </c>
      <c r="AW79" s="1709"/>
      <c r="AX79" s="1690"/>
      <c r="AY79" s="1690"/>
      <c r="AZ79" s="1690"/>
      <c r="BA79" s="1731"/>
      <c r="BB79" s="1626"/>
      <c r="BC79" s="1709"/>
      <c r="BD79" s="1709"/>
      <c r="BE79" s="1709"/>
      <c r="BF79" s="1709"/>
      <c r="BG79" s="222">
        <f t="shared" si="37"/>
        <v>0</v>
      </c>
      <c r="BH79" s="140">
        <f t="shared" si="38"/>
        <v>0</v>
      </c>
      <c r="BI79" s="132"/>
      <c r="BJ79" s="140">
        <f t="shared" si="39"/>
        <v>0</v>
      </c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50">
        <v>50</v>
      </c>
      <c r="BW79" s="141"/>
      <c r="BX79" s="130">
        <f t="shared" si="40"/>
        <v>0</v>
      </c>
      <c r="BY79" s="132"/>
    </row>
    <row r="80" ht="14.25" customHeight="1">
      <c r="A80" s="132"/>
      <c r="B80" s="512">
        <v>46089</v>
      </c>
      <c r="C80" s="230">
        <f>8889.84-D80-0</f>
      </c>
      <c r="D80" s="134"/>
      <c r="E80" s="135"/>
      <c r="F80" s="135"/>
      <c r="G80" s="147">
        <f t="shared" si="32"/>
        <v>0</v>
      </c>
      <c r="H80" s="768"/>
      <c r="I80" s="768"/>
      <c r="J80" s="611"/>
      <c r="K80" s="611"/>
      <c r="L80" s="801">
        <v>287.93</v>
      </c>
      <c r="M80" s="611"/>
      <c r="N80" s="611"/>
      <c r="O80" s="611"/>
      <c r="P80" s="611"/>
      <c r="Q80" s="611"/>
      <c r="R80" s="611"/>
      <c r="S80" s="143"/>
      <c r="T80" s="143"/>
      <c r="U80" s="143"/>
      <c r="V80" s="143"/>
      <c r="W80" s="143"/>
      <c r="X80" s="1248">
        <f t="shared" si="33"/>
        <v>0</v>
      </c>
      <c r="Y80" s="611"/>
      <c r="Z80" s="611"/>
      <c r="AA80" s="143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03">
        <f t="shared" si="34"/>
        <v>0</v>
      </c>
      <c r="AM80" s="1838">
        <v>4843.83</v>
      </c>
      <c r="AN80" s="1838"/>
      <c r="AO80" s="136"/>
      <c r="AP80" s="105">
        <f t="shared" si="35"/>
        <v>0</v>
      </c>
      <c r="AQ80" s="1745"/>
      <c r="AR80" s="1745"/>
      <c r="AS80" s="1745"/>
      <c r="AT80" s="1746"/>
      <c r="AU80" s="224">
        <f t="shared" si="36"/>
        <v>0</v>
      </c>
      <c r="AV80" s="1554">
        <v>3758.1</v>
      </c>
      <c r="AW80" s="1709"/>
      <c r="AX80" s="1828"/>
      <c r="AY80" s="1690"/>
      <c r="AZ80" s="1690"/>
      <c r="BA80" s="1731"/>
      <c r="BB80" s="1626"/>
      <c r="BC80" s="1709"/>
      <c r="BD80" s="1709"/>
      <c r="BE80" s="1709"/>
      <c r="BF80" s="1709"/>
      <c r="BG80" s="222">
        <f t="shared" si="37"/>
        <v>0</v>
      </c>
      <c r="BH80" s="140">
        <f t="shared" si="38"/>
        <v>0</v>
      </c>
      <c r="BI80" s="132"/>
      <c r="BJ80" s="140">
        <f t="shared" si="39"/>
        <v>0</v>
      </c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30">
        <f t="shared" si="40"/>
        <v>0</v>
      </c>
      <c r="BY80" s="132"/>
    </row>
    <row r="81" ht="14.25" customHeight="1">
      <c r="A81" s="132"/>
      <c r="B81" s="512">
        <v>46090</v>
      </c>
      <c r="C81" s="230">
        <f>24390.53-D81-0</f>
      </c>
      <c r="D81" s="134"/>
      <c r="E81" s="135"/>
      <c r="F81" s="135"/>
      <c r="G81" s="147">
        <f t="shared" si="32"/>
        <v>0</v>
      </c>
      <c r="H81" s="768"/>
      <c r="I81" s="768"/>
      <c r="J81" s="611"/>
      <c r="K81" s="611"/>
      <c r="L81" s="611">
        <v>2272.89</v>
      </c>
      <c r="M81" s="611"/>
      <c r="N81" s="801">
        <v>2923.5</v>
      </c>
      <c r="O81" s="611"/>
      <c r="P81" s="611"/>
      <c r="Q81" s="611"/>
      <c r="R81" s="611"/>
      <c r="S81" s="143"/>
      <c r="T81" s="143"/>
      <c r="U81" s="143"/>
      <c r="V81" s="143"/>
      <c r="W81" s="143"/>
      <c r="X81" s="1248">
        <f t="shared" si="33"/>
        <v>0</v>
      </c>
      <c r="Y81" s="611"/>
      <c r="Z81" s="611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  <c r="AL81" s="103">
        <f t="shared" si="34"/>
        <v>0</v>
      </c>
      <c r="AM81" s="1838">
        <v>9572.07</v>
      </c>
      <c r="AN81" s="1838"/>
      <c r="AO81" s="136"/>
      <c r="AP81" s="105">
        <f t="shared" si="35"/>
        <v>0</v>
      </c>
      <c r="AQ81" s="1744">
        <v>1352.47</v>
      </c>
      <c r="AR81" s="1745"/>
      <c r="AS81" s="1745"/>
      <c r="AT81" s="1746"/>
      <c r="AU81" s="224">
        <f t="shared" si="36"/>
        <v>0</v>
      </c>
      <c r="AV81" s="1554">
        <v>3901.7</v>
      </c>
      <c r="AW81" s="1718">
        <v>4317.9</v>
      </c>
      <c r="AX81" s="1690"/>
      <c r="AY81" s="1690"/>
      <c r="AZ81" s="1690"/>
      <c r="BA81" s="1731"/>
      <c r="BB81" s="1626"/>
      <c r="BC81" s="1709"/>
      <c r="BD81" s="1709"/>
      <c r="BE81" s="1709"/>
      <c r="BF81" s="1709"/>
      <c r="BG81" s="222">
        <f t="shared" si="37"/>
        <v>0</v>
      </c>
      <c r="BH81" s="140">
        <f t="shared" si="38"/>
        <v>0</v>
      </c>
      <c r="BI81" s="132"/>
      <c r="BJ81" s="140">
        <f t="shared" si="39"/>
        <v>0</v>
      </c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50">
        <v>50</v>
      </c>
      <c r="BW81" s="141"/>
      <c r="BX81" s="130">
        <f t="shared" si="40"/>
        <v>0</v>
      </c>
      <c r="BY81" s="132"/>
    </row>
    <row r="82" ht="14.25" customHeight="1">
      <c r="A82" s="132"/>
      <c r="B82" s="512">
        <v>46091</v>
      </c>
      <c r="C82" s="230">
        <f>12758.77-D82-0</f>
      </c>
      <c r="D82" s="134"/>
      <c r="E82" s="135"/>
      <c r="F82" s="135"/>
      <c r="G82" s="147">
        <f t="shared" si="32"/>
        <v>0</v>
      </c>
      <c r="H82" s="768"/>
      <c r="I82" s="768"/>
      <c r="J82" s="611"/>
      <c r="K82" s="611"/>
      <c r="L82" s="611">
        <v>2552.98</v>
      </c>
      <c r="M82" s="611"/>
      <c r="N82" s="801">
        <v>267.73</v>
      </c>
      <c r="O82" s="611"/>
      <c r="P82" s="611"/>
      <c r="Q82" s="611"/>
      <c r="R82" s="611"/>
      <c r="S82" s="143"/>
      <c r="T82" s="143"/>
      <c r="U82" s="143"/>
      <c r="V82" s="143"/>
      <c r="W82" s="143"/>
      <c r="X82" s="1248">
        <f t="shared" si="33"/>
        <v>0</v>
      </c>
      <c r="Y82" s="611"/>
      <c r="Z82" s="611"/>
      <c r="AA82" s="143"/>
      <c r="AB82" s="143"/>
      <c r="AC82" s="143"/>
      <c r="AD82" s="143"/>
      <c r="AE82" s="143"/>
      <c r="AF82" s="143"/>
      <c r="AG82" s="143"/>
      <c r="AH82" s="143"/>
      <c r="AI82" s="143"/>
      <c r="AJ82" s="143"/>
      <c r="AK82" s="143"/>
      <c r="AL82" s="103">
        <f t="shared" si="34"/>
        <v>0</v>
      </c>
      <c r="AM82" s="1838">
        <v>6350.95</v>
      </c>
      <c r="AN82" s="1838"/>
      <c r="AO82" s="136"/>
      <c r="AP82" s="105">
        <f t="shared" si="35"/>
        <v>0</v>
      </c>
      <c r="AQ82" s="1744">
        <v>552.85</v>
      </c>
      <c r="AR82" s="1745"/>
      <c r="AS82" s="1745"/>
      <c r="AT82" s="1746"/>
      <c r="AU82" s="224">
        <f t="shared" si="36"/>
        <v>0</v>
      </c>
      <c r="AV82" s="1554">
        <v>2951.8</v>
      </c>
      <c r="AW82" s="1709"/>
      <c r="AX82" s="1828"/>
      <c r="AY82" s="1690"/>
      <c r="AZ82" s="1690"/>
      <c r="BA82" s="1731"/>
      <c r="BB82" s="1626"/>
      <c r="BC82" s="1709"/>
      <c r="BD82" s="1709"/>
      <c r="BE82" s="1709"/>
      <c r="BF82" s="1709"/>
      <c r="BG82" s="222">
        <f t="shared" si="37"/>
        <v>0</v>
      </c>
      <c r="BH82" s="140">
        <f t="shared" si="38"/>
        <v>0</v>
      </c>
      <c r="BI82" s="132"/>
      <c r="BJ82" s="140">
        <f t="shared" si="39"/>
        <v>0</v>
      </c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41"/>
      <c r="BV82" s="150">
        <v>82.5</v>
      </c>
      <c r="BW82" s="141"/>
      <c r="BX82" s="130">
        <f t="shared" si="40"/>
        <v>0</v>
      </c>
      <c r="BY82" s="132"/>
    </row>
    <row r="83" ht="14.25" customHeight="1">
      <c r="A83" s="132"/>
      <c r="B83" s="512">
        <v>46092</v>
      </c>
      <c r="C83" s="230">
        <f>10447.41-D83-0</f>
      </c>
      <c r="D83" s="134"/>
      <c r="E83" s="135"/>
      <c r="F83" s="135"/>
      <c r="G83" s="147">
        <f t="shared" si="32"/>
        <v>0</v>
      </c>
      <c r="H83" s="768"/>
      <c r="I83" s="768"/>
      <c r="J83" s="611"/>
      <c r="K83" s="611"/>
      <c r="L83" s="611">
        <v>1474.7</v>
      </c>
      <c r="M83" s="611"/>
      <c r="N83" s="801">
        <v>1999</v>
      </c>
      <c r="O83" s="611"/>
      <c r="P83" s="611"/>
      <c r="Q83" s="611"/>
      <c r="R83" s="611"/>
      <c r="S83" s="143"/>
      <c r="T83" s="143"/>
      <c r="U83" s="143"/>
      <c r="V83" s="143"/>
      <c r="W83" s="143"/>
      <c r="X83" s="1248">
        <f t="shared" si="33"/>
        <v>0</v>
      </c>
      <c r="Y83" s="611"/>
      <c r="Z83" s="611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03">
        <f t="shared" si="34"/>
        <v>0</v>
      </c>
      <c r="AM83" s="1838">
        <v>3270.18</v>
      </c>
      <c r="AN83" s="1838"/>
      <c r="AO83" s="136"/>
      <c r="AP83" s="105">
        <f t="shared" si="35"/>
        <v>0</v>
      </c>
      <c r="AQ83" s="1744">
        <v>92.01</v>
      </c>
      <c r="AR83" s="1745"/>
      <c r="AS83" s="1745"/>
      <c r="AT83" s="1746"/>
      <c r="AU83" s="224">
        <f t="shared" si="36"/>
        <v>0</v>
      </c>
      <c r="AV83" s="1554">
        <v>3361.6</v>
      </c>
      <c r="AW83" s="1709"/>
      <c r="AX83" s="1828"/>
      <c r="AY83" s="1690"/>
      <c r="AZ83" s="1690"/>
      <c r="BA83" s="1731"/>
      <c r="BB83" s="1626"/>
      <c r="BC83" s="1709"/>
      <c r="BD83" s="1709"/>
      <c r="BE83" s="1709"/>
      <c r="BF83" s="1709"/>
      <c r="BG83" s="222">
        <f t="shared" si="37"/>
        <v>0</v>
      </c>
      <c r="BH83" s="140">
        <f t="shared" si="38"/>
        <v>0</v>
      </c>
      <c r="BI83" s="132"/>
      <c r="BJ83" s="140">
        <f t="shared" si="39"/>
        <v>0</v>
      </c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50">
        <v>250</v>
      </c>
      <c r="BW83" s="141"/>
      <c r="BX83" s="130">
        <f t="shared" si="40"/>
        <v>0</v>
      </c>
      <c r="BY83" s="132"/>
    </row>
    <row r="84" ht="14.25" customHeight="1">
      <c r="A84" s="132"/>
      <c r="B84" s="512">
        <v>46093</v>
      </c>
      <c r="C84" s="230">
        <f>12743.35-D84-0</f>
      </c>
      <c r="D84" s="134"/>
      <c r="E84" s="135"/>
      <c r="F84" s="135"/>
      <c r="G84" s="147">
        <f t="shared" si="32"/>
        <v>0</v>
      </c>
      <c r="H84" s="768"/>
      <c r="I84" s="768"/>
      <c r="J84" s="611"/>
      <c r="K84" s="611"/>
      <c r="L84" s="611">
        <v>1721.01</v>
      </c>
      <c r="M84" s="611"/>
      <c r="N84" s="801">
        <v>338.01</v>
      </c>
      <c r="O84" s="611"/>
      <c r="P84" s="611"/>
      <c r="Q84" s="611"/>
      <c r="R84" s="611"/>
      <c r="S84" s="143"/>
      <c r="T84" s="143"/>
      <c r="U84" s="143"/>
      <c r="V84" s="143"/>
      <c r="W84" s="143"/>
      <c r="X84" s="1248">
        <f t="shared" si="33"/>
        <v>0</v>
      </c>
      <c r="Y84" s="611"/>
      <c r="Z84" s="611"/>
      <c r="AA84" s="143"/>
      <c r="AB84" s="143"/>
      <c r="AC84" s="143"/>
      <c r="AD84" s="143"/>
      <c r="AE84" s="143"/>
      <c r="AF84" s="143"/>
      <c r="AG84" s="143"/>
      <c r="AH84" s="143"/>
      <c r="AI84" s="143"/>
      <c r="AJ84" s="143"/>
      <c r="AK84" s="143"/>
      <c r="AL84" s="103">
        <f t="shared" si="34"/>
        <v>0</v>
      </c>
      <c r="AM84" s="1838">
        <v>3533.74</v>
      </c>
      <c r="AN84" s="1838"/>
      <c r="AO84" s="136"/>
      <c r="AP84" s="105">
        <f t="shared" si="35"/>
        <v>0</v>
      </c>
      <c r="AQ84" s="1745"/>
      <c r="AR84" s="1745"/>
      <c r="AS84" s="1745"/>
      <c r="AT84" s="1746"/>
      <c r="AU84" s="224">
        <f t="shared" si="36"/>
        <v>0</v>
      </c>
      <c r="AV84" s="1554">
        <v>3102.6</v>
      </c>
      <c r="AW84" s="1718">
        <v>3998</v>
      </c>
      <c r="AX84" s="1828"/>
      <c r="AY84" s="1690"/>
      <c r="AZ84" s="1690"/>
      <c r="BA84" s="1731"/>
      <c r="BB84" s="1626"/>
      <c r="BC84" s="1709"/>
      <c r="BD84" s="1709"/>
      <c r="BE84" s="1709"/>
      <c r="BF84" s="1709"/>
      <c r="BG84" s="222">
        <f t="shared" si="37"/>
        <v>0</v>
      </c>
      <c r="BH84" s="140">
        <f t="shared" si="38"/>
        <v>0</v>
      </c>
      <c r="BI84" s="132"/>
      <c r="BJ84" s="140">
        <f t="shared" si="39"/>
        <v>0</v>
      </c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41"/>
      <c r="BV84" s="150">
        <v>50</v>
      </c>
      <c r="BW84" s="141"/>
      <c r="BX84" s="130">
        <f t="shared" si="40"/>
        <v>0</v>
      </c>
      <c r="BY84" s="132"/>
    </row>
    <row r="85" ht="14.25" customHeight="1">
      <c r="A85" s="132"/>
      <c r="B85" s="512">
        <v>46094</v>
      </c>
      <c r="C85" s="133">
        <f>11422.29-D85-0</f>
      </c>
      <c r="D85" s="134">
        <v>1555.66</v>
      </c>
      <c r="E85" s="135"/>
      <c r="F85" s="135"/>
      <c r="G85" s="147">
        <f t="shared" si="32"/>
        <v>0</v>
      </c>
      <c r="H85" s="768"/>
      <c r="I85" s="768"/>
      <c r="J85" s="611"/>
      <c r="K85" s="611"/>
      <c r="L85" s="611">
        <v>2720.76</v>
      </c>
      <c r="M85" s="611"/>
      <c r="N85" s="801">
        <v>551.8</v>
      </c>
      <c r="O85" s="611"/>
      <c r="P85" s="611"/>
      <c r="Q85" s="611"/>
      <c r="R85" s="611"/>
      <c r="S85" s="143"/>
      <c r="T85" s="143"/>
      <c r="U85" s="143"/>
      <c r="V85" s="143"/>
      <c r="W85" s="143"/>
      <c r="X85" s="1248">
        <f t="shared" si="33"/>
        <v>0</v>
      </c>
      <c r="Y85" s="611"/>
      <c r="Z85" s="611"/>
      <c r="AA85" s="143"/>
      <c r="AB85" s="143"/>
      <c r="AC85" s="143"/>
      <c r="AD85" s="143"/>
      <c r="AE85" s="143"/>
      <c r="AF85" s="143"/>
      <c r="AG85" s="143"/>
      <c r="AH85" s="143"/>
      <c r="AI85" s="143"/>
      <c r="AJ85" s="143"/>
      <c r="AK85" s="143"/>
      <c r="AL85" s="103">
        <f t="shared" si="34"/>
        <v>0</v>
      </c>
      <c r="AM85" s="1838">
        <v>3392.04</v>
      </c>
      <c r="AN85" s="1838">
        <v>733.52</v>
      </c>
      <c r="AO85" s="136"/>
      <c r="AP85" s="105">
        <f t="shared" si="35"/>
        <v>0</v>
      </c>
      <c r="AQ85" s="1744">
        <v>6.5</v>
      </c>
      <c r="AR85" s="1745"/>
      <c r="AS85" s="1745"/>
      <c r="AT85" s="1746">
        <v>1.27</v>
      </c>
      <c r="AU85" s="224">
        <f t="shared" si="36"/>
        <v>0</v>
      </c>
      <c r="AV85" s="1554">
        <v>3145.6</v>
      </c>
      <c r="AW85" s="1709"/>
      <c r="AX85" s="1828"/>
      <c r="AY85" s="1690"/>
      <c r="AZ85" s="1690"/>
      <c r="BA85" s="1731"/>
      <c r="BB85" s="1554">
        <v>820.8</v>
      </c>
      <c r="BC85" s="1709"/>
      <c r="BD85" s="1709"/>
      <c r="BE85" s="1709"/>
      <c r="BF85" s="1709"/>
      <c r="BG85" s="222">
        <f t="shared" si="37"/>
        <v>0</v>
      </c>
      <c r="BH85" s="140">
        <f t="shared" si="38"/>
        <v>0</v>
      </c>
      <c r="BJ85" s="140">
        <f t="shared" si="39"/>
        <v>0</v>
      </c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50">
        <v>50</v>
      </c>
      <c r="BW85" s="141"/>
      <c r="BX85" s="130">
        <f t="shared" si="40"/>
        <v>0</v>
      </c>
      <c r="BY85" s="132"/>
    </row>
    <row r="86" ht="14.25" customHeight="1">
      <c r="A86" s="132"/>
      <c r="B86" s="512">
        <v>46095</v>
      </c>
      <c r="C86" s="133">
        <f>13555.11-D86-0</f>
      </c>
      <c r="D86" s="134">
        <v>3201.08</v>
      </c>
      <c r="E86" s="135"/>
      <c r="F86" s="135"/>
      <c r="G86" s="147">
        <f t="shared" si="32"/>
        <v>0</v>
      </c>
      <c r="H86" s="611"/>
      <c r="I86" s="611"/>
      <c r="J86" s="611"/>
      <c r="K86" s="611"/>
      <c r="L86" s="611">
        <v>1422.41</v>
      </c>
      <c r="M86" s="611"/>
      <c r="N86" s="1278">
        <v>652.83</v>
      </c>
      <c r="O86" s="611"/>
      <c r="P86" s="611"/>
      <c r="Q86" s="611"/>
      <c r="R86" s="611"/>
      <c r="S86" s="143"/>
      <c r="T86" s="143"/>
      <c r="U86" s="143"/>
      <c r="V86" s="143"/>
      <c r="W86" s="143"/>
      <c r="X86" s="1248">
        <f t="shared" si="33"/>
        <v>0</v>
      </c>
      <c r="Y86" s="611"/>
      <c r="Z86" s="611"/>
      <c r="AA86" s="143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03">
        <f t="shared" si="34"/>
        <v>0</v>
      </c>
      <c r="AM86" s="1838">
        <v>4748.15</v>
      </c>
      <c r="AN86" s="1838">
        <v>1274.18</v>
      </c>
      <c r="AO86" s="136"/>
      <c r="AP86" s="105">
        <f t="shared" si="35"/>
        <v>0</v>
      </c>
      <c r="AQ86" s="1744">
        <v>14.26</v>
      </c>
      <c r="AR86" s="1745"/>
      <c r="AS86" s="1745"/>
      <c r="AT86" s="1746"/>
      <c r="AU86" s="224">
        <f t="shared" si="36"/>
        <v>0</v>
      </c>
      <c r="AV86" s="1554">
        <v>3086.4</v>
      </c>
      <c r="AW86" s="1718">
        <v>250</v>
      </c>
      <c r="AX86" s="1690"/>
      <c r="AY86" s="1690"/>
      <c r="AZ86" s="1690"/>
      <c r="BA86" s="1731"/>
      <c r="BB86" s="1554">
        <v>1926.9</v>
      </c>
      <c r="BC86" s="1709"/>
      <c r="BD86" s="1709"/>
      <c r="BE86" s="1709"/>
      <c r="BF86" s="1709"/>
      <c r="BG86" s="222">
        <f t="shared" si="37"/>
        <v>0</v>
      </c>
      <c r="BH86" s="140">
        <f t="shared" si="38"/>
        <v>0</v>
      </c>
      <c r="BI86" s="132"/>
      <c r="BJ86" s="140">
        <f t="shared" si="39"/>
        <v>0</v>
      </c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50">
        <v>180</v>
      </c>
      <c r="BW86" s="141"/>
      <c r="BX86" s="130">
        <f t="shared" si="40"/>
        <v>0</v>
      </c>
      <c r="BY86" s="132"/>
    </row>
    <row r="87" ht="14.25" customHeight="1">
      <c r="A87" s="132"/>
      <c r="B87" s="512">
        <v>46096</v>
      </c>
      <c r="C87" s="133">
        <f>9641.30-D87-0</f>
      </c>
      <c r="D87" s="134">
        <v>3266.3</v>
      </c>
      <c r="E87" s="135"/>
      <c r="F87" s="135"/>
      <c r="G87" s="147">
        <f t="shared" si="32"/>
        <v>0</v>
      </c>
      <c r="H87" s="1279"/>
      <c r="I87" s="1279"/>
      <c r="J87" s="1279"/>
      <c r="K87" s="1279"/>
      <c r="L87" s="801">
        <v>498.18</v>
      </c>
      <c r="M87" s="611"/>
      <c r="N87" s="1280"/>
      <c r="O87" s="611"/>
      <c r="P87" s="611"/>
      <c r="Q87" s="611"/>
      <c r="R87" s="611"/>
      <c r="S87" s="143"/>
      <c r="T87" s="143"/>
      <c r="U87" s="143"/>
      <c r="V87" s="143"/>
      <c r="W87" s="143"/>
      <c r="X87" s="1248">
        <f t="shared" si="33"/>
        <v>0</v>
      </c>
      <c r="Y87" s="611"/>
      <c r="Z87" s="611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  <c r="AL87" s="103">
        <f t="shared" si="34"/>
        <v>0</v>
      </c>
      <c r="AM87" s="1838">
        <v>2859.94</v>
      </c>
      <c r="AN87" s="1838">
        <v>1514.06</v>
      </c>
      <c r="AO87" s="136"/>
      <c r="AP87" s="105">
        <f t="shared" si="35"/>
        <v>0</v>
      </c>
      <c r="AQ87" s="1745"/>
      <c r="AR87" s="1745"/>
      <c r="AS87" s="1745"/>
      <c r="AT87" s="1746"/>
      <c r="AU87" s="224">
        <f t="shared" si="36"/>
        <v>0</v>
      </c>
      <c r="AV87" s="1626">
        <v>3016.9</v>
      </c>
      <c r="AW87" s="1709"/>
      <c r="AX87" s="1828"/>
      <c r="AY87" s="1690"/>
      <c r="AZ87" s="1690"/>
      <c r="BA87" s="1731"/>
      <c r="BB87" s="1554">
        <v>1752.1</v>
      </c>
      <c r="BC87" s="1709"/>
      <c r="BD87" s="1709"/>
      <c r="BE87" s="1709"/>
      <c r="BF87" s="1709"/>
      <c r="BG87" s="222">
        <f t="shared" si="37"/>
        <v>0</v>
      </c>
      <c r="BH87" s="140">
        <f t="shared" si="38"/>
        <v>0</v>
      </c>
      <c r="BI87" s="132"/>
      <c r="BJ87" s="140">
        <f t="shared" si="39"/>
        <v>0</v>
      </c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41"/>
      <c r="BV87" s="141"/>
      <c r="BW87" s="141"/>
      <c r="BX87" s="130">
        <f t="shared" si="40"/>
        <v>0</v>
      </c>
      <c r="BY87" s="132"/>
    </row>
    <row r="88" ht="14.25" customHeight="1">
      <c r="A88" s="132"/>
      <c r="B88" s="512">
        <v>46097</v>
      </c>
      <c r="C88" s="133">
        <f>24152.26-D88-0</f>
      </c>
      <c r="D88" s="134">
        <v>3708.52</v>
      </c>
      <c r="E88" s="135"/>
      <c r="F88" s="135"/>
      <c r="G88" s="147">
        <f t="shared" si="32"/>
        <v>0</v>
      </c>
      <c r="H88" s="1070">
        <v>1174.99</v>
      </c>
      <c r="I88" s="768"/>
      <c r="J88" s="611"/>
      <c r="K88" s="611"/>
      <c r="L88" s="611">
        <v>2887.57</v>
      </c>
      <c r="M88" s="611"/>
      <c r="N88" s="1080">
        <v>4906.13</v>
      </c>
      <c r="O88" s="611"/>
      <c r="P88" s="611"/>
      <c r="Q88" s="611"/>
      <c r="R88" s="611"/>
      <c r="S88" s="143"/>
      <c r="T88" s="143"/>
      <c r="U88" s="143"/>
      <c r="V88" s="143"/>
      <c r="W88" s="143"/>
      <c r="X88" s="1248">
        <f t="shared" si="33"/>
        <v>0</v>
      </c>
      <c r="Y88" s="611"/>
      <c r="Z88" s="611"/>
      <c r="AA88" s="143"/>
      <c r="AB88" s="143"/>
      <c r="AC88" s="143"/>
      <c r="AD88" s="143"/>
      <c r="AE88" s="143"/>
      <c r="AF88" s="143"/>
      <c r="AG88" s="143"/>
      <c r="AH88" s="143"/>
      <c r="AI88" s="143"/>
      <c r="AJ88" s="143"/>
      <c r="AK88" s="143"/>
      <c r="AL88" s="103">
        <f t="shared" si="34"/>
        <v>0</v>
      </c>
      <c r="AM88" s="1838">
        <v>3484.57</v>
      </c>
      <c r="AN88" s="1838">
        <v>1605.44</v>
      </c>
      <c r="AO88" s="136"/>
      <c r="AP88" s="105">
        <f t="shared" si="35"/>
        <v>0</v>
      </c>
      <c r="AQ88" s="1745"/>
      <c r="AR88" s="1745"/>
      <c r="AS88" s="1745"/>
      <c r="AT88" s="1746"/>
      <c r="AU88" s="224">
        <f t="shared" si="36"/>
        <v>0</v>
      </c>
      <c r="AV88" s="1626"/>
      <c r="AW88" s="1718">
        <v>3998</v>
      </c>
      <c r="AX88" s="1690"/>
      <c r="AY88" s="1690"/>
      <c r="AZ88" s="1690"/>
      <c r="BA88" s="1731"/>
      <c r="BB88" s="1554"/>
      <c r="BC88" s="1709"/>
      <c r="BD88" s="1709"/>
      <c r="BE88" s="1709"/>
      <c r="BF88" s="1709"/>
      <c r="BG88" s="222">
        <f t="shared" si="37"/>
        <v>0</v>
      </c>
      <c r="BH88" s="140">
        <f t="shared" si="38"/>
        <v>0</v>
      </c>
      <c r="BI88" s="132"/>
      <c r="BJ88" s="140">
        <f t="shared" si="39"/>
        <v>0</v>
      </c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50">
        <v>50</v>
      </c>
      <c r="BW88" s="141"/>
      <c r="BX88" s="130">
        <f t="shared" si="40"/>
        <v>0</v>
      </c>
      <c r="BY88" s="132"/>
    </row>
    <row r="89" ht="13.5" customHeight="1">
      <c r="A89" s="132"/>
      <c r="B89" s="512">
        <v>46098</v>
      </c>
      <c r="C89" s="230">
        <f>12258.14-D89-0</f>
      </c>
      <c r="D89" s="134"/>
      <c r="E89" s="135"/>
      <c r="F89" s="135"/>
      <c r="G89" s="147">
        <f t="shared" si="32"/>
        <v>0</v>
      </c>
      <c r="H89" s="611"/>
      <c r="I89" s="611"/>
      <c r="J89" s="611"/>
      <c r="K89" s="611"/>
      <c r="L89" s="611">
        <v>3331.01</v>
      </c>
      <c r="M89" s="611"/>
      <c r="N89" s="1278">
        <v>313.18</v>
      </c>
      <c r="O89" s="611"/>
      <c r="P89" s="611"/>
      <c r="Q89" s="611"/>
      <c r="R89" s="611"/>
      <c r="S89" s="143"/>
      <c r="T89" s="143"/>
      <c r="U89" s="143"/>
      <c r="V89" s="143"/>
      <c r="W89" s="143"/>
      <c r="X89" s="1248">
        <f t="shared" si="33"/>
        <v>0</v>
      </c>
      <c r="Y89" s="611"/>
      <c r="Z89" s="611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03">
        <f t="shared" si="34"/>
        <v>0</v>
      </c>
      <c r="AM89" s="1838">
        <v>3995.97</v>
      </c>
      <c r="AN89" s="1838"/>
      <c r="AO89" s="136"/>
      <c r="AP89" s="105">
        <f t="shared" si="35"/>
        <v>0</v>
      </c>
      <c r="AQ89" s="1745"/>
      <c r="AR89" s="1745"/>
      <c r="AS89" s="1745"/>
      <c r="AT89" s="1746">
        <v>4.52</v>
      </c>
      <c r="AU89" s="224">
        <f t="shared" si="36"/>
        <v>0</v>
      </c>
      <c r="AV89" s="1626">
        <v>4563.5</v>
      </c>
      <c r="AW89" s="1709"/>
      <c r="AX89" s="1690"/>
      <c r="AY89" s="1690"/>
      <c r="AZ89" s="1690"/>
      <c r="BA89" s="1731"/>
      <c r="BB89" s="1554"/>
      <c r="BC89" s="1709"/>
      <c r="BD89" s="1709"/>
      <c r="BE89" s="1709"/>
      <c r="BF89" s="1709"/>
      <c r="BG89" s="222">
        <f t="shared" si="37"/>
        <v>0</v>
      </c>
      <c r="BH89" s="140">
        <f t="shared" si="38"/>
        <v>0</v>
      </c>
      <c r="BI89" s="132"/>
      <c r="BJ89" s="140">
        <f t="shared" si="39"/>
        <v>0</v>
      </c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50">
        <v>50</v>
      </c>
      <c r="BW89" s="141"/>
      <c r="BX89" s="130">
        <f t="shared" si="40"/>
        <v>0</v>
      </c>
      <c r="BY89" s="132"/>
    </row>
    <row r="90" ht="14.25" customHeight="1">
      <c r="A90" s="132"/>
      <c r="B90" s="512">
        <v>46099</v>
      </c>
      <c r="C90" s="230">
        <f>14577.06-D90-0</f>
      </c>
      <c r="D90" s="134"/>
      <c r="E90" s="135"/>
      <c r="F90" s="135"/>
      <c r="G90" s="147">
        <f t="shared" si="32"/>
        <v>0</v>
      </c>
      <c r="H90" s="611"/>
      <c r="I90" s="611"/>
      <c r="J90" s="611"/>
      <c r="K90" s="611"/>
      <c r="L90" s="611">
        <v>3575.97</v>
      </c>
      <c r="M90" s="611"/>
      <c r="N90" s="1280"/>
      <c r="O90" s="611"/>
      <c r="P90" s="611"/>
      <c r="Q90" s="801"/>
      <c r="R90" s="611"/>
      <c r="S90" s="143"/>
      <c r="T90" s="143"/>
      <c r="U90" s="143"/>
      <c r="V90" s="143"/>
      <c r="W90" s="143"/>
      <c r="X90" s="1248">
        <f t="shared" si="33"/>
        <v>0</v>
      </c>
      <c r="Y90" s="611"/>
      <c r="Z90" s="611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03">
        <f t="shared" si="34"/>
        <v>0</v>
      </c>
      <c r="AM90" s="1838">
        <v>5313.56</v>
      </c>
      <c r="AN90" s="1838"/>
      <c r="AO90" s="136"/>
      <c r="AP90" s="105">
        <f t="shared" si="35"/>
        <v>0</v>
      </c>
      <c r="AQ90" s="1745"/>
      <c r="AR90" s="1745"/>
      <c r="AS90" s="1745"/>
      <c r="AT90" s="1746"/>
      <c r="AU90" s="224">
        <f t="shared" si="36"/>
        <v>0</v>
      </c>
      <c r="AV90" s="1626">
        <v>5240</v>
      </c>
      <c r="AW90" s="1718">
        <v>92.45</v>
      </c>
      <c r="AX90" s="1828"/>
      <c r="AY90" s="1690"/>
      <c r="AZ90" s="1690"/>
      <c r="BA90" s="1731"/>
      <c r="BB90" s="1554"/>
      <c r="BC90" s="1709"/>
      <c r="BD90" s="1709"/>
      <c r="BE90" s="1709"/>
      <c r="BF90" s="1709"/>
      <c r="BG90" s="222">
        <f t="shared" si="37"/>
        <v>0</v>
      </c>
      <c r="BH90" s="140">
        <f t="shared" si="38"/>
        <v>0</v>
      </c>
      <c r="BI90" s="132"/>
      <c r="BJ90" s="140">
        <f t="shared" si="39"/>
        <v>0</v>
      </c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50">
        <v>82.5</v>
      </c>
      <c r="BW90" s="141"/>
      <c r="BX90" s="130">
        <f t="shared" si="40"/>
        <v>0</v>
      </c>
      <c r="BY90" s="132"/>
    </row>
    <row r="91" ht="14.25" customHeight="1">
      <c r="A91" s="132"/>
      <c r="B91" s="512">
        <v>46100</v>
      </c>
      <c r="C91" s="133">
        <f>23847.98-D91-0</f>
      </c>
      <c r="D91" s="134">
        <v>5472.54</v>
      </c>
      <c r="E91" s="135"/>
      <c r="F91" s="135"/>
      <c r="G91" s="147">
        <f t="shared" si="32"/>
        <v>0</v>
      </c>
      <c r="H91" s="768"/>
      <c r="I91" s="768"/>
      <c r="J91" s="611"/>
      <c r="K91" s="611"/>
      <c r="L91" s="611">
        <v>2647.21</v>
      </c>
      <c r="M91" s="611"/>
      <c r="N91" s="1278">
        <v>2135.47</v>
      </c>
      <c r="O91" s="611"/>
      <c r="P91" s="611"/>
      <c r="Q91" s="611"/>
      <c r="R91" s="611"/>
      <c r="S91" s="143"/>
      <c r="T91" s="143"/>
      <c r="U91" s="143"/>
      <c r="V91" s="143"/>
      <c r="W91" s="143"/>
      <c r="X91" s="1248">
        <f t="shared" si="33"/>
        <v>0</v>
      </c>
      <c r="Y91" s="611"/>
      <c r="Z91" s="611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03">
        <f t="shared" si="34"/>
        <v>0</v>
      </c>
      <c r="AM91" s="1838">
        <v>5042.29</v>
      </c>
      <c r="AN91" s="1838">
        <v>2429.88</v>
      </c>
      <c r="AO91" s="136"/>
      <c r="AP91" s="105">
        <f t="shared" si="35"/>
        <v>0</v>
      </c>
      <c r="AQ91" s="1744">
        <v>9.5</v>
      </c>
      <c r="AR91" s="1745"/>
      <c r="AS91" s="1745"/>
      <c r="AT91" s="1746"/>
      <c r="AU91" s="224">
        <f t="shared" si="36"/>
        <v>0</v>
      </c>
      <c r="AV91" s="1626">
        <v>4202.5</v>
      </c>
      <c r="AW91" s="1718">
        <v>4398</v>
      </c>
      <c r="AX91" s="1828"/>
      <c r="AY91" s="1690"/>
      <c r="AZ91" s="1690"/>
      <c r="BA91" s="1731"/>
      <c r="BB91" s="1554">
        <v>2933.1</v>
      </c>
      <c r="BC91" s="1709"/>
      <c r="BD91" s="1709"/>
      <c r="BE91" s="1709"/>
      <c r="BF91" s="1709"/>
      <c r="BG91" s="222">
        <f t="shared" si="37"/>
        <v>0</v>
      </c>
      <c r="BH91" s="140">
        <f t="shared" si="38"/>
        <v>0</v>
      </c>
      <c r="BI91" s="132"/>
      <c r="BJ91" s="140">
        <f t="shared" si="39"/>
        <v>0</v>
      </c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50">
        <v>50</v>
      </c>
      <c r="BW91" s="141"/>
      <c r="BX91" s="130">
        <f t="shared" si="40"/>
        <v>0</v>
      </c>
      <c r="BY91" s="132"/>
    </row>
    <row r="92" ht="14.25" customHeight="1">
      <c r="A92" s="132"/>
      <c r="B92" s="512">
        <v>46101</v>
      </c>
      <c r="C92" s="133">
        <f>19437.00-D92-0</f>
      </c>
      <c r="D92" s="134">
        <v>5317.31</v>
      </c>
      <c r="E92" s="135"/>
      <c r="F92" s="135"/>
      <c r="G92" s="147">
        <f t="shared" si="32"/>
        <v>0</v>
      </c>
      <c r="H92" s="768"/>
      <c r="I92" s="768"/>
      <c r="J92" s="611"/>
      <c r="K92" s="611"/>
      <c r="L92" s="611">
        <v>4493.17</v>
      </c>
      <c r="M92" s="611"/>
      <c r="N92" s="1278">
        <v>247.77</v>
      </c>
      <c r="O92" s="611"/>
      <c r="P92" s="611"/>
      <c r="Q92" s="611"/>
      <c r="R92" s="611"/>
      <c r="S92" s="143"/>
      <c r="T92" s="143"/>
      <c r="U92" s="143"/>
      <c r="V92" s="143"/>
      <c r="W92" s="143"/>
      <c r="X92" s="1248">
        <f t="shared" si="33"/>
        <v>0</v>
      </c>
      <c r="Y92" s="611"/>
      <c r="Z92" s="611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03">
        <f t="shared" si="34"/>
        <v>0</v>
      </c>
      <c r="AM92" s="1838">
        <v>4147.25</v>
      </c>
      <c r="AN92" s="1838">
        <v>2814.05</v>
      </c>
      <c r="AO92" s="136"/>
      <c r="AP92" s="105">
        <f t="shared" si="35"/>
        <v>0</v>
      </c>
      <c r="AQ92" s="1744">
        <v>8.75</v>
      </c>
      <c r="AR92" s="1745"/>
      <c r="AS92" s="1745"/>
      <c r="AT92" s="1746">
        <v>0.17</v>
      </c>
      <c r="AU92" s="224">
        <f t="shared" si="36"/>
        <v>0</v>
      </c>
      <c r="AV92" s="1626">
        <v>5172.6</v>
      </c>
      <c r="AW92" s="1709"/>
      <c r="AX92" s="1828"/>
      <c r="AY92" s="1690"/>
      <c r="AZ92" s="1690"/>
      <c r="BA92" s="1731"/>
      <c r="BB92" s="1554">
        <v>2503.2</v>
      </c>
      <c r="BC92" s="1709"/>
      <c r="BD92" s="1709"/>
      <c r="BE92" s="1709"/>
      <c r="BF92" s="1709"/>
      <c r="BG92" s="222">
        <f t="shared" si="37"/>
        <v>0</v>
      </c>
      <c r="BH92" s="140">
        <f t="shared" si="38"/>
        <v>0</v>
      </c>
      <c r="BI92" s="132"/>
      <c r="BJ92" s="140">
        <f t="shared" si="39"/>
        <v>0</v>
      </c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50">
        <v>50</v>
      </c>
      <c r="BW92" s="141"/>
      <c r="BX92" s="130">
        <f t="shared" si="40"/>
        <v>0</v>
      </c>
      <c r="BY92" s="132"/>
    </row>
    <row r="93" ht="14.25" customHeight="1">
      <c r="A93" s="132"/>
      <c r="B93" s="512">
        <v>46102</v>
      </c>
      <c r="C93" s="133">
        <f>17782.89-D93-0</f>
      </c>
      <c r="D93" s="134">
        <v>6092.67</v>
      </c>
      <c r="E93" s="135"/>
      <c r="F93" s="135"/>
      <c r="G93" s="147">
        <f t="shared" si="32"/>
        <v>0</v>
      </c>
      <c r="H93" s="768"/>
      <c r="I93" s="768"/>
      <c r="J93" s="611"/>
      <c r="K93" s="611"/>
      <c r="L93" s="801">
        <v>2433.21</v>
      </c>
      <c r="M93" s="611"/>
      <c r="N93" s="1280"/>
      <c r="O93" s="611"/>
      <c r="P93" s="611"/>
      <c r="Q93" s="611"/>
      <c r="R93" s="611"/>
      <c r="S93" s="143"/>
      <c r="T93" s="143"/>
      <c r="U93" s="143"/>
      <c r="V93" s="143"/>
      <c r="W93" s="143"/>
      <c r="X93" s="1248">
        <f t="shared" si="33"/>
        <v>0</v>
      </c>
      <c r="Y93" s="611"/>
      <c r="Z93" s="611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03">
        <f t="shared" si="34"/>
        <v>0</v>
      </c>
      <c r="AM93" s="1838">
        <v>4422.85</v>
      </c>
      <c r="AN93" s="1838">
        <v>2874.03</v>
      </c>
      <c r="AO93" s="136"/>
      <c r="AP93" s="105">
        <f t="shared" si="35"/>
        <v>0</v>
      </c>
      <c r="AQ93" s="1745"/>
      <c r="AR93" s="1745"/>
      <c r="AS93" s="1745"/>
      <c r="AT93" s="1746"/>
      <c r="AU93" s="224">
        <f t="shared" si="36"/>
        <v>0</v>
      </c>
      <c r="AV93" s="1626">
        <v>4784.2</v>
      </c>
      <c r="AW93" s="1709"/>
      <c r="AX93" s="1828"/>
      <c r="AY93" s="1690"/>
      <c r="AZ93" s="1690"/>
      <c r="BA93" s="1731"/>
      <c r="BB93" s="1554">
        <v>3218.7</v>
      </c>
      <c r="BC93" s="1709"/>
      <c r="BD93" s="1709"/>
      <c r="BE93" s="1709"/>
      <c r="BF93" s="1709"/>
      <c r="BG93" s="222">
        <f t="shared" si="37"/>
        <v>0</v>
      </c>
      <c r="BH93" s="140">
        <f t="shared" si="38"/>
        <v>0</v>
      </c>
      <c r="BI93" s="132"/>
      <c r="BJ93" s="140">
        <f t="shared" si="39"/>
        <v>0</v>
      </c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50">
        <v>50</v>
      </c>
      <c r="BW93" s="141"/>
      <c r="BX93" s="130">
        <f t="shared" si="40"/>
        <v>0</v>
      </c>
      <c r="BY93" s="132"/>
    </row>
    <row r="94" ht="14.25" customHeight="1">
      <c r="A94" s="132"/>
      <c r="B94" s="512">
        <v>46103</v>
      </c>
      <c r="C94" s="133">
        <f>12471.74-D94-0</f>
      </c>
      <c r="D94" s="134">
        <v>1767.16</v>
      </c>
      <c r="E94" s="135"/>
      <c r="F94" s="135"/>
      <c r="G94" s="147">
        <f t="shared" si="32"/>
        <v>0</v>
      </c>
      <c r="H94" s="768"/>
      <c r="I94" s="768"/>
      <c r="J94" s="611"/>
      <c r="K94" s="611"/>
      <c r="L94" s="801">
        <v>796.39</v>
      </c>
      <c r="M94" s="611"/>
      <c r="N94" s="1280"/>
      <c r="O94" s="611"/>
      <c r="P94" s="611"/>
      <c r="Q94" s="611"/>
      <c r="R94" s="611"/>
      <c r="S94" s="143"/>
      <c r="T94" s="143"/>
      <c r="U94" s="143"/>
      <c r="V94" s="143"/>
      <c r="W94" s="143"/>
      <c r="X94" s="1248">
        <f t="shared" si="33"/>
        <v>0</v>
      </c>
      <c r="Y94" s="611"/>
      <c r="Z94" s="611"/>
      <c r="AA94" s="143"/>
      <c r="AB94" s="143"/>
      <c r="AC94" s="143"/>
      <c r="AD94" s="143"/>
      <c r="AE94" s="143"/>
      <c r="AF94" s="143"/>
      <c r="AG94" s="143"/>
      <c r="AH94" s="143"/>
      <c r="AI94" s="143"/>
      <c r="AJ94" s="143"/>
      <c r="AK94" s="143"/>
      <c r="AL94" s="103">
        <f t="shared" si="34"/>
        <v>0</v>
      </c>
      <c r="AM94" s="1838">
        <v>5545.67</v>
      </c>
      <c r="AN94" s="1838">
        <v>763.52</v>
      </c>
      <c r="AO94" s="136"/>
      <c r="AP94" s="105">
        <f t="shared" si="35"/>
        <v>0</v>
      </c>
      <c r="AQ94" s="1745"/>
      <c r="AR94" s="1745"/>
      <c r="AS94" s="1745"/>
      <c r="AT94" s="1747">
        <v>6.24</v>
      </c>
      <c r="AU94" s="224">
        <f t="shared" si="36"/>
        <v>0</v>
      </c>
      <c r="AV94" s="1626">
        <v>4360.6</v>
      </c>
      <c r="AW94" s="1709"/>
      <c r="AX94" s="1840"/>
      <c r="AY94" s="1690"/>
      <c r="AZ94" s="1690"/>
      <c r="BA94" s="1731"/>
      <c r="BB94" s="1554">
        <v>999.4</v>
      </c>
      <c r="BC94" s="1709"/>
      <c r="BD94" s="1709"/>
      <c r="BE94" s="1709"/>
      <c r="BF94" s="1709"/>
      <c r="BG94" s="222">
        <f t="shared" si="37"/>
        <v>0</v>
      </c>
      <c r="BH94" s="140">
        <f t="shared" si="38"/>
        <v>0</v>
      </c>
      <c r="BI94" s="132"/>
      <c r="BJ94" s="140">
        <f t="shared" si="39"/>
        <v>0</v>
      </c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50"/>
      <c r="BW94" s="141"/>
      <c r="BX94" s="130">
        <f t="shared" si="40"/>
        <v>0</v>
      </c>
      <c r="BY94" s="132"/>
    </row>
    <row r="95" ht="14.25" customHeight="1">
      <c r="A95" s="132"/>
      <c r="B95" s="512">
        <v>46104</v>
      </c>
      <c r="C95" s="133">
        <f>15108.47-D95-0</f>
      </c>
      <c r="D95" s="134">
        <v>2463.2</v>
      </c>
      <c r="E95" s="135"/>
      <c r="F95" s="135"/>
      <c r="G95" s="147">
        <f t="shared" si="32"/>
        <v>0</v>
      </c>
      <c r="H95" s="1070"/>
      <c r="I95" s="768"/>
      <c r="J95" s="611"/>
      <c r="K95" s="611"/>
      <c r="L95" s="611">
        <v>3591.45</v>
      </c>
      <c r="M95" s="611"/>
      <c r="N95" s="1280"/>
      <c r="O95" s="611"/>
      <c r="P95" s="611"/>
      <c r="Q95" s="611"/>
      <c r="R95" s="611"/>
      <c r="S95" s="143"/>
      <c r="T95" s="143"/>
      <c r="U95" s="143"/>
      <c r="V95" s="143"/>
      <c r="W95" s="143"/>
      <c r="X95" s="1248">
        <f t="shared" si="33"/>
        <v>0</v>
      </c>
      <c r="Y95" s="611"/>
      <c r="Z95" s="611"/>
      <c r="AA95" s="143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03">
        <f t="shared" si="34"/>
        <v>0</v>
      </c>
      <c r="AM95" s="1838">
        <v>4020.77</v>
      </c>
      <c r="AN95" s="1838">
        <v>994.05</v>
      </c>
      <c r="AO95" s="136"/>
      <c r="AP95" s="105">
        <f t="shared" si="35"/>
        <v>0</v>
      </c>
      <c r="AQ95" s="1745"/>
      <c r="AR95" s="1745"/>
      <c r="AS95" s="1745"/>
      <c r="AT95" s="1746"/>
      <c r="AU95" s="224">
        <f t="shared" si="36"/>
        <v>0</v>
      </c>
      <c r="AV95" s="1626">
        <v>3774.5</v>
      </c>
      <c r="AW95" s="1709"/>
      <c r="AX95" s="1840"/>
      <c r="AY95" s="1690"/>
      <c r="AZ95" s="1690"/>
      <c r="BA95" s="1731"/>
      <c r="BB95" s="1554">
        <v>1469.2</v>
      </c>
      <c r="BC95" s="1709"/>
      <c r="BD95" s="1709"/>
      <c r="BE95" s="1709"/>
      <c r="BF95" s="1709"/>
      <c r="BG95" s="222">
        <f t="shared" si="37"/>
        <v>0</v>
      </c>
      <c r="BH95" s="140">
        <f t="shared" si="38"/>
        <v>0</v>
      </c>
      <c r="BI95" s="132"/>
      <c r="BJ95" s="140">
        <f t="shared" si="39"/>
        <v>0</v>
      </c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50">
        <v>50</v>
      </c>
      <c r="BW95" s="141"/>
      <c r="BX95" s="130">
        <f t="shared" si="40"/>
        <v>0</v>
      </c>
      <c r="BY95" s="132"/>
    </row>
    <row r="96" ht="14.25" customHeight="1">
      <c r="A96" s="132"/>
      <c r="B96" s="512">
        <v>46105</v>
      </c>
      <c r="C96" s="133">
        <f>22342.95-D96-0</f>
      </c>
      <c r="D96" s="134">
        <v>6416.92</v>
      </c>
      <c r="E96" s="135"/>
      <c r="F96" s="135"/>
      <c r="G96" s="147">
        <f t="shared" si="32"/>
        <v>0</v>
      </c>
      <c r="H96" s="611"/>
      <c r="I96" s="611"/>
      <c r="J96" s="611"/>
      <c r="K96" s="611"/>
      <c r="L96" s="801">
        <v>2222.63</v>
      </c>
      <c r="M96" s="611"/>
      <c r="N96" s="1278"/>
      <c r="O96" s="611"/>
      <c r="P96" s="611"/>
      <c r="Q96" s="611"/>
      <c r="R96" s="611"/>
      <c r="S96" s="143"/>
      <c r="T96" s="143"/>
      <c r="U96" s="143"/>
      <c r="V96" s="143"/>
      <c r="W96" s="143"/>
      <c r="X96" s="1248">
        <f t="shared" si="33"/>
        <v>0</v>
      </c>
      <c r="Y96" s="611"/>
      <c r="Z96" s="611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03">
        <f t="shared" si="34"/>
        <v>0</v>
      </c>
      <c r="AM96" s="1838">
        <v>4429.07</v>
      </c>
      <c r="AN96" s="1838">
        <v>2610.34</v>
      </c>
      <c r="AO96" s="136"/>
      <c r="AP96" s="105">
        <f t="shared" si="35"/>
        <v>0</v>
      </c>
      <c r="AQ96" s="1744"/>
      <c r="AR96" s="1745"/>
      <c r="AS96" s="1745"/>
      <c r="AT96" s="1746"/>
      <c r="AU96" s="224">
        <f t="shared" si="36"/>
        <v>0</v>
      </c>
      <c r="AV96" s="1626">
        <v>4490.8</v>
      </c>
      <c r="AW96" s="1718">
        <v>4832.9</v>
      </c>
      <c r="AX96" s="1840"/>
      <c r="AY96" s="1690"/>
      <c r="AZ96" s="1690"/>
      <c r="BA96" s="1731"/>
      <c r="BB96" s="1554">
        <v>3707.2</v>
      </c>
      <c r="BC96" s="1709"/>
      <c r="BD96" s="1709"/>
      <c r="BE96" s="1709"/>
      <c r="BF96" s="1709"/>
      <c r="BG96" s="222">
        <f t="shared" si="37"/>
        <v>0</v>
      </c>
      <c r="BH96" s="140">
        <f t="shared" si="38"/>
        <v>0</v>
      </c>
      <c r="BI96" s="132"/>
      <c r="BJ96" s="140">
        <f t="shared" si="39"/>
        <v>0</v>
      </c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50">
        <v>50</v>
      </c>
      <c r="BW96" s="141"/>
      <c r="BX96" s="130">
        <f t="shared" si="40"/>
        <v>0</v>
      </c>
      <c r="BY96" s="132"/>
    </row>
    <row r="97" ht="14.25" customHeight="1">
      <c r="A97" s="132"/>
      <c r="B97" s="512">
        <v>46106</v>
      </c>
      <c r="C97" s="133">
        <f>23881.13-D97-0</f>
      </c>
      <c r="D97" s="134">
        <v>4000.62</v>
      </c>
      <c r="E97" s="135"/>
      <c r="F97" s="135"/>
      <c r="G97" s="147">
        <f t="shared" si="32"/>
        <v>0</v>
      </c>
      <c r="H97" s="611"/>
      <c r="I97" s="611"/>
      <c r="J97" s="611"/>
      <c r="K97" s="611"/>
      <c r="L97" s="611">
        <v>1847.16</v>
      </c>
      <c r="M97" s="611"/>
      <c r="N97" s="1278">
        <v>273.63</v>
      </c>
      <c r="O97" s="611"/>
      <c r="P97" s="611"/>
      <c r="Q97" s="611"/>
      <c r="R97" s="611"/>
      <c r="S97" s="143"/>
      <c r="T97" s="143"/>
      <c r="U97" s="143"/>
      <c r="V97" s="143"/>
      <c r="W97" s="143"/>
      <c r="X97" s="1248">
        <f t="shared" si="33"/>
        <v>0</v>
      </c>
      <c r="Y97" s="611"/>
      <c r="Z97" s="611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03">
        <f t="shared" si="34"/>
        <v>0</v>
      </c>
      <c r="AM97" s="1838">
        <v>8808.78</v>
      </c>
      <c r="AN97" s="1838">
        <v>1824.68</v>
      </c>
      <c r="AO97" s="136"/>
      <c r="AP97" s="105">
        <f t="shared" si="35"/>
        <v>0</v>
      </c>
      <c r="AQ97" s="1744">
        <v>60.02</v>
      </c>
      <c r="AR97" s="1745"/>
      <c r="AS97" s="1745"/>
      <c r="AT97" s="1746"/>
      <c r="AU97" s="224">
        <f t="shared" si="36"/>
        <v>0</v>
      </c>
      <c r="AV97" s="1626">
        <v>8840.9</v>
      </c>
      <c r="AW97" s="1709"/>
      <c r="AX97" s="1840"/>
      <c r="AY97" s="1690"/>
      <c r="AZ97" s="1690"/>
      <c r="BA97" s="1731"/>
      <c r="BB97" s="1554">
        <v>2175.9</v>
      </c>
      <c r="BC97" s="1709"/>
      <c r="BD97" s="1709"/>
      <c r="BE97" s="1709"/>
      <c r="BF97" s="1709"/>
      <c r="BG97" s="222">
        <f t="shared" si="37"/>
        <v>0</v>
      </c>
      <c r="BH97" s="140">
        <f t="shared" si="38"/>
        <v>0</v>
      </c>
      <c r="BI97" s="132"/>
      <c r="BJ97" s="140">
        <f t="shared" si="39"/>
        <v>0</v>
      </c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50">
        <v>50</v>
      </c>
      <c r="BW97" s="141"/>
      <c r="BX97" s="130">
        <f t="shared" si="40"/>
        <v>0</v>
      </c>
      <c r="BY97" s="132"/>
    </row>
    <row r="98" ht="14.25" customHeight="1">
      <c r="A98" s="132"/>
      <c r="B98" s="512">
        <v>46107</v>
      </c>
      <c r="C98" s="133">
        <f>29957.52-D98-0</f>
      </c>
      <c r="D98" s="134">
        <v>5189.56</v>
      </c>
      <c r="E98" s="135"/>
      <c r="F98" s="135"/>
      <c r="G98" s="147">
        <f t="shared" si="32"/>
        <v>0</v>
      </c>
      <c r="H98" s="768"/>
      <c r="I98" s="768"/>
      <c r="J98" s="611"/>
      <c r="K98" s="611"/>
      <c r="L98" s="641">
        <v>2276.55</v>
      </c>
      <c r="M98" s="641"/>
      <c r="N98" s="1278">
        <v>2363.05</v>
      </c>
      <c r="O98" s="611"/>
      <c r="P98" s="611"/>
      <c r="Q98" s="641"/>
      <c r="R98" s="641"/>
      <c r="S98" s="143"/>
      <c r="T98" s="143"/>
      <c r="U98" s="143"/>
      <c r="V98" s="143"/>
      <c r="W98" s="143"/>
      <c r="X98" s="1248">
        <f t="shared" si="33"/>
        <v>0</v>
      </c>
      <c r="Y98" s="611"/>
      <c r="Z98" s="611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03">
        <f t="shared" si="34"/>
        <v>0</v>
      </c>
      <c r="AM98" s="1838">
        <v>14329.47</v>
      </c>
      <c r="AN98" s="1838">
        <v>2915.81</v>
      </c>
      <c r="AO98" s="136"/>
      <c r="AP98" s="105">
        <f t="shared" si="35"/>
        <v>0</v>
      </c>
      <c r="AQ98" s="1744">
        <v>96.37</v>
      </c>
      <c r="AR98" s="1745"/>
      <c r="AS98" s="1745"/>
      <c r="AT98" s="1746"/>
      <c r="AU98" s="224">
        <f t="shared" si="36"/>
        <v>0</v>
      </c>
      <c r="AV98" s="1626">
        <v>5652.4</v>
      </c>
      <c r="AW98" s="1709"/>
      <c r="AX98" s="1840"/>
      <c r="AY98" s="1690"/>
      <c r="AZ98" s="1690"/>
      <c r="BA98" s="1731"/>
      <c r="BB98" s="1554">
        <v>2273.8</v>
      </c>
      <c r="BC98" s="1709"/>
      <c r="BD98" s="1709"/>
      <c r="BE98" s="1709"/>
      <c r="BF98" s="1709"/>
      <c r="BG98" s="222">
        <f t="shared" si="37"/>
        <v>0</v>
      </c>
      <c r="BH98" s="140">
        <f t="shared" si="38"/>
        <v>0</v>
      </c>
      <c r="BI98" s="132"/>
      <c r="BJ98" s="140">
        <f t="shared" si="39"/>
        <v>0</v>
      </c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50">
        <v>50</v>
      </c>
      <c r="BW98" s="141"/>
      <c r="BX98" s="130">
        <f t="shared" si="40"/>
        <v>0</v>
      </c>
      <c r="BY98" s="132"/>
    </row>
    <row r="99" ht="14.25" customHeight="1">
      <c r="A99" s="132"/>
      <c r="B99" s="512">
        <v>46108</v>
      </c>
      <c r="C99" s="133">
        <f>34214.97-D99-0</f>
      </c>
      <c r="D99" s="134">
        <v>5795.89</v>
      </c>
      <c r="E99" s="135"/>
      <c r="F99" s="135"/>
      <c r="G99" s="147">
        <f t="shared" si="32"/>
        <v>0</v>
      </c>
      <c r="H99" s="768"/>
      <c r="I99" s="768"/>
      <c r="J99" s="611"/>
      <c r="K99" s="611"/>
      <c r="L99" s="801">
        <v>2499.14</v>
      </c>
      <c r="M99" s="611"/>
      <c r="N99" s="1281">
        <v>850</v>
      </c>
      <c r="O99" s="611"/>
      <c r="P99" s="611"/>
      <c r="Q99" s="611"/>
      <c r="R99" s="611"/>
      <c r="S99" s="143"/>
      <c r="T99" s="143"/>
      <c r="U99" s="143"/>
      <c r="V99" s="143"/>
      <c r="W99" s="143"/>
      <c r="X99" s="1248">
        <f t="shared" si="33"/>
        <v>0</v>
      </c>
      <c r="Y99" s="611"/>
      <c r="Z99" s="611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03">
        <f t="shared" si="34"/>
        <v>0</v>
      </c>
      <c r="AM99" s="1838">
        <v>13299.51</v>
      </c>
      <c r="AN99" s="1838">
        <v>2863.52</v>
      </c>
      <c r="AO99" s="136"/>
      <c r="AP99" s="105">
        <f t="shared" si="35"/>
        <v>0</v>
      </c>
      <c r="AQ99" s="1744">
        <v>2.5</v>
      </c>
      <c r="AR99" s="1745"/>
      <c r="AS99" s="1745"/>
      <c r="AT99" s="1746"/>
      <c r="AU99" s="224">
        <f t="shared" si="36"/>
        <v>0</v>
      </c>
      <c r="AV99" s="1626">
        <v>11717.9</v>
      </c>
      <c r="AW99" s="1709"/>
      <c r="AX99" s="1840"/>
      <c r="AY99" s="1690"/>
      <c r="AZ99" s="1690"/>
      <c r="BA99" s="1731"/>
      <c r="BB99" s="1554">
        <v>2932.4</v>
      </c>
      <c r="BC99" s="1709"/>
      <c r="BD99" s="1709"/>
      <c r="BE99" s="1709"/>
      <c r="BF99" s="1709"/>
      <c r="BG99" s="222">
        <f t="shared" si="37"/>
        <v>0</v>
      </c>
      <c r="BH99" s="140">
        <f t="shared" si="38"/>
        <v>0</v>
      </c>
      <c r="BI99" s="132"/>
      <c r="BJ99" s="140">
        <f t="shared" si="39"/>
        <v>0</v>
      </c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50">
        <v>50</v>
      </c>
      <c r="BW99" s="141"/>
      <c r="BX99" s="130">
        <f t="shared" si="40"/>
        <v>0</v>
      </c>
      <c r="BY99" s="132"/>
    </row>
    <row r="100" ht="14.25" customHeight="1">
      <c r="A100" s="132"/>
      <c r="B100" s="512">
        <v>46109</v>
      </c>
      <c r="C100" s="133">
        <f>27954.64-D100-0</f>
      </c>
      <c r="D100" s="134">
        <v>5949.75</v>
      </c>
      <c r="E100" s="135"/>
      <c r="F100" s="135"/>
      <c r="G100" s="147">
        <f t="shared" si="32"/>
        <v>0</v>
      </c>
      <c r="H100" s="768"/>
      <c r="I100" s="768"/>
      <c r="J100" s="611"/>
      <c r="K100" s="611"/>
      <c r="L100" s="611">
        <v>1434.41</v>
      </c>
      <c r="M100" s="611"/>
      <c r="N100" s="1281">
        <v>299.81</v>
      </c>
      <c r="O100" s="611"/>
      <c r="P100" s="611"/>
      <c r="Q100" s="611"/>
      <c r="R100" s="611"/>
      <c r="S100" s="143"/>
      <c r="T100" s="143"/>
      <c r="U100" s="143"/>
      <c r="V100" s="143"/>
      <c r="W100" s="143"/>
      <c r="X100" s="1248">
        <f t="shared" si="33"/>
        <v>0</v>
      </c>
      <c r="Y100" s="611"/>
      <c r="Z100" s="611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03">
        <f t="shared" si="34"/>
        <v>0</v>
      </c>
      <c r="AM100" s="1838">
        <v>10020.73</v>
      </c>
      <c r="AN100" s="1838">
        <v>2485.18</v>
      </c>
      <c r="AO100" s="136"/>
      <c r="AP100" s="105">
        <f t="shared" si="35"/>
        <v>0</v>
      </c>
      <c r="AQ100" s="1744">
        <v>52.5</v>
      </c>
      <c r="AR100" s="1745"/>
      <c r="AS100" s="1745"/>
      <c r="AT100" s="1746"/>
      <c r="AU100" s="224">
        <f t="shared" si="36"/>
        <v>0</v>
      </c>
      <c r="AV100" s="1626">
        <v>5749.5</v>
      </c>
      <c r="AW100" s="1718">
        <v>4398</v>
      </c>
      <c r="AX100" s="1840"/>
      <c r="AY100" s="1690"/>
      <c r="AZ100" s="1690"/>
      <c r="BA100" s="1731"/>
      <c r="BB100" s="1554">
        <v>3464.6</v>
      </c>
      <c r="BC100" s="1709"/>
      <c r="BD100" s="1709"/>
      <c r="BE100" s="1709"/>
      <c r="BF100" s="1709"/>
      <c r="BG100" s="222">
        <f t="shared" si="37"/>
        <v>0</v>
      </c>
      <c r="BH100" s="140">
        <f t="shared" si="38"/>
        <v>0</v>
      </c>
      <c r="BI100" s="132"/>
      <c r="BJ100" s="140">
        <f t="shared" si="39"/>
        <v>0</v>
      </c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50">
        <v>50</v>
      </c>
      <c r="BW100" s="141"/>
      <c r="BX100" s="130">
        <f t="shared" si="40"/>
        <v>0</v>
      </c>
      <c r="BY100" s="132"/>
    </row>
    <row r="101" ht="14.25" customHeight="1">
      <c r="A101" s="132"/>
      <c r="B101" s="512">
        <v>46110</v>
      </c>
      <c r="C101" s="133">
        <f>22012.36-D101-0</f>
      </c>
      <c r="D101" s="134">
        <v>6024.78</v>
      </c>
      <c r="E101" s="135"/>
      <c r="F101" s="135"/>
      <c r="G101" s="147">
        <f t="shared" si="32"/>
        <v>0</v>
      </c>
      <c r="H101" s="768"/>
      <c r="I101" s="768"/>
      <c r="J101" s="611"/>
      <c r="K101" s="611"/>
      <c r="L101" s="611"/>
      <c r="M101" s="611"/>
      <c r="N101" s="1080"/>
      <c r="O101" s="611"/>
      <c r="P101" s="611"/>
      <c r="Q101" s="611"/>
      <c r="R101" s="611"/>
      <c r="S101" s="143"/>
      <c r="T101" s="143"/>
      <c r="U101" s="143"/>
      <c r="V101" s="143"/>
      <c r="W101" s="143"/>
      <c r="X101" s="1248">
        <f t="shared" si="33"/>
        <v>0</v>
      </c>
      <c r="Y101" s="611"/>
      <c r="Z101" s="611"/>
      <c r="AA101" s="143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03">
        <f t="shared" si="34"/>
        <v>0</v>
      </c>
      <c r="AM101" s="1838">
        <v>8232.42</v>
      </c>
      <c r="AN101" s="1838">
        <v>2568.86</v>
      </c>
      <c r="AO101" s="136"/>
      <c r="AP101" s="105">
        <f t="shared" si="35"/>
        <v>0</v>
      </c>
      <c r="AQ101" s="1745"/>
      <c r="AR101" s="1745"/>
      <c r="AS101" s="1745"/>
      <c r="AT101" s="1746"/>
      <c r="AU101" s="224">
        <f t="shared" si="36"/>
        <v>0</v>
      </c>
      <c r="AV101" s="1626">
        <v>7726</v>
      </c>
      <c r="AW101" s="1709"/>
      <c r="AX101" s="1840"/>
      <c r="AY101" s="1690"/>
      <c r="AZ101" s="1690"/>
      <c r="BA101" s="1731"/>
      <c r="BB101" s="1554">
        <v>3455.9</v>
      </c>
      <c r="BC101" s="1709"/>
      <c r="BD101" s="1709"/>
      <c r="BE101" s="1709"/>
      <c r="BF101" s="1709"/>
      <c r="BG101" s="222">
        <f t="shared" si="37"/>
        <v>0</v>
      </c>
      <c r="BH101" s="140">
        <f t="shared" si="38"/>
        <v>0</v>
      </c>
      <c r="BI101" s="132"/>
      <c r="BJ101" s="140">
        <f t="shared" si="39"/>
        <v>0</v>
      </c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50">
        <v>29.21</v>
      </c>
      <c r="BW101" s="141"/>
      <c r="BX101" s="130">
        <f t="shared" si="40"/>
        <v>0</v>
      </c>
      <c r="BY101" s="132"/>
    </row>
    <row r="102" ht="14.25" customHeight="1">
      <c r="A102" s="132"/>
      <c r="B102" s="512">
        <v>46111</v>
      </c>
      <c r="C102" s="133">
        <f>40759.27-D102-0</f>
      </c>
      <c r="D102" s="134">
        <v>5049.89</v>
      </c>
      <c r="E102" s="135"/>
      <c r="F102" s="135"/>
      <c r="G102" s="147">
        <f t="shared" si="32"/>
        <v>0</v>
      </c>
      <c r="H102" s="768"/>
      <c r="I102" s="768"/>
      <c r="J102" s="611"/>
      <c r="K102" s="611"/>
      <c r="L102" s="801">
        <v>2537.88</v>
      </c>
      <c r="M102" s="611"/>
      <c r="N102" s="1080"/>
      <c r="O102" s="611"/>
      <c r="P102" s="611"/>
      <c r="Q102" s="611"/>
      <c r="R102" s="611"/>
      <c r="S102" s="143"/>
      <c r="T102" s="143"/>
      <c r="U102" s="143"/>
      <c r="V102" s="143"/>
      <c r="W102" s="143"/>
      <c r="X102" s="1248">
        <f t="shared" si="33"/>
        <v>0</v>
      </c>
      <c r="Y102" s="611"/>
      <c r="Z102" s="611"/>
      <c r="AA102" s="143"/>
      <c r="AB102" s="143"/>
      <c r="AC102" s="143"/>
      <c r="AD102" s="143"/>
      <c r="AE102" s="143"/>
      <c r="AF102" s="143"/>
      <c r="AG102" s="143"/>
      <c r="AH102" s="143"/>
      <c r="AI102" s="143"/>
      <c r="AJ102" s="143"/>
      <c r="AK102" s="143"/>
      <c r="AL102" s="103">
        <f t="shared" si="34"/>
        <v>0</v>
      </c>
      <c r="AM102" s="1838">
        <v>19227.76</v>
      </c>
      <c r="AN102" s="1838">
        <v>2433.29</v>
      </c>
      <c r="AO102" s="136"/>
      <c r="AP102" s="105">
        <f t="shared" si="35"/>
        <v>0</v>
      </c>
      <c r="AQ102" s="1744">
        <v>140.51</v>
      </c>
      <c r="AR102" s="1745"/>
      <c r="AS102" s="1745"/>
      <c r="AT102" s="1747">
        <v>14.28</v>
      </c>
      <c r="AU102" s="224">
        <f t="shared" si="36"/>
        <v>0</v>
      </c>
      <c r="AV102" s="1626">
        <v>11730.7</v>
      </c>
      <c r="AW102" s="1718">
        <v>2008.2</v>
      </c>
      <c r="AX102" s="1840"/>
      <c r="AY102" s="1690"/>
      <c r="AZ102" s="1690"/>
      <c r="BA102" s="1731"/>
      <c r="BB102" s="1554">
        <v>2616.6</v>
      </c>
      <c r="BC102" s="1709"/>
      <c r="BD102" s="1709"/>
      <c r="BE102" s="1709"/>
      <c r="BF102" s="1709"/>
      <c r="BG102" s="222">
        <f t="shared" si="37"/>
        <v>0</v>
      </c>
      <c r="BH102" s="140">
        <f t="shared" si="38"/>
        <v>0</v>
      </c>
      <c r="BI102" s="132"/>
      <c r="BJ102" s="140">
        <f t="shared" si="39"/>
        <v>0</v>
      </c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41"/>
      <c r="BU102" s="141"/>
      <c r="BV102" s="150">
        <v>50</v>
      </c>
      <c r="BW102" s="141"/>
      <c r="BX102" s="130">
        <f t="shared" si="40"/>
        <v>0</v>
      </c>
      <c r="BY102" s="132"/>
    </row>
    <row r="103" ht="14.25" customHeight="1">
      <c r="A103" s="132"/>
      <c r="B103" s="512">
        <v>46112</v>
      </c>
      <c r="C103" s="153">
        <f>33289.36-D103-0</f>
      </c>
      <c r="D103" s="154">
        <v>4951.35</v>
      </c>
      <c r="E103" s="156"/>
      <c r="F103" s="156"/>
      <c r="G103" s="147">
        <f t="shared" si="32"/>
        <v>0</v>
      </c>
      <c r="H103" s="788"/>
      <c r="I103" s="788"/>
      <c r="J103" s="613"/>
      <c r="K103" s="613"/>
      <c r="L103" s="613">
        <v>3836.59</v>
      </c>
      <c r="M103" s="613"/>
      <c r="N103" s="1064">
        <v>35.47</v>
      </c>
      <c r="O103" s="613"/>
      <c r="P103" s="613"/>
      <c r="Q103" s="613"/>
      <c r="R103" s="613"/>
      <c r="S103" s="157"/>
      <c r="T103" s="157"/>
      <c r="U103" s="157"/>
      <c r="V103" s="157"/>
      <c r="W103" s="157"/>
      <c r="X103" s="1248">
        <f t="shared" si="33"/>
        <v>0</v>
      </c>
      <c r="Y103" s="613"/>
      <c r="Z103" s="613"/>
      <c r="AA103" s="157"/>
      <c r="AB103" s="157"/>
      <c r="AC103" s="157"/>
      <c r="AD103" s="157"/>
      <c r="AE103" s="157"/>
      <c r="AF103" s="157"/>
      <c r="AG103" s="157"/>
      <c r="AH103" s="157"/>
      <c r="AI103" s="157"/>
      <c r="AJ103" s="157"/>
      <c r="AK103" s="157"/>
      <c r="AL103" s="103">
        <f t="shared" si="34"/>
        <v>0</v>
      </c>
      <c r="AM103" s="1839">
        <v>12846.17</v>
      </c>
      <c r="AN103" s="1839">
        <v>2083.8</v>
      </c>
      <c r="AO103" s="159"/>
      <c r="AP103" s="105">
        <f t="shared" si="35"/>
        <v>0</v>
      </c>
      <c r="AQ103" s="1748">
        <v>29.52</v>
      </c>
      <c r="AR103" s="1749"/>
      <c r="AS103" s="1749"/>
      <c r="AT103" s="1750"/>
      <c r="AU103" s="232">
        <f t="shared" si="36"/>
        <v>0</v>
      </c>
      <c r="AV103" s="1660">
        <v>11540.2</v>
      </c>
      <c r="AW103" s="1720"/>
      <c r="AX103" s="1828"/>
      <c r="AY103" s="1690"/>
      <c r="AZ103" s="1692"/>
      <c r="BA103" s="1731"/>
      <c r="BB103" s="1642">
        <v>2867.5</v>
      </c>
      <c r="BC103" s="1720"/>
      <c r="BD103" s="1720"/>
      <c r="BE103" s="1720"/>
      <c r="BF103" s="1720"/>
      <c r="BG103" s="222">
        <f t="shared" si="37"/>
        <v>0</v>
      </c>
      <c r="BH103" s="162">
        <f t="shared" si="38"/>
        <v>0</v>
      </c>
      <c r="BI103" s="132"/>
      <c r="BJ103" s="162">
        <f t="shared" si="39"/>
        <v>0</v>
      </c>
      <c r="BK103" s="163"/>
      <c r="BL103" s="163"/>
      <c r="BM103" s="163"/>
      <c r="BN103" s="163"/>
      <c r="BO103" s="163"/>
      <c r="BP103" s="163"/>
      <c r="BQ103" s="163"/>
      <c r="BR103" s="163"/>
      <c r="BS103" s="163"/>
      <c r="BT103" s="141"/>
      <c r="BU103" s="163"/>
      <c r="BV103" s="789">
        <v>50</v>
      </c>
      <c r="BW103" s="163"/>
      <c r="BX103" s="164">
        <f t="shared" si="40"/>
        <v>0</v>
      </c>
      <c r="BY103" s="132"/>
    </row>
    <row r="104" ht="14.25" customHeight="1">
      <c r="A104" s="22"/>
      <c r="B104" s="2" t="s">
        <v>77</v>
      </c>
      <c r="C104" s="166">
        <f ref="C104:J104" t="shared" si="41">SUM(C73:C103)</f>
        <v>0</v>
      </c>
      <c r="D104" s="166">
        <f t="shared" si="41"/>
        <v>0</v>
      </c>
      <c r="E104" s="166">
        <f t="shared" si="41"/>
        <v>0</v>
      </c>
      <c r="F104" s="166">
        <f t="shared" si="41"/>
        <v>0</v>
      </c>
      <c r="G104" s="166">
        <f t="shared" si="41"/>
        <v>0</v>
      </c>
      <c r="H104" s="166">
        <f t="shared" si="41"/>
        <v>0</v>
      </c>
      <c r="I104" s="166">
        <f t="shared" si="41"/>
        <v>0</v>
      </c>
      <c r="J104" s="166">
        <f t="shared" si="41"/>
        <v>0</v>
      </c>
      <c r="K104" s="166"/>
      <c r="L104" s="166">
        <f>SUM(L73:L103)</f>
        <v>0</v>
      </c>
      <c r="M104" s="166"/>
      <c r="N104" s="617">
        <f ref="N104:AH104" t="shared" si="42">SUM(N73:N103)</f>
        <v>0</v>
      </c>
      <c r="O104" s="166">
        <f t="shared" si="42"/>
        <v>0</v>
      </c>
      <c r="P104" s="166">
        <f t="shared" si="42"/>
        <v>0</v>
      </c>
      <c r="Q104" s="166">
        <f t="shared" si="42"/>
        <v>0</v>
      </c>
      <c r="R104" s="166">
        <f t="shared" si="42"/>
        <v>0</v>
      </c>
      <c r="S104" s="166">
        <f t="shared" si="42"/>
        <v>0</v>
      </c>
      <c r="T104" s="166">
        <f t="shared" si="42"/>
        <v>0</v>
      </c>
      <c r="U104" s="166">
        <f t="shared" si="42"/>
        <v>0</v>
      </c>
      <c r="V104" s="166">
        <f t="shared" si="42"/>
        <v>0</v>
      </c>
      <c r="W104" s="166">
        <f t="shared" si="42"/>
        <v>0</v>
      </c>
      <c r="X104" s="1271">
        <f t="shared" si="42"/>
        <v>0</v>
      </c>
      <c r="Y104" s="166">
        <f t="shared" si="42"/>
        <v>0</v>
      </c>
      <c r="Z104" s="166">
        <f t="shared" si="42"/>
        <v>0</v>
      </c>
      <c r="AA104" s="166">
        <f t="shared" si="42"/>
        <v>0</v>
      </c>
      <c r="AB104" s="166">
        <f t="shared" si="42"/>
        <v>0</v>
      </c>
      <c r="AC104" s="166">
        <f t="shared" si="42"/>
        <v>0</v>
      </c>
      <c r="AD104" s="166">
        <f t="shared" si="42"/>
        <v>0</v>
      </c>
      <c r="AE104" s="166">
        <f t="shared" si="42"/>
        <v>0</v>
      </c>
      <c r="AF104" s="166">
        <f t="shared" si="42"/>
        <v>0</v>
      </c>
      <c r="AG104" s="166">
        <f t="shared" si="42"/>
        <v>0</v>
      </c>
      <c r="AH104" s="166">
        <f t="shared" si="42"/>
        <v>0</v>
      </c>
      <c r="AI104" s="166"/>
      <c r="AJ104" s="166">
        <f ref="AJ104:BH104" t="shared" si="43">SUM(AJ73:AJ103)</f>
        <v>0</v>
      </c>
      <c r="AK104" s="166">
        <f t="shared" si="43"/>
        <v>0</v>
      </c>
      <c r="AL104" s="166">
        <f t="shared" si="43"/>
        <v>0</v>
      </c>
      <c r="AM104" s="166">
        <f t="shared" si="43"/>
        <v>0</v>
      </c>
      <c r="AN104" s="166">
        <f t="shared" si="43"/>
        <v>0</v>
      </c>
      <c r="AO104" s="166">
        <f t="shared" si="43"/>
        <v>0</v>
      </c>
      <c r="AP104" s="166">
        <f t="shared" si="43"/>
        <v>0</v>
      </c>
      <c r="AQ104" s="166">
        <f t="shared" si="43"/>
        <v>0</v>
      </c>
      <c r="AR104" s="166">
        <f t="shared" si="43"/>
        <v>0</v>
      </c>
      <c r="AS104" s="166">
        <f t="shared" si="43"/>
        <v>0</v>
      </c>
      <c r="AT104" s="166">
        <f t="shared" si="43"/>
        <v>0</v>
      </c>
      <c r="AU104" s="166">
        <f t="shared" si="43"/>
        <v>0</v>
      </c>
      <c r="AV104" s="165">
        <f t="shared" si="43"/>
        <v>0</v>
      </c>
      <c r="AW104" s="166">
        <f t="shared" si="43"/>
        <v>0</v>
      </c>
      <c r="AX104" s="166">
        <f t="shared" si="43"/>
        <v>0</v>
      </c>
      <c r="AY104" s="166">
        <f t="shared" si="43"/>
        <v>0</v>
      </c>
      <c r="AZ104" s="166">
        <f t="shared" si="43"/>
        <v>0</v>
      </c>
      <c r="BA104" s="166">
        <f t="shared" si="43"/>
        <v>0</v>
      </c>
      <c r="BB104" s="165">
        <f t="shared" si="43"/>
        <v>0</v>
      </c>
      <c r="BC104" s="166">
        <f t="shared" si="43"/>
        <v>0</v>
      </c>
      <c r="BD104" s="166">
        <f t="shared" si="43"/>
        <v>0</v>
      </c>
      <c r="BE104" s="166">
        <f t="shared" si="43"/>
        <v>0</v>
      </c>
      <c r="BF104" s="166">
        <f t="shared" si="43"/>
        <v>0</v>
      </c>
      <c r="BG104" s="166">
        <f t="shared" si="43"/>
        <v>0</v>
      </c>
      <c r="BH104" s="166">
        <f t="shared" si="43"/>
        <v>0</v>
      </c>
      <c r="BI104" s="132"/>
      <c r="BJ104" s="166">
        <f ref="BJ104:BX104" t="shared" si="44">SUM(BJ73:BJ103)</f>
        <v>0</v>
      </c>
      <c r="BK104" s="166">
        <f t="shared" si="44"/>
        <v>0</v>
      </c>
      <c r="BL104" s="166">
        <f t="shared" si="44"/>
        <v>0</v>
      </c>
      <c r="BM104" s="166">
        <f t="shared" si="44"/>
        <v>0</v>
      </c>
      <c r="BN104" s="166">
        <f t="shared" si="44"/>
        <v>0</v>
      </c>
      <c r="BO104" s="166">
        <f t="shared" si="44"/>
        <v>0</v>
      </c>
      <c r="BP104" s="166">
        <f t="shared" si="44"/>
        <v>0</v>
      </c>
      <c r="BQ104" s="166">
        <f t="shared" si="44"/>
        <v>0</v>
      </c>
      <c r="BR104" s="166">
        <f t="shared" si="44"/>
        <v>0</v>
      </c>
      <c r="BS104" s="166">
        <f t="shared" si="44"/>
        <v>0</v>
      </c>
      <c r="BT104" s="166">
        <f t="shared" si="44"/>
        <v>0</v>
      </c>
      <c r="BU104" s="166">
        <f t="shared" si="44"/>
        <v>0</v>
      </c>
      <c r="BV104" s="166">
        <f t="shared" si="44"/>
        <v>0</v>
      </c>
      <c r="BW104" s="166">
        <f t="shared" si="44"/>
        <v>0</v>
      </c>
      <c r="BX104" s="166">
        <f t="shared" si="44"/>
        <v>0</v>
      </c>
      <c r="BY104" s="132"/>
    </row>
    <row r="105" ht="14.25" customHeight="1">
      <c r="A105" s="1"/>
      <c r="B105" s="2"/>
      <c r="C105" s="3"/>
      <c r="D105" s="3"/>
      <c r="E105" s="3"/>
      <c r="F105" s="3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  <c r="T105" s="3"/>
      <c r="U105" s="3"/>
      <c r="V105" s="3"/>
      <c r="W105" s="3"/>
      <c r="X105" s="873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4"/>
      <c r="AQ105" s="3"/>
      <c r="AR105" s="3"/>
      <c r="AS105" s="3"/>
      <c r="AT105" s="3"/>
      <c r="AU105" s="4"/>
      <c r="AV105" s="132"/>
      <c r="AW105" s="132"/>
      <c r="AX105" s="1282"/>
      <c r="AY105" s="1080"/>
      <c r="AZ105" s="1"/>
      <c r="BA105" s="3"/>
      <c r="BB105" s="132"/>
      <c r="BC105" s="132"/>
      <c r="BD105" s="132"/>
      <c r="BE105" s="132"/>
      <c r="BF105" s="132"/>
      <c r="BG105" s="4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132"/>
    </row>
    <row r="106" ht="14.25" customHeight="1">
      <c r="A106" s="1"/>
      <c r="B106" s="2"/>
      <c r="C106" s="3"/>
      <c r="D106" s="3"/>
      <c r="E106" s="3"/>
      <c r="F106" s="3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  <c r="T106" s="3"/>
      <c r="U106" s="3"/>
      <c r="V106" s="3"/>
      <c r="W106" s="3"/>
      <c r="X106" s="873"/>
      <c r="Y106" s="1"/>
      <c r="Z106" s="1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176"/>
      <c r="AM106" s="3"/>
      <c r="AN106" s="3"/>
      <c r="AO106" s="3"/>
      <c r="AP106" s="4"/>
      <c r="AQ106" s="3"/>
      <c r="AR106" s="3"/>
      <c r="AS106" s="3"/>
      <c r="AT106" s="3"/>
      <c r="AU106" s="177"/>
      <c r="AV106" s="4"/>
      <c r="AW106" s="177"/>
      <c r="AX106" s="1282"/>
      <c r="AY106" s="1080"/>
      <c r="AZ106" s="1283"/>
      <c r="BA106" s="177"/>
      <c r="BB106" s="4"/>
      <c r="BC106" s="4"/>
      <c r="BD106" s="4"/>
      <c r="BE106" s="132"/>
      <c r="BF106" s="132"/>
      <c r="BG106" s="177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132"/>
    </row>
    <row r="107" ht="14.25" customHeight="1">
      <c r="A107" s="3"/>
      <c r="B107" s="215">
        <v>46113</v>
      </c>
      <c r="C107" s="94">
        <f>35617.16-D107-0</f>
      </c>
      <c r="D107" s="95">
        <v>6086.84</v>
      </c>
      <c r="E107" s="97"/>
      <c r="F107" s="97"/>
      <c r="G107" s="216">
        <f ref="G107:G136" t="shared" si="45">+C107+D107+E107+F107</f>
        <v>0</v>
      </c>
      <c r="H107" s="778"/>
      <c r="I107" s="778"/>
      <c r="J107" s="619"/>
      <c r="K107" s="619"/>
      <c r="L107" s="619">
        <v>4188.93</v>
      </c>
      <c r="M107" s="619"/>
      <c r="N107" s="619">
        <v>3987.73</v>
      </c>
      <c r="O107" s="619"/>
      <c r="P107" s="619"/>
      <c r="Q107" s="619"/>
      <c r="R107" s="619"/>
      <c r="S107" s="186"/>
      <c r="T107" s="186"/>
      <c r="U107" s="186"/>
      <c r="V107" s="186"/>
      <c r="W107" s="186"/>
      <c r="X107" s="1248">
        <f ref="X107:X135" t="shared" si="46">SUM(H107:W107)</f>
        <v>0</v>
      </c>
      <c r="Y107" s="619"/>
      <c r="Z107" s="619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03">
        <f ref="AL107:AL135" t="shared" si="47">SUM(Y107:AK107)</f>
        <v>0</v>
      </c>
      <c r="AM107" s="95">
        <v>11759.68</v>
      </c>
      <c r="AN107" s="95">
        <v>2980.68</v>
      </c>
      <c r="AO107" s="104"/>
      <c r="AP107" s="191">
        <f ref="AP107:AP136" t="shared" si="48">SUM(AM107:AO107)</f>
        <v>0</v>
      </c>
      <c r="AQ107" s="188">
        <v>37.86</v>
      </c>
      <c r="AR107" s="186"/>
      <c r="AS107" s="186"/>
      <c r="AT107" s="193"/>
      <c r="AU107" s="219">
        <f ref="AU107:AU136" t="shared" si="49">+G107-X107-AL107-AP107-AQ107-AR107-AS107-AT107</f>
        <v>0</v>
      </c>
      <c r="AV107" s="1841">
        <v>9321.3</v>
      </c>
      <c r="AW107" s="1842">
        <v>184.9</v>
      </c>
      <c r="AX107" s="1730"/>
      <c r="AY107" s="1730"/>
      <c r="AZ107" s="1690"/>
      <c r="BA107" s="1731"/>
      <c r="BB107" s="1702">
        <v>3106.1</v>
      </c>
      <c r="BC107" s="1708"/>
      <c r="BD107" s="1708"/>
      <c r="BE107" s="1708"/>
      <c r="BF107" s="1708"/>
      <c r="BG107" s="222">
        <f ref="BG107:BG136" t="shared" si="50">SUM(AV107:BF107)-BE107</f>
        <v>0</v>
      </c>
      <c r="BH107" s="114">
        <f ref="BH107:BH136" t="shared" si="51">+AU107-BG107</f>
        <v>0</v>
      </c>
      <c r="BI107" s="3"/>
      <c r="BJ107" s="114">
        <f ref="BJ107:BJ136" t="shared" si="52">SUM(BK107:BW107)</f>
        <v>0</v>
      </c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250"/>
      <c r="BV107" s="115">
        <v>50</v>
      </c>
      <c r="BW107" s="115"/>
      <c r="BX107" s="116">
        <f ref="BX107:BX136" t="shared" si="53">+BH107-BJ107</f>
        <v>0</v>
      </c>
      <c r="BY107" s="132"/>
    </row>
    <row r="108" ht="14.25" customHeight="1">
      <c r="A108" s="3"/>
      <c r="B108" s="215">
        <v>46114</v>
      </c>
      <c r="C108" s="118">
        <f>23423.15-D108-0</f>
      </c>
      <c r="D108" s="119">
        <v>5158.25</v>
      </c>
      <c r="E108" s="120"/>
      <c r="F108" s="120"/>
      <c r="G108" s="147">
        <f t="shared" si="45"/>
        <v>0</v>
      </c>
      <c r="H108" s="768"/>
      <c r="I108" s="768"/>
      <c r="J108" s="611"/>
      <c r="K108" s="611"/>
      <c r="L108" s="801">
        <v>555.46</v>
      </c>
      <c r="M108" s="611"/>
      <c r="N108" s="611"/>
      <c r="O108" s="611"/>
      <c r="P108" s="611"/>
      <c r="Q108" s="611"/>
      <c r="R108" s="611"/>
      <c r="S108" s="143"/>
      <c r="T108" s="143"/>
      <c r="U108" s="143"/>
      <c r="V108" s="143"/>
      <c r="W108" s="143"/>
      <c r="X108" s="1248">
        <f t="shared" si="46"/>
        <v>0</v>
      </c>
      <c r="Y108" s="611"/>
      <c r="Z108" s="611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03">
        <f t="shared" si="47"/>
        <v>0</v>
      </c>
      <c r="AM108" s="119">
        <v>9344.28</v>
      </c>
      <c r="AN108" s="119">
        <v>2514.73</v>
      </c>
      <c r="AO108" s="123"/>
      <c r="AP108" s="105">
        <f t="shared" si="48"/>
        <v>0</v>
      </c>
      <c r="AQ108" s="143"/>
      <c r="AR108" s="143"/>
      <c r="AS108" s="143"/>
      <c r="AT108" s="146">
        <v>1.99</v>
      </c>
      <c r="AU108" s="224">
        <f t="shared" si="49"/>
        <v>0</v>
      </c>
      <c r="AV108" s="1632">
        <v>8115.1</v>
      </c>
      <c r="AW108" s="1718">
        <v>250</v>
      </c>
      <c r="AX108" s="1828"/>
      <c r="AY108" s="1690"/>
      <c r="AZ108" s="1690"/>
      <c r="BA108" s="1731"/>
      <c r="BB108" s="1637">
        <v>2641.4</v>
      </c>
      <c r="BC108" s="1709"/>
      <c r="BD108" s="1709"/>
      <c r="BE108" s="1709"/>
      <c r="BF108" s="1709"/>
      <c r="BG108" s="222">
        <f t="shared" si="50"/>
        <v>0</v>
      </c>
      <c r="BH108" s="113">
        <f t="shared" si="51"/>
        <v>0</v>
      </c>
      <c r="BI108" s="3"/>
      <c r="BJ108" s="113">
        <f t="shared" si="52"/>
        <v>0</v>
      </c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30">
        <f t="shared" si="53"/>
        <v>0</v>
      </c>
      <c r="BY108" s="132"/>
    </row>
    <row r="109" ht="14.25" customHeight="1">
      <c r="A109" s="3"/>
      <c r="B109" s="215">
        <v>46115</v>
      </c>
      <c r="C109" s="118">
        <f>16275.24-D109-0</f>
      </c>
      <c r="D109" s="119">
        <v>6441.41</v>
      </c>
      <c r="E109" s="120"/>
      <c r="F109" s="120"/>
      <c r="G109" s="147">
        <f t="shared" si="45"/>
        <v>0</v>
      </c>
      <c r="H109" s="768"/>
      <c r="I109" s="768"/>
      <c r="J109" s="611"/>
      <c r="K109" s="611"/>
      <c r="L109" s="801">
        <v>460.36</v>
      </c>
      <c r="M109" s="611"/>
      <c r="N109" s="611"/>
      <c r="O109" s="611"/>
      <c r="P109" s="611"/>
      <c r="Q109" s="611"/>
      <c r="R109" s="611"/>
      <c r="S109" s="143"/>
      <c r="T109" s="143"/>
      <c r="U109" s="143"/>
      <c r="V109" s="143"/>
      <c r="W109" s="143"/>
      <c r="X109" s="1248">
        <f t="shared" si="46"/>
        <v>0</v>
      </c>
      <c r="Y109" s="611"/>
      <c r="Z109" s="611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03">
        <f t="shared" si="47"/>
        <v>0</v>
      </c>
      <c r="AM109" s="119">
        <v>5884.16</v>
      </c>
      <c r="AN109" s="119">
        <v>3077.8</v>
      </c>
      <c r="AO109" s="123"/>
      <c r="AP109" s="105">
        <f t="shared" si="48"/>
        <v>0</v>
      </c>
      <c r="AQ109" s="143"/>
      <c r="AR109" s="143"/>
      <c r="AS109" s="143"/>
      <c r="AT109" s="146">
        <v>0.36</v>
      </c>
      <c r="AU109" s="224">
        <f t="shared" si="49"/>
        <v>0</v>
      </c>
      <c r="AV109" s="1632">
        <v>3488.9</v>
      </c>
      <c r="AW109" s="1709"/>
      <c r="AX109" s="1828"/>
      <c r="AY109" s="1690"/>
      <c r="AZ109" s="1690"/>
      <c r="BA109" s="1731"/>
      <c r="BB109" s="1637">
        <v>3363.6</v>
      </c>
      <c r="BC109" s="1709"/>
      <c r="BD109" s="1709"/>
      <c r="BE109" s="1709"/>
      <c r="BF109" s="1709"/>
      <c r="BG109" s="222">
        <f t="shared" si="50"/>
        <v>0</v>
      </c>
      <c r="BH109" s="113">
        <f t="shared" si="51"/>
        <v>0</v>
      </c>
      <c r="BI109" s="3"/>
      <c r="BJ109" s="113">
        <f t="shared" si="52"/>
        <v>0</v>
      </c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30">
        <f t="shared" si="53"/>
        <v>0</v>
      </c>
      <c r="BY109" s="3"/>
    </row>
    <row r="110" ht="14.25" customHeight="1">
      <c r="A110" s="132"/>
      <c r="B110" s="215">
        <v>46116</v>
      </c>
      <c r="C110" s="133">
        <f>19096.42-D110-0</f>
      </c>
      <c r="D110" s="134">
        <v>4977.32</v>
      </c>
      <c r="E110" s="135"/>
      <c r="F110" s="135"/>
      <c r="G110" s="147">
        <f t="shared" si="45"/>
        <v>0</v>
      </c>
      <c r="H110" s="768"/>
      <c r="I110" s="768"/>
      <c r="J110" s="611"/>
      <c r="K110" s="611"/>
      <c r="L110" s="801">
        <v>1309.98</v>
      </c>
      <c r="M110" s="611"/>
      <c r="N110" s="801">
        <v>1505.36</v>
      </c>
      <c r="O110" s="611"/>
      <c r="P110" s="611"/>
      <c r="Q110" s="611"/>
      <c r="R110" s="611"/>
      <c r="S110" s="143"/>
      <c r="T110" s="143"/>
      <c r="U110" s="143"/>
      <c r="V110" s="143"/>
      <c r="W110" s="143"/>
      <c r="X110" s="1248">
        <f t="shared" si="46"/>
        <v>0</v>
      </c>
      <c r="Y110" s="611"/>
      <c r="Z110" s="611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03">
        <f t="shared" si="47"/>
        <v>0</v>
      </c>
      <c r="AM110" s="134">
        <v>6692.2</v>
      </c>
      <c r="AN110" s="134">
        <v>2599.04</v>
      </c>
      <c r="AO110" s="136"/>
      <c r="AP110" s="105">
        <f t="shared" si="48"/>
        <v>0</v>
      </c>
      <c r="AQ110" s="143"/>
      <c r="AR110" s="143"/>
      <c r="AS110" s="143"/>
      <c r="AT110" s="146"/>
      <c r="AU110" s="224">
        <f t="shared" si="49"/>
        <v>0</v>
      </c>
      <c r="AV110" s="1632">
        <v>4525.1</v>
      </c>
      <c r="AW110" s="1709"/>
      <c r="AX110" s="1828"/>
      <c r="AY110" s="1690"/>
      <c r="AZ110" s="1690"/>
      <c r="BA110" s="1731"/>
      <c r="BB110" s="1637">
        <v>2378.2</v>
      </c>
      <c r="BC110" s="1709"/>
      <c r="BD110" s="1709"/>
      <c r="BE110" s="1709"/>
      <c r="BF110" s="1709"/>
      <c r="BG110" s="222">
        <f t="shared" si="50"/>
        <v>0</v>
      </c>
      <c r="BH110" s="140">
        <f t="shared" si="51"/>
        <v>0</v>
      </c>
      <c r="BI110" s="132"/>
      <c r="BJ110" s="140">
        <f t="shared" si="52"/>
        <v>0</v>
      </c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50"/>
      <c r="BV110" s="141">
        <v>86.44</v>
      </c>
      <c r="BW110" s="141"/>
      <c r="BX110" s="130">
        <f t="shared" si="53"/>
        <v>0</v>
      </c>
      <c r="BY110" s="132"/>
    </row>
    <row r="111" ht="14.25" customHeight="1">
      <c r="A111" s="132"/>
      <c r="B111" s="215">
        <v>46117</v>
      </c>
      <c r="C111" s="133">
        <f>28248.79-D111-0</f>
      </c>
      <c r="D111" s="134">
        <v>4275</v>
      </c>
      <c r="E111" s="135"/>
      <c r="F111" s="135"/>
      <c r="G111" s="147">
        <f t="shared" si="45"/>
        <v>0</v>
      </c>
      <c r="H111" s="768"/>
      <c r="I111" s="768"/>
      <c r="J111" s="611"/>
      <c r="K111" s="611"/>
      <c r="L111" s="801">
        <v>470.92</v>
      </c>
      <c r="M111" s="611"/>
      <c r="N111" s="801">
        <v>12661.87</v>
      </c>
      <c r="O111" s="611"/>
      <c r="P111" s="611"/>
      <c r="Q111" s="611"/>
      <c r="R111" s="611"/>
      <c r="S111" s="143"/>
      <c r="T111" s="143"/>
      <c r="U111" s="143"/>
      <c r="V111" s="143"/>
      <c r="W111" s="143"/>
      <c r="X111" s="1248">
        <f t="shared" si="46"/>
        <v>0</v>
      </c>
      <c r="Y111" s="611"/>
      <c r="Z111" s="611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03">
        <f t="shared" si="47"/>
        <v>0</v>
      </c>
      <c r="AM111" s="134">
        <v>5749.41</v>
      </c>
      <c r="AN111" s="134">
        <v>1856.11</v>
      </c>
      <c r="AO111" s="136"/>
      <c r="AP111" s="105">
        <f t="shared" si="48"/>
        <v>0</v>
      </c>
      <c r="AQ111" s="143"/>
      <c r="AR111" s="143"/>
      <c r="AS111" s="143"/>
      <c r="AT111" s="146"/>
      <c r="AU111" s="224">
        <f t="shared" si="49"/>
        <v>0</v>
      </c>
      <c r="AV111" s="1632">
        <v>5091.6</v>
      </c>
      <c r="AW111" s="1709"/>
      <c r="AX111" s="1828"/>
      <c r="AY111" s="1690"/>
      <c r="AZ111" s="1690"/>
      <c r="BA111" s="1731"/>
      <c r="BB111" s="1637">
        <v>2418.9</v>
      </c>
      <c r="BC111" s="1709"/>
      <c r="BD111" s="1709"/>
      <c r="BE111" s="1709"/>
      <c r="BF111" s="1709"/>
      <c r="BG111" s="222">
        <f t="shared" si="50"/>
        <v>0</v>
      </c>
      <c r="BH111" s="140">
        <f t="shared" si="51"/>
        <v>0</v>
      </c>
      <c r="BI111" s="132"/>
      <c r="BJ111" s="140">
        <f t="shared" si="52"/>
        <v>0</v>
      </c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41"/>
      <c r="BV111" s="141"/>
      <c r="BW111" s="141"/>
      <c r="BX111" s="130">
        <f t="shared" si="53"/>
        <v>0</v>
      </c>
      <c r="BY111" s="132"/>
    </row>
    <row r="112" ht="15" customHeight="1">
      <c r="A112" s="132"/>
      <c r="B112" s="215">
        <v>46118</v>
      </c>
      <c r="C112" s="133">
        <f>25785.81-D112-0</f>
      </c>
      <c r="D112" s="134">
        <v>4559.43</v>
      </c>
      <c r="E112" s="135"/>
      <c r="F112" s="135"/>
      <c r="G112" s="147">
        <f t="shared" si="45"/>
        <v>0</v>
      </c>
      <c r="H112" s="768"/>
      <c r="I112" s="768"/>
      <c r="J112" s="611"/>
      <c r="K112" s="611"/>
      <c r="L112" s="801">
        <v>2766.92</v>
      </c>
      <c r="M112" s="611"/>
      <c r="N112" s="611"/>
      <c r="O112" s="611"/>
      <c r="P112" s="611"/>
      <c r="Q112" s="611"/>
      <c r="R112" s="611"/>
      <c r="S112" s="143"/>
      <c r="T112" s="143"/>
      <c r="U112" s="143"/>
      <c r="V112" s="143"/>
      <c r="W112" s="143"/>
      <c r="X112" s="1248">
        <f t="shared" si="46"/>
        <v>0</v>
      </c>
      <c r="Y112" s="611"/>
      <c r="Z112" s="611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03">
        <f t="shared" si="47"/>
        <v>0</v>
      </c>
      <c r="AM112" s="134">
        <v>5750.06</v>
      </c>
      <c r="AN112" s="134">
        <v>2011.39</v>
      </c>
      <c r="AO112" s="136"/>
      <c r="AP112" s="105">
        <f t="shared" si="48"/>
        <v>0</v>
      </c>
      <c r="AQ112" s="145">
        <v>30.69</v>
      </c>
      <c r="AR112" s="143"/>
      <c r="AS112" s="143"/>
      <c r="AT112" s="146">
        <v>0.95</v>
      </c>
      <c r="AU112" s="224">
        <f t="shared" si="49"/>
        <v>0</v>
      </c>
      <c r="AV112" s="1632">
        <v>6414.8</v>
      </c>
      <c r="AW112" s="1718">
        <v>6213.87</v>
      </c>
      <c r="AX112" s="1828"/>
      <c r="AY112" s="1840"/>
      <c r="AZ112" s="1690"/>
      <c r="BA112" s="1731"/>
      <c r="BB112" s="1637">
        <v>2547.1</v>
      </c>
      <c r="BC112" s="1709"/>
      <c r="BD112" s="1709"/>
      <c r="BE112" s="1709"/>
      <c r="BF112" s="1709"/>
      <c r="BG112" s="222">
        <f t="shared" si="50"/>
        <v>0</v>
      </c>
      <c r="BH112" s="140">
        <f t="shared" si="51"/>
        <v>0</v>
      </c>
      <c r="BI112" s="132"/>
      <c r="BJ112" s="140">
        <f t="shared" si="52"/>
        <v>0</v>
      </c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50"/>
      <c r="BV112" s="141">
        <v>50</v>
      </c>
      <c r="BW112" s="141"/>
      <c r="BX112" s="130">
        <f t="shared" si="53"/>
        <v>0</v>
      </c>
      <c r="BY112" s="132"/>
    </row>
    <row r="113" ht="13.5" customHeight="1">
      <c r="A113" s="132"/>
      <c r="B113" s="215">
        <v>46119</v>
      </c>
      <c r="C113" s="133">
        <f>50171.30-D113-0</f>
      </c>
      <c r="D113" s="134">
        <v>3807.35</v>
      </c>
      <c r="E113" s="135"/>
      <c r="F113" s="135"/>
      <c r="G113" s="147">
        <f t="shared" si="45"/>
        <v>0</v>
      </c>
      <c r="H113" s="768"/>
      <c r="I113" s="768"/>
      <c r="J113" s="611"/>
      <c r="K113" s="611"/>
      <c r="L113" s="611">
        <v>5247.34</v>
      </c>
      <c r="M113" s="611"/>
      <c r="N113" s="801">
        <v>22692.02</v>
      </c>
      <c r="O113" s="611"/>
      <c r="P113" s="611"/>
      <c r="Q113" s="611"/>
      <c r="R113" s="611"/>
      <c r="S113" s="143"/>
      <c r="T113" s="143"/>
      <c r="U113" s="143"/>
      <c r="V113" s="143"/>
      <c r="W113" s="143"/>
      <c r="X113" s="1248">
        <f t="shared" si="46"/>
        <v>0</v>
      </c>
      <c r="Y113" s="611"/>
      <c r="Z113" s="611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03">
        <f t="shared" si="47"/>
        <v>0</v>
      </c>
      <c r="AM113" s="134">
        <v>7080.58</v>
      </c>
      <c r="AN113" s="134">
        <v>1754.48</v>
      </c>
      <c r="AO113" s="136"/>
      <c r="AP113" s="105">
        <f t="shared" si="48"/>
        <v>0</v>
      </c>
      <c r="AQ113" s="145">
        <v>74.73</v>
      </c>
      <c r="AR113" s="143"/>
      <c r="AS113" s="143"/>
      <c r="AT113" s="146"/>
      <c r="AU113" s="224">
        <f t="shared" si="49"/>
        <v>0</v>
      </c>
      <c r="AV113" s="1632">
        <v>5823.4</v>
      </c>
      <c r="AW113" s="1718">
        <v>5395.9</v>
      </c>
      <c r="AX113" s="1828"/>
      <c r="AY113" s="1840"/>
      <c r="AZ113" s="1690"/>
      <c r="BA113" s="1731"/>
      <c r="BB113" s="1637">
        <v>2052.9</v>
      </c>
      <c r="BC113" s="1709"/>
      <c r="BD113" s="1709"/>
      <c r="BE113" s="1709"/>
      <c r="BF113" s="1709"/>
      <c r="BG113" s="222">
        <f t="shared" si="50"/>
        <v>0</v>
      </c>
      <c r="BH113" s="140">
        <f t="shared" si="51"/>
        <v>0</v>
      </c>
      <c r="BI113" s="132"/>
      <c r="BJ113" s="140">
        <f t="shared" si="52"/>
        <v>0</v>
      </c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50"/>
      <c r="BV113" s="141">
        <v>50</v>
      </c>
      <c r="BW113" s="141"/>
      <c r="BX113" s="130">
        <f t="shared" si="53"/>
        <v>0</v>
      </c>
      <c r="BY113" s="132"/>
    </row>
    <row r="114" ht="14.25" customHeight="1">
      <c r="A114" s="132"/>
      <c r="B114" s="215">
        <v>46120</v>
      </c>
      <c r="C114" s="133">
        <f>23185.23-D114-0</f>
      </c>
      <c r="D114" s="134">
        <v>4427.21</v>
      </c>
      <c r="E114" s="135"/>
      <c r="F114" s="135"/>
      <c r="G114" s="147">
        <f t="shared" si="45"/>
        <v>0</v>
      </c>
      <c r="H114" s="768"/>
      <c r="I114" s="768"/>
      <c r="J114" s="611"/>
      <c r="K114" s="611"/>
      <c r="L114" s="801">
        <v>3200.54</v>
      </c>
      <c r="M114" s="611"/>
      <c r="N114" s="611"/>
      <c r="O114" s="611"/>
      <c r="P114" s="611"/>
      <c r="Q114" s="611"/>
      <c r="R114" s="611"/>
      <c r="S114" s="143"/>
      <c r="T114" s="143"/>
      <c r="U114" s="143"/>
      <c r="V114" s="143"/>
      <c r="W114" s="143"/>
      <c r="X114" s="1248">
        <f t="shared" si="46"/>
        <v>0</v>
      </c>
      <c r="Y114" s="611"/>
      <c r="Z114" s="611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03">
        <f t="shared" si="47"/>
        <v>0</v>
      </c>
      <c r="AM114" s="134">
        <v>7677.25</v>
      </c>
      <c r="AN114" s="134">
        <v>1951.6</v>
      </c>
      <c r="AO114" s="136"/>
      <c r="AP114" s="105">
        <f t="shared" si="48"/>
        <v>0</v>
      </c>
      <c r="AQ114" s="145">
        <v>21.8</v>
      </c>
      <c r="AR114" s="143"/>
      <c r="AS114" s="143"/>
      <c r="AT114" s="146">
        <v>1.52</v>
      </c>
      <c r="AU114" s="224">
        <f t="shared" si="49"/>
        <v>0</v>
      </c>
      <c r="AV114" s="1632">
        <v>7162.6</v>
      </c>
      <c r="AW114" s="1718">
        <v>645.72</v>
      </c>
      <c r="AX114" s="1828"/>
      <c r="AY114" s="1840"/>
      <c r="AZ114" s="1690"/>
      <c r="BA114" s="1731"/>
      <c r="BB114" s="1637">
        <v>2474.1</v>
      </c>
      <c r="BC114" s="1709"/>
      <c r="BD114" s="1709"/>
      <c r="BE114" s="1709"/>
      <c r="BF114" s="1709"/>
      <c r="BG114" s="222">
        <f t="shared" si="50"/>
        <v>0</v>
      </c>
      <c r="BH114" s="140">
        <f t="shared" si="51"/>
        <v>0</v>
      </c>
      <c r="BI114" s="132"/>
      <c r="BJ114" s="140">
        <f t="shared" si="52"/>
        <v>0</v>
      </c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50"/>
      <c r="BV114" s="141">
        <v>50</v>
      </c>
      <c r="BW114" s="141"/>
      <c r="BX114" s="130">
        <f t="shared" si="53"/>
        <v>0</v>
      </c>
      <c r="BY114" s="132"/>
    </row>
    <row r="115" ht="14.25" customHeight="1">
      <c r="A115" s="132"/>
      <c r="B115" s="215">
        <v>46121</v>
      </c>
      <c r="C115" s="133">
        <f>24498.09-D115-0</f>
      </c>
      <c r="D115" s="134">
        <v>4164.62</v>
      </c>
      <c r="E115" s="135"/>
      <c r="F115" s="135"/>
      <c r="G115" s="147">
        <f t="shared" si="45"/>
        <v>0</v>
      </c>
      <c r="H115" s="801">
        <v>1424.44</v>
      </c>
      <c r="I115" s="611"/>
      <c r="J115" s="611"/>
      <c r="K115" s="611"/>
      <c r="L115" s="611">
        <v>3750.11</v>
      </c>
      <c r="M115" s="611"/>
      <c r="N115" s="611">
        <v>623.04</v>
      </c>
      <c r="O115" s="611"/>
      <c r="P115" s="611"/>
      <c r="Q115" s="611"/>
      <c r="R115" s="611"/>
      <c r="S115" s="143"/>
      <c r="T115" s="143"/>
      <c r="U115" s="143"/>
      <c r="V115" s="143"/>
      <c r="W115" s="143"/>
      <c r="X115" s="1248">
        <f t="shared" si="46"/>
        <v>0</v>
      </c>
      <c r="Y115" s="611"/>
      <c r="Z115" s="611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03">
        <f t="shared" si="47"/>
        <v>0</v>
      </c>
      <c r="AM115" s="134">
        <v>6617.81</v>
      </c>
      <c r="AN115" s="134">
        <v>1975.76</v>
      </c>
      <c r="AO115" s="136"/>
      <c r="AP115" s="105">
        <f t="shared" si="48"/>
        <v>0</v>
      </c>
      <c r="AQ115" s="145">
        <v>9.22</v>
      </c>
      <c r="AR115" s="143"/>
      <c r="AS115" s="143"/>
      <c r="AT115" s="146"/>
      <c r="AU115" s="224">
        <f t="shared" si="49"/>
        <v>0</v>
      </c>
      <c r="AV115" s="1632">
        <v>7554.5</v>
      </c>
      <c r="AW115" s="1718">
        <v>304.35</v>
      </c>
      <c r="AX115" s="1828"/>
      <c r="AY115" s="1840"/>
      <c r="AZ115" s="1690"/>
      <c r="BA115" s="1731"/>
      <c r="BB115" s="1637">
        <v>2188.8</v>
      </c>
      <c r="BC115" s="1709"/>
      <c r="BD115" s="1709"/>
      <c r="BE115" s="1709"/>
      <c r="BF115" s="1709"/>
      <c r="BG115" s="222">
        <f t="shared" si="50"/>
        <v>0</v>
      </c>
      <c r="BH115" s="140">
        <f t="shared" si="51"/>
        <v>0</v>
      </c>
      <c r="BI115" s="132"/>
      <c r="BJ115" s="140">
        <f t="shared" si="52"/>
        <v>0</v>
      </c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50"/>
      <c r="BV115" s="141">
        <v>50</v>
      </c>
      <c r="BW115" s="141"/>
      <c r="BX115" s="130">
        <f t="shared" si="53"/>
        <v>0</v>
      </c>
      <c r="BY115" s="132"/>
    </row>
    <row r="116" ht="14.25" customHeight="1">
      <c r="A116" s="132"/>
      <c r="B116" s="215">
        <v>46122</v>
      </c>
      <c r="C116" s="133">
        <f>22016.94-D116-0</f>
      </c>
      <c r="D116" s="134">
        <v>4393.72</v>
      </c>
      <c r="E116" s="135"/>
      <c r="F116" s="135"/>
      <c r="G116" s="147">
        <f t="shared" si="45"/>
        <v>0</v>
      </c>
      <c r="H116" s="768"/>
      <c r="I116" s="768"/>
      <c r="J116" s="611"/>
      <c r="K116" s="611"/>
      <c r="L116" s="611">
        <v>3703.9</v>
      </c>
      <c r="M116" s="611"/>
      <c r="N116" s="801">
        <v>251.14</v>
      </c>
      <c r="O116" s="611"/>
      <c r="P116" s="611"/>
      <c r="Q116" s="611"/>
      <c r="R116" s="611"/>
      <c r="S116" s="143"/>
      <c r="T116" s="143"/>
      <c r="U116" s="143"/>
      <c r="V116" s="143"/>
      <c r="W116" s="143"/>
      <c r="X116" s="1248">
        <f t="shared" si="46"/>
        <v>0</v>
      </c>
      <c r="Y116" s="611"/>
      <c r="Z116" s="611"/>
      <c r="AA116" s="143"/>
      <c r="AB116" s="143"/>
      <c r="AC116" s="143"/>
      <c r="AD116" s="143"/>
      <c r="AE116" s="143"/>
      <c r="AF116" s="143"/>
      <c r="AG116" s="143"/>
      <c r="AH116" s="143"/>
      <c r="AI116" s="143"/>
      <c r="AJ116" s="143"/>
      <c r="AK116" s="143"/>
      <c r="AL116" s="103">
        <f t="shared" si="47"/>
        <v>0</v>
      </c>
      <c r="AM116" s="134">
        <v>8031.54</v>
      </c>
      <c r="AN116" s="134">
        <v>1928.26</v>
      </c>
      <c r="AO116" s="136"/>
      <c r="AP116" s="105">
        <f t="shared" si="48"/>
        <v>0</v>
      </c>
      <c r="AQ116" s="145">
        <v>19.13</v>
      </c>
      <c r="AR116" s="143"/>
      <c r="AS116" s="143"/>
      <c r="AT116" s="146"/>
      <c r="AU116" s="224">
        <f t="shared" si="49"/>
        <v>0</v>
      </c>
      <c r="AV116" s="1632">
        <v>5567.5</v>
      </c>
      <c r="AW116" s="1709"/>
      <c r="AX116" s="1828"/>
      <c r="AY116" s="1840"/>
      <c r="AZ116" s="1690"/>
      <c r="BA116" s="1731"/>
      <c r="BB116" s="1637">
        <v>2465.4</v>
      </c>
      <c r="BC116" s="1709"/>
      <c r="BD116" s="1709"/>
      <c r="BE116" s="1709"/>
      <c r="BF116" s="1709"/>
      <c r="BG116" s="222">
        <f t="shared" si="50"/>
        <v>0</v>
      </c>
      <c r="BH116" s="140">
        <f t="shared" si="51"/>
        <v>0</v>
      </c>
      <c r="BI116" s="132"/>
      <c r="BJ116" s="140">
        <f t="shared" si="52"/>
        <v>0</v>
      </c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50"/>
      <c r="BV116" s="141">
        <v>50</v>
      </c>
      <c r="BW116" s="141"/>
      <c r="BX116" s="130">
        <f t="shared" si="53"/>
        <v>0</v>
      </c>
      <c r="BY116" s="132"/>
    </row>
    <row r="117" ht="14.25" customHeight="1">
      <c r="A117" s="132"/>
      <c r="B117" s="215">
        <v>46123</v>
      </c>
      <c r="C117" s="133">
        <f>20271.06-D117-0</f>
      </c>
      <c r="D117" s="134">
        <v>5005.44</v>
      </c>
      <c r="E117" s="135"/>
      <c r="F117" s="135"/>
      <c r="G117" s="147">
        <f t="shared" si="45"/>
        <v>0</v>
      </c>
      <c r="H117" s="1070">
        <v>1056.82</v>
      </c>
      <c r="I117" s="768"/>
      <c r="J117" s="611"/>
      <c r="K117" s="611"/>
      <c r="L117" s="611">
        <v>1614</v>
      </c>
      <c r="M117" s="611"/>
      <c r="N117" s="801">
        <v>600</v>
      </c>
      <c r="O117" s="611"/>
      <c r="P117" s="611"/>
      <c r="Q117" s="611"/>
      <c r="R117" s="611"/>
      <c r="S117" s="143"/>
      <c r="T117" s="143"/>
      <c r="U117" s="143"/>
      <c r="V117" s="143"/>
      <c r="W117" s="143"/>
      <c r="X117" s="1248">
        <f t="shared" si="46"/>
        <v>0</v>
      </c>
      <c r="Y117" s="611"/>
      <c r="Z117" s="611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03">
        <f t="shared" si="47"/>
        <v>0</v>
      </c>
      <c r="AM117" s="134">
        <v>7467.83</v>
      </c>
      <c r="AN117" s="134">
        <v>2094.25</v>
      </c>
      <c r="AO117" s="136"/>
      <c r="AP117" s="105">
        <f t="shared" si="48"/>
        <v>0</v>
      </c>
      <c r="AQ117" s="143"/>
      <c r="AR117" s="143"/>
      <c r="AS117" s="143"/>
      <c r="AT117" s="146"/>
      <c r="AU117" s="224">
        <f t="shared" si="49"/>
        <v>0</v>
      </c>
      <c r="AV117" s="1632">
        <v>4556.2</v>
      </c>
      <c r="AW117" s="1709"/>
      <c r="AX117" s="1690"/>
      <c r="AY117" s="1840"/>
      <c r="AZ117" s="1690"/>
      <c r="BA117" s="1731"/>
      <c r="BB117" s="1637">
        <v>2795.2</v>
      </c>
      <c r="BC117" s="1709"/>
      <c r="BD117" s="1709"/>
      <c r="BE117" s="1709"/>
      <c r="BF117" s="1709"/>
      <c r="BG117" s="222">
        <f t="shared" si="50"/>
        <v>0</v>
      </c>
      <c r="BH117" s="140">
        <f t="shared" si="51"/>
        <v>0</v>
      </c>
      <c r="BI117" s="132"/>
      <c r="BJ117" s="140">
        <f t="shared" si="52"/>
        <v>0</v>
      </c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50">
        <v>86.72</v>
      </c>
      <c r="BW117" s="141"/>
      <c r="BX117" s="130">
        <f t="shared" si="53"/>
        <v>0</v>
      </c>
      <c r="BY117" s="132"/>
    </row>
    <row r="118" ht="14.25" customHeight="1">
      <c r="A118" s="132"/>
      <c r="B118" s="215">
        <v>46124</v>
      </c>
      <c r="C118" s="133">
        <f>15139.73-D118-0</f>
      </c>
      <c r="D118" s="134">
        <v>3541.37</v>
      </c>
      <c r="E118" s="135"/>
      <c r="F118" s="135"/>
      <c r="G118" s="147">
        <f t="shared" si="45"/>
        <v>0</v>
      </c>
      <c r="H118" s="768"/>
      <c r="I118" s="768"/>
      <c r="J118" s="611"/>
      <c r="K118" s="611"/>
      <c r="L118" s="801">
        <v>918.55</v>
      </c>
      <c r="M118" s="611"/>
      <c r="N118" s="611"/>
      <c r="O118" s="611"/>
      <c r="P118" s="611"/>
      <c r="Q118" s="611"/>
      <c r="R118" s="611"/>
      <c r="S118" s="143"/>
      <c r="T118" s="143"/>
      <c r="U118" s="143"/>
      <c r="V118" s="143"/>
      <c r="W118" s="143"/>
      <c r="X118" s="1248">
        <f t="shared" si="46"/>
        <v>0</v>
      </c>
      <c r="Y118" s="611"/>
      <c r="Z118" s="611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03">
        <f t="shared" si="47"/>
        <v>0</v>
      </c>
      <c r="AM118" s="134">
        <v>6085.74</v>
      </c>
      <c r="AN118" s="134">
        <v>1991.09</v>
      </c>
      <c r="AO118" s="136"/>
      <c r="AP118" s="105">
        <f t="shared" si="48"/>
        <v>0</v>
      </c>
      <c r="AQ118" s="145">
        <v>23.61</v>
      </c>
      <c r="AR118" s="143"/>
      <c r="AS118" s="143"/>
      <c r="AT118" s="146"/>
      <c r="AU118" s="224">
        <f t="shared" si="49"/>
        <v>0</v>
      </c>
      <c r="AV118" s="1632">
        <v>4570.5</v>
      </c>
      <c r="AW118" s="1709"/>
      <c r="AX118" s="1690"/>
      <c r="AY118" s="1840"/>
      <c r="AZ118" s="1690"/>
      <c r="BA118" s="1731"/>
      <c r="BB118" s="1637">
        <v>1550.3</v>
      </c>
      <c r="BC118" s="1709"/>
      <c r="BD118" s="1709"/>
      <c r="BE118" s="1709"/>
      <c r="BF118" s="1709"/>
      <c r="BG118" s="222">
        <f t="shared" si="50"/>
        <v>0</v>
      </c>
      <c r="BH118" s="140">
        <f t="shared" si="51"/>
        <v>0</v>
      </c>
      <c r="BI118" s="132"/>
      <c r="BJ118" s="140">
        <f t="shared" si="52"/>
        <v>0</v>
      </c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41"/>
      <c r="BV118" s="141"/>
      <c r="BW118" s="141"/>
      <c r="BX118" s="130">
        <f t="shared" si="53"/>
        <v>0</v>
      </c>
      <c r="BY118" s="132"/>
    </row>
    <row r="119" ht="14.25" customHeight="1">
      <c r="A119" s="132"/>
      <c r="B119" s="215">
        <v>46125</v>
      </c>
      <c r="C119" s="133">
        <f>19712.86-D119-0</f>
      </c>
      <c r="D119" s="134">
        <v>4085.91</v>
      </c>
      <c r="E119" s="135"/>
      <c r="F119" s="135"/>
      <c r="G119" s="147">
        <f t="shared" si="45"/>
        <v>0</v>
      </c>
      <c r="H119" s="768"/>
      <c r="I119" s="768"/>
      <c r="J119" s="611"/>
      <c r="K119" s="611"/>
      <c r="L119" s="611">
        <v>2352.81</v>
      </c>
      <c r="M119" s="611"/>
      <c r="N119" s="801">
        <v>281.65</v>
      </c>
      <c r="O119" s="611"/>
      <c r="P119" s="611"/>
      <c r="Q119" s="611"/>
      <c r="R119" s="611"/>
      <c r="S119" s="143"/>
      <c r="T119" s="143"/>
      <c r="U119" s="143"/>
      <c r="V119" s="143"/>
      <c r="W119" s="143"/>
      <c r="X119" s="1248">
        <f t="shared" si="46"/>
        <v>0</v>
      </c>
      <c r="Y119" s="611"/>
      <c r="Z119" s="611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03">
        <f t="shared" si="47"/>
        <v>0</v>
      </c>
      <c r="AM119" s="134">
        <v>7750.38</v>
      </c>
      <c r="AN119" s="134">
        <v>2053.61</v>
      </c>
      <c r="AO119" s="136"/>
      <c r="AP119" s="105">
        <f t="shared" si="48"/>
        <v>0</v>
      </c>
      <c r="AQ119" s="143"/>
      <c r="AR119" s="143"/>
      <c r="AS119" s="143"/>
      <c r="AT119" s="146"/>
      <c r="AU119" s="224">
        <f t="shared" si="49"/>
        <v>0</v>
      </c>
      <c r="AV119" s="1632">
        <v>5192.1</v>
      </c>
      <c r="AW119" s="1709"/>
      <c r="AX119" s="1690"/>
      <c r="AY119" s="1840"/>
      <c r="AZ119" s="1690"/>
      <c r="BA119" s="1731"/>
      <c r="BB119" s="1637">
        <v>2032.2</v>
      </c>
      <c r="BC119" s="1709"/>
      <c r="BD119" s="1709"/>
      <c r="BE119" s="1709"/>
      <c r="BF119" s="1709"/>
      <c r="BG119" s="222">
        <f t="shared" si="50"/>
        <v>0</v>
      </c>
      <c r="BH119" s="140">
        <f t="shared" si="51"/>
        <v>0</v>
      </c>
      <c r="BI119" s="132"/>
      <c r="BJ119" s="140">
        <f t="shared" si="52"/>
        <v>0</v>
      </c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50"/>
      <c r="BV119" s="141">
        <v>50</v>
      </c>
      <c r="BW119" s="141"/>
      <c r="BX119" s="130">
        <f t="shared" si="53"/>
        <v>0</v>
      </c>
      <c r="BY119" s="132"/>
    </row>
    <row r="120" ht="14.25" customHeight="1">
      <c r="A120" s="132"/>
      <c r="B120" s="215">
        <v>46126</v>
      </c>
      <c r="C120" s="133">
        <f>30903.67-D120-0</f>
      </c>
      <c r="D120" s="134">
        <v>3829.72</v>
      </c>
      <c r="E120" s="135"/>
      <c r="F120" s="135"/>
      <c r="G120" s="147">
        <f t="shared" si="45"/>
        <v>0</v>
      </c>
      <c r="H120" s="1070">
        <v>1278.6</v>
      </c>
      <c r="I120" s="768"/>
      <c r="J120" s="611"/>
      <c r="K120" s="611"/>
      <c r="L120" s="611">
        <v>2906.93</v>
      </c>
      <c r="M120" s="611"/>
      <c r="N120" s="801">
        <v>117.65</v>
      </c>
      <c r="O120" s="611"/>
      <c r="P120" s="611"/>
      <c r="Q120" s="611"/>
      <c r="R120" s="611"/>
      <c r="S120" s="143"/>
      <c r="T120" s="143"/>
      <c r="U120" s="143"/>
      <c r="V120" s="143"/>
      <c r="W120" s="143"/>
      <c r="X120" s="1248">
        <f t="shared" si="46"/>
        <v>0</v>
      </c>
      <c r="Y120" s="611"/>
      <c r="Z120" s="611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03">
        <f t="shared" si="47"/>
        <v>0</v>
      </c>
      <c r="AM120" s="134">
        <v>7562.07</v>
      </c>
      <c r="AN120" s="134">
        <v>1648.71</v>
      </c>
      <c r="AO120" s="136"/>
      <c r="AP120" s="105">
        <f t="shared" si="48"/>
        <v>0</v>
      </c>
      <c r="AQ120" s="143"/>
      <c r="AR120" s="143"/>
      <c r="AS120" s="143"/>
      <c r="AT120" s="146"/>
      <c r="AU120" s="224">
        <f t="shared" si="49"/>
        <v>0</v>
      </c>
      <c r="AV120" s="1632">
        <v>6853.7</v>
      </c>
      <c r="AW120" s="1718">
        <v>8305.02</v>
      </c>
      <c r="AX120" s="1690"/>
      <c r="AY120" s="1840"/>
      <c r="AZ120" s="1690"/>
      <c r="BA120" s="1731"/>
      <c r="BB120" s="1637">
        <v>2181</v>
      </c>
      <c r="BC120" s="1709"/>
      <c r="BD120" s="1709"/>
      <c r="BE120" s="1709"/>
      <c r="BF120" s="1709"/>
      <c r="BG120" s="222">
        <f t="shared" si="50"/>
        <v>0</v>
      </c>
      <c r="BH120" s="140">
        <f t="shared" si="51"/>
        <v>0</v>
      </c>
      <c r="BI120" s="132"/>
      <c r="BJ120" s="140">
        <f t="shared" si="52"/>
        <v>0</v>
      </c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50"/>
      <c r="BV120" s="141">
        <v>50</v>
      </c>
      <c r="BW120" s="141"/>
      <c r="BX120" s="130">
        <f t="shared" si="53"/>
        <v>0</v>
      </c>
      <c r="BY120" s="132"/>
    </row>
    <row r="121" ht="14.25" customHeight="1">
      <c r="A121" s="132"/>
      <c r="B121" s="215">
        <v>46127</v>
      </c>
      <c r="C121" s="133">
        <f>21160.81-D121-0</f>
      </c>
      <c r="D121" s="134">
        <v>4892.2</v>
      </c>
      <c r="E121" s="135"/>
      <c r="F121" s="135"/>
      <c r="G121" s="147">
        <f t="shared" si="45"/>
        <v>0</v>
      </c>
      <c r="H121" s="768"/>
      <c r="I121" s="768"/>
      <c r="J121" s="611"/>
      <c r="K121" s="611"/>
      <c r="L121" s="611">
        <v>3155.87</v>
      </c>
      <c r="M121" s="611"/>
      <c r="N121" s="611">
        <v>1067.5</v>
      </c>
      <c r="O121" s="611"/>
      <c r="P121" s="611"/>
      <c r="Q121" s="611"/>
      <c r="R121" s="611"/>
      <c r="S121" s="143"/>
      <c r="T121" s="143"/>
      <c r="U121" s="143"/>
      <c r="V121" s="143"/>
      <c r="W121" s="143"/>
      <c r="X121" s="1248">
        <f t="shared" si="46"/>
        <v>0</v>
      </c>
      <c r="Y121" s="611"/>
      <c r="Z121" s="611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03">
        <f t="shared" si="47"/>
        <v>0</v>
      </c>
      <c r="AM121" s="134">
        <v>6731.82</v>
      </c>
      <c r="AN121" s="134">
        <v>2331.84</v>
      </c>
      <c r="AO121" s="136"/>
      <c r="AP121" s="105">
        <f t="shared" si="48"/>
        <v>0</v>
      </c>
      <c r="AQ121" s="143"/>
      <c r="AR121" s="143"/>
      <c r="AS121" s="143"/>
      <c r="AT121" s="146">
        <v>5.51</v>
      </c>
      <c r="AU121" s="224">
        <f t="shared" si="49"/>
        <v>0</v>
      </c>
      <c r="AV121" s="1632">
        <v>5012.4</v>
      </c>
      <c r="AW121" s="1718">
        <v>250</v>
      </c>
      <c r="AX121" s="1690"/>
      <c r="AY121" s="1840"/>
      <c r="AZ121" s="1690"/>
      <c r="BA121" s="1731"/>
      <c r="BB121" s="1637">
        <v>2555.9</v>
      </c>
      <c r="BC121" s="1709"/>
      <c r="BD121" s="1709"/>
      <c r="BE121" s="1709"/>
      <c r="BF121" s="1709"/>
      <c r="BG121" s="222">
        <f t="shared" si="50"/>
        <v>0</v>
      </c>
      <c r="BH121" s="140">
        <f t="shared" si="51"/>
        <v>0</v>
      </c>
      <c r="BI121" s="132"/>
      <c r="BJ121" s="140">
        <f t="shared" si="52"/>
        <v>0</v>
      </c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50"/>
      <c r="BV121" s="141">
        <v>50</v>
      </c>
      <c r="BW121" s="141"/>
      <c r="BX121" s="130">
        <f t="shared" si="53"/>
        <v>0</v>
      </c>
      <c r="BY121" s="132"/>
    </row>
    <row r="122" ht="14.25" customHeight="1">
      <c r="A122" s="132"/>
      <c r="B122" s="215">
        <v>46128</v>
      </c>
      <c r="C122" s="133">
        <f>21667.48-D122-0</f>
      </c>
      <c r="D122" s="134">
        <v>4126.6</v>
      </c>
      <c r="E122" s="135"/>
      <c r="F122" s="135"/>
      <c r="G122" s="147">
        <f t="shared" si="45"/>
        <v>0</v>
      </c>
      <c r="H122" s="768"/>
      <c r="I122" s="768"/>
      <c r="J122" s="611"/>
      <c r="K122" s="611"/>
      <c r="L122" s="611">
        <v>4658.73</v>
      </c>
      <c r="M122" s="611"/>
      <c r="N122" s="611">
        <v>594.81</v>
      </c>
      <c r="O122" s="611"/>
      <c r="P122" s="611"/>
      <c r="Q122" s="611"/>
      <c r="R122" s="611"/>
      <c r="S122" s="143"/>
      <c r="T122" s="143"/>
      <c r="U122" s="143"/>
      <c r="V122" s="143"/>
      <c r="W122" s="143"/>
      <c r="X122" s="1248">
        <f t="shared" si="46"/>
        <v>0</v>
      </c>
      <c r="Y122" s="611"/>
      <c r="Z122" s="611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03">
        <f t="shared" si="47"/>
        <v>0</v>
      </c>
      <c r="AM122" s="134">
        <v>6096.82</v>
      </c>
      <c r="AN122" s="134">
        <v>2205.54</v>
      </c>
      <c r="AO122" s="136"/>
      <c r="AP122" s="105">
        <f t="shared" si="48"/>
        <v>0</v>
      </c>
      <c r="AQ122" s="143"/>
      <c r="AR122" s="143"/>
      <c r="AS122" s="143"/>
      <c r="AT122" s="146">
        <v>4.87</v>
      </c>
      <c r="AU122" s="224">
        <f t="shared" si="49"/>
        <v>0</v>
      </c>
      <c r="AV122" s="1632"/>
      <c r="AW122" s="1709"/>
      <c r="AX122" s="1690"/>
      <c r="AY122" s="1840"/>
      <c r="AZ122" s="1690"/>
      <c r="BA122" s="1731"/>
      <c r="BB122" s="1637"/>
      <c r="BC122" s="1709"/>
      <c r="BD122" s="1709"/>
      <c r="BE122" s="1709"/>
      <c r="BF122" s="1709"/>
      <c r="BG122" s="222">
        <f t="shared" si="50"/>
        <v>0</v>
      </c>
      <c r="BH122" s="140">
        <f t="shared" si="51"/>
        <v>0</v>
      </c>
      <c r="BI122" s="132"/>
      <c r="BJ122" s="140">
        <f t="shared" si="52"/>
        <v>0</v>
      </c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50"/>
      <c r="BV122" s="141">
        <v>50</v>
      </c>
      <c r="BW122" s="141"/>
      <c r="BX122" s="130">
        <f t="shared" si="53"/>
        <v>0</v>
      </c>
      <c r="BY122" s="132"/>
    </row>
    <row r="123" ht="17.25" customHeight="1">
      <c r="A123" s="132"/>
      <c r="B123" s="215">
        <v>46129</v>
      </c>
      <c r="C123" s="133">
        <f>19868.78-D123-0</f>
      </c>
      <c r="D123" s="134">
        <v>4464.03</v>
      </c>
      <c r="E123" s="135"/>
      <c r="F123" s="135"/>
      <c r="G123" s="147">
        <f t="shared" si="45"/>
        <v>0</v>
      </c>
      <c r="H123" s="768"/>
      <c r="I123" s="768"/>
      <c r="J123" s="611"/>
      <c r="K123" s="611"/>
      <c r="L123" s="611">
        <v>417.74</v>
      </c>
      <c r="M123" s="611"/>
      <c r="N123" s="801">
        <v>1110.28</v>
      </c>
      <c r="O123" s="611"/>
      <c r="P123" s="611"/>
      <c r="Q123" s="611"/>
      <c r="R123" s="611"/>
      <c r="S123" s="143"/>
      <c r="T123" s="143"/>
      <c r="U123" s="143"/>
      <c r="V123" s="143"/>
      <c r="W123" s="143"/>
      <c r="X123" s="1248">
        <f t="shared" si="46"/>
        <v>0</v>
      </c>
      <c r="Y123" s="611"/>
      <c r="Z123" s="611"/>
      <c r="AA123" s="143"/>
      <c r="AB123" s="143"/>
      <c r="AC123" s="143"/>
      <c r="AD123" s="143"/>
      <c r="AE123" s="143"/>
      <c r="AF123" s="143"/>
      <c r="AG123" s="143"/>
      <c r="AH123" s="143"/>
      <c r="AI123" s="143"/>
      <c r="AJ123" s="143"/>
      <c r="AK123" s="143"/>
      <c r="AL123" s="103">
        <f t="shared" si="47"/>
        <v>0</v>
      </c>
      <c r="AM123" s="134">
        <v>6734</v>
      </c>
      <c r="AN123" s="134">
        <v>1733.15</v>
      </c>
      <c r="AO123" s="136"/>
      <c r="AP123" s="105">
        <f t="shared" si="48"/>
        <v>0</v>
      </c>
      <c r="AQ123" s="143"/>
      <c r="AR123" s="143"/>
      <c r="AS123" s="143"/>
      <c r="AT123" s="146"/>
      <c r="AU123" s="224">
        <f t="shared" si="49"/>
        <v>0</v>
      </c>
      <c r="AV123" s="1632">
        <v>6788.4</v>
      </c>
      <c r="AW123" s="1718">
        <v>304.35</v>
      </c>
      <c r="AX123" s="1690"/>
      <c r="AY123" s="1840"/>
      <c r="AZ123" s="1690"/>
      <c r="BA123" s="1731"/>
      <c r="BB123" s="1637">
        <v>2730.8</v>
      </c>
      <c r="BC123" s="1709"/>
      <c r="BD123" s="1709"/>
      <c r="BE123" s="1709"/>
      <c r="BF123" s="1709"/>
      <c r="BG123" s="222">
        <f t="shared" si="50"/>
        <v>0</v>
      </c>
      <c r="BH123" s="140">
        <f t="shared" si="51"/>
        <v>0</v>
      </c>
      <c r="BI123" s="132"/>
      <c r="BJ123" s="140">
        <f t="shared" si="52"/>
        <v>0</v>
      </c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50"/>
      <c r="BV123" s="141">
        <v>50</v>
      </c>
      <c r="BW123" s="141"/>
      <c r="BX123" s="130">
        <f t="shared" si="53"/>
        <v>0</v>
      </c>
      <c r="BY123" s="132"/>
    </row>
    <row r="124" ht="14.25" customHeight="1">
      <c r="A124" s="132"/>
      <c r="B124" s="215">
        <v>46130</v>
      </c>
      <c r="C124" s="133">
        <f>24602.90-D124-0</f>
      </c>
      <c r="D124" s="134">
        <v>4466.96</v>
      </c>
      <c r="E124" s="135"/>
      <c r="F124" s="135"/>
      <c r="G124" s="147">
        <f t="shared" si="45"/>
        <v>0</v>
      </c>
      <c r="H124" s="611"/>
      <c r="I124" s="611"/>
      <c r="J124" s="611"/>
      <c r="K124" s="611"/>
      <c r="L124" s="801">
        <v>1927.4</v>
      </c>
      <c r="M124" s="611"/>
      <c r="N124" s="611"/>
      <c r="O124" s="611"/>
      <c r="P124" s="611"/>
      <c r="Q124" s="611"/>
      <c r="R124" s="611"/>
      <c r="S124" s="143"/>
      <c r="T124" s="143"/>
      <c r="U124" s="143"/>
      <c r="V124" s="143"/>
      <c r="W124" s="143"/>
      <c r="X124" s="1248">
        <f t="shared" si="46"/>
        <v>0</v>
      </c>
      <c r="Y124" s="611"/>
      <c r="Z124" s="611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3"/>
      <c r="AL124" s="103">
        <f t="shared" si="47"/>
        <v>0</v>
      </c>
      <c r="AM124" s="134">
        <v>7073.08</v>
      </c>
      <c r="AN124" s="134">
        <v>1808.77</v>
      </c>
      <c r="AO124" s="136"/>
      <c r="AP124" s="105">
        <f t="shared" si="48"/>
        <v>0</v>
      </c>
      <c r="AQ124" s="143"/>
      <c r="AR124" s="143"/>
      <c r="AS124" s="143"/>
      <c r="AT124" s="149">
        <v>12.19</v>
      </c>
      <c r="AU124" s="224">
        <f t="shared" si="49"/>
        <v>0</v>
      </c>
      <c r="AV124" s="1554"/>
      <c r="AW124" s="1718">
        <v>4500.04</v>
      </c>
      <c r="AX124" s="1843"/>
      <c r="AY124" s="1840"/>
      <c r="AZ124" s="1690"/>
      <c r="BA124" s="1731"/>
      <c r="BB124" s="1637"/>
      <c r="BC124" s="1709"/>
      <c r="BD124" s="1709"/>
      <c r="BE124" s="1709"/>
      <c r="BF124" s="1709"/>
      <c r="BG124" s="222">
        <f t="shared" si="50"/>
        <v>0</v>
      </c>
      <c r="BH124" s="140">
        <f t="shared" si="51"/>
        <v>0</v>
      </c>
      <c r="BI124" s="132"/>
      <c r="BJ124" s="140">
        <f t="shared" si="52"/>
        <v>0</v>
      </c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50"/>
      <c r="BV124" s="141">
        <v>90.58</v>
      </c>
      <c r="BW124" s="141"/>
      <c r="BX124" s="130">
        <f t="shared" si="53"/>
        <v>0</v>
      </c>
      <c r="BY124" s="132"/>
    </row>
    <row r="125" ht="14.25" customHeight="1">
      <c r="A125" s="132"/>
      <c r="B125" s="215">
        <v>46131</v>
      </c>
      <c r="C125" s="133">
        <f>14374.58-D125-0</f>
      </c>
      <c r="D125" s="134">
        <v>4329.74</v>
      </c>
      <c r="E125" s="135"/>
      <c r="F125" s="135"/>
      <c r="G125" s="147">
        <f t="shared" si="45"/>
        <v>0</v>
      </c>
      <c r="H125" s="768"/>
      <c r="I125" s="768"/>
      <c r="J125" s="611"/>
      <c r="K125" s="611"/>
      <c r="L125" s="801">
        <v>1426.32</v>
      </c>
      <c r="M125" s="611"/>
      <c r="N125" s="611"/>
      <c r="O125" s="611"/>
      <c r="P125" s="611"/>
      <c r="Q125" s="611"/>
      <c r="R125" s="611"/>
      <c r="S125" s="143"/>
      <c r="T125" s="143"/>
      <c r="U125" s="143"/>
      <c r="V125" s="143"/>
      <c r="W125" s="143"/>
      <c r="X125" s="1248">
        <f t="shared" si="46"/>
        <v>0</v>
      </c>
      <c r="Y125" s="611"/>
      <c r="Z125" s="611"/>
      <c r="AA125" s="143"/>
      <c r="AB125" s="143"/>
      <c r="AC125" s="143"/>
      <c r="AD125" s="143"/>
      <c r="AE125" s="143"/>
      <c r="AF125" s="143"/>
      <c r="AG125" s="143"/>
      <c r="AH125" s="143"/>
      <c r="AI125" s="143"/>
      <c r="AJ125" s="143"/>
      <c r="AK125" s="143"/>
      <c r="AL125" s="103">
        <f t="shared" si="47"/>
        <v>0</v>
      </c>
      <c r="AM125" s="134">
        <v>4153.38</v>
      </c>
      <c r="AN125" s="134">
        <v>1835.73</v>
      </c>
      <c r="AO125" s="136"/>
      <c r="AP125" s="105">
        <f t="shared" si="48"/>
        <v>0</v>
      </c>
      <c r="AQ125" s="143"/>
      <c r="AR125" s="143"/>
      <c r="AS125" s="143"/>
      <c r="AT125" s="146"/>
      <c r="AU125" s="224">
        <f t="shared" si="49"/>
        <v>0</v>
      </c>
      <c r="AV125" s="1554">
        <v>4465.1</v>
      </c>
      <c r="AW125" s="1709"/>
      <c r="AX125" s="1690"/>
      <c r="AY125" s="1840"/>
      <c r="AZ125" s="1690"/>
      <c r="BA125" s="1731"/>
      <c r="BB125" s="1637">
        <v>2494</v>
      </c>
      <c r="BC125" s="1709"/>
      <c r="BD125" s="1709"/>
      <c r="BE125" s="1709"/>
      <c r="BF125" s="1709"/>
      <c r="BG125" s="222">
        <f t="shared" si="50"/>
        <v>0</v>
      </c>
      <c r="BH125" s="140">
        <f t="shared" si="51"/>
        <v>0</v>
      </c>
      <c r="BI125" s="132"/>
      <c r="BJ125" s="140">
        <f t="shared" si="52"/>
        <v>0</v>
      </c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30">
        <f t="shared" si="53"/>
        <v>0</v>
      </c>
      <c r="BY125" s="132"/>
    </row>
    <row r="126" ht="14.25" customHeight="1">
      <c r="A126" s="132"/>
      <c r="B126" s="215">
        <v>46132</v>
      </c>
      <c r="C126" s="133">
        <f>26916.82-D126-0</f>
      </c>
      <c r="D126" s="134">
        <v>4251.07</v>
      </c>
      <c r="E126" s="135"/>
      <c r="F126" s="135"/>
      <c r="G126" s="147">
        <f t="shared" si="45"/>
        <v>0</v>
      </c>
      <c r="H126" s="611"/>
      <c r="I126" s="611"/>
      <c r="J126" s="611"/>
      <c r="K126" s="611"/>
      <c r="L126" s="611">
        <v>2943.07</v>
      </c>
      <c r="M126" s="611"/>
      <c r="N126" s="801">
        <v>1591.48</v>
      </c>
      <c r="O126" s="611"/>
      <c r="P126" s="611"/>
      <c r="Q126" s="611"/>
      <c r="R126" s="611"/>
      <c r="S126" s="143"/>
      <c r="T126" s="143"/>
      <c r="U126" s="143"/>
      <c r="V126" s="143"/>
      <c r="W126" s="143"/>
      <c r="X126" s="1248">
        <f t="shared" si="46"/>
        <v>0</v>
      </c>
      <c r="Y126" s="611"/>
      <c r="Z126" s="611"/>
      <c r="AA126" s="143"/>
      <c r="AB126" s="143"/>
      <c r="AC126" s="143"/>
      <c r="AD126" s="143"/>
      <c r="AE126" s="143"/>
      <c r="AF126" s="143"/>
      <c r="AG126" s="143"/>
      <c r="AH126" s="143"/>
      <c r="AI126" s="143"/>
      <c r="AJ126" s="143"/>
      <c r="AK126" s="143"/>
      <c r="AL126" s="103">
        <f t="shared" si="47"/>
        <v>0</v>
      </c>
      <c r="AM126" s="134">
        <v>6132.11</v>
      </c>
      <c r="AN126" s="134">
        <v>2011.32</v>
      </c>
      <c r="AO126" s="136"/>
      <c r="AP126" s="105">
        <f t="shared" si="48"/>
        <v>0</v>
      </c>
      <c r="AQ126" s="143"/>
      <c r="AR126" s="143"/>
      <c r="AS126" s="143"/>
      <c r="AT126" s="146">
        <v>0.4</v>
      </c>
      <c r="AU126" s="224">
        <f t="shared" si="49"/>
        <v>0</v>
      </c>
      <c r="AV126" s="1554">
        <v>7051.2</v>
      </c>
      <c r="AW126" s="1718">
        <v>4898</v>
      </c>
      <c r="AX126" s="1690"/>
      <c r="AY126" s="1840"/>
      <c r="AZ126" s="1690"/>
      <c r="BA126" s="1731"/>
      <c r="BB126" s="1637">
        <v>2239.2</v>
      </c>
      <c r="BC126" s="1709"/>
      <c r="BD126" s="1709"/>
      <c r="BE126" s="1709"/>
      <c r="BF126" s="1709"/>
      <c r="BG126" s="222">
        <f t="shared" si="50"/>
        <v>0</v>
      </c>
      <c r="BH126" s="140">
        <f t="shared" si="51"/>
        <v>0</v>
      </c>
      <c r="BI126" s="132"/>
      <c r="BJ126" s="140">
        <f t="shared" si="52"/>
        <v>0</v>
      </c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50"/>
      <c r="BV126" s="141">
        <v>50</v>
      </c>
      <c r="BW126" s="141"/>
      <c r="BX126" s="130">
        <f t="shared" si="53"/>
        <v>0</v>
      </c>
      <c r="BY126" s="132"/>
    </row>
    <row r="127" ht="14.25" customHeight="1">
      <c r="A127" s="132"/>
      <c r="B127" s="215">
        <v>46133</v>
      </c>
      <c r="C127" s="133">
        <f>18064.50-D127-0</f>
      </c>
      <c r="D127" s="134">
        <v>4231.09</v>
      </c>
      <c r="E127" s="135"/>
      <c r="F127" s="135"/>
      <c r="G127" s="147">
        <f t="shared" si="45"/>
        <v>0</v>
      </c>
      <c r="H127" s="768"/>
      <c r="I127" s="768"/>
      <c r="J127" s="611"/>
      <c r="K127" s="611"/>
      <c r="L127" s="611">
        <v>2133.53</v>
      </c>
      <c r="M127" s="611"/>
      <c r="N127" s="801">
        <v>739.4</v>
      </c>
      <c r="O127" s="611"/>
      <c r="P127" s="611"/>
      <c r="Q127" s="611"/>
      <c r="R127" s="611"/>
      <c r="S127" s="143"/>
      <c r="T127" s="143"/>
      <c r="U127" s="143"/>
      <c r="V127" s="143"/>
      <c r="W127" s="143"/>
      <c r="X127" s="1248">
        <f t="shared" si="46"/>
        <v>0</v>
      </c>
      <c r="Y127" s="611"/>
      <c r="Z127" s="611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  <c r="AL127" s="103">
        <f t="shared" si="47"/>
        <v>0</v>
      </c>
      <c r="AM127" s="134">
        <v>4807.61</v>
      </c>
      <c r="AN127" s="134">
        <v>1794.21</v>
      </c>
      <c r="AO127" s="136"/>
      <c r="AP127" s="105">
        <f t="shared" si="48"/>
        <v>0</v>
      </c>
      <c r="AQ127" s="143"/>
      <c r="AR127" s="143"/>
      <c r="AS127" s="143"/>
      <c r="AT127" s="146"/>
      <c r="AU127" s="224">
        <f t="shared" si="49"/>
        <v>0</v>
      </c>
      <c r="AV127" s="1554">
        <v>5852.9</v>
      </c>
      <c r="AW127" s="1718">
        <v>250</v>
      </c>
      <c r="AX127" s="1690"/>
      <c r="AY127" s="1840"/>
      <c r="AZ127" s="1690"/>
      <c r="BA127" s="1731"/>
      <c r="BB127" s="1637">
        <v>2436.9</v>
      </c>
      <c r="BC127" s="1709"/>
      <c r="BD127" s="1709"/>
      <c r="BE127" s="1709"/>
      <c r="BF127" s="1709"/>
      <c r="BG127" s="222">
        <f t="shared" si="50"/>
        <v>0</v>
      </c>
      <c r="BH127" s="140">
        <f t="shared" si="51"/>
        <v>0</v>
      </c>
      <c r="BI127" s="132"/>
      <c r="BJ127" s="140">
        <f t="shared" si="52"/>
        <v>0</v>
      </c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50"/>
      <c r="BV127" s="141">
        <v>50</v>
      </c>
      <c r="BW127" s="141"/>
      <c r="BX127" s="130">
        <f t="shared" si="53"/>
        <v>0</v>
      </c>
      <c r="BY127" s="132"/>
    </row>
    <row r="128" ht="14.25" customHeight="1">
      <c r="A128" s="132"/>
      <c r="B128" s="215">
        <v>46134</v>
      </c>
      <c r="C128" s="133">
        <f>20400.06-D128-0</f>
      </c>
      <c r="D128" s="134">
        <v>4170.26</v>
      </c>
      <c r="E128" s="135"/>
      <c r="F128" s="135"/>
      <c r="G128" s="147">
        <f t="shared" si="45"/>
        <v>0</v>
      </c>
      <c r="H128" s="768"/>
      <c r="I128" s="768"/>
      <c r="J128" s="611"/>
      <c r="K128" s="611"/>
      <c r="L128" s="611">
        <v>1730.1</v>
      </c>
      <c r="M128" s="611"/>
      <c r="N128" s="801">
        <v>423.7</v>
      </c>
      <c r="O128" s="611"/>
      <c r="P128" s="611"/>
      <c r="Q128" s="611"/>
      <c r="R128" s="611"/>
      <c r="S128" s="143"/>
      <c r="T128" s="143"/>
      <c r="U128" s="143"/>
      <c r="V128" s="143"/>
      <c r="W128" s="143"/>
      <c r="X128" s="1248">
        <f t="shared" si="46"/>
        <v>0</v>
      </c>
      <c r="Y128" s="611"/>
      <c r="Z128" s="611"/>
      <c r="AA128" s="143"/>
      <c r="AB128" s="143"/>
      <c r="AC128" s="143"/>
      <c r="AD128" s="143"/>
      <c r="AE128" s="143"/>
      <c r="AF128" s="143"/>
      <c r="AG128" s="143"/>
      <c r="AH128" s="143"/>
      <c r="AI128" s="143"/>
      <c r="AJ128" s="143"/>
      <c r="AK128" s="143"/>
      <c r="AL128" s="103">
        <f t="shared" si="47"/>
        <v>0</v>
      </c>
      <c r="AM128" s="134">
        <v>7764.97</v>
      </c>
      <c r="AN128" s="134">
        <v>1819.83</v>
      </c>
      <c r="AO128" s="136"/>
      <c r="AP128" s="105">
        <f t="shared" si="48"/>
        <v>0</v>
      </c>
      <c r="AQ128" s="143"/>
      <c r="AR128" s="143"/>
      <c r="AS128" s="143"/>
      <c r="AT128" s="146">
        <v>0.95</v>
      </c>
      <c r="AU128" s="224">
        <f t="shared" si="49"/>
        <v>0</v>
      </c>
      <c r="AV128" s="1554">
        <v>5760.9</v>
      </c>
      <c r="AW128" s="1709"/>
      <c r="AX128" s="1690"/>
      <c r="AY128" s="1840"/>
      <c r="AZ128" s="1690"/>
      <c r="BA128" s="1731"/>
      <c r="BB128" s="1637">
        <v>2349.4</v>
      </c>
      <c r="BC128" s="1709"/>
      <c r="BD128" s="1709"/>
      <c r="BE128" s="1709"/>
      <c r="BF128" s="1709"/>
      <c r="BG128" s="222">
        <f t="shared" si="50"/>
        <v>0</v>
      </c>
      <c r="BH128" s="140">
        <f t="shared" si="51"/>
        <v>0</v>
      </c>
      <c r="BI128" s="132"/>
      <c r="BJ128" s="140">
        <f t="shared" si="52"/>
        <v>0</v>
      </c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50"/>
      <c r="BV128" s="150">
        <v>550</v>
      </c>
      <c r="BW128" s="141"/>
      <c r="BX128" s="130">
        <f t="shared" si="53"/>
        <v>0</v>
      </c>
      <c r="BY128" s="132"/>
    </row>
    <row r="129" ht="14.25" customHeight="1">
      <c r="A129" s="132"/>
      <c r="B129" s="215">
        <v>46135</v>
      </c>
      <c r="C129" s="133">
        <f>23842.00-D129-0</f>
      </c>
      <c r="D129" s="134">
        <v>4032.92</v>
      </c>
      <c r="E129" s="135"/>
      <c r="F129" s="135"/>
      <c r="G129" s="147">
        <f t="shared" si="45"/>
        <v>0</v>
      </c>
      <c r="H129" s="611"/>
      <c r="I129" s="611"/>
      <c r="J129" s="611"/>
      <c r="K129" s="611"/>
      <c r="L129" s="801">
        <v>3567.07</v>
      </c>
      <c r="M129" s="611"/>
      <c r="N129" s="611"/>
      <c r="O129" s="611"/>
      <c r="P129" s="611"/>
      <c r="Q129" s="611"/>
      <c r="R129" s="611"/>
      <c r="S129" s="143"/>
      <c r="T129" s="143"/>
      <c r="U129" s="143"/>
      <c r="V129" s="143"/>
      <c r="W129" s="143"/>
      <c r="X129" s="1248">
        <f t="shared" si="46"/>
        <v>0</v>
      </c>
      <c r="Y129" s="611"/>
      <c r="Z129" s="611"/>
      <c r="AA129" s="143"/>
      <c r="AB129" s="143"/>
      <c r="AC129" s="143"/>
      <c r="AD129" s="143"/>
      <c r="AE129" s="143"/>
      <c r="AF129" s="143"/>
      <c r="AG129" s="143"/>
      <c r="AH129" s="143"/>
      <c r="AI129" s="143"/>
      <c r="AJ129" s="143"/>
      <c r="AK129" s="143"/>
      <c r="AL129" s="103">
        <f t="shared" si="47"/>
        <v>0</v>
      </c>
      <c r="AM129" s="134">
        <v>5484.4</v>
      </c>
      <c r="AN129" s="134">
        <v>1956.41</v>
      </c>
      <c r="AO129" s="136"/>
      <c r="AP129" s="105">
        <f t="shared" si="48"/>
        <v>0</v>
      </c>
      <c r="AQ129" s="143"/>
      <c r="AR129" s="143"/>
      <c r="AS129" s="143"/>
      <c r="AT129" s="146">
        <v>0.16</v>
      </c>
      <c r="AU129" s="224">
        <f t="shared" si="49"/>
        <v>0</v>
      </c>
      <c r="AV129" s="1637">
        <v>5809.5</v>
      </c>
      <c r="AW129" s="1718">
        <v>4898</v>
      </c>
      <c r="AX129" s="1690"/>
      <c r="AY129" s="1840"/>
      <c r="AZ129" s="1690"/>
      <c r="BA129" s="1731"/>
      <c r="BB129" s="1659">
        <v>2076.4</v>
      </c>
      <c r="BC129" s="1709"/>
      <c r="BD129" s="1709"/>
      <c r="BE129" s="1709"/>
      <c r="BF129" s="1709"/>
      <c r="BG129" s="222">
        <f t="shared" si="50"/>
        <v>0</v>
      </c>
      <c r="BH129" s="140">
        <f t="shared" si="51"/>
        <v>0</v>
      </c>
      <c r="BI129" s="132"/>
      <c r="BJ129" s="140">
        <f t="shared" si="52"/>
        <v>0</v>
      </c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50"/>
      <c r="BV129" s="141">
        <v>50</v>
      </c>
      <c r="BW129" s="141"/>
      <c r="BX129" s="130">
        <f t="shared" si="53"/>
        <v>0</v>
      </c>
      <c r="BY129" s="132"/>
    </row>
    <row r="130" ht="14.25" customHeight="1">
      <c r="A130" s="132"/>
      <c r="B130" s="215">
        <v>46136</v>
      </c>
      <c r="C130" s="133">
        <f>19832.76-D130-0</f>
      </c>
      <c r="D130" s="134">
        <v>4769.45</v>
      </c>
      <c r="E130" s="135"/>
      <c r="F130" s="135"/>
      <c r="G130" s="147">
        <f t="shared" si="45"/>
        <v>0</v>
      </c>
      <c r="H130" s="768"/>
      <c r="I130" s="768"/>
      <c r="J130" s="611"/>
      <c r="K130" s="611"/>
      <c r="L130" s="801">
        <v>2348.61</v>
      </c>
      <c r="M130" s="611"/>
      <c r="N130" s="611"/>
      <c r="O130" s="611"/>
      <c r="P130" s="611"/>
      <c r="Q130" s="611"/>
      <c r="R130" s="611"/>
      <c r="S130" s="143"/>
      <c r="T130" s="143"/>
      <c r="U130" s="143"/>
      <c r="V130" s="143"/>
      <c r="W130" s="143"/>
      <c r="X130" s="1248">
        <f t="shared" si="46"/>
        <v>0</v>
      </c>
      <c r="Y130" s="611"/>
      <c r="Z130" s="611"/>
      <c r="AA130" s="143"/>
      <c r="AB130" s="143"/>
      <c r="AC130" s="143"/>
      <c r="AD130" s="143"/>
      <c r="AE130" s="143"/>
      <c r="AF130" s="143"/>
      <c r="AG130" s="143"/>
      <c r="AH130" s="143"/>
      <c r="AI130" s="143"/>
      <c r="AJ130" s="143"/>
      <c r="AK130" s="143"/>
      <c r="AL130" s="103">
        <f t="shared" si="47"/>
        <v>0</v>
      </c>
      <c r="AM130" s="134">
        <v>6798.53</v>
      </c>
      <c r="AN130" s="134">
        <v>1959.45</v>
      </c>
      <c r="AO130" s="136"/>
      <c r="AP130" s="105">
        <f t="shared" si="48"/>
        <v>0</v>
      </c>
      <c r="AQ130" s="143"/>
      <c r="AR130" s="143"/>
      <c r="AS130" s="143"/>
      <c r="AT130" s="146"/>
      <c r="AU130" s="224">
        <f t="shared" si="49"/>
        <v>0</v>
      </c>
      <c r="AV130" s="1637">
        <v>5984.5</v>
      </c>
      <c r="AW130" s="1709"/>
      <c r="AX130" s="1690"/>
      <c r="AY130" s="1840"/>
      <c r="AZ130" s="1690"/>
      <c r="BA130" s="1731"/>
      <c r="BB130" s="1659">
        <v>2691.6</v>
      </c>
      <c r="BC130" s="1709"/>
      <c r="BD130" s="1709"/>
      <c r="BE130" s="1709"/>
      <c r="BF130" s="1709"/>
      <c r="BG130" s="222">
        <f t="shared" si="50"/>
        <v>0</v>
      </c>
      <c r="BH130" s="140">
        <f t="shared" si="51"/>
        <v>0</v>
      </c>
      <c r="BI130" s="132"/>
      <c r="BJ130" s="140">
        <f t="shared" si="52"/>
        <v>0</v>
      </c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50"/>
      <c r="BV130" s="141">
        <v>50</v>
      </c>
      <c r="BW130" s="141"/>
      <c r="BX130" s="130">
        <f t="shared" si="53"/>
        <v>0</v>
      </c>
      <c r="BY130" s="132"/>
    </row>
    <row r="131" ht="14.25" customHeight="1">
      <c r="A131" s="132"/>
      <c r="B131" s="215">
        <v>46137</v>
      </c>
      <c r="C131" s="133">
        <f>19731.79-D131-0</f>
      </c>
      <c r="D131" s="134">
        <v>3877.49</v>
      </c>
      <c r="E131" s="135"/>
      <c r="F131" s="135"/>
      <c r="G131" s="147">
        <f t="shared" si="45"/>
        <v>0</v>
      </c>
      <c r="H131" s="768"/>
      <c r="I131" s="768"/>
      <c r="J131" s="611"/>
      <c r="K131" s="611"/>
      <c r="L131" s="801">
        <v>2237.71</v>
      </c>
      <c r="M131" s="611"/>
      <c r="N131" s="611"/>
      <c r="O131" s="611"/>
      <c r="P131" s="611"/>
      <c r="Q131" s="611"/>
      <c r="R131" s="611"/>
      <c r="S131" s="143"/>
      <c r="T131" s="143"/>
      <c r="U131" s="143"/>
      <c r="V131" s="143"/>
      <c r="W131" s="143"/>
      <c r="X131" s="1248">
        <f t="shared" si="46"/>
        <v>0</v>
      </c>
      <c r="Y131" s="611"/>
      <c r="Z131" s="611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03">
        <f t="shared" si="47"/>
        <v>0</v>
      </c>
      <c r="AM131" s="134">
        <v>6994.28</v>
      </c>
      <c r="AN131" s="134">
        <v>2028.86</v>
      </c>
      <c r="AO131" s="136"/>
      <c r="AP131" s="105">
        <f t="shared" si="48"/>
        <v>0</v>
      </c>
      <c r="AQ131" s="143"/>
      <c r="AR131" s="143"/>
      <c r="AS131" s="143"/>
      <c r="AT131" s="146"/>
      <c r="AU131" s="224">
        <f t="shared" si="49"/>
        <v>0</v>
      </c>
      <c r="AV131" s="1637">
        <v>6531.5</v>
      </c>
      <c r="AW131" s="1709"/>
      <c r="AX131" s="1690"/>
      <c r="AY131" s="1840"/>
      <c r="AZ131" s="1690"/>
      <c r="BA131" s="1731"/>
      <c r="BB131" s="1554">
        <v>1848.7</v>
      </c>
      <c r="BC131" s="1709"/>
      <c r="BD131" s="1709"/>
      <c r="BE131" s="1709"/>
      <c r="BF131" s="1709"/>
      <c r="BG131" s="222">
        <f t="shared" si="50"/>
        <v>0</v>
      </c>
      <c r="BH131" s="140">
        <f t="shared" si="51"/>
        <v>0</v>
      </c>
      <c r="BI131" s="132"/>
      <c r="BJ131" s="140">
        <f t="shared" si="52"/>
        <v>0</v>
      </c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50"/>
      <c r="BV131" s="141">
        <v>90.88</v>
      </c>
      <c r="BW131" s="141"/>
      <c r="BX131" s="130">
        <f t="shared" si="53"/>
        <v>0</v>
      </c>
      <c r="BY131" s="132"/>
    </row>
    <row r="132" ht="14.25" customHeight="1">
      <c r="A132" s="132"/>
      <c r="B132" s="215">
        <v>46138</v>
      </c>
      <c r="C132" s="133">
        <f>11512.25-D132-0</f>
      </c>
      <c r="D132" s="134">
        <v>3666.7</v>
      </c>
      <c r="E132" s="135"/>
      <c r="F132" s="135"/>
      <c r="G132" s="147">
        <f t="shared" si="45"/>
        <v>0</v>
      </c>
      <c r="H132" s="611"/>
      <c r="I132" s="611"/>
      <c r="J132" s="611"/>
      <c r="K132" s="611"/>
      <c r="L132" s="748">
        <v>189.45</v>
      </c>
      <c r="M132" s="641"/>
      <c r="N132" s="641"/>
      <c r="O132" s="611"/>
      <c r="P132" s="611"/>
      <c r="Q132" s="641"/>
      <c r="R132" s="641"/>
      <c r="S132" s="143"/>
      <c r="T132" s="143"/>
      <c r="U132" s="143"/>
      <c r="V132" s="143"/>
      <c r="W132" s="143"/>
      <c r="X132" s="1248">
        <f t="shared" si="46"/>
        <v>0</v>
      </c>
      <c r="Y132" s="611"/>
      <c r="Z132" s="611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  <c r="AL132" s="103">
        <f t="shared" si="47"/>
        <v>0</v>
      </c>
      <c r="AM132" s="134">
        <v>4285.14</v>
      </c>
      <c r="AN132" s="134">
        <v>1872.36</v>
      </c>
      <c r="AO132" s="136"/>
      <c r="AP132" s="105">
        <f t="shared" si="48"/>
        <v>0</v>
      </c>
      <c r="AQ132" s="143"/>
      <c r="AR132" s="143"/>
      <c r="AS132" s="143"/>
      <c r="AT132" s="146"/>
      <c r="AU132" s="224">
        <f t="shared" si="49"/>
        <v>0</v>
      </c>
      <c r="AV132" s="1637">
        <v>3370.9</v>
      </c>
      <c r="AW132" s="1709"/>
      <c r="AX132" s="1690"/>
      <c r="AY132" s="1840"/>
      <c r="AZ132" s="1690"/>
      <c r="BA132" s="1731"/>
      <c r="BB132" s="1554">
        <v>1794.3</v>
      </c>
      <c r="BC132" s="1709"/>
      <c r="BD132" s="1709"/>
      <c r="BE132" s="1709"/>
      <c r="BF132" s="1709"/>
      <c r="BG132" s="222">
        <f t="shared" si="50"/>
        <v>0</v>
      </c>
      <c r="BH132" s="140">
        <f t="shared" si="51"/>
        <v>0</v>
      </c>
      <c r="BI132" s="132"/>
      <c r="BJ132" s="140">
        <f t="shared" si="52"/>
        <v>0</v>
      </c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41"/>
      <c r="BV132" s="141"/>
      <c r="BW132" s="141"/>
      <c r="BX132" s="130">
        <f t="shared" si="53"/>
        <v>0</v>
      </c>
      <c r="BY132" s="132"/>
    </row>
    <row r="133" ht="14.25" customHeight="1">
      <c r="A133" s="132"/>
      <c r="B133" s="215">
        <v>46139</v>
      </c>
      <c r="C133" s="133">
        <f>25624.28-D133-0</f>
      </c>
      <c r="D133" s="134">
        <v>3364.17</v>
      </c>
      <c r="E133" s="135"/>
      <c r="F133" s="135"/>
      <c r="G133" s="147">
        <f t="shared" si="45"/>
        <v>0</v>
      </c>
      <c r="H133" s="801"/>
      <c r="I133" s="611"/>
      <c r="J133" s="611"/>
      <c r="K133" s="611"/>
      <c r="L133" s="611">
        <v>4896.07</v>
      </c>
      <c r="M133" s="611"/>
      <c r="N133" s="801">
        <v>3673.5</v>
      </c>
      <c r="O133" s="611"/>
      <c r="P133" s="611"/>
      <c r="Q133" s="611"/>
      <c r="R133" s="611"/>
      <c r="S133" s="143"/>
      <c r="T133" s="143"/>
      <c r="U133" s="143"/>
      <c r="V133" s="143"/>
      <c r="W133" s="143"/>
      <c r="X133" s="1248">
        <f t="shared" si="46"/>
        <v>0</v>
      </c>
      <c r="Y133" s="611"/>
      <c r="Z133" s="611"/>
      <c r="AA133" s="143"/>
      <c r="AB133" s="143"/>
      <c r="AC133" s="143"/>
      <c r="AD133" s="143"/>
      <c r="AE133" s="143"/>
      <c r="AF133" s="143"/>
      <c r="AG133" s="143"/>
      <c r="AH133" s="143"/>
      <c r="AI133" s="143"/>
      <c r="AJ133" s="143"/>
      <c r="AK133" s="143"/>
      <c r="AL133" s="103">
        <f t="shared" si="47"/>
        <v>0</v>
      </c>
      <c r="AM133" s="134">
        <v>6848.69</v>
      </c>
      <c r="AN133" s="134">
        <v>1320.34</v>
      </c>
      <c r="AO133" s="136"/>
      <c r="AP133" s="105">
        <f t="shared" si="48"/>
        <v>0</v>
      </c>
      <c r="AQ133" s="143"/>
      <c r="AR133" s="143"/>
      <c r="AS133" s="143"/>
      <c r="AT133" s="146">
        <v>2.93</v>
      </c>
      <c r="AU133" s="224">
        <f t="shared" si="49"/>
        <v>0</v>
      </c>
      <c r="AV133" s="1637">
        <v>5857.2</v>
      </c>
      <c r="AW133" s="1709"/>
      <c r="AX133" s="1690"/>
      <c r="AY133" s="1840"/>
      <c r="AZ133" s="1690"/>
      <c r="BA133" s="1731"/>
      <c r="BB133" s="1554">
        <v>2040.9</v>
      </c>
      <c r="BC133" s="1709"/>
      <c r="BD133" s="1709"/>
      <c r="BE133" s="1709"/>
      <c r="BF133" s="1709"/>
      <c r="BG133" s="222">
        <f t="shared" si="50"/>
        <v>0</v>
      </c>
      <c r="BH133" s="140">
        <f t="shared" si="51"/>
        <v>0</v>
      </c>
      <c r="BI133" s="132"/>
      <c r="BJ133" s="140">
        <f t="shared" si="52"/>
        <v>0</v>
      </c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50"/>
      <c r="BV133" s="141">
        <v>50</v>
      </c>
      <c r="BW133" s="141"/>
      <c r="BX133" s="130">
        <f t="shared" si="53"/>
        <v>0</v>
      </c>
      <c r="BY133" s="132"/>
    </row>
    <row r="134" ht="14.25" customHeight="1">
      <c r="A134" s="132"/>
      <c r="B134" s="215">
        <v>46140</v>
      </c>
      <c r="C134" s="133">
        <f>16182.84-D134-0</f>
      </c>
      <c r="D134" s="134">
        <v>3000.74</v>
      </c>
      <c r="E134" s="135"/>
      <c r="F134" s="135"/>
      <c r="G134" s="147">
        <f t="shared" si="45"/>
        <v>0</v>
      </c>
      <c r="H134" s="768"/>
      <c r="I134" s="768"/>
      <c r="J134" s="611"/>
      <c r="K134" s="611"/>
      <c r="L134" s="611">
        <v>2779.43</v>
      </c>
      <c r="M134" s="611"/>
      <c r="N134" s="1080"/>
      <c r="O134" s="611"/>
      <c r="P134" s="611"/>
      <c r="Q134" s="611"/>
      <c r="R134" s="611"/>
      <c r="S134" s="143"/>
      <c r="T134" s="143"/>
      <c r="U134" s="143"/>
      <c r="V134" s="143"/>
      <c r="W134" s="143"/>
      <c r="X134" s="1248">
        <f t="shared" si="46"/>
        <v>0</v>
      </c>
      <c r="Y134" s="611"/>
      <c r="Z134" s="611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03">
        <f t="shared" si="47"/>
        <v>0</v>
      </c>
      <c r="AM134" s="134">
        <v>4819.22</v>
      </c>
      <c r="AN134" s="134">
        <v>1347.16</v>
      </c>
      <c r="AO134" s="136"/>
      <c r="AP134" s="105">
        <f t="shared" si="48"/>
        <v>0</v>
      </c>
      <c r="AQ134" s="143"/>
      <c r="AR134" s="143"/>
      <c r="AS134" s="143"/>
      <c r="AT134" s="146">
        <v>0.53</v>
      </c>
      <c r="AU134" s="224">
        <f t="shared" si="49"/>
        <v>0</v>
      </c>
      <c r="AV134" s="1637">
        <v>4596.1</v>
      </c>
      <c r="AW134" s="1718">
        <v>554.35</v>
      </c>
      <c r="AX134" s="1690"/>
      <c r="AY134" s="1690"/>
      <c r="AZ134" s="1690"/>
      <c r="BA134" s="1731"/>
      <c r="BB134" s="1554">
        <v>1653.5</v>
      </c>
      <c r="BC134" s="1709"/>
      <c r="BD134" s="1709"/>
      <c r="BE134" s="1709"/>
      <c r="BF134" s="1709"/>
      <c r="BG134" s="222">
        <f t="shared" si="50"/>
        <v>0</v>
      </c>
      <c r="BH134" s="140">
        <f t="shared" si="51"/>
        <v>0</v>
      </c>
      <c r="BI134" s="132"/>
      <c r="BJ134" s="140">
        <f t="shared" si="52"/>
        <v>0</v>
      </c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50"/>
      <c r="BU134" s="150"/>
      <c r="BV134" s="141">
        <v>310</v>
      </c>
      <c r="BW134" s="141"/>
      <c r="BX134" s="130">
        <f t="shared" si="53"/>
        <v>0</v>
      </c>
      <c r="BY134" s="132"/>
    </row>
    <row r="135" ht="14.25" customHeight="1">
      <c r="A135" s="132"/>
      <c r="B135" s="215">
        <v>46141</v>
      </c>
      <c r="C135" s="133">
        <f>22072.85-D135-0</f>
      </c>
      <c r="D135" s="134">
        <v>3447.02</v>
      </c>
      <c r="E135" s="135"/>
      <c r="F135" s="135"/>
      <c r="G135" s="147">
        <f t="shared" si="45"/>
        <v>0</v>
      </c>
      <c r="H135" s="611"/>
      <c r="I135" s="611"/>
      <c r="J135" s="611"/>
      <c r="K135" s="611"/>
      <c r="L135" s="611">
        <v>2306.59</v>
      </c>
      <c r="M135" s="611"/>
      <c r="N135" s="801">
        <v>150</v>
      </c>
      <c r="O135" s="611"/>
      <c r="P135" s="611"/>
      <c r="Q135" s="611"/>
      <c r="R135" s="611"/>
      <c r="S135" s="143"/>
      <c r="T135" s="143"/>
      <c r="U135" s="143"/>
      <c r="V135" s="143"/>
      <c r="W135" s="143"/>
      <c r="X135" s="1248">
        <f t="shared" si="46"/>
        <v>0</v>
      </c>
      <c r="Y135" s="611"/>
      <c r="Z135" s="611"/>
      <c r="AA135" s="143"/>
      <c r="AB135" s="143"/>
      <c r="AC135" s="143"/>
      <c r="AD135" s="143"/>
      <c r="AE135" s="143"/>
      <c r="AF135" s="143"/>
      <c r="AG135" s="143"/>
      <c r="AH135" s="143"/>
      <c r="AI135" s="143"/>
      <c r="AJ135" s="143"/>
      <c r="AK135" s="143"/>
      <c r="AL135" s="103">
        <f t="shared" si="47"/>
        <v>0</v>
      </c>
      <c r="AM135" s="134">
        <v>6371.6</v>
      </c>
      <c r="AN135" s="134">
        <v>2169.15</v>
      </c>
      <c r="AO135" s="136"/>
      <c r="AP135" s="105">
        <f t="shared" si="48"/>
        <v>0</v>
      </c>
      <c r="AQ135" s="143"/>
      <c r="AR135" s="143"/>
      <c r="AS135" s="143"/>
      <c r="AT135" s="146"/>
      <c r="AU135" s="224">
        <f t="shared" si="49"/>
        <v>0</v>
      </c>
      <c r="AV135" s="1637">
        <v>3944.1</v>
      </c>
      <c r="AW135" s="1718">
        <v>4898</v>
      </c>
      <c r="AX135" s="1690"/>
      <c r="AY135" s="1690"/>
      <c r="AZ135" s="1690"/>
      <c r="BA135" s="1731"/>
      <c r="BB135" s="1554">
        <v>1277.8</v>
      </c>
      <c r="BC135" s="1709"/>
      <c r="BD135" s="1709"/>
      <c r="BE135" s="1709"/>
      <c r="BF135" s="1709"/>
      <c r="BG135" s="222">
        <f t="shared" si="50"/>
        <v>0</v>
      </c>
      <c r="BH135" s="140">
        <f t="shared" si="51"/>
        <v>0</v>
      </c>
      <c r="BI135" s="132"/>
      <c r="BJ135" s="140">
        <f t="shared" si="52"/>
        <v>0</v>
      </c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50"/>
      <c r="BV135" s="141">
        <v>955.5</v>
      </c>
      <c r="BW135" s="141"/>
      <c r="BX135" s="130">
        <f t="shared" si="53"/>
        <v>0</v>
      </c>
      <c r="BY135" s="132"/>
    </row>
    <row r="136" ht="14.25" customHeight="1">
      <c r="A136" s="132"/>
      <c r="B136" s="215">
        <v>46142</v>
      </c>
      <c r="C136" s="133">
        <f>17887.47-D136-0</f>
      </c>
      <c r="D136" s="134">
        <v>3917.92</v>
      </c>
      <c r="E136" s="135"/>
      <c r="F136" s="135"/>
      <c r="G136" s="147">
        <f t="shared" si="45"/>
        <v>0</v>
      </c>
      <c r="H136" s="1070"/>
      <c r="I136" s="768"/>
      <c r="J136" s="611"/>
      <c r="K136" s="611"/>
      <c r="L136" s="801">
        <v>3244.9</v>
      </c>
      <c r="M136" s="611"/>
      <c r="N136" s="611"/>
      <c r="O136" s="611"/>
      <c r="P136" s="611"/>
      <c r="Q136" s="611"/>
      <c r="R136" s="611"/>
      <c r="S136" s="143"/>
      <c r="T136" s="143"/>
      <c r="U136" s="143"/>
      <c r="V136" s="143"/>
      <c r="W136" s="143"/>
      <c r="X136" s="1248">
        <f>SUM(H136:R136)</f>
        <v>0</v>
      </c>
      <c r="Y136" s="611"/>
      <c r="Z136" s="611"/>
      <c r="AA136" s="143"/>
      <c r="AB136" s="143"/>
      <c r="AC136" s="143"/>
      <c r="AD136" s="143"/>
      <c r="AE136" s="143"/>
      <c r="AF136" s="143"/>
      <c r="AG136" s="143"/>
      <c r="AH136" s="143"/>
      <c r="AI136" s="143"/>
      <c r="AJ136" s="143"/>
      <c r="AK136" s="143"/>
      <c r="AL136" s="103">
        <f>SUM(Y136:AC136)</f>
        <v>0</v>
      </c>
      <c r="AM136" s="134">
        <v>5454.33</v>
      </c>
      <c r="AN136" s="134">
        <v>1622.62</v>
      </c>
      <c r="AO136" s="136"/>
      <c r="AP136" s="105">
        <f t="shared" si="48"/>
        <v>0</v>
      </c>
      <c r="AQ136" s="143"/>
      <c r="AR136" s="143"/>
      <c r="AS136" s="143"/>
      <c r="AT136" s="149">
        <v>11.9</v>
      </c>
      <c r="AU136" s="224">
        <f t="shared" si="49"/>
        <v>0</v>
      </c>
      <c r="AV136" s="1705">
        <v>3766.3</v>
      </c>
      <c r="AW136" s="1709"/>
      <c r="AX136" s="1690"/>
      <c r="AY136" s="1690"/>
      <c r="AZ136" s="1690"/>
      <c r="BA136" s="1731"/>
      <c r="BB136" s="1642">
        <v>2295.4</v>
      </c>
      <c r="BC136" s="1709"/>
      <c r="BD136" s="1709"/>
      <c r="BE136" s="1709"/>
      <c r="BF136" s="1709"/>
      <c r="BG136" s="222">
        <f t="shared" si="50"/>
        <v>0</v>
      </c>
      <c r="BH136" s="140">
        <f t="shared" si="51"/>
        <v>0</v>
      </c>
      <c r="BI136" s="132"/>
      <c r="BJ136" s="140">
        <f t="shared" si="52"/>
        <v>0</v>
      </c>
      <c r="BK136" s="141"/>
      <c r="BL136" s="141"/>
      <c r="BM136" s="141"/>
      <c r="BN136" s="141"/>
      <c r="BO136" s="141"/>
      <c r="BP136" s="141"/>
      <c r="BQ136" s="141"/>
      <c r="BR136" s="141"/>
      <c r="BS136" s="141"/>
      <c r="BT136" s="141"/>
      <c r="BU136" s="150"/>
      <c r="BV136" s="141">
        <v>750.4</v>
      </c>
      <c r="BW136" s="141"/>
      <c r="BX136" s="130">
        <f t="shared" si="53"/>
        <v>0</v>
      </c>
      <c r="BY136" s="132"/>
    </row>
    <row r="137" ht="14.25" customHeight="1">
      <c r="A137" s="22"/>
      <c r="B137" s="2" t="s">
        <v>249</v>
      </c>
      <c r="C137" s="166">
        <f ref="C137:H137" t="shared" si="54">SUM(C107:C136)</f>
        <v>0</v>
      </c>
      <c r="D137" s="166">
        <f t="shared" si="54"/>
        <v>0</v>
      </c>
      <c r="E137" s="166">
        <f t="shared" si="54"/>
        <v>0</v>
      </c>
      <c r="F137" s="166">
        <f t="shared" si="54"/>
        <v>0</v>
      </c>
      <c r="G137" s="166">
        <f t="shared" si="54"/>
        <v>0</v>
      </c>
      <c r="H137" s="166">
        <f t="shared" si="54"/>
        <v>0</v>
      </c>
      <c r="I137" s="166"/>
      <c r="J137" s="166">
        <f>SUM(J107:J136)</f>
        <v>0</v>
      </c>
      <c r="K137" s="166"/>
      <c r="L137" s="166">
        <f>SUM(L107:L136)</f>
        <v>0</v>
      </c>
      <c r="M137" s="166"/>
      <c r="N137" s="617">
        <f ref="N137:P137" t="shared" si="55">SUM(N107:N136)</f>
        <v>0</v>
      </c>
      <c r="O137" s="166">
        <f t="shared" si="55"/>
        <v>0</v>
      </c>
      <c r="P137" s="166">
        <f t="shared" si="55"/>
        <v>0</v>
      </c>
      <c r="Q137" s="166"/>
      <c r="R137" s="166">
        <f ref="R137:AH137" t="shared" si="56">SUM(R107:R136)</f>
        <v>0</v>
      </c>
      <c r="S137" s="166">
        <f t="shared" si="56"/>
        <v>0</v>
      </c>
      <c r="T137" s="166">
        <f t="shared" si="56"/>
        <v>0</v>
      </c>
      <c r="U137" s="166">
        <f t="shared" si="56"/>
        <v>0</v>
      </c>
      <c r="V137" s="166">
        <f t="shared" si="56"/>
        <v>0</v>
      </c>
      <c r="W137" s="166">
        <f t="shared" si="56"/>
        <v>0</v>
      </c>
      <c r="X137" s="1271">
        <f t="shared" si="56"/>
        <v>0</v>
      </c>
      <c r="Y137" s="166">
        <f t="shared" si="56"/>
        <v>0</v>
      </c>
      <c r="Z137" s="166">
        <f t="shared" si="56"/>
        <v>0</v>
      </c>
      <c r="AA137" s="166">
        <f t="shared" si="56"/>
        <v>0</v>
      </c>
      <c r="AB137" s="166">
        <f t="shared" si="56"/>
        <v>0</v>
      </c>
      <c r="AC137" s="166">
        <f t="shared" si="56"/>
        <v>0</v>
      </c>
      <c r="AD137" s="166">
        <f t="shared" si="56"/>
        <v>0</v>
      </c>
      <c r="AE137" s="166">
        <f t="shared" si="56"/>
        <v>0</v>
      </c>
      <c r="AF137" s="166">
        <f t="shared" si="56"/>
        <v>0</v>
      </c>
      <c r="AG137" s="166">
        <f t="shared" si="56"/>
        <v>0</v>
      </c>
      <c r="AH137" s="166">
        <f t="shared" si="56"/>
        <v>0</v>
      </c>
      <c r="AI137" s="166"/>
      <c r="AJ137" s="166">
        <f ref="AJ137:BH137" t="shared" si="57">SUM(AJ107:AJ136)</f>
        <v>0</v>
      </c>
      <c r="AK137" s="166">
        <f t="shared" si="57"/>
        <v>0</v>
      </c>
      <c r="AL137" s="166">
        <f t="shared" si="57"/>
        <v>0</v>
      </c>
      <c r="AM137" s="166">
        <f t="shared" si="57"/>
        <v>0</v>
      </c>
      <c r="AN137" s="166">
        <f t="shared" si="57"/>
        <v>0</v>
      </c>
      <c r="AO137" s="166">
        <f t="shared" si="57"/>
        <v>0</v>
      </c>
      <c r="AP137" s="166">
        <f t="shared" si="57"/>
        <v>0</v>
      </c>
      <c r="AQ137" s="166">
        <f t="shared" si="57"/>
        <v>0</v>
      </c>
      <c r="AR137" s="166">
        <f t="shared" si="57"/>
        <v>0</v>
      </c>
      <c r="AS137" s="166">
        <f t="shared" si="57"/>
        <v>0</v>
      </c>
      <c r="AT137" s="166">
        <f t="shared" si="57"/>
        <v>0</v>
      </c>
      <c r="AU137" s="166">
        <f t="shared" si="57"/>
        <v>0</v>
      </c>
      <c r="AV137" s="165">
        <f t="shared" si="57"/>
        <v>0</v>
      </c>
      <c r="AW137" s="166">
        <f t="shared" si="57"/>
        <v>0</v>
      </c>
      <c r="AX137" s="166">
        <f t="shared" si="57"/>
        <v>0</v>
      </c>
      <c r="AY137" s="166">
        <f t="shared" si="57"/>
        <v>0</v>
      </c>
      <c r="AZ137" s="166">
        <f t="shared" si="57"/>
        <v>0</v>
      </c>
      <c r="BA137" s="166">
        <f t="shared" si="57"/>
        <v>0</v>
      </c>
      <c r="BB137" s="165">
        <f t="shared" si="57"/>
        <v>0</v>
      </c>
      <c r="BC137" s="166">
        <f t="shared" si="57"/>
        <v>0</v>
      </c>
      <c r="BD137" s="166">
        <f t="shared" si="57"/>
        <v>0</v>
      </c>
      <c r="BE137" s="166">
        <f t="shared" si="57"/>
        <v>0</v>
      </c>
      <c r="BF137" s="166">
        <f t="shared" si="57"/>
        <v>0</v>
      </c>
      <c r="BG137" s="166">
        <f t="shared" si="57"/>
        <v>0</v>
      </c>
      <c r="BH137" s="166">
        <f t="shared" si="57"/>
        <v>0</v>
      </c>
      <c r="BI137" s="132"/>
      <c r="BJ137" s="166">
        <f ref="BJ137:BX137" t="shared" si="58">SUM(BJ107:BJ136)</f>
        <v>0</v>
      </c>
      <c r="BK137" s="166">
        <f t="shared" si="58"/>
        <v>0</v>
      </c>
      <c r="BL137" s="166">
        <f t="shared" si="58"/>
        <v>0</v>
      </c>
      <c r="BM137" s="166">
        <f t="shared" si="58"/>
        <v>0</v>
      </c>
      <c r="BN137" s="166">
        <f t="shared" si="58"/>
        <v>0</v>
      </c>
      <c r="BO137" s="166">
        <f t="shared" si="58"/>
        <v>0</v>
      </c>
      <c r="BP137" s="166">
        <f t="shared" si="58"/>
        <v>0</v>
      </c>
      <c r="BQ137" s="166">
        <f t="shared" si="58"/>
        <v>0</v>
      </c>
      <c r="BR137" s="166">
        <f t="shared" si="58"/>
        <v>0</v>
      </c>
      <c r="BS137" s="166">
        <f t="shared" si="58"/>
        <v>0</v>
      </c>
      <c r="BT137" s="166">
        <f t="shared" si="58"/>
        <v>0</v>
      </c>
      <c r="BU137" s="166">
        <f t="shared" si="58"/>
        <v>0</v>
      </c>
      <c r="BV137" s="166">
        <f t="shared" si="58"/>
        <v>0</v>
      </c>
      <c r="BW137" s="166">
        <f t="shared" si="58"/>
        <v>0</v>
      </c>
      <c r="BX137" s="166">
        <f t="shared" si="58"/>
        <v>0</v>
      </c>
      <c r="BY137" s="132"/>
    </row>
    <row r="138" ht="14.25" customHeight="1">
      <c r="A138" s="1"/>
      <c r="B138" s="2"/>
      <c r="C138" s="3"/>
      <c r="D138" s="3"/>
      <c r="E138" s="3"/>
      <c r="F138" s="3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3"/>
      <c r="T138" s="3"/>
      <c r="U138" s="3"/>
      <c r="V138" s="3"/>
      <c r="W138" s="3"/>
      <c r="X138" s="873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96"/>
      <c r="AM138" s="3"/>
      <c r="AN138" s="3"/>
      <c r="AO138" s="3"/>
      <c r="AP138" s="4"/>
      <c r="AQ138" s="3"/>
      <c r="AR138" s="3"/>
      <c r="AS138" s="3"/>
      <c r="AT138" s="3"/>
      <c r="AU138" s="3"/>
      <c r="AV138" s="3"/>
      <c r="AW138" s="3"/>
      <c r="AX138" s="1"/>
      <c r="AY138" s="1"/>
      <c r="AZ138" s="1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ht="14.25" customHeight="1">
      <c r="A139" s="1"/>
      <c r="B139" s="2"/>
      <c r="C139" s="3"/>
      <c r="D139" s="3"/>
      <c r="E139" s="3"/>
      <c r="F139" s="3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3"/>
      <c r="T139" s="3"/>
      <c r="U139" s="3"/>
      <c r="V139" s="3"/>
      <c r="W139" s="3"/>
      <c r="X139" s="873"/>
      <c r="Y139" s="1"/>
      <c r="Z139" s="1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176"/>
      <c r="AM139" s="3"/>
      <c r="AN139" s="3"/>
      <c r="AO139" s="3"/>
      <c r="AP139" s="4"/>
      <c r="AQ139" s="3"/>
      <c r="AR139" s="3"/>
      <c r="AS139" s="3"/>
      <c r="AT139" s="3"/>
      <c r="AU139" s="3"/>
      <c r="AV139" s="3"/>
      <c r="AW139" s="3"/>
      <c r="AX139" s="1"/>
      <c r="AY139" s="1"/>
      <c r="AZ139" s="1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ht="14.25" customHeight="1">
      <c r="A140" s="3"/>
      <c r="B140" s="512">
        <v>46143</v>
      </c>
      <c r="C140" s="94"/>
      <c r="D140" s="95"/>
      <c r="E140" s="97"/>
      <c r="F140" s="97"/>
      <c r="G140" s="265">
        <f ref="G140:G170" t="shared" si="59">+C140+D140+E140+F140</f>
        <v>0</v>
      </c>
      <c r="H140" s="778"/>
      <c r="I140" s="778"/>
      <c r="J140" s="619"/>
      <c r="K140" s="619"/>
      <c r="L140" s="796"/>
      <c r="M140" s="619"/>
      <c r="N140" s="619"/>
      <c r="O140" s="619"/>
      <c r="P140" s="619"/>
      <c r="Q140" s="619"/>
      <c r="R140" s="619"/>
      <c r="S140" s="186"/>
      <c r="T140" s="186"/>
      <c r="U140" s="186"/>
      <c r="V140" s="186"/>
      <c r="W140" s="186"/>
      <c r="X140" s="1248">
        <f ref="X140:X170" t="shared" si="60">SUM(H140:W140)</f>
        <v>0</v>
      </c>
      <c r="Y140" s="619"/>
      <c r="Z140" s="619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03">
        <f ref="AL140:AL170" t="shared" si="61">SUM(Y140:AK140)</f>
        <v>0</v>
      </c>
      <c r="AM140" s="95"/>
      <c r="AN140" s="95"/>
      <c r="AO140" s="104"/>
      <c r="AP140" s="191">
        <f ref="AP140:AP170" t="shared" si="62">SUM(AM140:AO140)</f>
        <v>0</v>
      </c>
      <c r="AQ140" s="102"/>
      <c r="AR140" s="101"/>
      <c r="AS140" s="101"/>
      <c r="AT140" s="106"/>
      <c r="AU140" s="219">
        <f ref="AU140:AU170" t="shared" si="63">+G140-X140-AL140-AP140-AQ140-AR140-AS140-AT140</f>
        <v>0</v>
      </c>
      <c r="AV140" s="271"/>
      <c r="AW140" s="269"/>
      <c r="AX140" s="427"/>
      <c r="AY140" s="427"/>
      <c r="AZ140" s="427"/>
      <c r="BA140" s="270"/>
      <c r="BB140" s="271"/>
      <c r="BC140" s="269"/>
      <c r="BD140" s="269"/>
      <c r="BE140" s="269"/>
      <c r="BF140" s="269"/>
      <c r="BG140" s="292">
        <f ref="BG140:BG170" t="shared" si="64">SUM(AV140:BF140)-BE140</f>
        <v>0</v>
      </c>
      <c r="BH140" s="114">
        <f ref="BH140:BH170" t="shared" si="65">+AU140-BG140</f>
        <v>0</v>
      </c>
      <c r="BI140" s="3"/>
      <c r="BJ140" s="114">
        <f ref="BJ140:BJ170" t="shared" si="66">SUM(BK140:BW140)</f>
        <v>0</v>
      </c>
      <c r="BK140" s="220"/>
      <c r="BL140" s="220"/>
      <c r="BM140" s="220"/>
      <c r="BN140" s="220"/>
      <c r="BO140" s="220"/>
      <c r="BP140" s="220"/>
      <c r="BQ140" s="220"/>
      <c r="BR140" s="220"/>
      <c r="BS140" s="220"/>
      <c r="BT140" s="220"/>
      <c r="BU140" s="932"/>
      <c r="BV140" s="220"/>
      <c r="BW140" s="220"/>
      <c r="BX140" s="116">
        <f ref="BX140:BX170" t="shared" si="67">+BH140-BJ140</f>
        <v>0</v>
      </c>
      <c r="BY140" s="3"/>
    </row>
    <row r="141" ht="14.25" customHeight="1">
      <c r="A141" s="3"/>
      <c r="B141" s="512">
        <v>46144</v>
      </c>
      <c r="C141" s="118"/>
      <c r="D141" s="119"/>
      <c r="E141" s="120"/>
      <c r="F141" s="120"/>
      <c r="G141" s="147">
        <f t="shared" si="59"/>
        <v>0</v>
      </c>
      <c r="H141" s="1280"/>
      <c r="I141" s="1280"/>
      <c r="J141" s="1280"/>
      <c r="K141" s="1280"/>
      <c r="L141" s="1278"/>
      <c r="M141" s="1280"/>
      <c r="N141" s="1280"/>
      <c r="O141" s="1280"/>
      <c r="P141" s="1280"/>
      <c r="Q141" s="1280"/>
      <c r="R141" s="1280"/>
      <c r="S141" s="143"/>
      <c r="T141" s="143"/>
      <c r="U141" s="143"/>
      <c r="V141" s="143"/>
      <c r="W141" s="143"/>
      <c r="X141" s="1248">
        <f t="shared" si="60"/>
        <v>0</v>
      </c>
      <c r="Y141" s="611"/>
      <c r="Z141" s="611"/>
      <c r="AA141" s="143"/>
      <c r="AB141" s="143"/>
      <c r="AC141" s="143"/>
      <c r="AD141" s="143"/>
      <c r="AE141" s="143"/>
      <c r="AF141" s="143"/>
      <c r="AG141" s="143"/>
      <c r="AH141" s="143"/>
      <c r="AI141" s="143"/>
      <c r="AJ141" s="143"/>
      <c r="AK141" s="143"/>
      <c r="AL141" s="103">
        <f t="shared" si="61"/>
        <v>0</v>
      </c>
      <c r="AM141" s="119"/>
      <c r="AN141" s="119"/>
      <c r="AO141" s="123"/>
      <c r="AP141" s="105">
        <f t="shared" si="62"/>
        <v>0</v>
      </c>
      <c r="AQ141" s="99"/>
      <c r="AR141" s="99"/>
      <c r="AS141" s="99"/>
      <c r="AT141" s="124"/>
      <c r="AU141" s="224">
        <f t="shared" si="63"/>
        <v>0</v>
      </c>
      <c r="AV141" s="229"/>
      <c r="AW141" s="274"/>
      <c r="AX141" s="433"/>
      <c r="AY141" s="433"/>
      <c r="AZ141" s="433"/>
      <c r="BA141" s="275"/>
      <c r="BB141" s="229"/>
      <c r="BC141" s="274"/>
      <c r="BD141" s="274"/>
      <c r="BE141" s="274"/>
      <c r="BF141" s="274"/>
      <c r="BG141" s="222">
        <f t="shared" si="64"/>
        <v>0</v>
      </c>
      <c r="BH141" s="113">
        <f t="shared" si="65"/>
        <v>0</v>
      </c>
      <c r="BI141" s="3"/>
      <c r="BJ141" s="113">
        <f t="shared" si="66"/>
        <v>0</v>
      </c>
      <c r="BK141" s="225"/>
      <c r="BL141" s="225"/>
      <c r="BM141" s="225"/>
      <c r="BN141" s="225"/>
      <c r="BO141" s="225"/>
      <c r="BP141" s="225"/>
      <c r="BQ141" s="225"/>
      <c r="BR141" s="225"/>
      <c r="BS141" s="225"/>
      <c r="BT141" s="225"/>
      <c r="BU141" s="227"/>
      <c r="BV141" s="126"/>
      <c r="BW141" s="225"/>
      <c r="BX141" s="130">
        <f t="shared" si="67"/>
        <v>0</v>
      </c>
      <c r="BY141" s="3"/>
    </row>
    <row r="142" ht="14.25" customHeight="1">
      <c r="A142" s="132"/>
      <c r="B142" s="512">
        <v>46145</v>
      </c>
      <c r="C142" s="457"/>
      <c r="D142" s="201"/>
      <c r="E142" s="135"/>
      <c r="F142" s="135"/>
      <c r="G142" s="147">
        <f t="shared" si="59"/>
        <v>0</v>
      </c>
      <c r="H142" s="1284"/>
      <c r="I142" s="1284"/>
      <c r="J142" s="1280"/>
      <c r="K142" s="1280"/>
      <c r="L142" s="1280"/>
      <c r="M142" s="1280"/>
      <c r="N142" s="1278"/>
      <c r="O142" s="1280"/>
      <c r="P142" s="1280"/>
      <c r="Q142" s="1280"/>
      <c r="R142" s="1280"/>
      <c r="S142" s="143"/>
      <c r="T142" s="143"/>
      <c r="U142" s="143"/>
      <c r="V142" s="143"/>
      <c r="W142" s="143"/>
      <c r="X142" s="1248">
        <f t="shared" si="60"/>
        <v>0</v>
      </c>
      <c r="Y142" s="611"/>
      <c r="Z142" s="611"/>
      <c r="AA142" s="143"/>
      <c r="AB142" s="143"/>
      <c r="AC142" s="143"/>
      <c r="AD142" s="143"/>
      <c r="AE142" s="143"/>
      <c r="AF142" s="143"/>
      <c r="AG142" s="143"/>
      <c r="AH142" s="143"/>
      <c r="AI142" s="143"/>
      <c r="AJ142" s="143"/>
      <c r="AK142" s="143"/>
      <c r="AL142" s="103">
        <f t="shared" si="61"/>
        <v>0</v>
      </c>
      <c r="AM142" s="134"/>
      <c r="AN142" s="134"/>
      <c r="AO142" s="136"/>
      <c r="AP142" s="105">
        <f t="shared" si="62"/>
        <v>0</v>
      </c>
      <c r="AQ142" s="99"/>
      <c r="AR142" s="99"/>
      <c r="AS142" s="99"/>
      <c r="AT142" s="124"/>
      <c r="AU142" s="224">
        <f t="shared" si="63"/>
        <v>0</v>
      </c>
      <c r="AV142" s="229"/>
      <c r="AW142" s="274"/>
      <c r="AX142" s="1133"/>
      <c r="AY142" s="433"/>
      <c r="AZ142" s="433"/>
      <c r="BA142" s="275"/>
      <c r="BB142" s="229"/>
      <c r="BC142" s="274"/>
      <c r="BD142" s="274"/>
      <c r="BE142" s="274"/>
      <c r="BF142" s="274"/>
      <c r="BG142" s="222">
        <f t="shared" si="64"/>
        <v>0</v>
      </c>
      <c r="BH142" s="140">
        <f t="shared" si="65"/>
        <v>0</v>
      </c>
      <c r="BI142" s="132"/>
      <c r="BJ142" s="140">
        <f t="shared" si="66"/>
        <v>0</v>
      </c>
      <c r="BK142" s="126"/>
      <c r="BL142" s="126"/>
      <c r="BM142" s="126"/>
      <c r="BN142" s="126"/>
      <c r="BO142" s="126"/>
      <c r="BP142" s="126"/>
      <c r="BQ142" s="126"/>
      <c r="BR142" s="126"/>
      <c r="BS142" s="126"/>
      <c r="BT142" s="126"/>
      <c r="BU142" s="126"/>
      <c r="BV142" s="126"/>
      <c r="BW142" s="126"/>
      <c r="BX142" s="130">
        <f t="shared" si="67"/>
        <v>0</v>
      </c>
      <c r="BY142" s="132"/>
    </row>
    <row r="143" ht="14.25" customHeight="1">
      <c r="A143" s="132"/>
      <c r="B143" s="512">
        <v>46146</v>
      </c>
      <c r="C143" s="457"/>
      <c r="D143" s="140"/>
      <c r="E143" s="135"/>
      <c r="F143" s="135"/>
      <c r="G143" s="147">
        <f t="shared" si="59"/>
        <v>0</v>
      </c>
      <c r="H143" s="1284"/>
      <c r="I143" s="1284"/>
      <c r="J143" s="1280"/>
      <c r="K143" s="1280"/>
      <c r="L143" s="1280"/>
      <c r="M143" s="1280"/>
      <c r="N143" s="1280"/>
      <c r="O143" s="1280"/>
      <c r="P143" s="1280"/>
      <c r="Q143" s="1280"/>
      <c r="R143" s="1280"/>
      <c r="S143" s="143"/>
      <c r="T143" s="143"/>
      <c r="U143" s="143"/>
      <c r="V143" s="143"/>
      <c r="W143" s="143"/>
      <c r="X143" s="1248">
        <f t="shared" si="60"/>
        <v>0</v>
      </c>
      <c r="Y143" s="611"/>
      <c r="Z143" s="611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  <c r="AL143" s="103">
        <f t="shared" si="61"/>
        <v>0</v>
      </c>
      <c r="AM143" s="136"/>
      <c r="AN143" s="136"/>
      <c r="AO143" s="136"/>
      <c r="AP143" s="105">
        <f t="shared" si="62"/>
        <v>0</v>
      </c>
      <c r="AQ143" s="99"/>
      <c r="AR143" s="99"/>
      <c r="AS143" s="99"/>
      <c r="AT143" s="124"/>
      <c r="AU143" s="224">
        <f t="shared" si="63"/>
        <v>0</v>
      </c>
      <c r="AV143" s="126"/>
      <c r="AW143" s="274"/>
      <c r="AX143" s="1133"/>
      <c r="AY143" s="433"/>
      <c r="AZ143" s="433"/>
      <c r="BA143" s="275"/>
      <c r="BB143" s="126"/>
      <c r="BC143" s="274"/>
      <c r="BD143" s="274"/>
      <c r="BE143" s="274"/>
      <c r="BF143" s="274"/>
      <c r="BG143" s="222">
        <f t="shared" si="64"/>
        <v>0</v>
      </c>
      <c r="BH143" s="140">
        <f t="shared" si="65"/>
        <v>0</v>
      </c>
      <c r="BI143" s="132"/>
      <c r="BJ143" s="140">
        <f t="shared" si="66"/>
        <v>0</v>
      </c>
      <c r="BK143" s="126"/>
      <c r="BL143" s="126"/>
      <c r="BM143" s="126"/>
      <c r="BN143" s="126"/>
      <c r="BO143" s="126"/>
      <c r="BP143" s="126"/>
      <c r="BQ143" s="126"/>
      <c r="BR143" s="126"/>
      <c r="BS143" s="126"/>
      <c r="BT143" s="126"/>
      <c r="BU143" s="126"/>
      <c r="BV143" s="126"/>
      <c r="BW143" s="126"/>
      <c r="BX143" s="130">
        <f t="shared" si="67"/>
        <v>0</v>
      </c>
      <c r="BY143" s="132"/>
    </row>
    <row r="144" ht="14.25" customHeight="1">
      <c r="A144" s="132"/>
      <c r="B144" s="512">
        <v>46147</v>
      </c>
      <c r="C144" s="457"/>
      <c r="D144" s="140"/>
      <c r="E144" s="135"/>
      <c r="F144" s="135"/>
      <c r="G144" s="147">
        <f t="shared" si="59"/>
        <v>0</v>
      </c>
      <c r="H144" s="1284"/>
      <c r="I144" s="1284"/>
      <c r="J144" s="1280"/>
      <c r="K144" s="1280"/>
      <c r="L144" s="1280"/>
      <c r="M144" s="1280"/>
      <c r="N144" s="1280"/>
      <c r="O144" s="1280"/>
      <c r="P144" s="1280"/>
      <c r="Q144" s="1280"/>
      <c r="R144" s="1280"/>
      <c r="S144" s="143"/>
      <c r="T144" s="143"/>
      <c r="U144" s="143"/>
      <c r="V144" s="143"/>
      <c r="W144" s="143"/>
      <c r="X144" s="1248">
        <f t="shared" si="60"/>
        <v>0</v>
      </c>
      <c r="Y144" s="611"/>
      <c r="Z144" s="611"/>
      <c r="AA144" s="143"/>
      <c r="AB144" s="143"/>
      <c r="AC144" s="143"/>
      <c r="AD144" s="143"/>
      <c r="AE144" s="143"/>
      <c r="AF144" s="143"/>
      <c r="AG144" s="143"/>
      <c r="AH144" s="143"/>
      <c r="AI144" s="143"/>
      <c r="AJ144" s="143"/>
      <c r="AK144" s="143"/>
      <c r="AL144" s="103">
        <f t="shared" si="61"/>
        <v>0</v>
      </c>
      <c r="AM144" s="136"/>
      <c r="AN144" s="136"/>
      <c r="AO144" s="136"/>
      <c r="AP144" s="105">
        <f t="shared" si="62"/>
        <v>0</v>
      </c>
      <c r="AQ144" s="99"/>
      <c r="AR144" s="99"/>
      <c r="AS144" s="99"/>
      <c r="AT144" s="124"/>
      <c r="AU144" s="224">
        <f t="shared" si="63"/>
        <v>0</v>
      </c>
      <c r="AV144" s="126"/>
      <c r="AW144" s="274"/>
      <c r="AX144" s="433"/>
      <c r="AY144" s="433"/>
      <c r="AZ144" s="433"/>
      <c r="BA144" s="275"/>
      <c r="BB144" s="126"/>
      <c r="BC144" s="274"/>
      <c r="BD144" s="274"/>
      <c r="BE144" s="274"/>
      <c r="BF144" s="274"/>
      <c r="BG144" s="222">
        <f t="shared" si="64"/>
        <v>0</v>
      </c>
      <c r="BH144" s="140">
        <f t="shared" si="65"/>
        <v>0</v>
      </c>
      <c r="BI144" s="132"/>
      <c r="BJ144" s="140">
        <f t="shared" si="66"/>
        <v>0</v>
      </c>
      <c r="BK144" s="126"/>
      <c r="BL144" s="126"/>
      <c r="BM144" s="126"/>
      <c r="BN144" s="126"/>
      <c r="BO144" s="126"/>
      <c r="BP144" s="126"/>
      <c r="BQ144" s="126"/>
      <c r="BR144" s="126"/>
      <c r="BS144" s="126"/>
      <c r="BT144" s="126"/>
      <c r="BU144" s="126"/>
      <c r="BV144" s="126"/>
      <c r="BW144" s="126"/>
      <c r="BX144" s="130">
        <f t="shared" si="67"/>
        <v>0</v>
      </c>
      <c r="BY144" s="132"/>
    </row>
    <row r="145" ht="14.25" customHeight="1">
      <c r="A145" s="525"/>
      <c r="B145" s="512">
        <v>46148</v>
      </c>
      <c r="C145" s="457"/>
      <c r="D145" s="140"/>
      <c r="E145" s="1285"/>
      <c r="F145" s="1285"/>
      <c r="G145" s="147">
        <f t="shared" si="59"/>
        <v>0</v>
      </c>
      <c r="H145" s="1284"/>
      <c r="I145" s="1284"/>
      <c r="J145" s="1280"/>
      <c r="K145" s="1280"/>
      <c r="L145" s="1280"/>
      <c r="M145" s="1280"/>
      <c r="N145" s="1280"/>
      <c r="O145" s="1280"/>
      <c r="P145" s="1280"/>
      <c r="Q145" s="1280"/>
      <c r="R145" s="1280"/>
      <c r="S145" s="1286"/>
      <c r="T145" s="1286"/>
      <c r="U145" s="1286"/>
      <c r="V145" s="1286"/>
      <c r="W145" s="1286"/>
      <c r="X145" s="1248">
        <f t="shared" si="60"/>
        <v>0</v>
      </c>
      <c r="Y145" s="611"/>
      <c r="Z145" s="611"/>
      <c r="AA145" s="143"/>
      <c r="AB145" s="143"/>
      <c r="AC145" s="143"/>
      <c r="AD145" s="143"/>
      <c r="AE145" s="143"/>
      <c r="AF145" s="143"/>
      <c r="AG145" s="143"/>
      <c r="AH145" s="143"/>
      <c r="AI145" s="143"/>
      <c r="AJ145" s="143"/>
      <c r="AK145" s="143"/>
      <c r="AL145" s="1287">
        <f t="shared" si="61"/>
        <v>0</v>
      </c>
      <c r="AM145" s="136"/>
      <c r="AN145" s="136"/>
      <c r="AO145" s="1288"/>
      <c r="AP145" s="105">
        <f t="shared" si="62"/>
        <v>0</v>
      </c>
      <c r="AQ145" s="99"/>
      <c r="AR145" s="99"/>
      <c r="AS145" s="99"/>
      <c r="AT145" s="124"/>
      <c r="AU145" s="1289">
        <f t="shared" si="63"/>
        <v>0</v>
      </c>
      <c r="AV145" s="126"/>
      <c r="AW145" s="274"/>
      <c r="AX145" s="433"/>
      <c r="AY145" s="433"/>
      <c r="AZ145" s="433"/>
      <c r="BA145" s="275"/>
      <c r="BB145" s="126"/>
      <c r="BC145" s="274"/>
      <c r="BD145" s="274"/>
      <c r="BE145" s="274"/>
      <c r="BF145" s="274"/>
      <c r="BG145" s="1290">
        <f t="shared" si="64"/>
        <v>0</v>
      </c>
      <c r="BH145" s="136">
        <f t="shared" si="65"/>
        <v>0</v>
      </c>
      <c r="BI145" s="1291"/>
      <c r="BJ145" s="1288">
        <f t="shared" si="66"/>
        <v>0</v>
      </c>
      <c r="BK145" s="126"/>
      <c r="BL145" s="126"/>
      <c r="BM145" s="126"/>
      <c r="BN145" s="126"/>
      <c r="BO145" s="126"/>
      <c r="BP145" s="126"/>
      <c r="BQ145" s="126"/>
      <c r="BR145" s="126"/>
      <c r="BS145" s="126"/>
      <c r="BT145" s="126"/>
      <c r="BU145" s="126"/>
      <c r="BV145" s="126"/>
      <c r="BW145" s="126"/>
      <c r="BX145" s="130">
        <f t="shared" si="67"/>
        <v>0</v>
      </c>
      <c r="BY145" s="1291"/>
    </row>
    <row r="146" ht="14.25" customHeight="1">
      <c r="A146" s="132"/>
      <c r="B146" s="512">
        <v>46149</v>
      </c>
      <c r="C146" s="457"/>
      <c r="D146" s="140"/>
      <c r="E146" s="135"/>
      <c r="F146" s="135"/>
      <c r="G146" s="147">
        <f t="shared" si="59"/>
        <v>0</v>
      </c>
      <c r="H146" s="1284"/>
      <c r="I146" s="1284"/>
      <c r="J146" s="1280"/>
      <c r="K146" s="1280"/>
      <c r="L146" s="1280"/>
      <c r="M146" s="1280"/>
      <c r="N146" s="1080"/>
      <c r="O146" s="1280"/>
      <c r="P146" s="1280"/>
      <c r="Q146" s="1280"/>
      <c r="R146" s="1280"/>
      <c r="S146" s="143"/>
      <c r="T146" s="143"/>
      <c r="U146" s="143"/>
      <c r="V146" s="143"/>
      <c r="W146" s="143"/>
      <c r="X146" s="1248">
        <f t="shared" si="60"/>
        <v>0</v>
      </c>
      <c r="Y146" s="611"/>
      <c r="Z146" s="611"/>
      <c r="AA146" s="143"/>
      <c r="AB146" s="143"/>
      <c r="AC146" s="143"/>
      <c r="AD146" s="143"/>
      <c r="AE146" s="143"/>
      <c r="AF146" s="143"/>
      <c r="AG146" s="143"/>
      <c r="AH146" s="143"/>
      <c r="AI146" s="143"/>
      <c r="AJ146" s="143"/>
      <c r="AK146" s="143"/>
      <c r="AL146" s="103">
        <f t="shared" si="61"/>
        <v>0</v>
      </c>
      <c r="AM146" s="136"/>
      <c r="AN146" s="136"/>
      <c r="AO146" s="136"/>
      <c r="AP146" s="105">
        <f t="shared" si="62"/>
        <v>0</v>
      </c>
      <c r="AQ146" s="99"/>
      <c r="AR146" s="99"/>
      <c r="AS146" s="99"/>
      <c r="AT146" s="124"/>
      <c r="AU146" s="224">
        <f t="shared" si="63"/>
        <v>0</v>
      </c>
      <c r="AV146" s="126"/>
      <c r="AW146" s="274"/>
      <c r="AX146" s="433"/>
      <c r="AY146" s="433"/>
      <c r="AZ146" s="433"/>
      <c r="BA146" s="275"/>
      <c r="BB146" s="126"/>
      <c r="BC146" s="274"/>
      <c r="BD146" s="274"/>
      <c r="BE146" s="274"/>
      <c r="BF146" s="274"/>
      <c r="BG146" s="222">
        <f t="shared" si="64"/>
        <v>0</v>
      </c>
      <c r="BH146" s="140">
        <f t="shared" si="65"/>
        <v>0</v>
      </c>
      <c r="BI146" s="132"/>
      <c r="BJ146" s="140">
        <f t="shared" si="66"/>
        <v>0</v>
      </c>
      <c r="BK146" s="126"/>
      <c r="BL146" s="126"/>
      <c r="BM146" s="126"/>
      <c r="BN146" s="126"/>
      <c r="BO146" s="126"/>
      <c r="BP146" s="126"/>
      <c r="BQ146" s="126"/>
      <c r="BR146" s="126"/>
      <c r="BS146" s="126"/>
      <c r="BT146" s="126"/>
      <c r="BU146" s="126"/>
      <c r="BV146" s="126"/>
      <c r="BW146" s="126"/>
      <c r="BX146" s="130">
        <f t="shared" si="67"/>
        <v>0</v>
      </c>
      <c r="BY146" s="132"/>
    </row>
    <row r="147" ht="14.25" customHeight="1">
      <c r="A147" s="132"/>
      <c r="B147" s="512">
        <v>46150</v>
      </c>
      <c r="C147" s="457"/>
      <c r="D147" s="140"/>
      <c r="E147" s="135"/>
      <c r="F147" s="135"/>
      <c r="G147" s="147">
        <f t="shared" si="59"/>
        <v>0</v>
      </c>
      <c r="H147" s="1284"/>
      <c r="I147" s="1284"/>
      <c r="J147" s="1280"/>
      <c r="K147" s="1280"/>
      <c r="L147" s="1280"/>
      <c r="M147" s="1280"/>
      <c r="N147" s="1080"/>
      <c r="O147" s="1280"/>
      <c r="P147" s="1280"/>
      <c r="Q147" s="1280"/>
      <c r="R147" s="1280"/>
      <c r="S147" s="143"/>
      <c r="T147" s="143"/>
      <c r="U147" s="143"/>
      <c r="V147" s="143"/>
      <c r="W147" s="143"/>
      <c r="X147" s="1248">
        <f t="shared" si="60"/>
        <v>0</v>
      </c>
      <c r="Y147" s="611"/>
      <c r="Z147" s="611"/>
      <c r="AA147" s="143"/>
      <c r="AB147" s="143"/>
      <c r="AC147" s="143"/>
      <c r="AD147" s="143"/>
      <c r="AE147" s="143"/>
      <c r="AF147" s="143"/>
      <c r="AG147" s="143"/>
      <c r="AH147" s="143"/>
      <c r="AI147" s="143"/>
      <c r="AJ147" s="143"/>
      <c r="AK147" s="143"/>
      <c r="AL147" s="103">
        <f t="shared" si="61"/>
        <v>0</v>
      </c>
      <c r="AM147" s="136"/>
      <c r="AN147" s="136"/>
      <c r="AO147" s="136"/>
      <c r="AP147" s="105">
        <f t="shared" si="62"/>
        <v>0</v>
      </c>
      <c r="AQ147" s="99"/>
      <c r="AR147" s="99"/>
      <c r="AS147" s="99"/>
      <c r="AT147" s="124"/>
      <c r="AU147" s="224">
        <f t="shared" si="63"/>
        <v>0</v>
      </c>
      <c r="AV147" s="126"/>
      <c r="AW147" s="274"/>
      <c r="AX147" s="433"/>
      <c r="AY147" s="433"/>
      <c r="AZ147" s="433"/>
      <c r="BA147" s="275"/>
      <c r="BB147" s="126"/>
      <c r="BC147" s="274"/>
      <c r="BD147" s="274"/>
      <c r="BE147" s="274"/>
      <c r="BF147" s="274"/>
      <c r="BG147" s="222">
        <f t="shared" si="64"/>
        <v>0</v>
      </c>
      <c r="BH147" s="140">
        <f t="shared" si="65"/>
        <v>0</v>
      </c>
      <c r="BI147" s="132"/>
      <c r="BJ147" s="140">
        <f t="shared" si="66"/>
        <v>0</v>
      </c>
      <c r="BK147" s="126"/>
      <c r="BL147" s="126"/>
      <c r="BM147" s="126"/>
      <c r="BN147" s="126"/>
      <c r="BO147" s="126"/>
      <c r="BP147" s="126"/>
      <c r="BQ147" s="126"/>
      <c r="BR147" s="126"/>
      <c r="BS147" s="126"/>
      <c r="BT147" s="126"/>
      <c r="BU147" s="126"/>
      <c r="BV147" s="126"/>
      <c r="BW147" s="126"/>
      <c r="BX147" s="130">
        <f t="shared" si="67"/>
        <v>0</v>
      </c>
      <c r="BY147" s="132"/>
    </row>
    <row r="148" ht="14.25" customHeight="1">
      <c r="A148" s="132"/>
      <c r="B148" s="512">
        <v>46151</v>
      </c>
      <c r="C148" s="457"/>
      <c r="D148" s="140"/>
      <c r="E148" s="135"/>
      <c r="F148" s="135"/>
      <c r="G148" s="147">
        <f t="shared" si="59"/>
        <v>0</v>
      </c>
      <c r="H148" s="1284"/>
      <c r="I148" s="1284"/>
      <c r="J148" s="1280"/>
      <c r="K148" s="1280"/>
      <c r="L148" s="1280"/>
      <c r="M148" s="1280"/>
      <c r="N148" s="1280"/>
      <c r="O148" s="1280"/>
      <c r="P148" s="1280"/>
      <c r="Q148" s="1280"/>
      <c r="R148" s="1280"/>
      <c r="S148" s="143"/>
      <c r="T148" s="143"/>
      <c r="U148" s="143"/>
      <c r="V148" s="143"/>
      <c r="W148" s="143"/>
      <c r="X148" s="1248">
        <f t="shared" si="60"/>
        <v>0</v>
      </c>
      <c r="Y148" s="611"/>
      <c r="Z148" s="611"/>
      <c r="AA148" s="143"/>
      <c r="AB148" s="143"/>
      <c r="AC148" s="143"/>
      <c r="AD148" s="143"/>
      <c r="AE148" s="143"/>
      <c r="AF148" s="143"/>
      <c r="AG148" s="143"/>
      <c r="AH148" s="143"/>
      <c r="AI148" s="143"/>
      <c r="AJ148" s="143"/>
      <c r="AK148" s="143"/>
      <c r="AL148" s="103">
        <f t="shared" si="61"/>
        <v>0</v>
      </c>
      <c r="AM148" s="136"/>
      <c r="AN148" s="136"/>
      <c r="AO148" s="136"/>
      <c r="AP148" s="105">
        <f t="shared" si="62"/>
        <v>0</v>
      </c>
      <c r="AQ148" s="99"/>
      <c r="AR148" s="99"/>
      <c r="AS148" s="99"/>
      <c r="AT148" s="124"/>
      <c r="AU148" s="224">
        <f t="shared" si="63"/>
        <v>0</v>
      </c>
      <c r="AV148" s="126"/>
      <c r="AW148" s="274"/>
      <c r="AX148" s="433"/>
      <c r="AY148" s="433"/>
      <c r="AZ148" s="433"/>
      <c r="BA148" s="275"/>
      <c r="BB148" s="126"/>
      <c r="BC148" s="274"/>
      <c r="BD148" s="274"/>
      <c r="BE148" s="274"/>
      <c r="BF148" s="274"/>
      <c r="BG148" s="222">
        <f t="shared" si="64"/>
        <v>0</v>
      </c>
      <c r="BH148" s="140">
        <f t="shared" si="65"/>
        <v>0</v>
      </c>
      <c r="BI148" s="132"/>
      <c r="BJ148" s="140">
        <f t="shared" si="66"/>
        <v>0</v>
      </c>
      <c r="BK148" s="126"/>
      <c r="BL148" s="126"/>
      <c r="BM148" s="126"/>
      <c r="BN148" s="126"/>
      <c r="BO148" s="126"/>
      <c r="BP148" s="126"/>
      <c r="BQ148" s="126"/>
      <c r="BR148" s="126"/>
      <c r="BS148" s="126"/>
      <c r="BT148" s="126"/>
      <c r="BU148" s="126"/>
      <c r="BV148" s="126"/>
      <c r="BW148" s="126"/>
      <c r="BX148" s="130">
        <f t="shared" si="67"/>
        <v>0</v>
      </c>
      <c r="BY148" s="132"/>
    </row>
    <row r="149" ht="14.25" customHeight="1">
      <c r="A149" s="132"/>
      <c r="B149" s="512">
        <v>46152</v>
      </c>
      <c r="C149" s="132"/>
      <c r="D149" s="136"/>
      <c r="E149" s="135"/>
      <c r="F149" s="135"/>
      <c r="G149" s="147">
        <f t="shared" si="59"/>
        <v>0</v>
      </c>
      <c r="H149" s="1284"/>
      <c r="I149" s="1284"/>
      <c r="J149" s="1280"/>
      <c r="K149" s="1280"/>
      <c r="L149" s="1280"/>
      <c r="M149" s="1280"/>
      <c r="N149" s="1280"/>
      <c r="O149" s="1280"/>
      <c r="P149" s="1280"/>
      <c r="Q149" s="1280"/>
      <c r="R149" s="1280"/>
      <c r="S149" s="143"/>
      <c r="T149" s="143"/>
      <c r="U149" s="143"/>
      <c r="V149" s="143"/>
      <c r="W149" s="143"/>
      <c r="X149" s="1248">
        <f t="shared" si="60"/>
        <v>0</v>
      </c>
      <c r="Y149" s="611"/>
      <c r="Z149" s="611"/>
      <c r="AA149" s="143"/>
      <c r="AB149" s="143"/>
      <c r="AC149" s="143"/>
      <c r="AD149" s="143"/>
      <c r="AE149" s="143"/>
      <c r="AF149" s="143"/>
      <c r="AG149" s="143"/>
      <c r="AH149" s="143"/>
      <c r="AI149" s="143"/>
      <c r="AJ149" s="143"/>
      <c r="AK149" s="143"/>
      <c r="AL149" s="103">
        <f t="shared" si="61"/>
        <v>0</v>
      </c>
      <c r="AM149" s="136"/>
      <c r="AN149" s="136"/>
      <c r="AO149" s="136"/>
      <c r="AP149" s="105">
        <f t="shared" si="62"/>
        <v>0</v>
      </c>
      <c r="AQ149" s="99"/>
      <c r="AR149" s="99"/>
      <c r="AS149" s="99"/>
      <c r="AT149" s="124"/>
      <c r="AU149" s="224">
        <f t="shared" si="63"/>
        <v>0</v>
      </c>
      <c r="AV149" s="126"/>
      <c r="AW149" s="274"/>
      <c r="AX149" s="433"/>
      <c r="AY149" s="433"/>
      <c r="AZ149" s="433"/>
      <c r="BA149" s="275"/>
      <c r="BB149" s="126"/>
      <c r="BC149" s="274"/>
      <c r="BD149" s="274"/>
      <c r="BE149" s="274"/>
      <c r="BF149" s="274"/>
      <c r="BG149" s="222">
        <f t="shared" si="64"/>
        <v>0</v>
      </c>
      <c r="BH149" s="140">
        <f t="shared" si="65"/>
        <v>0</v>
      </c>
      <c r="BI149" s="132"/>
      <c r="BJ149" s="140">
        <f t="shared" si="66"/>
        <v>0</v>
      </c>
      <c r="BK149" s="126"/>
      <c r="BL149" s="126"/>
      <c r="BM149" s="126"/>
      <c r="BN149" s="126"/>
      <c r="BO149" s="126"/>
      <c r="BP149" s="126"/>
      <c r="BQ149" s="126"/>
      <c r="BR149" s="126"/>
      <c r="BS149" s="126"/>
      <c r="BT149" s="126"/>
      <c r="BU149" s="126"/>
      <c r="BV149" s="126"/>
      <c r="BW149" s="126"/>
      <c r="BX149" s="130">
        <f t="shared" si="67"/>
        <v>0</v>
      </c>
      <c r="BY149" s="132"/>
    </row>
    <row r="150" ht="14.25" customHeight="1">
      <c r="A150" s="132"/>
      <c r="B150" s="512">
        <v>46153</v>
      </c>
      <c r="C150" s="133"/>
      <c r="D150" s="136"/>
      <c r="E150" s="135"/>
      <c r="F150" s="135"/>
      <c r="G150" s="147">
        <f t="shared" si="59"/>
        <v>0</v>
      </c>
      <c r="H150" s="1284"/>
      <c r="I150" s="1284"/>
      <c r="J150" s="1280"/>
      <c r="K150" s="1280"/>
      <c r="L150" s="1280"/>
      <c r="M150" s="1280"/>
      <c r="N150" s="1280"/>
      <c r="O150" s="1280"/>
      <c r="P150" s="1280"/>
      <c r="Q150" s="1280"/>
      <c r="R150" s="1280"/>
      <c r="S150" s="143"/>
      <c r="T150" s="143"/>
      <c r="U150" s="143"/>
      <c r="V150" s="143"/>
      <c r="W150" s="143"/>
      <c r="X150" s="1248">
        <f t="shared" si="60"/>
        <v>0</v>
      </c>
      <c r="Y150" s="611"/>
      <c r="Z150" s="611"/>
      <c r="AA150" s="143"/>
      <c r="AB150" s="143"/>
      <c r="AC150" s="143"/>
      <c r="AD150" s="143"/>
      <c r="AE150" s="143"/>
      <c r="AF150" s="143"/>
      <c r="AG150" s="143"/>
      <c r="AH150" s="143"/>
      <c r="AI150" s="143"/>
      <c r="AJ150" s="143"/>
      <c r="AK150" s="143"/>
      <c r="AL150" s="103">
        <f t="shared" si="61"/>
        <v>0</v>
      </c>
      <c r="AM150" s="136"/>
      <c r="AN150" s="136"/>
      <c r="AO150" s="136"/>
      <c r="AP150" s="105">
        <f t="shared" si="62"/>
        <v>0</v>
      </c>
      <c r="AQ150" s="99"/>
      <c r="AR150" s="99"/>
      <c r="AS150" s="99"/>
      <c r="AT150" s="124"/>
      <c r="AU150" s="224">
        <f t="shared" si="63"/>
        <v>0</v>
      </c>
      <c r="AV150" s="126"/>
      <c r="AW150" s="274"/>
      <c r="AX150" s="433"/>
      <c r="AY150" s="433"/>
      <c r="AZ150" s="433"/>
      <c r="BA150" s="275"/>
      <c r="BB150" s="126"/>
      <c r="BC150" s="274"/>
      <c r="BD150" s="274"/>
      <c r="BE150" s="274"/>
      <c r="BF150" s="274"/>
      <c r="BG150" s="222">
        <f t="shared" si="64"/>
        <v>0</v>
      </c>
      <c r="BH150" s="140">
        <f t="shared" si="65"/>
        <v>0</v>
      </c>
      <c r="BI150" s="132"/>
      <c r="BJ150" s="140">
        <f t="shared" si="66"/>
        <v>0</v>
      </c>
      <c r="BK150" s="126"/>
      <c r="BL150" s="126"/>
      <c r="BM150" s="126"/>
      <c r="BN150" s="126"/>
      <c r="BO150" s="126"/>
      <c r="BP150" s="126"/>
      <c r="BQ150" s="126"/>
      <c r="BR150" s="126"/>
      <c r="BS150" s="126"/>
      <c r="BT150" s="126"/>
      <c r="BU150" s="126"/>
      <c r="BV150" s="126"/>
      <c r="BW150" s="126"/>
      <c r="BX150" s="130">
        <f t="shared" si="67"/>
        <v>0</v>
      </c>
      <c r="BY150" s="132"/>
    </row>
    <row r="151" ht="14.25" customHeight="1">
      <c r="A151" s="132"/>
      <c r="B151" s="512">
        <v>46154</v>
      </c>
      <c r="C151" s="133"/>
      <c r="D151" s="136"/>
      <c r="E151" s="135"/>
      <c r="F151" s="135"/>
      <c r="G151" s="147">
        <f t="shared" si="59"/>
        <v>0</v>
      </c>
      <c r="H151" s="611"/>
      <c r="I151" s="611"/>
      <c r="J151" s="611"/>
      <c r="K151" s="611"/>
      <c r="L151" s="611"/>
      <c r="M151" s="611"/>
      <c r="N151" s="1280"/>
      <c r="O151" s="611"/>
      <c r="P151" s="611"/>
      <c r="Q151" s="611"/>
      <c r="R151" s="611"/>
      <c r="S151" s="143"/>
      <c r="T151" s="143"/>
      <c r="U151" s="143"/>
      <c r="V151" s="143"/>
      <c r="W151" s="143"/>
      <c r="X151" s="1248">
        <f t="shared" si="60"/>
        <v>0</v>
      </c>
      <c r="Y151" s="611"/>
      <c r="Z151" s="611"/>
      <c r="AA151" s="143"/>
      <c r="AB151" s="143"/>
      <c r="AC151" s="143"/>
      <c r="AD151" s="143"/>
      <c r="AE151" s="143"/>
      <c r="AF151" s="143"/>
      <c r="AG151" s="143"/>
      <c r="AH151" s="143"/>
      <c r="AI151" s="143"/>
      <c r="AJ151" s="143"/>
      <c r="AK151" s="143"/>
      <c r="AL151" s="103">
        <f t="shared" si="61"/>
        <v>0</v>
      </c>
      <c r="AM151" s="136"/>
      <c r="AN151" s="136"/>
      <c r="AO151" s="136"/>
      <c r="AP151" s="105">
        <f t="shared" si="62"/>
        <v>0</v>
      </c>
      <c r="AQ151" s="99"/>
      <c r="AR151" s="99"/>
      <c r="AS151" s="99"/>
      <c r="AT151" s="124"/>
      <c r="AU151" s="224">
        <f t="shared" si="63"/>
        <v>0</v>
      </c>
      <c r="AV151" s="126"/>
      <c r="AW151" s="274"/>
      <c r="AX151" s="433"/>
      <c r="AY151" s="433"/>
      <c r="AZ151" s="433"/>
      <c r="BA151" s="275"/>
      <c r="BB151" s="126"/>
      <c r="BC151" s="274"/>
      <c r="BD151" s="274"/>
      <c r="BE151" s="274"/>
      <c r="BF151" s="274"/>
      <c r="BG151" s="222">
        <f t="shared" si="64"/>
        <v>0</v>
      </c>
      <c r="BH151" s="140">
        <f t="shared" si="65"/>
        <v>0</v>
      </c>
      <c r="BI151" s="132"/>
      <c r="BJ151" s="140">
        <f t="shared" si="66"/>
        <v>0</v>
      </c>
      <c r="BK151" s="126"/>
      <c r="BL151" s="126"/>
      <c r="BM151" s="126"/>
      <c r="BN151" s="126"/>
      <c r="BO151" s="126"/>
      <c r="BP151" s="126"/>
      <c r="BQ151" s="126"/>
      <c r="BR151" s="126"/>
      <c r="BS151" s="126"/>
      <c r="BT151" s="126"/>
      <c r="BU151" s="126"/>
      <c r="BV151" s="126"/>
      <c r="BW151" s="126"/>
      <c r="BX151" s="130">
        <f t="shared" si="67"/>
        <v>0</v>
      </c>
      <c r="BY151" s="132"/>
    </row>
    <row r="152" ht="14.25" customHeight="1">
      <c r="A152" s="132"/>
      <c r="B152" s="512">
        <v>46155</v>
      </c>
      <c r="C152" s="136"/>
      <c r="D152" s="136"/>
      <c r="E152" s="135"/>
      <c r="F152" s="135"/>
      <c r="G152" s="147">
        <f t="shared" si="59"/>
        <v>0</v>
      </c>
      <c r="H152" s="611"/>
      <c r="I152" s="611"/>
      <c r="J152" s="611"/>
      <c r="K152" s="611"/>
      <c r="L152" s="611"/>
      <c r="M152" s="768"/>
      <c r="N152" s="1282"/>
      <c r="O152" s="611"/>
      <c r="P152" s="611"/>
      <c r="Q152" s="611"/>
      <c r="R152" s="611"/>
      <c r="S152" s="143"/>
      <c r="T152" s="143"/>
      <c r="U152" s="143"/>
      <c r="V152" s="143"/>
      <c r="W152" s="143"/>
      <c r="X152" s="1248">
        <f t="shared" si="60"/>
        <v>0</v>
      </c>
      <c r="Y152" s="611"/>
      <c r="Z152" s="611"/>
      <c r="AA152" s="143"/>
      <c r="AB152" s="143"/>
      <c r="AC152" s="143"/>
      <c r="AD152" s="143"/>
      <c r="AE152" s="143"/>
      <c r="AF152" s="143"/>
      <c r="AG152" s="143"/>
      <c r="AH152" s="143"/>
      <c r="AI152" s="143"/>
      <c r="AJ152" s="143"/>
      <c r="AK152" s="143"/>
      <c r="AL152" s="103">
        <f t="shared" si="61"/>
        <v>0</v>
      </c>
      <c r="AM152" s="136"/>
      <c r="AN152" s="136"/>
      <c r="AO152" s="136"/>
      <c r="AP152" s="105">
        <f t="shared" si="62"/>
        <v>0</v>
      </c>
      <c r="AQ152" s="99"/>
      <c r="AR152" s="99"/>
      <c r="AS152" s="99"/>
      <c r="AT152" s="124"/>
      <c r="AU152" s="224">
        <f t="shared" si="63"/>
        <v>0</v>
      </c>
      <c r="AV152" s="126"/>
      <c r="AW152" s="274"/>
      <c r="AX152" s="433"/>
      <c r="AY152" s="433"/>
      <c r="AZ152" s="433"/>
      <c r="BA152" s="275"/>
      <c r="BB152" s="126"/>
      <c r="BC152" s="274"/>
      <c r="BD152" s="274"/>
      <c r="BE152" s="274"/>
      <c r="BF152" s="274"/>
      <c r="BG152" s="222">
        <f t="shared" si="64"/>
        <v>0</v>
      </c>
      <c r="BH152" s="140">
        <f t="shared" si="65"/>
        <v>0</v>
      </c>
      <c r="BI152" s="132"/>
      <c r="BJ152" s="140">
        <f t="shared" si="66"/>
        <v>0</v>
      </c>
      <c r="BK152" s="126"/>
      <c r="BL152" s="126"/>
      <c r="BM152" s="126"/>
      <c r="BN152" s="126"/>
      <c r="BO152" s="126"/>
      <c r="BP152" s="126"/>
      <c r="BQ152" s="126"/>
      <c r="BR152" s="126"/>
      <c r="BS152" s="274"/>
      <c r="BT152" s="126"/>
      <c r="BU152" s="126"/>
      <c r="BV152" s="126"/>
      <c r="BW152" s="126"/>
      <c r="BX152" s="130">
        <f t="shared" si="67"/>
        <v>0</v>
      </c>
      <c r="BY152" s="132"/>
    </row>
    <row r="153" ht="14.25" customHeight="1">
      <c r="A153" s="132"/>
      <c r="B153" s="512">
        <v>46156</v>
      </c>
      <c r="C153" s="136"/>
      <c r="D153" s="136"/>
      <c r="E153" s="135"/>
      <c r="F153" s="135"/>
      <c r="G153" s="147">
        <f t="shared" si="59"/>
        <v>0</v>
      </c>
      <c r="H153" s="768"/>
      <c r="I153" s="768"/>
      <c r="J153" s="611"/>
      <c r="K153" s="611"/>
      <c r="L153" s="611"/>
      <c r="M153" s="611"/>
      <c r="N153" s="1080"/>
      <c r="O153" s="611"/>
      <c r="P153" s="611"/>
      <c r="Q153" s="611"/>
      <c r="R153" s="611"/>
      <c r="S153" s="143"/>
      <c r="T153" s="143"/>
      <c r="U153" s="143"/>
      <c r="V153" s="143"/>
      <c r="W153" s="143"/>
      <c r="X153" s="1248">
        <f t="shared" si="60"/>
        <v>0</v>
      </c>
      <c r="Y153" s="611"/>
      <c r="Z153" s="611"/>
      <c r="AA153" s="143"/>
      <c r="AB153" s="143"/>
      <c r="AC153" s="143"/>
      <c r="AD153" s="143"/>
      <c r="AE153" s="143"/>
      <c r="AF153" s="143"/>
      <c r="AG153" s="143"/>
      <c r="AH153" s="143"/>
      <c r="AI153" s="143"/>
      <c r="AJ153" s="143"/>
      <c r="AK153" s="143"/>
      <c r="AL153" s="103">
        <f t="shared" si="61"/>
        <v>0</v>
      </c>
      <c r="AM153" s="136"/>
      <c r="AN153" s="136"/>
      <c r="AO153" s="136"/>
      <c r="AP153" s="105">
        <f t="shared" si="62"/>
        <v>0</v>
      </c>
      <c r="AQ153" s="99"/>
      <c r="AR153" s="99"/>
      <c r="AS153" s="99"/>
      <c r="AT153" s="124"/>
      <c r="AU153" s="224">
        <f t="shared" si="63"/>
        <v>0</v>
      </c>
      <c r="AV153" s="126"/>
      <c r="AW153" s="274"/>
      <c r="AX153" s="433"/>
      <c r="AY153" s="433"/>
      <c r="AZ153" s="433"/>
      <c r="BA153" s="275"/>
      <c r="BB153" s="126"/>
      <c r="BC153" s="274"/>
      <c r="BD153" s="274"/>
      <c r="BE153" s="274"/>
      <c r="BF153" s="274"/>
      <c r="BG153" s="222">
        <f t="shared" si="64"/>
        <v>0</v>
      </c>
      <c r="BH153" s="140">
        <f t="shared" si="65"/>
        <v>0</v>
      </c>
      <c r="BI153" s="132"/>
      <c r="BJ153" s="140">
        <f t="shared" si="66"/>
        <v>0</v>
      </c>
      <c r="BK153" s="126"/>
      <c r="BL153" s="126"/>
      <c r="BM153" s="126"/>
      <c r="BN153" s="126"/>
      <c r="BO153" s="126"/>
      <c r="BP153" s="126"/>
      <c r="BQ153" s="126"/>
      <c r="BR153" s="126"/>
      <c r="BS153" s="126"/>
      <c r="BT153" s="126"/>
      <c r="BU153" s="126"/>
      <c r="BV153" s="126"/>
      <c r="BW153" s="126"/>
      <c r="BX153" s="130">
        <f t="shared" si="67"/>
        <v>0</v>
      </c>
      <c r="BY153" s="132"/>
    </row>
    <row r="154" ht="14.25" customHeight="1">
      <c r="A154" s="132"/>
      <c r="B154" s="512">
        <v>46157</v>
      </c>
      <c r="C154" s="133"/>
      <c r="D154" s="136"/>
      <c r="E154" s="135"/>
      <c r="F154" s="135"/>
      <c r="G154" s="147">
        <f t="shared" si="59"/>
        <v>0</v>
      </c>
      <c r="H154" s="768"/>
      <c r="I154" s="768"/>
      <c r="J154" s="611"/>
      <c r="K154" s="611"/>
      <c r="L154" s="611"/>
      <c r="M154" s="611"/>
      <c r="N154" s="1080"/>
      <c r="O154" s="611"/>
      <c r="P154" s="611"/>
      <c r="Q154" s="611"/>
      <c r="R154" s="611"/>
      <c r="S154" s="143"/>
      <c r="T154" s="143"/>
      <c r="U154" s="143"/>
      <c r="V154" s="143"/>
      <c r="W154" s="143"/>
      <c r="X154" s="1248">
        <f t="shared" si="60"/>
        <v>0</v>
      </c>
      <c r="Y154" s="611"/>
      <c r="Z154" s="611"/>
      <c r="AA154" s="143"/>
      <c r="AB154" s="143"/>
      <c r="AC154" s="143"/>
      <c r="AD154" s="143"/>
      <c r="AE154" s="143"/>
      <c r="AF154" s="143"/>
      <c r="AG154" s="143"/>
      <c r="AH154" s="143"/>
      <c r="AI154" s="143"/>
      <c r="AJ154" s="143"/>
      <c r="AK154" s="143"/>
      <c r="AL154" s="103">
        <f t="shared" si="61"/>
        <v>0</v>
      </c>
      <c r="AM154" s="136"/>
      <c r="AN154" s="136"/>
      <c r="AO154" s="136"/>
      <c r="AP154" s="105">
        <f t="shared" si="62"/>
        <v>0</v>
      </c>
      <c r="AQ154" s="99"/>
      <c r="AR154" s="99"/>
      <c r="AS154" s="99"/>
      <c r="AT154" s="124"/>
      <c r="AU154" s="224">
        <f t="shared" si="63"/>
        <v>0</v>
      </c>
      <c r="AV154" s="126"/>
      <c r="AW154" s="274"/>
      <c r="AX154" s="433"/>
      <c r="AY154" s="433"/>
      <c r="AZ154" s="433"/>
      <c r="BA154" s="275"/>
      <c r="BB154" s="126"/>
      <c r="BC154" s="274"/>
      <c r="BD154" s="274"/>
      <c r="BE154" s="274"/>
      <c r="BF154" s="274"/>
      <c r="BG154" s="222">
        <f t="shared" si="64"/>
        <v>0</v>
      </c>
      <c r="BH154" s="140">
        <f t="shared" si="65"/>
        <v>0</v>
      </c>
      <c r="BI154" s="132"/>
      <c r="BJ154" s="140">
        <f t="shared" si="66"/>
        <v>0</v>
      </c>
      <c r="BK154" s="126"/>
      <c r="BL154" s="126"/>
      <c r="BM154" s="126"/>
      <c r="BN154" s="126"/>
      <c r="BO154" s="126"/>
      <c r="BP154" s="126"/>
      <c r="BQ154" s="126"/>
      <c r="BR154" s="126"/>
      <c r="BS154" s="126"/>
      <c r="BT154" s="126"/>
      <c r="BU154" s="126"/>
      <c r="BV154" s="126"/>
      <c r="BW154" s="126"/>
      <c r="BX154" s="130">
        <f t="shared" si="67"/>
        <v>0</v>
      </c>
      <c r="BY154" s="132"/>
    </row>
    <row r="155" ht="14.25" customHeight="1">
      <c r="A155" s="132"/>
      <c r="B155" s="512">
        <v>46158</v>
      </c>
      <c r="C155" s="132"/>
      <c r="D155" s="136"/>
      <c r="E155" s="135"/>
      <c r="F155" s="135"/>
      <c r="G155" s="147">
        <f t="shared" si="59"/>
        <v>0</v>
      </c>
      <c r="H155" s="611"/>
      <c r="I155" s="611"/>
      <c r="J155" s="611"/>
      <c r="K155" s="611"/>
      <c r="L155" s="611"/>
      <c r="M155" s="611"/>
      <c r="N155" s="1080"/>
      <c r="O155" s="611"/>
      <c r="P155" s="611"/>
      <c r="Q155" s="611"/>
      <c r="R155" s="611"/>
      <c r="S155" s="143"/>
      <c r="T155" s="143"/>
      <c r="U155" s="143"/>
      <c r="V155" s="143"/>
      <c r="W155" s="143"/>
      <c r="X155" s="1248">
        <f t="shared" si="60"/>
        <v>0</v>
      </c>
      <c r="Y155" s="611"/>
      <c r="Z155" s="611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03">
        <f t="shared" si="61"/>
        <v>0</v>
      </c>
      <c r="AM155" s="136"/>
      <c r="AN155" s="136"/>
      <c r="AO155" s="136"/>
      <c r="AP155" s="105">
        <f t="shared" si="62"/>
        <v>0</v>
      </c>
      <c r="AQ155" s="99"/>
      <c r="AR155" s="99"/>
      <c r="AS155" s="99"/>
      <c r="AT155" s="124"/>
      <c r="AU155" s="224">
        <f t="shared" si="63"/>
        <v>0</v>
      </c>
      <c r="AV155" s="126"/>
      <c r="AW155" s="274"/>
      <c r="AX155" s="1133"/>
      <c r="AY155" s="433"/>
      <c r="AZ155" s="433"/>
      <c r="BA155" s="275"/>
      <c r="BB155" s="126"/>
      <c r="BC155" s="274"/>
      <c r="BD155" s="274"/>
      <c r="BE155" s="274"/>
      <c r="BF155" s="274"/>
      <c r="BG155" s="222">
        <f t="shared" si="64"/>
        <v>0</v>
      </c>
      <c r="BH155" s="140">
        <f t="shared" si="65"/>
        <v>0</v>
      </c>
      <c r="BI155" s="132"/>
      <c r="BJ155" s="140">
        <f t="shared" si="66"/>
        <v>0</v>
      </c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30">
        <f t="shared" si="67"/>
        <v>0</v>
      </c>
      <c r="BY155" s="132"/>
    </row>
    <row r="156" ht="15.75" customHeight="1">
      <c r="A156" s="132"/>
      <c r="B156" s="512">
        <v>46159</v>
      </c>
      <c r="C156" s="133"/>
      <c r="D156" s="136"/>
      <c r="E156" s="135"/>
      <c r="F156" s="135"/>
      <c r="G156" s="147">
        <f t="shared" si="59"/>
        <v>0</v>
      </c>
      <c r="H156" s="768"/>
      <c r="I156" s="768"/>
      <c r="J156" s="611"/>
      <c r="K156" s="611"/>
      <c r="L156" s="611"/>
      <c r="M156" s="611"/>
      <c r="N156" s="1080"/>
      <c r="O156" s="611"/>
      <c r="P156" s="611"/>
      <c r="Q156" s="611"/>
      <c r="R156" s="611"/>
      <c r="S156" s="143"/>
      <c r="T156" s="143"/>
      <c r="U156" s="143"/>
      <c r="V156" s="143"/>
      <c r="W156" s="143"/>
      <c r="X156" s="1248">
        <f t="shared" si="60"/>
        <v>0</v>
      </c>
      <c r="Y156" s="611"/>
      <c r="Z156" s="611"/>
      <c r="AA156" s="143"/>
      <c r="AB156" s="143"/>
      <c r="AC156" s="143"/>
      <c r="AD156" s="143"/>
      <c r="AE156" s="143"/>
      <c r="AF156" s="143"/>
      <c r="AG156" s="143"/>
      <c r="AH156" s="143"/>
      <c r="AI156" s="143"/>
      <c r="AJ156" s="143"/>
      <c r="AK156" s="143"/>
      <c r="AL156" s="103">
        <f t="shared" si="61"/>
        <v>0</v>
      </c>
      <c r="AM156" s="136"/>
      <c r="AN156" s="136"/>
      <c r="AO156" s="136"/>
      <c r="AP156" s="105">
        <f t="shared" si="62"/>
        <v>0</v>
      </c>
      <c r="AQ156" s="99"/>
      <c r="AR156" s="99"/>
      <c r="AS156" s="99"/>
      <c r="AT156" s="124"/>
      <c r="AU156" s="224">
        <f t="shared" si="63"/>
        <v>0</v>
      </c>
      <c r="AV156" s="126"/>
      <c r="AW156" s="274"/>
      <c r="AX156" s="433"/>
      <c r="AY156" s="433"/>
      <c r="AZ156" s="433"/>
      <c r="BA156" s="275"/>
      <c r="BB156" s="126"/>
      <c r="BC156" s="274"/>
      <c r="BD156" s="274"/>
      <c r="BE156" s="274"/>
      <c r="BF156" s="274"/>
      <c r="BG156" s="222">
        <f t="shared" si="64"/>
        <v>0</v>
      </c>
      <c r="BH156" s="140">
        <f t="shared" si="65"/>
        <v>0</v>
      </c>
      <c r="BI156" s="132"/>
      <c r="BJ156" s="140">
        <f t="shared" si="66"/>
        <v>0</v>
      </c>
      <c r="BK156" s="126"/>
      <c r="BL156" s="126"/>
      <c r="BM156" s="126"/>
      <c r="BN156" s="126"/>
      <c r="BO156" s="126"/>
      <c r="BP156" s="126"/>
      <c r="BQ156" s="126"/>
      <c r="BR156" s="126"/>
      <c r="BS156" s="126"/>
      <c r="BT156" s="126"/>
      <c r="BU156" s="126"/>
      <c r="BV156" s="126"/>
      <c r="BW156" s="126"/>
      <c r="BX156" s="130">
        <f t="shared" si="67"/>
        <v>0</v>
      </c>
      <c r="BY156" s="132"/>
    </row>
    <row r="157" ht="14.25" customHeight="1">
      <c r="A157" s="132"/>
      <c r="B157" s="512">
        <v>46160</v>
      </c>
      <c r="C157" s="133"/>
      <c r="D157" s="136"/>
      <c r="E157" s="135"/>
      <c r="F157" s="135"/>
      <c r="G157" s="147">
        <f t="shared" si="59"/>
        <v>0</v>
      </c>
      <c r="H157" s="611"/>
      <c r="I157" s="611"/>
      <c r="J157" s="611"/>
      <c r="K157" s="611"/>
      <c r="L157" s="611"/>
      <c r="M157" s="611"/>
      <c r="N157" s="1080"/>
      <c r="O157" s="611"/>
      <c r="P157" s="611"/>
      <c r="Q157" s="611"/>
      <c r="R157" s="611"/>
      <c r="S157" s="143"/>
      <c r="T157" s="143"/>
      <c r="U157" s="143"/>
      <c r="V157" s="143"/>
      <c r="W157" s="143"/>
      <c r="X157" s="1248">
        <f t="shared" si="60"/>
        <v>0</v>
      </c>
      <c r="Y157" s="611"/>
      <c r="Z157" s="611"/>
      <c r="AA157" s="143"/>
      <c r="AB157" s="143"/>
      <c r="AC157" s="143"/>
      <c r="AD157" s="143"/>
      <c r="AE157" s="143"/>
      <c r="AF157" s="143"/>
      <c r="AG157" s="143"/>
      <c r="AH157" s="143"/>
      <c r="AI157" s="143"/>
      <c r="AJ157" s="143"/>
      <c r="AK157" s="143"/>
      <c r="AL157" s="103">
        <f t="shared" si="61"/>
        <v>0</v>
      </c>
      <c r="AM157" s="136"/>
      <c r="AN157" s="136"/>
      <c r="AO157" s="136"/>
      <c r="AP157" s="105">
        <f t="shared" si="62"/>
        <v>0</v>
      </c>
      <c r="AQ157" s="99"/>
      <c r="AR157" s="99"/>
      <c r="AS157" s="99"/>
      <c r="AT157" s="124"/>
      <c r="AU157" s="224">
        <f t="shared" si="63"/>
        <v>0</v>
      </c>
      <c r="AV157" s="126"/>
      <c r="AW157" s="274"/>
      <c r="AX157" s="433"/>
      <c r="AY157" s="433"/>
      <c r="AZ157" s="433"/>
      <c r="BA157" s="275"/>
      <c r="BB157" s="126"/>
      <c r="BC157" s="274"/>
      <c r="BD157" s="274"/>
      <c r="BE157" s="274"/>
      <c r="BF157" s="274"/>
      <c r="BG157" s="222">
        <f t="shared" si="64"/>
        <v>0</v>
      </c>
      <c r="BH157" s="140">
        <f t="shared" si="65"/>
        <v>0</v>
      </c>
      <c r="BI157" s="132"/>
      <c r="BJ157" s="140">
        <f t="shared" si="66"/>
        <v>0</v>
      </c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30">
        <f t="shared" si="67"/>
        <v>0</v>
      </c>
      <c r="BY157" s="132"/>
    </row>
    <row r="158" ht="14.25" customHeight="1">
      <c r="A158" s="132"/>
      <c r="B158" s="512">
        <v>46161</v>
      </c>
      <c r="C158" s="133"/>
      <c r="D158" s="136"/>
      <c r="E158" s="135"/>
      <c r="F158" s="135"/>
      <c r="G158" s="147">
        <f t="shared" si="59"/>
        <v>0</v>
      </c>
      <c r="H158" s="611"/>
      <c r="I158" s="611"/>
      <c r="J158" s="611"/>
      <c r="K158" s="611"/>
      <c r="L158" s="611"/>
      <c r="M158" s="611"/>
      <c r="N158" s="1080"/>
      <c r="O158" s="611"/>
      <c r="P158" s="611"/>
      <c r="Q158" s="611"/>
      <c r="R158" s="611"/>
      <c r="S158" s="143"/>
      <c r="T158" s="143"/>
      <c r="U158" s="143"/>
      <c r="V158" s="143"/>
      <c r="W158" s="143"/>
      <c r="X158" s="1248">
        <f t="shared" si="60"/>
        <v>0</v>
      </c>
      <c r="Y158" s="611"/>
      <c r="Z158" s="611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43"/>
      <c r="AL158" s="103">
        <f t="shared" si="61"/>
        <v>0</v>
      </c>
      <c r="AM158" s="136"/>
      <c r="AN158" s="136"/>
      <c r="AO158" s="136"/>
      <c r="AP158" s="105">
        <f t="shared" si="62"/>
        <v>0</v>
      </c>
      <c r="AQ158" s="99"/>
      <c r="AR158" s="99"/>
      <c r="AS158" s="99"/>
      <c r="AT158" s="124"/>
      <c r="AU158" s="224">
        <f t="shared" si="63"/>
        <v>0</v>
      </c>
      <c r="AV158" s="126"/>
      <c r="AW158" s="274"/>
      <c r="AX158" s="433"/>
      <c r="AY158" s="433"/>
      <c r="AZ158" s="433"/>
      <c r="BA158" s="275"/>
      <c r="BB158" s="126"/>
      <c r="BC158" s="274"/>
      <c r="BD158" s="274"/>
      <c r="BE158" s="274"/>
      <c r="BF158" s="274"/>
      <c r="BG158" s="222">
        <f t="shared" si="64"/>
        <v>0</v>
      </c>
      <c r="BH158" s="140">
        <f t="shared" si="65"/>
        <v>0</v>
      </c>
      <c r="BI158" s="132"/>
      <c r="BJ158" s="140">
        <f t="shared" si="66"/>
        <v>0</v>
      </c>
      <c r="BK158" s="126"/>
      <c r="BL158" s="126"/>
      <c r="BM158" s="126"/>
      <c r="BN158" s="126"/>
      <c r="BO158" s="126"/>
      <c r="BP158" s="126"/>
      <c r="BQ158" s="126"/>
      <c r="BR158" s="126"/>
      <c r="BS158" s="126"/>
      <c r="BT158" s="126"/>
      <c r="BU158" s="126"/>
      <c r="BV158" s="126"/>
      <c r="BW158" s="126"/>
      <c r="BX158" s="130">
        <f t="shared" si="67"/>
        <v>0</v>
      </c>
      <c r="BY158" s="132"/>
    </row>
    <row r="159" ht="14.25" customHeight="1">
      <c r="A159" s="132"/>
      <c r="B159" s="512">
        <v>46162</v>
      </c>
      <c r="C159" s="133"/>
      <c r="D159" s="136"/>
      <c r="E159" s="135"/>
      <c r="F159" s="135"/>
      <c r="G159" s="147">
        <f t="shared" si="59"/>
        <v>0</v>
      </c>
      <c r="H159" s="768"/>
      <c r="I159" s="768"/>
      <c r="J159" s="611"/>
      <c r="K159" s="611"/>
      <c r="L159" s="611"/>
      <c r="M159" s="611"/>
      <c r="N159" s="1080"/>
      <c r="O159" s="611"/>
      <c r="P159" s="611"/>
      <c r="Q159" s="611"/>
      <c r="R159" s="611"/>
      <c r="S159" s="143"/>
      <c r="T159" s="143"/>
      <c r="U159" s="143"/>
      <c r="V159" s="143"/>
      <c r="W159" s="143"/>
      <c r="X159" s="1248">
        <f t="shared" si="60"/>
        <v>0</v>
      </c>
      <c r="Y159" s="611"/>
      <c r="Z159" s="611"/>
      <c r="AA159" s="143"/>
      <c r="AB159" s="143"/>
      <c r="AC159" s="143"/>
      <c r="AD159" s="143"/>
      <c r="AE159" s="143"/>
      <c r="AF159" s="143"/>
      <c r="AG159" s="143"/>
      <c r="AH159" s="143"/>
      <c r="AI159" s="143"/>
      <c r="AJ159" s="143"/>
      <c r="AK159" s="143"/>
      <c r="AL159" s="103">
        <f t="shared" si="61"/>
        <v>0</v>
      </c>
      <c r="AM159" s="136"/>
      <c r="AN159" s="136"/>
      <c r="AO159" s="136"/>
      <c r="AP159" s="105">
        <f t="shared" si="62"/>
        <v>0</v>
      </c>
      <c r="AQ159" s="99"/>
      <c r="AR159" s="99"/>
      <c r="AS159" s="99"/>
      <c r="AT159" s="124"/>
      <c r="AU159" s="224">
        <f t="shared" si="63"/>
        <v>0</v>
      </c>
      <c r="AV159" s="126"/>
      <c r="AW159" s="274"/>
      <c r="AX159" s="433"/>
      <c r="AY159" s="433"/>
      <c r="AZ159" s="433"/>
      <c r="BA159" s="275"/>
      <c r="BB159" s="126"/>
      <c r="BC159" s="274"/>
      <c r="BD159" s="274"/>
      <c r="BE159" s="274"/>
      <c r="BF159" s="274"/>
      <c r="BG159" s="222">
        <f t="shared" si="64"/>
        <v>0</v>
      </c>
      <c r="BH159" s="140">
        <f t="shared" si="65"/>
        <v>0</v>
      </c>
      <c r="BI159" s="132"/>
      <c r="BJ159" s="140">
        <f t="shared" si="66"/>
        <v>0</v>
      </c>
      <c r="BK159" s="126"/>
      <c r="BL159" s="126"/>
      <c r="BM159" s="126"/>
      <c r="BN159" s="126"/>
      <c r="BO159" s="126"/>
      <c r="BP159" s="126"/>
      <c r="BQ159" s="126"/>
      <c r="BR159" s="126"/>
      <c r="BS159" s="126"/>
      <c r="BT159" s="126"/>
      <c r="BU159" s="126"/>
      <c r="BV159" s="126"/>
      <c r="BW159" s="126"/>
      <c r="BX159" s="130">
        <f t="shared" si="67"/>
        <v>0</v>
      </c>
      <c r="BY159" s="132"/>
    </row>
    <row r="160" ht="14.25" customHeight="1">
      <c r="A160" s="132"/>
      <c r="B160" s="512">
        <v>46163</v>
      </c>
      <c r="C160" s="133"/>
      <c r="D160" s="136"/>
      <c r="E160" s="135"/>
      <c r="F160" s="135"/>
      <c r="G160" s="147">
        <f t="shared" si="59"/>
        <v>0</v>
      </c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143"/>
      <c r="T160" s="143"/>
      <c r="U160" s="143"/>
      <c r="V160" s="143"/>
      <c r="W160" s="143"/>
      <c r="X160" s="1248">
        <f t="shared" si="60"/>
        <v>0</v>
      </c>
      <c r="Y160" s="611"/>
      <c r="Z160" s="611"/>
      <c r="AA160" s="143"/>
      <c r="AB160" s="143"/>
      <c r="AC160" s="143"/>
      <c r="AD160" s="143"/>
      <c r="AE160" s="143"/>
      <c r="AF160" s="143"/>
      <c r="AG160" s="143"/>
      <c r="AH160" s="143"/>
      <c r="AI160" s="143"/>
      <c r="AJ160" s="143"/>
      <c r="AK160" s="143"/>
      <c r="AL160" s="103">
        <f t="shared" si="61"/>
        <v>0</v>
      </c>
      <c r="AM160" s="136"/>
      <c r="AN160" s="136"/>
      <c r="AO160" s="136"/>
      <c r="AP160" s="105">
        <f t="shared" si="62"/>
        <v>0</v>
      </c>
      <c r="AQ160" s="99"/>
      <c r="AR160" s="99"/>
      <c r="AS160" s="99"/>
      <c r="AT160" s="124"/>
      <c r="AU160" s="224">
        <f t="shared" si="63"/>
        <v>0</v>
      </c>
      <c r="AV160" s="126"/>
      <c r="AW160" s="274"/>
      <c r="AX160" s="433"/>
      <c r="AY160" s="433"/>
      <c r="AZ160" s="433"/>
      <c r="BA160" s="275"/>
      <c r="BB160" s="126"/>
      <c r="BC160" s="274"/>
      <c r="BD160" s="274"/>
      <c r="BE160" s="274"/>
      <c r="BF160" s="274"/>
      <c r="BG160" s="222">
        <f t="shared" si="64"/>
        <v>0</v>
      </c>
      <c r="BH160" s="140">
        <f t="shared" si="65"/>
        <v>0</v>
      </c>
      <c r="BI160" s="132"/>
      <c r="BJ160" s="140">
        <f t="shared" si="66"/>
        <v>0</v>
      </c>
      <c r="BK160" s="126"/>
      <c r="BL160" s="126"/>
      <c r="BM160" s="126"/>
      <c r="BN160" s="126"/>
      <c r="BO160" s="126"/>
      <c r="BP160" s="126"/>
      <c r="BQ160" s="126"/>
      <c r="BR160" s="126"/>
      <c r="BS160" s="126"/>
      <c r="BT160" s="126"/>
      <c r="BU160" s="126"/>
      <c r="BV160" s="126"/>
      <c r="BW160" s="126"/>
      <c r="BX160" s="130">
        <f t="shared" si="67"/>
        <v>0</v>
      </c>
      <c r="BY160" s="132"/>
    </row>
    <row r="161" ht="14.25" customHeight="1">
      <c r="A161" s="132"/>
      <c r="B161" s="512">
        <v>46164</v>
      </c>
      <c r="C161" s="133"/>
      <c r="D161" s="136"/>
      <c r="E161" s="135"/>
      <c r="F161" s="135"/>
      <c r="G161" s="147">
        <f t="shared" si="59"/>
        <v>0</v>
      </c>
      <c r="H161" s="611"/>
      <c r="I161" s="611"/>
      <c r="J161" s="611"/>
      <c r="K161" s="611"/>
      <c r="L161" s="611"/>
      <c r="M161" s="611"/>
      <c r="N161" s="611"/>
      <c r="O161" s="611"/>
      <c r="P161" s="611"/>
      <c r="Q161" s="611"/>
      <c r="R161" s="611"/>
      <c r="S161" s="143"/>
      <c r="T161" s="143"/>
      <c r="U161" s="143"/>
      <c r="V161" s="143"/>
      <c r="W161" s="143"/>
      <c r="X161" s="1248">
        <f t="shared" si="60"/>
        <v>0</v>
      </c>
      <c r="Y161" s="611"/>
      <c r="Z161" s="611"/>
      <c r="AA161" s="143"/>
      <c r="AB161" s="143"/>
      <c r="AC161" s="143"/>
      <c r="AD161" s="143"/>
      <c r="AE161" s="143"/>
      <c r="AF161" s="143"/>
      <c r="AG161" s="143"/>
      <c r="AH161" s="143"/>
      <c r="AI161" s="143"/>
      <c r="AJ161" s="143"/>
      <c r="AK161" s="143"/>
      <c r="AL161" s="103">
        <f t="shared" si="61"/>
        <v>0</v>
      </c>
      <c r="AM161" s="136"/>
      <c r="AN161" s="136"/>
      <c r="AO161" s="136"/>
      <c r="AP161" s="105">
        <f t="shared" si="62"/>
        <v>0</v>
      </c>
      <c r="AQ161" s="99"/>
      <c r="AR161" s="99"/>
      <c r="AS161" s="99"/>
      <c r="AT161" s="124"/>
      <c r="AU161" s="224">
        <f t="shared" si="63"/>
        <v>0</v>
      </c>
      <c r="AV161" s="126"/>
      <c r="AW161" s="274"/>
      <c r="AX161" s="433"/>
      <c r="AY161" s="433"/>
      <c r="AZ161" s="433"/>
      <c r="BA161" s="275"/>
      <c r="BB161" s="126"/>
      <c r="BC161" s="274"/>
      <c r="BD161" s="274"/>
      <c r="BE161" s="274"/>
      <c r="BF161" s="274"/>
      <c r="BG161" s="222">
        <f t="shared" si="64"/>
        <v>0</v>
      </c>
      <c r="BH161" s="140">
        <f t="shared" si="65"/>
        <v>0</v>
      </c>
      <c r="BI161" s="132"/>
      <c r="BJ161" s="140">
        <f t="shared" si="66"/>
        <v>0</v>
      </c>
      <c r="BK161" s="126"/>
      <c r="BL161" s="126"/>
      <c r="BM161" s="126"/>
      <c r="BN161" s="126"/>
      <c r="BO161" s="126"/>
      <c r="BP161" s="126"/>
      <c r="BQ161" s="126"/>
      <c r="BR161" s="126"/>
      <c r="BS161" s="126"/>
      <c r="BT161" s="126"/>
      <c r="BU161" s="126"/>
      <c r="BV161" s="126"/>
      <c r="BW161" s="126"/>
      <c r="BX161" s="130">
        <f t="shared" si="67"/>
        <v>0</v>
      </c>
      <c r="BY161" s="132"/>
    </row>
    <row r="162" ht="14.25" customHeight="1">
      <c r="A162" s="132"/>
      <c r="B162" s="512">
        <v>46165</v>
      </c>
      <c r="C162" s="133"/>
      <c r="D162" s="136"/>
      <c r="E162" s="135"/>
      <c r="F162" s="135"/>
      <c r="G162" s="147">
        <f t="shared" si="59"/>
        <v>0</v>
      </c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  <c r="R162" s="611"/>
      <c r="S162" s="143"/>
      <c r="T162" s="143"/>
      <c r="U162" s="143"/>
      <c r="V162" s="143"/>
      <c r="W162" s="143"/>
      <c r="X162" s="1248">
        <f t="shared" si="60"/>
        <v>0</v>
      </c>
      <c r="Y162" s="611"/>
      <c r="Z162" s="611"/>
      <c r="AA162" s="143"/>
      <c r="AB162" s="143"/>
      <c r="AC162" s="143"/>
      <c r="AD162" s="143"/>
      <c r="AE162" s="143"/>
      <c r="AF162" s="143"/>
      <c r="AG162" s="143"/>
      <c r="AH162" s="143"/>
      <c r="AI162" s="143"/>
      <c r="AJ162" s="143"/>
      <c r="AK162" s="143"/>
      <c r="AL162" s="103">
        <f t="shared" si="61"/>
        <v>0</v>
      </c>
      <c r="AM162" s="136"/>
      <c r="AN162" s="136"/>
      <c r="AO162" s="136"/>
      <c r="AP162" s="105">
        <f t="shared" si="62"/>
        <v>0</v>
      </c>
      <c r="AQ162" s="99"/>
      <c r="AR162" s="99"/>
      <c r="AS162" s="99"/>
      <c r="AT162" s="124"/>
      <c r="AU162" s="224">
        <f t="shared" si="63"/>
        <v>0</v>
      </c>
      <c r="AV162" s="126"/>
      <c r="AW162" s="274"/>
      <c r="AX162" s="433"/>
      <c r="AY162" s="433"/>
      <c r="AZ162" s="433"/>
      <c r="BA162" s="275"/>
      <c r="BB162" s="126"/>
      <c r="BC162" s="274"/>
      <c r="BD162" s="274"/>
      <c r="BE162" s="274"/>
      <c r="BF162" s="274"/>
      <c r="BG162" s="222">
        <f t="shared" si="64"/>
        <v>0</v>
      </c>
      <c r="BH162" s="140">
        <f t="shared" si="65"/>
        <v>0</v>
      </c>
      <c r="BI162" s="132"/>
      <c r="BJ162" s="140">
        <f t="shared" si="66"/>
        <v>0</v>
      </c>
      <c r="BK162" s="126"/>
      <c r="BL162" s="126"/>
      <c r="BM162" s="126"/>
      <c r="BN162" s="126"/>
      <c r="BO162" s="126"/>
      <c r="BP162" s="126"/>
      <c r="BQ162" s="126"/>
      <c r="BR162" s="126"/>
      <c r="BS162" s="126"/>
      <c r="BT162" s="126"/>
      <c r="BU162" s="126"/>
      <c r="BV162" s="126"/>
      <c r="BW162" s="126"/>
      <c r="BX162" s="130">
        <f t="shared" si="67"/>
        <v>0</v>
      </c>
      <c r="BY162" s="132"/>
    </row>
    <row r="163" ht="14.25" customHeight="1">
      <c r="A163" s="132"/>
      <c r="B163" s="512">
        <v>46166</v>
      </c>
      <c r="C163" s="133"/>
      <c r="D163" s="136"/>
      <c r="E163" s="135"/>
      <c r="F163" s="135"/>
      <c r="G163" s="147">
        <f t="shared" si="59"/>
        <v>0</v>
      </c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  <c r="R163" s="611"/>
      <c r="S163" s="143"/>
      <c r="T163" s="143"/>
      <c r="U163" s="143"/>
      <c r="V163" s="143"/>
      <c r="W163" s="143"/>
      <c r="X163" s="1248">
        <f t="shared" si="60"/>
        <v>0</v>
      </c>
      <c r="Y163" s="611"/>
      <c r="Z163" s="611"/>
      <c r="AA163" s="143"/>
      <c r="AB163" s="143"/>
      <c r="AC163" s="143"/>
      <c r="AD163" s="143"/>
      <c r="AE163" s="143"/>
      <c r="AF163" s="143"/>
      <c r="AG163" s="143"/>
      <c r="AH163" s="143"/>
      <c r="AI163" s="143"/>
      <c r="AJ163" s="143"/>
      <c r="AK163" s="143"/>
      <c r="AL163" s="103">
        <f t="shared" si="61"/>
        <v>0</v>
      </c>
      <c r="AM163" s="136"/>
      <c r="AN163" s="136"/>
      <c r="AO163" s="136"/>
      <c r="AP163" s="105">
        <f t="shared" si="62"/>
        <v>0</v>
      </c>
      <c r="AQ163" s="99"/>
      <c r="AR163" s="99"/>
      <c r="AS163" s="99"/>
      <c r="AT163" s="124"/>
      <c r="AU163" s="224">
        <f t="shared" si="63"/>
        <v>0</v>
      </c>
      <c r="AV163" s="126"/>
      <c r="AW163" s="274"/>
      <c r="AX163" s="433"/>
      <c r="AY163" s="433"/>
      <c r="AZ163" s="433"/>
      <c r="BA163" s="275"/>
      <c r="BB163" s="126"/>
      <c r="BC163" s="274"/>
      <c r="BD163" s="274"/>
      <c r="BE163" s="274"/>
      <c r="BF163" s="274"/>
      <c r="BG163" s="222">
        <f t="shared" si="64"/>
        <v>0</v>
      </c>
      <c r="BH163" s="140">
        <f t="shared" si="65"/>
        <v>0</v>
      </c>
      <c r="BI163" s="132"/>
      <c r="BJ163" s="140">
        <f t="shared" si="66"/>
        <v>0</v>
      </c>
      <c r="BK163" s="126"/>
      <c r="BL163" s="126"/>
      <c r="BM163" s="126"/>
      <c r="BN163" s="126"/>
      <c r="BO163" s="126"/>
      <c r="BP163" s="126"/>
      <c r="BQ163" s="126"/>
      <c r="BR163" s="126"/>
      <c r="BS163" s="126"/>
      <c r="BT163" s="126"/>
      <c r="BU163" s="126"/>
      <c r="BV163" s="126"/>
      <c r="BW163" s="126"/>
      <c r="BX163" s="130">
        <f t="shared" si="67"/>
        <v>0</v>
      </c>
      <c r="BY163" s="132"/>
    </row>
    <row r="164" ht="14.25" customHeight="1">
      <c r="A164" s="525"/>
      <c r="B164" s="512">
        <v>46167</v>
      </c>
      <c r="C164" s="457"/>
      <c r="D164" s="140"/>
      <c r="E164" s="392"/>
      <c r="F164" s="392"/>
      <c r="G164" s="1292">
        <f t="shared" si="59"/>
        <v>0</v>
      </c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143"/>
      <c r="T164" s="143"/>
      <c r="U164" s="143"/>
      <c r="V164" s="143"/>
      <c r="W164" s="143"/>
      <c r="X164" s="1248">
        <f t="shared" si="60"/>
        <v>0</v>
      </c>
      <c r="Y164" s="611"/>
      <c r="Z164" s="611"/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293">
        <f t="shared" si="61"/>
        <v>0</v>
      </c>
      <c r="AM164" s="136"/>
      <c r="AN164" s="136"/>
      <c r="AO164" s="140"/>
      <c r="AP164" s="1293">
        <f t="shared" si="62"/>
        <v>0</v>
      </c>
      <c r="AQ164" s="99"/>
      <c r="AR164" s="99"/>
      <c r="AS164" s="99"/>
      <c r="AT164" s="124"/>
      <c r="AU164" s="1294">
        <f t="shared" si="63"/>
        <v>0</v>
      </c>
      <c r="AV164" s="126"/>
      <c r="AW164" s="274"/>
      <c r="AX164" s="433"/>
      <c r="AY164" s="433"/>
      <c r="AZ164" s="433"/>
      <c r="BA164" s="275"/>
      <c r="BB164" s="126"/>
      <c r="BC164" s="274"/>
      <c r="BD164" s="274"/>
      <c r="BE164" s="274"/>
      <c r="BF164" s="274"/>
      <c r="BG164" s="1295">
        <f t="shared" si="64"/>
        <v>0</v>
      </c>
      <c r="BH164" s="140">
        <f t="shared" si="65"/>
        <v>0</v>
      </c>
      <c r="BI164" s="525"/>
      <c r="BJ164" s="140">
        <f t="shared" si="66"/>
        <v>0</v>
      </c>
      <c r="BK164" s="126"/>
      <c r="BL164" s="126"/>
      <c r="BM164" s="126"/>
      <c r="BN164" s="126"/>
      <c r="BO164" s="126"/>
      <c r="BP164" s="126"/>
      <c r="BQ164" s="126"/>
      <c r="BR164" s="126"/>
      <c r="BS164" s="126"/>
      <c r="BT164" s="126"/>
      <c r="BU164" s="126"/>
      <c r="BV164" s="126"/>
      <c r="BW164" s="126"/>
      <c r="BX164" s="1293">
        <f t="shared" si="67"/>
        <v>0</v>
      </c>
      <c r="BY164" s="525"/>
    </row>
    <row r="165" ht="14.25" customHeight="1">
      <c r="A165" s="132"/>
      <c r="B165" s="512">
        <v>46168</v>
      </c>
      <c r="C165" s="133"/>
      <c r="D165" s="136"/>
      <c r="E165" s="135"/>
      <c r="F165" s="135"/>
      <c r="G165" s="147">
        <f t="shared" si="59"/>
        <v>0</v>
      </c>
      <c r="H165" s="768"/>
      <c r="I165" s="768"/>
      <c r="J165" s="611"/>
      <c r="K165" s="611"/>
      <c r="L165" s="641"/>
      <c r="M165" s="641"/>
      <c r="N165" s="641"/>
      <c r="O165" s="611"/>
      <c r="P165" s="611"/>
      <c r="Q165" s="641"/>
      <c r="R165" s="641"/>
      <c r="S165" s="143"/>
      <c r="T165" s="143"/>
      <c r="U165" s="143"/>
      <c r="V165" s="143"/>
      <c r="W165" s="143"/>
      <c r="X165" s="1248">
        <f t="shared" si="60"/>
        <v>0</v>
      </c>
      <c r="Y165" s="611"/>
      <c r="Z165" s="611"/>
      <c r="AA165" s="143"/>
      <c r="AB165" s="143"/>
      <c r="AC165" s="143"/>
      <c r="AD165" s="143"/>
      <c r="AE165" s="143"/>
      <c r="AF165" s="143"/>
      <c r="AG165" s="143"/>
      <c r="AH165" s="143"/>
      <c r="AI165" s="143"/>
      <c r="AJ165" s="143"/>
      <c r="AK165" s="143"/>
      <c r="AL165" s="103">
        <f t="shared" si="61"/>
        <v>0</v>
      </c>
      <c r="AM165" s="136"/>
      <c r="AN165" s="136"/>
      <c r="AO165" s="136"/>
      <c r="AP165" s="105">
        <f t="shared" si="62"/>
        <v>0</v>
      </c>
      <c r="AQ165" s="99"/>
      <c r="AR165" s="99"/>
      <c r="AS165" s="99"/>
      <c r="AT165" s="124"/>
      <c r="AU165" s="224">
        <f t="shared" si="63"/>
        <v>0</v>
      </c>
      <c r="AV165" s="126"/>
      <c r="AW165" s="274"/>
      <c r="AX165" s="433"/>
      <c r="AY165" s="433"/>
      <c r="AZ165" s="433"/>
      <c r="BA165" s="275"/>
      <c r="BB165" s="126"/>
      <c r="BC165" s="274"/>
      <c r="BD165" s="274"/>
      <c r="BE165" s="274"/>
      <c r="BF165" s="274"/>
      <c r="BG165" s="222">
        <f t="shared" si="64"/>
        <v>0</v>
      </c>
      <c r="BH165" s="140">
        <f t="shared" si="65"/>
        <v>0</v>
      </c>
      <c r="BI165" s="132"/>
      <c r="BJ165" s="140">
        <f t="shared" si="66"/>
        <v>0</v>
      </c>
      <c r="BK165" s="126"/>
      <c r="BL165" s="126"/>
      <c r="BM165" s="126"/>
      <c r="BN165" s="126"/>
      <c r="BO165" s="126"/>
      <c r="BP165" s="126"/>
      <c r="BQ165" s="126"/>
      <c r="BR165" s="126"/>
      <c r="BS165" s="126"/>
      <c r="BT165" s="126"/>
      <c r="BU165" s="126"/>
      <c r="BV165" s="126"/>
      <c r="BW165" s="126"/>
      <c r="BX165" s="130">
        <f t="shared" si="67"/>
        <v>0</v>
      </c>
      <c r="BY165" s="132"/>
    </row>
    <row r="166" ht="14.25" customHeight="1">
      <c r="A166" s="132"/>
      <c r="B166" s="512">
        <v>46169</v>
      </c>
      <c r="C166" s="133"/>
      <c r="D166" s="136"/>
      <c r="E166" s="135"/>
      <c r="F166" s="135"/>
      <c r="G166" s="147">
        <f t="shared" si="59"/>
        <v>0</v>
      </c>
      <c r="H166" s="768"/>
      <c r="I166" s="768"/>
      <c r="J166" s="611"/>
      <c r="K166" s="611"/>
      <c r="L166" s="611"/>
      <c r="M166" s="611"/>
      <c r="N166" s="611"/>
      <c r="O166" s="611"/>
      <c r="P166" s="611"/>
      <c r="Q166" s="611"/>
      <c r="R166" s="611"/>
      <c r="S166" s="143"/>
      <c r="T166" s="143"/>
      <c r="U166" s="143"/>
      <c r="V166" s="143"/>
      <c r="W166" s="143"/>
      <c r="X166" s="1248">
        <f t="shared" si="60"/>
        <v>0</v>
      </c>
      <c r="Y166" s="611"/>
      <c r="Z166" s="611"/>
      <c r="AA166" s="143"/>
      <c r="AB166" s="143"/>
      <c r="AC166" s="143"/>
      <c r="AD166" s="143"/>
      <c r="AE166" s="143"/>
      <c r="AF166" s="143"/>
      <c r="AG166" s="143"/>
      <c r="AH166" s="143"/>
      <c r="AI166" s="143"/>
      <c r="AJ166" s="143"/>
      <c r="AK166" s="143"/>
      <c r="AL166" s="103">
        <f t="shared" si="61"/>
        <v>0</v>
      </c>
      <c r="AM166" s="136"/>
      <c r="AN166" s="136"/>
      <c r="AO166" s="136"/>
      <c r="AP166" s="105">
        <f t="shared" si="62"/>
        <v>0</v>
      </c>
      <c r="AQ166" s="99"/>
      <c r="AR166" s="99"/>
      <c r="AS166" s="99"/>
      <c r="AT166" s="124"/>
      <c r="AU166" s="224">
        <f t="shared" si="63"/>
        <v>0</v>
      </c>
      <c r="AV166" s="126"/>
      <c r="AW166" s="274"/>
      <c r="AX166" s="433"/>
      <c r="AY166" s="433"/>
      <c r="AZ166" s="433"/>
      <c r="BA166" s="275"/>
      <c r="BB166" s="126"/>
      <c r="BC166" s="274"/>
      <c r="BD166" s="274"/>
      <c r="BE166" s="274"/>
      <c r="BF166" s="274"/>
      <c r="BG166" s="222">
        <f t="shared" si="64"/>
        <v>0</v>
      </c>
      <c r="BH166" s="140">
        <f t="shared" si="65"/>
        <v>0</v>
      </c>
      <c r="BI166" s="132"/>
      <c r="BJ166" s="140">
        <f t="shared" si="66"/>
        <v>0</v>
      </c>
      <c r="BK166" s="126"/>
      <c r="BL166" s="126"/>
      <c r="BM166" s="126"/>
      <c r="BN166" s="126"/>
      <c r="BO166" s="126"/>
      <c r="BP166" s="126"/>
      <c r="BQ166" s="126"/>
      <c r="BR166" s="126"/>
      <c r="BS166" s="126"/>
      <c r="BT166" s="126"/>
      <c r="BU166" s="126"/>
      <c r="BV166" s="126"/>
      <c r="BW166" s="126"/>
      <c r="BX166" s="130">
        <f t="shared" si="67"/>
        <v>0</v>
      </c>
      <c r="BY166" s="132"/>
    </row>
    <row r="167" ht="14.25" customHeight="1">
      <c r="A167" s="132"/>
      <c r="B167" s="512">
        <v>46170</v>
      </c>
      <c r="C167" s="133"/>
      <c r="D167" s="136"/>
      <c r="E167" s="135"/>
      <c r="F167" s="135"/>
      <c r="G167" s="147">
        <f t="shared" si="59"/>
        <v>0</v>
      </c>
      <c r="H167" s="768"/>
      <c r="I167" s="768"/>
      <c r="J167" s="611"/>
      <c r="K167" s="611"/>
      <c r="L167" s="611"/>
      <c r="M167" s="611"/>
      <c r="N167" s="611"/>
      <c r="O167" s="611"/>
      <c r="P167" s="611"/>
      <c r="Q167" s="611"/>
      <c r="R167" s="611"/>
      <c r="S167" s="143"/>
      <c r="T167" s="143"/>
      <c r="U167" s="143"/>
      <c r="V167" s="143"/>
      <c r="W167" s="143"/>
      <c r="X167" s="1248">
        <f t="shared" si="60"/>
        <v>0</v>
      </c>
      <c r="Y167" s="611"/>
      <c r="Z167" s="611"/>
      <c r="AA167" s="143"/>
      <c r="AB167" s="143"/>
      <c r="AC167" s="143"/>
      <c r="AD167" s="143"/>
      <c r="AE167" s="143"/>
      <c r="AF167" s="143"/>
      <c r="AG167" s="143"/>
      <c r="AH167" s="143"/>
      <c r="AI167" s="143"/>
      <c r="AJ167" s="143"/>
      <c r="AK167" s="143"/>
      <c r="AL167" s="103">
        <f t="shared" si="61"/>
        <v>0</v>
      </c>
      <c r="AM167" s="136"/>
      <c r="AN167" s="136"/>
      <c r="AO167" s="136"/>
      <c r="AP167" s="105">
        <f t="shared" si="62"/>
        <v>0</v>
      </c>
      <c r="AQ167" s="99"/>
      <c r="AR167" s="99"/>
      <c r="AS167" s="99"/>
      <c r="AT167" s="124"/>
      <c r="AU167" s="224">
        <f t="shared" si="63"/>
        <v>0</v>
      </c>
      <c r="AV167" s="126"/>
      <c r="AW167" s="274"/>
      <c r="AX167" s="1133"/>
      <c r="AY167" s="433"/>
      <c r="AZ167" s="433"/>
      <c r="BA167" s="275"/>
      <c r="BB167" s="126"/>
      <c r="BC167" s="274"/>
      <c r="BD167" s="274"/>
      <c r="BE167" s="274"/>
      <c r="BF167" s="274"/>
      <c r="BG167" s="222">
        <f t="shared" si="64"/>
        <v>0</v>
      </c>
      <c r="BH167" s="140">
        <f t="shared" si="65"/>
        <v>0</v>
      </c>
      <c r="BI167" s="132"/>
      <c r="BJ167" s="140">
        <f t="shared" si="66"/>
        <v>0</v>
      </c>
      <c r="BK167" s="126"/>
      <c r="BL167" s="126"/>
      <c r="BM167" s="126"/>
      <c r="BN167" s="126"/>
      <c r="BO167" s="126"/>
      <c r="BP167" s="126"/>
      <c r="BQ167" s="126"/>
      <c r="BR167" s="126"/>
      <c r="BS167" s="126"/>
      <c r="BT167" s="126"/>
      <c r="BU167" s="126"/>
      <c r="BV167" s="126"/>
      <c r="BW167" s="126"/>
      <c r="BX167" s="130">
        <f t="shared" si="67"/>
        <v>0</v>
      </c>
      <c r="BY167" s="132"/>
    </row>
    <row r="168" ht="14.25" customHeight="1">
      <c r="A168" s="235"/>
      <c r="B168" s="512">
        <v>46171</v>
      </c>
      <c r="C168" s="133"/>
      <c r="D168" s="136"/>
      <c r="E168" s="135"/>
      <c r="F168" s="135"/>
      <c r="G168" s="147">
        <f t="shared" si="59"/>
        <v>0</v>
      </c>
      <c r="H168" s="1126"/>
      <c r="I168" s="1126"/>
      <c r="J168" s="826"/>
      <c r="K168" s="826"/>
      <c r="L168" s="826"/>
      <c r="M168" s="826"/>
      <c r="N168" s="826"/>
      <c r="O168" s="826"/>
      <c r="P168" s="826"/>
      <c r="Q168" s="826"/>
      <c r="R168" s="826"/>
      <c r="S168" s="672"/>
      <c r="T168" s="672"/>
      <c r="U168" s="672"/>
      <c r="V168" s="672"/>
      <c r="W168" s="672"/>
      <c r="X168" s="1296">
        <f t="shared" si="60"/>
        <v>0</v>
      </c>
      <c r="Y168" s="826"/>
      <c r="Z168" s="826"/>
      <c r="AA168" s="672"/>
      <c r="AB168" s="672"/>
      <c r="AC168" s="672"/>
      <c r="AD168" s="672"/>
      <c r="AE168" s="672"/>
      <c r="AF168" s="672"/>
      <c r="AG168" s="672"/>
      <c r="AH168" s="672"/>
      <c r="AI168" s="672"/>
      <c r="AJ168" s="672"/>
      <c r="AK168" s="672"/>
      <c r="AL168" s="103">
        <f t="shared" si="61"/>
        <v>0</v>
      </c>
      <c r="AM168" s="821"/>
      <c r="AN168" s="821"/>
      <c r="AO168" s="821"/>
      <c r="AP168" s="105">
        <f t="shared" si="62"/>
        <v>0</v>
      </c>
      <c r="AQ168" s="664"/>
      <c r="AR168" s="664"/>
      <c r="AS168" s="664"/>
      <c r="AT168" s="1297"/>
      <c r="AU168" s="224">
        <f t="shared" si="63"/>
        <v>0</v>
      </c>
      <c r="AV168" s="126"/>
      <c r="AW168" s="1298"/>
      <c r="AX168" s="1299"/>
      <c r="AY168" s="1182"/>
      <c r="AZ168" s="1182"/>
      <c r="BA168" s="1300"/>
      <c r="BB168" s="1301"/>
      <c r="BC168" s="1298"/>
      <c r="BD168" s="1298"/>
      <c r="BE168" s="1298"/>
      <c r="BF168" s="1298"/>
      <c r="BG168" s="1302">
        <f t="shared" si="64"/>
        <v>0</v>
      </c>
      <c r="BH168" s="524">
        <f t="shared" si="65"/>
        <v>0</v>
      </c>
      <c r="BI168" s="235"/>
      <c r="BJ168" s="524">
        <f t="shared" si="66"/>
        <v>0</v>
      </c>
      <c r="BK168" s="1301"/>
      <c r="BL168" s="1301"/>
      <c r="BM168" s="1301"/>
      <c r="BN168" s="1301"/>
      <c r="BO168" s="1301"/>
      <c r="BP168" s="1301"/>
      <c r="BQ168" s="1301"/>
      <c r="BR168" s="1301"/>
      <c r="BS168" s="1301"/>
      <c r="BT168" s="1301"/>
      <c r="BU168" s="1301"/>
      <c r="BV168" s="1301"/>
      <c r="BW168" s="1301"/>
      <c r="BX168" s="130">
        <f t="shared" si="67"/>
        <v>0</v>
      </c>
      <c r="BY168" s="235"/>
    </row>
    <row r="169" ht="14.25" customHeight="1">
      <c r="A169" s="235"/>
      <c r="B169" s="512">
        <v>46172</v>
      </c>
      <c r="C169" s="133"/>
      <c r="D169" s="136"/>
      <c r="E169" s="135"/>
      <c r="F169" s="135"/>
      <c r="G169" s="147">
        <f t="shared" si="59"/>
        <v>0</v>
      </c>
      <c r="H169" s="826"/>
      <c r="I169" s="826"/>
      <c r="J169" s="826"/>
      <c r="K169" s="826"/>
      <c r="L169" s="826"/>
      <c r="M169" s="826"/>
      <c r="N169" s="826"/>
      <c r="O169" s="826"/>
      <c r="P169" s="826"/>
      <c r="Q169" s="826"/>
      <c r="R169" s="826"/>
      <c r="S169" s="672"/>
      <c r="T169" s="672"/>
      <c r="U169" s="672"/>
      <c r="V169" s="672"/>
      <c r="W169" s="672"/>
      <c r="X169" s="1296">
        <f t="shared" si="60"/>
        <v>0</v>
      </c>
      <c r="Y169" s="826"/>
      <c r="Z169" s="826"/>
      <c r="AA169" s="672"/>
      <c r="AB169" s="672"/>
      <c r="AC169" s="672"/>
      <c r="AD169" s="672"/>
      <c r="AE169" s="672"/>
      <c r="AF169" s="672"/>
      <c r="AG169" s="672"/>
      <c r="AH169" s="672"/>
      <c r="AI169" s="672"/>
      <c r="AJ169" s="672"/>
      <c r="AK169" s="672"/>
      <c r="AL169" s="103">
        <f t="shared" si="61"/>
        <v>0</v>
      </c>
      <c r="AM169" s="821"/>
      <c r="AN169" s="821"/>
      <c r="AO169" s="821"/>
      <c r="AP169" s="105">
        <f t="shared" si="62"/>
        <v>0</v>
      </c>
      <c r="AQ169" s="664"/>
      <c r="AR169" s="664"/>
      <c r="AS169" s="664"/>
      <c r="AT169" s="1297"/>
      <c r="AU169" s="224">
        <f t="shared" si="63"/>
        <v>0</v>
      </c>
      <c r="AV169" s="126"/>
      <c r="AW169" s="1298"/>
      <c r="AX169" s="1299"/>
      <c r="AY169" s="1182"/>
      <c r="AZ169" s="1182"/>
      <c r="BA169" s="1300"/>
      <c r="BB169" s="126"/>
      <c r="BC169" s="1298"/>
      <c r="BD169" s="1298"/>
      <c r="BE169" s="1298"/>
      <c r="BF169" s="1298"/>
      <c r="BG169" s="1302">
        <f t="shared" si="64"/>
        <v>0</v>
      </c>
      <c r="BH169" s="524">
        <f t="shared" si="65"/>
        <v>0</v>
      </c>
      <c r="BI169" s="235"/>
      <c r="BJ169" s="524">
        <f t="shared" si="66"/>
        <v>0</v>
      </c>
      <c r="BK169" s="1301"/>
      <c r="BL169" s="1301"/>
      <c r="BM169" s="1301"/>
      <c r="BN169" s="1301"/>
      <c r="BO169" s="1301"/>
      <c r="BP169" s="1301"/>
      <c r="BQ169" s="1301"/>
      <c r="BR169" s="1301"/>
      <c r="BS169" s="1301"/>
      <c r="BT169" s="1301"/>
      <c r="BU169" s="1301"/>
      <c r="BV169" s="1301"/>
      <c r="BW169" s="1301"/>
      <c r="BX169" s="130">
        <f t="shared" si="67"/>
        <v>0</v>
      </c>
      <c r="BY169" s="235"/>
    </row>
    <row r="170" ht="14.25" customHeight="1">
      <c r="A170" s="235"/>
      <c r="B170" s="512">
        <v>46173</v>
      </c>
      <c r="C170" s="133"/>
      <c r="D170" s="136"/>
      <c r="E170" s="135"/>
      <c r="F170" s="135"/>
      <c r="G170" s="147">
        <f t="shared" si="59"/>
        <v>0</v>
      </c>
      <c r="H170" s="1303"/>
      <c r="I170" s="1303"/>
      <c r="J170" s="839"/>
      <c r="K170" s="839"/>
      <c r="L170" s="839"/>
      <c r="M170" s="839"/>
      <c r="N170" s="839"/>
      <c r="O170" s="839"/>
      <c r="P170" s="839"/>
      <c r="Q170" s="839"/>
      <c r="R170" s="839"/>
      <c r="S170" s="838"/>
      <c r="T170" s="838"/>
      <c r="U170" s="838"/>
      <c r="V170" s="838"/>
      <c r="W170" s="838"/>
      <c r="X170" s="1296">
        <f t="shared" si="60"/>
        <v>0</v>
      </c>
      <c r="Y170" s="839"/>
      <c r="Z170" s="839"/>
      <c r="AA170" s="838"/>
      <c r="AB170" s="838"/>
      <c r="AC170" s="838"/>
      <c r="AD170" s="838"/>
      <c r="AE170" s="838"/>
      <c r="AF170" s="838"/>
      <c r="AG170" s="838"/>
      <c r="AH170" s="838"/>
      <c r="AI170" s="838"/>
      <c r="AJ170" s="838"/>
      <c r="AK170" s="838"/>
      <c r="AL170" s="103">
        <f t="shared" si="61"/>
        <v>0</v>
      </c>
      <c r="AM170" s="831"/>
      <c r="AN170" s="831"/>
      <c r="AO170" s="831"/>
      <c r="AP170" s="105">
        <f t="shared" si="62"/>
        <v>0</v>
      </c>
      <c r="AQ170" s="836"/>
      <c r="AR170" s="836"/>
      <c r="AS170" s="836"/>
      <c r="AT170" s="1304"/>
      <c r="AU170" s="224">
        <f t="shared" si="63"/>
        <v>0</v>
      </c>
      <c r="AV170" s="138"/>
      <c r="AW170" s="1305"/>
      <c r="AX170" s="1306"/>
      <c r="AY170" s="1306"/>
      <c r="AZ170" s="1182"/>
      <c r="BA170" s="1300"/>
      <c r="BB170" s="138"/>
      <c r="BC170" s="1305"/>
      <c r="BD170" s="1305"/>
      <c r="BE170" s="1305"/>
      <c r="BF170" s="1305"/>
      <c r="BG170" s="1302">
        <f t="shared" si="64"/>
        <v>0</v>
      </c>
      <c r="BH170" s="524">
        <f t="shared" si="65"/>
        <v>0</v>
      </c>
      <c r="BI170" s="235"/>
      <c r="BJ170" s="524">
        <f t="shared" si="66"/>
        <v>0</v>
      </c>
      <c r="BK170" s="1301"/>
      <c r="BL170" s="1301"/>
      <c r="BM170" s="1301"/>
      <c r="BN170" s="1301"/>
      <c r="BO170" s="1301"/>
      <c r="BP170" s="1301"/>
      <c r="BQ170" s="1301"/>
      <c r="BR170" s="1301"/>
      <c r="BS170" s="1301"/>
      <c r="BT170" s="1301"/>
      <c r="BU170" s="1301"/>
      <c r="BV170" s="1301"/>
      <c r="BW170" s="1301"/>
      <c r="BX170" s="130">
        <f t="shared" si="67"/>
        <v>0</v>
      </c>
      <c r="BY170" s="235"/>
    </row>
    <row r="171" ht="14.25" customHeight="1">
      <c r="A171" s="22"/>
      <c r="B171" s="2" t="s">
        <v>79</v>
      </c>
      <c r="C171" s="166">
        <f ref="C171:H171" t="shared" si="68">SUM(C140:C170)</f>
        <v>0</v>
      </c>
      <c r="D171" s="166">
        <f t="shared" si="68"/>
        <v>0</v>
      </c>
      <c r="E171" s="166">
        <f t="shared" si="68"/>
        <v>0</v>
      </c>
      <c r="F171" s="166">
        <f t="shared" si="68"/>
        <v>0</v>
      </c>
      <c r="G171" s="166">
        <f t="shared" si="68"/>
        <v>0</v>
      </c>
      <c r="H171" s="166">
        <f t="shared" si="68"/>
        <v>0</v>
      </c>
      <c r="I171" s="166"/>
      <c r="J171" s="166">
        <f>SUM(J140:J170)</f>
        <v>0</v>
      </c>
      <c r="K171" s="166"/>
      <c r="L171" s="166">
        <f>SUM(L140:L170)</f>
        <v>0</v>
      </c>
      <c r="M171" s="166"/>
      <c r="N171" s="617">
        <f ref="N171:P171" t="shared" si="69">SUM(N140:N170)</f>
        <v>0</v>
      </c>
      <c r="O171" s="166">
        <f t="shared" si="69"/>
        <v>0</v>
      </c>
      <c r="P171" s="166">
        <f t="shared" si="69"/>
        <v>0</v>
      </c>
      <c r="Q171" s="166"/>
      <c r="R171" s="166">
        <f ref="R171:AH171" t="shared" si="70">SUM(R140:R170)</f>
        <v>0</v>
      </c>
      <c r="S171" s="166">
        <f t="shared" si="70"/>
        <v>0</v>
      </c>
      <c r="T171" s="166">
        <f t="shared" si="70"/>
        <v>0</v>
      </c>
      <c r="U171" s="166">
        <f t="shared" si="70"/>
        <v>0</v>
      </c>
      <c r="V171" s="166">
        <f t="shared" si="70"/>
        <v>0</v>
      </c>
      <c r="W171" s="166">
        <f t="shared" si="70"/>
        <v>0</v>
      </c>
      <c r="X171" s="1271">
        <f t="shared" si="70"/>
        <v>0</v>
      </c>
      <c r="Y171" s="166">
        <f t="shared" si="70"/>
        <v>0</v>
      </c>
      <c r="Z171" s="166">
        <f t="shared" si="70"/>
        <v>0</v>
      </c>
      <c r="AA171" s="166">
        <f t="shared" si="70"/>
        <v>0</v>
      </c>
      <c r="AB171" s="166">
        <f t="shared" si="70"/>
        <v>0</v>
      </c>
      <c r="AC171" s="166">
        <f t="shared" si="70"/>
        <v>0</v>
      </c>
      <c r="AD171" s="166">
        <f t="shared" si="70"/>
        <v>0</v>
      </c>
      <c r="AE171" s="166">
        <f t="shared" si="70"/>
        <v>0</v>
      </c>
      <c r="AF171" s="166">
        <f t="shared" si="70"/>
        <v>0</v>
      </c>
      <c r="AG171" s="166">
        <f t="shared" si="70"/>
        <v>0</v>
      </c>
      <c r="AH171" s="166">
        <f t="shared" si="70"/>
        <v>0</v>
      </c>
      <c r="AI171" s="166"/>
      <c r="AJ171" s="166">
        <f ref="AJ171:BX171" t="shared" si="71">SUM(AJ140:AJ170)</f>
        <v>0</v>
      </c>
      <c r="AK171" s="166">
        <f t="shared" si="71"/>
        <v>0</v>
      </c>
      <c r="AL171" s="166">
        <f t="shared" si="71"/>
        <v>0</v>
      </c>
      <c r="AM171" s="166">
        <f t="shared" si="71"/>
        <v>0</v>
      </c>
      <c r="AN171" s="166">
        <f t="shared" si="71"/>
        <v>0</v>
      </c>
      <c r="AO171" s="166">
        <f t="shared" si="71"/>
        <v>0</v>
      </c>
      <c r="AP171" s="166">
        <f t="shared" si="71"/>
        <v>0</v>
      </c>
      <c r="AQ171" s="166">
        <f t="shared" si="71"/>
        <v>0</v>
      </c>
      <c r="AR171" s="166">
        <f t="shared" si="71"/>
        <v>0</v>
      </c>
      <c r="AS171" s="166">
        <f t="shared" si="71"/>
        <v>0</v>
      </c>
      <c r="AT171" s="166">
        <f t="shared" si="71"/>
        <v>0</v>
      </c>
      <c r="AU171" s="166">
        <f t="shared" si="71"/>
        <v>0</v>
      </c>
      <c r="AV171" s="165">
        <f t="shared" si="71"/>
        <v>0</v>
      </c>
      <c r="AW171" s="166">
        <f t="shared" si="71"/>
        <v>0</v>
      </c>
      <c r="AX171" s="166">
        <f t="shared" si="71"/>
        <v>0</v>
      </c>
      <c r="AY171" s="166">
        <f t="shared" si="71"/>
        <v>0</v>
      </c>
      <c r="AZ171" s="166">
        <f t="shared" si="71"/>
        <v>0</v>
      </c>
      <c r="BA171" s="166">
        <f t="shared" si="71"/>
        <v>0</v>
      </c>
      <c r="BB171" s="165">
        <f t="shared" si="71"/>
        <v>0</v>
      </c>
      <c r="BC171" s="166">
        <f t="shared" si="71"/>
        <v>0</v>
      </c>
      <c r="BD171" s="166">
        <f t="shared" si="71"/>
        <v>0</v>
      </c>
      <c r="BE171" s="166">
        <f t="shared" si="71"/>
        <v>0</v>
      </c>
      <c r="BF171" s="166">
        <f t="shared" si="71"/>
        <v>0</v>
      </c>
      <c r="BG171" s="166">
        <f t="shared" si="71"/>
        <v>0</v>
      </c>
      <c r="BH171" s="166">
        <f t="shared" si="71"/>
        <v>0</v>
      </c>
      <c r="BI171" s="166">
        <f t="shared" si="71"/>
        <v>0</v>
      </c>
      <c r="BJ171" s="166">
        <f t="shared" si="71"/>
        <v>0</v>
      </c>
      <c r="BK171" s="166">
        <f t="shared" si="71"/>
        <v>0</v>
      </c>
      <c r="BL171" s="166">
        <f t="shared" si="71"/>
        <v>0</v>
      </c>
      <c r="BM171" s="166">
        <f t="shared" si="71"/>
        <v>0</v>
      </c>
      <c r="BN171" s="166">
        <f t="shared" si="71"/>
        <v>0</v>
      </c>
      <c r="BO171" s="166">
        <f t="shared" si="71"/>
        <v>0</v>
      </c>
      <c r="BP171" s="166">
        <f t="shared" si="71"/>
        <v>0</v>
      </c>
      <c r="BQ171" s="166">
        <f t="shared" si="71"/>
        <v>0</v>
      </c>
      <c r="BR171" s="166">
        <f t="shared" si="71"/>
        <v>0</v>
      </c>
      <c r="BS171" s="166">
        <f t="shared" si="71"/>
        <v>0</v>
      </c>
      <c r="BT171" s="166">
        <f t="shared" si="71"/>
        <v>0</v>
      </c>
      <c r="BU171" s="166">
        <f t="shared" si="71"/>
        <v>0</v>
      </c>
      <c r="BV171" s="166">
        <f t="shared" si="71"/>
        <v>0</v>
      </c>
      <c r="BW171" s="166">
        <f t="shared" si="71"/>
        <v>0</v>
      </c>
      <c r="BX171" s="166">
        <f t="shared" si="71"/>
        <v>0</v>
      </c>
      <c r="BY171" s="166"/>
    </row>
    <row r="172" ht="14.25" customHeight="1">
      <c r="A172" s="1"/>
      <c r="B172" s="2"/>
      <c r="C172" s="3"/>
      <c r="D172" s="3"/>
      <c r="E172" s="3"/>
      <c r="F172" s="3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3"/>
      <c r="T172" s="3"/>
      <c r="U172" s="3"/>
      <c r="V172" s="3"/>
      <c r="W172" s="3"/>
      <c r="X172" s="873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/>
      <c r="AQ172" s="3"/>
      <c r="AR172" s="3"/>
      <c r="AS172" s="3"/>
      <c r="AT172" s="3"/>
      <c r="AU172" s="4"/>
      <c r="AV172" s="132"/>
      <c r="AW172" s="132"/>
      <c r="AX172" s="380"/>
      <c r="AY172" s="1"/>
      <c r="AZ172" s="1"/>
      <c r="BA172" s="3"/>
      <c r="BB172" s="132"/>
      <c r="BC172" s="132"/>
      <c r="BD172" s="132"/>
      <c r="BE172" s="132"/>
      <c r="BF172" s="132"/>
      <c r="BG172" s="4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ht="14.25" customHeight="1">
      <c r="A173" s="1"/>
      <c r="B173" s="2"/>
      <c r="C173" s="3"/>
      <c r="D173" s="3"/>
      <c r="E173" s="3"/>
      <c r="F173" s="3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3"/>
      <c r="T173" s="3"/>
      <c r="U173" s="3"/>
      <c r="V173" s="3"/>
      <c r="W173" s="3"/>
      <c r="X173" s="873"/>
      <c r="Y173" s="1"/>
      <c r="Z173" s="1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4"/>
      <c r="AQ173" s="3"/>
      <c r="AR173" s="3"/>
      <c r="AS173" s="3"/>
      <c r="AT173" s="3"/>
      <c r="AU173" s="4"/>
      <c r="AV173" s="4"/>
      <c r="AW173" s="4"/>
      <c r="AX173" s="790"/>
      <c r="AY173" s="790"/>
      <c r="AZ173" s="790"/>
      <c r="BA173" s="4"/>
      <c r="BB173" s="4"/>
      <c r="BC173" s="4"/>
      <c r="BD173" s="4"/>
      <c r="BE173" s="4"/>
      <c r="BF173" s="132"/>
      <c r="BG173" s="4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ht="14.25" customHeight="1">
      <c r="A174" s="3"/>
      <c r="B174" s="215">
        <v>46174</v>
      </c>
      <c r="C174" s="94"/>
      <c r="D174" s="104"/>
      <c r="E174" s="97"/>
      <c r="F174" s="97"/>
      <c r="G174" s="265">
        <f ref="G174:G192" t="shared" si="72">+C174+D174+E174+F174</f>
        <v>0</v>
      </c>
      <c r="H174" s="778"/>
      <c r="I174" s="778"/>
      <c r="J174" s="619"/>
      <c r="K174" s="619"/>
      <c r="L174" s="638"/>
      <c r="M174" s="638"/>
      <c r="N174" s="619"/>
      <c r="O174" s="619"/>
      <c r="P174" s="619"/>
      <c r="Q174" s="619"/>
      <c r="R174" s="619"/>
      <c r="S174" s="186"/>
      <c r="T174" s="186"/>
      <c r="U174" s="186"/>
      <c r="V174" s="186"/>
      <c r="W174" s="186"/>
      <c r="X174" s="1272">
        <f ref="X174:X203" t="shared" si="73">SUM(H174:W174)</f>
        <v>0</v>
      </c>
      <c r="Y174" s="619"/>
      <c r="Z174" s="619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9">
        <f ref="AL174:AL203" t="shared" si="74">SUM(Y174:AK174)</f>
        <v>0</v>
      </c>
      <c r="AM174" s="104"/>
      <c r="AN174" s="104"/>
      <c r="AO174" s="104"/>
      <c r="AP174" s="191">
        <f ref="AP174:AP203" t="shared" si="75">SUM(AM174:AO174)</f>
        <v>0</v>
      </c>
      <c r="AQ174" s="186"/>
      <c r="AR174" s="186"/>
      <c r="AS174" s="186"/>
      <c r="AT174" s="193"/>
      <c r="AU174" s="219">
        <f ref="AU174:AU203" t="shared" si="76">+G174-X174-AL174-AP174-AQ174-AR174-AS174-AT174</f>
        <v>0</v>
      </c>
      <c r="AV174" s="109"/>
      <c r="AW174" s="269"/>
      <c r="AX174" s="427"/>
      <c r="AY174" s="427"/>
      <c r="AZ174" s="427"/>
      <c r="BA174" s="270"/>
      <c r="BB174" s="109"/>
      <c r="BC174" s="269"/>
      <c r="BD174" s="269"/>
      <c r="BE174" s="269"/>
      <c r="BF174" s="109"/>
      <c r="BG174" s="272">
        <f ref="BG174:BG203" t="shared" si="77">SUM(AV174:BF174)-BE174</f>
        <v>0</v>
      </c>
      <c r="BH174" s="1307">
        <f ref="BH174:BH203" t="shared" si="78">+AU174-BG174</f>
        <v>0</v>
      </c>
      <c r="BI174" s="3"/>
      <c r="BJ174" s="114">
        <f ref="BJ174:BJ203" t="shared" si="79">SUM(BK174:BW174)</f>
        <v>0</v>
      </c>
      <c r="BK174" s="220"/>
      <c r="BL174" s="220"/>
      <c r="BM174" s="220"/>
      <c r="BN174" s="220"/>
      <c r="BO174" s="220"/>
      <c r="BP174" s="220"/>
      <c r="BQ174" s="220"/>
      <c r="BR174" s="220"/>
      <c r="BS174" s="220"/>
      <c r="BT174" s="220"/>
      <c r="BU174" s="220"/>
      <c r="BV174" s="109"/>
      <c r="BW174" s="220"/>
      <c r="BX174" s="116">
        <f ref="BX174:BX203" t="shared" si="80">+BH174-BJ174</f>
        <v>0</v>
      </c>
      <c r="BY174" s="3"/>
    </row>
    <row r="175" ht="14.25" customHeight="1">
      <c r="A175" s="3"/>
      <c r="B175" s="215">
        <v>46175</v>
      </c>
      <c r="C175" s="118"/>
      <c r="D175" s="123"/>
      <c r="E175" s="120"/>
      <c r="F175" s="120"/>
      <c r="G175" s="147">
        <f t="shared" si="72"/>
        <v>0</v>
      </c>
      <c r="H175" s="611"/>
      <c r="I175" s="611"/>
      <c r="J175" s="611"/>
      <c r="K175" s="611"/>
      <c r="L175" s="641"/>
      <c r="M175" s="641"/>
      <c r="N175" s="1308"/>
      <c r="O175" s="611"/>
      <c r="P175" s="611"/>
      <c r="Q175" s="611"/>
      <c r="R175" s="611"/>
      <c r="S175" s="143"/>
      <c r="T175" s="143"/>
      <c r="U175" s="143"/>
      <c r="V175" s="143"/>
      <c r="W175" s="143"/>
      <c r="X175" s="1248">
        <f t="shared" si="73"/>
        <v>0</v>
      </c>
      <c r="Y175" s="611"/>
      <c r="Z175" s="611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03">
        <f t="shared" si="74"/>
        <v>0</v>
      </c>
      <c r="AM175" s="123"/>
      <c r="AN175" s="123"/>
      <c r="AO175" s="123"/>
      <c r="AP175" s="105">
        <f t="shared" si="75"/>
        <v>0</v>
      </c>
      <c r="AQ175" s="143"/>
      <c r="AR175" s="143"/>
      <c r="AS175" s="143"/>
      <c r="AT175" s="146"/>
      <c r="AU175" s="224">
        <f t="shared" si="76"/>
        <v>0</v>
      </c>
      <c r="AV175" s="126"/>
      <c r="AW175" s="274"/>
      <c r="AX175" s="1133"/>
      <c r="AY175" s="433"/>
      <c r="AZ175" s="433"/>
      <c r="BA175" s="275"/>
      <c r="BB175" s="126"/>
      <c r="BC175" s="274"/>
      <c r="BD175" s="274"/>
      <c r="BE175" s="274"/>
      <c r="BF175" s="274"/>
      <c r="BG175" s="222">
        <f t="shared" si="77"/>
        <v>0</v>
      </c>
      <c r="BH175" s="113">
        <f t="shared" si="78"/>
        <v>0</v>
      </c>
      <c r="BI175" s="3"/>
      <c r="BJ175" s="113">
        <f t="shared" si="79"/>
        <v>0</v>
      </c>
      <c r="BK175" s="225"/>
      <c r="BL175" s="225"/>
      <c r="BM175" s="225"/>
      <c r="BN175" s="225"/>
      <c r="BO175" s="225"/>
      <c r="BP175" s="225"/>
      <c r="BQ175" s="225"/>
      <c r="BR175" s="225"/>
      <c r="BS175" s="225"/>
      <c r="BT175" s="225"/>
      <c r="BU175" s="225"/>
      <c r="BV175" s="225"/>
      <c r="BW175" s="225"/>
      <c r="BX175" s="130">
        <f t="shared" si="80"/>
        <v>0</v>
      </c>
      <c r="BY175" s="3"/>
    </row>
    <row r="176" ht="14.25" customHeight="1">
      <c r="A176" s="3"/>
      <c r="B176" s="215">
        <v>46176</v>
      </c>
      <c r="C176" s="118"/>
      <c r="D176" s="123"/>
      <c r="E176" s="120"/>
      <c r="F176" s="120"/>
      <c r="G176" s="147">
        <f t="shared" si="72"/>
        <v>0</v>
      </c>
      <c r="H176" s="768"/>
      <c r="I176" s="768"/>
      <c r="J176" s="611"/>
      <c r="K176" s="611"/>
      <c r="L176" s="641"/>
      <c r="M176" s="641"/>
      <c r="N176" s="1308"/>
      <c r="O176" s="611"/>
      <c r="P176" s="611"/>
      <c r="Q176" s="611"/>
      <c r="R176" s="611"/>
      <c r="S176" s="143"/>
      <c r="T176" s="143"/>
      <c r="U176" s="143"/>
      <c r="V176" s="143"/>
      <c r="W176" s="143"/>
      <c r="X176" s="1248">
        <f t="shared" si="73"/>
        <v>0</v>
      </c>
      <c r="Y176" s="611"/>
      <c r="Z176" s="611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03">
        <f t="shared" si="74"/>
        <v>0</v>
      </c>
      <c r="AM176" s="123"/>
      <c r="AN176" s="123"/>
      <c r="AO176" s="123"/>
      <c r="AP176" s="105">
        <f t="shared" si="75"/>
        <v>0</v>
      </c>
      <c r="AQ176" s="143"/>
      <c r="AR176" s="143"/>
      <c r="AS176" s="143"/>
      <c r="AT176" s="146"/>
      <c r="AU176" s="224">
        <f t="shared" si="76"/>
        <v>0</v>
      </c>
      <c r="AV176" s="126"/>
      <c r="AW176" s="127"/>
      <c r="AX176" s="1309"/>
      <c r="AY176" s="1133"/>
      <c r="AZ176" s="433"/>
      <c r="BA176" s="275"/>
      <c r="BB176" s="126"/>
      <c r="BC176" s="274"/>
      <c r="BD176" s="274"/>
      <c r="BE176" s="274"/>
      <c r="BF176" s="274"/>
      <c r="BG176" s="222">
        <f t="shared" si="77"/>
        <v>0</v>
      </c>
      <c r="BH176" s="113">
        <f t="shared" si="78"/>
        <v>0</v>
      </c>
      <c r="BI176" s="3"/>
      <c r="BJ176" s="113">
        <f t="shared" si="79"/>
        <v>0</v>
      </c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225"/>
      <c r="BU176" s="225"/>
      <c r="BV176" s="225"/>
      <c r="BW176" s="225"/>
      <c r="BX176" s="130">
        <f t="shared" si="80"/>
        <v>0</v>
      </c>
      <c r="BY176" s="3"/>
    </row>
    <row r="177" ht="14.25" customHeight="1">
      <c r="A177" s="3"/>
      <c r="B177" s="215">
        <v>46177</v>
      </c>
      <c r="C177" s="118"/>
      <c r="D177" s="123"/>
      <c r="E177" s="120"/>
      <c r="F177" s="120"/>
      <c r="G177" s="147">
        <f t="shared" si="72"/>
        <v>0</v>
      </c>
      <c r="H177" s="611"/>
      <c r="I177" s="611"/>
      <c r="J177" s="611"/>
      <c r="K177" s="611"/>
      <c r="L177" s="641"/>
      <c r="M177" s="641"/>
      <c r="N177" s="1308"/>
      <c r="O177" s="1310"/>
      <c r="P177" s="1310"/>
      <c r="Q177" s="611"/>
      <c r="R177" s="611"/>
      <c r="S177" s="143"/>
      <c r="T177" s="143"/>
      <c r="U177" s="143"/>
      <c r="V177" s="143"/>
      <c r="W177" s="143"/>
      <c r="X177" s="1248">
        <f t="shared" si="73"/>
        <v>0</v>
      </c>
      <c r="Y177" s="611"/>
      <c r="Z177" s="611"/>
      <c r="AA177" s="143"/>
      <c r="AB177" s="143"/>
      <c r="AC177" s="143"/>
      <c r="AD177" s="143"/>
      <c r="AE177" s="143"/>
      <c r="AF177" s="143"/>
      <c r="AG177" s="143"/>
      <c r="AH177" s="143"/>
      <c r="AI177" s="143"/>
      <c r="AJ177" s="143"/>
      <c r="AK177" s="143"/>
      <c r="AL177" s="103">
        <f t="shared" si="74"/>
        <v>0</v>
      </c>
      <c r="AM177" s="123"/>
      <c r="AN177" s="123"/>
      <c r="AO177" s="123"/>
      <c r="AP177" s="105">
        <f t="shared" si="75"/>
        <v>0</v>
      </c>
      <c r="AQ177" s="143"/>
      <c r="AR177" s="143"/>
      <c r="AS177" s="143"/>
      <c r="AT177" s="146"/>
      <c r="AU177" s="224">
        <f t="shared" si="76"/>
        <v>0</v>
      </c>
      <c r="AV177" s="126"/>
      <c r="AW177" s="274"/>
      <c r="AX177" s="1133"/>
      <c r="AY177" s="433"/>
      <c r="AZ177" s="433"/>
      <c r="BA177" s="275"/>
      <c r="BB177" s="126"/>
      <c r="BC177" s="274"/>
      <c r="BD177" s="274"/>
      <c r="BE177" s="274"/>
      <c r="BF177" s="274"/>
      <c r="BG177" s="222">
        <f t="shared" si="77"/>
        <v>0</v>
      </c>
      <c r="BH177" s="113">
        <f t="shared" si="78"/>
        <v>0</v>
      </c>
      <c r="BI177" s="3"/>
      <c r="BJ177" s="113">
        <f t="shared" si="79"/>
        <v>0</v>
      </c>
      <c r="BK177" s="225"/>
      <c r="BL177" s="225"/>
      <c r="BM177" s="225"/>
      <c r="BN177" s="225"/>
      <c r="BO177" s="225"/>
      <c r="BP177" s="225"/>
      <c r="BQ177" s="225"/>
      <c r="BR177" s="225"/>
      <c r="BS177" s="225"/>
      <c r="BT177" s="225"/>
      <c r="BU177" s="225"/>
      <c r="BV177" s="225"/>
      <c r="BW177" s="225"/>
      <c r="BX177" s="130">
        <f t="shared" si="80"/>
        <v>0</v>
      </c>
      <c r="BY177" s="3"/>
    </row>
    <row r="178" ht="14.25" customHeight="1">
      <c r="A178" s="3"/>
      <c r="B178" s="215">
        <v>46178</v>
      </c>
      <c r="C178" s="118"/>
      <c r="D178" s="123"/>
      <c r="E178" s="120"/>
      <c r="F178" s="120"/>
      <c r="G178" s="147">
        <f t="shared" si="72"/>
        <v>0</v>
      </c>
      <c r="H178" s="768"/>
      <c r="I178" s="768"/>
      <c r="J178" s="611"/>
      <c r="K178" s="611"/>
      <c r="L178" s="641"/>
      <c r="M178" s="641"/>
      <c r="N178" s="611"/>
      <c r="O178" s="1310"/>
      <c r="P178" s="1310"/>
      <c r="Q178" s="611"/>
      <c r="R178" s="611"/>
      <c r="S178" s="143"/>
      <c r="T178" s="143"/>
      <c r="U178" s="143"/>
      <c r="V178" s="143"/>
      <c r="W178" s="143"/>
      <c r="X178" s="1248">
        <f t="shared" si="73"/>
        <v>0</v>
      </c>
      <c r="Y178" s="611"/>
      <c r="Z178" s="611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03">
        <f t="shared" si="74"/>
        <v>0</v>
      </c>
      <c r="AM178" s="123"/>
      <c r="AN178" s="123"/>
      <c r="AO178" s="123"/>
      <c r="AP178" s="105">
        <f t="shared" si="75"/>
        <v>0</v>
      </c>
      <c r="AQ178" s="143"/>
      <c r="AR178" s="143"/>
      <c r="AS178" s="143"/>
      <c r="AT178" s="146"/>
      <c r="AU178" s="224">
        <f t="shared" si="76"/>
        <v>0</v>
      </c>
      <c r="AV178" s="126"/>
      <c r="AW178" s="274"/>
      <c r="AX178" s="1133"/>
      <c r="AY178" s="433"/>
      <c r="AZ178" s="433"/>
      <c r="BA178" s="275"/>
      <c r="BB178" s="126"/>
      <c r="BC178" s="274"/>
      <c r="BD178" s="274"/>
      <c r="BE178" s="274"/>
      <c r="BF178" s="274"/>
      <c r="BG178" s="222">
        <f t="shared" si="77"/>
        <v>0</v>
      </c>
      <c r="BH178" s="113">
        <f t="shared" si="78"/>
        <v>0</v>
      </c>
      <c r="BI178" s="3"/>
      <c r="BJ178" s="113">
        <f t="shared" si="79"/>
        <v>0</v>
      </c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225"/>
      <c r="BU178" s="225"/>
      <c r="BV178" s="225"/>
      <c r="BW178" s="225"/>
      <c r="BX178" s="130">
        <f t="shared" si="80"/>
        <v>0</v>
      </c>
      <c r="BY178" s="3"/>
    </row>
    <row r="179" ht="14.25" customHeight="1">
      <c r="A179" s="3"/>
      <c r="B179" s="215">
        <v>46179</v>
      </c>
      <c r="C179" s="118"/>
      <c r="D179" s="123"/>
      <c r="E179" s="120"/>
      <c r="F179" s="120"/>
      <c r="G179" s="147">
        <f t="shared" si="72"/>
        <v>0</v>
      </c>
      <c r="H179" s="768"/>
      <c r="I179" s="768"/>
      <c r="J179" s="611"/>
      <c r="K179" s="611"/>
      <c r="L179" s="611"/>
      <c r="M179" s="611"/>
      <c r="N179" s="611"/>
      <c r="O179" s="611"/>
      <c r="P179" s="611"/>
      <c r="Q179" s="611"/>
      <c r="R179" s="611"/>
      <c r="S179" s="143"/>
      <c r="T179" s="143"/>
      <c r="U179" s="143"/>
      <c r="V179" s="143"/>
      <c r="W179" s="143"/>
      <c r="X179" s="1248">
        <f t="shared" si="73"/>
        <v>0</v>
      </c>
      <c r="Y179" s="611"/>
      <c r="Z179" s="611"/>
      <c r="AA179" s="143"/>
      <c r="AB179" s="143"/>
      <c r="AC179" s="143"/>
      <c r="AD179" s="143"/>
      <c r="AE179" s="143"/>
      <c r="AF179" s="143"/>
      <c r="AG179" s="143"/>
      <c r="AH179" s="143"/>
      <c r="AI179" s="143"/>
      <c r="AJ179" s="143"/>
      <c r="AK179" s="143"/>
      <c r="AL179" s="103">
        <f t="shared" si="74"/>
        <v>0</v>
      </c>
      <c r="AM179" s="123"/>
      <c r="AN179" s="123"/>
      <c r="AO179" s="123"/>
      <c r="AP179" s="105">
        <f t="shared" si="75"/>
        <v>0</v>
      </c>
      <c r="AQ179" s="143"/>
      <c r="AR179" s="143"/>
      <c r="AS179" s="143"/>
      <c r="AT179" s="146"/>
      <c r="AU179" s="224">
        <f t="shared" si="76"/>
        <v>0</v>
      </c>
      <c r="AV179" s="126"/>
      <c r="AW179" s="274"/>
      <c r="AX179" s="1133"/>
      <c r="AY179" s="433"/>
      <c r="AZ179" s="433"/>
      <c r="BA179" s="275"/>
      <c r="BB179" s="126"/>
      <c r="BC179" s="274"/>
      <c r="BD179" s="274"/>
      <c r="BE179" s="274"/>
      <c r="BF179" s="274"/>
      <c r="BG179" s="222">
        <f t="shared" si="77"/>
        <v>0</v>
      </c>
      <c r="BH179" s="113">
        <f t="shared" si="78"/>
        <v>0</v>
      </c>
      <c r="BI179" s="3"/>
      <c r="BJ179" s="113">
        <f t="shared" si="79"/>
        <v>0</v>
      </c>
      <c r="BK179" s="225"/>
      <c r="BL179" s="225"/>
      <c r="BM179" s="225"/>
      <c r="BN179" s="225"/>
      <c r="BO179" s="225"/>
      <c r="BP179" s="225"/>
      <c r="BQ179" s="225"/>
      <c r="BR179" s="225"/>
      <c r="BS179" s="225"/>
      <c r="BT179" s="225"/>
      <c r="BU179" s="225"/>
      <c r="BV179" s="225"/>
      <c r="BW179" s="225"/>
      <c r="BX179" s="130">
        <f t="shared" si="80"/>
        <v>0</v>
      </c>
      <c r="BY179" s="3"/>
    </row>
    <row r="180" ht="14.25" customHeight="1">
      <c r="A180" s="132"/>
      <c r="B180" s="215">
        <v>46180</v>
      </c>
      <c r="C180" s="133"/>
      <c r="D180" s="136"/>
      <c r="E180" s="135"/>
      <c r="F180" s="135"/>
      <c r="G180" s="147">
        <f t="shared" si="72"/>
        <v>0</v>
      </c>
      <c r="H180" s="768"/>
      <c r="I180" s="768"/>
      <c r="J180" s="611"/>
      <c r="K180" s="611"/>
      <c r="L180" s="611"/>
      <c r="M180" s="611"/>
      <c r="N180" s="611"/>
      <c r="O180" s="611"/>
      <c r="P180" s="611"/>
      <c r="Q180" s="611"/>
      <c r="R180" s="611"/>
      <c r="S180" s="143"/>
      <c r="T180" s="143"/>
      <c r="U180" s="143"/>
      <c r="V180" s="143"/>
      <c r="W180" s="143"/>
      <c r="X180" s="1248">
        <f t="shared" si="73"/>
        <v>0</v>
      </c>
      <c r="Y180" s="611"/>
      <c r="Z180" s="611"/>
      <c r="AA180" s="143"/>
      <c r="AB180" s="143"/>
      <c r="AC180" s="143"/>
      <c r="AD180" s="143"/>
      <c r="AE180" s="143"/>
      <c r="AF180" s="143"/>
      <c r="AG180" s="143"/>
      <c r="AH180" s="143"/>
      <c r="AI180" s="143"/>
      <c r="AJ180" s="143"/>
      <c r="AK180" s="143"/>
      <c r="AL180" s="103">
        <f t="shared" si="74"/>
        <v>0</v>
      </c>
      <c r="AM180" s="136"/>
      <c r="AN180" s="136"/>
      <c r="AO180" s="136"/>
      <c r="AP180" s="105">
        <f t="shared" si="75"/>
        <v>0</v>
      </c>
      <c r="AQ180" s="143"/>
      <c r="AR180" s="143"/>
      <c r="AS180" s="143"/>
      <c r="AT180" s="146"/>
      <c r="AU180" s="224">
        <f t="shared" si="76"/>
        <v>0</v>
      </c>
      <c r="AV180" s="126"/>
      <c r="AW180" s="274"/>
      <c r="AX180" s="1133"/>
      <c r="AY180" s="433"/>
      <c r="AZ180" s="433"/>
      <c r="BA180" s="275"/>
      <c r="BB180" s="126"/>
      <c r="BC180" s="274"/>
      <c r="BD180" s="274"/>
      <c r="BE180" s="274"/>
      <c r="BF180" s="274"/>
      <c r="BG180" s="222">
        <f t="shared" si="77"/>
        <v>0</v>
      </c>
      <c r="BH180" s="140">
        <f t="shared" si="78"/>
        <v>0</v>
      </c>
      <c r="BI180" s="132"/>
      <c r="BJ180" s="140">
        <f t="shared" si="79"/>
        <v>0</v>
      </c>
      <c r="BK180" s="126"/>
      <c r="BL180" s="126"/>
      <c r="BM180" s="126"/>
      <c r="BN180" s="126"/>
      <c r="BO180" s="126"/>
      <c r="BP180" s="126"/>
      <c r="BQ180" s="126"/>
      <c r="BR180" s="126"/>
      <c r="BS180" s="126"/>
      <c r="BT180" s="126"/>
      <c r="BU180" s="126"/>
      <c r="BV180" s="126"/>
      <c r="BW180" s="126"/>
      <c r="BX180" s="130">
        <f t="shared" si="80"/>
        <v>0</v>
      </c>
      <c r="BY180" s="132"/>
    </row>
    <row r="181" ht="14.25" customHeight="1">
      <c r="A181" s="132"/>
      <c r="B181" s="215">
        <v>46181</v>
      </c>
      <c r="C181" s="133"/>
      <c r="D181" s="136"/>
      <c r="E181" s="135"/>
      <c r="F181" s="135"/>
      <c r="G181" s="147">
        <f t="shared" si="72"/>
        <v>0</v>
      </c>
      <c r="H181" s="768"/>
      <c r="I181" s="768"/>
      <c r="J181" s="611"/>
      <c r="K181" s="611"/>
      <c r="L181" s="611"/>
      <c r="M181" s="611"/>
      <c r="N181" s="611"/>
      <c r="O181" s="611"/>
      <c r="P181" s="611"/>
      <c r="Q181" s="611"/>
      <c r="R181" s="611"/>
      <c r="S181" s="143"/>
      <c r="T181" s="143"/>
      <c r="U181" s="143"/>
      <c r="V181" s="143"/>
      <c r="W181" s="143"/>
      <c r="X181" s="1248">
        <f t="shared" si="73"/>
        <v>0</v>
      </c>
      <c r="Y181" s="611"/>
      <c r="Z181" s="611"/>
      <c r="AA181" s="143"/>
      <c r="AB181" s="143"/>
      <c r="AC181" s="143"/>
      <c r="AD181" s="143"/>
      <c r="AE181" s="143"/>
      <c r="AF181" s="143"/>
      <c r="AG181" s="143"/>
      <c r="AH181" s="143"/>
      <c r="AI181" s="143"/>
      <c r="AJ181" s="143"/>
      <c r="AK181" s="143"/>
      <c r="AL181" s="103">
        <f t="shared" si="74"/>
        <v>0</v>
      </c>
      <c r="AM181" s="136"/>
      <c r="AN181" s="136"/>
      <c r="AO181" s="136"/>
      <c r="AP181" s="105">
        <f t="shared" si="75"/>
        <v>0</v>
      </c>
      <c r="AQ181" s="143"/>
      <c r="AR181" s="143"/>
      <c r="AS181" s="143"/>
      <c r="AT181" s="146"/>
      <c r="AU181" s="224">
        <f t="shared" si="76"/>
        <v>0</v>
      </c>
      <c r="AV181" s="126"/>
      <c r="AW181" s="274"/>
      <c r="AX181" s="1133"/>
      <c r="AY181" s="433"/>
      <c r="AZ181" s="433"/>
      <c r="BA181" s="275"/>
      <c r="BB181" s="126"/>
      <c r="BC181" s="274"/>
      <c r="BD181" s="274"/>
      <c r="BE181" s="274"/>
      <c r="BF181" s="274"/>
      <c r="BG181" s="222">
        <f t="shared" si="77"/>
        <v>0</v>
      </c>
      <c r="BH181" s="140">
        <f t="shared" si="78"/>
        <v>0</v>
      </c>
      <c r="BI181" s="132"/>
      <c r="BJ181" s="140">
        <f t="shared" si="79"/>
        <v>0</v>
      </c>
      <c r="BK181" s="126"/>
      <c r="BL181" s="126"/>
      <c r="BM181" s="126"/>
      <c r="BN181" s="126"/>
      <c r="BO181" s="126"/>
      <c r="BP181" s="126"/>
      <c r="BQ181" s="126"/>
      <c r="BR181" s="126"/>
      <c r="BS181" s="126"/>
      <c r="BT181" s="126"/>
      <c r="BU181" s="126"/>
      <c r="BV181" s="126"/>
      <c r="BW181" s="126"/>
      <c r="BX181" s="130">
        <f t="shared" si="80"/>
        <v>0</v>
      </c>
      <c r="BY181" s="132"/>
    </row>
    <row r="182" ht="14.25" customHeight="1">
      <c r="A182" s="132"/>
      <c r="B182" s="215">
        <v>46182</v>
      </c>
      <c r="C182" s="133"/>
      <c r="D182" s="136"/>
      <c r="E182" s="135"/>
      <c r="F182" s="135"/>
      <c r="G182" s="147">
        <f t="shared" si="72"/>
        <v>0</v>
      </c>
      <c r="H182" s="768"/>
      <c r="I182" s="768"/>
      <c r="J182" s="611"/>
      <c r="K182" s="611"/>
      <c r="L182" s="611"/>
      <c r="M182" s="611"/>
      <c r="N182" s="611"/>
      <c r="O182" s="611"/>
      <c r="P182" s="611"/>
      <c r="Q182" s="611"/>
      <c r="R182" s="611"/>
      <c r="S182" s="143"/>
      <c r="T182" s="143"/>
      <c r="U182" s="143"/>
      <c r="V182" s="143"/>
      <c r="W182" s="143"/>
      <c r="X182" s="1248">
        <f t="shared" si="73"/>
        <v>0</v>
      </c>
      <c r="Y182" s="611"/>
      <c r="Z182" s="611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03">
        <f t="shared" si="74"/>
        <v>0</v>
      </c>
      <c r="AM182" s="136"/>
      <c r="AN182" s="136"/>
      <c r="AO182" s="136"/>
      <c r="AP182" s="105">
        <f t="shared" si="75"/>
        <v>0</v>
      </c>
      <c r="AQ182" s="143"/>
      <c r="AR182" s="143"/>
      <c r="AS182" s="143"/>
      <c r="AT182" s="146"/>
      <c r="AU182" s="224">
        <f t="shared" si="76"/>
        <v>0</v>
      </c>
      <c r="AV182" s="126"/>
      <c r="AW182" s="274"/>
      <c r="AX182" s="1133"/>
      <c r="AY182" s="433"/>
      <c r="AZ182" s="433"/>
      <c r="BA182" s="275"/>
      <c r="BB182" s="126"/>
      <c r="BC182" s="274"/>
      <c r="BD182" s="274"/>
      <c r="BE182" s="274"/>
      <c r="BF182" s="274"/>
      <c r="BG182" s="222">
        <f t="shared" si="77"/>
        <v>0</v>
      </c>
      <c r="BH182" s="140">
        <f t="shared" si="78"/>
        <v>0</v>
      </c>
      <c r="BI182" s="132"/>
      <c r="BJ182" s="140">
        <f t="shared" si="79"/>
        <v>0</v>
      </c>
      <c r="BK182" s="126"/>
      <c r="BL182" s="126"/>
      <c r="BM182" s="126"/>
      <c r="BN182" s="126"/>
      <c r="BO182" s="126"/>
      <c r="BP182" s="126"/>
      <c r="BQ182" s="126"/>
      <c r="BR182" s="126"/>
      <c r="BS182" s="126"/>
      <c r="BT182" s="126"/>
      <c r="BU182" s="225"/>
      <c r="BV182" s="126"/>
      <c r="BW182" s="126"/>
      <c r="BX182" s="130">
        <f t="shared" si="80"/>
        <v>0</v>
      </c>
      <c r="BY182" s="132"/>
    </row>
    <row r="183" ht="14.25" customHeight="1">
      <c r="A183" s="132"/>
      <c r="B183" s="215">
        <v>46183</v>
      </c>
      <c r="C183" s="133"/>
      <c r="D183" s="136"/>
      <c r="E183" s="135"/>
      <c r="F183" s="135"/>
      <c r="G183" s="147">
        <f t="shared" si="72"/>
        <v>0</v>
      </c>
      <c r="H183" s="768"/>
      <c r="I183" s="768"/>
      <c r="J183" s="611"/>
      <c r="K183" s="611"/>
      <c r="L183" s="611"/>
      <c r="M183" s="611"/>
      <c r="N183" s="611"/>
      <c r="O183" s="611"/>
      <c r="P183" s="611"/>
      <c r="Q183" s="611"/>
      <c r="R183" s="611"/>
      <c r="S183" s="143"/>
      <c r="T183" s="143"/>
      <c r="U183" s="143"/>
      <c r="V183" s="143"/>
      <c r="W183" s="143"/>
      <c r="X183" s="1248">
        <f t="shared" si="73"/>
        <v>0</v>
      </c>
      <c r="Y183" s="611"/>
      <c r="Z183" s="611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K183" s="143"/>
      <c r="AL183" s="103">
        <f t="shared" si="74"/>
        <v>0</v>
      </c>
      <c r="AM183" s="136"/>
      <c r="AN183" s="136"/>
      <c r="AO183" s="136"/>
      <c r="AP183" s="105">
        <f t="shared" si="75"/>
        <v>0</v>
      </c>
      <c r="AQ183" s="143"/>
      <c r="AR183" s="143"/>
      <c r="AS183" s="143"/>
      <c r="AT183" s="146"/>
      <c r="AU183" s="224">
        <f t="shared" si="76"/>
        <v>0</v>
      </c>
      <c r="AV183" s="126"/>
      <c r="AW183" s="274"/>
      <c r="AX183" s="433"/>
      <c r="AY183" s="433"/>
      <c r="AZ183" s="433"/>
      <c r="BA183" s="275"/>
      <c r="BB183" s="126"/>
      <c r="BC183" s="274"/>
      <c r="BD183" s="274"/>
      <c r="BE183" s="274"/>
      <c r="BF183" s="274"/>
      <c r="BG183" s="222">
        <f t="shared" si="77"/>
        <v>0</v>
      </c>
      <c r="BH183" s="140">
        <f t="shared" si="78"/>
        <v>0</v>
      </c>
      <c r="BI183" s="132"/>
      <c r="BJ183" s="140">
        <f t="shared" si="79"/>
        <v>0</v>
      </c>
      <c r="BK183" s="126"/>
      <c r="BL183" s="126"/>
      <c r="BM183" s="126"/>
      <c r="BN183" s="126"/>
      <c r="BO183" s="126"/>
      <c r="BP183" s="126"/>
      <c r="BQ183" s="126"/>
      <c r="BR183" s="126"/>
      <c r="BS183" s="126"/>
      <c r="BT183" s="126"/>
      <c r="BU183" s="126"/>
      <c r="BV183" s="126"/>
      <c r="BW183" s="126"/>
      <c r="BX183" s="130">
        <f t="shared" si="80"/>
        <v>0</v>
      </c>
      <c r="BY183" s="132"/>
    </row>
    <row r="184" ht="14.25" customHeight="1">
      <c r="A184" s="132"/>
      <c r="B184" s="215">
        <v>46184</v>
      </c>
      <c r="C184" s="133"/>
      <c r="D184" s="136"/>
      <c r="E184" s="135"/>
      <c r="F184" s="135"/>
      <c r="G184" s="147">
        <f t="shared" si="72"/>
        <v>0</v>
      </c>
      <c r="H184" s="768"/>
      <c r="I184" s="768"/>
      <c r="J184" s="611"/>
      <c r="K184" s="611"/>
      <c r="L184" s="611"/>
      <c r="M184" s="611"/>
      <c r="N184" s="611"/>
      <c r="O184" s="611"/>
      <c r="P184" s="611"/>
      <c r="Q184" s="611"/>
      <c r="R184" s="611"/>
      <c r="S184" s="143"/>
      <c r="T184" s="143"/>
      <c r="U184" s="143"/>
      <c r="V184" s="143"/>
      <c r="W184" s="143"/>
      <c r="X184" s="1248">
        <f t="shared" si="73"/>
        <v>0</v>
      </c>
      <c r="Y184" s="611"/>
      <c r="Z184" s="611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K184" s="143"/>
      <c r="AL184" s="103">
        <f t="shared" si="74"/>
        <v>0</v>
      </c>
      <c r="AM184" s="136"/>
      <c r="AN184" s="136"/>
      <c r="AO184" s="136"/>
      <c r="AP184" s="105">
        <f t="shared" si="75"/>
        <v>0</v>
      </c>
      <c r="AQ184" s="143"/>
      <c r="AR184" s="143"/>
      <c r="AS184" s="143"/>
      <c r="AT184" s="146"/>
      <c r="AU184" s="224">
        <f t="shared" si="76"/>
        <v>0</v>
      </c>
      <c r="AV184" s="126"/>
      <c r="AW184" s="274"/>
      <c r="AX184" s="433"/>
      <c r="AY184" s="433"/>
      <c r="AZ184" s="433"/>
      <c r="BA184" s="275"/>
      <c r="BB184" s="126"/>
      <c r="BC184" s="274"/>
      <c r="BD184" s="274"/>
      <c r="BE184" s="274"/>
      <c r="BF184" s="274"/>
      <c r="BG184" s="222">
        <f t="shared" si="77"/>
        <v>0</v>
      </c>
      <c r="BH184" s="140">
        <f t="shared" si="78"/>
        <v>0</v>
      </c>
      <c r="BI184" s="132"/>
      <c r="BJ184" s="140">
        <f t="shared" si="79"/>
        <v>0</v>
      </c>
      <c r="BK184" s="126"/>
      <c r="BL184" s="126"/>
      <c r="BM184" s="126"/>
      <c r="BN184" s="126"/>
      <c r="BO184" s="126"/>
      <c r="BP184" s="126"/>
      <c r="BQ184" s="126"/>
      <c r="BR184" s="126"/>
      <c r="BS184" s="126"/>
      <c r="BT184" s="126"/>
      <c r="BU184" s="126"/>
      <c r="BV184" s="126"/>
      <c r="BW184" s="126"/>
      <c r="BX184" s="130">
        <f t="shared" si="80"/>
        <v>0</v>
      </c>
      <c r="BY184" s="132"/>
    </row>
    <row r="185" ht="14.25" customHeight="1">
      <c r="A185" s="132"/>
      <c r="B185" s="215">
        <v>46185</v>
      </c>
      <c r="C185" s="133"/>
      <c r="D185" s="136"/>
      <c r="E185" s="135"/>
      <c r="F185" s="135"/>
      <c r="G185" s="147">
        <f t="shared" si="72"/>
        <v>0</v>
      </c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143"/>
      <c r="T185" s="143"/>
      <c r="U185" s="143"/>
      <c r="V185" s="143"/>
      <c r="W185" s="143"/>
      <c r="X185" s="1248">
        <f t="shared" si="73"/>
        <v>0</v>
      </c>
      <c r="Y185" s="611"/>
      <c r="Z185" s="611"/>
      <c r="AA185" s="99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03">
        <f t="shared" si="74"/>
        <v>0</v>
      </c>
      <c r="AM185" s="136"/>
      <c r="AN185" s="136"/>
      <c r="AO185" s="136"/>
      <c r="AP185" s="105">
        <f t="shared" si="75"/>
        <v>0</v>
      </c>
      <c r="AQ185" s="143"/>
      <c r="AR185" s="143"/>
      <c r="AS185" s="143"/>
      <c r="AT185" s="146"/>
      <c r="AU185" s="224">
        <f t="shared" si="76"/>
        <v>0</v>
      </c>
      <c r="AV185" s="126"/>
      <c r="AW185" s="274"/>
      <c r="AX185" s="433"/>
      <c r="AY185" s="433"/>
      <c r="AZ185" s="433"/>
      <c r="BA185" s="275"/>
      <c r="BB185" s="126"/>
      <c r="BC185" s="274"/>
      <c r="BD185" s="274"/>
      <c r="BE185" s="274"/>
      <c r="BF185" s="274"/>
      <c r="BG185" s="222">
        <f t="shared" si="77"/>
        <v>0</v>
      </c>
      <c r="BH185" s="140">
        <f t="shared" si="78"/>
        <v>0</v>
      </c>
      <c r="BI185" s="132"/>
      <c r="BJ185" s="140">
        <f t="shared" si="79"/>
        <v>0</v>
      </c>
      <c r="BK185" s="126"/>
      <c r="BL185" s="126"/>
      <c r="BM185" s="126"/>
      <c r="BN185" s="126"/>
      <c r="BO185" s="126"/>
      <c r="BP185" s="126"/>
      <c r="BQ185" s="126"/>
      <c r="BR185" s="126"/>
      <c r="BS185" s="126"/>
      <c r="BT185" s="126"/>
      <c r="BU185" s="225"/>
      <c r="BV185" s="126"/>
      <c r="BW185" s="126"/>
      <c r="BX185" s="130">
        <f t="shared" si="80"/>
        <v>0</v>
      </c>
      <c r="BY185" s="132"/>
    </row>
    <row r="186" ht="14.25" customHeight="1">
      <c r="A186" s="3"/>
      <c r="B186" s="215">
        <v>46186</v>
      </c>
      <c r="C186" s="118"/>
      <c r="D186" s="123"/>
      <c r="E186" s="120"/>
      <c r="F186" s="120"/>
      <c r="G186" s="147">
        <f t="shared" si="72"/>
        <v>0</v>
      </c>
      <c r="H186" s="768"/>
      <c r="I186" s="768"/>
      <c r="J186" s="611"/>
      <c r="K186" s="611"/>
      <c r="L186" s="611"/>
      <c r="M186" s="611"/>
      <c r="N186" s="611"/>
      <c r="O186" s="611"/>
      <c r="P186" s="611"/>
      <c r="Q186" s="611"/>
      <c r="R186" s="611"/>
      <c r="S186" s="143"/>
      <c r="T186" s="143"/>
      <c r="U186" s="143"/>
      <c r="V186" s="143"/>
      <c r="W186" s="143"/>
      <c r="X186" s="1248">
        <f t="shared" si="73"/>
        <v>0</v>
      </c>
      <c r="Y186" s="611"/>
      <c r="Z186" s="611"/>
      <c r="AA186" s="99"/>
      <c r="AB186" s="143"/>
      <c r="AC186" s="143"/>
      <c r="AD186" s="143"/>
      <c r="AE186" s="143"/>
      <c r="AF186" s="143"/>
      <c r="AG186" s="143"/>
      <c r="AH186" s="143"/>
      <c r="AI186" s="143"/>
      <c r="AJ186" s="143"/>
      <c r="AK186" s="143"/>
      <c r="AL186" s="103">
        <f t="shared" si="74"/>
        <v>0</v>
      </c>
      <c r="AM186" s="123"/>
      <c r="AN186" s="123"/>
      <c r="AO186" s="123"/>
      <c r="AP186" s="105">
        <f t="shared" si="75"/>
        <v>0</v>
      </c>
      <c r="AQ186" s="143"/>
      <c r="AR186" s="143"/>
      <c r="AS186" s="143"/>
      <c r="AT186" s="146"/>
      <c r="AU186" s="224">
        <f t="shared" si="76"/>
        <v>0</v>
      </c>
      <c r="AV186" s="126"/>
      <c r="AW186" s="274"/>
      <c r="AX186" s="433"/>
      <c r="AY186" s="433"/>
      <c r="AZ186" s="433"/>
      <c r="BA186" s="275"/>
      <c r="BB186" s="126"/>
      <c r="BC186" s="274"/>
      <c r="BD186" s="274"/>
      <c r="BE186" s="274"/>
      <c r="BF186" s="274"/>
      <c r="BG186" s="222">
        <f t="shared" si="77"/>
        <v>0</v>
      </c>
      <c r="BH186" s="113">
        <f t="shared" si="78"/>
        <v>0</v>
      </c>
      <c r="BI186" s="3"/>
      <c r="BJ186" s="113">
        <f t="shared" si="79"/>
        <v>0</v>
      </c>
      <c r="BK186" s="225"/>
      <c r="BL186" s="225"/>
      <c r="BM186" s="225"/>
      <c r="BN186" s="225"/>
      <c r="BO186" s="225"/>
      <c r="BP186" s="225"/>
      <c r="BQ186" s="225"/>
      <c r="BR186" s="225"/>
      <c r="BS186" s="225"/>
      <c r="BT186" s="225"/>
      <c r="BU186" s="225"/>
      <c r="BV186" s="225"/>
      <c r="BW186" s="225"/>
      <c r="BX186" s="130">
        <f t="shared" si="80"/>
        <v>0</v>
      </c>
      <c r="BY186" s="3"/>
    </row>
    <row r="187" ht="14.25" customHeight="1">
      <c r="A187" s="3"/>
      <c r="B187" s="215">
        <v>46187</v>
      </c>
      <c r="C187" s="118"/>
      <c r="D187" s="123"/>
      <c r="E187" s="120"/>
      <c r="F187" s="120"/>
      <c r="G187" s="147">
        <f t="shared" si="72"/>
        <v>0</v>
      </c>
      <c r="H187" s="768"/>
      <c r="I187" s="768"/>
      <c r="J187" s="611"/>
      <c r="K187" s="611"/>
      <c r="L187" s="611"/>
      <c r="M187" s="611"/>
      <c r="N187" s="611"/>
      <c r="O187" s="611"/>
      <c r="P187" s="611"/>
      <c r="Q187" s="611"/>
      <c r="R187" s="611"/>
      <c r="S187" s="143"/>
      <c r="T187" s="143"/>
      <c r="U187" s="143"/>
      <c r="V187" s="143"/>
      <c r="W187" s="143"/>
      <c r="X187" s="1248">
        <f t="shared" si="73"/>
        <v>0</v>
      </c>
      <c r="Y187" s="611"/>
      <c r="Z187" s="611"/>
      <c r="AA187" s="99"/>
      <c r="AB187" s="143"/>
      <c r="AC187" s="143"/>
      <c r="AD187" s="143"/>
      <c r="AE187" s="143"/>
      <c r="AF187" s="143"/>
      <c r="AG187" s="143"/>
      <c r="AH187" s="143"/>
      <c r="AI187" s="143"/>
      <c r="AJ187" s="143"/>
      <c r="AK187" s="143"/>
      <c r="AL187" s="103">
        <f t="shared" si="74"/>
        <v>0</v>
      </c>
      <c r="AM187" s="123"/>
      <c r="AN187" s="123"/>
      <c r="AO187" s="123"/>
      <c r="AP187" s="105">
        <f t="shared" si="75"/>
        <v>0</v>
      </c>
      <c r="AQ187" s="143"/>
      <c r="AR187" s="143"/>
      <c r="AS187" s="143"/>
      <c r="AT187" s="146"/>
      <c r="AU187" s="224">
        <f t="shared" si="76"/>
        <v>0</v>
      </c>
      <c r="AV187" s="126"/>
      <c r="AW187" s="274"/>
      <c r="AX187" s="433"/>
      <c r="AY187" s="433"/>
      <c r="AZ187" s="433"/>
      <c r="BA187" s="275"/>
      <c r="BB187" s="126"/>
      <c r="BC187" s="274"/>
      <c r="BD187" s="274"/>
      <c r="BE187" s="274"/>
      <c r="BF187" s="274"/>
      <c r="BG187" s="222">
        <f t="shared" si="77"/>
        <v>0</v>
      </c>
      <c r="BH187" s="113">
        <f t="shared" si="78"/>
        <v>0</v>
      </c>
      <c r="BI187" s="3"/>
      <c r="BJ187" s="113">
        <f t="shared" si="79"/>
        <v>0</v>
      </c>
      <c r="BK187" s="225"/>
      <c r="BL187" s="225"/>
      <c r="BM187" s="225"/>
      <c r="BN187" s="225"/>
      <c r="BO187" s="225"/>
      <c r="BP187" s="225"/>
      <c r="BQ187" s="225"/>
      <c r="BR187" s="225"/>
      <c r="BS187" s="225"/>
      <c r="BT187" s="225"/>
      <c r="BU187" s="225"/>
      <c r="BV187" s="225"/>
      <c r="BW187" s="225"/>
      <c r="BX187" s="130">
        <f t="shared" si="80"/>
        <v>0</v>
      </c>
      <c r="BY187" s="3"/>
    </row>
    <row r="188" ht="14.25" customHeight="1">
      <c r="A188" s="3"/>
      <c r="B188" s="215">
        <v>46188</v>
      </c>
      <c r="C188" s="118"/>
      <c r="D188" s="123"/>
      <c r="E188" s="120"/>
      <c r="F188" s="120"/>
      <c r="G188" s="147">
        <f t="shared" si="72"/>
        <v>0</v>
      </c>
      <c r="H188" s="768"/>
      <c r="I188" s="768"/>
      <c r="J188" s="611"/>
      <c r="K188" s="611"/>
      <c r="L188" s="611"/>
      <c r="M188" s="611"/>
      <c r="N188" s="611"/>
      <c r="O188" s="611"/>
      <c r="P188" s="611"/>
      <c r="Q188" s="611"/>
      <c r="R188" s="611"/>
      <c r="S188" s="143"/>
      <c r="T188" s="143"/>
      <c r="U188" s="143"/>
      <c r="V188" s="143"/>
      <c r="W188" s="143"/>
      <c r="X188" s="1248">
        <f t="shared" si="73"/>
        <v>0</v>
      </c>
      <c r="Y188" s="611"/>
      <c r="Z188" s="611"/>
      <c r="AA188" s="99"/>
      <c r="AB188" s="143"/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03">
        <f t="shared" si="74"/>
        <v>0</v>
      </c>
      <c r="AM188" s="123"/>
      <c r="AN188" s="123"/>
      <c r="AO188" s="123"/>
      <c r="AP188" s="105">
        <f t="shared" si="75"/>
        <v>0</v>
      </c>
      <c r="AQ188" s="143"/>
      <c r="AR188" s="143"/>
      <c r="AS188" s="143"/>
      <c r="AT188" s="146"/>
      <c r="AU188" s="224">
        <f t="shared" si="76"/>
        <v>0</v>
      </c>
      <c r="AV188" s="126"/>
      <c r="AW188" s="274"/>
      <c r="AX188" s="433"/>
      <c r="AY188" s="433"/>
      <c r="AZ188" s="433"/>
      <c r="BA188" s="221"/>
      <c r="BB188" s="126"/>
      <c r="BC188" s="274"/>
      <c r="BD188" s="274"/>
      <c r="BE188" s="274"/>
      <c r="BF188" s="274"/>
      <c r="BG188" s="222">
        <f t="shared" si="77"/>
        <v>0</v>
      </c>
      <c r="BH188" s="113">
        <f t="shared" si="78"/>
        <v>0</v>
      </c>
      <c r="BI188" s="3"/>
      <c r="BJ188" s="113">
        <f t="shared" si="79"/>
        <v>0</v>
      </c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126"/>
      <c r="BV188" s="225"/>
      <c r="BW188" s="225"/>
      <c r="BX188" s="130">
        <f t="shared" si="80"/>
        <v>0</v>
      </c>
      <c r="BY188" s="3"/>
    </row>
    <row r="189" ht="14.25" customHeight="1">
      <c r="A189" s="132"/>
      <c r="B189" s="215">
        <v>46189</v>
      </c>
      <c r="C189" s="133"/>
      <c r="D189" s="136"/>
      <c r="E189" s="135"/>
      <c r="F189" s="135"/>
      <c r="G189" s="147">
        <f t="shared" si="72"/>
        <v>0</v>
      </c>
      <c r="H189" s="768"/>
      <c r="I189" s="768"/>
      <c r="J189" s="611"/>
      <c r="K189" s="611"/>
      <c r="L189" s="611"/>
      <c r="M189" s="611"/>
      <c r="N189" s="611"/>
      <c r="O189" s="611"/>
      <c r="P189" s="611"/>
      <c r="Q189" s="611"/>
      <c r="R189" s="611"/>
      <c r="S189" s="143"/>
      <c r="T189" s="143"/>
      <c r="U189" s="143"/>
      <c r="V189" s="143"/>
      <c r="W189" s="143"/>
      <c r="X189" s="1248">
        <f t="shared" si="73"/>
        <v>0</v>
      </c>
      <c r="Y189" s="611"/>
      <c r="Z189" s="611"/>
      <c r="AA189" s="99"/>
      <c r="AB189" s="143"/>
      <c r="AC189" s="143"/>
      <c r="AD189" s="143"/>
      <c r="AE189" s="143"/>
      <c r="AF189" s="143"/>
      <c r="AG189" s="143"/>
      <c r="AH189" s="143"/>
      <c r="AI189" s="143"/>
      <c r="AJ189" s="143"/>
      <c r="AK189" s="143"/>
      <c r="AL189" s="103">
        <f t="shared" si="74"/>
        <v>0</v>
      </c>
      <c r="AM189" s="136"/>
      <c r="AN189" s="136"/>
      <c r="AO189" s="136"/>
      <c r="AP189" s="105">
        <f t="shared" si="75"/>
        <v>0</v>
      </c>
      <c r="AQ189" s="143"/>
      <c r="AR189" s="143"/>
      <c r="AS189" s="143"/>
      <c r="AT189" s="146"/>
      <c r="AU189" s="224">
        <f t="shared" si="76"/>
        <v>0</v>
      </c>
      <c r="AV189" s="126"/>
      <c r="AW189" s="274"/>
      <c r="AX189" s="1133"/>
      <c r="AY189" s="433"/>
      <c r="AZ189" s="433"/>
      <c r="BA189" s="275"/>
      <c r="BB189" s="126"/>
      <c r="BC189" s="274"/>
      <c r="BD189" s="274"/>
      <c r="BE189" s="274"/>
      <c r="BF189" s="274"/>
      <c r="BG189" s="222">
        <f t="shared" si="77"/>
        <v>0</v>
      </c>
      <c r="BH189" s="140">
        <f t="shared" si="78"/>
        <v>0</v>
      </c>
      <c r="BI189" s="132"/>
      <c r="BJ189" s="140">
        <f t="shared" si="79"/>
        <v>0</v>
      </c>
      <c r="BK189" s="126"/>
      <c r="BL189" s="126"/>
      <c r="BM189" s="126"/>
      <c r="BN189" s="126"/>
      <c r="BO189" s="126"/>
      <c r="BP189" s="126"/>
      <c r="BQ189" s="126"/>
      <c r="BR189" s="126"/>
      <c r="BS189" s="126"/>
      <c r="BT189" s="126"/>
      <c r="BU189" s="126"/>
      <c r="BV189" s="126"/>
      <c r="BW189" s="126"/>
      <c r="BX189" s="130">
        <f t="shared" si="80"/>
        <v>0</v>
      </c>
      <c r="BY189" s="132"/>
    </row>
    <row r="190" ht="14.25" customHeight="1">
      <c r="A190" s="132"/>
      <c r="B190" s="215">
        <v>46190</v>
      </c>
      <c r="C190" s="133"/>
      <c r="D190" s="136"/>
      <c r="E190" s="135"/>
      <c r="F190" s="135"/>
      <c r="G190" s="147">
        <f t="shared" si="72"/>
        <v>0</v>
      </c>
      <c r="H190" s="768"/>
      <c r="I190" s="768"/>
      <c r="J190" s="611"/>
      <c r="K190" s="611"/>
      <c r="L190" s="611"/>
      <c r="M190" s="611"/>
      <c r="N190" s="611"/>
      <c r="O190" s="611"/>
      <c r="P190" s="611"/>
      <c r="Q190" s="611"/>
      <c r="R190" s="611"/>
      <c r="S190" s="143"/>
      <c r="T190" s="143"/>
      <c r="U190" s="143"/>
      <c r="V190" s="143"/>
      <c r="W190" s="143"/>
      <c r="X190" s="1248">
        <f t="shared" si="73"/>
        <v>0</v>
      </c>
      <c r="Y190" s="611"/>
      <c r="Z190" s="611"/>
      <c r="AA190" s="99"/>
      <c r="AB190" s="143"/>
      <c r="AC190" s="143"/>
      <c r="AD190" s="143"/>
      <c r="AE190" s="143"/>
      <c r="AF190" s="143"/>
      <c r="AG190" s="143"/>
      <c r="AH190" s="143"/>
      <c r="AI190" s="143"/>
      <c r="AJ190" s="143"/>
      <c r="AK190" s="143"/>
      <c r="AL190" s="103">
        <f t="shared" si="74"/>
        <v>0</v>
      </c>
      <c r="AM190" s="136"/>
      <c r="AN190" s="136"/>
      <c r="AO190" s="136"/>
      <c r="AP190" s="105">
        <f t="shared" si="75"/>
        <v>0</v>
      </c>
      <c r="AQ190" s="136"/>
      <c r="AR190" s="143"/>
      <c r="AS190" s="143"/>
      <c r="AT190" s="146"/>
      <c r="AU190" s="224">
        <f t="shared" si="76"/>
        <v>0</v>
      </c>
      <c r="AV190" s="126"/>
      <c r="AW190" s="274"/>
      <c r="AX190" s="433"/>
      <c r="AY190" s="433"/>
      <c r="AZ190" s="433"/>
      <c r="BA190" s="275"/>
      <c r="BB190" s="126"/>
      <c r="BC190" s="274"/>
      <c r="BD190" s="274"/>
      <c r="BE190" s="274"/>
      <c r="BF190" s="274"/>
      <c r="BG190" s="222">
        <f t="shared" si="77"/>
        <v>0</v>
      </c>
      <c r="BH190" s="140">
        <f t="shared" si="78"/>
        <v>0</v>
      </c>
      <c r="BI190" s="132"/>
      <c r="BJ190" s="140">
        <f t="shared" si="79"/>
        <v>0</v>
      </c>
      <c r="BK190" s="126"/>
      <c r="BL190" s="126"/>
      <c r="BM190" s="126"/>
      <c r="BN190" s="126"/>
      <c r="BO190" s="126"/>
      <c r="BP190" s="126"/>
      <c r="BQ190" s="126"/>
      <c r="BR190" s="126"/>
      <c r="BS190" s="126"/>
      <c r="BT190" s="126"/>
      <c r="BU190" s="127"/>
      <c r="BV190" s="126"/>
      <c r="BW190" s="126"/>
      <c r="BX190" s="130">
        <f t="shared" si="80"/>
        <v>0</v>
      </c>
      <c r="BY190" s="132"/>
    </row>
    <row r="191" ht="14.25" customHeight="1">
      <c r="A191" s="132"/>
      <c r="B191" s="215">
        <v>46191</v>
      </c>
      <c r="C191" s="133"/>
      <c r="D191" s="136"/>
      <c r="E191" s="135"/>
      <c r="F191" s="135"/>
      <c r="G191" s="147">
        <f t="shared" si="72"/>
        <v>0</v>
      </c>
      <c r="H191" s="768"/>
      <c r="I191" s="768"/>
      <c r="J191" s="611"/>
      <c r="K191" s="611"/>
      <c r="L191" s="611"/>
      <c r="M191" s="611"/>
      <c r="N191" s="611"/>
      <c r="O191" s="611"/>
      <c r="P191" s="611"/>
      <c r="Q191" s="611"/>
      <c r="R191" s="611"/>
      <c r="S191" s="143"/>
      <c r="T191" s="143"/>
      <c r="U191" s="143"/>
      <c r="V191" s="143"/>
      <c r="W191" s="143"/>
      <c r="X191" s="1248">
        <f t="shared" si="73"/>
        <v>0</v>
      </c>
      <c r="Y191" s="611"/>
      <c r="Z191" s="611"/>
      <c r="AA191" s="99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03">
        <f t="shared" si="74"/>
        <v>0</v>
      </c>
      <c r="AM191" s="136"/>
      <c r="AN191" s="136"/>
      <c r="AO191" s="136"/>
      <c r="AP191" s="105">
        <f t="shared" si="75"/>
        <v>0</v>
      </c>
      <c r="AQ191" s="143"/>
      <c r="AR191" s="143"/>
      <c r="AS191" s="143"/>
      <c r="AT191" s="146"/>
      <c r="AU191" s="224">
        <f t="shared" si="76"/>
        <v>0</v>
      </c>
      <c r="AV191" s="126"/>
      <c r="AW191" s="274"/>
      <c r="AX191" s="433"/>
      <c r="AY191" s="433"/>
      <c r="AZ191" s="433"/>
      <c r="BA191" s="275"/>
      <c r="BB191" s="126"/>
      <c r="BC191" s="274"/>
      <c r="BD191" s="274"/>
      <c r="BE191" s="274"/>
      <c r="BF191" s="274"/>
      <c r="BG191" s="222">
        <f t="shared" si="77"/>
        <v>0</v>
      </c>
      <c r="BH191" s="140">
        <f t="shared" si="78"/>
        <v>0</v>
      </c>
      <c r="BI191" s="132"/>
      <c r="BJ191" s="140">
        <f t="shared" si="79"/>
        <v>0</v>
      </c>
      <c r="BK191" s="126"/>
      <c r="BL191" s="126"/>
      <c r="BM191" s="126"/>
      <c r="BN191" s="126"/>
      <c r="BO191" s="126"/>
      <c r="BP191" s="126"/>
      <c r="BQ191" s="126"/>
      <c r="BR191" s="126"/>
      <c r="BS191" s="126"/>
      <c r="BT191" s="126"/>
      <c r="BU191" s="126"/>
      <c r="BV191" s="126"/>
      <c r="BW191" s="126"/>
      <c r="BX191" s="130">
        <f t="shared" si="80"/>
        <v>0</v>
      </c>
      <c r="BY191" s="132"/>
    </row>
    <row r="192" ht="14.25" customHeight="1">
      <c r="A192" s="132"/>
      <c r="B192" s="215">
        <v>46192</v>
      </c>
      <c r="C192" s="133"/>
      <c r="D192" s="136"/>
      <c r="E192" s="135"/>
      <c r="F192" s="135"/>
      <c r="G192" s="147">
        <f t="shared" si="72"/>
        <v>0</v>
      </c>
      <c r="H192" s="768"/>
      <c r="I192" s="768"/>
      <c r="J192" s="611"/>
      <c r="K192" s="611"/>
      <c r="L192" s="611"/>
      <c r="M192" s="611"/>
      <c r="N192" s="611"/>
      <c r="O192" s="611"/>
      <c r="P192" s="611"/>
      <c r="Q192" s="611"/>
      <c r="R192" s="611"/>
      <c r="S192" s="143"/>
      <c r="T192" s="143"/>
      <c r="U192" s="143"/>
      <c r="V192" s="143"/>
      <c r="W192" s="143"/>
      <c r="X192" s="1248">
        <f t="shared" si="73"/>
        <v>0</v>
      </c>
      <c r="Y192" s="611"/>
      <c r="Z192" s="611"/>
      <c r="AA192" s="99"/>
      <c r="AB192" s="143"/>
      <c r="AC192" s="143"/>
      <c r="AD192" s="143"/>
      <c r="AE192" s="143"/>
      <c r="AF192" s="143"/>
      <c r="AG192" s="143"/>
      <c r="AH192" s="143"/>
      <c r="AI192" s="143"/>
      <c r="AJ192" s="143"/>
      <c r="AK192" s="143"/>
      <c r="AL192" s="103">
        <f t="shared" si="74"/>
        <v>0</v>
      </c>
      <c r="AM192" s="136"/>
      <c r="AN192" s="136"/>
      <c r="AO192" s="136"/>
      <c r="AP192" s="105">
        <f t="shared" si="75"/>
        <v>0</v>
      </c>
      <c r="AQ192" s="143"/>
      <c r="AR192" s="143"/>
      <c r="AS192" s="143"/>
      <c r="AT192" s="146"/>
      <c r="AU192" s="224">
        <f t="shared" si="76"/>
        <v>0</v>
      </c>
      <c r="AV192" s="126"/>
      <c r="AW192" s="274"/>
      <c r="AX192" s="433"/>
      <c r="AY192" s="433"/>
      <c r="AZ192" s="433"/>
      <c r="BA192" s="275"/>
      <c r="BB192" s="126"/>
      <c r="BC192" s="274"/>
      <c r="BD192" s="274"/>
      <c r="BE192" s="274"/>
      <c r="BF192" s="274"/>
      <c r="BG192" s="222">
        <f t="shared" si="77"/>
        <v>0</v>
      </c>
      <c r="BH192" s="140">
        <f t="shared" si="78"/>
        <v>0</v>
      </c>
      <c r="BI192" s="132"/>
      <c r="BJ192" s="140">
        <f t="shared" si="79"/>
        <v>0</v>
      </c>
      <c r="BK192" s="126"/>
      <c r="BL192" s="126"/>
      <c r="BM192" s="126"/>
      <c r="BN192" s="126"/>
      <c r="BO192" s="126"/>
      <c r="BP192" s="126"/>
      <c r="BQ192" s="126"/>
      <c r="BR192" s="126"/>
      <c r="BS192" s="126"/>
      <c r="BT192" s="126"/>
      <c r="BU192" s="126"/>
      <c r="BV192" s="126"/>
      <c r="BW192" s="126"/>
      <c r="BX192" s="130">
        <f t="shared" si="80"/>
        <v>0</v>
      </c>
      <c r="BY192" s="132"/>
    </row>
    <row r="193" ht="14.25" customHeight="1">
      <c r="A193" s="132"/>
      <c r="B193" s="215">
        <v>46193</v>
      </c>
      <c r="C193" s="133"/>
      <c r="D193" s="136"/>
      <c r="E193" s="132"/>
      <c r="F193" s="135"/>
      <c r="G193" s="147">
        <f ref="G193:G196" t="shared" si="81">+C193+D193+E194+F193</f>
        <v>0</v>
      </c>
      <c r="H193" s="611"/>
      <c r="I193" s="611"/>
      <c r="J193" s="611"/>
      <c r="K193" s="611"/>
      <c r="L193" s="611"/>
      <c r="M193" s="611"/>
      <c r="N193" s="611"/>
      <c r="O193" s="611"/>
      <c r="P193" s="611"/>
      <c r="Q193" s="611"/>
      <c r="R193" s="611"/>
      <c r="S193" s="143"/>
      <c r="T193" s="143"/>
      <c r="U193" s="143"/>
      <c r="V193" s="143"/>
      <c r="W193" s="143"/>
      <c r="X193" s="1248">
        <f t="shared" si="73"/>
        <v>0</v>
      </c>
      <c r="Y193" s="611"/>
      <c r="Z193" s="611"/>
      <c r="AA193" s="99"/>
      <c r="AB193" s="143"/>
      <c r="AC193" s="143"/>
      <c r="AD193" s="143"/>
      <c r="AE193" s="143"/>
      <c r="AF193" s="143"/>
      <c r="AG193" s="143"/>
      <c r="AH193" s="143"/>
      <c r="AI193" s="143"/>
      <c r="AJ193" s="143"/>
      <c r="AK193" s="143"/>
      <c r="AL193" s="103">
        <f t="shared" si="74"/>
        <v>0</v>
      </c>
      <c r="AM193" s="136"/>
      <c r="AN193" s="136"/>
      <c r="AO193" s="136"/>
      <c r="AP193" s="105">
        <f t="shared" si="75"/>
        <v>0</v>
      </c>
      <c r="AQ193" s="143"/>
      <c r="AR193" s="143"/>
      <c r="AS193" s="143"/>
      <c r="AT193" s="146"/>
      <c r="AU193" s="224">
        <f t="shared" si="76"/>
        <v>0</v>
      </c>
      <c r="AV193" s="126"/>
      <c r="AW193" s="274"/>
      <c r="AX193" s="433"/>
      <c r="AY193" s="433"/>
      <c r="AZ193" s="433"/>
      <c r="BA193" s="275"/>
      <c r="BB193" s="126"/>
      <c r="BC193" s="274"/>
      <c r="BD193" s="274"/>
      <c r="BE193" s="274"/>
      <c r="BF193" s="274"/>
      <c r="BG193" s="222">
        <f t="shared" si="77"/>
        <v>0</v>
      </c>
      <c r="BH193" s="140">
        <f t="shared" si="78"/>
        <v>0</v>
      </c>
      <c r="BI193" s="132"/>
      <c r="BJ193" s="140">
        <f t="shared" si="79"/>
        <v>0</v>
      </c>
      <c r="BK193" s="126"/>
      <c r="BL193" s="126"/>
      <c r="BM193" s="126"/>
      <c r="BN193" s="126"/>
      <c r="BO193" s="126"/>
      <c r="BP193" s="126"/>
      <c r="BQ193" s="126"/>
      <c r="BR193" s="126"/>
      <c r="BS193" s="126"/>
      <c r="BT193" s="126"/>
      <c r="BU193" s="126"/>
      <c r="BV193" s="126"/>
      <c r="BW193" s="126"/>
      <c r="BX193" s="130">
        <f t="shared" si="80"/>
        <v>0</v>
      </c>
      <c r="BY193" s="132"/>
    </row>
    <row r="194" ht="14.25" customHeight="1">
      <c r="A194" s="132"/>
      <c r="B194" s="215">
        <v>46194</v>
      </c>
      <c r="C194" s="133"/>
      <c r="D194" s="136"/>
      <c r="E194" s="135"/>
      <c r="F194" s="135"/>
      <c r="G194" s="147">
        <f t="shared" si="81"/>
        <v>0</v>
      </c>
      <c r="H194" s="611"/>
      <c r="I194" s="611"/>
      <c r="J194" s="611"/>
      <c r="K194" s="611"/>
      <c r="L194" s="611"/>
      <c r="M194" s="611"/>
      <c r="N194" s="611"/>
      <c r="O194" s="611"/>
      <c r="P194" s="611"/>
      <c r="Q194" s="611"/>
      <c r="R194" s="611"/>
      <c r="S194" s="143"/>
      <c r="T194" s="143"/>
      <c r="U194" s="143"/>
      <c r="V194" s="143"/>
      <c r="W194" s="143"/>
      <c r="X194" s="1248">
        <f t="shared" si="73"/>
        <v>0</v>
      </c>
      <c r="Y194" s="611"/>
      <c r="Z194" s="611"/>
      <c r="AA194" s="99"/>
      <c r="AB194" s="143"/>
      <c r="AC194" s="143"/>
      <c r="AD194" s="143"/>
      <c r="AE194" s="143"/>
      <c r="AF194" s="143"/>
      <c r="AG194" s="143"/>
      <c r="AH194" s="143"/>
      <c r="AI194" s="143"/>
      <c r="AJ194" s="143"/>
      <c r="AK194" s="143"/>
      <c r="AL194" s="103">
        <f t="shared" si="74"/>
        <v>0</v>
      </c>
      <c r="AM194" s="136"/>
      <c r="AN194" s="136"/>
      <c r="AO194" s="136"/>
      <c r="AP194" s="105">
        <f t="shared" si="75"/>
        <v>0</v>
      </c>
      <c r="AQ194" s="143"/>
      <c r="AR194" s="143"/>
      <c r="AS194" s="143"/>
      <c r="AT194" s="146"/>
      <c r="AU194" s="224">
        <f t="shared" si="76"/>
        <v>0</v>
      </c>
      <c r="AV194" s="126"/>
      <c r="AW194" s="274"/>
      <c r="AX194" s="433"/>
      <c r="AY194" s="433"/>
      <c r="AZ194" s="433"/>
      <c r="BA194" s="275"/>
      <c r="BB194" s="126"/>
      <c r="BC194" s="274"/>
      <c r="BD194" s="274"/>
      <c r="BE194" s="274"/>
      <c r="BF194" s="274"/>
      <c r="BG194" s="222">
        <f t="shared" si="77"/>
        <v>0</v>
      </c>
      <c r="BH194" s="140">
        <f t="shared" si="78"/>
        <v>0</v>
      </c>
      <c r="BI194" s="132"/>
      <c r="BJ194" s="140">
        <f t="shared" si="79"/>
        <v>0</v>
      </c>
      <c r="BK194" s="126"/>
      <c r="BL194" s="126"/>
      <c r="BM194" s="126"/>
      <c r="BN194" s="126"/>
      <c r="BO194" s="126"/>
      <c r="BP194" s="126"/>
      <c r="BQ194" s="126"/>
      <c r="BR194" s="126"/>
      <c r="BS194" s="126"/>
      <c r="BT194" s="126"/>
      <c r="BU194" s="126"/>
      <c r="BV194" s="126"/>
      <c r="BW194" s="126"/>
      <c r="BX194" s="130">
        <f t="shared" si="80"/>
        <v>0</v>
      </c>
      <c r="BY194" s="132"/>
    </row>
    <row r="195" ht="14.25" customHeight="1">
      <c r="A195" s="132"/>
      <c r="B195" s="215">
        <v>46195</v>
      </c>
      <c r="C195" s="133"/>
      <c r="D195" s="136"/>
      <c r="E195" s="135"/>
      <c r="F195" s="135"/>
      <c r="G195" s="147">
        <f t="shared" si="81"/>
        <v>0</v>
      </c>
      <c r="H195" s="768"/>
      <c r="I195" s="768"/>
      <c r="J195" s="611"/>
      <c r="K195" s="611"/>
      <c r="L195" s="611"/>
      <c r="M195" s="611"/>
      <c r="N195" s="611"/>
      <c r="O195" s="611"/>
      <c r="P195" s="611"/>
      <c r="Q195" s="611"/>
      <c r="R195" s="611"/>
      <c r="S195" s="143"/>
      <c r="T195" s="143"/>
      <c r="U195" s="143"/>
      <c r="V195" s="143"/>
      <c r="W195" s="143"/>
      <c r="X195" s="1248">
        <f t="shared" si="73"/>
        <v>0</v>
      </c>
      <c r="Y195" s="611"/>
      <c r="Z195" s="611"/>
      <c r="AA195" s="99"/>
      <c r="AB195" s="143"/>
      <c r="AC195" s="143"/>
      <c r="AD195" s="143"/>
      <c r="AE195" s="143"/>
      <c r="AF195" s="143"/>
      <c r="AG195" s="143"/>
      <c r="AH195" s="143"/>
      <c r="AI195" s="143"/>
      <c r="AJ195" s="143"/>
      <c r="AK195" s="143"/>
      <c r="AL195" s="103">
        <f t="shared" si="74"/>
        <v>0</v>
      </c>
      <c r="AM195" s="136"/>
      <c r="AN195" s="136"/>
      <c r="AO195" s="136"/>
      <c r="AP195" s="105">
        <f t="shared" si="75"/>
        <v>0</v>
      </c>
      <c r="AQ195" s="143"/>
      <c r="AR195" s="143"/>
      <c r="AS195" s="143"/>
      <c r="AT195" s="146"/>
      <c r="AU195" s="224">
        <f t="shared" si="76"/>
        <v>0</v>
      </c>
      <c r="AV195" s="126"/>
      <c r="AW195" s="274"/>
      <c r="AX195" s="433"/>
      <c r="AY195" s="433"/>
      <c r="AZ195" s="433"/>
      <c r="BA195" s="275"/>
      <c r="BB195" s="126"/>
      <c r="BC195" s="274"/>
      <c r="BD195" s="274"/>
      <c r="BE195" s="274"/>
      <c r="BF195" s="274"/>
      <c r="BG195" s="222">
        <f t="shared" si="77"/>
        <v>0</v>
      </c>
      <c r="BH195" s="140">
        <f t="shared" si="78"/>
        <v>0</v>
      </c>
      <c r="BI195" s="132"/>
      <c r="BJ195" s="140">
        <f t="shared" si="79"/>
        <v>0</v>
      </c>
      <c r="BK195" s="126"/>
      <c r="BL195" s="126"/>
      <c r="BM195" s="126"/>
      <c r="BN195" s="126"/>
      <c r="BO195" s="126"/>
      <c r="BP195" s="126"/>
      <c r="BQ195" s="126"/>
      <c r="BR195" s="126"/>
      <c r="BS195" s="126"/>
      <c r="BT195" s="126"/>
      <c r="BU195" s="126"/>
      <c r="BV195" s="126"/>
      <c r="BW195" s="126"/>
      <c r="BX195" s="130">
        <f t="shared" si="80"/>
        <v>0</v>
      </c>
      <c r="BY195" s="132"/>
    </row>
    <row r="196" ht="14.25" customHeight="1">
      <c r="A196" s="132"/>
      <c r="B196" s="215">
        <v>46196</v>
      </c>
      <c r="C196" s="133"/>
      <c r="D196" s="136"/>
      <c r="E196" s="135"/>
      <c r="F196" s="135"/>
      <c r="G196" s="147">
        <f t="shared" si="81"/>
        <v>0</v>
      </c>
      <c r="H196" s="768"/>
      <c r="I196" s="768"/>
      <c r="J196" s="611"/>
      <c r="K196" s="611"/>
      <c r="L196" s="611"/>
      <c r="M196" s="611"/>
      <c r="N196" s="611"/>
      <c r="O196" s="611"/>
      <c r="P196" s="611"/>
      <c r="Q196" s="611"/>
      <c r="R196" s="611"/>
      <c r="S196" s="143"/>
      <c r="T196" s="143"/>
      <c r="U196" s="143"/>
      <c r="V196" s="143"/>
      <c r="W196" s="143"/>
      <c r="X196" s="1248">
        <f t="shared" si="73"/>
        <v>0</v>
      </c>
      <c r="Y196" s="611"/>
      <c r="Z196" s="611"/>
      <c r="AA196" s="99"/>
      <c r="AB196" s="143"/>
      <c r="AC196" s="143"/>
      <c r="AD196" s="143"/>
      <c r="AE196" s="143"/>
      <c r="AF196" s="143"/>
      <c r="AG196" s="143"/>
      <c r="AH196" s="143"/>
      <c r="AI196" s="143"/>
      <c r="AJ196" s="143"/>
      <c r="AK196" s="143"/>
      <c r="AL196" s="103">
        <f t="shared" si="74"/>
        <v>0</v>
      </c>
      <c r="AM196" s="136"/>
      <c r="AN196" s="136"/>
      <c r="AO196" s="136"/>
      <c r="AP196" s="105">
        <f t="shared" si="75"/>
        <v>0</v>
      </c>
      <c r="AQ196" s="143"/>
      <c r="AR196" s="143"/>
      <c r="AS196" s="143"/>
      <c r="AT196" s="146"/>
      <c r="AU196" s="224">
        <f t="shared" si="76"/>
        <v>0</v>
      </c>
      <c r="AV196" s="126"/>
      <c r="AW196" s="274"/>
      <c r="AX196" s="433"/>
      <c r="AY196" s="433"/>
      <c r="AZ196" s="433"/>
      <c r="BA196" s="275"/>
      <c r="BB196" s="126"/>
      <c r="BC196" s="274"/>
      <c r="BD196" s="274"/>
      <c r="BE196" s="274"/>
      <c r="BF196" s="274"/>
      <c r="BG196" s="222">
        <f t="shared" si="77"/>
        <v>0</v>
      </c>
      <c r="BH196" s="140">
        <f t="shared" si="78"/>
        <v>0</v>
      </c>
      <c r="BI196" s="132"/>
      <c r="BJ196" s="140">
        <f t="shared" si="79"/>
        <v>0</v>
      </c>
      <c r="BK196" s="126"/>
      <c r="BL196" s="126"/>
      <c r="BM196" s="126"/>
      <c r="BN196" s="126"/>
      <c r="BO196" s="126"/>
      <c r="BP196" s="126"/>
      <c r="BQ196" s="126"/>
      <c r="BR196" s="126"/>
      <c r="BS196" s="126"/>
      <c r="BT196" s="126"/>
      <c r="BU196" s="126"/>
      <c r="BV196" s="126"/>
      <c r="BW196" s="126"/>
      <c r="BX196" s="130">
        <f t="shared" si="80"/>
        <v>0</v>
      </c>
      <c r="BY196" s="132"/>
    </row>
    <row r="197" ht="14.25" customHeight="1">
      <c r="A197" s="132"/>
      <c r="B197" s="215">
        <v>46197</v>
      </c>
      <c r="C197" s="133"/>
      <c r="D197" s="136"/>
      <c r="E197" s="135"/>
      <c r="F197" s="135"/>
      <c r="G197" s="147">
        <f ref="G197:G203" t="shared" si="82">+C197+D197+E197+F197</f>
        <v>0</v>
      </c>
      <c r="H197" s="768"/>
      <c r="I197" s="768"/>
      <c r="J197" s="611"/>
      <c r="K197" s="611"/>
      <c r="L197" s="611"/>
      <c r="M197" s="611"/>
      <c r="N197" s="611"/>
      <c r="O197" s="611"/>
      <c r="P197" s="611"/>
      <c r="Q197" s="611"/>
      <c r="R197" s="611"/>
      <c r="S197" s="143"/>
      <c r="T197" s="143"/>
      <c r="U197" s="143"/>
      <c r="V197" s="143"/>
      <c r="W197" s="143"/>
      <c r="X197" s="1248">
        <f t="shared" si="73"/>
        <v>0</v>
      </c>
      <c r="Y197" s="611"/>
      <c r="Z197" s="611"/>
      <c r="AA197" s="99"/>
      <c r="AB197" s="143"/>
      <c r="AC197" s="143"/>
      <c r="AD197" s="143"/>
      <c r="AE197" s="143"/>
      <c r="AF197" s="143"/>
      <c r="AG197" s="143"/>
      <c r="AH197" s="143"/>
      <c r="AI197" s="143"/>
      <c r="AJ197" s="143"/>
      <c r="AK197" s="143"/>
      <c r="AL197" s="103">
        <f t="shared" si="74"/>
        <v>0</v>
      </c>
      <c r="AM197" s="136"/>
      <c r="AN197" s="136"/>
      <c r="AO197" s="136"/>
      <c r="AP197" s="105">
        <f t="shared" si="75"/>
        <v>0</v>
      </c>
      <c r="AQ197" s="143"/>
      <c r="AR197" s="143"/>
      <c r="AS197" s="143"/>
      <c r="AT197" s="146"/>
      <c r="AU197" s="224">
        <f t="shared" si="76"/>
        <v>0</v>
      </c>
      <c r="AV197" s="126"/>
      <c r="AW197" s="274"/>
      <c r="AX197" s="433"/>
      <c r="AY197" s="433"/>
      <c r="AZ197" s="433"/>
      <c r="BA197" s="275"/>
      <c r="BB197" s="126"/>
      <c r="BC197" s="274"/>
      <c r="BD197" s="274"/>
      <c r="BE197" s="274"/>
      <c r="BF197" s="274"/>
      <c r="BG197" s="222">
        <f t="shared" si="77"/>
        <v>0</v>
      </c>
      <c r="BH197" s="140">
        <f t="shared" si="78"/>
        <v>0</v>
      </c>
      <c r="BI197" s="132"/>
      <c r="BJ197" s="140">
        <f t="shared" si="79"/>
        <v>0</v>
      </c>
      <c r="BK197" s="126"/>
      <c r="BL197" s="126"/>
      <c r="BM197" s="126"/>
      <c r="BN197" s="126"/>
      <c r="BO197" s="126"/>
      <c r="BP197" s="126"/>
      <c r="BQ197" s="126"/>
      <c r="BR197" s="126"/>
      <c r="BS197" s="126"/>
      <c r="BT197" s="126"/>
      <c r="BU197" s="126"/>
      <c r="BV197" s="126"/>
      <c r="BW197" s="126"/>
      <c r="BX197" s="130">
        <f t="shared" si="80"/>
        <v>0</v>
      </c>
      <c r="BY197" s="132"/>
    </row>
    <row r="198" ht="14.25" customHeight="1">
      <c r="A198" s="132"/>
      <c r="B198" s="215">
        <v>46198</v>
      </c>
      <c r="C198" s="133"/>
      <c r="D198" s="136"/>
      <c r="E198" s="135"/>
      <c r="F198" s="135"/>
      <c r="G198" s="147">
        <f t="shared" si="82"/>
        <v>0</v>
      </c>
      <c r="H198" s="768"/>
      <c r="I198" s="768"/>
      <c r="J198" s="611"/>
      <c r="K198" s="611"/>
      <c r="L198" s="611"/>
      <c r="M198" s="611"/>
      <c r="N198" s="611"/>
      <c r="O198" s="611"/>
      <c r="P198" s="611"/>
      <c r="Q198" s="611"/>
      <c r="R198" s="611"/>
      <c r="S198" s="143"/>
      <c r="T198" s="143"/>
      <c r="U198" s="143"/>
      <c r="V198" s="143"/>
      <c r="W198" s="143"/>
      <c r="X198" s="1248">
        <f t="shared" si="73"/>
        <v>0</v>
      </c>
      <c r="Y198" s="611"/>
      <c r="Z198" s="611"/>
      <c r="AA198" s="99"/>
      <c r="AB198" s="143"/>
      <c r="AC198" s="143"/>
      <c r="AD198" s="143"/>
      <c r="AE198" s="143"/>
      <c r="AF198" s="143"/>
      <c r="AG198" s="143"/>
      <c r="AH198" s="143"/>
      <c r="AI198" s="143"/>
      <c r="AJ198" s="143"/>
      <c r="AK198" s="143"/>
      <c r="AL198" s="103">
        <f t="shared" si="74"/>
        <v>0</v>
      </c>
      <c r="AM198" s="136"/>
      <c r="AN198" s="136"/>
      <c r="AO198" s="136"/>
      <c r="AP198" s="105">
        <f t="shared" si="75"/>
        <v>0</v>
      </c>
      <c r="AQ198" s="143"/>
      <c r="AR198" s="143"/>
      <c r="AS198" s="143"/>
      <c r="AT198" s="146"/>
      <c r="AU198" s="224">
        <f t="shared" si="76"/>
        <v>0</v>
      </c>
      <c r="AV198" s="126"/>
      <c r="AW198" s="274"/>
      <c r="AX198" s="433"/>
      <c r="AY198" s="433"/>
      <c r="AZ198" s="433"/>
      <c r="BA198" s="275"/>
      <c r="BB198" s="126"/>
      <c r="BC198" s="274"/>
      <c r="BD198" s="274"/>
      <c r="BE198" s="274"/>
      <c r="BF198" s="274"/>
      <c r="BG198" s="222">
        <f t="shared" si="77"/>
        <v>0</v>
      </c>
      <c r="BH198" s="140">
        <f t="shared" si="78"/>
        <v>0</v>
      </c>
      <c r="BI198" s="132"/>
      <c r="BJ198" s="140">
        <f t="shared" si="79"/>
        <v>0</v>
      </c>
      <c r="BK198" s="126"/>
      <c r="BL198" s="126"/>
      <c r="BM198" s="126"/>
      <c r="BN198" s="126"/>
      <c r="BO198" s="126"/>
      <c r="BP198" s="126"/>
      <c r="BQ198" s="126"/>
      <c r="BR198" s="126"/>
      <c r="BS198" s="126"/>
      <c r="BT198" s="126"/>
      <c r="BU198" s="126"/>
      <c r="BV198" s="126"/>
      <c r="BW198" s="126"/>
      <c r="BX198" s="130">
        <f t="shared" si="80"/>
        <v>0</v>
      </c>
      <c r="BY198" s="132"/>
    </row>
    <row r="199" ht="14.25" customHeight="1">
      <c r="A199" s="132"/>
      <c r="B199" s="215">
        <v>46199</v>
      </c>
      <c r="C199" s="133"/>
      <c r="D199" s="136"/>
      <c r="E199" s="135"/>
      <c r="F199" s="135"/>
      <c r="G199" s="147">
        <f t="shared" si="82"/>
        <v>0</v>
      </c>
      <c r="H199" s="1311"/>
      <c r="I199" s="768"/>
      <c r="J199" s="611"/>
      <c r="K199" s="611"/>
      <c r="L199" s="641"/>
      <c r="M199" s="641"/>
      <c r="N199" s="641"/>
      <c r="O199" s="768"/>
      <c r="P199" s="768"/>
      <c r="Q199" s="746"/>
      <c r="R199" s="641"/>
      <c r="S199" s="143"/>
      <c r="T199" s="143"/>
      <c r="U199" s="143"/>
      <c r="V199" s="143"/>
      <c r="W199" s="143"/>
      <c r="X199" s="1248">
        <f t="shared" si="73"/>
        <v>0</v>
      </c>
      <c r="Y199" s="611"/>
      <c r="Z199" s="611"/>
      <c r="AA199" s="143"/>
      <c r="AB199" s="143"/>
      <c r="AC199" s="143"/>
      <c r="AD199" s="143"/>
      <c r="AE199" s="143"/>
      <c r="AF199" s="143"/>
      <c r="AG199" s="143"/>
      <c r="AH199" s="143"/>
      <c r="AI199" s="143"/>
      <c r="AJ199" s="143"/>
      <c r="AK199" s="143"/>
      <c r="AL199" s="103">
        <f t="shared" si="74"/>
        <v>0</v>
      </c>
      <c r="AM199" s="136"/>
      <c r="AN199" s="136"/>
      <c r="AO199" s="136"/>
      <c r="AP199" s="105">
        <f t="shared" si="75"/>
        <v>0</v>
      </c>
      <c r="AQ199" s="143"/>
      <c r="AR199" s="143"/>
      <c r="AS199" s="143"/>
      <c r="AT199" s="146"/>
      <c r="AU199" s="224">
        <f t="shared" si="76"/>
        <v>0</v>
      </c>
      <c r="AV199" s="126"/>
      <c r="AW199" s="274"/>
      <c r="AX199" s="433"/>
      <c r="AY199" s="433"/>
      <c r="AZ199" s="433"/>
      <c r="BA199" s="275"/>
      <c r="BB199" s="126"/>
      <c r="BC199" s="274"/>
      <c r="BD199" s="274"/>
      <c r="BE199" s="274"/>
      <c r="BF199" s="274"/>
      <c r="BG199" s="222">
        <f t="shared" si="77"/>
        <v>0</v>
      </c>
      <c r="BH199" s="140">
        <f t="shared" si="78"/>
        <v>0</v>
      </c>
      <c r="BI199" s="132"/>
      <c r="BJ199" s="140">
        <f t="shared" si="79"/>
        <v>0</v>
      </c>
      <c r="BK199" s="126"/>
      <c r="BL199" s="126"/>
      <c r="BM199" s="126"/>
      <c r="BN199" s="126"/>
      <c r="BO199" s="126"/>
      <c r="BP199" s="126"/>
      <c r="BQ199" s="126"/>
      <c r="BR199" s="126"/>
      <c r="BS199" s="126"/>
      <c r="BT199" s="126"/>
      <c r="BU199" s="126"/>
      <c r="BV199" s="126"/>
      <c r="BW199" s="126"/>
      <c r="BX199" s="130">
        <f t="shared" si="80"/>
        <v>0</v>
      </c>
      <c r="BY199" s="132"/>
    </row>
    <row r="200" ht="14.25" customHeight="1">
      <c r="A200" s="132"/>
      <c r="B200" s="215">
        <v>46200</v>
      </c>
      <c r="C200" s="133"/>
      <c r="D200" s="136"/>
      <c r="E200" s="135"/>
      <c r="F200" s="135"/>
      <c r="G200" s="147">
        <f t="shared" si="82"/>
        <v>0</v>
      </c>
      <c r="H200" s="768"/>
      <c r="I200" s="768"/>
      <c r="J200" s="611"/>
      <c r="K200" s="611"/>
      <c r="L200" s="611"/>
      <c r="M200" s="611"/>
      <c r="N200" s="611"/>
      <c r="O200" s="611"/>
      <c r="P200" s="611"/>
      <c r="Q200" s="611"/>
      <c r="R200" s="611"/>
      <c r="S200" s="143"/>
      <c r="T200" s="143"/>
      <c r="U200" s="143"/>
      <c r="V200" s="143"/>
      <c r="W200" s="143"/>
      <c r="X200" s="1248">
        <f t="shared" si="73"/>
        <v>0</v>
      </c>
      <c r="Y200" s="611"/>
      <c r="Z200" s="611"/>
      <c r="AA200" s="143"/>
      <c r="AB200" s="143"/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03">
        <f t="shared" si="74"/>
        <v>0</v>
      </c>
      <c r="AM200" s="136"/>
      <c r="AN200" s="136"/>
      <c r="AO200" s="136"/>
      <c r="AP200" s="105">
        <f t="shared" si="75"/>
        <v>0</v>
      </c>
      <c r="AQ200" s="143"/>
      <c r="AR200" s="143"/>
      <c r="AS200" s="143"/>
      <c r="AT200" s="146"/>
      <c r="AU200" s="224">
        <f t="shared" si="76"/>
        <v>0</v>
      </c>
      <c r="AV200" s="126"/>
      <c r="AW200" s="274"/>
      <c r="AX200" s="433"/>
      <c r="AY200" s="433"/>
      <c r="AZ200" s="433"/>
      <c r="BA200" s="275"/>
      <c r="BB200" s="126"/>
      <c r="BC200" s="274"/>
      <c r="BD200" s="274"/>
      <c r="BE200" s="274"/>
      <c r="BF200" s="274"/>
      <c r="BG200" s="222">
        <f t="shared" si="77"/>
        <v>0</v>
      </c>
      <c r="BH200" s="140">
        <f t="shared" si="78"/>
        <v>0</v>
      </c>
      <c r="BI200" s="132"/>
      <c r="BJ200" s="140">
        <f t="shared" si="79"/>
        <v>0</v>
      </c>
      <c r="BK200" s="126"/>
      <c r="BL200" s="126"/>
      <c r="BM200" s="126"/>
      <c r="BN200" s="126"/>
      <c r="BO200" s="126"/>
      <c r="BP200" s="126"/>
      <c r="BQ200" s="126"/>
      <c r="BR200" s="126"/>
      <c r="BS200" s="126"/>
      <c r="BT200" s="126"/>
      <c r="BU200" s="126"/>
      <c r="BV200" s="126"/>
      <c r="BW200" s="126"/>
      <c r="BX200" s="130">
        <f t="shared" si="80"/>
        <v>0</v>
      </c>
      <c r="BY200" s="132"/>
    </row>
    <row r="201" ht="14.25" customHeight="1">
      <c r="A201" s="132"/>
      <c r="B201" s="215">
        <v>46201</v>
      </c>
      <c r="C201" s="133"/>
      <c r="D201" s="136"/>
      <c r="E201" s="135"/>
      <c r="F201" s="135"/>
      <c r="G201" s="147">
        <f t="shared" si="82"/>
        <v>0</v>
      </c>
      <c r="H201" s="768"/>
      <c r="I201" s="768"/>
      <c r="J201" s="611"/>
      <c r="K201" s="611"/>
      <c r="L201" s="611"/>
      <c r="M201" s="611"/>
      <c r="N201" s="611"/>
      <c r="O201" s="611"/>
      <c r="P201" s="611"/>
      <c r="Q201" s="611"/>
      <c r="R201" s="611"/>
      <c r="S201" s="143"/>
      <c r="T201" s="143"/>
      <c r="U201" s="143"/>
      <c r="V201" s="143"/>
      <c r="W201" s="143"/>
      <c r="X201" s="1248">
        <f t="shared" si="73"/>
        <v>0</v>
      </c>
      <c r="Y201" s="611"/>
      <c r="Z201" s="611"/>
      <c r="AA201" s="143"/>
      <c r="AB201" s="143"/>
      <c r="AC201" s="143"/>
      <c r="AD201" s="143"/>
      <c r="AE201" s="143"/>
      <c r="AF201" s="143"/>
      <c r="AG201" s="143"/>
      <c r="AH201" s="143"/>
      <c r="AI201" s="143"/>
      <c r="AJ201" s="143"/>
      <c r="AK201" s="143"/>
      <c r="AL201" s="103">
        <f t="shared" si="74"/>
        <v>0</v>
      </c>
      <c r="AM201" s="136"/>
      <c r="AN201" s="136"/>
      <c r="AO201" s="136"/>
      <c r="AP201" s="105">
        <f t="shared" si="75"/>
        <v>0</v>
      </c>
      <c r="AQ201" s="143"/>
      <c r="AR201" s="143"/>
      <c r="AS201" s="143"/>
      <c r="AT201" s="146"/>
      <c r="AU201" s="224">
        <f t="shared" si="76"/>
        <v>0</v>
      </c>
      <c r="AV201" s="126"/>
      <c r="AW201" s="274"/>
      <c r="AX201" s="433"/>
      <c r="AY201" s="433"/>
      <c r="AZ201" s="433"/>
      <c r="BA201" s="275"/>
      <c r="BB201" s="126"/>
      <c r="BC201" s="274"/>
      <c r="BD201" s="274"/>
      <c r="BE201" s="274"/>
      <c r="BF201" s="274"/>
      <c r="BG201" s="222">
        <f t="shared" si="77"/>
        <v>0</v>
      </c>
      <c r="BH201" s="140">
        <f t="shared" si="78"/>
        <v>0</v>
      </c>
      <c r="BI201" s="132"/>
      <c r="BJ201" s="140">
        <f t="shared" si="79"/>
        <v>0</v>
      </c>
      <c r="BK201" s="126"/>
      <c r="BL201" s="126"/>
      <c r="BM201" s="126"/>
      <c r="BN201" s="126"/>
      <c r="BO201" s="126"/>
      <c r="BP201" s="126"/>
      <c r="BQ201" s="126"/>
      <c r="BR201" s="126"/>
      <c r="BS201" s="126"/>
      <c r="BT201" s="126"/>
      <c r="BU201" s="126"/>
      <c r="BV201" s="126"/>
      <c r="BW201" s="126"/>
      <c r="BX201" s="130">
        <f t="shared" si="80"/>
        <v>0</v>
      </c>
      <c r="BY201" s="132"/>
    </row>
    <row r="202" ht="14.25" customHeight="1">
      <c r="A202" s="132"/>
      <c r="B202" s="215">
        <v>46202</v>
      </c>
      <c r="C202" s="133"/>
      <c r="D202" s="136"/>
      <c r="E202" s="135"/>
      <c r="F202" s="135"/>
      <c r="G202" s="147">
        <f t="shared" si="82"/>
        <v>0</v>
      </c>
      <c r="H202" s="768"/>
      <c r="I202" s="768"/>
      <c r="J202" s="611"/>
      <c r="K202" s="611"/>
      <c r="L202" s="611"/>
      <c r="M202" s="611"/>
      <c r="N202" s="611"/>
      <c r="O202" s="611"/>
      <c r="P202" s="611"/>
      <c r="Q202" s="611"/>
      <c r="R202" s="611"/>
      <c r="S202" s="143"/>
      <c r="T202" s="143"/>
      <c r="U202" s="143"/>
      <c r="V202" s="143"/>
      <c r="W202" s="143"/>
      <c r="X202" s="1248">
        <f t="shared" si="73"/>
        <v>0</v>
      </c>
      <c r="Y202" s="611"/>
      <c r="Z202" s="611"/>
      <c r="AA202" s="143"/>
      <c r="AB202" s="143"/>
      <c r="AC202" s="143"/>
      <c r="AD202" s="143"/>
      <c r="AE202" s="143"/>
      <c r="AF202" s="143"/>
      <c r="AG202" s="143"/>
      <c r="AH202" s="143"/>
      <c r="AI202" s="143"/>
      <c r="AJ202" s="143"/>
      <c r="AK202" s="143"/>
      <c r="AL202" s="103">
        <f t="shared" si="74"/>
        <v>0</v>
      </c>
      <c r="AM202" s="136"/>
      <c r="AN202" s="136"/>
      <c r="AO202" s="136"/>
      <c r="AP202" s="105">
        <f t="shared" si="75"/>
        <v>0</v>
      </c>
      <c r="AQ202" s="143"/>
      <c r="AR202" s="143"/>
      <c r="AS202" s="143"/>
      <c r="AT202" s="146"/>
      <c r="AU202" s="224">
        <f t="shared" si="76"/>
        <v>0</v>
      </c>
      <c r="AV202" s="126"/>
      <c r="AW202" s="274"/>
      <c r="AX202" s="433"/>
      <c r="AY202" s="433"/>
      <c r="AZ202" s="433"/>
      <c r="BA202" s="275"/>
      <c r="BB202" s="126"/>
      <c r="BC202" s="274"/>
      <c r="BD202" s="274"/>
      <c r="BE202" s="274"/>
      <c r="BF202" s="274"/>
      <c r="BG202" s="222">
        <f t="shared" si="77"/>
        <v>0</v>
      </c>
      <c r="BH202" s="140">
        <f t="shared" si="78"/>
        <v>0</v>
      </c>
      <c r="BI202" s="132"/>
      <c r="BJ202" s="140">
        <f t="shared" si="79"/>
        <v>0</v>
      </c>
      <c r="BK202" s="126"/>
      <c r="BL202" s="126"/>
      <c r="BM202" s="126"/>
      <c r="BN202" s="126"/>
      <c r="BO202" s="126"/>
      <c r="BP202" s="126"/>
      <c r="BQ202" s="126"/>
      <c r="BR202" s="126"/>
      <c r="BS202" s="126"/>
      <c r="BT202" s="126"/>
      <c r="BU202" s="126"/>
      <c r="BV202" s="126"/>
      <c r="BW202" s="126"/>
      <c r="BX202" s="130">
        <f t="shared" si="80"/>
        <v>0</v>
      </c>
      <c r="BY202" s="132"/>
    </row>
    <row r="203" ht="14.25" customHeight="1">
      <c r="A203" s="132"/>
      <c r="B203" s="215">
        <v>46203</v>
      </c>
      <c r="C203" s="133"/>
      <c r="D203" s="136"/>
      <c r="E203" s="135"/>
      <c r="F203" s="135"/>
      <c r="G203" s="147">
        <f t="shared" si="82"/>
        <v>0</v>
      </c>
      <c r="H203" s="768"/>
      <c r="I203" s="768"/>
      <c r="J203" s="611"/>
      <c r="K203" s="611"/>
      <c r="L203" s="611"/>
      <c r="M203" s="611"/>
      <c r="N203" s="611"/>
      <c r="O203" s="611"/>
      <c r="P203" s="611"/>
      <c r="Q203" s="611"/>
      <c r="R203" s="611"/>
      <c r="S203" s="143"/>
      <c r="T203" s="143"/>
      <c r="U203" s="143"/>
      <c r="V203" s="143"/>
      <c r="W203" s="143"/>
      <c r="X203" s="1248">
        <f t="shared" si="73"/>
        <v>0</v>
      </c>
      <c r="Y203" s="611"/>
      <c r="Z203" s="611"/>
      <c r="AA203" s="143"/>
      <c r="AB203" s="143"/>
      <c r="AC203" s="143"/>
      <c r="AD203" s="143"/>
      <c r="AE203" s="143"/>
      <c r="AF203" s="143"/>
      <c r="AG203" s="143"/>
      <c r="AH203" s="143"/>
      <c r="AI203" s="143"/>
      <c r="AJ203" s="143"/>
      <c r="AK203" s="143"/>
      <c r="AL203" s="103">
        <f t="shared" si="74"/>
        <v>0</v>
      </c>
      <c r="AM203" s="136"/>
      <c r="AN203" s="136"/>
      <c r="AO203" s="136"/>
      <c r="AP203" s="105">
        <f t="shared" si="75"/>
        <v>0</v>
      </c>
      <c r="AQ203" s="143"/>
      <c r="AR203" s="143"/>
      <c r="AS203" s="143"/>
      <c r="AT203" s="146"/>
      <c r="AU203" s="232">
        <f t="shared" si="76"/>
        <v>0</v>
      </c>
      <c r="AV203" s="138"/>
      <c r="AW203" s="274"/>
      <c r="AX203" s="433"/>
      <c r="AY203" s="433"/>
      <c r="AZ203" s="433"/>
      <c r="BA203" s="275"/>
      <c r="BB203" s="138"/>
      <c r="BC203" s="274"/>
      <c r="BD203" s="274"/>
      <c r="BE203" s="274"/>
      <c r="BF203" s="274"/>
      <c r="BG203" s="222">
        <f t="shared" si="77"/>
        <v>0</v>
      </c>
      <c r="BH203" s="140">
        <f t="shared" si="78"/>
        <v>0</v>
      </c>
      <c r="BI203" s="132"/>
      <c r="BJ203" s="140">
        <f t="shared" si="79"/>
        <v>0</v>
      </c>
      <c r="BK203" s="126"/>
      <c r="BL203" s="126"/>
      <c r="BM203" s="126"/>
      <c r="BN203" s="126"/>
      <c r="BO203" s="126"/>
      <c r="BP203" s="126"/>
      <c r="BQ203" s="126"/>
      <c r="BR203" s="126"/>
      <c r="BS203" s="126"/>
      <c r="BT203" s="126"/>
      <c r="BU203" s="126"/>
      <c r="BV203" s="126"/>
      <c r="BW203" s="126"/>
      <c r="BX203" s="130">
        <f t="shared" si="80"/>
        <v>0</v>
      </c>
      <c r="BY203" s="132"/>
    </row>
    <row r="204" ht="14.25" customHeight="1">
      <c r="A204" s="22"/>
      <c r="B204" s="2" t="s">
        <v>80</v>
      </c>
      <c r="C204" s="166">
        <f ref="C204:H204" t="shared" si="83">SUM(C173:C203)</f>
        <v>0</v>
      </c>
      <c r="D204" s="166">
        <f t="shared" si="83"/>
        <v>0</v>
      </c>
      <c r="E204" s="166">
        <f t="shared" si="83"/>
        <v>0</v>
      </c>
      <c r="F204" s="166">
        <f t="shared" si="83"/>
        <v>0</v>
      </c>
      <c r="G204" s="166">
        <f t="shared" si="83"/>
        <v>0</v>
      </c>
      <c r="H204" s="166">
        <f t="shared" si="83"/>
        <v>0</v>
      </c>
      <c r="I204" s="166"/>
      <c r="J204" s="166">
        <f>SUM(J173:J203)</f>
        <v>0</v>
      </c>
      <c r="K204" s="166"/>
      <c r="L204" s="166">
        <f>SUM(L173:L203)</f>
        <v>0</v>
      </c>
      <c r="M204" s="166"/>
      <c r="N204" s="617">
        <f ref="N204:P204" t="shared" si="84">SUM(N173:N203)</f>
        <v>0</v>
      </c>
      <c r="O204" s="166">
        <f t="shared" si="84"/>
        <v>0</v>
      </c>
      <c r="P204" s="166">
        <f t="shared" si="84"/>
        <v>0</v>
      </c>
      <c r="Q204" s="166"/>
      <c r="R204" s="166">
        <f ref="R204:BH204" t="shared" si="85">SUM(R173:R203)</f>
        <v>0</v>
      </c>
      <c r="S204" s="166">
        <f t="shared" si="85"/>
        <v>0</v>
      </c>
      <c r="T204" s="166">
        <f t="shared" si="85"/>
        <v>0</v>
      </c>
      <c r="U204" s="166">
        <f t="shared" si="85"/>
        <v>0</v>
      </c>
      <c r="V204" s="166">
        <f t="shared" si="85"/>
        <v>0</v>
      </c>
      <c r="W204" s="166">
        <f t="shared" si="85"/>
        <v>0</v>
      </c>
      <c r="X204" s="1271">
        <f t="shared" si="85"/>
        <v>0</v>
      </c>
      <c r="Y204" s="166">
        <f t="shared" si="85"/>
        <v>0</v>
      </c>
      <c r="Z204" s="166">
        <f t="shared" si="85"/>
        <v>0</v>
      </c>
      <c r="AA204" s="166">
        <f t="shared" si="85"/>
        <v>0</v>
      </c>
      <c r="AB204" s="166">
        <f t="shared" si="85"/>
        <v>0</v>
      </c>
      <c r="AC204" s="166">
        <f t="shared" si="85"/>
        <v>0</v>
      </c>
      <c r="AD204" s="166">
        <f t="shared" si="85"/>
        <v>0</v>
      </c>
      <c r="AE204" s="166">
        <f t="shared" si="85"/>
        <v>0</v>
      </c>
      <c r="AF204" s="166">
        <f t="shared" si="85"/>
        <v>0</v>
      </c>
      <c r="AG204" s="166">
        <f t="shared" si="85"/>
        <v>0</v>
      </c>
      <c r="AH204" s="166">
        <f t="shared" si="85"/>
        <v>0</v>
      </c>
      <c r="AI204" s="166">
        <f t="shared" si="85"/>
        <v>0</v>
      </c>
      <c r="AJ204" s="166">
        <f t="shared" si="85"/>
        <v>0</v>
      </c>
      <c r="AK204" s="166">
        <f t="shared" si="85"/>
        <v>0</v>
      </c>
      <c r="AL204" s="166">
        <f t="shared" si="85"/>
        <v>0</v>
      </c>
      <c r="AM204" s="166">
        <f t="shared" si="85"/>
        <v>0</v>
      </c>
      <c r="AN204" s="166">
        <f t="shared" si="85"/>
        <v>0</v>
      </c>
      <c r="AO204" s="166">
        <f t="shared" si="85"/>
        <v>0</v>
      </c>
      <c r="AP204" s="166">
        <f t="shared" si="85"/>
        <v>0</v>
      </c>
      <c r="AQ204" s="166">
        <f t="shared" si="85"/>
        <v>0</v>
      </c>
      <c r="AR204" s="166">
        <f t="shared" si="85"/>
        <v>0</v>
      </c>
      <c r="AS204" s="166">
        <f t="shared" si="85"/>
        <v>0</v>
      </c>
      <c r="AT204" s="166">
        <f t="shared" si="85"/>
        <v>0</v>
      </c>
      <c r="AU204" s="166">
        <f t="shared" si="85"/>
        <v>0</v>
      </c>
      <c r="AV204" s="165">
        <f t="shared" si="85"/>
        <v>0</v>
      </c>
      <c r="AW204" s="166">
        <f t="shared" si="85"/>
        <v>0</v>
      </c>
      <c r="AX204" s="166">
        <f t="shared" si="85"/>
        <v>0</v>
      </c>
      <c r="AY204" s="166">
        <f t="shared" si="85"/>
        <v>0</v>
      </c>
      <c r="AZ204" s="166">
        <f t="shared" si="85"/>
        <v>0</v>
      </c>
      <c r="BA204" s="166">
        <f t="shared" si="85"/>
        <v>0</v>
      </c>
      <c r="BB204" s="165">
        <f t="shared" si="85"/>
        <v>0</v>
      </c>
      <c r="BC204" s="166">
        <f t="shared" si="85"/>
        <v>0</v>
      </c>
      <c r="BD204" s="166">
        <f t="shared" si="85"/>
        <v>0</v>
      </c>
      <c r="BE204" s="166">
        <f t="shared" si="85"/>
        <v>0</v>
      </c>
      <c r="BF204" s="166">
        <f t="shared" si="85"/>
        <v>0</v>
      </c>
      <c r="BG204" s="166">
        <f t="shared" si="85"/>
        <v>0</v>
      </c>
      <c r="BH204" s="166">
        <f t="shared" si="85"/>
        <v>0</v>
      </c>
      <c r="BI204" s="3"/>
      <c r="BJ204" s="172">
        <f ref="BJ204:BX204" t="shared" si="86">SUM(BJ173:BJ203)</f>
        <v>0</v>
      </c>
      <c r="BK204" s="166">
        <f t="shared" si="86"/>
        <v>0</v>
      </c>
      <c r="BL204" s="166">
        <f t="shared" si="86"/>
        <v>0</v>
      </c>
      <c r="BM204" s="166">
        <f t="shared" si="86"/>
        <v>0</v>
      </c>
      <c r="BN204" s="166">
        <f t="shared" si="86"/>
        <v>0</v>
      </c>
      <c r="BO204" s="166">
        <f t="shared" si="86"/>
        <v>0</v>
      </c>
      <c r="BP204" s="166">
        <f t="shared" si="86"/>
        <v>0</v>
      </c>
      <c r="BQ204" s="166">
        <f t="shared" si="86"/>
        <v>0</v>
      </c>
      <c r="BR204" s="166">
        <f t="shared" si="86"/>
        <v>0</v>
      </c>
      <c r="BS204" s="166">
        <f t="shared" si="86"/>
        <v>0</v>
      </c>
      <c r="BT204" s="166">
        <f t="shared" si="86"/>
        <v>0</v>
      </c>
      <c r="BU204" s="166">
        <f t="shared" si="86"/>
        <v>0</v>
      </c>
      <c r="BV204" s="166">
        <f t="shared" si="86"/>
        <v>0</v>
      </c>
      <c r="BW204" s="166">
        <f t="shared" si="86"/>
        <v>0</v>
      </c>
      <c r="BX204" s="166">
        <f t="shared" si="86"/>
        <v>0</v>
      </c>
      <c r="BY204" s="3"/>
    </row>
    <row r="205" ht="14.25" customHeight="1">
      <c r="A205" s="1"/>
      <c r="B205" s="2"/>
      <c r="C205" s="3"/>
      <c r="D205" s="3"/>
      <c r="E205" s="3"/>
      <c r="F205" s="3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3"/>
      <c r="T205" s="3"/>
      <c r="U205" s="3"/>
      <c r="V205" s="3"/>
      <c r="W205" s="3"/>
      <c r="X205" s="873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4"/>
      <c r="AQ205" s="3"/>
      <c r="AR205" s="3"/>
      <c r="AS205" s="3"/>
      <c r="AT205" s="3"/>
      <c r="AU205" s="3"/>
      <c r="AV205" s="3"/>
      <c r="AW205" s="3"/>
      <c r="AX205" s="1"/>
      <c r="AY205" s="1"/>
      <c r="AZ205" s="1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ht="14.25" customHeight="1">
      <c r="A206" s="1"/>
      <c r="B206" s="2"/>
      <c r="C206" s="3"/>
      <c r="D206" s="3"/>
      <c r="E206" s="3"/>
      <c r="F206" s="3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3"/>
      <c r="T206" s="3"/>
      <c r="U206" s="3"/>
      <c r="V206" s="3"/>
      <c r="W206" s="3"/>
      <c r="X206" s="873"/>
      <c r="Y206" s="1"/>
      <c r="Z206" s="1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176"/>
      <c r="AM206" s="3"/>
      <c r="AN206" s="3"/>
      <c r="AO206" s="3"/>
      <c r="AP206" s="4"/>
      <c r="AQ206" s="3"/>
      <c r="AR206" s="3"/>
      <c r="AS206" s="3"/>
      <c r="AT206" s="3"/>
      <c r="AU206" s="3"/>
      <c r="AV206" s="3"/>
      <c r="AW206" s="3"/>
      <c r="AX206" s="1"/>
      <c r="AY206" s="1"/>
      <c r="AZ206" s="1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ht="14.25" customHeight="1">
      <c r="A207" s="3"/>
      <c r="B207" s="215">
        <v>46204</v>
      </c>
      <c r="C207" s="94"/>
      <c r="D207" s="104"/>
      <c r="E207" s="97"/>
      <c r="F207" s="97"/>
      <c r="G207" s="265">
        <f ref="G207:G228" t="shared" si="87">+C207+D207+E207+F207</f>
        <v>0</v>
      </c>
      <c r="H207" s="619"/>
      <c r="I207" s="619"/>
      <c r="J207" s="619"/>
      <c r="K207" s="619"/>
      <c r="L207" s="619"/>
      <c r="M207" s="619"/>
      <c r="N207" s="619"/>
      <c r="O207" s="619"/>
      <c r="P207" s="619"/>
      <c r="Q207" s="619"/>
      <c r="R207" s="619"/>
      <c r="S207" s="186"/>
      <c r="T207" s="186"/>
      <c r="U207" s="186"/>
      <c r="V207" s="186"/>
      <c r="W207" s="186"/>
      <c r="X207" s="1272">
        <f>SUM(H207:R207)</f>
        <v>0</v>
      </c>
      <c r="Y207" s="619"/>
      <c r="Z207" s="619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03">
        <f>SUM(Y207:AA207)</f>
        <v>0</v>
      </c>
      <c r="AM207" s="104"/>
      <c r="AN207" s="104"/>
      <c r="AO207" s="104"/>
      <c r="AP207" s="191">
        <f ref="AP207:AP237" t="shared" si="88">SUM(AM207:AO207)</f>
        <v>0</v>
      </c>
      <c r="AQ207" s="186"/>
      <c r="AR207" s="186"/>
      <c r="AS207" s="186"/>
      <c r="AT207" s="193"/>
      <c r="AU207" s="266">
        <f ref="AU207:AU237" t="shared" si="89">+G207-X207-AL207-AP207-AQ207-AR207-AS207-AT207</f>
        <v>0</v>
      </c>
      <c r="AV207" s="274"/>
      <c r="AW207" s="127"/>
      <c r="AX207" s="428"/>
      <c r="AY207" s="428"/>
      <c r="AZ207" s="428"/>
      <c r="BA207" s="127"/>
      <c r="BB207" s="126"/>
      <c r="BC207" s="127"/>
      <c r="BD207" s="274"/>
      <c r="BE207" s="269"/>
      <c r="BF207" s="269"/>
      <c r="BG207" s="292">
        <f ref="BG207:BG237" t="shared" si="90">SUM(AV207:BF207)-BE207</f>
        <v>0</v>
      </c>
      <c r="BH207" s="114">
        <f ref="BH207:BH237" t="shared" si="91">+AU207-BG207</f>
        <v>0</v>
      </c>
      <c r="BI207" s="3"/>
      <c r="BJ207" s="114">
        <f ref="BJ207:BJ237" t="shared" si="92">SUM(BK207:BW207)</f>
        <v>0</v>
      </c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115"/>
      <c r="BV207" s="115"/>
      <c r="BW207" s="115"/>
      <c r="BX207" s="116">
        <f ref="BX207:BX237" t="shared" si="93">+BH207-BJ207</f>
        <v>0</v>
      </c>
      <c r="BY207" s="3"/>
    </row>
    <row r="208" ht="14.25" customHeight="1">
      <c r="A208" s="3"/>
      <c r="B208" s="215">
        <v>46205</v>
      </c>
      <c r="C208" s="118"/>
      <c r="D208" s="123"/>
      <c r="E208" s="120"/>
      <c r="F208" s="120"/>
      <c r="G208" s="147">
        <f t="shared" si="87"/>
        <v>0</v>
      </c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143"/>
      <c r="T208" s="143"/>
      <c r="U208" s="143"/>
      <c r="V208" s="143"/>
      <c r="W208" s="143"/>
      <c r="X208" s="1248">
        <f ref="X208:X237" t="shared" si="94">SUM(H208:W208)</f>
        <v>0</v>
      </c>
      <c r="Y208" s="611"/>
      <c r="Z208" s="611"/>
      <c r="AA208" s="143"/>
      <c r="AB208" s="143"/>
      <c r="AC208" s="143"/>
      <c r="AD208" s="143"/>
      <c r="AE208" s="143"/>
      <c r="AF208" s="143"/>
      <c r="AG208" s="143"/>
      <c r="AH208" s="143"/>
      <c r="AI208" s="143"/>
      <c r="AJ208" s="143"/>
      <c r="AK208" s="143"/>
      <c r="AL208" s="103">
        <f ref="AL208:AL237" t="shared" si="95">SUM(Y208:AK208)</f>
        <v>0</v>
      </c>
      <c r="AM208" s="123"/>
      <c r="AN208" s="123"/>
      <c r="AO208" s="123"/>
      <c r="AP208" s="105">
        <f t="shared" si="88"/>
        <v>0</v>
      </c>
      <c r="AQ208" s="143"/>
      <c r="AR208" s="143"/>
      <c r="AS208" s="143"/>
      <c r="AT208" s="146"/>
      <c r="AU208" s="224">
        <f t="shared" si="89"/>
        <v>0</v>
      </c>
      <c r="AV208" s="274"/>
      <c r="AW208" s="127"/>
      <c r="AX208" s="428"/>
      <c r="AY208" s="428"/>
      <c r="AZ208" s="428"/>
      <c r="BA208" s="127"/>
      <c r="BB208" s="126"/>
      <c r="BC208" s="127"/>
      <c r="BD208" s="274"/>
      <c r="BE208" s="274"/>
      <c r="BF208" s="274"/>
      <c r="BG208" s="222">
        <f t="shared" si="90"/>
        <v>0</v>
      </c>
      <c r="BH208" s="113">
        <f t="shared" si="91"/>
        <v>0</v>
      </c>
      <c r="BI208" s="3"/>
      <c r="BJ208" s="113">
        <f t="shared" si="92"/>
        <v>0</v>
      </c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30">
        <f t="shared" si="93"/>
        <v>0</v>
      </c>
      <c r="BY208" s="3"/>
    </row>
    <row r="209" ht="14.25" customHeight="1">
      <c r="A209" s="3"/>
      <c r="B209" s="215">
        <v>46206</v>
      </c>
      <c r="C209" s="118"/>
      <c r="D209" s="123"/>
      <c r="E209" s="120"/>
      <c r="F209" s="120"/>
      <c r="G209" s="147">
        <f t="shared" si="87"/>
        <v>0</v>
      </c>
      <c r="H209" s="768"/>
      <c r="I209" s="768"/>
      <c r="J209" s="611"/>
      <c r="K209" s="611"/>
      <c r="L209" s="611"/>
      <c r="M209" s="611"/>
      <c r="N209" s="611"/>
      <c r="O209" s="611"/>
      <c r="P209" s="611"/>
      <c r="Q209" s="611"/>
      <c r="R209" s="611"/>
      <c r="S209" s="143"/>
      <c r="T209" s="143"/>
      <c r="U209" s="143"/>
      <c r="V209" s="143"/>
      <c r="W209" s="143"/>
      <c r="X209" s="1248">
        <f t="shared" si="94"/>
        <v>0</v>
      </c>
      <c r="Y209" s="611"/>
      <c r="Z209" s="611"/>
      <c r="AA209" s="143"/>
      <c r="AB209" s="143"/>
      <c r="AC209" s="143"/>
      <c r="AD209" s="143"/>
      <c r="AE209" s="143"/>
      <c r="AF209" s="143"/>
      <c r="AG209" s="143"/>
      <c r="AH209" s="143"/>
      <c r="AI209" s="143"/>
      <c r="AJ209" s="143"/>
      <c r="AK209" s="143"/>
      <c r="AL209" s="103">
        <f t="shared" si="95"/>
        <v>0</v>
      </c>
      <c r="AM209" s="123"/>
      <c r="AN209" s="123"/>
      <c r="AO209" s="123"/>
      <c r="AP209" s="105">
        <f t="shared" si="88"/>
        <v>0</v>
      </c>
      <c r="AQ209" s="143"/>
      <c r="AR209" s="143"/>
      <c r="AS209" s="143"/>
      <c r="AT209" s="146"/>
      <c r="AU209" s="224">
        <f t="shared" si="89"/>
        <v>0</v>
      </c>
      <c r="AV209" s="274"/>
      <c r="AW209" s="127"/>
      <c r="AX209" s="428"/>
      <c r="AY209" s="428"/>
      <c r="AZ209" s="428"/>
      <c r="BA209" s="127"/>
      <c r="BB209" s="126"/>
      <c r="BC209" s="127"/>
      <c r="BD209" s="274"/>
      <c r="BE209" s="274"/>
      <c r="BF209" s="274"/>
      <c r="BG209" s="222">
        <f t="shared" si="90"/>
        <v>0</v>
      </c>
      <c r="BH209" s="113">
        <f t="shared" si="91"/>
        <v>0</v>
      </c>
      <c r="BI209" s="3"/>
      <c r="BJ209" s="113">
        <f t="shared" si="92"/>
        <v>0</v>
      </c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30">
        <f t="shared" si="93"/>
        <v>0</v>
      </c>
      <c r="BY209" s="3"/>
    </row>
    <row r="210" ht="14.25" customHeight="1">
      <c r="A210" s="3"/>
      <c r="B210" s="215">
        <v>46207</v>
      </c>
      <c r="C210" s="118"/>
      <c r="D210" s="123"/>
      <c r="E210" s="120"/>
      <c r="F210" s="120"/>
      <c r="G210" s="147">
        <f t="shared" si="87"/>
        <v>0</v>
      </c>
      <c r="H210" s="768"/>
      <c r="I210" s="768"/>
      <c r="J210" s="611"/>
      <c r="K210" s="611"/>
      <c r="L210" s="611"/>
      <c r="M210" s="611"/>
      <c r="N210" s="611"/>
      <c r="O210" s="611"/>
      <c r="P210" s="611"/>
      <c r="Q210" s="611"/>
      <c r="R210" s="611"/>
      <c r="S210" s="143"/>
      <c r="T210" s="143"/>
      <c r="U210" s="143"/>
      <c r="V210" s="143"/>
      <c r="W210" s="143"/>
      <c r="X210" s="1248">
        <f t="shared" si="94"/>
        <v>0</v>
      </c>
      <c r="Y210" s="611"/>
      <c r="Z210" s="611"/>
      <c r="AA210" s="143"/>
      <c r="AB210" s="143"/>
      <c r="AC210" s="143"/>
      <c r="AD210" s="143"/>
      <c r="AE210" s="143"/>
      <c r="AF210" s="143"/>
      <c r="AG210" s="143"/>
      <c r="AH210" s="143"/>
      <c r="AI210" s="143"/>
      <c r="AJ210" s="143"/>
      <c r="AK210" s="143"/>
      <c r="AL210" s="103">
        <f t="shared" si="95"/>
        <v>0</v>
      </c>
      <c r="AM210" s="123"/>
      <c r="AN210" s="123"/>
      <c r="AO210" s="123"/>
      <c r="AP210" s="105">
        <f t="shared" si="88"/>
        <v>0</v>
      </c>
      <c r="AQ210" s="143"/>
      <c r="AR210" s="143"/>
      <c r="AS210" s="143"/>
      <c r="AT210" s="146"/>
      <c r="AU210" s="224">
        <f t="shared" si="89"/>
        <v>0</v>
      </c>
      <c r="AV210" s="274"/>
      <c r="AW210" s="127"/>
      <c r="AX210" s="428"/>
      <c r="AY210" s="428"/>
      <c r="AZ210" s="428"/>
      <c r="BA210" s="127"/>
      <c r="BB210" s="126"/>
      <c r="BC210" s="127"/>
      <c r="BD210" s="274"/>
      <c r="BE210" s="274"/>
      <c r="BF210" s="274"/>
      <c r="BG210" s="222">
        <f t="shared" si="90"/>
        <v>0</v>
      </c>
      <c r="BH210" s="113">
        <f t="shared" si="91"/>
        <v>0</v>
      </c>
      <c r="BI210" s="3"/>
      <c r="BJ210" s="113">
        <f t="shared" si="92"/>
        <v>0</v>
      </c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30">
        <f t="shared" si="93"/>
        <v>0</v>
      </c>
      <c r="BY210" s="3"/>
    </row>
    <row r="211" ht="14.25" customHeight="1">
      <c r="A211" s="3"/>
      <c r="B211" s="215">
        <v>46208</v>
      </c>
      <c r="C211" s="118"/>
      <c r="D211" s="123"/>
      <c r="E211" s="120"/>
      <c r="F211" s="120"/>
      <c r="G211" s="147">
        <f t="shared" si="87"/>
        <v>0</v>
      </c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  <c r="S211" s="143"/>
      <c r="T211" s="143"/>
      <c r="U211" s="143"/>
      <c r="V211" s="143"/>
      <c r="W211" s="143"/>
      <c r="X211" s="1248">
        <f t="shared" si="94"/>
        <v>0</v>
      </c>
      <c r="Y211" s="611"/>
      <c r="Z211" s="611"/>
      <c r="AA211" s="143"/>
      <c r="AB211" s="143"/>
      <c r="AC211" s="143"/>
      <c r="AD211" s="143"/>
      <c r="AE211" s="143"/>
      <c r="AF211" s="143"/>
      <c r="AG211" s="143"/>
      <c r="AH211" s="143"/>
      <c r="AI211" s="143"/>
      <c r="AJ211" s="143"/>
      <c r="AK211" s="143"/>
      <c r="AL211" s="103">
        <f t="shared" si="95"/>
        <v>0</v>
      </c>
      <c r="AM211" s="123"/>
      <c r="AN211" s="123"/>
      <c r="AO211" s="123"/>
      <c r="AP211" s="105">
        <f t="shared" si="88"/>
        <v>0</v>
      </c>
      <c r="AQ211" s="143"/>
      <c r="AR211" s="143"/>
      <c r="AS211" s="143"/>
      <c r="AT211" s="146"/>
      <c r="AU211" s="224">
        <f t="shared" si="89"/>
        <v>0</v>
      </c>
      <c r="AV211" s="274"/>
      <c r="AW211" s="127"/>
      <c r="AX211" s="428"/>
      <c r="AY211" s="428"/>
      <c r="AZ211" s="428"/>
      <c r="BA211" s="127"/>
      <c r="BB211" s="126"/>
      <c r="BC211" s="127"/>
      <c r="BD211" s="274"/>
      <c r="BE211" s="274"/>
      <c r="BF211" s="274"/>
      <c r="BG211" s="222">
        <f t="shared" si="90"/>
        <v>0</v>
      </c>
      <c r="BH211" s="113">
        <f t="shared" si="91"/>
        <v>0</v>
      </c>
      <c r="BI211" s="3"/>
      <c r="BJ211" s="113">
        <f t="shared" si="92"/>
        <v>0</v>
      </c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30">
        <f t="shared" si="93"/>
        <v>0</v>
      </c>
      <c r="BY211" s="3"/>
    </row>
    <row r="212" ht="14.25" customHeight="1">
      <c r="A212" s="3"/>
      <c r="B212" s="215">
        <v>46209</v>
      </c>
      <c r="C212" s="118"/>
      <c r="D212" s="123"/>
      <c r="E212" s="120"/>
      <c r="F212" s="120"/>
      <c r="G212" s="147">
        <f t="shared" si="87"/>
        <v>0</v>
      </c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143"/>
      <c r="T212" s="143"/>
      <c r="U212" s="143"/>
      <c r="V212" s="143"/>
      <c r="W212" s="143"/>
      <c r="X212" s="1248">
        <f t="shared" si="94"/>
        <v>0</v>
      </c>
      <c r="Y212" s="611"/>
      <c r="Z212" s="611"/>
      <c r="AA212" s="143"/>
      <c r="AB212" s="143"/>
      <c r="AC212" s="143"/>
      <c r="AD212" s="143"/>
      <c r="AE212" s="143"/>
      <c r="AF212" s="143"/>
      <c r="AG212" s="143"/>
      <c r="AH212" s="143"/>
      <c r="AI212" s="143"/>
      <c r="AJ212" s="143"/>
      <c r="AK212" s="143"/>
      <c r="AL212" s="103">
        <f t="shared" si="95"/>
        <v>0</v>
      </c>
      <c r="AM212" s="123"/>
      <c r="AN212" s="123"/>
      <c r="AO212" s="123"/>
      <c r="AP212" s="105">
        <f t="shared" si="88"/>
        <v>0</v>
      </c>
      <c r="AQ212" s="143"/>
      <c r="AR212" s="143"/>
      <c r="AS212" s="143"/>
      <c r="AT212" s="146"/>
      <c r="AU212" s="224">
        <f t="shared" si="89"/>
        <v>0</v>
      </c>
      <c r="AV212" s="274"/>
      <c r="AW212" s="127"/>
      <c r="AX212" s="428"/>
      <c r="AY212" s="428"/>
      <c r="AZ212" s="428"/>
      <c r="BA212" s="127"/>
      <c r="BB212" s="126"/>
      <c r="BC212" s="127"/>
      <c r="BD212" s="274"/>
      <c r="BE212" s="274"/>
      <c r="BF212" s="274"/>
      <c r="BG212" s="222">
        <f t="shared" si="90"/>
        <v>0</v>
      </c>
      <c r="BH212" s="113">
        <f t="shared" si="91"/>
        <v>0</v>
      </c>
      <c r="BI212" s="3"/>
      <c r="BJ212" s="113">
        <f t="shared" si="92"/>
        <v>0</v>
      </c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30">
        <f t="shared" si="93"/>
        <v>0</v>
      </c>
      <c r="BY212" s="3"/>
    </row>
    <row r="213" ht="14.25" customHeight="1">
      <c r="A213" s="3"/>
      <c r="B213" s="215">
        <v>46210</v>
      </c>
      <c r="C213" s="118"/>
      <c r="D213" s="123"/>
      <c r="E213" s="120"/>
      <c r="F213" s="120"/>
      <c r="G213" s="147">
        <f t="shared" si="87"/>
        <v>0</v>
      </c>
      <c r="H213" s="611"/>
      <c r="I213" s="611"/>
      <c r="J213" s="611"/>
      <c r="K213" s="611"/>
      <c r="L213" s="611"/>
      <c r="M213" s="611"/>
      <c r="N213" s="611"/>
      <c r="O213" s="611"/>
      <c r="P213" s="611"/>
      <c r="Q213" s="611"/>
      <c r="R213" s="611"/>
      <c r="S213" s="143"/>
      <c r="T213" s="143"/>
      <c r="U213" s="143"/>
      <c r="V213" s="143"/>
      <c r="W213" s="143"/>
      <c r="X213" s="1248">
        <f t="shared" si="94"/>
        <v>0</v>
      </c>
      <c r="Y213" s="611"/>
      <c r="Z213" s="611"/>
      <c r="AA213" s="143"/>
      <c r="AB213" s="143"/>
      <c r="AC213" s="143"/>
      <c r="AD213" s="143"/>
      <c r="AE213" s="143"/>
      <c r="AF213" s="143"/>
      <c r="AG213" s="143"/>
      <c r="AH213" s="143"/>
      <c r="AI213" s="143"/>
      <c r="AJ213" s="143"/>
      <c r="AK213" s="143"/>
      <c r="AL213" s="103">
        <f t="shared" si="95"/>
        <v>0</v>
      </c>
      <c r="AM213" s="123"/>
      <c r="AN213" s="123"/>
      <c r="AO213" s="123"/>
      <c r="AP213" s="105">
        <f t="shared" si="88"/>
        <v>0</v>
      </c>
      <c r="AQ213" s="143"/>
      <c r="AR213" s="143"/>
      <c r="AS213" s="143"/>
      <c r="AT213" s="146"/>
      <c r="AU213" s="224">
        <f t="shared" si="89"/>
        <v>0</v>
      </c>
      <c r="AV213" s="274"/>
      <c r="AW213" s="127"/>
      <c r="AX213" s="428"/>
      <c r="AY213" s="428"/>
      <c r="AZ213" s="428"/>
      <c r="BA213" s="127"/>
      <c r="BB213" s="126"/>
      <c r="BC213" s="127"/>
      <c r="BD213" s="274"/>
      <c r="BE213" s="274"/>
      <c r="BF213" s="274"/>
      <c r="BG213" s="222">
        <f t="shared" si="90"/>
        <v>0</v>
      </c>
      <c r="BH213" s="113">
        <f t="shared" si="91"/>
        <v>0</v>
      </c>
      <c r="BI213" s="3"/>
      <c r="BJ213" s="113">
        <f t="shared" si="92"/>
        <v>0</v>
      </c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30">
        <f t="shared" si="93"/>
        <v>0</v>
      </c>
      <c r="BY213" s="3"/>
    </row>
    <row r="214" ht="14.25" customHeight="1">
      <c r="A214" s="132"/>
      <c r="B214" s="215">
        <v>46211</v>
      </c>
      <c r="C214" s="133"/>
      <c r="D214" s="136"/>
      <c r="E214" s="135"/>
      <c r="F214" s="135"/>
      <c r="G214" s="147">
        <f t="shared" si="87"/>
        <v>0</v>
      </c>
      <c r="H214" s="611"/>
      <c r="I214" s="611"/>
      <c r="J214" s="611"/>
      <c r="K214" s="611"/>
      <c r="L214" s="611"/>
      <c r="M214" s="611"/>
      <c r="N214" s="611"/>
      <c r="O214" s="611"/>
      <c r="P214" s="611"/>
      <c r="Q214" s="611"/>
      <c r="R214" s="611"/>
      <c r="S214" s="143"/>
      <c r="T214" s="143"/>
      <c r="U214" s="143"/>
      <c r="V214" s="143"/>
      <c r="W214" s="143"/>
      <c r="X214" s="1248">
        <f t="shared" si="94"/>
        <v>0</v>
      </c>
      <c r="Y214" s="611"/>
      <c r="Z214" s="611"/>
      <c r="AA214" s="143"/>
      <c r="AB214" s="143"/>
      <c r="AC214" s="143"/>
      <c r="AD214" s="143"/>
      <c r="AE214" s="143"/>
      <c r="AF214" s="143"/>
      <c r="AG214" s="143"/>
      <c r="AH214" s="143"/>
      <c r="AI214" s="143"/>
      <c r="AJ214" s="143"/>
      <c r="AK214" s="143"/>
      <c r="AL214" s="103">
        <f t="shared" si="95"/>
        <v>0</v>
      </c>
      <c r="AM214" s="136"/>
      <c r="AN214" s="136"/>
      <c r="AO214" s="136"/>
      <c r="AP214" s="105">
        <f t="shared" si="88"/>
        <v>0</v>
      </c>
      <c r="AQ214" s="143"/>
      <c r="AR214" s="143"/>
      <c r="AS214" s="143"/>
      <c r="AT214" s="146"/>
      <c r="AU214" s="224">
        <f t="shared" si="89"/>
        <v>0</v>
      </c>
      <c r="AV214" s="274"/>
      <c r="AW214" s="127"/>
      <c r="AX214" s="428"/>
      <c r="AY214" s="428"/>
      <c r="AZ214" s="428"/>
      <c r="BA214" s="127"/>
      <c r="BB214" s="126"/>
      <c r="BC214" s="127"/>
      <c r="BD214" s="274"/>
      <c r="BE214" s="274"/>
      <c r="BF214" s="274"/>
      <c r="BG214" s="222">
        <f t="shared" si="90"/>
        <v>0</v>
      </c>
      <c r="BH214" s="140">
        <f t="shared" si="91"/>
        <v>0</v>
      </c>
      <c r="BI214" s="132"/>
      <c r="BJ214" s="140">
        <f t="shared" si="92"/>
        <v>0</v>
      </c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30">
        <f t="shared" si="93"/>
        <v>0</v>
      </c>
      <c r="BY214" s="132"/>
    </row>
    <row r="215" ht="14.25" customHeight="1">
      <c r="A215" s="132"/>
      <c r="B215" s="215">
        <v>46212</v>
      </c>
      <c r="C215" s="133"/>
      <c r="D215" s="136"/>
      <c r="E215" s="135"/>
      <c r="F215" s="135"/>
      <c r="G215" s="147">
        <f t="shared" si="87"/>
        <v>0</v>
      </c>
      <c r="H215" s="768"/>
      <c r="I215" s="768"/>
      <c r="J215" s="611"/>
      <c r="K215" s="611"/>
      <c r="L215" s="611"/>
      <c r="M215" s="611"/>
      <c r="N215" s="611"/>
      <c r="O215" s="611"/>
      <c r="P215" s="611"/>
      <c r="Q215" s="611"/>
      <c r="R215" s="611"/>
      <c r="S215" s="143"/>
      <c r="T215" s="143"/>
      <c r="U215" s="143"/>
      <c r="V215" s="143"/>
      <c r="W215" s="143"/>
      <c r="X215" s="1248">
        <f t="shared" si="94"/>
        <v>0</v>
      </c>
      <c r="Y215" s="611"/>
      <c r="Z215" s="611"/>
      <c r="AA215" s="143"/>
      <c r="AB215" s="143"/>
      <c r="AC215" s="143"/>
      <c r="AD215" s="143"/>
      <c r="AE215" s="143"/>
      <c r="AF215" s="143"/>
      <c r="AG215" s="143"/>
      <c r="AH215" s="143"/>
      <c r="AI215" s="143"/>
      <c r="AJ215" s="143"/>
      <c r="AK215" s="143"/>
      <c r="AL215" s="103">
        <f t="shared" si="95"/>
        <v>0</v>
      </c>
      <c r="AM215" s="136"/>
      <c r="AN215" s="136"/>
      <c r="AO215" s="136"/>
      <c r="AP215" s="105">
        <f t="shared" si="88"/>
        <v>0</v>
      </c>
      <c r="AQ215" s="143"/>
      <c r="AR215" s="143"/>
      <c r="AS215" s="143"/>
      <c r="AT215" s="146"/>
      <c r="AU215" s="224">
        <f t="shared" si="89"/>
        <v>0</v>
      </c>
      <c r="AV215" s="274"/>
      <c r="AW215" s="127"/>
      <c r="AX215" s="428"/>
      <c r="AY215" s="428"/>
      <c r="AZ215" s="428"/>
      <c r="BA215" s="127"/>
      <c r="BB215" s="126"/>
      <c r="BC215" s="127"/>
      <c r="BD215" s="274"/>
      <c r="BE215" s="274"/>
      <c r="BF215" s="274"/>
      <c r="BG215" s="222">
        <f t="shared" si="90"/>
        <v>0</v>
      </c>
      <c r="BH215" s="140">
        <f t="shared" si="91"/>
        <v>0</v>
      </c>
      <c r="BI215" s="132"/>
      <c r="BJ215" s="140">
        <f t="shared" si="92"/>
        <v>0</v>
      </c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30">
        <f t="shared" si="93"/>
        <v>0</v>
      </c>
      <c r="BY215" s="132"/>
    </row>
    <row r="216" ht="14.25" customHeight="1">
      <c r="A216" s="132"/>
      <c r="B216" s="215">
        <v>46213</v>
      </c>
      <c r="C216" s="133"/>
      <c r="D216" s="136"/>
      <c r="E216" s="135"/>
      <c r="F216" s="135"/>
      <c r="G216" s="147">
        <f t="shared" si="87"/>
        <v>0</v>
      </c>
      <c r="H216" s="768"/>
      <c r="I216" s="768"/>
      <c r="J216" s="611"/>
      <c r="K216" s="611"/>
      <c r="L216" s="611"/>
      <c r="M216" s="611"/>
      <c r="N216" s="611"/>
      <c r="O216" s="611"/>
      <c r="P216" s="611"/>
      <c r="Q216" s="611"/>
      <c r="R216" s="611"/>
      <c r="S216" s="143"/>
      <c r="T216" s="143"/>
      <c r="U216" s="143"/>
      <c r="V216" s="143"/>
      <c r="W216" s="143"/>
      <c r="X216" s="1248">
        <f t="shared" si="94"/>
        <v>0</v>
      </c>
      <c r="Y216" s="611"/>
      <c r="Z216" s="611"/>
      <c r="AA216" s="143"/>
      <c r="AB216" s="143"/>
      <c r="AC216" s="143"/>
      <c r="AD216" s="143"/>
      <c r="AE216" s="143"/>
      <c r="AF216" s="143"/>
      <c r="AG216" s="143"/>
      <c r="AH216" s="143"/>
      <c r="AI216" s="143"/>
      <c r="AJ216" s="143"/>
      <c r="AK216" s="143"/>
      <c r="AL216" s="103">
        <f t="shared" si="95"/>
        <v>0</v>
      </c>
      <c r="AM216" s="136"/>
      <c r="AN216" s="136"/>
      <c r="AO216" s="136"/>
      <c r="AP216" s="105">
        <f t="shared" si="88"/>
        <v>0</v>
      </c>
      <c r="AQ216" s="136"/>
      <c r="AR216" s="143"/>
      <c r="AS216" s="143"/>
      <c r="AT216" s="146"/>
      <c r="AU216" s="224">
        <f t="shared" si="89"/>
        <v>0</v>
      </c>
      <c r="AV216" s="274"/>
      <c r="AW216" s="127"/>
      <c r="AX216" s="428"/>
      <c r="AY216" s="428"/>
      <c r="AZ216" s="428"/>
      <c r="BA216" s="127"/>
      <c r="BB216" s="126"/>
      <c r="BC216" s="127"/>
      <c r="BD216" s="274"/>
      <c r="BE216" s="274"/>
      <c r="BF216" s="274"/>
      <c r="BG216" s="222">
        <f t="shared" si="90"/>
        <v>0</v>
      </c>
      <c r="BH216" s="140">
        <f t="shared" si="91"/>
        <v>0</v>
      </c>
      <c r="BI216" s="132"/>
      <c r="BJ216" s="140">
        <f t="shared" si="92"/>
        <v>0</v>
      </c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30">
        <f t="shared" si="93"/>
        <v>0</v>
      </c>
      <c r="BY216" s="132"/>
    </row>
    <row r="217" ht="14.25" customHeight="1">
      <c r="A217" s="132"/>
      <c r="B217" s="215">
        <v>46214</v>
      </c>
      <c r="C217" s="133"/>
      <c r="D217" s="136"/>
      <c r="E217" s="135"/>
      <c r="F217" s="135"/>
      <c r="G217" s="147">
        <f t="shared" si="87"/>
        <v>0</v>
      </c>
      <c r="H217" s="768"/>
      <c r="I217" s="768"/>
      <c r="J217" s="611"/>
      <c r="K217" s="611"/>
      <c r="L217" s="611"/>
      <c r="M217" s="611"/>
      <c r="N217" s="611"/>
      <c r="O217" s="611"/>
      <c r="P217" s="611"/>
      <c r="Q217" s="611"/>
      <c r="R217" s="611"/>
      <c r="S217" s="143"/>
      <c r="T217" s="143"/>
      <c r="U217" s="143"/>
      <c r="V217" s="143"/>
      <c r="W217" s="143"/>
      <c r="X217" s="1248">
        <f t="shared" si="94"/>
        <v>0</v>
      </c>
      <c r="Y217" s="611"/>
      <c r="Z217" s="611"/>
      <c r="AA217" s="143"/>
      <c r="AB217" s="143"/>
      <c r="AC217" s="143"/>
      <c r="AD217" s="143"/>
      <c r="AE217" s="143"/>
      <c r="AF217" s="143"/>
      <c r="AG217" s="143"/>
      <c r="AH217" s="143"/>
      <c r="AI217" s="143"/>
      <c r="AJ217" s="143"/>
      <c r="AK217" s="143"/>
      <c r="AL217" s="103">
        <f t="shared" si="95"/>
        <v>0</v>
      </c>
      <c r="AM217" s="136"/>
      <c r="AN217" s="136"/>
      <c r="AO217" s="136"/>
      <c r="AP217" s="105">
        <f t="shared" si="88"/>
        <v>0</v>
      </c>
      <c r="AQ217" s="136"/>
      <c r="AR217" s="143"/>
      <c r="AS217" s="143"/>
      <c r="AT217" s="146"/>
      <c r="AU217" s="224">
        <f t="shared" si="89"/>
        <v>0</v>
      </c>
      <c r="AV217" s="274"/>
      <c r="AW217" s="127"/>
      <c r="AX217" s="428"/>
      <c r="AY217" s="428"/>
      <c r="AZ217" s="428"/>
      <c r="BA217" s="127"/>
      <c r="BB217" s="126"/>
      <c r="BC217" s="127"/>
      <c r="BD217" s="274"/>
      <c r="BE217" s="274"/>
      <c r="BF217" s="274"/>
      <c r="BG217" s="222">
        <f t="shared" si="90"/>
        <v>0</v>
      </c>
      <c r="BH217" s="140">
        <f t="shared" si="91"/>
        <v>0</v>
      </c>
      <c r="BI217" s="132"/>
      <c r="BJ217" s="140">
        <f t="shared" si="92"/>
        <v>0</v>
      </c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30">
        <f t="shared" si="93"/>
        <v>0</v>
      </c>
      <c r="BY217" s="132"/>
    </row>
    <row r="218" ht="14.25" customHeight="1">
      <c r="A218" s="132"/>
      <c r="B218" s="215">
        <v>46215</v>
      </c>
      <c r="C218" s="133"/>
      <c r="D218" s="136"/>
      <c r="E218" s="135"/>
      <c r="F218" s="135"/>
      <c r="G218" s="147">
        <f t="shared" si="87"/>
        <v>0</v>
      </c>
      <c r="H218" s="768"/>
      <c r="I218" s="768"/>
      <c r="J218" s="611"/>
      <c r="K218" s="611"/>
      <c r="L218" s="611"/>
      <c r="M218" s="611"/>
      <c r="N218" s="611"/>
      <c r="O218" s="611"/>
      <c r="P218" s="611"/>
      <c r="Q218" s="611"/>
      <c r="R218" s="611"/>
      <c r="S218" s="143"/>
      <c r="T218" s="143"/>
      <c r="U218" s="143"/>
      <c r="V218" s="143"/>
      <c r="W218" s="143"/>
      <c r="X218" s="1248">
        <f t="shared" si="94"/>
        <v>0</v>
      </c>
      <c r="Y218" s="611"/>
      <c r="Z218" s="611"/>
      <c r="AA218" s="143"/>
      <c r="AB218" s="143"/>
      <c r="AC218" s="143"/>
      <c r="AD218" s="143"/>
      <c r="AE218" s="143"/>
      <c r="AF218" s="143"/>
      <c r="AG218" s="143"/>
      <c r="AH218" s="143"/>
      <c r="AI218" s="143"/>
      <c r="AJ218" s="143"/>
      <c r="AK218" s="143"/>
      <c r="AL218" s="103">
        <f t="shared" si="95"/>
        <v>0</v>
      </c>
      <c r="AM218" s="136"/>
      <c r="AN218" s="136"/>
      <c r="AO218" s="136"/>
      <c r="AP218" s="105">
        <f t="shared" si="88"/>
        <v>0</v>
      </c>
      <c r="AQ218" s="136"/>
      <c r="AR218" s="143"/>
      <c r="AS218" s="143"/>
      <c r="AT218" s="146"/>
      <c r="AU218" s="224">
        <f t="shared" si="89"/>
        <v>0</v>
      </c>
      <c r="AV218" s="274"/>
      <c r="AW218" s="127"/>
      <c r="AX218" s="428"/>
      <c r="AY218" s="428"/>
      <c r="AZ218" s="428"/>
      <c r="BA218" s="127"/>
      <c r="BB218" s="126"/>
      <c r="BC218" s="127"/>
      <c r="BD218" s="274"/>
      <c r="BE218" s="274"/>
      <c r="BF218" s="274"/>
      <c r="BG218" s="222">
        <f t="shared" si="90"/>
        <v>0</v>
      </c>
      <c r="BH218" s="140">
        <f t="shared" si="91"/>
        <v>0</v>
      </c>
      <c r="BI218" s="132"/>
      <c r="BJ218" s="140">
        <f t="shared" si="92"/>
        <v>0</v>
      </c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30">
        <f t="shared" si="93"/>
        <v>0</v>
      </c>
      <c r="BY218" s="132"/>
    </row>
    <row r="219" ht="14.25" customHeight="1">
      <c r="A219" s="3"/>
      <c r="B219" s="215">
        <v>46216</v>
      </c>
      <c r="C219" s="118"/>
      <c r="D219" s="123"/>
      <c r="E219" s="120"/>
      <c r="F219" s="120"/>
      <c r="G219" s="147">
        <f t="shared" si="87"/>
        <v>0</v>
      </c>
      <c r="H219" s="768"/>
      <c r="I219" s="768"/>
      <c r="J219" s="611"/>
      <c r="K219" s="611"/>
      <c r="L219" s="611"/>
      <c r="M219" s="611"/>
      <c r="N219" s="611"/>
      <c r="O219" s="611"/>
      <c r="P219" s="611"/>
      <c r="Q219" s="611"/>
      <c r="R219" s="611"/>
      <c r="S219" s="143"/>
      <c r="T219" s="143"/>
      <c r="U219" s="143"/>
      <c r="V219" s="143"/>
      <c r="W219" s="143"/>
      <c r="X219" s="1248">
        <f t="shared" si="94"/>
        <v>0</v>
      </c>
      <c r="Y219" s="611"/>
      <c r="Z219" s="611"/>
      <c r="AA219" s="143"/>
      <c r="AB219" s="143"/>
      <c r="AC219" s="143"/>
      <c r="AD219" s="143"/>
      <c r="AE219" s="143"/>
      <c r="AF219" s="143"/>
      <c r="AG219" s="143"/>
      <c r="AH219" s="143"/>
      <c r="AI219" s="143"/>
      <c r="AJ219" s="143"/>
      <c r="AK219" s="143"/>
      <c r="AL219" s="103">
        <f t="shared" si="95"/>
        <v>0</v>
      </c>
      <c r="AM219" s="123"/>
      <c r="AN219" s="123"/>
      <c r="AO219" s="123"/>
      <c r="AP219" s="105">
        <f t="shared" si="88"/>
        <v>0</v>
      </c>
      <c r="AQ219" s="123"/>
      <c r="AR219" s="143"/>
      <c r="AS219" s="143"/>
      <c r="AT219" s="146"/>
      <c r="AU219" s="224">
        <f t="shared" si="89"/>
        <v>0</v>
      </c>
      <c r="AV219" s="274"/>
      <c r="AW219" s="127"/>
      <c r="AX219" s="428"/>
      <c r="AY219" s="428"/>
      <c r="AZ219" s="428"/>
      <c r="BA219" s="127"/>
      <c r="BB219" s="126"/>
      <c r="BC219" s="127"/>
      <c r="BD219" s="274"/>
      <c r="BE219" s="274"/>
      <c r="BF219" s="274"/>
      <c r="BG219" s="222">
        <f t="shared" si="90"/>
        <v>0</v>
      </c>
      <c r="BH219" s="113">
        <f t="shared" si="91"/>
        <v>0</v>
      </c>
      <c r="BI219" s="3"/>
      <c r="BJ219" s="113">
        <f t="shared" si="92"/>
        <v>0</v>
      </c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29"/>
      <c r="BU219" s="129"/>
      <c r="BV219" s="141"/>
      <c r="BW219" s="129"/>
      <c r="BX219" s="130">
        <f t="shared" si="93"/>
        <v>0</v>
      </c>
      <c r="BY219" s="3"/>
    </row>
    <row r="220" ht="14.25" customHeight="1">
      <c r="A220" s="132"/>
      <c r="B220" s="215">
        <v>46217</v>
      </c>
      <c r="C220" s="133"/>
      <c r="D220" s="136"/>
      <c r="E220" s="135"/>
      <c r="F220" s="135"/>
      <c r="G220" s="147">
        <f t="shared" si="87"/>
        <v>0</v>
      </c>
      <c r="H220" s="768"/>
      <c r="I220" s="768"/>
      <c r="J220" s="611"/>
      <c r="K220" s="611"/>
      <c r="L220" s="611"/>
      <c r="M220" s="611"/>
      <c r="N220" s="611"/>
      <c r="O220" s="611"/>
      <c r="P220" s="611"/>
      <c r="Q220" s="611"/>
      <c r="R220" s="611"/>
      <c r="S220" s="143"/>
      <c r="T220" s="143"/>
      <c r="U220" s="143"/>
      <c r="V220" s="143"/>
      <c r="W220" s="143"/>
      <c r="X220" s="1248">
        <f t="shared" si="94"/>
        <v>0</v>
      </c>
      <c r="Y220" s="611"/>
      <c r="Z220" s="611"/>
      <c r="AA220" s="143"/>
      <c r="AB220" s="143"/>
      <c r="AC220" s="143"/>
      <c r="AD220" s="143"/>
      <c r="AE220" s="143"/>
      <c r="AF220" s="143"/>
      <c r="AG220" s="143"/>
      <c r="AH220" s="143"/>
      <c r="AI220" s="143"/>
      <c r="AJ220" s="143"/>
      <c r="AK220" s="143"/>
      <c r="AL220" s="103">
        <f t="shared" si="95"/>
        <v>0</v>
      </c>
      <c r="AM220" s="136"/>
      <c r="AN220" s="136"/>
      <c r="AO220" s="136"/>
      <c r="AP220" s="105">
        <f t="shared" si="88"/>
        <v>0</v>
      </c>
      <c r="AQ220" s="136"/>
      <c r="AR220" s="143"/>
      <c r="AS220" s="143"/>
      <c r="AT220" s="146"/>
      <c r="AU220" s="224">
        <f t="shared" si="89"/>
        <v>0</v>
      </c>
      <c r="AV220" s="274"/>
      <c r="AW220" s="127"/>
      <c r="AX220" s="428"/>
      <c r="AY220" s="428"/>
      <c r="AZ220" s="428"/>
      <c r="BA220" s="127"/>
      <c r="BB220" s="126"/>
      <c r="BC220" s="127"/>
      <c r="BD220" s="274"/>
      <c r="BE220" s="274"/>
      <c r="BF220" s="274"/>
      <c r="BG220" s="222">
        <f t="shared" si="90"/>
        <v>0</v>
      </c>
      <c r="BH220" s="140">
        <f t="shared" si="91"/>
        <v>0</v>
      </c>
      <c r="BI220" s="132"/>
      <c r="BJ220" s="140">
        <f t="shared" si="92"/>
        <v>0</v>
      </c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30">
        <f t="shared" si="93"/>
        <v>0</v>
      </c>
      <c r="BY220" s="132"/>
    </row>
    <row r="221" ht="14.25" customHeight="1">
      <c r="A221" s="132"/>
      <c r="B221" s="215">
        <v>46218</v>
      </c>
      <c r="C221" s="133"/>
      <c r="D221" s="136"/>
      <c r="E221" s="135"/>
      <c r="F221" s="135"/>
      <c r="G221" s="147">
        <f t="shared" si="87"/>
        <v>0</v>
      </c>
      <c r="H221" s="768"/>
      <c r="I221" s="768"/>
      <c r="J221" s="611"/>
      <c r="K221" s="611"/>
      <c r="L221" s="611"/>
      <c r="M221" s="611"/>
      <c r="N221" s="611"/>
      <c r="O221" s="611"/>
      <c r="P221" s="611"/>
      <c r="Q221" s="611"/>
      <c r="R221" s="611"/>
      <c r="S221" s="143"/>
      <c r="T221" s="143"/>
      <c r="U221" s="143"/>
      <c r="V221" s="143"/>
      <c r="W221" s="143"/>
      <c r="X221" s="1248">
        <f t="shared" si="94"/>
        <v>0</v>
      </c>
      <c r="Y221" s="611"/>
      <c r="Z221" s="611"/>
      <c r="AA221" s="143"/>
      <c r="AB221" s="143"/>
      <c r="AC221" s="143"/>
      <c r="AD221" s="143"/>
      <c r="AE221" s="143"/>
      <c r="AF221" s="143"/>
      <c r="AG221" s="143"/>
      <c r="AH221" s="143"/>
      <c r="AI221" s="143"/>
      <c r="AJ221" s="143"/>
      <c r="AK221" s="143"/>
      <c r="AL221" s="103">
        <f t="shared" si="95"/>
        <v>0</v>
      </c>
      <c r="AM221" s="136"/>
      <c r="AN221" s="136"/>
      <c r="AO221" s="136"/>
      <c r="AP221" s="105">
        <f t="shared" si="88"/>
        <v>0</v>
      </c>
      <c r="AQ221" s="136"/>
      <c r="AR221" s="143"/>
      <c r="AS221" s="143"/>
      <c r="AT221" s="146"/>
      <c r="AU221" s="224">
        <f t="shared" si="89"/>
        <v>0</v>
      </c>
      <c r="AV221" s="274"/>
      <c r="AW221" s="127"/>
      <c r="AX221" s="428"/>
      <c r="AY221" s="428"/>
      <c r="AZ221" s="428"/>
      <c r="BA221" s="127"/>
      <c r="BB221" s="126"/>
      <c r="BC221" s="127"/>
      <c r="BD221" s="274"/>
      <c r="BE221" s="274"/>
      <c r="BF221" s="274"/>
      <c r="BG221" s="222">
        <f t="shared" si="90"/>
        <v>0</v>
      </c>
      <c r="BH221" s="140">
        <f t="shared" si="91"/>
        <v>0</v>
      </c>
      <c r="BI221" s="132"/>
      <c r="BJ221" s="140">
        <f t="shared" si="92"/>
        <v>0</v>
      </c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30">
        <f t="shared" si="93"/>
        <v>0</v>
      </c>
      <c r="BY221" s="132"/>
    </row>
    <row r="222" ht="14.25" customHeight="1">
      <c r="A222" s="132"/>
      <c r="B222" s="215">
        <v>46219</v>
      </c>
      <c r="C222" s="133"/>
      <c r="D222" s="136"/>
      <c r="E222" s="135"/>
      <c r="F222" s="135"/>
      <c r="G222" s="147">
        <f t="shared" si="87"/>
        <v>0</v>
      </c>
      <c r="H222" s="768"/>
      <c r="I222" s="768"/>
      <c r="J222" s="611"/>
      <c r="K222" s="611"/>
      <c r="L222" s="611"/>
      <c r="M222" s="611"/>
      <c r="N222" s="611"/>
      <c r="O222" s="611"/>
      <c r="P222" s="611"/>
      <c r="Q222" s="611"/>
      <c r="R222" s="611"/>
      <c r="S222" s="143"/>
      <c r="T222" s="143"/>
      <c r="U222" s="143"/>
      <c r="V222" s="143"/>
      <c r="W222" s="143"/>
      <c r="X222" s="1248">
        <f t="shared" si="94"/>
        <v>0</v>
      </c>
      <c r="Y222" s="611"/>
      <c r="Z222" s="611"/>
      <c r="AA222" s="143"/>
      <c r="AB222" s="143"/>
      <c r="AC222" s="143"/>
      <c r="AD222" s="143"/>
      <c r="AE222" s="143"/>
      <c r="AF222" s="143"/>
      <c r="AG222" s="143"/>
      <c r="AH222" s="143"/>
      <c r="AI222" s="143"/>
      <c r="AJ222" s="143"/>
      <c r="AK222" s="143"/>
      <c r="AL222" s="103">
        <f t="shared" si="95"/>
        <v>0</v>
      </c>
      <c r="AM222" s="136"/>
      <c r="AN222" s="136"/>
      <c r="AO222" s="136"/>
      <c r="AP222" s="105">
        <f t="shared" si="88"/>
        <v>0</v>
      </c>
      <c r="AQ222" s="140"/>
      <c r="AR222" s="143"/>
      <c r="AS222" s="143"/>
      <c r="AT222" s="146"/>
      <c r="AU222" s="224">
        <f t="shared" si="89"/>
        <v>0</v>
      </c>
      <c r="AV222" s="274"/>
      <c r="AW222" s="127"/>
      <c r="AX222" s="428"/>
      <c r="AY222" s="428"/>
      <c r="AZ222" s="428"/>
      <c r="BA222" s="127"/>
      <c r="BB222" s="126"/>
      <c r="BC222" s="127"/>
      <c r="BD222" s="274"/>
      <c r="BE222" s="274"/>
      <c r="BF222" s="274"/>
      <c r="BG222" s="222">
        <f t="shared" si="90"/>
        <v>0</v>
      </c>
      <c r="BH222" s="140">
        <f t="shared" si="91"/>
        <v>0</v>
      </c>
      <c r="BI222" s="132"/>
      <c r="BJ222" s="140">
        <f t="shared" si="92"/>
        <v>0</v>
      </c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30">
        <f t="shared" si="93"/>
        <v>0</v>
      </c>
      <c r="BY222" s="132"/>
    </row>
    <row r="223" ht="14.25" customHeight="1">
      <c r="A223" s="132"/>
      <c r="B223" s="215">
        <v>46220</v>
      </c>
      <c r="C223" s="133"/>
      <c r="D223" s="136"/>
      <c r="E223" s="135"/>
      <c r="F223" s="135"/>
      <c r="G223" s="147">
        <f t="shared" si="87"/>
        <v>0</v>
      </c>
      <c r="H223" s="768"/>
      <c r="I223" s="768"/>
      <c r="J223" s="611"/>
      <c r="K223" s="611"/>
      <c r="L223" s="611"/>
      <c r="M223" s="611"/>
      <c r="N223" s="611"/>
      <c r="O223" s="611"/>
      <c r="P223" s="611"/>
      <c r="Q223" s="611"/>
      <c r="R223" s="611"/>
      <c r="S223" s="143"/>
      <c r="T223" s="143"/>
      <c r="U223" s="143"/>
      <c r="V223" s="143"/>
      <c r="W223" s="143"/>
      <c r="X223" s="1248">
        <f t="shared" si="94"/>
        <v>0</v>
      </c>
      <c r="Y223" s="611"/>
      <c r="Z223" s="611"/>
      <c r="AA223" s="143"/>
      <c r="AB223" s="143"/>
      <c r="AC223" s="143"/>
      <c r="AD223" s="143"/>
      <c r="AE223" s="143"/>
      <c r="AF223" s="143"/>
      <c r="AG223" s="143"/>
      <c r="AH223" s="143"/>
      <c r="AI223" s="143"/>
      <c r="AJ223" s="143"/>
      <c r="AK223" s="143"/>
      <c r="AL223" s="103">
        <f t="shared" si="95"/>
        <v>0</v>
      </c>
      <c r="AM223" s="136"/>
      <c r="AN223" s="136"/>
      <c r="AO223" s="136"/>
      <c r="AP223" s="105">
        <f t="shared" si="88"/>
        <v>0</v>
      </c>
      <c r="AQ223" s="140"/>
      <c r="AR223" s="143"/>
      <c r="AS223" s="143"/>
      <c r="AT223" s="146"/>
      <c r="AU223" s="224">
        <f t="shared" si="89"/>
        <v>0</v>
      </c>
      <c r="AV223" s="274"/>
      <c r="AW223" s="127"/>
      <c r="AX223" s="428"/>
      <c r="AY223" s="428"/>
      <c r="AZ223" s="428"/>
      <c r="BA223" s="127"/>
      <c r="BB223" s="126"/>
      <c r="BC223" s="127"/>
      <c r="BD223" s="274"/>
      <c r="BE223" s="274"/>
      <c r="BF223" s="274"/>
      <c r="BG223" s="222">
        <f t="shared" si="90"/>
        <v>0</v>
      </c>
      <c r="BH223" s="140">
        <f t="shared" si="91"/>
        <v>0</v>
      </c>
      <c r="BI223" s="132"/>
      <c r="BJ223" s="140">
        <f t="shared" si="92"/>
        <v>0</v>
      </c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30">
        <f t="shared" si="93"/>
        <v>0</v>
      </c>
      <c r="BY223" s="132"/>
    </row>
    <row r="224" ht="14.25" customHeight="1">
      <c r="A224" s="132"/>
      <c r="B224" s="215">
        <v>46221</v>
      </c>
      <c r="C224" s="133"/>
      <c r="D224" s="136"/>
      <c r="E224" s="135"/>
      <c r="F224" s="135"/>
      <c r="G224" s="147">
        <f t="shared" si="87"/>
        <v>0</v>
      </c>
      <c r="H224" s="611"/>
      <c r="I224" s="611"/>
      <c r="J224" s="611"/>
      <c r="K224" s="611"/>
      <c r="L224" s="611"/>
      <c r="M224" s="611"/>
      <c r="N224" s="611"/>
      <c r="O224" s="1312"/>
      <c r="P224" s="611"/>
      <c r="Q224" s="611"/>
      <c r="R224" s="611"/>
      <c r="S224" s="143"/>
      <c r="T224" s="143"/>
      <c r="U224" s="143"/>
      <c r="V224" s="143"/>
      <c r="W224" s="143"/>
      <c r="X224" s="1248">
        <f t="shared" si="94"/>
        <v>0</v>
      </c>
      <c r="Y224" s="611"/>
      <c r="Z224" s="611"/>
      <c r="AA224" s="143"/>
      <c r="AB224" s="143"/>
      <c r="AC224" s="143"/>
      <c r="AD224" s="143"/>
      <c r="AE224" s="143"/>
      <c r="AF224" s="143"/>
      <c r="AG224" s="143"/>
      <c r="AH224" s="143"/>
      <c r="AI224" s="143"/>
      <c r="AJ224" s="143"/>
      <c r="AK224" s="143"/>
      <c r="AL224" s="103">
        <f t="shared" si="95"/>
        <v>0</v>
      </c>
      <c r="AM224" s="136"/>
      <c r="AN224" s="136"/>
      <c r="AO224" s="136"/>
      <c r="AP224" s="105">
        <f t="shared" si="88"/>
        <v>0</v>
      </c>
      <c r="AQ224" s="143"/>
      <c r="AR224" s="143"/>
      <c r="AS224" s="143"/>
      <c r="AT224" s="146"/>
      <c r="AU224" s="224">
        <f t="shared" si="89"/>
        <v>0</v>
      </c>
      <c r="AV224" s="274"/>
      <c r="AW224" s="127"/>
      <c r="AX224" s="428"/>
      <c r="AY224" s="428"/>
      <c r="AZ224" s="428"/>
      <c r="BA224" s="127"/>
      <c r="BB224" s="126"/>
      <c r="BC224" s="127"/>
      <c r="BD224" s="274"/>
      <c r="BE224" s="274"/>
      <c r="BF224" s="274"/>
      <c r="BG224" s="222">
        <f t="shared" si="90"/>
        <v>0</v>
      </c>
      <c r="BH224" s="140">
        <f t="shared" si="91"/>
        <v>0</v>
      </c>
      <c r="BI224" s="132"/>
      <c r="BJ224" s="140">
        <f t="shared" si="92"/>
        <v>0</v>
      </c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30">
        <f t="shared" si="93"/>
        <v>0</v>
      </c>
      <c r="BY224" s="132"/>
    </row>
    <row r="225" ht="14.25" customHeight="1">
      <c r="A225" s="132"/>
      <c r="B225" s="215">
        <v>46222</v>
      </c>
      <c r="C225" s="133"/>
      <c r="D225" s="136"/>
      <c r="E225" s="135"/>
      <c r="F225" s="135"/>
      <c r="G225" s="147">
        <f t="shared" si="87"/>
        <v>0</v>
      </c>
      <c r="H225" s="768"/>
      <c r="I225" s="768"/>
      <c r="J225" s="611"/>
      <c r="K225" s="611"/>
      <c r="L225" s="611"/>
      <c r="M225" s="611"/>
      <c r="N225" s="611"/>
      <c r="O225" s="611"/>
      <c r="P225" s="611"/>
      <c r="Q225" s="611"/>
      <c r="R225" s="611"/>
      <c r="S225" s="143"/>
      <c r="T225" s="143"/>
      <c r="U225" s="143"/>
      <c r="V225" s="143"/>
      <c r="W225" s="143"/>
      <c r="X225" s="1248">
        <f t="shared" si="94"/>
        <v>0</v>
      </c>
      <c r="Y225" s="611"/>
      <c r="Z225" s="611"/>
      <c r="AA225" s="143"/>
      <c r="AB225" s="143"/>
      <c r="AC225" s="143"/>
      <c r="AD225" s="143"/>
      <c r="AE225" s="143"/>
      <c r="AF225" s="143"/>
      <c r="AG225" s="143"/>
      <c r="AH225" s="143"/>
      <c r="AI225" s="143"/>
      <c r="AJ225" s="143"/>
      <c r="AK225" s="143"/>
      <c r="AL225" s="103">
        <f t="shared" si="95"/>
        <v>0</v>
      </c>
      <c r="AM225" s="136"/>
      <c r="AN225" s="136"/>
      <c r="AO225" s="136"/>
      <c r="AP225" s="105">
        <f t="shared" si="88"/>
        <v>0</v>
      </c>
      <c r="AQ225" s="143"/>
      <c r="AR225" s="143"/>
      <c r="AS225" s="143"/>
      <c r="AT225" s="146"/>
      <c r="AU225" s="224">
        <f t="shared" si="89"/>
        <v>0</v>
      </c>
      <c r="AV225" s="274"/>
      <c r="AW225" s="127"/>
      <c r="AX225" s="428"/>
      <c r="AY225" s="428"/>
      <c r="AZ225" s="428"/>
      <c r="BA225" s="127"/>
      <c r="BB225" s="126"/>
      <c r="BC225" s="127"/>
      <c r="BD225" s="274"/>
      <c r="BE225" s="274"/>
      <c r="BF225" s="274"/>
      <c r="BG225" s="222">
        <f t="shared" si="90"/>
        <v>0</v>
      </c>
      <c r="BH225" s="140">
        <f t="shared" si="91"/>
        <v>0</v>
      </c>
      <c r="BI225" s="132"/>
      <c r="BJ225" s="140">
        <f t="shared" si="92"/>
        <v>0</v>
      </c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30">
        <f t="shared" si="93"/>
        <v>0</v>
      </c>
      <c r="BY225" s="132"/>
    </row>
    <row r="226" ht="14.25" customHeight="1">
      <c r="A226" s="132"/>
      <c r="B226" s="215">
        <v>46223</v>
      </c>
      <c r="C226" s="133"/>
      <c r="D226" s="136"/>
      <c r="E226" s="135"/>
      <c r="F226" s="135"/>
      <c r="G226" s="147">
        <f t="shared" si="87"/>
        <v>0</v>
      </c>
      <c r="H226" s="768"/>
      <c r="I226" s="768"/>
      <c r="J226" s="611"/>
      <c r="K226" s="611"/>
      <c r="L226" s="611"/>
      <c r="M226" s="611"/>
      <c r="N226" s="611"/>
      <c r="O226" s="611"/>
      <c r="P226" s="611"/>
      <c r="Q226" s="611"/>
      <c r="R226" s="611"/>
      <c r="S226" s="143"/>
      <c r="T226" s="143"/>
      <c r="U226" s="143"/>
      <c r="V226" s="143"/>
      <c r="W226" s="143"/>
      <c r="X226" s="1248">
        <f t="shared" si="94"/>
        <v>0</v>
      </c>
      <c r="Y226" s="611"/>
      <c r="Z226" s="611"/>
      <c r="AA226" s="143"/>
      <c r="AB226" s="143"/>
      <c r="AC226" s="143"/>
      <c r="AD226" s="143"/>
      <c r="AE226" s="143"/>
      <c r="AF226" s="143"/>
      <c r="AG226" s="143"/>
      <c r="AH226" s="143"/>
      <c r="AI226" s="143"/>
      <c r="AJ226" s="143"/>
      <c r="AK226" s="143"/>
      <c r="AL226" s="103">
        <f t="shared" si="95"/>
        <v>0</v>
      </c>
      <c r="AM226" s="136"/>
      <c r="AN226" s="136"/>
      <c r="AO226" s="136"/>
      <c r="AP226" s="105">
        <f t="shared" si="88"/>
        <v>0</v>
      </c>
      <c r="AQ226" s="143"/>
      <c r="AR226" s="143"/>
      <c r="AS226" s="143"/>
      <c r="AT226" s="146"/>
      <c r="AU226" s="224">
        <f t="shared" si="89"/>
        <v>0</v>
      </c>
      <c r="AV226" s="274"/>
      <c r="AW226" s="127"/>
      <c r="AX226" s="428"/>
      <c r="AY226" s="428"/>
      <c r="AZ226" s="428"/>
      <c r="BA226" s="127"/>
      <c r="BB226" s="126"/>
      <c r="BC226" s="127"/>
      <c r="BD226" s="274"/>
      <c r="BE226" s="274"/>
      <c r="BF226" s="274"/>
      <c r="BG226" s="222">
        <f t="shared" si="90"/>
        <v>0</v>
      </c>
      <c r="BH226" s="140">
        <f t="shared" si="91"/>
        <v>0</v>
      </c>
      <c r="BI226" s="132"/>
      <c r="BJ226" s="140">
        <f t="shared" si="92"/>
        <v>0</v>
      </c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30">
        <f t="shared" si="93"/>
        <v>0</v>
      </c>
      <c r="BY226" s="132"/>
    </row>
    <row r="227" ht="14.25" customHeight="1">
      <c r="A227" s="3"/>
      <c r="B227" s="215">
        <v>46224</v>
      </c>
      <c r="C227" s="118"/>
      <c r="D227" s="123"/>
      <c r="E227" s="120"/>
      <c r="F227" s="120"/>
      <c r="G227" s="147">
        <f t="shared" si="87"/>
        <v>0</v>
      </c>
      <c r="H227" s="768"/>
      <c r="I227" s="768"/>
      <c r="J227" s="611"/>
      <c r="K227" s="611"/>
      <c r="L227" s="611"/>
      <c r="M227" s="611"/>
      <c r="N227" s="611"/>
      <c r="O227" s="611"/>
      <c r="P227" s="611"/>
      <c r="Q227" s="611"/>
      <c r="R227" s="611"/>
      <c r="S227" s="143"/>
      <c r="T227" s="143"/>
      <c r="U227" s="143"/>
      <c r="V227" s="143"/>
      <c r="W227" s="143"/>
      <c r="X227" s="1248">
        <f t="shared" si="94"/>
        <v>0</v>
      </c>
      <c r="Y227" s="611"/>
      <c r="Z227" s="611"/>
      <c r="AA227" s="143"/>
      <c r="AB227" s="143"/>
      <c r="AC227" s="143"/>
      <c r="AD227" s="143"/>
      <c r="AE227" s="143"/>
      <c r="AF227" s="143"/>
      <c r="AG227" s="143"/>
      <c r="AH227" s="143"/>
      <c r="AI227" s="143"/>
      <c r="AJ227" s="143"/>
      <c r="AK227" s="143"/>
      <c r="AL227" s="103">
        <f t="shared" si="95"/>
        <v>0</v>
      </c>
      <c r="AM227" s="123"/>
      <c r="AN227" s="123"/>
      <c r="AO227" s="123"/>
      <c r="AP227" s="105">
        <f t="shared" si="88"/>
        <v>0</v>
      </c>
      <c r="AQ227" s="143"/>
      <c r="AR227" s="143"/>
      <c r="AS227" s="143"/>
      <c r="AT227" s="146"/>
      <c r="AU227" s="224">
        <f t="shared" si="89"/>
        <v>0</v>
      </c>
      <c r="AV227" s="274"/>
      <c r="AW227" s="127"/>
      <c r="AX227" s="428"/>
      <c r="AY227" s="428"/>
      <c r="AZ227" s="428"/>
      <c r="BA227" s="127"/>
      <c r="BB227" s="126"/>
      <c r="BC227" s="127"/>
      <c r="BD227" s="274"/>
      <c r="BE227" s="274"/>
      <c r="BF227" s="274"/>
      <c r="BG227" s="222">
        <f t="shared" si="90"/>
        <v>0</v>
      </c>
      <c r="BH227" s="113">
        <f t="shared" si="91"/>
        <v>0</v>
      </c>
      <c r="BI227" s="3"/>
      <c r="BJ227" s="113">
        <f t="shared" si="92"/>
        <v>0</v>
      </c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41"/>
      <c r="BW227" s="129"/>
      <c r="BX227" s="130">
        <f t="shared" si="93"/>
        <v>0</v>
      </c>
      <c r="BY227" s="3"/>
    </row>
    <row r="228" ht="14.25" customHeight="1">
      <c r="A228" s="3"/>
      <c r="B228" s="215">
        <v>46225</v>
      </c>
      <c r="C228" s="118"/>
      <c r="D228" s="123"/>
      <c r="E228" s="120"/>
      <c r="F228" s="120"/>
      <c r="G228" s="147">
        <f t="shared" si="87"/>
        <v>0</v>
      </c>
      <c r="H228" s="768"/>
      <c r="I228" s="768"/>
      <c r="J228" s="611"/>
      <c r="K228" s="611"/>
      <c r="L228" s="611"/>
      <c r="M228" s="611"/>
      <c r="N228" s="611"/>
      <c r="O228" s="611"/>
      <c r="P228" s="611"/>
      <c r="Q228" s="611"/>
      <c r="R228" s="611"/>
      <c r="S228" s="143"/>
      <c r="T228" s="143"/>
      <c r="U228" s="143"/>
      <c r="V228" s="143"/>
      <c r="W228" s="143"/>
      <c r="X228" s="1248">
        <f t="shared" si="94"/>
        <v>0</v>
      </c>
      <c r="Y228" s="611"/>
      <c r="Z228" s="611"/>
      <c r="AA228" s="143"/>
      <c r="AB228" s="143"/>
      <c r="AC228" s="143"/>
      <c r="AD228" s="143"/>
      <c r="AE228" s="143"/>
      <c r="AF228" s="143"/>
      <c r="AG228" s="143"/>
      <c r="AH228" s="143"/>
      <c r="AI228" s="143"/>
      <c r="AJ228" s="143"/>
      <c r="AK228" s="143"/>
      <c r="AL228" s="103">
        <f t="shared" si="95"/>
        <v>0</v>
      </c>
      <c r="AM228" s="136"/>
      <c r="AN228" s="123"/>
      <c r="AO228" s="123"/>
      <c r="AP228" s="105">
        <f t="shared" si="88"/>
        <v>0</v>
      </c>
      <c r="AQ228" s="143"/>
      <c r="AR228" s="143"/>
      <c r="AS228" s="143"/>
      <c r="AT228" s="146"/>
      <c r="AU228" s="224">
        <f t="shared" si="89"/>
        <v>0</v>
      </c>
      <c r="AV228" s="274"/>
      <c r="AW228" s="127"/>
      <c r="AX228" s="428"/>
      <c r="AY228" s="428"/>
      <c r="AZ228" s="428"/>
      <c r="BA228" s="127"/>
      <c r="BB228" s="126"/>
      <c r="BC228" s="127"/>
      <c r="BD228" s="274"/>
      <c r="BE228" s="274"/>
      <c r="BF228" s="274"/>
      <c r="BG228" s="222">
        <f t="shared" si="90"/>
        <v>0</v>
      </c>
      <c r="BH228" s="113">
        <f t="shared" si="91"/>
        <v>0</v>
      </c>
      <c r="BI228" s="3"/>
      <c r="BJ228" s="113">
        <f t="shared" si="92"/>
        <v>0</v>
      </c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41"/>
      <c r="BW228" s="129"/>
      <c r="BX228" s="130">
        <f t="shared" si="93"/>
        <v>0</v>
      </c>
      <c r="BY228" s="3"/>
    </row>
    <row r="229" ht="14.25" customHeight="1">
      <c r="A229" s="132"/>
      <c r="B229" s="215">
        <v>46226</v>
      </c>
      <c r="C229" s="133"/>
      <c r="D229" s="463"/>
      <c r="E229" s="135"/>
      <c r="F229" s="135"/>
      <c r="G229" s="147">
        <f>+C229+D229+E22</f>
        <v>0</v>
      </c>
      <c r="H229" s="768"/>
      <c r="I229" s="768"/>
      <c r="J229" s="611"/>
      <c r="K229" s="611"/>
      <c r="L229" s="611"/>
      <c r="M229" s="611"/>
      <c r="N229" s="611"/>
      <c r="O229" s="611"/>
      <c r="P229" s="611"/>
      <c r="Q229" s="611"/>
      <c r="R229" s="611"/>
      <c r="S229" s="143"/>
      <c r="T229" s="143"/>
      <c r="U229" s="143"/>
      <c r="V229" s="143"/>
      <c r="W229" s="143"/>
      <c r="X229" s="1248">
        <f t="shared" si="94"/>
        <v>0</v>
      </c>
      <c r="Y229" s="611"/>
      <c r="Z229" s="611"/>
      <c r="AA229" s="143"/>
      <c r="AB229" s="143"/>
      <c r="AC229" s="143"/>
      <c r="AD229" s="143"/>
      <c r="AE229" s="143"/>
      <c r="AF229" s="143"/>
      <c r="AG229" s="143"/>
      <c r="AH229" s="143"/>
      <c r="AI229" s="143"/>
      <c r="AJ229" s="143"/>
      <c r="AK229" s="143"/>
      <c r="AL229" s="103">
        <f t="shared" si="95"/>
        <v>0</v>
      </c>
      <c r="AM229" s="136"/>
      <c r="AN229" s="136"/>
      <c r="AO229" s="136"/>
      <c r="AP229" s="105">
        <f t="shared" si="88"/>
        <v>0</v>
      </c>
      <c r="AQ229" s="143"/>
      <c r="AR229" s="143"/>
      <c r="AS229" s="143"/>
      <c r="AT229" s="146"/>
      <c r="AU229" s="224">
        <f t="shared" si="89"/>
        <v>0</v>
      </c>
      <c r="AV229" s="274"/>
      <c r="AW229" s="127"/>
      <c r="AX229" s="428"/>
      <c r="AY229" s="428"/>
      <c r="AZ229" s="428"/>
      <c r="BA229" s="127"/>
      <c r="BB229" s="126"/>
      <c r="BC229" s="127"/>
      <c r="BD229" s="274"/>
      <c r="BE229" s="274"/>
      <c r="BF229" s="274"/>
      <c r="BG229" s="222">
        <f t="shared" si="90"/>
        <v>0</v>
      </c>
      <c r="BH229" s="140">
        <f t="shared" si="91"/>
        <v>0</v>
      </c>
      <c r="BI229" s="132"/>
      <c r="BJ229" s="140">
        <f t="shared" si="92"/>
        <v>0</v>
      </c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30">
        <f t="shared" si="93"/>
        <v>0</v>
      </c>
      <c r="BY229" s="132"/>
    </row>
    <row r="230" ht="14.25" customHeight="1">
      <c r="A230" s="132"/>
      <c r="B230" s="215">
        <v>46227</v>
      </c>
      <c r="C230" s="133"/>
      <c r="D230" s="463"/>
      <c r="E230" s="135"/>
      <c r="F230" s="135"/>
      <c r="G230" s="147">
        <f ref="G230:G237" t="shared" si="96">+C230+D230+E230+F230</f>
        <v>0</v>
      </c>
      <c r="H230" s="768"/>
      <c r="I230" s="768"/>
      <c r="J230" s="611"/>
      <c r="K230" s="611"/>
      <c r="L230" s="641"/>
      <c r="M230" s="641"/>
      <c r="N230" s="641"/>
      <c r="O230" s="611"/>
      <c r="P230" s="611"/>
      <c r="Q230" s="611"/>
      <c r="R230" s="611"/>
      <c r="S230" s="143"/>
      <c r="T230" s="143"/>
      <c r="U230" s="143"/>
      <c r="V230" s="143"/>
      <c r="W230" s="143"/>
      <c r="X230" s="1248">
        <f t="shared" si="94"/>
        <v>0</v>
      </c>
      <c r="Y230" s="611"/>
      <c r="Z230" s="611"/>
      <c r="AA230" s="143"/>
      <c r="AB230" s="143"/>
      <c r="AC230" s="143"/>
      <c r="AD230" s="143"/>
      <c r="AE230" s="143"/>
      <c r="AF230" s="143"/>
      <c r="AG230" s="143"/>
      <c r="AH230" s="143"/>
      <c r="AI230" s="143"/>
      <c r="AJ230" s="143"/>
      <c r="AK230" s="143"/>
      <c r="AL230" s="103">
        <f t="shared" si="95"/>
        <v>0</v>
      </c>
      <c r="AM230" s="136"/>
      <c r="AN230" s="136"/>
      <c r="AO230" s="136"/>
      <c r="AP230" s="105">
        <f t="shared" si="88"/>
        <v>0</v>
      </c>
      <c r="AQ230" s="143"/>
      <c r="AR230" s="143"/>
      <c r="AS230" s="143"/>
      <c r="AT230" s="146"/>
      <c r="AU230" s="224">
        <f t="shared" si="89"/>
        <v>0</v>
      </c>
      <c r="AV230" s="274"/>
      <c r="AW230" s="127"/>
      <c r="AX230" s="428"/>
      <c r="AY230" s="428"/>
      <c r="AZ230" s="428"/>
      <c r="BA230" s="127"/>
      <c r="BB230" s="126"/>
      <c r="BC230" s="127"/>
      <c r="BD230" s="274"/>
      <c r="BE230" s="274"/>
      <c r="BF230" s="274"/>
      <c r="BG230" s="222">
        <f t="shared" si="90"/>
        <v>0</v>
      </c>
      <c r="BH230" s="140">
        <f t="shared" si="91"/>
        <v>0</v>
      </c>
      <c r="BI230" s="132"/>
      <c r="BJ230" s="140">
        <f t="shared" si="92"/>
        <v>0</v>
      </c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30">
        <f t="shared" si="93"/>
        <v>0</v>
      </c>
      <c r="BY230" s="132"/>
    </row>
    <row r="231" ht="14.25" customHeight="1">
      <c r="A231" s="132"/>
      <c r="B231" s="215">
        <v>46228</v>
      </c>
      <c r="C231" s="133"/>
      <c r="D231" s="133"/>
      <c r="E231" s="135"/>
      <c r="F231" s="135"/>
      <c r="G231" s="147">
        <f t="shared" si="96"/>
        <v>0</v>
      </c>
      <c r="H231" s="768"/>
      <c r="I231" s="768"/>
      <c r="J231" s="611"/>
      <c r="K231" s="768"/>
      <c r="L231" s="768"/>
      <c r="M231" s="768"/>
      <c r="N231" s="768"/>
      <c r="O231" s="611"/>
      <c r="P231" s="611"/>
      <c r="Q231" s="611"/>
      <c r="R231" s="611"/>
      <c r="S231" s="143"/>
      <c r="T231" s="143"/>
      <c r="U231" s="143"/>
      <c r="V231" s="143"/>
      <c r="W231" s="143"/>
      <c r="X231" s="1248">
        <f t="shared" si="94"/>
        <v>0</v>
      </c>
      <c r="Y231" s="611"/>
      <c r="Z231" s="611"/>
      <c r="AA231" s="143"/>
      <c r="AB231" s="143"/>
      <c r="AC231" s="143"/>
      <c r="AD231" s="143"/>
      <c r="AE231" s="143"/>
      <c r="AF231" s="143"/>
      <c r="AG231" s="143"/>
      <c r="AH231" s="143"/>
      <c r="AI231" s="143"/>
      <c r="AJ231" s="143"/>
      <c r="AK231" s="143"/>
      <c r="AL231" s="103">
        <f t="shared" si="95"/>
        <v>0</v>
      </c>
      <c r="AM231" s="136"/>
      <c r="AN231" s="136"/>
      <c r="AO231" s="136"/>
      <c r="AP231" s="105">
        <f t="shared" si="88"/>
        <v>0</v>
      </c>
      <c r="AQ231" s="143"/>
      <c r="AR231" s="143"/>
      <c r="AS231" s="143"/>
      <c r="AT231" s="146"/>
      <c r="AU231" s="224">
        <f t="shared" si="89"/>
        <v>0</v>
      </c>
      <c r="AV231" s="274"/>
      <c r="AW231" s="127"/>
      <c r="AX231" s="428"/>
      <c r="AY231" s="428"/>
      <c r="AZ231" s="428"/>
      <c r="BA231" s="127"/>
      <c r="BB231" s="126"/>
      <c r="BC231" s="127"/>
      <c r="BD231" s="274"/>
      <c r="BE231" s="274"/>
      <c r="BF231" s="274"/>
      <c r="BG231" s="222">
        <f t="shared" si="90"/>
        <v>0</v>
      </c>
      <c r="BH231" s="140">
        <f t="shared" si="91"/>
        <v>0</v>
      </c>
      <c r="BI231" s="132"/>
      <c r="BJ231" s="140">
        <f t="shared" si="92"/>
        <v>0</v>
      </c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30">
        <f t="shared" si="93"/>
        <v>0</v>
      </c>
      <c r="BY231" s="132"/>
    </row>
    <row r="232" ht="14.25" customHeight="1">
      <c r="A232" s="132"/>
      <c r="B232" s="215">
        <v>46229</v>
      </c>
      <c r="C232" s="133"/>
      <c r="D232" s="464"/>
      <c r="E232" s="135"/>
      <c r="F232" s="135"/>
      <c r="G232" s="147">
        <f t="shared" si="96"/>
        <v>0</v>
      </c>
      <c r="H232" s="768"/>
      <c r="I232" s="768"/>
      <c r="J232" s="611"/>
      <c r="K232" s="611"/>
      <c r="L232" s="611"/>
      <c r="M232" s="611"/>
      <c r="N232" s="641"/>
      <c r="O232" s="611"/>
      <c r="P232" s="611"/>
      <c r="Q232" s="641"/>
      <c r="R232" s="641"/>
      <c r="S232" s="143"/>
      <c r="T232" s="143"/>
      <c r="U232" s="143"/>
      <c r="V232" s="143"/>
      <c r="W232" s="143"/>
      <c r="X232" s="1248">
        <f t="shared" si="94"/>
        <v>0</v>
      </c>
      <c r="Y232" s="611"/>
      <c r="Z232" s="611"/>
      <c r="AA232" s="143"/>
      <c r="AB232" s="143"/>
      <c r="AC232" s="143"/>
      <c r="AD232" s="143"/>
      <c r="AE232" s="143"/>
      <c r="AF232" s="143"/>
      <c r="AG232" s="143"/>
      <c r="AH232" s="143"/>
      <c r="AI232" s="143"/>
      <c r="AJ232" s="143"/>
      <c r="AK232" s="143"/>
      <c r="AL232" s="103">
        <f t="shared" si="95"/>
        <v>0</v>
      </c>
      <c r="AM232" s="136"/>
      <c r="AN232" s="136"/>
      <c r="AO232" s="136"/>
      <c r="AP232" s="105">
        <f t="shared" si="88"/>
        <v>0</v>
      </c>
      <c r="AQ232" s="143"/>
      <c r="AR232" s="143"/>
      <c r="AS232" s="143"/>
      <c r="AT232" s="146"/>
      <c r="AU232" s="224">
        <f t="shared" si="89"/>
        <v>0</v>
      </c>
      <c r="AV232" s="274"/>
      <c r="AW232" s="127"/>
      <c r="AX232" s="428"/>
      <c r="AY232" s="428"/>
      <c r="AZ232" s="428"/>
      <c r="BA232" s="127"/>
      <c r="BB232" s="126"/>
      <c r="BC232" s="127"/>
      <c r="BD232" s="274"/>
      <c r="BE232" s="274"/>
      <c r="BF232" s="274"/>
      <c r="BG232" s="222">
        <f t="shared" si="90"/>
        <v>0</v>
      </c>
      <c r="BH232" s="140">
        <f t="shared" si="91"/>
        <v>0</v>
      </c>
      <c r="BI232" s="132"/>
      <c r="BJ232" s="140">
        <f t="shared" si="92"/>
        <v>0</v>
      </c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30">
        <f t="shared" si="93"/>
        <v>0</v>
      </c>
      <c r="BY232" s="132"/>
    </row>
    <row r="233" ht="14.25" customHeight="1">
      <c r="A233" s="132"/>
      <c r="B233" s="215">
        <v>46230</v>
      </c>
      <c r="C233" s="133"/>
      <c r="D233" s="133"/>
      <c r="E233" s="135"/>
      <c r="F233" s="135"/>
      <c r="G233" s="147">
        <f t="shared" si="96"/>
        <v>0</v>
      </c>
      <c r="H233" s="1313"/>
      <c r="I233" s="768"/>
      <c r="J233" s="611"/>
      <c r="K233" s="611"/>
      <c r="L233" s="611"/>
      <c r="M233" s="611"/>
      <c r="N233" s="611"/>
      <c r="O233" s="611"/>
      <c r="P233" s="611"/>
      <c r="Q233" s="611"/>
      <c r="R233" s="611"/>
      <c r="S233" s="143"/>
      <c r="T233" s="143"/>
      <c r="U233" s="143"/>
      <c r="V233" s="143"/>
      <c r="W233" s="143"/>
      <c r="X233" s="1248">
        <f t="shared" si="94"/>
        <v>0</v>
      </c>
      <c r="Y233" s="611"/>
      <c r="Z233" s="611"/>
      <c r="AA233" s="143"/>
      <c r="AB233" s="143"/>
      <c r="AC233" s="143"/>
      <c r="AD233" s="143"/>
      <c r="AE233" s="143"/>
      <c r="AF233" s="143"/>
      <c r="AG233" s="143"/>
      <c r="AH233" s="143"/>
      <c r="AI233" s="143"/>
      <c r="AJ233" s="143"/>
      <c r="AK233" s="143"/>
      <c r="AL233" s="103">
        <f t="shared" si="95"/>
        <v>0</v>
      </c>
      <c r="AM233" s="136"/>
      <c r="AN233" s="136"/>
      <c r="AO233" s="136"/>
      <c r="AP233" s="105">
        <f t="shared" si="88"/>
        <v>0</v>
      </c>
      <c r="AQ233" s="143"/>
      <c r="AR233" s="143"/>
      <c r="AS233" s="143"/>
      <c r="AT233" s="146"/>
      <c r="AU233" s="224">
        <f t="shared" si="89"/>
        <v>0</v>
      </c>
      <c r="AV233" s="274"/>
      <c r="AW233" s="127"/>
      <c r="AX233" s="428"/>
      <c r="AY233" s="428"/>
      <c r="AZ233" s="428"/>
      <c r="BA233" s="127"/>
      <c r="BB233" s="126"/>
      <c r="BC233" s="127"/>
      <c r="BD233" s="274"/>
      <c r="BE233" s="274"/>
      <c r="BF233" s="274"/>
      <c r="BG233" s="222">
        <f t="shared" si="90"/>
        <v>0</v>
      </c>
      <c r="BH233" s="140">
        <f t="shared" si="91"/>
        <v>0</v>
      </c>
      <c r="BI233" s="132"/>
      <c r="BJ233" s="140">
        <f t="shared" si="92"/>
        <v>0</v>
      </c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30">
        <f t="shared" si="93"/>
        <v>0</v>
      </c>
      <c r="BY233" s="132"/>
    </row>
    <row r="234" ht="14.25" customHeight="1">
      <c r="A234" s="132"/>
      <c r="B234" s="215">
        <v>46231</v>
      </c>
      <c r="C234" s="133"/>
      <c r="D234" s="133"/>
      <c r="E234" s="135"/>
      <c r="F234" s="135"/>
      <c r="G234" s="147">
        <f t="shared" si="96"/>
        <v>0</v>
      </c>
      <c r="H234" s="768"/>
      <c r="I234" s="768"/>
      <c r="J234" s="611"/>
      <c r="K234" s="611"/>
      <c r="L234" s="611"/>
      <c r="M234" s="611"/>
      <c r="N234" s="611"/>
      <c r="O234" s="611"/>
      <c r="P234" s="611"/>
      <c r="Q234" s="611"/>
      <c r="R234" s="611"/>
      <c r="S234" s="143"/>
      <c r="T234" s="143"/>
      <c r="U234" s="143"/>
      <c r="V234" s="143"/>
      <c r="W234" s="143"/>
      <c r="X234" s="1248">
        <f t="shared" si="94"/>
        <v>0</v>
      </c>
      <c r="Y234" s="611"/>
      <c r="Z234" s="611"/>
      <c r="AA234" s="143"/>
      <c r="AB234" s="143"/>
      <c r="AC234" s="143"/>
      <c r="AD234" s="143"/>
      <c r="AE234" s="143"/>
      <c r="AF234" s="143"/>
      <c r="AG234" s="143"/>
      <c r="AH234" s="143"/>
      <c r="AI234" s="143"/>
      <c r="AJ234" s="143"/>
      <c r="AK234" s="143"/>
      <c r="AL234" s="103">
        <f t="shared" si="95"/>
        <v>0</v>
      </c>
      <c r="AM234" s="136"/>
      <c r="AN234" s="136"/>
      <c r="AO234" s="136"/>
      <c r="AP234" s="105">
        <f t="shared" si="88"/>
        <v>0</v>
      </c>
      <c r="AQ234" s="143"/>
      <c r="AR234" s="143"/>
      <c r="AS234" s="143"/>
      <c r="AT234" s="146"/>
      <c r="AU234" s="224">
        <f t="shared" si="89"/>
        <v>0</v>
      </c>
      <c r="AV234" s="274"/>
      <c r="AW234" s="127"/>
      <c r="AX234" s="428"/>
      <c r="AY234" s="428"/>
      <c r="AZ234" s="428"/>
      <c r="BA234" s="127"/>
      <c r="BB234" s="126"/>
      <c r="BC234" s="127"/>
      <c r="BD234" s="274"/>
      <c r="BE234" s="274"/>
      <c r="BF234" s="274"/>
      <c r="BG234" s="222">
        <f t="shared" si="90"/>
        <v>0</v>
      </c>
      <c r="BH234" s="140">
        <f t="shared" si="91"/>
        <v>0</v>
      </c>
      <c r="BI234" s="132"/>
      <c r="BJ234" s="140">
        <f t="shared" si="92"/>
        <v>0</v>
      </c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30">
        <f t="shared" si="93"/>
        <v>0</v>
      </c>
      <c r="BY234" s="132"/>
    </row>
    <row r="235" ht="14.25" customHeight="1">
      <c r="A235" s="132"/>
      <c r="B235" s="215">
        <v>46232</v>
      </c>
      <c r="C235" s="133"/>
      <c r="D235" s="133"/>
      <c r="E235" s="135"/>
      <c r="F235" s="135"/>
      <c r="G235" s="147">
        <f t="shared" si="96"/>
        <v>0</v>
      </c>
      <c r="H235" s="768"/>
      <c r="I235" s="768"/>
      <c r="J235" s="611"/>
      <c r="K235" s="611"/>
      <c r="L235" s="611"/>
      <c r="M235" s="611"/>
      <c r="N235" s="611"/>
      <c r="O235" s="611"/>
      <c r="P235" s="611"/>
      <c r="Q235" s="611"/>
      <c r="R235" s="611"/>
      <c r="S235" s="143"/>
      <c r="T235" s="143"/>
      <c r="U235" s="143"/>
      <c r="V235" s="143"/>
      <c r="W235" s="143"/>
      <c r="X235" s="1248">
        <f t="shared" si="94"/>
        <v>0</v>
      </c>
      <c r="Y235" s="611"/>
      <c r="Z235" s="611"/>
      <c r="AA235" s="143"/>
      <c r="AB235" s="143"/>
      <c r="AC235" s="143"/>
      <c r="AD235" s="143"/>
      <c r="AE235" s="143"/>
      <c r="AF235" s="143"/>
      <c r="AG235" s="143"/>
      <c r="AH235" s="143"/>
      <c r="AI235" s="143"/>
      <c r="AJ235" s="143"/>
      <c r="AK235" s="143"/>
      <c r="AL235" s="103">
        <f t="shared" si="95"/>
        <v>0</v>
      </c>
      <c r="AM235" s="136"/>
      <c r="AN235" s="136"/>
      <c r="AO235" s="136"/>
      <c r="AP235" s="105">
        <f t="shared" si="88"/>
        <v>0</v>
      </c>
      <c r="AQ235" s="143"/>
      <c r="AR235" s="143"/>
      <c r="AS235" s="143"/>
      <c r="AT235" s="146"/>
      <c r="AU235" s="224">
        <f t="shared" si="89"/>
        <v>0</v>
      </c>
      <c r="AV235" s="274"/>
      <c r="AW235" s="127"/>
      <c r="AX235" s="428"/>
      <c r="AY235" s="428"/>
      <c r="AZ235" s="428"/>
      <c r="BA235" s="127"/>
      <c r="BB235" s="126"/>
      <c r="BC235" s="127"/>
      <c r="BD235" s="274"/>
      <c r="BE235" s="274"/>
      <c r="BF235" s="274"/>
      <c r="BG235" s="222">
        <f t="shared" si="90"/>
        <v>0</v>
      </c>
      <c r="BH235" s="140">
        <f t="shared" si="91"/>
        <v>0</v>
      </c>
      <c r="BI235" s="132"/>
      <c r="BJ235" s="140">
        <f t="shared" si="92"/>
        <v>0</v>
      </c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30">
        <f t="shared" si="93"/>
        <v>0</v>
      </c>
      <c r="BY235" s="132"/>
    </row>
    <row r="236" ht="14.25" customHeight="1">
      <c r="A236" s="132"/>
      <c r="B236" s="215">
        <v>46233</v>
      </c>
      <c r="C236" s="133"/>
      <c r="D236" s="136"/>
      <c r="E236" s="135"/>
      <c r="F236" s="135"/>
      <c r="G236" s="147">
        <f t="shared" si="96"/>
        <v>0</v>
      </c>
      <c r="H236" s="1313"/>
      <c r="I236" s="768"/>
      <c r="J236" s="611"/>
      <c r="K236" s="611"/>
      <c r="L236" s="611"/>
      <c r="M236" s="611"/>
      <c r="N236" s="611"/>
      <c r="O236" s="611"/>
      <c r="P236" s="611"/>
      <c r="Q236" s="611"/>
      <c r="R236" s="611"/>
      <c r="S236" s="143"/>
      <c r="T236" s="143"/>
      <c r="U236" s="143"/>
      <c r="V236" s="143"/>
      <c r="W236" s="143"/>
      <c r="X236" s="1248">
        <f t="shared" si="94"/>
        <v>0</v>
      </c>
      <c r="Y236" s="611"/>
      <c r="Z236" s="611"/>
      <c r="AA236" s="143"/>
      <c r="AB236" s="143"/>
      <c r="AC236" s="143"/>
      <c r="AD236" s="143"/>
      <c r="AE236" s="143"/>
      <c r="AF236" s="143"/>
      <c r="AG236" s="143"/>
      <c r="AH236" s="143"/>
      <c r="AI236" s="143"/>
      <c r="AJ236" s="143"/>
      <c r="AK236" s="143"/>
      <c r="AL236" s="103">
        <f t="shared" si="95"/>
        <v>0</v>
      </c>
      <c r="AM236" s="136"/>
      <c r="AN236" s="136"/>
      <c r="AO236" s="136"/>
      <c r="AP236" s="105">
        <f t="shared" si="88"/>
        <v>0</v>
      </c>
      <c r="AQ236" s="143"/>
      <c r="AR236" s="143"/>
      <c r="AS236" s="143"/>
      <c r="AT236" s="146"/>
      <c r="AU236" s="224">
        <f t="shared" si="89"/>
        <v>0</v>
      </c>
      <c r="AV236" s="274"/>
      <c r="AW236" s="127"/>
      <c r="AX236" s="428"/>
      <c r="AY236" s="428"/>
      <c r="AZ236" s="428"/>
      <c r="BA236" s="127"/>
      <c r="BB236" s="126"/>
      <c r="BC236" s="127"/>
      <c r="BD236" s="274"/>
      <c r="BE236" s="274"/>
      <c r="BF236" s="274"/>
      <c r="BG236" s="222">
        <f t="shared" si="90"/>
        <v>0</v>
      </c>
      <c r="BH236" s="140">
        <f t="shared" si="91"/>
        <v>0</v>
      </c>
      <c r="BI236" s="132"/>
      <c r="BJ236" s="140">
        <f t="shared" si="92"/>
        <v>0</v>
      </c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41"/>
      <c r="BV236" s="141"/>
      <c r="BW236" s="141"/>
      <c r="BX236" s="130">
        <f t="shared" si="93"/>
        <v>0</v>
      </c>
      <c r="BY236" s="132"/>
    </row>
    <row r="237" ht="14.25" customHeight="1">
      <c r="A237" s="132"/>
      <c r="B237" s="215">
        <v>46234</v>
      </c>
      <c r="C237" s="153"/>
      <c r="D237" s="159"/>
      <c r="E237" s="156"/>
      <c r="F237" s="156"/>
      <c r="G237" s="147">
        <f t="shared" si="96"/>
        <v>0</v>
      </c>
      <c r="H237" s="788"/>
      <c r="I237" s="788"/>
      <c r="J237" s="613"/>
      <c r="K237" s="613"/>
      <c r="L237" s="613"/>
      <c r="M237" s="613"/>
      <c r="N237" s="613"/>
      <c r="O237" s="613"/>
      <c r="P237" s="613"/>
      <c r="Q237" s="613"/>
      <c r="R237" s="613"/>
      <c r="S237" s="157"/>
      <c r="T237" s="157"/>
      <c r="U237" s="157"/>
      <c r="V237" s="157"/>
      <c r="W237" s="157"/>
      <c r="X237" s="1248">
        <f t="shared" si="94"/>
        <v>0</v>
      </c>
      <c r="Y237" s="613"/>
      <c r="Z237" s="613"/>
      <c r="AA237" s="157"/>
      <c r="AB237" s="157"/>
      <c r="AC237" s="157"/>
      <c r="AD237" s="157"/>
      <c r="AE237" s="157"/>
      <c r="AF237" s="157"/>
      <c r="AG237" s="157"/>
      <c r="AH237" s="157"/>
      <c r="AI237" s="157"/>
      <c r="AJ237" s="157"/>
      <c r="AK237" s="157"/>
      <c r="AL237" s="103">
        <f t="shared" si="95"/>
        <v>0</v>
      </c>
      <c r="AM237" s="159"/>
      <c r="AN237" s="159"/>
      <c r="AO237" s="159"/>
      <c r="AP237" s="105">
        <f t="shared" si="88"/>
        <v>0</v>
      </c>
      <c r="AQ237" s="157"/>
      <c r="AR237" s="157"/>
      <c r="AS237" s="157"/>
      <c r="AT237" s="160"/>
      <c r="AU237" s="224">
        <f t="shared" si="89"/>
        <v>0</v>
      </c>
      <c r="AV237" s="274"/>
      <c r="AW237" s="127"/>
      <c r="AX237" s="428"/>
      <c r="AY237" s="428"/>
      <c r="AZ237" s="428"/>
      <c r="BA237" s="127"/>
      <c r="BB237" s="126"/>
      <c r="BC237" s="127"/>
      <c r="BD237" s="274"/>
      <c r="BE237" s="296"/>
      <c r="BF237" s="296"/>
      <c r="BG237" s="222">
        <f t="shared" si="90"/>
        <v>0</v>
      </c>
      <c r="BH237" s="162">
        <f t="shared" si="91"/>
        <v>0</v>
      </c>
      <c r="BI237" s="132"/>
      <c r="BJ237" s="162">
        <f t="shared" si="92"/>
        <v>0</v>
      </c>
      <c r="BK237" s="163"/>
      <c r="BL237" s="163"/>
      <c r="BM237" s="163"/>
      <c r="BN237" s="163"/>
      <c r="BO237" s="163"/>
      <c r="BP237" s="163"/>
      <c r="BQ237" s="163"/>
      <c r="BR237" s="163"/>
      <c r="BS237" s="163"/>
      <c r="BT237" s="163"/>
      <c r="BU237" s="163"/>
      <c r="BV237" s="163"/>
      <c r="BW237" s="163"/>
      <c r="BX237" s="164">
        <f t="shared" si="93"/>
        <v>0</v>
      </c>
      <c r="BY237" s="132"/>
    </row>
    <row r="238" ht="14.25" customHeight="1">
      <c r="A238" s="22"/>
      <c r="B238" s="2" t="s">
        <v>81</v>
      </c>
      <c r="C238" s="166">
        <f ref="C238:H238" t="shared" si="97">SUM(C207:C237)</f>
        <v>0</v>
      </c>
      <c r="D238" s="166">
        <f t="shared" si="97"/>
        <v>0</v>
      </c>
      <c r="E238" s="166">
        <f t="shared" si="97"/>
        <v>0</v>
      </c>
      <c r="F238" s="166">
        <f t="shared" si="97"/>
        <v>0</v>
      </c>
      <c r="G238" s="166">
        <f t="shared" si="97"/>
        <v>0</v>
      </c>
      <c r="H238" s="166">
        <f t="shared" si="97"/>
        <v>0</v>
      </c>
      <c r="I238" s="166"/>
      <c r="J238" s="166">
        <f>SUM(J207:J237)</f>
        <v>0</v>
      </c>
      <c r="K238" s="166"/>
      <c r="L238" s="166">
        <f>SUM(L207:L237)</f>
        <v>0</v>
      </c>
      <c r="M238" s="166"/>
      <c r="N238" s="617">
        <f ref="N238:P238" t="shared" si="98">SUM(N207:N237)</f>
        <v>0</v>
      </c>
      <c r="O238" s="166">
        <f t="shared" si="98"/>
        <v>0</v>
      </c>
      <c r="P238" s="166">
        <f t="shared" si="98"/>
        <v>0</v>
      </c>
      <c r="Q238" s="166"/>
      <c r="R238" s="166">
        <f ref="R238:AH238" t="shared" si="99">SUM(R207:R237)</f>
        <v>0</v>
      </c>
      <c r="S238" s="166">
        <f t="shared" si="99"/>
        <v>0</v>
      </c>
      <c r="T238" s="166">
        <f t="shared" si="99"/>
        <v>0</v>
      </c>
      <c r="U238" s="166">
        <f t="shared" si="99"/>
        <v>0</v>
      </c>
      <c r="V238" s="166">
        <f t="shared" si="99"/>
        <v>0</v>
      </c>
      <c r="W238" s="166">
        <f t="shared" si="99"/>
        <v>0</v>
      </c>
      <c r="X238" s="1271">
        <f t="shared" si="99"/>
        <v>0</v>
      </c>
      <c r="Y238" s="166">
        <f t="shared" si="99"/>
        <v>0</v>
      </c>
      <c r="Z238" s="617">
        <f t="shared" si="99"/>
        <v>0</v>
      </c>
      <c r="AA238" s="166">
        <f t="shared" si="99"/>
        <v>0</v>
      </c>
      <c r="AB238" s="166">
        <f t="shared" si="99"/>
        <v>0</v>
      </c>
      <c r="AC238" s="166">
        <f t="shared" si="99"/>
        <v>0</v>
      </c>
      <c r="AD238" s="166">
        <f t="shared" si="99"/>
        <v>0</v>
      </c>
      <c r="AE238" s="166">
        <f t="shared" si="99"/>
        <v>0</v>
      </c>
      <c r="AF238" s="166">
        <f t="shared" si="99"/>
        <v>0</v>
      </c>
      <c r="AG238" s="166">
        <f t="shared" si="99"/>
        <v>0</v>
      </c>
      <c r="AH238" s="166">
        <f t="shared" si="99"/>
        <v>0</v>
      </c>
      <c r="AI238" s="166"/>
      <c r="AJ238" s="166">
        <f ref="AJ238:BH238" t="shared" si="100">SUM(AJ207:AJ237)</f>
        <v>0</v>
      </c>
      <c r="AK238" s="166">
        <f t="shared" si="100"/>
        <v>0</v>
      </c>
      <c r="AL238" s="166">
        <f t="shared" si="100"/>
        <v>0</v>
      </c>
      <c r="AM238" s="166">
        <f t="shared" si="100"/>
        <v>0</v>
      </c>
      <c r="AN238" s="166">
        <f t="shared" si="100"/>
        <v>0</v>
      </c>
      <c r="AO238" s="166">
        <f t="shared" si="100"/>
        <v>0</v>
      </c>
      <c r="AP238" s="166">
        <f t="shared" si="100"/>
        <v>0</v>
      </c>
      <c r="AQ238" s="166">
        <f t="shared" si="100"/>
        <v>0</v>
      </c>
      <c r="AR238" s="166">
        <f t="shared" si="100"/>
        <v>0</v>
      </c>
      <c r="AS238" s="166">
        <f t="shared" si="100"/>
        <v>0</v>
      </c>
      <c r="AT238" s="166">
        <f t="shared" si="100"/>
        <v>0</v>
      </c>
      <c r="AU238" s="166">
        <f t="shared" si="100"/>
        <v>0</v>
      </c>
      <c r="AV238" s="165">
        <f t="shared" si="100"/>
        <v>0</v>
      </c>
      <c r="AW238" s="165">
        <f t="shared" si="100"/>
        <v>0</v>
      </c>
      <c r="AX238" s="165">
        <f t="shared" si="100"/>
        <v>0</v>
      </c>
      <c r="AY238" s="165">
        <f t="shared" si="100"/>
        <v>0</v>
      </c>
      <c r="AZ238" s="165">
        <f t="shared" si="100"/>
        <v>0</v>
      </c>
      <c r="BA238" s="165">
        <f t="shared" si="100"/>
        <v>0</v>
      </c>
      <c r="BB238" s="165">
        <f t="shared" si="100"/>
        <v>0</v>
      </c>
      <c r="BC238" s="165">
        <f t="shared" si="100"/>
        <v>0</v>
      </c>
      <c r="BD238" s="165">
        <f t="shared" si="100"/>
        <v>0</v>
      </c>
      <c r="BE238" s="166">
        <f t="shared" si="100"/>
        <v>0</v>
      </c>
      <c r="BF238" s="166">
        <f t="shared" si="100"/>
        <v>0</v>
      </c>
      <c r="BG238" s="166">
        <f t="shared" si="100"/>
        <v>0</v>
      </c>
      <c r="BH238" s="166">
        <f t="shared" si="100"/>
        <v>0</v>
      </c>
      <c r="BI238" s="3"/>
      <c r="BJ238" s="166">
        <f ref="BJ238:BX238" t="shared" si="101">SUM(BJ207:BJ237)</f>
        <v>0</v>
      </c>
      <c r="BK238" s="166">
        <f t="shared" si="101"/>
        <v>0</v>
      </c>
      <c r="BL238" s="166">
        <f t="shared" si="101"/>
        <v>0</v>
      </c>
      <c r="BM238" s="166">
        <f t="shared" si="101"/>
        <v>0</v>
      </c>
      <c r="BN238" s="166">
        <f t="shared" si="101"/>
        <v>0</v>
      </c>
      <c r="BO238" s="166">
        <f t="shared" si="101"/>
        <v>0</v>
      </c>
      <c r="BP238" s="166">
        <f t="shared" si="101"/>
        <v>0</v>
      </c>
      <c r="BQ238" s="166">
        <f t="shared" si="101"/>
        <v>0</v>
      </c>
      <c r="BR238" s="166">
        <f t="shared" si="101"/>
        <v>0</v>
      </c>
      <c r="BS238" s="166">
        <f t="shared" si="101"/>
        <v>0</v>
      </c>
      <c r="BT238" s="166">
        <f t="shared" si="101"/>
        <v>0</v>
      </c>
      <c r="BU238" s="166">
        <f t="shared" si="101"/>
        <v>0</v>
      </c>
      <c r="BV238" s="166">
        <f t="shared" si="101"/>
        <v>0</v>
      </c>
      <c r="BW238" s="166">
        <f t="shared" si="101"/>
        <v>0</v>
      </c>
      <c r="BX238" s="166">
        <f t="shared" si="101"/>
        <v>0</v>
      </c>
      <c r="BY238" s="3"/>
    </row>
    <row r="239" ht="13.5" customHeight="1">
      <c r="A239" s="1"/>
      <c r="B239" s="2"/>
      <c r="C239" s="3"/>
      <c r="D239" s="3"/>
      <c r="E239" s="3"/>
      <c r="F239" s="3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3"/>
      <c r="T239" s="3"/>
      <c r="U239" s="3"/>
      <c r="V239" s="3"/>
      <c r="W239" s="3"/>
      <c r="X239" s="873"/>
      <c r="Y239" s="1"/>
      <c r="Z239" s="1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4"/>
      <c r="AQ239" s="3"/>
      <c r="AR239" s="3"/>
      <c r="AS239" s="3"/>
      <c r="AT239" s="3"/>
      <c r="AU239" s="4"/>
      <c r="AV239" s="132"/>
      <c r="AW239" s="132"/>
      <c r="AX239" s="380"/>
      <c r="AY239" s="1"/>
      <c r="AZ239" s="1"/>
      <c r="BA239" s="3"/>
      <c r="BB239" s="132"/>
      <c r="BC239" s="132"/>
      <c r="BD239" s="132"/>
      <c r="BE239" s="132"/>
      <c r="BF239" s="132"/>
      <c r="BG239" s="4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ht="14.25" customHeight="1">
      <c r="A240" s="1"/>
      <c r="B240" s="2"/>
      <c r="C240" s="3"/>
      <c r="D240" s="3"/>
      <c r="E240" s="3"/>
      <c r="F240" s="3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3"/>
      <c r="T240" s="3"/>
      <c r="U240" s="3"/>
      <c r="V240" s="3"/>
      <c r="W240" s="3"/>
      <c r="X240" s="873"/>
      <c r="Y240" s="1"/>
      <c r="Z240" s="1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176"/>
      <c r="AM240" s="3"/>
      <c r="AN240" s="3"/>
      <c r="AO240" s="3"/>
      <c r="AP240" s="4"/>
      <c r="AQ240" s="3"/>
      <c r="AR240" s="3"/>
      <c r="AS240" s="3"/>
      <c r="AT240" s="3"/>
      <c r="AU240" s="177"/>
      <c r="AV240" s="132"/>
      <c r="AW240" s="132"/>
      <c r="AX240" s="380"/>
      <c r="AY240" s="1"/>
      <c r="AZ240" s="1"/>
      <c r="BA240" s="3"/>
      <c r="BB240" s="132"/>
      <c r="BC240" s="132"/>
      <c r="BD240" s="132"/>
      <c r="BE240" s="132"/>
      <c r="BF240" s="132"/>
      <c r="BG240" s="177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ht="14.25" customHeight="1">
      <c r="A241" s="3"/>
      <c r="B241" s="215">
        <v>46235</v>
      </c>
      <c r="C241" s="94"/>
      <c r="D241" s="104"/>
      <c r="E241" s="97"/>
      <c r="F241" s="97"/>
      <c r="G241" s="265">
        <f ref="G241:G271" t="shared" si="102">+C241+D241+E241+F241</f>
        <v>0</v>
      </c>
      <c r="H241" s="778"/>
      <c r="I241" s="778"/>
      <c r="J241" s="619"/>
      <c r="K241" s="619"/>
      <c r="L241" s="619"/>
      <c r="M241" s="619"/>
      <c r="N241" s="619"/>
      <c r="O241" s="619"/>
      <c r="P241" s="619"/>
      <c r="Q241" s="619"/>
      <c r="R241" s="619"/>
      <c r="S241" s="186"/>
      <c r="T241" s="186"/>
      <c r="U241" s="186"/>
      <c r="V241" s="186"/>
      <c r="W241" s="186"/>
      <c r="X241" s="1272">
        <f ref="X241:X271" t="shared" si="103">SUM(H241:W241)</f>
        <v>0</v>
      </c>
      <c r="Y241" s="619"/>
      <c r="Z241" s="619"/>
      <c r="AA241" s="186"/>
      <c r="AB241" s="186"/>
      <c r="AC241" s="186"/>
      <c r="AD241" s="186"/>
      <c r="AE241" s="186"/>
      <c r="AF241" s="186"/>
      <c r="AG241" s="186"/>
      <c r="AH241" s="186"/>
      <c r="AI241" s="186"/>
      <c r="AJ241" s="186"/>
      <c r="AK241" s="186"/>
      <c r="AL241" s="103">
        <f ref="AL241:AL271" t="shared" si="104">SUM(Y241:AK241)</f>
        <v>0</v>
      </c>
      <c r="AM241" s="104"/>
      <c r="AN241" s="104"/>
      <c r="AO241" s="104"/>
      <c r="AP241" s="191">
        <f ref="AP241:AP271" t="shared" si="105">SUM(AM241:AO241)</f>
        <v>0</v>
      </c>
      <c r="AQ241" s="186"/>
      <c r="AR241" s="186"/>
      <c r="AS241" s="186"/>
      <c r="AT241" s="193"/>
      <c r="AU241" s="224">
        <f ref="AU241:AU271" t="shared" si="106">+G241-X241-AL241-AP241-AQ241-AR241-AS241-AT241</f>
        <v>0</v>
      </c>
      <c r="AV241" s="109"/>
      <c r="AW241" s="269"/>
      <c r="AX241" s="427"/>
      <c r="AY241" s="427"/>
      <c r="AZ241" s="427"/>
      <c r="BA241" s="270"/>
      <c r="BB241" s="109"/>
      <c r="BC241" s="269"/>
      <c r="BD241" s="269"/>
      <c r="BE241" s="269"/>
      <c r="BF241" s="269"/>
      <c r="BG241" s="222">
        <f ref="BG241:BG271" t="shared" si="107">SUM(AV241:BF241)-BE241</f>
        <v>0</v>
      </c>
      <c r="BH241" s="114">
        <f ref="BH241:BH271" t="shared" si="108">+AU241-BG241</f>
        <v>0</v>
      </c>
      <c r="BI241" s="3"/>
      <c r="BJ241" s="114">
        <f ref="BJ241:BJ271" t="shared" si="109">SUM(BK241:BW241)</f>
        <v>0</v>
      </c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115"/>
      <c r="BV241" s="196"/>
      <c r="BW241" s="115"/>
      <c r="BX241" s="116">
        <f ref="BX241:BX271" t="shared" si="110">+BH241-BJ241</f>
        <v>0</v>
      </c>
      <c r="BY241" s="3"/>
    </row>
    <row r="242" ht="14.25" customHeight="1">
      <c r="A242" s="3"/>
      <c r="B242" s="215">
        <v>46236</v>
      </c>
      <c r="C242" s="118"/>
      <c r="D242" s="123"/>
      <c r="E242" s="120"/>
      <c r="F242" s="120"/>
      <c r="G242" s="147">
        <f t="shared" si="102"/>
        <v>0</v>
      </c>
      <c r="H242" s="768"/>
      <c r="I242" s="768"/>
      <c r="J242" s="611"/>
      <c r="K242" s="611"/>
      <c r="L242" s="611"/>
      <c r="M242" s="611"/>
      <c r="N242" s="611"/>
      <c r="O242" s="611"/>
      <c r="P242" s="611"/>
      <c r="Q242" s="611"/>
      <c r="R242" s="611"/>
      <c r="S242" s="143"/>
      <c r="T242" s="143"/>
      <c r="U242" s="143"/>
      <c r="V242" s="143"/>
      <c r="W242" s="143"/>
      <c r="X242" s="1248">
        <f t="shared" si="103"/>
        <v>0</v>
      </c>
      <c r="Y242" s="611"/>
      <c r="Z242" s="611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03">
        <f t="shared" si="104"/>
        <v>0</v>
      </c>
      <c r="AM242" s="123"/>
      <c r="AN242" s="123"/>
      <c r="AO242" s="123"/>
      <c r="AP242" s="105">
        <f t="shared" si="105"/>
        <v>0</v>
      </c>
      <c r="AQ242" s="143"/>
      <c r="AR242" s="143"/>
      <c r="AS242" s="143"/>
      <c r="AT242" s="146"/>
      <c r="AU242" s="224">
        <f t="shared" si="106"/>
        <v>0</v>
      </c>
      <c r="AV242" s="126"/>
      <c r="AW242" s="274"/>
      <c r="AX242" s="433"/>
      <c r="AY242" s="433"/>
      <c r="AZ242" s="433"/>
      <c r="BA242" s="275"/>
      <c r="BB242" s="126"/>
      <c r="BC242" s="274"/>
      <c r="BD242" s="274"/>
      <c r="BE242" s="274"/>
      <c r="BF242" s="274"/>
      <c r="BG242" s="222">
        <f t="shared" si="107"/>
        <v>0</v>
      </c>
      <c r="BH242" s="113">
        <f t="shared" si="108"/>
        <v>0</v>
      </c>
      <c r="BI242" s="3"/>
      <c r="BJ242" s="113">
        <f t="shared" si="109"/>
        <v>0</v>
      </c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452"/>
      <c r="BV242" s="141"/>
      <c r="BW242" s="255"/>
      <c r="BX242" s="130">
        <f t="shared" si="110"/>
        <v>0</v>
      </c>
      <c r="BY242" s="3"/>
    </row>
    <row r="243" ht="14.25" customHeight="1">
      <c r="A243" s="3"/>
      <c r="B243" s="215">
        <v>46237</v>
      </c>
      <c r="C243" s="118"/>
      <c r="D243" s="123"/>
      <c r="E243" s="120"/>
      <c r="F243" s="120"/>
      <c r="G243" s="147">
        <f t="shared" si="102"/>
        <v>0</v>
      </c>
      <c r="H243" s="768"/>
      <c r="I243" s="768"/>
      <c r="J243" s="611"/>
      <c r="K243" s="611"/>
      <c r="L243" s="611"/>
      <c r="M243" s="611"/>
      <c r="N243" s="611"/>
      <c r="O243" s="611"/>
      <c r="P243" s="611"/>
      <c r="Q243" s="611"/>
      <c r="R243" s="611"/>
      <c r="S243" s="143"/>
      <c r="T243" s="143"/>
      <c r="U243" s="143"/>
      <c r="V243" s="143"/>
      <c r="W243" s="143"/>
      <c r="X243" s="1248">
        <f t="shared" si="103"/>
        <v>0</v>
      </c>
      <c r="Y243" s="611"/>
      <c r="Z243" s="611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03">
        <f t="shared" si="104"/>
        <v>0</v>
      </c>
      <c r="AM243" s="123"/>
      <c r="AN243" s="123"/>
      <c r="AO243" s="123"/>
      <c r="AP243" s="105">
        <f t="shared" si="105"/>
        <v>0</v>
      </c>
      <c r="AQ243" s="143"/>
      <c r="AR243" s="143"/>
      <c r="AS243" s="143"/>
      <c r="AT243" s="146"/>
      <c r="AU243" s="224">
        <f t="shared" si="106"/>
        <v>0</v>
      </c>
      <c r="AV243" s="126"/>
      <c r="AW243" s="274"/>
      <c r="AX243" s="1133"/>
      <c r="AY243" s="433"/>
      <c r="AZ243" s="433"/>
      <c r="BA243" s="275"/>
      <c r="BB243" s="126"/>
      <c r="BC243" s="274"/>
      <c r="BD243" s="274"/>
      <c r="BE243" s="274"/>
      <c r="BF243" s="274"/>
      <c r="BG243" s="222">
        <f t="shared" si="107"/>
        <v>0</v>
      </c>
      <c r="BH243" s="113">
        <f t="shared" si="108"/>
        <v>0</v>
      </c>
      <c r="BI243" s="3"/>
      <c r="BJ243" s="113">
        <f t="shared" si="109"/>
        <v>0</v>
      </c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41"/>
      <c r="BW243" s="129"/>
      <c r="BX243" s="130">
        <f t="shared" si="110"/>
        <v>0</v>
      </c>
      <c r="BY243" s="3"/>
    </row>
    <row r="244" ht="14.25" customHeight="1">
      <c r="A244" s="3"/>
      <c r="B244" s="215">
        <v>46238</v>
      </c>
      <c r="C244" s="118"/>
      <c r="D244" s="123"/>
      <c r="E244" s="120"/>
      <c r="F244" s="120"/>
      <c r="G244" s="147">
        <f t="shared" si="102"/>
        <v>0</v>
      </c>
      <c r="H244" s="768"/>
      <c r="I244" s="768"/>
      <c r="J244" s="611"/>
      <c r="K244" s="611"/>
      <c r="L244" s="611"/>
      <c r="M244" s="611"/>
      <c r="N244" s="611"/>
      <c r="O244" s="611"/>
      <c r="P244" s="611"/>
      <c r="Q244" s="611"/>
      <c r="R244" s="611"/>
      <c r="S244" s="143"/>
      <c r="T244" s="143"/>
      <c r="U244" s="143"/>
      <c r="V244" s="143"/>
      <c r="W244" s="143"/>
      <c r="X244" s="1248">
        <f t="shared" si="103"/>
        <v>0</v>
      </c>
      <c r="Y244" s="611"/>
      <c r="Z244" s="611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03">
        <f t="shared" si="104"/>
        <v>0</v>
      </c>
      <c r="AM244" s="123"/>
      <c r="AN244" s="123"/>
      <c r="AO244" s="123"/>
      <c r="AP244" s="105">
        <f t="shared" si="105"/>
        <v>0</v>
      </c>
      <c r="AQ244" s="143"/>
      <c r="AR244" s="143"/>
      <c r="AS244" s="143"/>
      <c r="AT244" s="146"/>
      <c r="AU244" s="224">
        <f t="shared" si="106"/>
        <v>0</v>
      </c>
      <c r="AV244" s="126"/>
      <c r="AW244" s="274"/>
      <c r="AX244" s="1133"/>
      <c r="AY244" s="433"/>
      <c r="AZ244" s="433"/>
      <c r="BA244" s="275"/>
      <c r="BB244" s="126"/>
      <c r="BC244" s="274"/>
      <c r="BD244" s="274"/>
      <c r="BE244" s="274"/>
      <c r="BF244" s="274"/>
      <c r="BG244" s="222">
        <f t="shared" si="107"/>
        <v>0</v>
      </c>
      <c r="BH244" s="113">
        <f t="shared" si="108"/>
        <v>0</v>
      </c>
      <c r="BI244" s="3"/>
      <c r="BJ244" s="113">
        <f t="shared" si="109"/>
        <v>0</v>
      </c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41"/>
      <c r="BW244" s="129"/>
      <c r="BX244" s="130">
        <f t="shared" si="110"/>
        <v>0</v>
      </c>
      <c r="BY244" s="3"/>
    </row>
    <row r="245" ht="14.25" customHeight="1">
      <c r="A245" s="3"/>
      <c r="B245" s="215">
        <v>46239</v>
      </c>
      <c r="C245" s="118"/>
      <c r="D245" s="123"/>
      <c r="E245" s="120"/>
      <c r="F245" s="120"/>
      <c r="G245" s="147">
        <f t="shared" si="102"/>
        <v>0</v>
      </c>
      <c r="H245" s="768"/>
      <c r="I245" s="768"/>
      <c r="J245" s="611"/>
      <c r="K245" s="611"/>
      <c r="L245" s="611"/>
      <c r="M245" s="611"/>
      <c r="N245" s="611"/>
      <c r="O245" s="611"/>
      <c r="P245" s="611"/>
      <c r="Q245" s="611"/>
      <c r="R245" s="611"/>
      <c r="S245" s="143"/>
      <c r="T245" s="143"/>
      <c r="U245" s="143"/>
      <c r="V245" s="143"/>
      <c r="W245" s="143"/>
      <c r="X245" s="1248">
        <f t="shared" si="103"/>
        <v>0</v>
      </c>
      <c r="Y245" s="611"/>
      <c r="Z245" s="611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03">
        <f t="shared" si="104"/>
        <v>0</v>
      </c>
      <c r="AM245" s="123"/>
      <c r="AN245" s="123"/>
      <c r="AO245" s="123"/>
      <c r="AP245" s="105">
        <f t="shared" si="105"/>
        <v>0</v>
      </c>
      <c r="AQ245" s="143"/>
      <c r="AR245" s="143"/>
      <c r="AS245" s="143"/>
      <c r="AT245" s="146"/>
      <c r="AU245" s="224">
        <f t="shared" si="106"/>
        <v>0</v>
      </c>
      <c r="AV245" s="126"/>
      <c r="AW245" s="274"/>
      <c r="AX245" s="1314"/>
      <c r="AY245" s="433"/>
      <c r="AZ245" s="433"/>
      <c r="BA245" s="275"/>
      <c r="BB245" s="126"/>
      <c r="BC245" s="274"/>
      <c r="BD245" s="274"/>
      <c r="BE245" s="274"/>
      <c r="BF245" s="274"/>
      <c r="BG245" s="222">
        <f t="shared" si="107"/>
        <v>0</v>
      </c>
      <c r="BH245" s="113">
        <f t="shared" si="108"/>
        <v>0</v>
      </c>
      <c r="BI245" s="3"/>
      <c r="BJ245" s="113">
        <f t="shared" si="109"/>
        <v>0</v>
      </c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41"/>
      <c r="BW245" s="129"/>
      <c r="BX245" s="130">
        <f t="shared" si="110"/>
        <v>0</v>
      </c>
      <c r="BY245" s="3"/>
    </row>
    <row r="246" ht="14.25" customHeight="1">
      <c r="A246" s="3"/>
      <c r="B246" s="215">
        <v>46240</v>
      </c>
      <c r="C246" s="118"/>
      <c r="D246" s="123"/>
      <c r="E246" s="120"/>
      <c r="F246" s="120"/>
      <c r="G246" s="147">
        <f t="shared" si="102"/>
        <v>0</v>
      </c>
      <c r="H246" s="768"/>
      <c r="I246" s="768"/>
      <c r="J246" s="611"/>
      <c r="K246" s="611"/>
      <c r="L246" s="611"/>
      <c r="M246" s="611"/>
      <c r="N246" s="611"/>
      <c r="O246" s="611"/>
      <c r="P246" s="611"/>
      <c r="Q246" s="611"/>
      <c r="R246" s="611"/>
      <c r="S246" s="143"/>
      <c r="T246" s="143"/>
      <c r="U246" s="143"/>
      <c r="V246" s="143"/>
      <c r="W246" s="143"/>
      <c r="X246" s="1248">
        <f t="shared" si="103"/>
        <v>0</v>
      </c>
      <c r="Y246" s="611"/>
      <c r="Z246" s="611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03">
        <f t="shared" si="104"/>
        <v>0</v>
      </c>
      <c r="AM246" s="123"/>
      <c r="AN246" s="123"/>
      <c r="AO246" s="123"/>
      <c r="AP246" s="105">
        <f t="shared" si="105"/>
        <v>0</v>
      </c>
      <c r="AQ246" s="143"/>
      <c r="AR246" s="143"/>
      <c r="AS246" s="143"/>
      <c r="AT246" s="146"/>
      <c r="AU246" s="224">
        <f t="shared" si="106"/>
        <v>0</v>
      </c>
      <c r="AV246" s="126"/>
      <c r="AW246" s="274"/>
      <c r="AX246" s="433"/>
      <c r="AY246" s="433"/>
      <c r="AZ246" s="433"/>
      <c r="BA246" s="275"/>
      <c r="BB246" s="126"/>
      <c r="BC246" s="274"/>
      <c r="BD246" s="274"/>
      <c r="BE246" s="274"/>
      <c r="BF246" s="274"/>
      <c r="BG246" s="222">
        <f t="shared" si="107"/>
        <v>0</v>
      </c>
      <c r="BH246" s="113">
        <f t="shared" si="108"/>
        <v>0</v>
      </c>
      <c r="BI246" s="3"/>
      <c r="BJ246" s="113">
        <f t="shared" si="109"/>
        <v>0</v>
      </c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30">
        <f t="shared" si="110"/>
        <v>0</v>
      </c>
      <c r="BY246" s="3"/>
    </row>
    <row r="247" ht="14.25" customHeight="1">
      <c r="A247" s="132"/>
      <c r="B247" s="215">
        <v>46241</v>
      </c>
      <c r="C247" s="133"/>
      <c r="D247" s="136"/>
      <c r="E247" s="135"/>
      <c r="F247" s="135"/>
      <c r="G247" s="147">
        <f t="shared" si="102"/>
        <v>0</v>
      </c>
      <c r="H247" s="768"/>
      <c r="I247" s="768"/>
      <c r="J247" s="611"/>
      <c r="K247" s="611"/>
      <c r="L247" s="611"/>
      <c r="M247" s="611"/>
      <c r="N247" s="611"/>
      <c r="O247" s="1312"/>
      <c r="P247" s="1312"/>
      <c r="Q247" s="611"/>
      <c r="R247" s="611"/>
      <c r="S247" s="143"/>
      <c r="T247" s="143"/>
      <c r="U247" s="143"/>
      <c r="V247" s="143"/>
      <c r="W247" s="143"/>
      <c r="X247" s="1248">
        <f t="shared" si="103"/>
        <v>0</v>
      </c>
      <c r="Y247" s="611"/>
      <c r="Z247" s="611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03">
        <f t="shared" si="104"/>
        <v>0</v>
      </c>
      <c r="AM247" s="136"/>
      <c r="AN247" s="136"/>
      <c r="AO247" s="136"/>
      <c r="AP247" s="105">
        <f t="shared" si="105"/>
        <v>0</v>
      </c>
      <c r="AQ247" s="143"/>
      <c r="AR247" s="143"/>
      <c r="AS247" s="143"/>
      <c r="AT247" s="146"/>
      <c r="AU247" s="224">
        <f t="shared" si="106"/>
        <v>0</v>
      </c>
      <c r="AV247" s="126"/>
      <c r="AW247" s="274"/>
      <c r="AX247" s="433"/>
      <c r="AY247" s="433"/>
      <c r="AZ247" s="433"/>
      <c r="BA247" s="275"/>
      <c r="BB247" s="126"/>
      <c r="BC247" s="274"/>
      <c r="BD247" s="274"/>
      <c r="BE247" s="274"/>
      <c r="BF247" s="274"/>
      <c r="BG247" s="222">
        <f t="shared" si="107"/>
        <v>0</v>
      </c>
      <c r="BH247" s="140">
        <f t="shared" si="108"/>
        <v>0</v>
      </c>
      <c r="BI247" s="132"/>
      <c r="BJ247" s="140">
        <f t="shared" si="109"/>
        <v>0</v>
      </c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30">
        <f t="shared" si="110"/>
        <v>0</v>
      </c>
      <c r="BY247" s="132"/>
    </row>
    <row r="248" ht="14.25" customHeight="1">
      <c r="A248" s="132"/>
      <c r="B248" s="215">
        <v>46242</v>
      </c>
      <c r="C248" s="133"/>
      <c r="D248" s="136"/>
      <c r="E248" s="135"/>
      <c r="F248" s="135"/>
      <c r="G248" s="147">
        <f t="shared" si="102"/>
        <v>0</v>
      </c>
      <c r="H248" s="768"/>
      <c r="I248" s="768"/>
      <c r="J248" s="611"/>
      <c r="K248" s="611"/>
      <c r="L248" s="611"/>
      <c r="M248" s="611"/>
      <c r="N248" s="611"/>
      <c r="O248" s="611"/>
      <c r="P248" s="611"/>
      <c r="Q248" s="611"/>
      <c r="R248" s="611"/>
      <c r="S248" s="143"/>
      <c r="T248" s="143"/>
      <c r="U248" s="143"/>
      <c r="V248" s="143"/>
      <c r="W248" s="143"/>
      <c r="X248" s="1248">
        <f t="shared" si="103"/>
        <v>0</v>
      </c>
      <c r="Y248" s="611"/>
      <c r="Z248" s="611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03">
        <f t="shared" si="104"/>
        <v>0</v>
      </c>
      <c r="AM248" s="136"/>
      <c r="AN248" s="136"/>
      <c r="AO248" s="136"/>
      <c r="AP248" s="105">
        <f t="shared" si="105"/>
        <v>0</v>
      </c>
      <c r="AQ248" s="143"/>
      <c r="AR248" s="143"/>
      <c r="AS248" s="143"/>
      <c r="AT248" s="146"/>
      <c r="AU248" s="224">
        <f t="shared" si="106"/>
        <v>0</v>
      </c>
      <c r="AV248" s="126"/>
      <c r="AW248" s="274"/>
      <c r="AX248" s="433"/>
      <c r="AY248" s="433"/>
      <c r="AZ248" s="433"/>
      <c r="BA248" s="275"/>
      <c r="BB248" s="126"/>
      <c r="BC248" s="274"/>
      <c r="BD248" s="274"/>
      <c r="BE248" s="274"/>
      <c r="BF248" s="274"/>
      <c r="BG248" s="222">
        <f t="shared" si="107"/>
        <v>0</v>
      </c>
      <c r="BH248" s="140">
        <f t="shared" si="108"/>
        <v>0</v>
      </c>
      <c r="BI248" s="132"/>
      <c r="BJ248" s="140">
        <f t="shared" si="109"/>
        <v>0</v>
      </c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30">
        <f t="shared" si="110"/>
        <v>0</v>
      </c>
      <c r="BY248" s="132"/>
    </row>
    <row r="249" ht="14.25" customHeight="1">
      <c r="A249" s="132"/>
      <c r="B249" s="215">
        <v>46243</v>
      </c>
      <c r="C249" s="133"/>
      <c r="D249" s="136"/>
      <c r="E249" s="135"/>
      <c r="F249" s="135"/>
      <c r="G249" s="147">
        <f t="shared" si="102"/>
        <v>0</v>
      </c>
      <c r="H249" s="768"/>
      <c r="I249" s="768"/>
      <c r="J249" s="611"/>
      <c r="K249" s="611"/>
      <c r="L249" s="611"/>
      <c r="M249" s="611"/>
      <c r="N249" s="611"/>
      <c r="O249" s="611"/>
      <c r="P249" s="611"/>
      <c r="Q249" s="611"/>
      <c r="R249" s="611"/>
      <c r="S249" s="143"/>
      <c r="T249" s="143"/>
      <c r="U249" s="143"/>
      <c r="V249" s="143"/>
      <c r="W249" s="143"/>
      <c r="X249" s="1248">
        <f t="shared" si="103"/>
        <v>0</v>
      </c>
      <c r="Y249" s="611"/>
      <c r="Z249" s="611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03">
        <f t="shared" si="104"/>
        <v>0</v>
      </c>
      <c r="AM249" s="136"/>
      <c r="AN249" s="136"/>
      <c r="AO249" s="136"/>
      <c r="AP249" s="105">
        <f t="shared" si="105"/>
        <v>0</v>
      </c>
      <c r="AQ249" s="143"/>
      <c r="AR249" s="143"/>
      <c r="AS249" s="143"/>
      <c r="AT249" s="146"/>
      <c r="AU249" s="224">
        <f t="shared" si="106"/>
        <v>0</v>
      </c>
      <c r="AV249" s="126"/>
      <c r="AW249" s="274"/>
      <c r="AX249" s="433"/>
      <c r="AY249" s="433"/>
      <c r="AZ249" s="433"/>
      <c r="BA249" s="275"/>
      <c r="BB249" s="126"/>
      <c r="BC249" s="274"/>
      <c r="BD249" s="274"/>
      <c r="BE249" s="274"/>
      <c r="BF249" s="274"/>
      <c r="BG249" s="222">
        <f t="shared" si="107"/>
        <v>0</v>
      </c>
      <c r="BH249" s="140">
        <f t="shared" si="108"/>
        <v>0</v>
      </c>
      <c r="BI249" s="132"/>
      <c r="BJ249" s="140">
        <f t="shared" si="109"/>
        <v>0</v>
      </c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30">
        <f t="shared" si="110"/>
        <v>0</v>
      </c>
      <c r="BY249" s="132"/>
    </row>
    <row r="250" ht="14.25" customHeight="1">
      <c r="A250" s="132"/>
      <c r="B250" s="215">
        <v>46244</v>
      </c>
      <c r="C250" s="133"/>
      <c r="D250" s="136"/>
      <c r="E250" s="135"/>
      <c r="F250" s="135"/>
      <c r="G250" s="147">
        <f t="shared" si="102"/>
        <v>0</v>
      </c>
      <c r="H250" s="768"/>
      <c r="I250" s="768"/>
      <c r="J250" s="611"/>
      <c r="K250" s="611"/>
      <c r="L250" s="611"/>
      <c r="M250" s="611"/>
      <c r="N250" s="611"/>
      <c r="O250" s="611"/>
      <c r="P250" s="611"/>
      <c r="Q250" s="611"/>
      <c r="R250" s="611"/>
      <c r="S250" s="143"/>
      <c r="T250" s="143"/>
      <c r="U250" s="143"/>
      <c r="V250" s="143"/>
      <c r="W250" s="143"/>
      <c r="X250" s="1248">
        <f t="shared" si="103"/>
        <v>0</v>
      </c>
      <c r="Y250" s="611"/>
      <c r="Z250" s="611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03">
        <f t="shared" si="104"/>
        <v>0</v>
      </c>
      <c r="AM250" s="136"/>
      <c r="AN250" s="136"/>
      <c r="AO250" s="136"/>
      <c r="AP250" s="105">
        <f t="shared" si="105"/>
        <v>0</v>
      </c>
      <c r="AQ250" s="143"/>
      <c r="AR250" s="143"/>
      <c r="AS250" s="143"/>
      <c r="AT250" s="146"/>
      <c r="AU250" s="224">
        <f t="shared" si="106"/>
        <v>0</v>
      </c>
      <c r="AV250" s="126"/>
      <c r="AW250" s="274"/>
      <c r="AX250" s="433"/>
      <c r="AY250" s="433"/>
      <c r="AZ250" s="433"/>
      <c r="BA250" s="275"/>
      <c r="BB250" s="126"/>
      <c r="BC250" s="274"/>
      <c r="BD250" s="274"/>
      <c r="BE250" s="274"/>
      <c r="BF250" s="274"/>
      <c r="BG250" s="222">
        <f t="shared" si="107"/>
        <v>0</v>
      </c>
      <c r="BH250" s="140">
        <f t="shared" si="108"/>
        <v>0</v>
      </c>
      <c r="BI250" s="132"/>
      <c r="BJ250" s="140">
        <f t="shared" si="109"/>
        <v>0</v>
      </c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30">
        <f t="shared" si="110"/>
        <v>0</v>
      </c>
      <c r="BY250" s="132"/>
    </row>
    <row r="251" ht="14.25" customHeight="1">
      <c r="A251" s="132"/>
      <c r="B251" s="215">
        <v>46245</v>
      </c>
      <c r="C251" s="133"/>
      <c r="D251" s="136"/>
      <c r="E251" s="135"/>
      <c r="F251" s="135"/>
      <c r="G251" s="147">
        <f t="shared" si="102"/>
        <v>0</v>
      </c>
      <c r="H251" s="768"/>
      <c r="I251" s="768"/>
      <c r="J251" s="611"/>
      <c r="K251" s="611"/>
      <c r="L251" s="611"/>
      <c r="M251" s="611"/>
      <c r="N251" s="611"/>
      <c r="O251" s="611"/>
      <c r="P251" s="611"/>
      <c r="Q251" s="611"/>
      <c r="R251" s="611"/>
      <c r="S251" s="143"/>
      <c r="T251" s="143"/>
      <c r="U251" s="143"/>
      <c r="V251" s="143"/>
      <c r="W251" s="143"/>
      <c r="X251" s="1248">
        <f t="shared" si="103"/>
        <v>0</v>
      </c>
      <c r="Y251" s="611"/>
      <c r="Z251" s="611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03">
        <f t="shared" si="104"/>
        <v>0</v>
      </c>
      <c r="AM251" s="136"/>
      <c r="AN251" s="136"/>
      <c r="AO251" s="136"/>
      <c r="AP251" s="105">
        <f t="shared" si="105"/>
        <v>0</v>
      </c>
      <c r="AQ251" s="143"/>
      <c r="AR251" s="143"/>
      <c r="AS251" s="143"/>
      <c r="AT251" s="146"/>
      <c r="AU251" s="224">
        <f t="shared" si="106"/>
        <v>0</v>
      </c>
      <c r="AV251" s="126"/>
      <c r="AW251" s="274"/>
      <c r="AX251" s="433"/>
      <c r="AY251" s="433"/>
      <c r="AZ251" s="433"/>
      <c r="BA251" s="275"/>
      <c r="BB251" s="126"/>
      <c r="BC251" s="274"/>
      <c r="BD251" s="274"/>
      <c r="BE251" s="274"/>
      <c r="BF251" s="274"/>
      <c r="BG251" s="222">
        <f t="shared" si="107"/>
        <v>0</v>
      </c>
      <c r="BH251" s="140">
        <f t="shared" si="108"/>
        <v>0</v>
      </c>
      <c r="BI251" s="132"/>
      <c r="BJ251" s="140">
        <f t="shared" si="109"/>
        <v>0</v>
      </c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30">
        <f t="shared" si="110"/>
        <v>0</v>
      </c>
      <c r="BY251" s="132"/>
    </row>
    <row r="252" ht="14.25" customHeight="1">
      <c r="A252" s="132"/>
      <c r="B252" s="215">
        <v>46246</v>
      </c>
      <c r="C252" s="133"/>
      <c r="D252" s="136"/>
      <c r="E252" s="135"/>
      <c r="F252" s="135"/>
      <c r="G252" s="147">
        <f t="shared" si="102"/>
        <v>0</v>
      </c>
      <c r="H252" s="768"/>
      <c r="I252" s="768"/>
      <c r="J252" s="611"/>
      <c r="K252" s="611"/>
      <c r="L252" s="611"/>
      <c r="M252" s="611"/>
      <c r="N252" s="611"/>
      <c r="O252" s="611"/>
      <c r="P252" s="611"/>
      <c r="Q252" s="611"/>
      <c r="R252" s="611"/>
      <c r="S252" s="143"/>
      <c r="T252" s="143"/>
      <c r="U252" s="143"/>
      <c r="V252" s="143"/>
      <c r="W252" s="143"/>
      <c r="X252" s="1248">
        <f t="shared" si="103"/>
        <v>0</v>
      </c>
      <c r="Y252" s="611"/>
      <c r="Z252" s="611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03">
        <f t="shared" si="104"/>
        <v>0</v>
      </c>
      <c r="AM252" s="136"/>
      <c r="AN252" s="136"/>
      <c r="AO252" s="136"/>
      <c r="AP252" s="105">
        <f t="shared" si="105"/>
        <v>0</v>
      </c>
      <c r="AQ252" s="143"/>
      <c r="AR252" s="143"/>
      <c r="AS252" s="143"/>
      <c r="AT252" s="146"/>
      <c r="AU252" s="224">
        <f t="shared" si="106"/>
        <v>0</v>
      </c>
      <c r="AV252" s="126"/>
      <c r="AW252" s="274"/>
      <c r="AX252" s="433"/>
      <c r="AY252" s="433"/>
      <c r="AZ252" s="433"/>
      <c r="BA252" s="275"/>
      <c r="BB252" s="126"/>
      <c r="BC252" s="274"/>
      <c r="BD252" s="274"/>
      <c r="BE252" s="274"/>
      <c r="BF252" s="274"/>
      <c r="BG252" s="222">
        <f t="shared" si="107"/>
        <v>0</v>
      </c>
      <c r="BH252" s="140">
        <f t="shared" si="108"/>
        <v>0</v>
      </c>
      <c r="BI252" s="132"/>
      <c r="BJ252" s="140">
        <f t="shared" si="109"/>
        <v>0</v>
      </c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30">
        <f t="shared" si="110"/>
        <v>0</v>
      </c>
      <c r="BY252" s="132"/>
    </row>
    <row r="253" ht="14.25" customHeight="1">
      <c r="A253" s="132"/>
      <c r="B253" s="215">
        <v>46247</v>
      </c>
      <c r="C253" s="133"/>
      <c r="D253" s="136"/>
      <c r="E253" s="135"/>
      <c r="F253" s="135"/>
      <c r="G253" s="147">
        <f t="shared" si="102"/>
        <v>0</v>
      </c>
      <c r="H253" s="768"/>
      <c r="I253" s="768"/>
      <c r="J253" s="611"/>
      <c r="K253" s="611"/>
      <c r="L253" s="611"/>
      <c r="M253" s="611"/>
      <c r="N253" s="611"/>
      <c r="O253" s="611"/>
      <c r="P253" s="611"/>
      <c r="Q253" s="611"/>
      <c r="R253" s="611"/>
      <c r="S253" s="143"/>
      <c r="T253" s="143"/>
      <c r="U253" s="143"/>
      <c r="V253" s="143"/>
      <c r="W253" s="143"/>
      <c r="X253" s="1248">
        <f t="shared" si="103"/>
        <v>0</v>
      </c>
      <c r="Y253" s="611"/>
      <c r="Z253" s="611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03">
        <f t="shared" si="104"/>
        <v>0</v>
      </c>
      <c r="AM253" s="136"/>
      <c r="AN253" s="136"/>
      <c r="AO253" s="136"/>
      <c r="AP253" s="105">
        <f t="shared" si="105"/>
        <v>0</v>
      </c>
      <c r="AQ253" s="143"/>
      <c r="AR253" s="143"/>
      <c r="AS253" s="143"/>
      <c r="AT253" s="146"/>
      <c r="AU253" s="224">
        <f t="shared" si="106"/>
        <v>0</v>
      </c>
      <c r="AV253" s="126"/>
      <c r="AW253" s="274"/>
      <c r="AX253" s="433"/>
      <c r="AY253" s="433"/>
      <c r="AZ253" s="433"/>
      <c r="BA253" s="275"/>
      <c r="BB253" s="126"/>
      <c r="BC253" s="274"/>
      <c r="BD253" s="274"/>
      <c r="BE253" s="274"/>
      <c r="BF253" s="274"/>
      <c r="BG253" s="222">
        <f t="shared" si="107"/>
        <v>0</v>
      </c>
      <c r="BH253" s="140">
        <f t="shared" si="108"/>
        <v>0</v>
      </c>
      <c r="BI253" s="132"/>
      <c r="BJ253" s="140">
        <f t="shared" si="109"/>
        <v>0</v>
      </c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30">
        <f t="shared" si="110"/>
        <v>0</v>
      </c>
      <c r="BY253" s="132"/>
    </row>
    <row r="254" ht="14.25" customHeight="1">
      <c r="A254" s="132"/>
      <c r="B254" s="215">
        <v>46248</v>
      </c>
      <c r="C254" s="133"/>
      <c r="D254" s="136"/>
      <c r="E254" s="135"/>
      <c r="F254" s="135"/>
      <c r="G254" s="147">
        <f t="shared" si="102"/>
        <v>0</v>
      </c>
      <c r="H254" s="768"/>
      <c r="I254" s="768"/>
      <c r="J254" s="611"/>
      <c r="K254" s="611"/>
      <c r="L254" s="611"/>
      <c r="M254" s="611"/>
      <c r="N254" s="611"/>
      <c r="O254" s="611"/>
      <c r="P254" s="611"/>
      <c r="Q254" s="611"/>
      <c r="R254" s="611"/>
      <c r="S254" s="143"/>
      <c r="T254" s="143"/>
      <c r="U254" s="143"/>
      <c r="V254" s="143"/>
      <c r="W254" s="143"/>
      <c r="X254" s="1248">
        <f t="shared" si="103"/>
        <v>0</v>
      </c>
      <c r="Y254" s="611"/>
      <c r="Z254" s="611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03">
        <f t="shared" si="104"/>
        <v>0</v>
      </c>
      <c r="AM254" s="136"/>
      <c r="AN254" s="136"/>
      <c r="AO254" s="136"/>
      <c r="AP254" s="105">
        <f t="shared" si="105"/>
        <v>0</v>
      </c>
      <c r="AQ254" s="143"/>
      <c r="AR254" s="143"/>
      <c r="AS254" s="143"/>
      <c r="AT254" s="146"/>
      <c r="AU254" s="224">
        <f t="shared" si="106"/>
        <v>0</v>
      </c>
      <c r="AV254" s="126"/>
      <c r="AW254" s="274"/>
      <c r="AX254" s="433"/>
      <c r="AY254" s="433"/>
      <c r="AZ254" s="433"/>
      <c r="BA254" s="275"/>
      <c r="BB254" s="126"/>
      <c r="BC254" s="274"/>
      <c r="BD254" s="274"/>
      <c r="BE254" s="274"/>
      <c r="BF254" s="274"/>
      <c r="BG254" s="222">
        <f t="shared" si="107"/>
        <v>0</v>
      </c>
      <c r="BH254" s="140">
        <f t="shared" si="108"/>
        <v>0</v>
      </c>
      <c r="BI254" s="132"/>
      <c r="BJ254" s="140">
        <f t="shared" si="109"/>
        <v>0</v>
      </c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30">
        <f t="shared" si="110"/>
        <v>0</v>
      </c>
      <c r="BY254" s="132"/>
    </row>
    <row r="255" ht="14.25" customHeight="1">
      <c r="A255" s="132"/>
      <c r="B255" s="215">
        <v>46249</v>
      </c>
      <c r="C255" s="133"/>
      <c r="D255" s="136"/>
      <c r="E255" s="135"/>
      <c r="F255" s="135"/>
      <c r="G255" s="147">
        <f t="shared" si="102"/>
        <v>0</v>
      </c>
      <c r="H255" s="768"/>
      <c r="I255" s="768"/>
      <c r="J255" s="611"/>
      <c r="K255" s="611"/>
      <c r="L255" s="611"/>
      <c r="M255" s="611"/>
      <c r="N255" s="611"/>
      <c r="O255" s="611"/>
      <c r="P255" s="611"/>
      <c r="Q255" s="611"/>
      <c r="R255" s="611"/>
      <c r="S255" s="143"/>
      <c r="T255" s="143"/>
      <c r="U255" s="143"/>
      <c r="V255" s="143"/>
      <c r="W255" s="143"/>
      <c r="X255" s="1248">
        <f t="shared" si="103"/>
        <v>0</v>
      </c>
      <c r="Y255" s="611"/>
      <c r="Z255" s="611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03">
        <f t="shared" si="104"/>
        <v>0</v>
      </c>
      <c r="AM255" s="136"/>
      <c r="AN255" s="136"/>
      <c r="AO255" s="136"/>
      <c r="AP255" s="105">
        <f t="shared" si="105"/>
        <v>0</v>
      </c>
      <c r="AQ255" s="143"/>
      <c r="AR255" s="143"/>
      <c r="AS255" s="143"/>
      <c r="AT255" s="146"/>
      <c r="AU255" s="224">
        <f t="shared" si="106"/>
        <v>0</v>
      </c>
      <c r="AV255" s="126"/>
      <c r="AW255" s="274"/>
      <c r="AX255" s="433"/>
      <c r="AY255" s="433"/>
      <c r="AZ255" s="433"/>
      <c r="BA255" s="275"/>
      <c r="BB255" s="126"/>
      <c r="BC255" s="274"/>
      <c r="BD255" s="274"/>
      <c r="BE255" s="274"/>
      <c r="BF255" s="274"/>
      <c r="BG255" s="222">
        <f t="shared" si="107"/>
        <v>0</v>
      </c>
      <c r="BH255" s="140">
        <f t="shared" si="108"/>
        <v>0</v>
      </c>
      <c r="BI255" s="132"/>
      <c r="BJ255" s="140">
        <f t="shared" si="109"/>
        <v>0</v>
      </c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30">
        <f t="shared" si="110"/>
        <v>0</v>
      </c>
      <c r="BY255" s="132"/>
    </row>
    <row r="256" ht="14.25" customHeight="1">
      <c r="A256" s="132"/>
      <c r="B256" s="215">
        <v>46250</v>
      </c>
      <c r="C256" s="133"/>
      <c r="D256" s="136"/>
      <c r="E256" s="135"/>
      <c r="F256" s="135"/>
      <c r="G256" s="147">
        <f t="shared" si="102"/>
        <v>0</v>
      </c>
      <c r="H256" s="768"/>
      <c r="I256" s="746"/>
      <c r="J256" s="641"/>
      <c r="K256" s="641"/>
      <c r="L256" s="611"/>
      <c r="M256" s="611"/>
      <c r="N256" s="611"/>
      <c r="O256" s="611"/>
      <c r="P256" s="611"/>
      <c r="Q256" s="611"/>
      <c r="R256" s="611"/>
      <c r="S256" s="143"/>
      <c r="T256" s="143"/>
      <c r="U256" s="143"/>
      <c r="V256" s="143"/>
      <c r="W256" s="143"/>
      <c r="X256" s="1248">
        <f t="shared" si="103"/>
        <v>0</v>
      </c>
      <c r="Y256" s="611"/>
      <c r="Z256" s="611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03">
        <f t="shared" si="104"/>
        <v>0</v>
      </c>
      <c r="AM256" s="136"/>
      <c r="AN256" s="136"/>
      <c r="AO256" s="136"/>
      <c r="AP256" s="105">
        <f t="shared" si="105"/>
        <v>0</v>
      </c>
      <c r="AQ256" s="143"/>
      <c r="AR256" s="143"/>
      <c r="AS256" s="143"/>
      <c r="AT256" s="146"/>
      <c r="AU256" s="224">
        <f t="shared" si="106"/>
        <v>0</v>
      </c>
      <c r="AV256" s="126"/>
      <c r="AW256" s="274"/>
      <c r="AX256" s="433"/>
      <c r="AY256" s="433"/>
      <c r="AZ256" s="433"/>
      <c r="BA256" s="275"/>
      <c r="BB256" s="126"/>
      <c r="BC256" s="274"/>
      <c r="BD256" s="274"/>
      <c r="BE256" s="274"/>
      <c r="BF256" s="274"/>
      <c r="BG256" s="222">
        <f t="shared" si="107"/>
        <v>0</v>
      </c>
      <c r="BH256" s="140">
        <f t="shared" si="108"/>
        <v>0</v>
      </c>
      <c r="BI256" s="132"/>
      <c r="BJ256" s="140">
        <f t="shared" si="109"/>
        <v>0</v>
      </c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30">
        <f t="shared" si="110"/>
        <v>0</v>
      </c>
      <c r="BY256" s="132"/>
    </row>
    <row r="257" ht="14.25" customHeight="1">
      <c r="A257" s="132"/>
      <c r="B257" s="215">
        <v>46251</v>
      </c>
      <c r="C257" s="133"/>
      <c r="D257" s="136"/>
      <c r="E257" s="135"/>
      <c r="F257" s="135"/>
      <c r="G257" s="147">
        <f t="shared" si="102"/>
        <v>0</v>
      </c>
      <c r="H257" s="768"/>
      <c r="I257" s="768"/>
      <c r="J257" s="611"/>
      <c r="K257" s="611"/>
      <c r="L257" s="611"/>
      <c r="M257" s="611"/>
      <c r="N257" s="611"/>
      <c r="O257" s="611"/>
      <c r="P257" s="611"/>
      <c r="Q257" s="611"/>
      <c r="R257" s="611"/>
      <c r="S257" s="143"/>
      <c r="T257" s="143"/>
      <c r="U257" s="143"/>
      <c r="V257" s="143"/>
      <c r="W257" s="143"/>
      <c r="X257" s="1248">
        <f t="shared" si="103"/>
        <v>0</v>
      </c>
      <c r="Y257" s="611"/>
      <c r="Z257" s="611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03">
        <f t="shared" si="104"/>
        <v>0</v>
      </c>
      <c r="AM257" s="136"/>
      <c r="AN257" s="136"/>
      <c r="AO257" s="136"/>
      <c r="AP257" s="105">
        <f t="shared" si="105"/>
        <v>0</v>
      </c>
      <c r="AQ257" s="143"/>
      <c r="AR257" s="143"/>
      <c r="AS257" s="143"/>
      <c r="AT257" s="146"/>
      <c r="AU257" s="224">
        <f t="shared" si="106"/>
        <v>0</v>
      </c>
      <c r="AV257" s="126"/>
      <c r="AW257" s="274"/>
      <c r="AX257" s="433"/>
      <c r="AY257" s="433"/>
      <c r="AZ257" s="433"/>
      <c r="BA257" s="275"/>
      <c r="BB257" s="126"/>
      <c r="BC257" s="274"/>
      <c r="BD257" s="274"/>
      <c r="BE257" s="274"/>
      <c r="BF257" s="274"/>
      <c r="BG257" s="222">
        <f t="shared" si="107"/>
        <v>0</v>
      </c>
      <c r="BH257" s="140">
        <f t="shared" si="108"/>
        <v>0</v>
      </c>
      <c r="BI257" s="132"/>
      <c r="BJ257" s="140">
        <f t="shared" si="109"/>
        <v>0</v>
      </c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30">
        <f t="shared" si="110"/>
        <v>0</v>
      </c>
      <c r="BY257" s="132"/>
    </row>
    <row r="258" ht="14.25" customHeight="1">
      <c r="A258" s="132"/>
      <c r="B258" s="215">
        <v>46252</v>
      </c>
      <c r="C258" s="133"/>
      <c r="D258" s="136"/>
      <c r="E258" s="135"/>
      <c r="F258" s="135"/>
      <c r="G258" s="147">
        <f t="shared" si="102"/>
        <v>0</v>
      </c>
      <c r="H258" s="768"/>
      <c r="I258" s="768"/>
      <c r="J258" s="611"/>
      <c r="K258" s="611"/>
      <c r="L258" s="611"/>
      <c r="M258" s="611"/>
      <c r="N258" s="611"/>
      <c r="O258" s="611"/>
      <c r="P258" s="611"/>
      <c r="Q258" s="611"/>
      <c r="R258" s="611"/>
      <c r="S258" s="143"/>
      <c r="T258" s="143"/>
      <c r="U258" s="143"/>
      <c r="V258" s="143"/>
      <c r="W258" s="143"/>
      <c r="X258" s="1248">
        <f t="shared" si="103"/>
        <v>0</v>
      </c>
      <c r="Y258" s="611"/>
      <c r="Z258" s="611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03">
        <f t="shared" si="104"/>
        <v>0</v>
      </c>
      <c r="AM258" s="136"/>
      <c r="AN258" s="136"/>
      <c r="AO258" s="136"/>
      <c r="AP258" s="105">
        <f t="shared" si="105"/>
        <v>0</v>
      </c>
      <c r="AQ258" s="143"/>
      <c r="AR258" s="143"/>
      <c r="AS258" s="143"/>
      <c r="AT258" s="146"/>
      <c r="AU258" s="224">
        <f t="shared" si="106"/>
        <v>0</v>
      </c>
      <c r="AV258" s="126"/>
      <c r="AW258" s="274"/>
      <c r="AX258" s="433"/>
      <c r="AY258" s="433"/>
      <c r="AZ258" s="433"/>
      <c r="BA258" s="275"/>
      <c r="BB258" s="126"/>
      <c r="BC258" s="274"/>
      <c r="BD258" s="274"/>
      <c r="BE258" s="274"/>
      <c r="BF258" s="274"/>
      <c r="BG258" s="222">
        <f t="shared" si="107"/>
        <v>0</v>
      </c>
      <c r="BH258" s="140">
        <f t="shared" si="108"/>
        <v>0</v>
      </c>
      <c r="BI258" s="132"/>
      <c r="BJ258" s="140">
        <f t="shared" si="109"/>
        <v>0</v>
      </c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30">
        <f t="shared" si="110"/>
        <v>0</v>
      </c>
      <c r="BY258" s="132"/>
    </row>
    <row r="259" ht="14.25" customHeight="1">
      <c r="A259" s="132"/>
      <c r="B259" s="215">
        <v>46253</v>
      </c>
      <c r="C259" s="133"/>
      <c r="D259" s="136"/>
      <c r="E259" s="135"/>
      <c r="F259" s="135"/>
      <c r="G259" s="147">
        <f t="shared" si="102"/>
        <v>0</v>
      </c>
      <c r="H259" s="768"/>
      <c r="I259" s="768"/>
      <c r="J259" s="611"/>
      <c r="K259" s="611"/>
      <c r="L259" s="611"/>
      <c r="M259" s="611"/>
      <c r="N259" s="611"/>
      <c r="O259" s="1312"/>
      <c r="P259" s="1312"/>
      <c r="Q259" s="611"/>
      <c r="R259" s="611"/>
      <c r="S259" s="143"/>
      <c r="T259" s="143"/>
      <c r="U259" s="143"/>
      <c r="V259" s="143"/>
      <c r="W259" s="143"/>
      <c r="X259" s="1248">
        <f t="shared" si="103"/>
        <v>0</v>
      </c>
      <c r="Y259" s="611"/>
      <c r="Z259" s="611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03">
        <f t="shared" si="104"/>
        <v>0</v>
      </c>
      <c r="AM259" s="136"/>
      <c r="AN259" s="136"/>
      <c r="AO259" s="136"/>
      <c r="AP259" s="105">
        <f t="shared" si="105"/>
        <v>0</v>
      </c>
      <c r="AQ259" s="143"/>
      <c r="AR259" s="143"/>
      <c r="AS259" s="143"/>
      <c r="AT259" s="146"/>
      <c r="AU259" s="224">
        <f t="shared" si="106"/>
        <v>0</v>
      </c>
      <c r="AV259" s="126"/>
      <c r="AW259" s="274"/>
      <c r="AX259" s="433"/>
      <c r="AY259" s="433"/>
      <c r="AZ259" s="433"/>
      <c r="BA259" s="275"/>
      <c r="BB259" s="126"/>
      <c r="BC259" s="274"/>
      <c r="BD259" s="274"/>
      <c r="BE259" s="274"/>
      <c r="BF259" s="274"/>
      <c r="BG259" s="222">
        <f t="shared" si="107"/>
        <v>0</v>
      </c>
      <c r="BH259" s="140">
        <f t="shared" si="108"/>
        <v>0</v>
      </c>
      <c r="BI259" s="132"/>
      <c r="BJ259" s="140">
        <f t="shared" si="109"/>
        <v>0</v>
      </c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30">
        <f t="shared" si="110"/>
        <v>0</v>
      </c>
      <c r="BY259" s="132"/>
    </row>
    <row r="260" ht="14.25" customHeight="1">
      <c r="A260" s="132"/>
      <c r="B260" s="215">
        <v>46254</v>
      </c>
      <c r="C260" s="133"/>
      <c r="D260" s="136"/>
      <c r="E260" s="135"/>
      <c r="F260" s="135"/>
      <c r="G260" s="147">
        <f t="shared" si="102"/>
        <v>0</v>
      </c>
      <c r="H260" s="768"/>
      <c r="I260" s="768"/>
      <c r="J260" s="611"/>
      <c r="K260" s="611"/>
      <c r="L260" s="611"/>
      <c r="M260" s="611"/>
      <c r="N260" s="611"/>
      <c r="O260" s="611"/>
      <c r="P260" s="611"/>
      <c r="Q260" s="611"/>
      <c r="R260" s="611"/>
      <c r="S260" s="143"/>
      <c r="T260" s="143"/>
      <c r="U260" s="143"/>
      <c r="V260" s="143"/>
      <c r="W260" s="143"/>
      <c r="X260" s="1248">
        <f t="shared" si="103"/>
        <v>0</v>
      </c>
      <c r="Y260" s="611"/>
      <c r="Z260" s="611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03">
        <f t="shared" si="104"/>
        <v>0</v>
      </c>
      <c r="AM260" s="136"/>
      <c r="AN260" s="136"/>
      <c r="AO260" s="136"/>
      <c r="AP260" s="105">
        <f t="shared" si="105"/>
        <v>0</v>
      </c>
      <c r="AQ260" s="143"/>
      <c r="AR260" s="143"/>
      <c r="AS260" s="143"/>
      <c r="AT260" s="146"/>
      <c r="AU260" s="224">
        <f t="shared" si="106"/>
        <v>0</v>
      </c>
      <c r="AV260" s="126"/>
      <c r="AW260" s="1315"/>
      <c r="AX260" s="1133"/>
      <c r="AY260" s="433"/>
      <c r="AZ260" s="433"/>
      <c r="BA260" s="275"/>
      <c r="BB260" s="126"/>
      <c r="BC260" s="274"/>
      <c r="BD260" s="274"/>
      <c r="BE260" s="274"/>
      <c r="BF260" s="274"/>
      <c r="BG260" s="222">
        <f t="shared" si="107"/>
        <v>0</v>
      </c>
      <c r="BH260" s="140">
        <f t="shared" si="108"/>
        <v>0</v>
      </c>
      <c r="BI260" s="132"/>
      <c r="BJ260" s="140">
        <f t="shared" si="109"/>
        <v>0</v>
      </c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30">
        <f t="shared" si="110"/>
        <v>0</v>
      </c>
      <c r="BY260" s="132"/>
    </row>
    <row r="261" ht="14.25" customHeight="1">
      <c r="A261" s="132"/>
      <c r="B261" s="215">
        <v>46255</v>
      </c>
      <c r="C261" s="133"/>
      <c r="D261" s="136"/>
      <c r="E261" s="135"/>
      <c r="F261" s="135"/>
      <c r="G261" s="147">
        <f t="shared" si="102"/>
        <v>0</v>
      </c>
      <c r="H261" s="768"/>
      <c r="I261" s="768"/>
      <c r="J261" s="611"/>
      <c r="K261" s="611"/>
      <c r="L261" s="611"/>
      <c r="M261" s="611"/>
      <c r="N261" s="611"/>
      <c r="O261" s="611"/>
      <c r="P261" s="611"/>
      <c r="Q261" s="611"/>
      <c r="R261" s="611"/>
      <c r="S261" s="143"/>
      <c r="T261" s="143"/>
      <c r="U261" s="143"/>
      <c r="V261" s="143"/>
      <c r="W261" s="143"/>
      <c r="X261" s="1248">
        <f t="shared" si="103"/>
        <v>0</v>
      </c>
      <c r="Y261" s="611"/>
      <c r="Z261" s="611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03">
        <f t="shared" si="104"/>
        <v>0</v>
      </c>
      <c r="AM261" s="136"/>
      <c r="AN261" s="136"/>
      <c r="AO261" s="136"/>
      <c r="AP261" s="105">
        <f t="shared" si="105"/>
        <v>0</v>
      </c>
      <c r="AQ261" s="143"/>
      <c r="AR261" s="143"/>
      <c r="AS261" s="143"/>
      <c r="AT261" s="146"/>
      <c r="AU261" s="224">
        <f t="shared" si="106"/>
        <v>0</v>
      </c>
      <c r="AV261" s="126"/>
      <c r="AW261" s="274"/>
      <c r="AX261" s="433"/>
      <c r="AY261" s="433"/>
      <c r="AZ261" s="433"/>
      <c r="BA261" s="275"/>
      <c r="BB261" s="126"/>
      <c r="BC261" s="274"/>
      <c r="BD261" s="274"/>
      <c r="BE261" s="274"/>
      <c r="BF261" s="274"/>
      <c r="BG261" s="222">
        <f t="shared" si="107"/>
        <v>0</v>
      </c>
      <c r="BH261" s="140">
        <f t="shared" si="108"/>
        <v>0</v>
      </c>
      <c r="BI261" s="132"/>
      <c r="BJ261" s="140">
        <f t="shared" si="109"/>
        <v>0</v>
      </c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30">
        <f t="shared" si="110"/>
        <v>0</v>
      </c>
      <c r="BY261" s="132"/>
    </row>
    <row r="262" ht="14.25" customHeight="1">
      <c r="A262" s="132"/>
      <c r="B262" s="215">
        <v>46256</v>
      </c>
      <c r="C262" s="133"/>
      <c r="D262" s="136"/>
      <c r="E262" s="135"/>
      <c r="F262" s="135"/>
      <c r="G262" s="147">
        <f t="shared" si="102"/>
        <v>0</v>
      </c>
      <c r="H262" s="768"/>
      <c r="I262" s="768"/>
      <c r="J262" s="611"/>
      <c r="K262" s="611"/>
      <c r="L262" s="611"/>
      <c r="M262" s="611"/>
      <c r="N262" s="611"/>
      <c r="O262" s="611"/>
      <c r="P262" s="611"/>
      <c r="Q262" s="611"/>
      <c r="R262" s="611"/>
      <c r="S262" s="143"/>
      <c r="T262" s="143"/>
      <c r="U262" s="143"/>
      <c r="V262" s="143"/>
      <c r="W262" s="143"/>
      <c r="X262" s="1248">
        <f t="shared" si="103"/>
        <v>0</v>
      </c>
      <c r="Y262" s="611"/>
      <c r="Z262" s="611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03">
        <f t="shared" si="104"/>
        <v>0</v>
      </c>
      <c r="AM262" s="136"/>
      <c r="AN262" s="136"/>
      <c r="AO262" s="136"/>
      <c r="AP262" s="105">
        <f t="shared" si="105"/>
        <v>0</v>
      </c>
      <c r="AQ262" s="143"/>
      <c r="AR262" s="143"/>
      <c r="AS262" s="143"/>
      <c r="AT262" s="146"/>
      <c r="AU262" s="224">
        <f t="shared" si="106"/>
        <v>0</v>
      </c>
      <c r="AV262" s="126"/>
      <c r="AW262" s="274"/>
      <c r="AX262" s="433"/>
      <c r="AY262" s="433"/>
      <c r="AZ262" s="433"/>
      <c r="BA262" s="275"/>
      <c r="BB262" s="126"/>
      <c r="BC262" s="274"/>
      <c r="BD262" s="274"/>
      <c r="BE262" s="274"/>
      <c r="BF262" s="274"/>
      <c r="BG262" s="222">
        <f t="shared" si="107"/>
        <v>0</v>
      </c>
      <c r="BH262" s="140">
        <f t="shared" si="108"/>
        <v>0</v>
      </c>
      <c r="BI262" s="132"/>
      <c r="BJ262" s="140">
        <f t="shared" si="109"/>
        <v>0</v>
      </c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30">
        <f t="shared" si="110"/>
        <v>0</v>
      </c>
      <c r="BY262" s="132"/>
    </row>
    <row r="263" ht="14.25" customHeight="1">
      <c r="A263" s="132"/>
      <c r="B263" s="215">
        <v>46257</v>
      </c>
      <c r="C263" s="133"/>
      <c r="D263" s="136"/>
      <c r="E263" s="135"/>
      <c r="F263" s="135"/>
      <c r="G263" s="147">
        <f t="shared" si="102"/>
        <v>0</v>
      </c>
      <c r="H263" s="768"/>
      <c r="I263" s="768"/>
      <c r="J263" s="611"/>
      <c r="K263" s="611"/>
      <c r="L263" s="1316"/>
      <c r="M263" s="1316"/>
      <c r="N263" s="611"/>
      <c r="O263" s="611"/>
      <c r="P263" s="611"/>
      <c r="Q263" s="611"/>
      <c r="R263" s="611"/>
      <c r="S263" s="143"/>
      <c r="T263" s="143"/>
      <c r="U263" s="143"/>
      <c r="V263" s="143"/>
      <c r="W263" s="143"/>
      <c r="X263" s="1248">
        <f t="shared" si="103"/>
        <v>0</v>
      </c>
      <c r="Y263" s="611"/>
      <c r="Z263" s="611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03">
        <f t="shared" si="104"/>
        <v>0</v>
      </c>
      <c r="AM263" s="136"/>
      <c r="AN263" s="136"/>
      <c r="AO263" s="136"/>
      <c r="AP263" s="105">
        <f t="shared" si="105"/>
        <v>0</v>
      </c>
      <c r="AQ263" s="143"/>
      <c r="AR263" s="143"/>
      <c r="AS263" s="143"/>
      <c r="AT263" s="146"/>
      <c r="AU263" s="224">
        <f t="shared" si="106"/>
        <v>0</v>
      </c>
      <c r="AV263" s="126"/>
      <c r="AW263" s="274"/>
      <c r="AX263" s="433"/>
      <c r="AY263" s="433"/>
      <c r="AZ263" s="433"/>
      <c r="BA263" s="275"/>
      <c r="BB263" s="126"/>
      <c r="BC263" s="274"/>
      <c r="BD263" s="274"/>
      <c r="BE263" s="274"/>
      <c r="BF263" s="274"/>
      <c r="BG263" s="222">
        <f t="shared" si="107"/>
        <v>0</v>
      </c>
      <c r="BH263" s="140">
        <f t="shared" si="108"/>
        <v>0</v>
      </c>
      <c r="BI263" s="132"/>
      <c r="BJ263" s="140">
        <f t="shared" si="109"/>
        <v>0</v>
      </c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30">
        <f t="shared" si="110"/>
        <v>0</v>
      </c>
      <c r="BY263" s="132"/>
    </row>
    <row r="264" ht="14.25" customHeight="1">
      <c r="A264" s="132"/>
      <c r="B264" s="215">
        <v>46258</v>
      </c>
      <c r="C264" s="133"/>
      <c r="D264" s="136"/>
      <c r="E264" s="135"/>
      <c r="F264" s="135"/>
      <c r="G264" s="147">
        <f t="shared" si="102"/>
        <v>0</v>
      </c>
      <c r="H264" s="768"/>
      <c r="I264" s="768"/>
      <c r="J264" s="611"/>
      <c r="K264" s="611"/>
      <c r="L264" s="611"/>
      <c r="M264" s="611"/>
      <c r="N264" s="611"/>
      <c r="O264" s="611"/>
      <c r="P264" s="611"/>
      <c r="Q264" s="611"/>
      <c r="R264" s="611"/>
      <c r="S264" s="143"/>
      <c r="T264" s="143"/>
      <c r="U264" s="143"/>
      <c r="V264" s="143"/>
      <c r="W264" s="143"/>
      <c r="X264" s="1248">
        <f t="shared" si="103"/>
        <v>0</v>
      </c>
      <c r="Y264" s="611"/>
      <c r="Z264" s="611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03">
        <f t="shared" si="104"/>
        <v>0</v>
      </c>
      <c r="AM264" s="136"/>
      <c r="AN264" s="136"/>
      <c r="AO264" s="136"/>
      <c r="AP264" s="105">
        <f t="shared" si="105"/>
        <v>0</v>
      </c>
      <c r="AQ264" s="143"/>
      <c r="AR264" s="143"/>
      <c r="AS264" s="143"/>
      <c r="AT264" s="146"/>
      <c r="AU264" s="224">
        <f t="shared" si="106"/>
        <v>0</v>
      </c>
      <c r="AV264" s="126"/>
      <c r="AW264" s="274"/>
      <c r="AX264" s="433"/>
      <c r="AY264" s="433"/>
      <c r="AZ264" s="433"/>
      <c r="BA264" s="275"/>
      <c r="BB264" s="126"/>
      <c r="BC264" s="274"/>
      <c r="BD264" s="274"/>
      <c r="BE264" s="274"/>
      <c r="BF264" s="274"/>
      <c r="BG264" s="222">
        <f t="shared" si="107"/>
        <v>0</v>
      </c>
      <c r="BH264" s="140">
        <f t="shared" si="108"/>
        <v>0</v>
      </c>
      <c r="BI264" s="132"/>
      <c r="BJ264" s="140">
        <f t="shared" si="109"/>
        <v>0</v>
      </c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30">
        <f t="shared" si="110"/>
        <v>0</v>
      </c>
      <c r="BY264" s="132"/>
    </row>
    <row r="265" ht="14.25" customHeight="1">
      <c r="A265" s="132"/>
      <c r="B265" s="215">
        <v>46259</v>
      </c>
      <c r="C265" s="133"/>
      <c r="D265" s="136"/>
      <c r="E265" s="135"/>
      <c r="F265" s="135"/>
      <c r="G265" s="147">
        <f t="shared" si="102"/>
        <v>0</v>
      </c>
      <c r="I265" s="1317"/>
      <c r="J265" s="611"/>
      <c r="K265" s="611"/>
      <c r="L265" s="611"/>
      <c r="M265" s="611"/>
      <c r="N265" s="611"/>
      <c r="O265" s="611"/>
      <c r="P265" s="611"/>
      <c r="Q265" s="611"/>
      <c r="R265" s="611"/>
      <c r="S265" s="143"/>
      <c r="T265" s="143"/>
      <c r="U265" s="143"/>
      <c r="V265" s="143"/>
      <c r="W265" s="143"/>
      <c r="X265" s="1248">
        <f t="shared" si="103"/>
        <v>0</v>
      </c>
      <c r="Y265" s="611"/>
      <c r="Z265" s="611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03">
        <f t="shared" si="104"/>
        <v>0</v>
      </c>
      <c r="AM265" s="136"/>
      <c r="AN265" s="136"/>
      <c r="AO265" s="136"/>
      <c r="AP265" s="105">
        <f t="shared" si="105"/>
        <v>0</v>
      </c>
      <c r="AQ265" s="143"/>
      <c r="AR265" s="143"/>
      <c r="AS265" s="143"/>
      <c r="AT265" s="146"/>
      <c r="AU265" s="224">
        <f t="shared" si="106"/>
        <v>0</v>
      </c>
      <c r="AV265" s="126"/>
      <c r="AW265" s="274"/>
      <c r="AX265" s="433"/>
      <c r="AY265" s="433"/>
      <c r="AZ265" s="433"/>
      <c r="BA265" s="275"/>
      <c r="BB265" s="126"/>
      <c r="BC265" s="274"/>
      <c r="BD265" s="274"/>
      <c r="BE265" s="274"/>
      <c r="BF265" s="274"/>
      <c r="BG265" s="222">
        <f t="shared" si="107"/>
        <v>0</v>
      </c>
      <c r="BH265" s="140">
        <f t="shared" si="108"/>
        <v>0</v>
      </c>
      <c r="BI265" s="132"/>
      <c r="BJ265" s="140">
        <f t="shared" si="109"/>
        <v>0</v>
      </c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141"/>
      <c r="BV265" s="141"/>
      <c r="BW265" s="141"/>
      <c r="BX265" s="130">
        <f t="shared" si="110"/>
        <v>0</v>
      </c>
      <c r="BY265" s="132"/>
    </row>
    <row r="266" ht="14.25" customHeight="1">
      <c r="A266" s="132"/>
      <c r="B266" s="215">
        <v>46260</v>
      </c>
      <c r="C266" s="133"/>
      <c r="D266" s="136"/>
      <c r="E266" s="135"/>
      <c r="F266" s="135"/>
      <c r="G266" s="147">
        <f t="shared" si="102"/>
        <v>0</v>
      </c>
      <c r="H266" s="768"/>
      <c r="I266" s="768"/>
      <c r="J266" s="768"/>
      <c r="K266" s="768"/>
      <c r="L266" s="641"/>
      <c r="M266" s="641"/>
      <c r="N266" s="641"/>
      <c r="O266" s="611"/>
      <c r="P266" s="611"/>
      <c r="Q266" s="641"/>
      <c r="R266" s="641"/>
      <c r="S266" s="143"/>
      <c r="T266" s="143"/>
      <c r="U266" s="143"/>
      <c r="V266" s="143"/>
      <c r="W266" s="143"/>
      <c r="X266" s="1248">
        <f t="shared" si="103"/>
        <v>0</v>
      </c>
      <c r="Y266" s="611"/>
      <c r="Z266" s="611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03">
        <f t="shared" si="104"/>
        <v>0</v>
      </c>
      <c r="AM266" s="136"/>
      <c r="AN266" s="136"/>
      <c r="AO266" s="136"/>
      <c r="AP266" s="105">
        <f t="shared" si="105"/>
        <v>0</v>
      </c>
      <c r="AQ266" s="143"/>
      <c r="AR266" s="143"/>
      <c r="AS266" s="143"/>
      <c r="AT266" s="146"/>
      <c r="AU266" s="224">
        <f t="shared" si="106"/>
        <v>0</v>
      </c>
      <c r="AV266" s="126"/>
      <c r="AW266" s="274"/>
      <c r="AX266" s="433"/>
      <c r="AY266" s="433"/>
      <c r="AZ266" s="433"/>
      <c r="BA266" s="275"/>
      <c r="BB266" s="126"/>
      <c r="BC266" s="274"/>
      <c r="BD266" s="274"/>
      <c r="BE266" s="274"/>
      <c r="BF266" s="274"/>
      <c r="BG266" s="222">
        <f t="shared" si="107"/>
        <v>0</v>
      </c>
      <c r="BH266" s="140">
        <f t="shared" si="108"/>
        <v>0</v>
      </c>
      <c r="BI266" s="132"/>
      <c r="BJ266" s="140">
        <f t="shared" si="109"/>
        <v>0</v>
      </c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30">
        <f t="shared" si="110"/>
        <v>0</v>
      </c>
      <c r="BY266" s="132"/>
    </row>
    <row r="267" ht="14.25" customHeight="1">
      <c r="A267" s="132"/>
      <c r="B267" s="215">
        <v>46261</v>
      </c>
      <c r="C267" s="133"/>
      <c r="D267" s="136"/>
      <c r="E267" s="135"/>
      <c r="F267" s="135"/>
      <c r="G267" s="147">
        <f t="shared" si="102"/>
        <v>0</v>
      </c>
      <c r="H267" s="1318"/>
      <c r="I267" s="768"/>
      <c r="J267" s="768"/>
      <c r="K267" s="768"/>
      <c r="L267" s="611"/>
      <c r="M267" s="611"/>
      <c r="N267" s="611"/>
      <c r="O267" s="611"/>
      <c r="P267" s="611"/>
      <c r="Q267" s="611"/>
      <c r="R267" s="611"/>
      <c r="S267" s="143"/>
      <c r="T267" s="143"/>
      <c r="U267" s="143"/>
      <c r="V267" s="143"/>
      <c r="W267" s="143"/>
      <c r="X267" s="1248">
        <f t="shared" si="103"/>
        <v>0</v>
      </c>
      <c r="Y267" s="611"/>
      <c r="Z267" s="611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03">
        <f t="shared" si="104"/>
        <v>0</v>
      </c>
      <c r="AM267" s="136"/>
      <c r="AN267" s="136"/>
      <c r="AO267" s="136"/>
      <c r="AP267" s="105">
        <f t="shared" si="105"/>
        <v>0</v>
      </c>
      <c r="AQ267" s="143"/>
      <c r="AR267" s="143"/>
      <c r="AS267" s="143"/>
      <c r="AT267" s="146"/>
      <c r="AU267" s="224">
        <f t="shared" si="106"/>
        <v>0</v>
      </c>
      <c r="AV267" s="126"/>
      <c r="AW267" s="274"/>
      <c r="AX267" s="433"/>
      <c r="AY267" s="433"/>
      <c r="AZ267" s="433"/>
      <c r="BA267" s="275"/>
      <c r="BB267" s="126"/>
      <c r="BC267" s="274"/>
      <c r="BD267" s="274"/>
      <c r="BE267" s="274"/>
      <c r="BF267" s="274"/>
      <c r="BG267" s="222">
        <f t="shared" si="107"/>
        <v>0</v>
      </c>
      <c r="BH267" s="140">
        <f t="shared" si="108"/>
        <v>0</v>
      </c>
      <c r="BI267" s="132"/>
      <c r="BJ267" s="140">
        <f t="shared" si="109"/>
        <v>0</v>
      </c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30">
        <f t="shared" si="110"/>
        <v>0</v>
      </c>
      <c r="BY267" s="132"/>
    </row>
    <row r="268" ht="14.25" customHeight="1">
      <c r="A268" s="132"/>
      <c r="B268" s="215">
        <v>46262</v>
      </c>
      <c r="C268" s="133"/>
      <c r="D268" s="136"/>
      <c r="E268" s="135"/>
      <c r="F268" s="135"/>
      <c r="G268" s="147">
        <f t="shared" si="102"/>
        <v>0</v>
      </c>
      <c r="H268" s="1319"/>
      <c r="I268" s="768"/>
      <c r="J268" s="768"/>
      <c r="K268" s="768"/>
      <c r="L268" s="611"/>
      <c r="M268" s="611"/>
      <c r="N268" s="611"/>
      <c r="O268" s="611"/>
      <c r="P268" s="611"/>
      <c r="Q268" s="611"/>
      <c r="R268" s="611"/>
      <c r="S268" s="143"/>
      <c r="T268" s="143"/>
      <c r="U268" s="143"/>
      <c r="V268" s="143"/>
      <c r="W268" s="143"/>
      <c r="X268" s="1248">
        <f t="shared" si="103"/>
        <v>0</v>
      </c>
      <c r="Y268" s="611"/>
      <c r="Z268" s="611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03">
        <f t="shared" si="104"/>
        <v>0</v>
      </c>
      <c r="AM268" s="136"/>
      <c r="AN268" s="136"/>
      <c r="AO268" s="136"/>
      <c r="AP268" s="105">
        <f t="shared" si="105"/>
        <v>0</v>
      </c>
      <c r="AQ268" s="143"/>
      <c r="AR268" s="143"/>
      <c r="AS268" s="143"/>
      <c r="AT268" s="146"/>
      <c r="AU268" s="224">
        <f t="shared" si="106"/>
        <v>0</v>
      </c>
      <c r="AV268" s="126"/>
      <c r="AW268" s="274"/>
      <c r="AX268" s="433"/>
      <c r="AY268" s="433"/>
      <c r="AZ268" s="433"/>
      <c r="BA268" s="275"/>
      <c r="BB268" s="126"/>
      <c r="BC268" s="274"/>
      <c r="BD268" s="274"/>
      <c r="BE268" s="274"/>
      <c r="BF268" s="274"/>
      <c r="BG268" s="222">
        <f t="shared" si="107"/>
        <v>0</v>
      </c>
      <c r="BH268" s="140">
        <f t="shared" si="108"/>
        <v>0</v>
      </c>
      <c r="BI268" s="132"/>
      <c r="BJ268" s="140">
        <f t="shared" si="109"/>
        <v>0</v>
      </c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30">
        <f t="shared" si="110"/>
        <v>0</v>
      </c>
      <c r="BY268" s="132"/>
    </row>
    <row r="269" ht="14.25" customHeight="1">
      <c r="A269" s="132"/>
      <c r="B269" s="215">
        <v>46263</v>
      </c>
      <c r="C269" s="133"/>
      <c r="D269" s="136"/>
      <c r="E269" s="135"/>
      <c r="F269" s="135"/>
      <c r="G269" s="147">
        <f t="shared" si="102"/>
        <v>0</v>
      </c>
      <c r="H269" s="768"/>
      <c r="I269" s="768"/>
      <c r="J269" s="768"/>
      <c r="K269" s="768"/>
      <c r="L269" s="611"/>
      <c r="M269" s="611"/>
      <c r="N269" s="611"/>
      <c r="O269" s="611"/>
      <c r="P269" s="611"/>
      <c r="Q269" s="611"/>
      <c r="R269" s="611"/>
      <c r="S269" s="143"/>
      <c r="T269" s="143"/>
      <c r="U269" s="143"/>
      <c r="V269" s="143"/>
      <c r="W269" s="143"/>
      <c r="X269" s="1248">
        <f t="shared" si="103"/>
        <v>0</v>
      </c>
      <c r="Y269" s="611"/>
      <c r="Z269" s="611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03">
        <f t="shared" si="104"/>
        <v>0</v>
      </c>
      <c r="AM269" s="136"/>
      <c r="AN269" s="136"/>
      <c r="AO269" s="136"/>
      <c r="AP269" s="105">
        <f t="shared" si="105"/>
        <v>0</v>
      </c>
      <c r="AQ269" s="1320"/>
      <c r="AR269" s="144"/>
      <c r="AS269" s="143"/>
      <c r="AT269" s="146"/>
      <c r="AU269" s="224">
        <f t="shared" si="106"/>
        <v>0</v>
      </c>
      <c r="AV269" s="126"/>
      <c r="AW269" s="274"/>
      <c r="AX269" s="433"/>
      <c r="AY269" s="433"/>
      <c r="AZ269" s="433"/>
      <c r="BA269" s="275"/>
      <c r="BB269" s="126"/>
      <c r="BC269" s="274"/>
      <c r="BD269" s="274"/>
      <c r="BE269" s="274"/>
      <c r="BF269" s="274"/>
      <c r="BG269" s="222">
        <f t="shared" si="107"/>
        <v>0</v>
      </c>
      <c r="BH269" s="140">
        <f t="shared" si="108"/>
        <v>0</v>
      </c>
      <c r="BI269" s="132"/>
      <c r="BJ269" s="140">
        <f t="shared" si="109"/>
        <v>0</v>
      </c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96"/>
      <c r="BX269" s="130">
        <f t="shared" si="110"/>
        <v>0</v>
      </c>
      <c r="BY269" s="132"/>
    </row>
    <row r="270" ht="14.25" customHeight="1">
      <c r="A270" s="132"/>
      <c r="B270" s="215">
        <v>46264</v>
      </c>
      <c r="C270" s="133"/>
      <c r="D270" s="136"/>
      <c r="E270" s="135"/>
      <c r="F270" s="135"/>
      <c r="G270" s="147">
        <f t="shared" si="102"/>
        <v>0</v>
      </c>
      <c r="H270" s="1318"/>
      <c r="I270" s="768"/>
      <c r="J270" s="768"/>
      <c r="K270" s="768"/>
      <c r="L270" s="611"/>
      <c r="M270" s="611"/>
      <c r="N270" s="611"/>
      <c r="O270" s="768"/>
      <c r="P270" s="768"/>
      <c r="Q270" s="768"/>
      <c r="R270" s="611"/>
      <c r="S270" s="143"/>
      <c r="T270" s="143"/>
      <c r="U270" s="143"/>
      <c r="V270" s="143"/>
      <c r="W270" s="143"/>
      <c r="X270" s="1248">
        <f t="shared" si="103"/>
        <v>0</v>
      </c>
      <c r="Y270" s="611"/>
      <c r="Z270" s="611"/>
      <c r="AA270" s="143"/>
      <c r="AB270" s="143"/>
      <c r="AC270" s="143"/>
      <c r="AD270" s="143"/>
      <c r="AE270" s="143"/>
      <c r="AF270" s="143"/>
      <c r="AG270" s="143"/>
      <c r="AH270" s="143"/>
      <c r="AI270" s="143"/>
      <c r="AJ270" s="143"/>
      <c r="AK270" s="143"/>
      <c r="AL270" s="103">
        <f t="shared" si="104"/>
        <v>0</v>
      </c>
      <c r="AM270" s="136"/>
      <c r="AN270" s="136"/>
      <c r="AO270" s="136"/>
      <c r="AP270" s="105">
        <f t="shared" si="105"/>
        <v>0</v>
      </c>
      <c r="AQ270" s="143"/>
      <c r="AR270" s="143"/>
      <c r="AS270" s="143"/>
      <c r="AT270" s="146"/>
      <c r="AU270" s="224">
        <f t="shared" si="106"/>
        <v>0</v>
      </c>
      <c r="AV270" s="126"/>
      <c r="AW270" s="274"/>
      <c r="AX270" s="433"/>
      <c r="AY270" s="433"/>
      <c r="AZ270" s="433"/>
      <c r="BA270" s="275"/>
      <c r="BB270" s="126"/>
      <c r="BC270" s="274"/>
      <c r="BD270" s="274"/>
      <c r="BE270" s="274"/>
      <c r="BF270" s="274"/>
      <c r="BG270" s="222">
        <f t="shared" si="107"/>
        <v>0</v>
      </c>
      <c r="BH270" s="140">
        <f t="shared" si="108"/>
        <v>0</v>
      </c>
      <c r="BI270" s="132"/>
      <c r="BJ270" s="140">
        <f t="shared" si="109"/>
        <v>0</v>
      </c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41"/>
      <c r="BU270" s="393"/>
      <c r="BV270" s="141"/>
      <c r="BW270" s="163"/>
      <c r="BX270" s="130">
        <f t="shared" si="110"/>
        <v>0</v>
      </c>
      <c r="BY270" s="132"/>
    </row>
    <row r="271" ht="14.25" customHeight="1">
      <c r="A271" s="132"/>
      <c r="B271" s="215">
        <v>46265</v>
      </c>
      <c r="C271" s="153"/>
      <c r="D271" s="159"/>
      <c r="E271" s="156"/>
      <c r="F271" s="156"/>
      <c r="G271" s="622">
        <f t="shared" si="102"/>
        <v>0</v>
      </c>
      <c r="H271" s="1321"/>
      <c r="I271" s="1317"/>
      <c r="J271" s="613"/>
      <c r="K271" s="613"/>
      <c r="L271" s="613"/>
      <c r="M271" s="613"/>
      <c r="N271" s="613"/>
      <c r="O271" s="613"/>
      <c r="P271" s="613"/>
      <c r="Q271" s="613"/>
      <c r="R271" s="613"/>
      <c r="S271" s="157"/>
      <c r="T271" s="157"/>
      <c r="U271" s="157"/>
      <c r="V271" s="157"/>
      <c r="W271" s="157"/>
      <c r="X271" s="1248">
        <f t="shared" si="103"/>
        <v>0</v>
      </c>
      <c r="Y271" s="613"/>
      <c r="Z271" s="613"/>
      <c r="AA271" s="157"/>
      <c r="AB271" s="157"/>
      <c r="AC271" s="157"/>
      <c r="AD271" s="157"/>
      <c r="AE271" s="157"/>
      <c r="AF271" s="157"/>
      <c r="AG271" s="157"/>
      <c r="AH271" s="157"/>
      <c r="AI271" s="157"/>
      <c r="AJ271" s="157"/>
      <c r="AK271" s="157"/>
      <c r="AL271" s="103">
        <f t="shared" si="104"/>
        <v>0</v>
      </c>
      <c r="AM271" s="159"/>
      <c r="AN271" s="159"/>
      <c r="AO271" s="159"/>
      <c r="AP271" s="105">
        <f t="shared" si="105"/>
        <v>0</v>
      </c>
      <c r="AQ271" s="157"/>
      <c r="AR271" s="157"/>
      <c r="AS271" s="157"/>
      <c r="AT271" s="160"/>
      <c r="AU271" s="224">
        <f t="shared" si="106"/>
        <v>0</v>
      </c>
      <c r="AV271" s="138"/>
      <c r="AW271" s="296"/>
      <c r="AX271" s="435"/>
      <c r="AY271" s="435"/>
      <c r="AZ271" s="433"/>
      <c r="BA271" s="275"/>
      <c r="BB271" s="138"/>
      <c r="BC271" s="296"/>
      <c r="BD271" s="296"/>
      <c r="BE271" s="296"/>
      <c r="BF271" s="296"/>
      <c r="BG271" s="222">
        <f t="shared" si="107"/>
        <v>0</v>
      </c>
      <c r="BH271" s="162">
        <f t="shared" si="108"/>
        <v>0</v>
      </c>
      <c r="BI271" s="132"/>
      <c r="BJ271" s="162">
        <f t="shared" si="109"/>
        <v>0</v>
      </c>
      <c r="BK271" s="163"/>
      <c r="BL271" s="163"/>
      <c r="BM271" s="163"/>
      <c r="BN271" s="163"/>
      <c r="BO271" s="163"/>
      <c r="BP271" s="163"/>
      <c r="BQ271" s="163"/>
      <c r="BR271" s="163"/>
      <c r="BS271" s="163"/>
      <c r="BT271" s="163"/>
      <c r="BU271" s="163"/>
      <c r="BV271" s="163"/>
      <c r="BW271" s="163"/>
      <c r="BX271" s="164">
        <f t="shared" si="110"/>
        <v>0</v>
      </c>
      <c r="BY271" s="132"/>
    </row>
    <row r="272" ht="14.25" customHeight="1">
      <c r="A272" s="22"/>
      <c r="B272" s="2" t="s">
        <v>82</v>
      </c>
      <c r="C272" s="166">
        <f ref="C272:H272" t="shared" si="111">SUM(C241:C271)</f>
        <v>0</v>
      </c>
      <c r="D272" s="166">
        <f t="shared" si="111"/>
        <v>0</v>
      </c>
      <c r="E272" s="166">
        <f t="shared" si="111"/>
        <v>0</v>
      </c>
      <c r="F272" s="166">
        <f t="shared" si="111"/>
        <v>0</v>
      </c>
      <c r="G272" s="166">
        <f t="shared" si="111"/>
        <v>0</v>
      </c>
      <c r="H272" s="166">
        <f t="shared" si="111"/>
        <v>0</v>
      </c>
      <c r="I272" s="166"/>
      <c r="J272" s="166">
        <f>SUM(J241:J271)</f>
        <v>0</v>
      </c>
      <c r="K272" s="166"/>
      <c r="L272" s="166">
        <f>SUM(L241:L271)</f>
        <v>0</v>
      </c>
      <c r="M272" s="166"/>
      <c r="N272" s="617">
        <f ref="N272:P272" t="shared" si="112">SUM(N241:N271)</f>
        <v>0</v>
      </c>
      <c r="O272" s="166">
        <f t="shared" si="112"/>
        <v>0</v>
      </c>
      <c r="P272" s="166">
        <f t="shared" si="112"/>
        <v>0</v>
      </c>
      <c r="Q272" s="166"/>
      <c r="R272" s="166">
        <f ref="R272:BH272" t="shared" si="113">SUM(R241:R271)</f>
        <v>0</v>
      </c>
      <c r="S272" s="166">
        <f t="shared" si="113"/>
        <v>0</v>
      </c>
      <c r="T272" s="166">
        <f t="shared" si="113"/>
        <v>0</v>
      </c>
      <c r="U272" s="166">
        <f t="shared" si="113"/>
        <v>0</v>
      </c>
      <c r="V272" s="166">
        <f t="shared" si="113"/>
        <v>0</v>
      </c>
      <c r="W272" s="166">
        <f t="shared" si="113"/>
        <v>0</v>
      </c>
      <c r="X272" s="1271">
        <f t="shared" si="113"/>
        <v>0</v>
      </c>
      <c r="Y272" s="166">
        <f t="shared" si="113"/>
        <v>0</v>
      </c>
      <c r="Z272" s="166">
        <f t="shared" si="113"/>
        <v>0</v>
      </c>
      <c r="AA272" s="166">
        <f t="shared" si="113"/>
        <v>0</v>
      </c>
      <c r="AB272" s="166">
        <f t="shared" si="113"/>
        <v>0</v>
      </c>
      <c r="AC272" s="166">
        <f t="shared" si="113"/>
        <v>0</v>
      </c>
      <c r="AD272" s="166">
        <f t="shared" si="113"/>
        <v>0</v>
      </c>
      <c r="AE272" s="166">
        <f t="shared" si="113"/>
        <v>0</v>
      </c>
      <c r="AF272" s="166">
        <f t="shared" si="113"/>
        <v>0</v>
      </c>
      <c r="AG272" s="166">
        <f t="shared" si="113"/>
        <v>0</v>
      </c>
      <c r="AH272" s="166">
        <f t="shared" si="113"/>
        <v>0</v>
      </c>
      <c r="AI272" s="166">
        <f t="shared" si="113"/>
        <v>0</v>
      </c>
      <c r="AJ272" s="166">
        <f t="shared" si="113"/>
        <v>0</v>
      </c>
      <c r="AK272" s="166">
        <f t="shared" si="113"/>
        <v>0</v>
      </c>
      <c r="AL272" s="166">
        <f t="shared" si="113"/>
        <v>0</v>
      </c>
      <c r="AM272" s="166">
        <f t="shared" si="113"/>
        <v>0</v>
      </c>
      <c r="AN272" s="166">
        <f t="shared" si="113"/>
        <v>0</v>
      </c>
      <c r="AO272" s="166">
        <f t="shared" si="113"/>
        <v>0</v>
      </c>
      <c r="AP272" s="166">
        <f t="shared" si="113"/>
        <v>0</v>
      </c>
      <c r="AQ272" s="166">
        <f t="shared" si="113"/>
        <v>0</v>
      </c>
      <c r="AR272" s="166">
        <f t="shared" si="113"/>
        <v>0</v>
      </c>
      <c r="AS272" s="166">
        <f t="shared" si="113"/>
        <v>0</v>
      </c>
      <c r="AT272" s="166">
        <f t="shared" si="113"/>
        <v>0</v>
      </c>
      <c r="AU272" s="166">
        <f t="shared" si="113"/>
        <v>0</v>
      </c>
      <c r="AV272" s="165">
        <f t="shared" si="113"/>
        <v>0</v>
      </c>
      <c r="AW272" s="166">
        <f t="shared" si="113"/>
        <v>0</v>
      </c>
      <c r="AX272" s="166">
        <f t="shared" si="113"/>
        <v>0</v>
      </c>
      <c r="AY272" s="166">
        <f t="shared" si="113"/>
        <v>0</v>
      </c>
      <c r="AZ272" s="166">
        <f t="shared" si="113"/>
        <v>0</v>
      </c>
      <c r="BA272" s="166">
        <f t="shared" si="113"/>
        <v>0</v>
      </c>
      <c r="BB272" s="165">
        <f t="shared" si="113"/>
        <v>0</v>
      </c>
      <c r="BC272" s="166">
        <f t="shared" si="113"/>
        <v>0</v>
      </c>
      <c r="BD272" s="166">
        <f t="shared" si="113"/>
        <v>0</v>
      </c>
      <c r="BE272" s="166">
        <f t="shared" si="113"/>
        <v>0</v>
      </c>
      <c r="BF272" s="166">
        <f t="shared" si="113"/>
        <v>0</v>
      </c>
      <c r="BG272" s="166">
        <f t="shared" si="113"/>
        <v>0</v>
      </c>
      <c r="BH272" s="166">
        <f t="shared" si="113"/>
        <v>0</v>
      </c>
      <c r="BI272" s="3"/>
      <c r="BJ272" s="172">
        <f>SUM(BJ241:BJ271)</f>
        <v>0</v>
      </c>
      <c r="BK272" s="165"/>
      <c r="BL272" s="165"/>
      <c r="BM272" s="165"/>
      <c r="BN272" s="165"/>
      <c r="BO272" s="165"/>
      <c r="BP272" s="165"/>
      <c r="BQ272" s="165"/>
      <c r="BR272" s="165"/>
      <c r="BS272" s="165"/>
      <c r="BT272" s="165">
        <f ref="BT272:BX272" t="shared" si="114">SUM(BT241:BT271)</f>
        <v>0</v>
      </c>
      <c r="BU272" s="165">
        <f t="shared" si="114"/>
        <v>0</v>
      </c>
      <c r="BV272" s="165">
        <f t="shared" si="114"/>
        <v>0</v>
      </c>
      <c r="BW272" s="165">
        <f t="shared" si="114"/>
        <v>0</v>
      </c>
      <c r="BX272" s="165">
        <f t="shared" si="114"/>
        <v>0</v>
      </c>
      <c r="BY272" s="3"/>
    </row>
    <row r="273" ht="14.25" customHeight="1">
      <c r="A273" s="1"/>
      <c r="B273" s="2"/>
      <c r="C273" s="3"/>
      <c r="D273" s="3"/>
      <c r="E273" s="3"/>
      <c r="F273" s="3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3"/>
      <c r="T273" s="3"/>
      <c r="U273" s="3"/>
      <c r="V273" s="3"/>
      <c r="W273" s="3"/>
      <c r="X273" s="873"/>
      <c r="Y273" s="1"/>
      <c r="Z273" s="1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4"/>
      <c r="AQ273" s="3"/>
      <c r="AR273" s="3"/>
      <c r="AS273" s="3"/>
      <c r="AT273" s="3"/>
      <c r="AU273" s="3"/>
      <c r="AV273" s="3"/>
      <c r="AW273" s="3"/>
      <c r="AX273" s="1"/>
      <c r="AY273" s="1"/>
      <c r="AZ273" s="1"/>
      <c r="BA273" s="3"/>
      <c r="BB273" s="3"/>
      <c r="BC273" s="3"/>
      <c r="BD273" s="3"/>
      <c r="BE273" s="3"/>
      <c r="BF273" s="132"/>
      <c r="BG273" s="4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ht="14.25" customHeight="1">
      <c r="A274" s="1"/>
      <c r="B274" s="2"/>
      <c r="C274" s="3"/>
      <c r="D274" s="3"/>
      <c r="E274" s="3"/>
      <c r="F274" s="3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3"/>
      <c r="T274" s="3"/>
      <c r="U274" s="3"/>
      <c r="V274" s="3"/>
      <c r="W274" s="3"/>
      <c r="X274" s="873"/>
      <c r="Y274" s="1"/>
      <c r="Z274" s="1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176"/>
      <c r="AM274" s="3"/>
      <c r="AN274" s="3"/>
      <c r="AO274" s="3"/>
      <c r="AP274" s="4"/>
      <c r="AQ274" s="3"/>
      <c r="AR274" s="3"/>
      <c r="AS274" s="3"/>
      <c r="AT274" s="3"/>
      <c r="AU274" s="3"/>
      <c r="AV274" s="3"/>
      <c r="AW274" s="3"/>
      <c r="AX274" s="1"/>
      <c r="AY274" s="1"/>
      <c r="AZ274" s="1"/>
      <c r="BA274" s="3"/>
      <c r="BB274" s="3"/>
      <c r="BC274" s="3"/>
      <c r="BD274" s="3"/>
      <c r="BE274" s="3"/>
      <c r="BF274" s="132"/>
      <c r="BG274" s="177"/>
      <c r="BH274" s="3"/>
      <c r="BI274" s="3"/>
      <c r="BJ274" s="3"/>
      <c r="BK274" s="3"/>
      <c r="BL274" s="3"/>
      <c r="BM274" s="3"/>
      <c r="BN274" s="176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ht="14.25" customHeight="1">
      <c r="A275" s="3"/>
      <c r="B275" s="215">
        <v>46266</v>
      </c>
      <c r="C275" s="94"/>
      <c r="D275" s="104"/>
      <c r="E275" s="97"/>
      <c r="F275" s="97"/>
      <c r="G275" s="265">
        <f ref="G275:G304" t="shared" si="115">+C275+D275+E275+F275</f>
        <v>0</v>
      </c>
      <c r="H275" s="778"/>
      <c r="I275" s="778"/>
      <c r="J275" s="619"/>
      <c r="K275" s="619"/>
      <c r="L275" s="619"/>
      <c r="M275" s="619"/>
      <c r="N275" s="619"/>
      <c r="O275" s="619"/>
      <c r="P275" s="619"/>
      <c r="Q275" s="619"/>
      <c r="R275" s="619"/>
      <c r="S275" s="186"/>
      <c r="T275" s="186"/>
      <c r="U275" s="186"/>
      <c r="V275" s="186"/>
      <c r="W275" s="186"/>
      <c r="X275" s="1248">
        <f ref="X275:X304" t="shared" si="116">SUM(H275:W275)</f>
        <v>0</v>
      </c>
      <c r="Y275" s="619"/>
      <c r="Z275" s="619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03">
        <f ref="AL275:AL304" t="shared" si="117">SUM(Y275:AK275)</f>
        <v>0</v>
      </c>
      <c r="AM275" s="104"/>
      <c r="AN275" s="104"/>
      <c r="AO275" s="104"/>
      <c r="AP275" s="191">
        <f ref="AP275:AP304" t="shared" si="118">SUM(AM275:AO275)</f>
        <v>0</v>
      </c>
      <c r="AQ275" s="186"/>
      <c r="AR275" s="186"/>
      <c r="AS275" s="186"/>
      <c r="AT275" s="193"/>
      <c r="AU275" s="219">
        <f ref="AU275:AU304" t="shared" si="119">+G275-X275-AL275-AP275-AQ275-AR275-AS275-AT275</f>
        <v>0</v>
      </c>
      <c r="AV275" s="220"/>
      <c r="AW275" s="286"/>
      <c r="AX275" s="1322"/>
      <c r="AY275" s="1322"/>
      <c r="AZ275" s="426"/>
      <c r="BA275" s="1323"/>
      <c r="BB275" s="220"/>
      <c r="BC275" s="286"/>
      <c r="BD275" s="286"/>
      <c r="BE275" s="269"/>
      <c r="BF275" s="269"/>
      <c r="BG275" s="222">
        <f ref="BG275:BG304" t="shared" si="120">SUM(AV275:BF275)-BE275</f>
        <v>0</v>
      </c>
      <c r="BH275" s="114">
        <f ref="BH275:BH304" t="shared" si="121">+AU275-BG275</f>
        <v>0</v>
      </c>
      <c r="BI275" s="3"/>
      <c r="BJ275" s="114">
        <f ref="BJ275:BJ304" t="shared" si="122">SUM(BK275:BW275)</f>
        <v>0</v>
      </c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115"/>
      <c r="BV275" s="196"/>
      <c r="BW275" s="115"/>
      <c r="BX275" s="116">
        <f ref="BX275:BX304" t="shared" si="123">+BH275-BJ275</f>
        <v>0</v>
      </c>
      <c r="BY275" s="3"/>
    </row>
    <row r="276" ht="14.25" customHeight="1">
      <c r="A276" s="3"/>
      <c r="B276" s="215">
        <v>46267</v>
      </c>
      <c r="C276" s="118"/>
      <c r="D276" s="123"/>
      <c r="E276" s="120"/>
      <c r="F276" s="120"/>
      <c r="G276" s="147">
        <f t="shared" si="115"/>
        <v>0</v>
      </c>
      <c r="H276" s="768"/>
      <c r="I276" s="768"/>
      <c r="J276" s="611"/>
      <c r="K276" s="611"/>
      <c r="L276" s="611"/>
      <c r="M276" s="611"/>
      <c r="N276" s="611"/>
      <c r="O276" s="611"/>
      <c r="P276" s="611"/>
      <c r="Q276" s="611"/>
      <c r="R276" s="611"/>
      <c r="S276" s="143"/>
      <c r="T276" s="143"/>
      <c r="U276" s="143"/>
      <c r="V276" s="143"/>
      <c r="W276" s="143"/>
      <c r="X276" s="1248">
        <f t="shared" si="116"/>
        <v>0</v>
      </c>
      <c r="Y276" s="611"/>
      <c r="Z276" s="611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03">
        <f t="shared" si="117"/>
        <v>0</v>
      </c>
      <c r="AM276" s="123"/>
      <c r="AN276" s="123"/>
      <c r="AO276" s="123"/>
      <c r="AP276" s="105">
        <f t="shared" si="118"/>
        <v>0</v>
      </c>
      <c r="AQ276" s="143"/>
      <c r="AR276" s="143"/>
      <c r="AS276" s="143"/>
      <c r="AT276" s="146"/>
      <c r="AU276" s="224">
        <f t="shared" si="119"/>
        <v>0</v>
      </c>
      <c r="AV276" s="225"/>
      <c r="AW276" s="276"/>
      <c r="AX276" s="1324"/>
      <c r="AY276" s="1324"/>
      <c r="AZ276" s="434"/>
      <c r="BA276" s="1325"/>
      <c r="BB276" s="225"/>
      <c r="BC276" s="276"/>
      <c r="BD276" s="276"/>
      <c r="BE276" s="274"/>
      <c r="BF276" s="274"/>
      <c r="BG276" s="222">
        <f t="shared" si="120"/>
        <v>0</v>
      </c>
      <c r="BH276" s="113">
        <f t="shared" si="121"/>
        <v>0</v>
      </c>
      <c r="BI276" s="3"/>
      <c r="BJ276" s="113">
        <f t="shared" si="122"/>
        <v>0</v>
      </c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41"/>
      <c r="BW276" s="129"/>
      <c r="BX276" s="130">
        <f t="shared" si="123"/>
        <v>0</v>
      </c>
      <c r="BY276" s="3"/>
    </row>
    <row r="277" ht="14.25" customHeight="1">
      <c r="A277" s="3"/>
      <c r="B277" s="215">
        <v>46268</v>
      </c>
      <c r="C277" s="118"/>
      <c r="D277" s="123"/>
      <c r="E277" s="120"/>
      <c r="F277" s="120"/>
      <c r="G277" s="147">
        <f t="shared" si="115"/>
        <v>0</v>
      </c>
      <c r="H277" s="768"/>
      <c r="I277" s="768"/>
      <c r="J277" s="611"/>
      <c r="K277" s="611"/>
      <c r="L277" s="611"/>
      <c r="M277" s="611"/>
      <c r="N277" s="611"/>
      <c r="O277" s="611"/>
      <c r="P277" s="611"/>
      <c r="Q277" s="611"/>
      <c r="R277" s="611"/>
      <c r="S277" s="143"/>
      <c r="T277" s="143"/>
      <c r="U277" s="143"/>
      <c r="V277" s="143"/>
      <c r="W277" s="143"/>
      <c r="X277" s="1248">
        <f t="shared" si="116"/>
        <v>0</v>
      </c>
      <c r="Y277" s="611"/>
      <c r="Z277" s="611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03">
        <f t="shared" si="117"/>
        <v>0</v>
      </c>
      <c r="AM277" s="123"/>
      <c r="AN277" s="123"/>
      <c r="AO277" s="123"/>
      <c r="AP277" s="105">
        <f t="shared" si="118"/>
        <v>0</v>
      </c>
      <c r="AQ277" s="143"/>
      <c r="AR277" s="143"/>
      <c r="AS277" s="143"/>
      <c r="AT277" s="146"/>
      <c r="AU277" s="224">
        <f t="shared" si="119"/>
        <v>0</v>
      </c>
      <c r="AV277" s="225"/>
      <c r="AW277" s="276"/>
      <c r="AX277" s="1324"/>
      <c r="AY277" s="1324"/>
      <c r="AZ277" s="434"/>
      <c r="BA277" s="1325"/>
      <c r="BB277" s="225"/>
      <c r="BC277" s="276"/>
      <c r="BD277" s="276"/>
      <c r="BE277" s="274"/>
      <c r="BF277" s="274"/>
      <c r="BG277" s="222">
        <f t="shared" si="120"/>
        <v>0</v>
      </c>
      <c r="BH277" s="113">
        <f t="shared" si="121"/>
        <v>0</v>
      </c>
      <c r="BI277" s="3"/>
      <c r="BJ277" s="113">
        <f t="shared" si="122"/>
        <v>0</v>
      </c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41"/>
      <c r="BW277" s="129"/>
      <c r="BX277" s="130">
        <f t="shared" si="123"/>
        <v>0</v>
      </c>
      <c r="BY277" s="3"/>
    </row>
    <row r="278" ht="14.25" customHeight="1">
      <c r="A278" s="3"/>
      <c r="B278" s="215">
        <v>46269</v>
      </c>
      <c r="C278" s="118"/>
      <c r="D278" s="123"/>
      <c r="E278" s="120"/>
      <c r="F278" s="120"/>
      <c r="G278" s="147">
        <f t="shared" si="115"/>
        <v>0</v>
      </c>
      <c r="H278" s="768"/>
      <c r="I278" s="768"/>
      <c r="J278" s="611"/>
      <c r="K278" s="611"/>
      <c r="L278" s="611"/>
      <c r="M278" s="611"/>
      <c r="N278" s="611"/>
      <c r="O278" s="611"/>
      <c r="P278" s="611"/>
      <c r="Q278" s="611"/>
      <c r="R278" s="611"/>
      <c r="S278" s="143"/>
      <c r="T278" s="143"/>
      <c r="U278" s="143"/>
      <c r="V278" s="143"/>
      <c r="W278" s="143"/>
      <c r="X278" s="1248">
        <f t="shared" si="116"/>
        <v>0</v>
      </c>
      <c r="Y278" s="611"/>
      <c r="Z278" s="611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03">
        <f t="shared" si="117"/>
        <v>0</v>
      </c>
      <c r="AM278" s="123"/>
      <c r="AN278" s="123"/>
      <c r="AO278" s="123"/>
      <c r="AP278" s="105">
        <f t="shared" si="118"/>
        <v>0</v>
      </c>
      <c r="AQ278" s="143"/>
      <c r="AR278" s="143"/>
      <c r="AS278" s="143"/>
      <c r="AT278" s="146"/>
      <c r="AU278" s="224">
        <f t="shared" si="119"/>
        <v>0</v>
      </c>
      <c r="AV278" s="225"/>
      <c r="AW278" s="276"/>
      <c r="AX278" s="1324"/>
      <c r="AY278" s="1324"/>
      <c r="AZ278" s="434"/>
      <c r="BA278" s="1325"/>
      <c r="BB278" s="225"/>
      <c r="BC278" s="276"/>
      <c r="BD278" s="276"/>
      <c r="BE278" s="274"/>
      <c r="BF278" s="274"/>
      <c r="BG278" s="222">
        <f t="shared" si="120"/>
        <v>0</v>
      </c>
      <c r="BH278" s="113">
        <f t="shared" si="121"/>
        <v>0</v>
      </c>
      <c r="BI278" s="3"/>
      <c r="BJ278" s="113">
        <f t="shared" si="122"/>
        <v>0</v>
      </c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41"/>
      <c r="BW278" s="129"/>
      <c r="BX278" s="130">
        <f t="shared" si="123"/>
        <v>0</v>
      </c>
      <c r="BY278" s="3"/>
    </row>
    <row r="279" ht="14.25" customHeight="1">
      <c r="A279" s="3"/>
      <c r="B279" s="215">
        <v>46270</v>
      </c>
      <c r="C279" s="118"/>
      <c r="D279" s="123"/>
      <c r="E279" s="120"/>
      <c r="F279" s="120"/>
      <c r="G279" s="147">
        <f t="shared" si="115"/>
        <v>0</v>
      </c>
      <c r="H279" s="768"/>
      <c r="I279" s="768"/>
      <c r="J279" s="611"/>
      <c r="K279" s="611"/>
      <c r="L279" s="611"/>
      <c r="M279" s="611"/>
      <c r="N279" s="611"/>
      <c r="O279" s="611"/>
      <c r="P279" s="611"/>
      <c r="Q279" s="611"/>
      <c r="R279" s="611"/>
      <c r="S279" s="143"/>
      <c r="T279" s="143"/>
      <c r="U279" s="143"/>
      <c r="V279" s="143"/>
      <c r="W279" s="143"/>
      <c r="X279" s="1248">
        <f t="shared" si="116"/>
        <v>0</v>
      </c>
      <c r="Y279" s="611"/>
      <c r="Z279" s="611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03">
        <f t="shared" si="117"/>
        <v>0</v>
      </c>
      <c r="AM279" s="123"/>
      <c r="AN279" s="123"/>
      <c r="AO279" s="123"/>
      <c r="AP279" s="105">
        <f t="shared" si="118"/>
        <v>0</v>
      </c>
      <c r="AQ279" s="143"/>
      <c r="AR279" s="143"/>
      <c r="AS279" s="143"/>
      <c r="AT279" s="146"/>
      <c r="AU279" s="224">
        <f t="shared" si="119"/>
        <v>0</v>
      </c>
      <c r="AV279" s="225"/>
      <c r="AW279" s="276"/>
      <c r="AX279" s="1324"/>
      <c r="AY279" s="1324"/>
      <c r="AZ279" s="434"/>
      <c r="BA279" s="1325"/>
      <c r="BB279" s="225"/>
      <c r="BC279" s="276"/>
      <c r="BD279" s="276"/>
      <c r="BE279" s="274"/>
      <c r="BF279" s="274"/>
      <c r="BG279" s="222">
        <f t="shared" si="120"/>
        <v>0</v>
      </c>
      <c r="BH279" s="113">
        <f t="shared" si="121"/>
        <v>0</v>
      </c>
      <c r="BI279" s="3"/>
      <c r="BJ279" s="113">
        <f t="shared" si="122"/>
        <v>0</v>
      </c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41"/>
      <c r="BW279" s="129"/>
      <c r="BX279" s="130">
        <f t="shared" si="123"/>
        <v>0</v>
      </c>
      <c r="BY279" s="3"/>
    </row>
    <row r="280" ht="14.25" customHeight="1">
      <c r="A280" s="132"/>
      <c r="B280" s="215">
        <v>46271</v>
      </c>
      <c r="C280" s="133"/>
      <c r="D280" s="136"/>
      <c r="E280" s="135"/>
      <c r="F280" s="135"/>
      <c r="G280" s="147">
        <f t="shared" si="115"/>
        <v>0</v>
      </c>
      <c r="H280" s="1326"/>
      <c r="I280" s="768"/>
      <c r="J280" s="768"/>
      <c r="K280" s="768"/>
      <c r="L280" s="611"/>
      <c r="M280" s="611"/>
      <c r="N280" s="611"/>
      <c r="O280" s="611"/>
      <c r="P280" s="611"/>
      <c r="Q280" s="611"/>
      <c r="R280" s="611"/>
      <c r="S280" s="143"/>
      <c r="T280" s="143"/>
      <c r="U280" s="143"/>
      <c r="V280" s="143"/>
      <c r="W280" s="143"/>
      <c r="X280" s="1248">
        <f t="shared" si="116"/>
        <v>0</v>
      </c>
      <c r="Y280" s="611"/>
      <c r="Z280" s="611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03">
        <f t="shared" si="117"/>
        <v>0</v>
      </c>
      <c r="AM280" s="136"/>
      <c r="AN280" s="136"/>
      <c r="AO280" s="136"/>
      <c r="AP280" s="105">
        <f t="shared" si="118"/>
        <v>0</v>
      </c>
      <c r="AQ280" s="143"/>
      <c r="AR280" s="143"/>
      <c r="AS280" s="143"/>
      <c r="AT280" s="146"/>
      <c r="AU280" s="224">
        <f t="shared" si="119"/>
        <v>0</v>
      </c>
      <c r="AV280" s="225"/>
      <c r="AW280" s="276"/>
      <c r="AX280" s="1324"/>
      <c r="AY280" s="1324"/>
      <c r="AZ280" s="434"/>
      <c r="BA280" s="1325"/>
      <c r="BB280" s="225"/>
      <c r="BC280" s="276"/>
      <c r="BD280" s="276"/>
      <c r="BE280" s="274"/>
      <c r="BF280" s="274"/>
      <c r="BG280" s="222">
        <f t="shared" si="120"/>
        <v>0</v>
      </c>
      <c r="BH280" s="140">
        <f t="shared" si="121"/>
        <v>0</v>
      </c>
      <c r="BI280" s="132"/>
      <c r="BJ280" s="140">
        <f t="shared" si="122"/>
        <v>0</v>
      </c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30">
        <f t="shared" si="123"/>
        <v>0</v>
      </c>
      <c r="BY280" s="132"/>
    </row>
    <row r="281" ht="14.25" customHeight="1">
      <c r="A281" s="132"/>
      <c r="B281" s="215">
        <v>46272</v>
      </c>
      <c r="C281" s="133"/>
      <c r="D281" s="136"/>
      <c r="E281" s="135"/>
      <c r="F281" s="135"/>
      <c r="G281" s="147">
        <f t="shared" si="115"/>
        <v>0</v>
      </c>
      <c r="H281" s="768"/>
      <c r="I281" s="768"/>
      <c r="J281" s="611"/>
      <c r="K281" s="611"/>
      <c r="L281" s="611"/>
      <c r="M281" s="611"/>
      <c r="N281" s="611"/>
      <c r="O281" s="611"/>
      <c r="P281" s="611"/>
      <c r="Q281" s="611"/>
      <c r="R281" s="611"/>
      <c r="S281" s="143"/>
      <c r="T281" s="143"/>
      <c r="U281" s="143"/>
      <c r="V281" s="143"/>
      <c r="W281" s="143"/>
      <c r="X281" s="1248">
        <f t="shared" si="116"/>
        <v>0</v>
      </c>
      <c r="Y281" s="611"/>
      <c r="Z281" s="611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03">
        <f t="shared" si="117"/>
        <v>0</v>
      </c>
      <c r="AM281" s="136"/>
      <c r="AN281" s="136"/>
      <c r="AO281" s="136"/>
      <c r="AP281" s="105">
        <f t="shared" si="118"/>
        <v>0</v>
      </c>
      <c r="AQ281" s="143"/>
      <c r="AR281" s="143"/>
      <c r="AS281" s="143"/>
      <c r="AT281" s="146"/>
      <c r="AU281" s="224">
        <f t="shared" si="119"/>
        <v>0</v>
      </c>
      <c r="AV281" s="225"/>
      <c r="AW281" s="276"/>
      <c r="AX281" s="1324"/>
      <c r="AY281" s="1324"/>
      <c r="AZ281" s="434"/>
      <c r="BA281" s="1325"/>
      <c r="BB281" s="225"/>
      <c r="BC281" s="276"/>
      <c r="BD281" s="276"/>
      <c r="BE281" s="274"/>
      <c r="BF281" s="274"/>
      <c r="BG281" s="222">
        <f t="shared" si="120"/>
        <v>0</v>
      </c>
      <c r="BH281" s="140">
        <f t="shared" si="121"/>
        <v>0</v>
      </c>
      <c r="BI281" s="132"/>
      <c r="BJ281" s="140">
        <f t="shared" si="122"/>
        <v>0</v>
      </c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30">
        <f t="shared" si="123"/>
        <v>0</v>
      </c>
      <c r="BY281" s="132"/>
    </row>
    <row r="282" ht="14.25" customHeight="1">
      <c r="A282" s="132"/>
      <c r="B282" s="215">
        <v>46273</v>
      </c>
      <c r="C282" s="133"/>
      <c r="D282" s="136"/>
      <c r="E282" s="135"/>
      <c r="F282" s="135"/>
      <c r="G282" s="147">
        <f t="shared" si="115"/>
        <v>0</v>
      </c>
      <c r="H282" s="768"/>
      <c r="I282" s="768"/>
      <c r="J282" s="611"/>
      <c r="K282" s="611"/>
      <c r="L282" s="611"/>
      <c r="M282" s="611"/>
      <c r="N282" s="611"/>
      <c r="O282" s="611"/>
      <c r="P282" s="611"/>
      <c r="Q282" s="611"/>
      <c r="R282" s="611"/>
      <c r="S282" s="143"/>
      <c r="T282" s="143"/>
      <c r="U282" s="143"/>
      <c r="V282" s="143"/>
      <c r="W282" s="143"/>
      <c r="X282" s="1248">
        <f t="shared" si="116"/>
        <v>0</v>
      </c>
      <c r="Y282" s="611"/>
      <c r="Z282" s="611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03">
        <f t="shared" si="117"/>
        <v>0</v>
      </c>
      <c r="AM282" s="136"/>
      <c r="AN282" s="136"/>
      <c r="AO282" s="136"/>
      <c r="AP282" s="105">
        <f t="shared" si="118"/>
        <v>0</v>
      </c>
      <c r="AQ282" s="143"/>
      <c r="AR282" s="143"/>
      <c r="AS282" s="143"/>
      <c r="AT282" s="146"/>
      <c r="AU282" s="224">
        <f t="shared" si="119"/>
        <v>0</v>
      </c>
      <c r="AV282" s="225"/>
      <c r="AW282" s="276"/>
      <c r="AX282" s="1324"/>
      <c r="AY282" s="1324"/>
      <c r="AZ282" s="434"/>
      <c r="BA282" s="1325"/>
      <c r="BB282" s="225"/>
      <c r="BC282" s="276"/>
      <c r="BD282" s="276"/>
      <c r="BE282" s="274"/>
      <c r="BF282" s="274"/>
      <c r="BG282" s="222">
        <f t="shared" si="120"/>
        <v>0</v>
      </c>
      <c r="BH282" s="140">
        <f t="shared" si="121"/>
        <v>0</v>
      </c>
      <c r="BI282" s="132"/>
      <c r="BJ282" s="140">
        <f t="shared" si="122"/>
        <v>0</v>
      </c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30">
        <f t="shared" si="123"/>
        <v>0</v>
      </c>
      <c r="BY282" s="132"/>
    </row>
    <row r="283" ht="14.25" customHeight="1">
      <c r="A283" s="132"/>
      <c r="B283" s="215">
        <v>46274</v>
      </c>
      <c r="C283" s="133"/>
      <c r="D283" s="136"/>
      <c r="E283" s="135"/>
      <c r="F283" s="135"/>
      <c r="G283" s="147">
        <f t="shared" si="115"/>
        <v>0</v>
      </c>
      <c r="H283" s="768"/>
      <c r="I283" s="768"/>
      <c r="J283" s="611"/>
      <c r="K283" s="611"/>
      <c r="L283" s="611"/>
      <c r="M283" s="611"/>
      <c r="N283" s="611"/>
      <c r="O283" s="611"/>
      <c r="P283" s="611"/>
      <c r="Q283" s="611"/>
      <c r="R283" s="611"/>
      <c r="S283" s="143"/>
      <c r="T283" s="143"/>
      <c r="U283" s="143"/>
      <c r="V283" s="143"/>
      <c r="W283" s="143"/>
      <c r="X283" s="1248">
        <f t="shared" si="116"/>
        <v>0</v>
      </c>
      <c r="Y283" s="611"/>
      <c r="Z283" s="611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03">
        <f t="shared" si="117"/>
        <v>0</v>
      </c>
      <c r="AM283" s="136"/>
      <c r="AN283" s="136"/>
      <c r="AO283" s="136"/>
      <c r="AP283" s="105">
        <f t="shared" si="118"/>
        <v>0</v>
      </c>
      <c r="AQ283" s="143"/>
      <c r="AR283" s="143"/>
      <c r="AS283" s="143"/>
      <c r="AT283" s="146"/>
      <c r="AU283" s="224">
        <f t="shared" si="119"/>
        <v>0</v>
      </c>
      <c r="AV283" s="225"/>
      <c r="AW283" s="276"/>
      <c r="AX283" s="1324"/>
      <c r="AY283" s="1324"/>
      <c r="AZ283" s="434"/>
      <c r="BA283" s="1325"/>
      <c r="BB283" s="225"/>
      <c r="BC283" s="276"/>
      <c r="BD283" s="276"/>
      <c r="BE283" s="274"/>
      <c r="BF283" s="274"/>
      <c r="BG283" s="222">
        <f t="shared" si="120"/>
        <v>0</v>
      </c>
      <c r="BH283" s="140">
        <f t="shared" si="121"/>
        <v>0</v>
      </c>
      <c r="BI283" s="132"/>
      <c r="BJ283" s="140">
        <f t="shared" si="122"/>
        <v>0</v>
      </c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52"/>
      <c r="BV283" s="141"/>
      <c r="BW283" s="141"/>
      <c r="BX283" s="130">
        <f t="shared" si="123"/>
        <v>0</v>
      </c>
      <c r="BY283" s="132"/>
    </row>
    <row r="284" ht="14.25" customHeight="1">
      <c r="A284" s="132"/>
      <c r="B284" s="215">
        <v>46275</v>
      </c>
      <c r="C284" s="133"/>
      <c r="D284" s="136"/>
      <c r="E284" s="135"/>
      <c r="F284" s="135"/>
      <c r="G284" s="147">
        <f t="shared" si="115"/>
        <v>0</v>
      </c>
      <c r="H284" s="768"/>
      <c r="I284" s="768"/>
      <c r="J284" s="611"/>
      <c r="K284" s="611"/>
      <c r="L284" s="611"/>
      <c r="M284" s="611"/>
      <c r="N284" s="611"/>
      <c r="O284" s="611"/>
      <c r="P284" s="611"/>
      <c r="Q284" s="611"/>
      <c r="R284" s="611"/>
      <c r="S284" s="143"/>
      <c r="T284" s="143"/>
      <c r="U284" s="143"/>
      <c r="V284" s="143"/>
      <c r="W284" s="143"/>
      <c r="X284" s="1248">
        <f t="shared" si="116"/>
        <v>0</v>
      </c>
      <c r="Y284" s="611"/>
      <c r="Z284" s="611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03">
        <f t="shared" si="117"/>
        <v>0</v>
      </c>
      <c r="AM284" s="136"/>
      <c r="AN284" s="136"/>
      <c r="AO284" s="136"/>
      <c r="AP284" s="105">
        <f t="shared" si="118"/>
        <v>0</v>
      </c>
      <c r="AQ284" s="143"/>
      <c r="AR284" s="143"/>
      <c r="AS284" s="143"/>
      <c r="AT284" s="146"/>
      <c r="AU284" s="224">
        <f t="shared" si="119"/>
        <v>0</v>
      </c>
      <c r="AV284" s="225"/>
      <c r="AW284" s="276"/>
      <c r="AX284" s="1324"/>
      <c r="AY284" s="1324"/>
      <c r="AZ284" s="434"/>
      <c r="BA284" s="1325"/>
      <c r="BB284" s="225"/>
      <c r="BC284" s="276"/>
      <c r="BD284" s="276"/>
      <c r="BE284" s="274"/>
      <c r="BF284" s="274"/>
      <c r="BG284" s="222">
        <f t="shared" si="120"/>
        <v>0</v>
      </c>
      <c r="BH284" s="140">
        <f t="shared" si="121"/>
        <v>0</v>
      </c>
      <c r="BI284" s="132"/>
      <c r="BJ284" s="140">
        <f t="shared" si="122"/>
        <v>0</v>
      </c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30">
        <f t="shared" si="123"/>
        <v>0</v>
      </c>
      <c r="BY284" s="132"/>
    </row>
    <row r="285" ht="14.25" customHeight="1">
      <c r="A285" s="132"/>
      <c r="B285" s="215">
        <v>46276</v>
      </c>
      <c r="C285" s="133"/>
      <c r="D285" s="136"/>
      <c r="E285" s="135"/>
      <c r="F285" s="135"/>
      <c r="G285" s="147">
        <f t="shared" si="115"/>
        <v>0</v>
      </c>
      <c r="H285" s="768"/>
      <c r="I285" s="768"/>
      <c r="J285" s="611"/>
      <c r="K285" s="611"/>
      <c r="L285" s="611"/>
      <c r="M285" s="611"/>
      <c r="N285" s="611"/>
      <c r="O285" s="611"/>
      <c r="P285" s="611"/>
      <c r="Q285" s="611"/>
      <c r="R285" s="611"/>
      <c r="S285" s="143"/>
      <c r="T285" s="143"/>
      <c r="U285" s="143"/>
      <c r="V285" s="143"/>
      <c r="W285" s="143"/>
      <c r="X285" s="1248">
        <f t="shared" si="116"/>
        <v>0</v>
      </c>
      <c r="Y285" s="611"/>
      <c r="Z285" s="611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03">
        <f t="shared" si="117"/>
        <v>0</v>
      </c>
      <c r="AM285" s="136"/>
      <c r="AN285" s="136"/>
      <c r="AO285" s="136"/>
      <c r="AP285" s="105">
        <f t="shared" si="118"/>
        <v>0</v>
      </c>
      <c r="AQ285" s="143"/>
      <c r="AR285" s="143"/>
      <c r="AS285" s="143"/>
      <c r="AT285" s="146"/>
      <c r="AU285" s="224">
        <f t="shared" si="119"/>
        <v>0</v>
      </c>
      <c r="AV285" s="225"/>
      <c r="AW285" s="276"/>
      <c r="AX285" s="1324"/>
      <c r="AY285" s="1324"/>
      <c r="AZ285" s="434"/>
      <c r="BA285" s="1325"/>
      <c r="BB285" s="225"/>
      <c r="BC285" s="276"/>
      <c r="BD285" s="276"/>
      <c r="BE285" s="274"/>
      <c r="BF285" s="274"/>
      <c r="BG285" s="222">
        <f t="shared" si="120"/>
        <v>0</v>
      </c>
      <c r="BH285" s="140">
        <f t="shared" si="121"/>
        <v>0</v>
      </c>
      <c r="BI285" s="132"/>
      <c r="BJ285" s="140">
        <f t="shared" si="122"/>
        <v>0</v>
      </c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30">
        <f t="shared" si="123"/>
        <v>0</v>
      </c>
      <c r="BY285" s="132"/>
    </row>
    <row r="286" ht="14.25" customHeight="1">
      <c r="A286" s="132"/>
      <c r="B286" s="215">
        <v>46277</v>
      </c>
      <c r="C286" s="133"/>
      <c r="D286" s="136"/>
      <c r="E286" s="135"/>
      <c r="F286" s="135"/>
      <c r="G286" s="147">
        <f t="shared" si="115"/>
        <v>0</v>
      </c>
      <c r="H286" s="768"/>
      <c r="I286" s="768"/>
      <c r="J286" s="611"/>
      <c r="K286" s="611"/>
      <c r="L286" s="611"/>
      <c r="M286" s="611"/>
      <c r="N286" s="611"/>
      <c r="O286" s="611"/>
      <c r="P286" s="611"/>
      <c r="Q286" s="611"/>
      <c r="R286" s="611"/>
      <c r="S286" s="143"/>
      <c r="T286" s="143"/>
      <c r="U286" s="143"/>
      <c r="V286" s="143"/>
      <c r="W286" s="143"/>
      <c r="X286" s="1248">
        <f t="shared" si="116"/>
        <v>0</v>
      </c>
      <c r="Y286" s="611"/>
      <c r="Z286" s="611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03">
        <f t="shared" si="117"/>
        <v>0</v>
      </c>
      <c r="AM286" s="136"/>
      <c r="AN286" s="136"/>
      <c r="AO286" s="136"/>
      <c r="AP286" s="105">
        <f t="shared" si="118"/>
        <v>0</v>
      </c>
      <c r="AQ286" s="143"/>
      <c r="AR286" s="143"/>
      <c r="AS286" s="143"/>
      <c r="AT286" s="146"/>
      <c r="AU286" s="224">
        <f t="shared" si="119"/>
        <v>0</v>
      </c>
      <c r="AV286" s="225"/>
      <c r="AW286" s="276"/>
      <c r="AX286" s="1324"/>
      <c r="AY286" s="1324"/>
      <c r="AZ286" s="434"/>
      <c r="BA286" s="1325"/>
      <c r="BB286" s="225"/>
      <c r="BC286" s="276"/>
      <c r="BD286" s="276"/>
      <c r="BE286" s="274"/>
      <c r="BF286" s="274"/>
      <c r="BG286" s="222">
        <f t="shared" si="120"/>
        <v>0</v>
      </c>
      <c r="BH286" s="140">
        <f t="shared" si="121"/>
        <v>0</v>
      </c>
      <c r="BI286" s="132"/>
      <c r="BJ286" s="140">
        <f t="shared" si="122"/>
        <v>0</v>
      </c>
      <c r="BK286" s="141"/>
      <c r="BL286" s="152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30">
        <f t="shared" si="123"/>
        <v>0</v>
      </c>
      <c r="BY286" s="132"/>
    </row>
    <row r="287" ht="14.25" customHeight="1">
      <c r="A287" s="132"/>
      <c r="B287" s="215">
        <v>46278</v>
      </c>
      <c r="C287" s="133"/>
      <c r="D287" s="136"/>
      <c r="E287" s="135"/>
      <c r="F287" s="135"/>
      <c r="G287" s="147">
        <f t="shared" si="115"/>
        <v>0</v>
      </c>
      <c r="H287" s="768"/>
      <c r="I287" s="768"/>
      <c r="J287" s="611"/>
      <c r="K287" s="611"/>
      <c r="L287" s="611"/>
      <c r="M287" s="611"/>
      <c r="N287" s="611"/>
      <c r="O287" s="611"/>
      <c r="P287" s="611"/>
      <c r="Q287" s="611"/>
      <c r="R287" s="611"/>
      <c r="S287" s="143"/>
      <c r="T287" s="143"/>
      <c r="U287" s="143"/>
      <c r="V287" s="143"/>
      <c r="W287" s="143"/>
      <c r="X287" s="1248">
        <f t="shared" si="116"/>
        <v>0</v>
      </c>
      <c r="Y287" s="611"/>
      <c r="Z287" s="611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03">
        <f t="shared" si="117"/>
        <v>0</v>
      </c>
      <c r="AM287" s="136"/>
      <c r="AN287" s="136"/>
      <c r="AO287" s="136"/>
      <c r="AP287" s="105">
        <f t="shared" si="118"/>
        <v>0</v>
      </c>
      <c r="AQ287" s="143"/>
      <c r="AR287" s="143"/>
      <c r="AS287" s="143"/>
      <c r="AT287" s="146"/>
      <c r="AU287" s="224">
        <f t="shared" si="119"/>
        <v>0</v>
      </c>
      <c r="AV287" s="225"/>
      <c r="AW287" s="276"/>
      <c r="AX287" s="1324"/>
      <c r="AY287" s="1324"/>
      <c r="AZ287" s="434"/>
      <c r="BA287" s="1325"/>
      <c r="BB287" s="225"/>
      <c r="BC287" s="276"/>
      <c r="BD287" s="276"/>
      <c r="BE287" s="274"/>
      <c r="BF287" s="274"/>
      <c r="BG287" s="222">
        <f t="shared" si="120"/>
        <v>0</v>
      </c>
      <c r="BH287" s="140">
        <f t="shared" si="121"/>
        <v>0</v>
      </c>
      <c r="BI287" s="132"/>
      <c r="BJ287" s="140">
        <f t="shared" si="122"/>
        <v>0</v>
      </c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30">
        <f t="shared" si="123"/>
        <v>0</v>
      </c>
      <c r="BY287" s="132"/>
    </row>
    <row r="288" ht="14.25" customHeight="1">
      <c r="A288" s="132"/>
      <c r="B288" s="215">
        <v>46279</v>
      </c>
      <c r="C288" s="133"/>
      <c r="D288" s="136"/>
      <c r="E288" s="135"/>
      <c r="F288" s="135"/>
      <c r="G288" s="147">
        <f t="shared" si="115"/>
        <v>0</v>
      </c>
      <c r="H288" s="768"/>
      <c r="I288" s="768"/>
      <c r="J288" s="611"/>
      <c r="K288" s="611"/>
      <c r="L288" s="611"/>
      <c r="M288" s="611"/>
      <c r="N288" s="611"/>
      <c r="O288" s="611"/>
      <c r="P288" s="611"/>
      <c r="Q288" s="611"/>
      <c r="R288" s="611"/>
      <c r="S288" s="143"/>
      <c r="T288" s="143"/>
      <c r="U288" s="143"/>
      <c r="V288" s="143"/>
      <c r="W288" s="143"/>
      <c r="X288" s="1248">
        <f t="shared" si="116"/>
        <v>0</v>
      </c>
      <c r="Y288" s="611"/>
      <c r="Z288" s="611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03">
        <f t="shared" si="117"/>
        <v>0</v>
      </c>
      <c r="AM288" s="136"/>
      <c r="AN288" s="136"/>
      <c r="AO288" s="136"/>
      <c r="AP288" s="105">
        <f t="shared" si="118"/>
        <v>0</v>
      </c>
      <c r="AQ288" s="143"/>
      <c r="AR288" s="143"/>
      <c r="AS288" s="143"/>
      <c r="AT288" s="146"/>
      <c r="AU288" s="224">
        <f t="shared" si="119"/>
        <v>0</v>
      </c>
      <c r="AV288" s="225"/>
      <c r="AW288" s="276"/>
      <c r="AX288" s="1324"/>
      <c r="AY288" s="1324"/>
      <c r="AZ288" s="434"/>
      <c r="BA288" s="1325"/>
      <c r="BB288" s="225"/>
      <c r="BC288" s="276"/>
      <c r="BD288" s="276"/>
      <c r="BE288" s="274"/>
      <c r="BF288" s="274"/>
      <c r="BG288" s="222">
        <f t="shared" si="120"/>
        <v>0</v>
      </c>
      <c r="BH288" s="140">
        <f t="shared" si="121"/>
        <v>0</v>
      </c>
      <c r="BI288" s="132"/>
      <c r="BJ288" s="140">
        <f t="shared" si="122"/>
        <v>0</v>
      </c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30">
        <f t="shared" si="123"/>
        <v>0</v>
      </c>
      <c r="BY288" s="132"/>
    </row>
    <row r="289" ht="14.25" customHeight="1">
      <c r="A289" s="132"/>
      <c r="B289" s="215">
        <v>46280</v>
      </c>
      <c r="C289" s="133"/>
      <c r="D289" s="136"/>
      <c r="E289" s="135"/>
      <c r="F289" s="135"/>
      <c r="G289" s="147">
        <f t="shared" si="115"/>
        <v>0</v>
      </c>
      <c r="H289" s="768"/>
      <c r="I289" s="768"/>
      <c r="J289" s="611"/>
      <c r="K289" s="611"/>
      <c r="L289" s="611"/>
      <c r="M289" s="611"/>
      <c r="N289" s="611"/>
      <c r="O289" s="611"/>
      <c r="P289" s="611"/>
      <c r="Q289" s="611"/>
      <c r="R289" s="611"/>
      <c r="S289" s="143"/>
      <c r="T289" s="143"/>
      <c r="U289" s="143"/>
      <c r="V289" s="143"/>
      <c r="W289" s="143"/>
      <c r="X289" s="1248">
        <f t="shared" si="116"/>
        <v>0</v>
      </c>
      <c r="Y289" s="611"/>
      <c r="Z289" s="611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03">
        <f t="shared" si="117"/>
        <v>0</v>
      </c>
      <c r="AM289" s="136"/>
      <c r="AN289" s="136"/>
      <c r="AO289" s="136"/>
      <c r="AP289" s="105">
        <f t="shared" si="118"/>
        <v>0</v>
      </c>
      <c r="AQ289" s="143"/>
      <c r="AR289" s="143"/>
      <c r="AS289" s="143"/>
      <c r="AT289" s="146"/>
      <c r="AU289" s="224">
        <f t="shared" si="119"/>
        <v>0</v>
      </c>
      <c r="AV289" s="225"/>
      <c r="AW289" s="276"/>
      <c r="AX289" s="1324"/>
      <c r="AY289" s="1324"/>
      <c r="AZ289" s="434"/>
      <c r="BA289" s="1325"/>
      <c r="BB289" s="225"/>
      <c r="BC289" s="276"/>
      <c r="BD289" s="276"/>
      <c r="BE289" s="274"/>
      <c r="BF289" s="274"/>
      <c r="BG289" s="222">
        <f t="shared" si="120"/>
        <v>0</v>
      </c>
      <c r="BH289" s="140">
        <f t="shared" si="121"/>
        <v>0</v>
      </c>
      <c r="BI289" s="132"/>
      <c r="BJ289" s="140">
        <f t="shared" si="122"/>
        <v>0</v>
      </c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30">
        <f t="shared" si="123"/>
        <v>0</v>
      </c>
      <c r="BY289" s="132"/>
    </row>
    <row r="290" ht="14.25" customHeight="1">
      <c r="A290" s="132"/>
      <c r="B290" s="215">
        <v>46281</v>
      </c>
      <c r="C290" s="133"/>
      <c r="D290" s="136"/>
      <c r="E290" s="135"/>
      <c r="F290" s="135"/>
      <c r="G290" s="147">
        <f t="shared" si="115"/>
        <v>0</v>
      </c>
      <c r="H290" s="768"/>
      <c r="I290" s="768"/>
      <c r="J290" s="611"/>
      <c r="K290" s="611"/>
      <c r="L290" s="611"/>
      <c r="M290" s="611"/>
      <c r="N290" s="611"/>
      <c r="O290" s="611"/>
      <c r="P290" s="611"/>
      <c r="Q290" s="611"/>
      <c r="R290" s="611"/>
      <c r="S290" s="143"/>
      <c r="T290" s="143"/>
      <c r="U290" s="143"/>
      <c r="V290" s="143"/>
      <c r="W290" s="143"/>
      <c r="X290" s="1248">
        <f t="shared" si="116"/>
        <v>0</v>
      </c>
      <c r="Y290" s="611"/>
      <c r="Z290" s="611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03">
        <f t="shared" si="117"/>
        <v>0</v>
      </c>
      <c r="AM290" s="136"/>
      <c r="AN290" s="136"/>
      <c r="AO290" s="136"/>
      <c r="AP290" s="105">
        <f t="shared" si="118"/>
        <v>0</v>
      </c>
      <c r="AQ290" s="143"/>
      <c r="AR290" s="143"/>
      <c r="AS290" s="143"/>
      <c r="AT290" s="146"/>
      <c r="AU290" s="224">
        <f t="shared" si="119"/>
        <v>0</v>
      </c>
      <c r="AV290" s="225"/>
      <c r="AW290" s="276"/>
      <c r="AX290" s="1324"/>
      <c r="AY290" s="1324"/>
      <c r="AZ290" s="434"/>
      <c r="BA290" s="1325"/>
      <c r="BB290" s="225"/>
      <c r="BC290" s="276"/>
      <c r="BD290" s="276"/>
      <c r="BE290" s="274"/>
      <c r="BF290" s="274"/>
      <c r="BG290" s="222">
        <f t="shared" si="120"/>
        <v>0</v>
      </c>
      <c r="BH290" s="140">
        <f t="shared" si="121"/>
        <v>0</v>
      </c>
      <c r="BI290" s="132"/>
      <c r="BJ290" s="140">
        <f t="shared" si="122"/>
        <v>0</v>
      </c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30">
        <f t="shared" si="123"/>
        <v>0</v>
      </c>
      <c r="BY290" s="132"/>
    </row>
    <row r="291" ht="14.25" customHeight="1">
      <c r="A291" s="132"/>
      <c r="B291" s="215">
        <v>46282</v>
      </c>
      <c r="C291" s="133"/>
      <c r="D291" s="136"/>
      <c r="E291" s="135"/>
      <c r="F291" s="135"/>
      <c r="G291" s="147">
        <f t="shared" si="115"/>
        <v>0</v>
      </c>
      <c r="H291" s="768"/>
      <c r="I291" s="768"/>
      <c r="J291" s="611"/>
      <c r="K291" s="611"/>
      <c r="L291" s="611"/>
      <c r="M291" s="611"/>
      <c r="N291" s="611"/>
      <c r="O291" s="611"/>
      <c r="P291" s="611"/>
      <c r="Q291" s="611"/>
      <c r="R291" s="611"/>
      <c r="S291" s="143"/>
      <c r="T291" s="143"/>
      <c r="U291" s="143"/>
      <c r="V291" s="143"/>
      <c r="W291" s="143"/>
      <c r="X291" s="1248">
        <f t="shared" si="116"/>
        <v>0</v>
      </c>
      <c r="Y291" s="611"/>
      <c r="Z291" s="611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03">
        <f t="shared" si="117"/>
        <v>0</v>
      </c>
      <c r="AM291" s="136"/>
      <c r="AN291" s="136"/>
      <c r="AO291" s="136"/>
      <c r="AP291" s="105">
        <f t="shared" si="118"/>
        <v>0</v>
      </c>
      <c r="AQ291" s="143"/>
      <c r="AR291" s="143"/>
      <c r="AS291" s="143"/>
      <c r="AT291" s="146"/>
      <c r="AU291" s="224">
        <f t="shared" si="119"/>
        <v>0</v>
      </c>
      <c r="AV291" s="225"/>
      <c r="AW291" s="276"/>
      <c r="AX291" s="1324"/>
      <c r="AY291" s="1324"/>
      <c r="AZ291" s="434"/>
      <c r="BA291" s="1325"/>
      <c r="BB291" s="225"/>
      <c r="BC291" s="276"/>
      <c r="BD291" s="276"/>
      <c r="BE291" s="274"/>
      <c r="BF291" s="274"/>
      <c r="BG291" s="222">
        <f t="shared" si="120"/>
        <v>0</v>
      </c>
      <c r="BH291" s="140">
        <f t="shared" si="121"/>
        <v>0</v>
      </c>
      <c r="BI291" s="132"/>
      <c r="BJ291" s="140">
        <f t="shared" si="122"/>
        <v>0</v>
      </c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30">
        <f t="shared" si="123"/>
        <v>0</v>
      </c>
      <c r="BY291" s="132"/>
    </row>
    <row r="292" ht="14.25" customHeight="1">
      <c r="A292" s="132"/>
      <c r="B292" s="215">
        <v>46283</v>
      </c>
      <c r="C292" s="133"/>
      <c r="D292" s="136"/>
      <c r="E292" s="135"/>
      <c r="F292" s="135"/>
      <c r="G292" s="147">
        <f t="shared" si="115"/>
        <v>0</v>
      </c>
      <c r="H292" s="768"/>
      <c r="I292" s="768"/>
      <c r="J292" s="611"/>
      <c r="K292" s="611"/>
      <c r="L292" s="611"/>
      <c r="M292" s="611"/>
      <c r="N292" s="611"/>
      <c r="O292" s="611"/>
      <c r="P292" s="611"/>
      <c r="Q292" s="611"/>
      <c r="R292" s="611"/>
      <c r="S292" s="143"/>
      <c r="T292" s="143"/>
      <c r="U292" s="143"/>
      <c r="V292" s="143"/>
      <c r="W292" s="143"/>
      <c r="X292" s="1248">
        <f t="shared" si="116"/>
        <v>0</v>
      </c>
      <c r="Y292" s="611"/>
      <c r="Z292" s="611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03">
        <f t="shared" si="117"/>
        <v>0</v>
      </c>
      <c r="AM292" s="136"/>
      <c r="AN292" s="136"/>
      <c r="AO292" s="136"/>
      <c r="AP292" s="105">
        <f t="shared" si="118"/>
        <v>0</v>
      </c>
      <c r="AQ292" s="143"/>
      <c r="AR292" s="143"/>
      <c r="AS292" s="143"/>
      <c r="AT292" s="146"/>
      <c r="AU292" s="224">
        <f t="shared" si="119"/>
        <v>0</v>
      </c>
      <c r="AV292" s="225"/>
      <c r="AW292" s="276"/>
      <c r="AX292" s="1324"/>
      <c r="AY292" s="1324"/>
      <c r="AZ292" s="434"/>
      <c r="BA292" s="1325"/>
      <c r="BB292" s="225"/>
      <c r="BC292" s="276"/>
      <c r="BD292" s="276"/>
      <c r="BE292" s="274"/>
      <c r="BF292" s="274"/>
      <c r="BG292" s="222">
        <f t="shared" si="120"/>
        <v>0</v>
      </c>
      <c r="BH292" s="140">
        <f t="shared" si="121"/>
        <v>0</v>
      </c>
      <c r="BI292" s="132"/>
      <c r="BJ292" s="140">
        <f t="shared" si="122"/>
        <v>0</v>
      </c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30">
        <f t="shared" si="123"/>
        <v>0</v>
      </c>
      <c r="BY292" s="132"/>
    </row>
    <row r="293" ht="14.25" customHeight="1">
      <c r="A293" s="132"/>
      <c r="B293" s="215">
        <v>46284</v>
      </c>
      <c r="C293" s="133"/>
      <c r="D293" s="136"/>
      <c r="E293" s="135"/>
      <c r="F293" s="135"/>
      <c r="G293" s="147">
        <f t="shared" si="115"/>
        <v>0</v>
      </c>
      <c r="H293" s="768"/>
      <c r="I293" s="768"/>
      <c r="J293" s="611"/>
      <c r="K293" s="611"/>
      <c r="L293" s="611"/>
      <c r="M293" s="611"/>
      <c r="N293" s="611"/>
      <c r="O293" s="611"/>
      <c r="P293" s="611"/>
      <c r="Q293" s="611"/>
      <c r="R293" s="611"/>
      <c r="S293" s="143"/>
      <c r="T293" s="143"/>
      <c r="U293" s="143"/>
      <c r="V293" s="143"/>
      <c r="W293" s="143"/>
      <c r="X293" s="1248">
        <f t="shared" si="116"/>
        <v>0</v>
      </c>
      <c r="Y293" s="611"/>
      <c r="Z293" s="611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03">
        <f t="shared" si="117"/>
        <v>0</v>
      </c>
      <c r="AM293" s="136"/>
      <c r="AN293" s="136"/>
      <c r="AO293" s="136"/>
      <c r="AP293" s="105">
        <f t="shared" si="118"/>
        <v>0</v>
      </c>
      <c r="AQ293" s="143"/>
      <c r="AR293" s="143"/>
      <c r="AS293" s="143"/>
      <c r="AT293" s="146"/>
      <c r="AU293" s="224">
        <f t="shared" si="119"/>
        <v>0</v>
      </c>
      <c r="AV293" s="225"/>
      <c r="AW293" s="276"/>
      <c r="AX293" s="1324"/>
      <c r="AY293" s="1324"/>
      <c r="AZ293" s="434"/>
      <c r="BA293" s="1325"/>
      <c r="BB293" s="225"/>
      <c r="BC293" s="276"/>
      <c r="BD293" s="276"/>
      <c r="BE293" s="274"/>
      <c r="BF293" s="274"/>
      <c r="BG293" s="222">
        <f t="shared" si="120"/>
        <v>0</v>
      </c>
      <c r="BH293" s="140">
        <f t="shared" si="121"/>
        <v>0</v>
      </c>
      <c r="BI293" s="132"/>
      <c r="BJ293" s="140">
        <f t="shared" si="122"/>
        <v>0</v>
      </c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30">
        <f t="shared" si="123"/>
        <v>0</v>
      </c>
      <c r="BY293" s="132"/>
    </row>
    <row r="294" ht="14.25" customHeight="1">
      <c r="A294" s="132"/>
      <c r="B294" s="215">
        <v>46285</v>
      </c>
      <c r="C294" s="133"/>
      <c r="D294" s="136"/>
      <c r="E294" s="135"/>
      <c r="F294" s="135"/>
      <c r="G294" s="147">
        <f t="shared" si="115"/>
        <v>0</v>
      </c>
      <c r="H294" s="768"/>
      <c r="I294" s="768"/>
      <c r="J294" s="611"/>
      <c r="K294" s="611"/>
      <c r="L294" s="611"/>
      <c r="M294" s="611"/>
      <c r="N294" s="611"/>
      <c r="O294" s="611"/>
      <c r="P294" s="611"/>
      <c r="Q294" s="611"/>
      <c r="R294" s="611"/>
      <c r="S294" s="143"/>
      <c r="T294" s="143"/>
      <c r="U294" s="143"/>
      <c r="V294" s="143"/>
      <c r="W294" s="143"/>
      <c r="X294" s="1248">
        <f t="shared" si="116"/>
        <v>0</v>
      </c>
      <c r="Y294" s="611"/>
      <c r="Z294" s="611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03">
        <f t="shared" si="117"/>
        <v>0</v>
      </c>
      <c r="AM294" s="136"/>
      <c r="AN294" s="136"/>
      <c r="AO294" s="136"/>
      <c r="AP294" s="105">
        <f t="shared" si="118"/>
        <v>0</v>
      </c>
      <c r="AQ294" s="143"/>
      <c r="AR294" s="143"/>
      <c r="AS294" s="143"/>
      <c r="AT294" s="146"/>
      <c r="AU294" s="224">
        <f t="shared" si="119"/>
        <v>0</v>
      </c>
      <c r="AV294" s="225"/>
      <c r="AW294" s="276"/>
      <c r="AX294" s="1324"/>
      <c r="AY294" s="1324"/>
      <c r="AZ294" s="434"/>
      <c r="BA294" s="1325"/>
      <c r="BB294" s="225"/>
      <c r="BC294" s="276"/>
      <c r="BD294" s="276"/>
      <c r="BE294" s="274"/>
      <c r="BF294" s="274"/>
      <c r="BG294" s="222">
        <f t="shared" si="120"/>
        <v>0</v>
      </c>
      <c r="BH294" s="140">
        <f t="shared" si="121"/>
        <v>0</v>
      </c>
      <c r="BI294" s="132"/>
      <c r="BJ294" s="140">
        <f t="shared" si="122"/>
        <v>0</v>
      </c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30">
        <f t="shared" si="123"/>
        <v>0</v>
      </c>
      <c r="BY294" s="132"/>
    </row>
    <row r="295" ht="14.25" customHeight="1">
      <c r="A295" s="132"/>
      <c r="B295" s="215">
        <v>46286</v>
      </c>
      <c r="C295" s="133"/>
      <c r="D295" s="136"/>
      <c r="E295" s="135"/>
      <c r="F295" s="135"/>
      <c r="G295" s="147">
        <f t="shared" si="115"/>
        <v>0</v>
      </c>
      <c r="H295" s="768"/>
      <c r="I295" s="768"/>
      <c r="J295" s="611"/>
      <c r="K295" s="611"/>
      <c r="L295" s="611"/>
      <c r="M295" s="611"/>
      <c r="N295" s="611"/>
      <c r="O295" s="611"/>
      <c r="P295" s="611"/>
      <c r="Q295" s="611"/>
      <c r="R295" s="611"/>
      <c r="S295" s="143"/>
      <c r="T295" s="143"/>
      <c r="U295" s="143"/>
      <c r="V295" s="143"/>
      <c r="W295" s="143"/>
      <c r="X295" s="1248">
        <f t="shared" si="116"/>
        <v>0</v>
      </c>
      <c r="Y295" s="611"/>
      <c r="Z295" s="611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03">
        <f t="shared" si="117"/>
        <v>0</v>
      </c>
      <c r="AM295" s="136"/>
      <c r="AN295" s="136"/>
      <c r="AO295" s="136"/>
      <c r="AP295" s="105">
        <f t="shared" si="118"/>
        <v>0</v>
      </c>
      <c r="AQ295" s="143"/>
      <c r="AR295" s="143"/>
      <c r="AS295" s="143"/>
      <c r="AT295" s="146"/>
      <c r="AU295" s="224">
        <f t="shared" si="119"/>
        <v>0</v>
      </c>
      <c r="AV295" s="225"/>
      <c r="AW295" s="276"/>
      <c r="AX295" s="1324"/>
      <c r="AY295" s="1324"/>
      <c r="AZ295" s="434"/>
      <c r="BA295" s="1325"/>
      <c r="BB295" s="225"/>
      <c r="BC295" s="276"/>
      <c r="BD295" s="276"/>
      <c r="BE295" s="274"/>
      <c r="BF295" s="274"/>
      <c r="BG295" s="222">
        <f t="shared" si="120"/>
        <v>0</v>
      </c>
      <c r="BH295" s="140">
        <f t="shared" si="121"/>
        <v>0</v>
      </c>
      <c r="BI295" s="132"/>
      <c r="BJ295" s="140">
        <f t="shared" si="122"/>
        <v>0</v>
      </c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30">
        <f t="shared" si="123"/>
        <v>0</v>
      </c>
      <c r="BY295" s="132"/>
    </row>
    <row r="296" ht="14.25" customHeight="1">
      <c r="A296" s="132"/>
      <c r="B296" s="215">
        <v>46287</v>
      </c>
      <c r="C296" s="133"/>
      <c r="D296" s="136"/>
      <c r="E296" s="135"/>
      <c r="F296" s="135"/>
      <c r="G296" s="147">
        <f t="shared" si="115"/>
        <v>0</v>
      </c>
      <c r="H296" s="768"/>
      <c r="I296" s="768"/>
      <c r="J296" s="611"/>
      <c r="K296" s="611"/>
      <c r="L296" s="611"/>
      <c r="M296" s="611"/>
      <c r="N296" s="611"/>
      <c r="O296" s="611"/>
      <c r="P296" s="611"/>
      <c r="Q296" s="611"/>
      <c r="R296" s="611"/>
      <c r="S296" s="143"/>
      <c r="T296" s="143"/>
      <c r="U296" s="143"/>
      <c r="V296" s="143"/>
      <c r="W296" s="143"/>
      <c r="X296" s="1248">
        <f t="shared" si="116"/>
        <v>0</v>
      </c>
      <c r="Y296" s="611"/>
      <c r="Z296" s="611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03">
        <f t="shared" si="117"/>
        <v>0</v>
      </c>
      <c r="AM296" s="136"/>
      <c r="AN296" s="136"/>
      <c r="AO296" s="136"/>
      <c r="AP296" s="105">
        <f t="shared" si="118"/>
        <v>0</v>
      </c>
      <c r="AQ296" s="143"/>
      <c r="AR296" s="143"/>
      <c r="AS296" s="143"/>
      <c r="AT296" s="146"/>
      <c r="AU296" s="224">
        <f t="shared" si="119"/>
        <v>0</v>
      </c>
      <c r="AV296" s="225"/>
      <c r="AW296" s="276"/>
      <c r="AX296" s="1324"/>
      <c r="AY296" s="1324"/>
      <c r="AZ296" s="434"/>
      <c r="BA296" s="1325"/>
      <c r="BB296" s="225"/>
      <c r="BC296" s="276"/>
      <c r="BD296" s="276"/>
      <c r="BE296" s="274"/>
      <c r="BF296" s="274"/>
      <c r="BG296" s="222">
        <f t="shared" si="120"/>
        <v>0</v>
      </c>
      <c r="BH296" s="140">
        <f t="shared" si="121"/>
        <v>0</v>
      </c>
      <c r="BI296" s="132"/>
      <c r="BJ296" s="140">
        <f t="shared" si="122"/>
        <v>0</v>
      </c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30">
        <f t="shared" si="123"/>
        <v>0</v>
      </c>
      <c r="BY296" s="132"/>
    </row>
    <row r="297" ht="14.25" customHeight="1">
      <c r="A297" s="132"/>
      <c r="B297" s="215">
        <v>46288</v>
      </c>
      <c r="C297" s="133"/>
      <c r="D297" s="136"/>
      <c r="E297" s="135"/>
      <c r="F297" s="135"/>
      <c r="G297" s="147">
        <f t="shared" si="115"/>
        <v>0</v>
      </c>
      <c r="H297" s="768"/>
      <c r="I297" s="768"/>
      <c r="J297" s="611"/>
      <c r="K297" s="611"/>
      <c r="L297" s="611"/>
      <c r="M297" s="611"/>
      <c r="N297" s="611"/>
      <c r="O297" s="611"/>
      <c r="P297" s="611"/>
      <c r="Q297" s="611"/>
      <c r="R297" s="611"/>
      <c r="S297" s="143"/>
      <c r="T297" s="143"/>
      <c r="U297" s="143"/>
      <c r="V297" s="143"/>
      <c r="W297" s="143"/>
      <c r="X297" s="1248">
        <f t="shared" si="116"/>
        <v>0</v>
      </c>
      <c r="Y297" s="611"/>
      <c r="Z297" s="611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03">
        <f t="shared" si="117"/>
        <v>0</v>
      </c>
      <c r="AM297" s="136"/>
      <c r="AN297" s="136"/>
      <c r="AO297" s="136"/>
      <c r="AP297" s="105">
        <f t="shared" si="118"/>
        <v>0</v>
      </c>
      <c r="AQ297" s="143"/>
      <c r="AR297" s="143"/>
      <c r="AS297" s="143"/>
      <c r="AT297" s="146"/>
      <c r="AU297" s="224">
        <f t="shared" si="119"/>
        <v>0</v>
      </c>
      <c r="AV297" s="225"/>
      <c r="AW297" s="276"/>
      <c r="AX297" s="1324"/>
      <c r="AY297" s="1324"/>
      <c r="AZ297" s="434"/>
      <c r="BA297" s="1325"/>
      <c r="BB297" s="225"/>
      <c r="BC297" s="276"/>
      <c r="BD297" s="276"/>
      <c r="BE297" s="274"/>
      <c r="BF297" s="274"/>
      <c r="BG297" s="222">
        <f t="shared" si="120"/>
        <v>0</v>
      </c>
      <c r="BH297" s="140">
        <f t="shared" si="121"/>
        <v>0</v>
      </c>
      <c r="BI297" s="132"/>
      <c r="BJ297" s="140">
        <f t="shared" si="122"/>
        <v>0</v>
      </c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30">
        <f t="shared" si="123"/>
        <v>0</v>
      </c>
      <c r="BY297" s="132"/>
    </row>
    <row r="298" ht="14.25" customHeight="1">
      <c r="A298" s="132"/>
      <c r="B298" s="215">
        <v>46289</v>
      </c>
      <c r="C298" s="133"/>
      <c r="D298" s="136"/>
      <c r="E298" s="135"/>
      <c r="F298" s="135"/>
      <c r="G298" s="147">
        <f t="shared" si="115"/>
        <v>0</v>
      </c>
      <c r="H298" s="768"/>
      <c r="I298" s="768"/>
      <c r="J298" s="611"/>
      <c r="K298" s="611"/>
      <c r="L298" s="611"/>
      <c r="M298" s="611"/>
      <c r="N298" s="611"/>
      <c r="O298" s="611"/>
      <c r="P298" s="611"/>
      <c r="Q298" s="611"/>
      <c r="R298" s="611"/>
      <c r="S298" s="143"/>
      <c r="T298" s="143"/>
      <c r="U298" s="143"/>
      <c r="V298" s="143"/>
      <c r="W298" s="143"/>
      <c r="X298" s="1248">
        <f t="shared" si="116"/>
        <v>0</v>
      </c>
      <c r="Y298" s="611"/>
      <c r="Z298" s="611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03">
        <f t="shared" si="117"/>
        <v>0</v>
      </c>
      <c r="AM298" s="136"/>
      <c r="AN298" s="136"/>
      <c r="AO298" s="136"/>
      <c r="AP298" s="105">
        <f t="shared" si="118"/>
        <v>0</v>
      </c>
      <c r="AQ298" s="143"/>
      <c r="AR298" s="143"/>
      <c r="AS298" s="143"/>
      <c r="AT298" s="146"/>
      <c r="AU298" s="224">
        <f t="shared" si="119"/>
        <v>0</v>
      </c>
      <c r="AV298" s="225"/>
      <c r="AW298" s="276"/>
      <c r="AX298" s="1324"/>
      <c r="AY298" s="1324"/>
      <c r="AZ298" s="434"/>
      <c r="BA298" s="1325"/>
      <c r="BB298" s="225"/>
      <c r="BC298" s="276"/>
      <c r="BD298" s="276"/>
      <c r="BE298" s="274"/>
      <c r="BF298" s="274"/>
      <c r="BG298" s="222">
        <f t="shared" si="120"/>
        <v>0</v>
      </c>
      <c r="BH298" s="140">
        <f t="shared" si="121"/>
        <v>0</v>
      </c>
      <c r="BI298" s="132"/>
      <c r="BJ298" s="140">
        <f t="shared" si="122"/>
        <v>0</v>
      </c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30">
        <f t="shared" si="123"/>
        <v>0</v>
      </c>
      <c r="BY298" s="132"/>
    </row>
    <row r="299" ht="14.25" customHeight="1">
      <c r="A299" s="132"/>
      <c r="B299" s="215">
        <v>46290</v>
      </c>
      <c r="C299" s="133"/>
      <c r="D299" s="136"/>
      <c r="E299" s="135"/>
      <c r="F299" s="135"/>
      <c r="G299" s="147">
        <f t="shared" si="115"/>
        <v>0</v>
      </c>
      <c r="H299" s="768"/>
      <c r="I299" s="768"/>
      <c r="J299" s="611"/>
      <c r="K299" s="611"/>
      <c r="L299" s="611"/>
      <c r="M299" s="611"/>
      <c r="N299" s="611"/>
      <c r="O299" s="611"/>
      <c r="P299" s="611"/>
      <c r="Q299" s="611"/>
      <c r="R299" s="611"/>
      <c r="S299" s="143"/>
      <c r="T299" s="143"/>
      <c r="U299" s="143"/>
      <c r="V299" s="143"/>
      <c r="W299" s="143"/>
      <c r="X299" s="1248">
        <f t="shared" si="116"/>
        <v>0</v>
      </c>
      <c r="Y299" s="611"/>
      <c r="Z299" s="611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03">
        <f t="shared" si="117"/>
        <v>0</v>
      </c>
      <c r="AM299" s="136"/>
      <c r="AN299" s="136"/>
      <c r="AO299" s="136"/>
      <c r="AP299" s="105">
        <f t="shared" si="118"/>
        <v>0</v>
      </c>
      <c r="AQ299" s="143"/>
      <c r="AR299" s="143"/>
      <c r="AS299" s="143"/>
      <c r="AT299" s="146"/>
      <c r="AU299" s="224">
        <f t="shared" si="119"/>
        <v>0</v>
      </c>
      <c r="AV299" s="225"/>
      <c r="AW299" s="276"/>
      <c r="AX299" s="1324"/>
      <c r="AY299" s="1324"/>
      <c r="AZ299" s="434"/>
      <c r="BA299" s="1325"/>
      <c r="BB299" s="225"/>
      <c r="BC299" s="276"/>
      <c r="BD299" s="276"/>
      <c r="BE299" s="274"/>
      <c r="BF299" s="274"/>
      <c r="BG299" s="222">
        <f t="shared" si="120"/>
        <v>0</v>
      </c>
      <c r="BH299" s="140">
        <f t="shared" si="121"/>
        <v>0</v>
      </c>
      <c r="BI299" s="132"/>
      <c r="BJ299" s="140">
        <f t="shared" si="122"/>
        <v>0</v>
      </c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30">
        <f t="shared" si="123"/>
        <v>0</v>
      </c>
      <c r="BY299" s="132"/>
    </row>
    <row r="300" ht="13.5" customHeight="1">
      <c r="A300" s="132"/>
      <c r="B300" s="215">
        <v>46291</v>
      </c>
      <c r="C300" s="133"/>
      <c r="D300" s="136"/>
      <c r="E300" s="135"/>
      <c r="F300" s="135"/>
      <c r="G300" s="147">
        <f t="shared" si="115"/>
        <v>0</v>
      </c>
      <c r="H300" s="768"/>
      <c r="I300" s="768"/>
      <c r="J300" s="611"/>
      <c r="K300" s="611"/>
      <c r="L300" s="641"/>
      <c r="M300" s="641"/>
      <c r="N300" s="641"/>
      <c r="O300" s="611"/>
      <c r="P300" s="611"/>
      <c r="Q300" s="641"/>
      <c r="R300" s="641"/>
      <c r="S300" s="143"/>
      <c r="T300" s="143"/>
      <c r="U300" s="143"/>
      <c r="V300" s="143"/>
      <c r="W300" s="143"/>
      <c r="X300" s="1248">
        <f t="shared" si="116"/>
        <v>0</v>
      </c>
      <c r="Y300" s="611"/>
      <c r="Z300" s="611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03">
        <f t="shared" si="117"/>
        <v>0</v>
      </c>
      <c r="AM300" s="136"/>
      <c r="AN300" s="136"/>
      <c r="AO300" s="136"/>
      <c r="AP300" s="105">
        <f t="shared" si="118"/>
        <v>0</v>
      </c>
      <c r="AQ300" s="143"/>
      <c r="AR300" s="143"/>
      <c r="AS300" s="143"/>
      <c r="AT300" s="146"/>
      <c r="AU300" s="224">
        <f t="shared" si="119"/>
        <v>0</v>
      </c>
      <c r="AV300" s="225"/>
      <c r="AW300" s="276"/>
      <c r="AX300" s="1324"/>
      <c r="AY300" s="1324"/>
      <c r="AZ300" s="434"/>
      <c r="BA300" s="1325"/>
      <c r="BB300" s="225"/>
      <c r="BC300" s="276"/>
      <c r="BD300" s="276"/>
      <c r="BE300" s="274"/>
      <c r="BF300" s="274"/>
      <c r="BG300" s="222">
        <f t="shared" si="120"/>
        <v>0</v>
      </c>
      <c r="BH300" s="140">
        <f t="shared" si="121"/>
        <v>0</v>
      </c>
      <c r="BI300" s="132"/>
      <c r="BJ300" s="140">
        <f t="shared" si="122"/>
        <v>0</v>
      </c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30">
        <f t="shared" si="123"/>
        <v>0</v>
      </c>
      <c r="BY300" s="132"/>
    </row>
    <row r="301" ht="14.25" customHeight="1">
      <c r="A301" s="132"/>
      <c r="B301" s="215">
        <v>46292</v>
      </c>
      <c r="C301" s="133"/>
      <c r="D301" s="136"/>
      <c r="E301" s="135"/>
      <c r="F301" s="135"/>
      <c r="G301" s="147">
        <f t="shared" si="115"/>
        <v>0</v>
      </c>
      <c r="H301" s="768"/>
      <c r="I301" s="768"/>
      <c r="J301" s="611"/>
      <c r="K301" s="611"/>
      <c r="L301" s="641"/>
      <c r="M301" s="641"/>
      <c r="N301" s="641"/>
      <c r="O301" s="611"/>
      <c r="P301" s="611"/>
      <c r="Q301" s="611"/>
      <c r="R301" s="611"/>
      <c r="S301" s="143"/>
      <c r="T301" s="143"/>
      <c r="U301" s="143"/>
      <c r="V301" s="143"/>
      <c r="W301" s="143"/>
      <c r="X301" s="1248">
        <f t="shared" si="116"/>
        <v>0</v>
      </c>
      <c r="Y301" s="611"/>
      <c r="Z301" s="611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03">
        <f t="shared" si="117"/>
        <v>0</v>
      </c>
      <c r="AM301" s="136"/>
      <c r="AN301" s="136"/>
      <c r="AO301" s="136"/>
      <c r="AP301" s="105">
        <f t="shared" si="118"/>
        <v>0</v>
      </c>
      <c r="AQ301" s="143"/>
      <c r="AR301" s="143"/>
      <c r="AS301" s="143"/>
      <c r="AT301" s="146"/>
      <c r="AU301" s="224">
        <f t="shared" si="119"/>
        <v>0</v>
      </c>
      <c r="AV301" s="225"/>
      <c r="AW301" s="276"/>
      <c r="AX301" s="1324"/>
      <c r="AY301" s="1324"/>
      <c r="AZ301" s="434"/>
      <c r="BA301" s="1325"/>
      <c r="BB301" s="225"/>
      <c r="BC301" s="276"/>
      <c r="BD301" s="276"/>
      <c r="BE301" s="274"/>
      <c r="BF301" s="274"/>
      <c r="BG301" s="222">
        <f t="shared" si="120"/>
        <v>0</v>
      </c>
      <c r="BH301" s="140">
        <f t="shared" si="121"/>
        <v>0</v>
      </c>
      <c r="BI301" s="132"/>
      <c r="BJ301" s="140">
        <f t="shared" si="122"/>
        <v>0</v>
      </c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30">
        <f t="shared" si="123"/>
        <v>0</v>
      </c>
      <c r="BY301" s="132"/>
    </row>
    <row r="302" ht="14.25" customHeight="1">
      <c r="A302" s="132"/>
      <c r="B302" s="215">
        <v>46293</v>
      </c>
      <c r="C302" s="133"/>
      <c r="D302" s="136"/>
      <c r="E302" s="135"/>
      <c r="F302" s="135"/>
      <c r="G302" s="147">
        <f t="shared" si="115"/>
        <v>0</v>
      </c>
      <c r="H302" s="768"/>
      <c r="I302" s="768"/>
      <c r="J302" s="611"/>
      <c r="K302" s="611"/>
      <c r="L302" s="611"/>
      <c r="M302" s="611"/>
      <c r="N302" s="611"/>
      <c r="O302" s="611"/>
      <c r="P302" s="611"/>
      <c r="Q302" s="611"/>
      <c r="R302" s="611"/>
      <c r="S302" s="143"/>
      <c r="T302" s="143"/>
      <c r="U302" s="143"/>
      <c r="V302" s="143"/>
      <c r="W302" s="143"/>
      <c r="X302" s="1248">
        <f t="shared" si="116"/>
        <v>0</v>
      </c>
      <c r="Y302" s="611"/>
      <c r="Z302" s="611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03">
        <f t="shared" si="117"/>
        <v>0</v>
      </c>
      <c r="AM302" s="136"/>
      <c r="AN302" s="136"/>
      <c r="AO302" s="136"/>
      <c r="AP302" s="105">
        <f t="shared" si="118"/>
        <v>0</v>
      </c>
      <c r="AQ302" s="143"/>
      <c r="AR302" s="143"/>
      <c r="AS302" s="143"/>
      <c r="AT302" s="146"/>
      <c r="AU302" s="224">
        <f t="shared" si="119"/>
        <v>0</v>
      </c>
      <c r="AV302" s="225"/>
      <c r="AW302" s="1327"/>
      <c r="AX302" s="1324"/>
      <c r="AY302" s="1324"/>
      <c r="AZ302" s="434"/>
      <c r="BA302" s="1325"/>
      <c r="BB302" s="225"/>
      <c r="BC302" s="276"/>
      <c r="BD302" s="276"/>
      <c r="BE302" s="274"/>
      <c r="BF302" s="274"/>
      <c r="BG302" s="222">
        <f t="shared" si="120"/>
        <v>0</v>
      </c>
      <c r="BH302" s="140">
        <f t="shared" si="121"/>
        <v>0</v>
      </c>
      <c r="BI302" s="132"/>
      <c r="BJ302" s="140">
        <f t="shared" si="122"/>
        <v>0</v>
      </c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30">
        <f t="shared" si="123"/>
        <v>0</v>
      </c>
      <c r="BY302" s="132"/>
    </row>
    <row r="303" ht="14.25" customHeight="1">
      <c r="A303" s="3"/>
      <c r="B303" s="215">
        <v>46294</v>
      </c>
      <c r="C303" s="118"/>
      <c r="D303" s="123"/>
      <c r="E303" s="120"/>
      <c r="F303" s="120"/>
      <c r="G303" s="147">
        <f t="shared" si="115"/>
        <v>0</v>
      </c>
      <c r="H303" s="768"/>
      <c r="I303" s="768"/>
      <c r="J303" s="611"/>
      <c r="K303" s="611"/>
      <c r="L303" s="611"/>
      <c r="M303" s="611"/>
      <c r="N303" s="611"/>
      <c r="O303" s="611"/>
      <c r="P303" s="611"/>
      <c r="Q303" s="611"/>
      <c r="R303" s="611"/>
      <c r="S303" s="143"/>
      <c r="T303" s="143"/>
      <c r="U303" s="143"/>
      <c r="V303" s="143"/>
      <c r="W303" s="143"/>
      <c r="X303" s="1248">
        <f t="shared" si="116"/>
        <v>0</v>
      </c>
      <c r="Y303" s="611"/>
      <c r="Z303" s="611"/>
      <c r="AA303" s="143"/>
      <c r="AB303" s="143"/>
      <c r="AC303" s="143"/>
      <c r="AD303" s="143"/>
      <c r="AE303" s="143"/>
      <c r="AF303" s="143"/>
      <c r="AG303" s="143"/>
      <c r="AH303" s="143"/>
      <c r="AI303" s="143"/>
      <c r="AJ303" s="143"/>
      <c r="AK303" s="143"/>
      <c r="AL303" s="103">
        <f t="shared" si="117"/>
        <v>0</v>
      </c>
      <c r="AM303" s="123"/>
      <c r="AN303" s="123"/>
      <c r="AO303" s="123"/>
      <c r="AP303" s="105">
        <f t="shared" si="118"/>
        <v>0</v>
      </c>
      <c r="AQ303" s="143"/>
      <c r="AR303" s="143"/>
      <c r="AS303" s="143"/>
      <c r="AT303" s="146"/>
      <c r="AU303" s="224">
        <f t="shared" si="119"/>
        <v>0</v>
      </c>
      <c r="AV303" s="225"/>
      <c r="AW303" s="276"/>
      <c r="AX303" s="1324"/>
      <c r="AY303" s="1324"/>
      <c r="AZ303" s="434"/>
      <c r="BA303" s="1325"/>
      <c r="BB303" s="225"/>
      <c r="BC303" s="276"/>
      <c r="BD303" s="276"/>
      <c r="BE303" s="274"/>
      <c r="BF303" s="274"/>
      <c r="BG303" s="222">
        <f t="shared" si="120"/>
        <v>0</v>
      </c>
      <c r="BH303" s="113">
        <f t="shared" si="121"/>
        <v>0</v>
      </c>
      <c r="BI303" s="3"/>
      <c r="BJ303" s="113">
        <f t="shared" si="122"/>
        <v>0</v>
      </c>
      <c r="BK303" s="129"/>
      <c r="BL303" s="129"/>
      <c r="BM303" s="129"/>
      <c r="BN303" s="129"/>
      <c r="BO303" s="129"/>
      <c r="BP303" s="129"/>
      <c r="BQ303" s="129"/>
      <c r="BR303" s="129"/>
      <c r="BS303" s="129"/>
      <c r="BT303" s="129"/>
      <c r="BU303" s="129"/>
      <c r="BV303" s="141"/>
      <c r="BW303" s="129"/>
      <c r="BX303" s="130">
        <f t="shared" si="123"/>
        <v>0</v>
      </c>
      <c r="BY303" s="3"/>
    </row>
    <row r="304" ht="14.25" customHeight="1">
      <c r="A304" s="3"/>
      <c r="B304" s="215">
        <v>46295</v>
      </c>
      <c r="C304" s="118"/>
      <c r="D304" s="123"/>
      <c r="E304" s="120"/>
      <c r="F304" s="120"/>
      <c r="G304" s="147">
        <f t="shared" si="115"/>
        <v>0</v>
      </c>
      <c r="H304" s="768"/>
      <c r="I304" s="768"/>
      <c r="J304" s="611"/>
      <c r="K304" s="611"/>
      <c r="L304" s="611"/>
      <c r="M304" s="611"/>
      <c r="N304" s="611"/>
      <c r="O304" s="611"/>
      <c r="P304" s="611"/>
      <c r="Q304" s="611"/>
      <c r="R304" s="611"/>
      <c r="S304" s="143"/>
      <c r="T304" s="143"/>
      <c r="U304" s="143"/>
      <c r="V304" s="143"/>
      <c r="W304" s="143"/>
      <c r="X304" s="1248">
        <f t="shared" si="116"/>
        <v>0</v>
      </c>
      <c r="Y304" s="611"/>
      <c r="Z304" s="611"/>
      <c r="AA304" s="143"/>
      <c r="AB304" s="143"/>
      <c r="AC304" s="143"/>
      <c r="AD304" s="143"/>
      <c r="AE304" s="143"/>
      <c r="AF304" s="143"/>
      <c r="AG304" s="143"/>
      <c r="AH304" s="143"/>
      <c r="AI304" s="143"/>
      <c r="AJ304" s="143"/>
      <c r="AK304" s="143"/>
      <c r="AL304" s="103">
        <f t="shared" si="117"/>
        <v>0</v>
      </c>
      <c r="AM304" s="123"/>
      <c r="AN304" s="123"/>
      <c r="AO304" s="123"/>
      <c r="AP304" s="105">
        <f t="shared" si="118"/>
        <v>0</v>
      </c>
      <c r="AQ304" s="143"/>
      <c r="AR304" s="143"/>
      <c r="AS304" s="143"/>
      <c r="AT304" s="146"/>
      <c r="AU304" s="224">
        <f t="shared" si="119"/>
        <v>0</v>
      </c>
      <c r="AV304" s="280"/>
      <c r="AW304" s="533"/>
      <c r="AX304" s="1328"/>
      <c r="AY304" s="1324"/>
      <c r="AZ304" s="434"/>
      <c r="BA304" s="1325"/>
      <c r="BB304" s="280"/>
      <c r="BC304" s="276"/>
      <c r="BD304" s="276"/>
      <c r="BE304" s="274"/>
      <c r="BF304" s="274"/>
      <c r="BG304" s="222">
        <f t="shared" si="120"/>
        <v>0</v>
      </c>
      <c r="BH304" s="113">
        <f t="shared" si="121"/>
        <v>0</v>
      </c>
      <c r="BI304" s="3"/>
      <c r="BJ304" s="113">
        <f t="shared" si="122"/>
        <v>0</v>
      </c>
      <c r="BK304" s="129"/>
      <c r="BL304" s="129"/>
      <c r="BM304" s="129"/>
      <c r="BN304" s="129"/>
      <c r="BO304" s="129"/>
      <c r="BP304" s="129"/>
      <c r="BQ304" s="129"/>
      <c r="BR304" s="129"/>
      <c r="BS304" s="129"/>
      <c r="BT304" s="129"/>
      <c r="BU304" s="129"/>
      <c r="BV304" s="141"/>
      <c r="BW304" s="129"/>
      <c r="BX304" s="130">
        <f t="shared" si="123"/>
        <v>0</v>
      </c>
      <c r="BY304" s="3"/>
    </row>
    <row r="305" ht="14.25" customHeight="1">
      <c r="A305" s="22"/>
      <c r="B305" s="2" t="s">
        <v>83</v>
      </c>
      <c r="C305" s="166">
        <f ref="C305:H305" t="shared" si="124">SUM(C274:C304)</f>
        <v>0</v>
      </c>
      <c r="D305" s="166">
        <f t="shared" si="124"/>
        <v>0</v>
      </c>
      <c r="E305" s="166">
        <f t="shared" si="124"/>
        <v>0</v>
      </c>
      <c r="F305" s="166">
        <f t="shared" si="124"/>
        <v>0</v>
      </c>
      <c r="G305" s="166">
        <f t="shared" si="124"/>
        <v>0</v>
      </c>
      <c r="H305" s="166">
        <f t="shared" si="124"/>
        <v>0</v>
      </c>
      <c r="I305" s="166"/>
      <c r="J305" s="166">
        <f>SUM(J274:J304)</f>
        <v>0</v>
      </c>
      <c r="K305" s="166"/>
      <c r="L305" s="166">
        <f>SUM(L274:L304)</f>
        <v>0</v>
      </c>
      <c r="M305" s="166"/>
      <c r="N305" s="617">
        <f ref="N305:P305" t="shared" si="125">SUM(N274:N304)</f>
        <v>0</v>
      </c>
      <c r="O305" s="166">
        <f t="shared" si="125"/>
        <v>0</v>
      </c>
      <c r="P305" s="166">
        <f t="shared" si="125"/>
        <v>0</v>
      </c>
      <c r="Q305" s="166"/>
      <c r="R305" s="166">
        <f ref="R305:BH305" t="shared" si="126">SUM(R274:R304)</f>
        <v>0</v>
      </c>
      <c r="S305" s="166">
        <f t="shared" si="126"/>
        <v>0</v>
      </c>
      <c r="T305" s="166">
        <f t="shared" si="126"/>
        <v>0</v>
      </c>
      <c r="U305" s="166">
        <f t="shared" si="126"/>
        <v>0</v>
      </c>
      <c r="V305" s="166">
        <f t="shared" si="126"/>
        <v>0</v>
      </c>
      <c r="W305" s="166">
        <f t="shared" si="126"/>
        <v>0</v>
      </c>
      <c r="X305" s="1271">
        <f t="shared" si="126"/>
        <v>0</v>
      </c>
      <c r="Y305" s="166">
        <f t="shared" si="126"/>
        <v>0</v>
      </c>
      <c r="Z305" s="166">
        <f t="shared" si="126"/>
        <v>0</v>
      </c>
      <c r="AA305" s="166">
        <f t="shared" si="126"/>
        <v>0</v>
      </c>
      <c r="AB305" s="166">
        <f t="shared" si="126"/>
        <v>0</v>
      </c>
      <c r="AC305" s="166">
        <f t="shared" si="126"/>
        <v>0</v>
      </c>
      <c r="AD305" s="166">
        <f t="shared" si="126"/>
        <v>0</v>
      </c>
      <c r="AE305" s="166">
        <f t="shared" si="126"/>
        <v>0</v>
      </c>
      <c r="AF305" s="166">
        <f t="shared" si="126"/>
        <v>0</v>
      </c>
      <c r="AG305" s="166">
        <f t="shared" si="126"/>
        <v>0</v>
      </c>
      <c r="AH305" s="166">
        <f t="shared" si="126"/>
        <v>0</v>
      </c>
      <c r="AI305" s="166">
        <f t="shared" si="126"/>
        <v>0</v>
      </c>
      <c r="AJ305" s="166">
        <f t="shared" si="126"/>
        <v>0</v>
      </c>
      <c r="AK305" s="166">
        <f t="shared" si="126"/>
        <v>0</v>
      </c>
      <c r="AL305" s="166">
        <f t="shared" si="126"/>
        <v>0</v>
      </c>
      <c r="AM305" s="166">
        <f t="shared" si="126"/>
        <v>0</v>
      </c>
      <c r="AN305" s="166">
        <f t="shared" si="126"/>
        <v>0</v>
      </c>
      <c r="AO305" s="166">
        <f t="shared" si="126"/>
        <v>0</v>
      </c>
      <c r="AP305" s="166">
        <f t="shared" si="126"/>
        <v>0</v>
      </c>
      <c r="AQ305" s="166">
        <f t="shared" si="126"/>
        <v>0</v>
      </c>
      <c r="AR305" s="166">
        <f t="shared" si="126"/>
        <v>0</v>
      </c>
      <c r="AS305" s="166">
        <f t="shared" si="126"/>
        <v>0</v>
      </c>
      <c r="AT305" s="166">
        <f t="shared" si="126"/>
        <v>0</v>
      </c>
      <c r="AU305" s="166">
        <f t="shared" si="126"/>
        <v>0</v>
      </c>
      <c r="AV305" s="165">
        <f t="shared" si="126"/>
        <v>0</v>
      </c>
      <c r="AW305" s="165">
        <f t="shared" si="126"/>
        <v>0</v>
      </c>
      <c r="AX305" s="166">
        <f t="shared" si="126"/>
        <v>0</v>
      </c>
      <c r="AY305" s="166">
        <f t="shared" si="126"/>
        <v>0</v>
      </c>
      <c r="AZ305" s="166">
        <f t="shared" si="126"/>
        <v>0</v>
      </c>
      <c r="BA305" s="166">
        <f t="shared" si="126"/>
        <v>0</v>
      </c>
      <c r="BB305" s="165">
        <f t="shared" si="126"/>
        <v>0</v>
      </c>
      <c r="BC305" s="166">
        <f t="shared" si="126"/>
        <v>0</v>
      </c>
      <c r="BD305" s="166">
        <f t="shared" si="126"/>
        <v>0</v>
      </c>
      <c r="BE305" s="166">
        <f t="shared" si="126"/>
        <v>0</v>
      </c>
      <c r="BF305" s="166">
        <f t="shared" si="126"/>
        <v>0</v>
      </c>
      <c r="BG305" s="166">
        <f t="shared" si="126"/>
        <v>0</v>
      </c>
      <c r="BH305" s="166">
        <f t="shared" si="126"/>
        <v>0</v>
      </c>
      <c r="BI305" s="3"/>
      <c r="BJ305" s="172">
        <f ref="BJ305:BX305" t="shared" si="127">SUM(BJ275:BJ304)</f>
        <v>0</v>
      </c>
      <c r="BK305" s="1329">
        <f t="shared" si="127"/>
        <v>0</v>
      </c>
      <c r="BL305" s="1329">
        <f t="shared" si="127"/>
        <v>0</v>
      </c>
      <c r="BM305" s="1329">
        <f t="shared" si="127"/>
        <v>0</v>
      </c>
      <c r="BN305" s="1329">
        <f t="shared" si="127"/>
        <v>0</v>
      </c>
      <c r="BO305" s="1329">
        <f t="shared" si="127"/>
        <v>0</v>
      </c>
      <c r="BP305" s="1329">
        <f t="shared" si="127"/>
        <v>0</v>
      </c>
      <c r="BQ305" s="1329">
        <f t="shared" si="127"/>
        <v>0</v>
      </c>
      <c r="BR305" s="1329">
        <f t="shared" si="127"/>
        <v>0</v>
      </c>
      <c r="BS305" s="1329">
        <f t="shared" si="127"/>
        <v>0</v>
      </c>
      <c r="BT305" s="1329">
        <f t="shared" si="127"/>
        <v>0</v>
      </c>
      <c r="BU305" s="1329">
        <f t="shared" si="127"/>
        <v>0</v>
      </c>
      <c r="BV305" s="1329">
        <f t="shared" si="127"/>
        <v>0</v>
      </c>
      <c r="BW305" s="1329">
        <f t="shared" si="127"/>
        <v>0</v>
      </c>
      <c r="BX305" s="1330">
        <f t="shared" si="127"/>
        <v>0</v>
      </c>
      <c r="BY305" s="819"/>
    </row>
    <row r="306" ht="14.25" customHeight="1">
      <c r="A306" s="1"/>
      <c r="B306" s="2"/>
      <c r="C306" s="3"/>
      <c r="D306" s="3"/>
      <c r="E306" s="3"/>
      <c r="F306" s="3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3"/>
      <c r="T306" s="3"/>
      <c r="U306" s="3"/>
      <c r="V306" s="3"/>
      <c r="W306" s="3"/>
      <c r="X306" s="873"/>
      <c r="Y306" s="1"/>
      <c r="Z306" s="1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96"/>
      <c r="AM306" s="96"/>
      <c r="AN306" s="3"/>
      <c r="AO306" s="3"/>
      <c r="AP306" s="4"/>
      <c r="AQ306" s="3"/>
      <c r="AR306" s="3"/>
      <c r="AS306" s="3"/>
      <c r="AT306" s="3"/>
      <c r="AU306" s="3"/>
      <c r="AV306" s="3"/>
      <c r="AW306" s="3"/>
      <c r="AX306" s="1"/>
      <c r="AY306" s="1"/>
      <c r="AZ306" s="1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</row>
    <row r="307" ht="14.25" customHeight="1">
      <c r="A307" s="1"/>
      <c r="B307" s="2"/>
      <c r="C307" s="3"/>
      <c r="D307" s="3"/>
      <c r="E307" s="3"/>
      <c r="F307" s="3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3"/>
      <c r="T307" s="3"/>
      <c r="U307" s="3"/>
      <c r="V307" s="3"/>
      <c r="W307" s="3"/>
      <c r="X307" s="873"/>
      <c r="Y307" s="1"/>
      <c r="Z307" s="1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176"/>
      <c r="AM307" s="176"/>
      <c r="AN307" s="3"/>
      <c r="AO307" s="3"/>
      <c r="AP307" s="4"/>
      <c r="AQ307" s="3"/>
      <c r="AR307" s="3"/>
      <c r="AS307" s="3"/>
      <c r="AT307" s="3"/>
      <c r="AU307" s="3"/>
      <c r="AV307" s="3"/>
      <c r="AW307" s="3"/>
      <c r="AX307" s="1"/>
      <c r="AY307" s="1"/>
      <c r="AZ307" s="1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</row>
    <row r="308" ht="14.25" customHeight="1">
      <c r="A308" s="3"/>
      <c r="B308" s="215">
        <v>46296</v>
      </c>
      <c r="C308" s="94"/>
      <c r="D308" s="104"/>
      <c r="E308" s="97"/>
      <c r="F308" s="97"/>
      <c r="G308" s="265">
        <f ref="G308:G338" t="shared" si="128">+C308+D308+E308+F308</f>
        <v>0</v>
      </c>
      <c r="H308" s="778"/>
      <c r="I308" s="778"/>
      <c r="J308" s="619"/>
      <c r="K308" s="619"/>
      <c r="L308" s="619"/>
      <c r="M308" s="619"/>
      <c r="N308" s="619"/>
      <c r="O308" s="619"/>
      <c r="P308" s="619"/>
      <c r="Q308" s="619"/>
      <c r="R308" s="619"/>
      <c r="S308" s="186"/>
      <c r="T308" s="186"/>
      <c r="U308" s="186"/>
      <c r="V308" s="186"/>
      <c r="W308" s="186"/>
      <c r="X308" s="1248">
        <f ref="X308:X338" t="shared" si="129">SUM(H308:W308)</f>
        <v>0</v>
      </c>
      <c r="Y308" s="619"/>
      <c r="Z308" s="619"/>
      <c r="AA308" s="186"/>
      <c r="AB308" s="186"/>
      <c r="AC308" s="186"/>
      <c r="AD308" s="186"/>
      <c r="AE308" s="186"/>
      <c r="AF308" s="186"/>
      <c r="AG308" s="186"/>
      <c r="AH308" s="186"/>
      <c r="AI308" s="186"/>
      <c r="AJ308" s="186"/>
      <c r="AK308" s="186"/>
      <c r="AL308" s="103">
        <f ref="AL308:AL338" t="shared" si="130">SUM(Y308:AK308)</f>
        <v>0</v>
      </c>
      <c r="AM308" s="104"/>
      <c r="AN308" s="104"/>
      <c r="AO308" s="104"/>
      <c r="AP308" s="191">
        <f ref="AP308:AP338" t="shared" si="131">SUM(AM308:AO308)</f>
        <v>0</v>
      </c>
      <c r="AQ308" s="186"/>
      <c r="AR308" s="186"/>
      <c r="AS308" s="186"/>
      <c r="AT308" s="193"/>
      <c r="AU308" s="266">
        <f ref="AU308:AU338" t="shared" si="132">+G308-X308-AL308-AP308-AQ308-AR308-AS308-AT308</f>
        <v>0</v>
      </c>
      <c r="AV308" s="109"/>
      <c r="AW308" s="269"/>
      <c r="AX308" s="427"/>
      <c r="AY308" s="1132"/>
      <c r="AZ308" s="427"/>
      <c r="BA308" s="270"/>
      <c r="BB308" s="109"/>
      <c r="BC308" s="269"/>
      <c r="BD308" s="269"/>
      <c r="BE308" s="269"/>
      <c r="BF308" s="110"/>
      <c r="BG308" s="1331">
        <f ref="BG308:BG338" t="shared" si="133">SUM(AV308:BF308)-BE308</f>
        <v>0</v>
      </c>
      <c r="BH308" s="1332">
        <f ref="BH308:BH338" t="shared" si="134">+AU308-BG308</f>
        <v>0</v>
      </c>
      <c r="BI308" s="3"/>
      <c r="BJ308" s="114">
        <f ref="BJ308:BJ338" t="shared" si="135">SUM(BK308:BW308)</f>
        <v>0</v>
      </c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5"/>
      <c r="BV308" s="196"/>
      <c r="BW308" s="115"/>
      <c r="BX308" s="116">
        <f ref="BX308:BX338" t="shared" si="136">+BH308-BJ308</f>
        <v>0</v>
      </c>
      <c r="BY308" s="3"/>
    </row>
    <row r="309" ht="14.25" customHeight="1">
      <c r="A309" s="3"/>
      <c r="B309" s="215">
        <v>46297</v>
      </c>
      <c r="C309" s="118"/>
      <c r="D309" s="123"/>
      <c r="E309" s="120"/>
      <c r="F309" s="120"/>
      <c r="G309" s="147">
        <f t="shared" si="128"/>
        <v>0</v>
      </c>
      <c r="H309" s="768"/>
      <c r="I309" s="768"/>
      <c r="J309" s="611"/>
      <c r="K309" s="611"/>
      <c r="L309" s="611"/>
      <c r="M309" s="611"/>
      <c r="N309" s="611"/>
      <c r="O309" s="611"/>
      <c r="P309" s="611"/>
      <c r="Q309" s="611"/>
      <c r="R309" s="611"/>
      <c r="S309" s="143"/>
      <c r="T309" s="143"/>
      <c r="U309" s="143"/>
      <c r="V309" s="143"/>
      <c r="W309" s="143"/>
      <c r="X309" s="1248">
        <f t="shared" si="129"/>
        <v>0</v>
      </c>
      <c r="Y309" s="611"/>
      <c r="Z309" s="611"/>
      <c r="AA309" s="143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03">
        <f t="shared" si="130"/>
        <v>0</v>
      </c>
      <c r="AM309" s="123"/>
      <c r="AN309" s="123"/>
      <c r="AO309" s="123"/>
      <c r="AP309" s="105">
        <f t="shared" si="131"/>
        <v>0</v>
      </c>
      <c r="AQ309" s="143"/>
      <c r="AR309" s="143"/>
      <c r="AS309" s="143"/>
      <c r="AT309" s="146"/>
      <c r="AU309" s="224">
        <f t="shared" si="132"/>
        <v>0</v>
      </c>
      <c r="AV309" s="126"/>
      <c r="AW309" s="274"/>
      <c r="AX309" s="433"/>
      <c r="AY309" s="1133"/>
      <c r="AZ309" s="433"/>
      <c r="BA309" s="275"/>
      <c r="BB309" s="126"/>
      <c r="BC309" s="274"/>
      <c r="BD309" s="274"/>
      <c r="BE309" s="274"/>
      <c r="BF309" s="127"/>
      <c r="BG309" s="308">
        <f t="shared" si="133"/>
        <v>0</v>
      </c>
      <c r="BH309" s="871">
        <f t="shared" si="134"/>
        <v>0</v>
      </c>
      <c r="BI309" s="3"/>
      <c r="BJ309" s="113">
        <f t="shared" si="135"/>
        <v>0</v>
      </c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41"/>
      <c r="BW309" s="129"/>
      <c r="BX309" s="130">
        <f t="shared" si="136"/>
        <v>0</v>
      </c>
      <c r="BY309" s="3"/>
    </row>
    <row r="310" ht="14.25" customHeight="1">
      <c r="A310" s="3"/>
      <c r="B310" s="215">
        <v>46298</v>
      </c>
      <c r="C310" s="118"/>
      <c r="D310" s="123"/>
      <c r="E310" s="120"/>
      <c r="F310" s="120"/>
      <c r="G310" s="147">
        <f t="shared" si="128"/>
        <v>0</v>
      </c>
      <c r="H310" s="768"/>
      <c r="I310" s="768"/>
      <c r="J310" s="611"/>
      <c r="K310" s="611"/>
      <c r="L310" s="611"/>
      <c r="M310" s="611"/>
      <c r="N310" s="611"/>
      <c r="O310" s="611"/>
      <c r="P310" s="611"/>
      <c r="Q310" s="611"/>
      <c r="R310" s="611"/>
      <c r="S310" s="143"/>
      <c r="T310" s="143"/>
      <c r="U310" s="143"/>
      <c r="V310" s="143"/>
      <c r="W310" s="143"/>
      <c r="X310" s="1248">
        <f t="shared" si="129"/>
        <v>0</v>
      </c>
      <c r="Y310" s="611"/>
      <c r="Z310" s="611"/>
      <c r="AA310" s="143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03">
        <f t="shared" si="130"/>
        <v>0</v>
      </c>
      <c r="AM310" s="123"/>
      <c r="AN310" s="123"/>
      <c r="AO310" s="123"/>
      <c r="AP310" s="105">
        <f t="shared" si="131"/>
        <v>0</v>
      </c>
      <c r="AQ310" s="143"/>
      <c r="AR310" s="143"/>
      <c r="AS310" s="143"/>
      <c r="AT310" s="146"/>
      <c r="AU310" s="224">
        <f t="shared" si="132"/>
        <v>0</v>
      </c>
      <c r="AV310" s="126"/>
      <c r="AW310" s="274"/>
      <c r="AX310" s="433"/>
      <c r="AY310" s="1133"/>
      <c r="AZ310" s="433"/>
      <c r="BA310" s="275"/>
      <c r="BB310" s="126"/>
      <c r="BC310" s="274"/>
      <c r="BD310" s="274"/>
      <c r="BE310" s="274"/>
      <c r="BF310" s="127"/>
      <c r="BG310" s="308">
        <f t="shared" si="133"/>
        <v>0</v>
      </c>
      <c r="BH310" s="871">
        <f t="shared" si="134"/>
        <v>0</v>
      </c>
      <c r="BI310" s="3"/>
      <c r="BJ310" s="113">
        <f t="shared" si="135"/>
        <v>0</v>
      </c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41"/>
      <c r="BW310" s="129"/>
      <c r="BX310" s="130">
        <f t="shared" si="136"/>
        <v>0</v>
      </c>
      <c r="BY310" s="3"/>
    </row>
    <row r="311" ht="14.25" customHeight="1">
      <c r="A311" s="3"/>
      <c r="B311" s="215">
        <v>46299</v>
      </c>
      <c r="C311" s="118"/>
      <c r="D311" s="123"/>
      <c r="E311" s="120"/>
      <c r="F311" s="120"/>
      <c r="G311" s="147">
        <f t="shared" si="128"/>
        <v>0</v>
      </c>
      <c r="H311" s="1333"/>
      <c r="I311" s="1317"/>
      <c r="J311" s="611"/>
      <c r="K311" s="611"/>
      <c r="L311" s="611"/>
      <c r="M311" s="611"/>
      <c r="N311" s="611"/>
      <c r="O311" s="611"/>
      <c r="P311" s="611"/>
      <c r="Q311" s="611"/>
      <c r="R311" s="611"/>
      <c r="S311" s="143"/>
      <c r="T311" s="143"/>
      <c r="U311" s="143"/>
      <c r="V311" s="143"/>
      <c r="W311" s="143"/>
      <c r="X311" s="1248">
        <f t="shared" si="129"/>
        <v>0</v>
      </c>
      <c r="Y311" s="611"/>
      <c r="Z311" s="611"/>
      <c r="AA311" s="143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03">
        <f t="shared" si="130"/>
        <v>0</v>
      </c>
      <c r="AM311" s="123"/>
      <c r="AN311" s="123"/>
      <c r="AO311" s="123"/>
      <c r="AP311" s="105">
        <f t="shared" si="131"/>
        <v>0</v>
      </c>
      <c r="AQ311" s="143"/>
      <c r="AR311" s="143"/>
      <c r="AS311" s="143"/>
      <c r="AT311" s="146"/>
      <c r="AU311" s="224">
        <f t="shared" si="132"/>
        <v>0</v>
      </c>
      <c r="AV311" s="126"/>
      <c r="AW311" s="274"/>
      <c r="AX311" s="433"/>
      <c r="AY311" s="1133"/>
      <c r="AZ311" s="433"/>
      <c r="BA311" s="275"/>
      <c r="BB311" s="126"/>
      <c r="BC311" s="274"/>
      <c r="BD311" s="274"/>
      <c r="BE311" s="274"/>
      <c r="BF311" s="127"/>
      <c r="BG311" s="308">
        <f t="shared" si="133"/>
        <v>0</v>
      </c>
      <c r="BH311" s="871">
        <f t="shared" si="134"/>
        <v>0</v>
      </c>
      <c r="BI311" s="3"/>
      <c r="BJ311" s="113">
        <f t="shared" si="135"/>
        <v>0</v>
      </c>
      <c r="BK311" s="129"/>
      <c r="BL311" s="129"/>
      <c r="BM311" s="129"/>
      <c r="BN311" s="129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30">
        <f t="shared" si="136"/>
        <v>0</v>
      </c>
      <c r="BY311" s="3"/>
    </row>
    <row r="312" ht="14.25" customHeight="1">
      <c r="A312" s="3"/>
      <c r="B312" s="215">
        <v>46300</v>
      </c>
      <c r="C312" s="118"/>
      <c r="D312" s="123"/>
      <c r="E312" s="120"/>
      <c r="F312" s="120"/>
      <c r="G312" s="147">
        <f t="shared" si="128"/>
        <v>0</v>
      </c>
      <c r="H312" s="768"/>
      <c r="I312" s="768"/>
      <c r="J312" s="611"/>
      <c r="K312" s="611"/>
      <c r="L312" s="611"/>
      <c r="M312" s="611"/>
      <c r="N312" s="611"/>
      <c r="O312" s="611"/>
      <c r="P312" s="611"/>
      <c r="Q312" s="611"/>
      <c r="R312" s="611"/>
      <c r="S312" s="143"/>
      <c r="T312" s="143"/>
      <c r="U312" s="143"/>
      <c r="V312" s="143"/>
      <c r="W312" s="143"/>
      <c r="X312" s="1248">
        <f t="shared" si="129"/>
        <v>0</v>
      </c>
      <c r="Y312" s="611"/>
      <c r="Z312" s="611"/>
      <c r="AA312" s="143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03">
        <f t="shared" si="130"/>
        <v>0</v>
      </c>
      <c r="AM312" s="123"/>
      <c r="AN312" s="123"/>
      <c r="AO312" s="123"/>
      <c r="AP312" s="105">
        <f t="shared" si="131"/>
        <v>0</v>
      </c>
      <c r="AQ312" s="143"/>
      <c r="AR312" s="143"/>
      <c r="AS312" s="143"/>
      <c r="AT312" s="146"/>
      <c r="AU312" s="224">
        <f t="shared" si="132"/>
        <v>0</v>
      </c>
      <c r="AV312" s="126"/>
      <c r="AW312" s="274"/>
      <c r="AX312" s="433"/>
      <c r="AY312" s="1133"/>
      <c r="AZ312" s="433"/>
      <c r="BA312" s="275"/>
      <c r="BB312" s="126"/>
      <c r="BC312" s="274"/>
      <c r="BD312" s="274"/>
      <c r="BE312" s="274"/>
      <c r="BF312" s="127"/>
      <c r="BG312" s="308">
        <f t="shared" si="133"/>
        <v>0</v>
      </c>
      <c r="BH312" s="871">
        <f t="shared" si="134"/>
        <v>0</v>
      </c>
      <c r="BI312" s="3"/>
      <c r="BJ312" s="113">
        <f t="shared" si="135"/>
        <v>0</v>
      </c>
      <c r="BK312" s="129"/>
      <c r="BL312" s="129"/>
      <c r="BM312" s="129"/>
      <c r="BN312" s="129"/>
      <c r="BO312" s="129"/>
      <c r="BP312" s="129"/>
      <c r="BQ312" s="129"/>
      <c r="BR312" s="129"/>
      <c r="BS312" s="129"/>
      <c r="BT312" s="129"/>
      <c r="BU312" s="129"/>
      <c r="BV312" s="141"/>
      <c r="BW312" s="129"/>
      <c r="BX312" s="130">
        <f t="shared" si="136"/>
        <v>0</v>
      </c>
      <c r="BY312" s="3"/>
    </row>
    <row r="313" ht="14.25" customHeight="1">
      <c r="A313" s="3"/>
      <c r="B313" s="215">
        <v>46301</v>
      </c>
      <c r="C313" s="118"/>
      <c r="D313" s="123"/>
      <c r="E313" s="120"/>
      <c r="F313" s="120"/>
      <c r="G313" s="147">
        <f t="shared" si="128"/>
        <v>0</v>
      </c>
      <c r="H313" s="1138"/>
      <c r="I313" s="768"/>
      <c r="J313" s="611"/>
      <c r="K313" s="611"/>
      <c r="L313" s="611"/>
      <c r="M313" s="611"/>
      <c r="N313" s="611"/>
      <c r="O313" s="611"/>
      <c r="P313" s="611"/>
      <c r="Q313" s="768"/>
      <c r="R313" s="768"/>
      <c r="S313" s="143"/>
      <c r="T313" s="143"/>
      <c r="U313" s="143"/>
      <c r="V313" s="143"/>
      <c r="W313" s="143"/>
      <c r="X313" s="1248">
        <f t="shared" si="129"/>
        <v>0</v>
      </c>
      <c r="Y313" s="611"/>
      <c r="Z313" s="611"/>
      <c r="AA313" s="143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03">
        <f t="shared" si="130"/>
        <v>0</v>
      </c>
      <c r="AM313" s="123"/>
      <c r="AN313" s="123"/>
      <c r="AO313" s="123"/>
      <c r="AP313" s="105">
        <f t="shared" si="131"/>
        <v>0</v>
      </c>
      <c r="AQ313" s="143"/>
      <c r="AR313" s="143"/>
      <c r="AS313" s="143"/>
      <c r="AT313" s="146"/>
      <c r="AU313" s="224">
        <f t="shared" si="132"/>
        <v>0</v>
      </c>
      <c r="AV313" s="126"/>
      <c r="AW313" s="274"/>
      <c r="AX313" s="433"/>
      <c r="AY313" s="1133"/>
      <c r="AZ313" s="433"/>
      <c r="BA313" s="275"/>
      <c r="BB313" s="126"/>
      <c r="BC313" s="274"/>
      <c r="BD313" s="274"/>
      <c r="BE313" s="274"/>
      <c r="BF313" s="127"/>
      <c r="BG313" s="308">
        <f t="shared" si="133"/>
        <v>0</v>
      </c>
      <c r="BH313" s="871">
        <f t="shared" si="134"/>
        <v>0</v>
      </c>
      <c r="BI313" s="3"/>
      <c r="BJ313" s="113">
        <f t="shared" si="135"/>
        <v>0</v>
      </c>
      <c r="BK313" s="129"/>
      <c r="BL313" s="129"/>
      <c r="BM313" s="129"/>
      <c r="BN313" s="129"/>
      <c r="BO313" s="129"/>
      <c r="BP313" s="129"/>
      <c r="BQ313" s="129"/>
      <c r="BR313" s="129"/>
      <c r="BS313" s="129"/>
      <c r="BT313" s="129"/>
      <c r="BU313" s="129"/>
      <c r="BV313" s="141"/>
      <c r="BW313" s="129"/>
      <c r="BX313" s="130">
        <f t="shared" si="136"/>
        <v>0</v>
      </c>
      <c r="BY313" s="3"/>
    </row>
    <row r="314" ht="14.25" customHeight="1">
      <c r="A314" s="132"/>
      <c r="B314" s="215">
        <v>46302</v>
      </c>
      <c r="C314" s="133"/>
      <c r="D314" s="136"/>
      <c r="E314" s="135"/>
      <c r="F314" s="135"/>
      <c r="G314" s="147">
        <f t="shared" si="128"/>
        <v>0</v>
      </c>
      <c r="H314" s="1138"/>
      <c r="I314" s="768"/>
      <c r="J314" s="611"/>
      <c r="K314" s="611"/>
      <c r="L314" s="611"/>
      <c r="M314" s="611"/>
      <c r="N314" s="611"/>
      <c r="O314" s="611"/>
      <c r="P314" s="611"/>
      <c r="Q314" s="768"/>
      <c r="R314" s="768"/>
      <c r="S314" s="143"/>
      <c r="T314" s="143"/>
      <c r="U314" s="143"/>
      <c r="V314" s="143"/>
      <c r="W314" s="143"/>
      <c r="X314" s="1248">
        <f t="shared" si="129"/>
        <v>0</v>
      </c>
      <c r="Y314" s="611"/>
      <c r="Z314" s="611"/>
      <c r="AA314" s="143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03">
        <f t="shared" si="130"/>
        <v>0</v>
      </c>
      <c r="AM314" s="136"/>
      <c r="AN314" s="136"/>
      <c r="AO314" s="136"/>
      <c r="AP314" s="105">
        <f t="shared" si="131"/>
        <v>0</v>
      </c>
      <c r="AQ314" s="143"/>
      <c r="AR314" s="143"/>
      <c r="AS314" s="143"/>
      <c r="AT314" s="146"/>
      <c r="AU314" s="224">
        <f t="shared" si="132"/>
        <v>0</v>
      </c>
      <c r="AV314" s="126"/>
      <c r="AW314" s="274"/>
      <c r="AX314" s="433"/>
      <c r="AY314" s="1133"/>
      <c r="AZ314" s="433"/>
      <c r="BA314" s="275"/>
      <c r="BB314" s="126"/>
      <c r="BC314" s="274"/>
      <c r="BD314" s="274"/>
      <c r="BE314" s="274"/>
      <c r="BF314" s="127"/>
      <c r="BG314" s="308">
        <f t="shared" si="133"/>
        <v>0</v>
      </c>
      <c r="BH314" s="457">
        <f t="shared" si="134"/>
        <v>0</v>
      </c>
      <c r="BI314" s="132"/>
      <c r="BJ314" s="140">
        <f t="shared" si="135"/>
        <v>0</v>
      </c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41"/>
      <c r="BX314" s="130">
        <f t="shared" si="136"/>
        <v>0</v>
      </c>
      <c r="BY314" s="132"/>
    </row>
    <row r="315" ht="14.25" customHeight="1">
      <c r="A315" s="132"/>
      <c r="B315" s="215">
        <v>46303</v>
      </c>
      <c r="C315" s="133"/>
      <c r="D315" s="136"/>
      <c r="E315" s="135"/>
      <c r="F315" s="135"/>
      <c r="G315" s="147">
        <f t="shared" si="128"/>
        <v>0</v>
      </c>
      <c r="H315" s="1138"/>
      <c r="I315" s="768"/>
      <c r="J315" s="611"/>
      <c r="K315" s="611"/>
      <c r="L315" s="611"/>
      <c r="M315" s="611"/>
      <c r="N315" s="611"/>
      <c r="O315" s="611"/>
      <c r="P315" s="611"/>
      <c r="Q315" s="768"/>
      <c r="R315" s="768"/>
      <c r="S315" s="143"/>
      <c r="T315" s="143"/>
      <c r="U315" s="143"/>
      <c r="V315" s="143"/>
      <c r="W315" s="143"/>
      <c r="X315" s="1248">
        <f t="shared" si="129"/>
        <v>0</v>
      </c>
      <c r="Y315" s="611"/>
      <c r="Z315" s="611"/>
      <c r="AA315" s="143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03">
        <f t="shared" si="130"/>
        <v>0</v>
      </c>
      <c r="AM315" s="136"/>
      <c r="AN315" s="136"/>
      <c r="AO315" s="136"/>
      <c r="AP315" s="105">
        <f t="shared" si="131"/>
        <v>0</v>
      </c>
      <c r="AQ315" s="143"/>
      <c r="AR315" s="143"/>
      <c r="AS315" s="143"/>
      <c r="AT315" s="146"/>
      <c r="AU315" s="224">
        <f t="shared" si="132"/>
        <v>0</v>
      </c>
      <c r="AV315" s="126"/>
      <c r="AW315" s="274"/>
      <c r="AX315" s="433"/>
      <c r="AY315" s="1133"/>
      <c r="AZ315" s="433"/>
      <c r="BA315" s="275"/>
      <c r="BB315" s="126"/>
      <c r="BC315" s="274"/>
      <c r="BD315" s="274"/>
      <c r="BE315" s="274"/>
      <c r="BF315" s="127"/>
      <c r="BG315" s="308">
        <f t="shared" si="133"/>
        <v>0</v>
      </c>
      <c r="BH315" s="457">
        <f t="shared" si="134"/>
        <v>0</v>
      </c>
      <c r="BI315" s="132"/>
      <c r="BJ315" s="140">
        <f t="shared" si="135"/>
        <v>0</v>
      </c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30">
        <f t="shared" si="136"/>
        <v>0</v>
      </c>
      <c r="BY315" s="132"/>
    </row>
    <row r="316" ht="14.25" customHeight="1">
      <c r="A316" s="132"/>
      <c r="B316" s="215">
        <v>46304</v>
      </c>
      <c r="C316" s="133"/>
      <c r="D316" s="136"/>
      <c r="E316" s="135"/>
      <c r="F316" s="135"/>
      <c r="G316" s="147">
        <f t="shared" si="128"/>
        <v>0</v>
      </c>
      <c r="H316" s="768"/>
      <c r="I316" s="768"/>
      <c r="J316" s="611"/>
      <c r="K316" s="611"/>
      <c r="L316" s="611"/>
      <c r="M316" s="611"/>
      <c r="N316" s="611"/>
      <c r="O316" s="611"/>
      <c r="P316" s="611"/>
      <c r="Q316" s="611"/>
      <c r="R316" s="611"/>
      <c r="S316" s="143"/>
      <c r="T316" s="143"/>
      <c r="U316" s="143"/>
      <c r="V316" s="143"/>
      <c r="W316" s="143"/>
      <c r="X316" s="1248">
        <f t="shared" si="129"/>
        <v>0</v>
      </c>
      <c r="Y316" s="611"/>
      <c r="Z316" s="611"/>
      <c r="AA316" s="143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03">
        <f t="shared" si="130"/>
        <v>0</v>
      </c>
      <c r="AM316" s="136"/>
      <c r="AN316" s="136"/>
      <c r="AO316" s="136"/>
      <c r="AP316" s="105">
        <f t="shared" si="131"/>
        <v>0</v>
      </c>
      <c r="AQ316" s="143"/>
      <c r="AR316" s="143"/>
      <c r="AS316" s="143"/>
      <c r="AT316" s="146"/>
      <c r="AU316" s="224">
        <f t="shared" si="132"/>
        <v>0</v>
      </c>
      <c r="AV316" s="126"/>
      <c r="AW316" s="274"/>
      <c r="AX316" s="433"/>
      <c r="AY316" s="1133"/>
      <c r="AZ316" s="433"/>
      <c r="BA316" s="275"/>
      <c r="BB316" s="126"/>
      <c r="BC316" s="274"/>
      <c r="BD316" s="274"/>
      <c r="BE316" s="274"/>
      <c r="BF316" s="127"/>
      <c r="BG316" s="308">
        <f t="shared" si="133"/>
        <v>0</v>
      </c>
      <c r="BH316" s="457">
        <f t="shared" si="134"/>
        <v>0</v>
      </c>
      <c r="BI316" s="132"/>
      <c r="BJ316" s="140">
        <f t="shared" si="135"/>
        <v>0</v>
      </c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30">
        <f t="shared" si="136"/>
        <v>0</v>
      </c>
      <c r="BY316" s="132"/>
    </row>
    <row r="317" ht="14.25" customHeight="1">
      <c r="A317" s="132"/>
      <c r="B317" s="215">
        <v>46305</v>
      </c>
      <c r="C317" s="133"/>
      <c r="D317" s="136"/>
      <c r="E317" s="135"/>
      <c r="F317" s="135"/>
      <c r="G317" s="147">
        <f t="shared" si="128"/>
        <v>0</v>
      </c>
      <c r="H317" s="768"/>
      <c r="I317" s="768"/>
      <c r="J317" s="611"/>
      <c r="K317" s="611"/>
      <c r="L317" s="611"/>
      <c r="M317" s="611"/>
      <c r="N317" s="611"/>
      <c r="O317" s="611"/>
      <c r="P317" s="611"/>
      <c r="Q317" s="611"/>
      <c r="R317" s="611"/>
      <c r="S317" s="143"/>
      <c r="T317" s="143"/>
      <c r="U317" s="143"/>
      <c r="V317" s="143"/>
      <c r="W317" s="143"/>
      <c r="X317" s="1248">
        <f t="shared" si="129"/>
        <v>0</v>
      </c>
      <c r="Y317" s="611"/>
      <c r="Z317" s="611"/>
      <c r="AA317" s="143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03">
        <f t="shared" si="130"/>
        <v>0</v>
      </c>
      <c r="AM317" s="136"/>
      <c r="AN317" s="136"/>
      <c r="AO317" s="136"/>
      <c r="AP317" s="105">
        <f t="shared" si="131"/>
        <v>0</v>
      </c>
      <c r="AQ317" s="143"/>
      <c r="AR317" s="143"/>
      <c r="AS317" s="143"/>
      <c r="AT317" s="146"/>
      <c r="AU317" s="224">
        <f t="shared" si="132"/>
        <v>0</v>
      </c>
      <c r="AV317" s="126"/>
      <c r="AW317" s="274"/>
      <c r="AX317" s="433"/>
      <c r="AY317" s="1133"/>
      <c r="AZ317" s="433"/>
      <c r="BA317" s="275"/>
      <c r="BB317" s="126"/>
      <c r="BC317" s="274"/>
      <c r="BD317" s="274"/>
      <c r="BE317" s="274"/>
      <c r="BF317" s="127"/>
      <c r="BG317" s="308">
        <f t="shared" si="133"/>
        <v>0</v>
      </c>
      <c r="BH317" s="457">
        <f t="shared" si="134"/>
        <v>0</v>
      </c>
      <c r="BI317" s="132"/>
      <c r="BJ317" s="140">
        <f t="shared" si="135"/>
        <v>0</v>
      </c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30">
        <f t="shared" si="136"/>
        <v>0</v>
      </c>
      <c r="BY317" s="132"/>
    </row>
    <row r="318" ht="14.25" customHeight="1">
      <c r="A318" s="132"/>
      <c r="B318" s="215">
        <v>46306</v>
      </c>
      <c r="C318" s="133"/>
      <c r="D318" s="136"/>
      <c r="E318" s="135"/>
      <c r="F318" s="135"/>
      <c r="G318" s="147">
        <f t="shared" si="128"/>
        <v>0</v>
      </c>
      <c r="H318" s="768"/>
      <c r="I318" s="768"/>
      <c r="J318" s="611"/>
      <c r="K318" s="611"/>
      <c r="L318" s="611"/>
      <c r="M318" s="611"/>
      <c r="N318" s="611"/>
      <c r="O318" s="611"/>
      <c r="P318" s="611"/>
      <c r="Q318" s="611"/>
      <c r="R318" s="611"/>
      <c r="S318" s="143"/>
      <c r="T318" s="143"/>
      <c r="U318" s="143"/>
      <c r="V318" s="143"/>
      <c r="W318" s="143"/>
      <c r="X318" s="1248">
        <f t="shared" si="129"/>
        <v>0</v>
      </c>
      <c r="Y318" s="611"/>
      <c r="Z318" s="611"/>
      <c r="AA318" s="143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03">
        <f t="shared" si="130"/>
        <v>0</v>
      </c>
      <c r="AM318" s="136"/>
      <c r="AN318" s="136"/>
      <c r="AO318" s="136"/>
      <c r="AP318" s="105">
        <f t="shared" si="131"/>
        <v>0</v>
      </c>
      <c r="AQ318" s="143"/>
      <c r="AR318" s="143"/>
      <c r="AS318" s="143"/>
      <c r="AT318" s="146"/>
      <c r="AU318" s="224">
        <f t="shared" si="132"/>
        <v>0</v>
      </c>
      <c r="AV318" s="126"/>
      <c r="AW318" s="274"/>
      <c r="AX318" s="433"/>
      <c r="AY318" s="1133"/>
      <c r="AZ318" s="433"/>
      <c r="BA318" s="275"/>
      <c r="BB318" s="126"/>
      <c r="BC318" s="274"/>
      <c r="BD318" s="274"/>
      <c r="BE318" s="274"/>
      <c r="BF318" s="127"/>
      <c r="BG318" s="308">
        <f t="shared" si="133"/>
        <v>0</v>
      </c>
      <c r="BH318" s="457">
        <f t="shared" si="134"/>
        <v>0</v>
      </c>
      <c r="BI318" s="132"/>
      <c r="BJ318" s="140">
        <f t="shared" si="135"/>
        <v>0</v>
      </c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30">
        <f t="shared" si="136"/>
        <v>0</v>
      </c>
      <c r="BY318" s="132"/>
    </row>
    <row r="319" ht="14.25" customHeight="1">
      <c r="A319" s="132"/>
      <c r="B319" s="215">
        <v>46307</v>
      </c>
      <c r="C319" s="133"/>
      <c r="D319" s="136"/>
      <c r="E319" s="135"/>
      <c r="F319" s="135"/>
      <c r="G319" s="147">
        <f t="shared" si="128"/>
        <v>0</v>
      </c>
      <c r="H319" s="768"/>
      <c r="I319" s="768"/>
      <c r="J319" s="611"/>
      <c r="K319" s="611"/>
      <c r="L319" s="611"/>
      <c r="M319" s="611"/>
      <c r="N319" s="611"/>
      <c r="O319" s="611"/>
      <c r="P319" s="611"/>
      <c r="Q319" s="611"/>
      <c r="R319" s="611"/>
      <c r="S319" s="143"/>
      <c r="T319" s="143"/>
      <c r="U319" s="143"/>
      <c r="V319" s="143"/>
      <c r="W319" s="143"/>
      <c r="X319" s="1248">
        <f t="shared" si="129"/>
        <v>0</v>
      </c>
      <c r="Y319" s="611"/>
      <c r="Z319" s="611"/>
      <c r="AA319" s="143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03">
        <f t="shared" si="130"/>
        <v>0</v>
      </c>
      <c r="AM319" s="136"/>
      <c r="AN319" s="136"/>
      <c r="AO319" s="136"/>
      <c r="AP319" s="105">
        <f t="shared" si="131"/>
        <v>0</v>
      </c>
      <c r="AQ319" s="143"/>
      <c r="AR319" s="143"/>
      <c r="AS319" s="143"/>
      <c r="AT319" s="146"/>
      <c r="AU319" s="224">
        <f t="shared" si="132"/>
        <v>0</v>
      </c>
      <c r="AV319" s="126"/>
      <c r="AW319" s="274"/>
      <c r="AX319" s="433"/>
      <c r="AY319" s="1133"/>
      <c r="AZ319" s="433"/>
      <c r="BA319" s="275"/>
      <c r="BB319" s="126"/>
      <c r="BC319" s="274"/>
      <c r="BD319" s="274"/>
      <c r="BE319" s="274"/>
      <c r="BF319" s="127"/>
      <c r="BG319" s="308">
        <f t="shared" si="133"/>
        <v>0</v>
      </c>
      <c r="BH319" s="457">
        <f t="shared" si="134"/>
        <v>0</v>
      </c>
      <c r="BI319" s="132"/>
      <c r="BJ319" s="140">
        <f t="shared" si="135"/>
        <v>0</v>
      </c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30">
        <f t="shared" si="136"/>
        <v>0</v>
      </c>
      <c r="BY319" s="132"/>
    </row>
    <row r="320" ht="14.25" customHeight="1">
      <c r="A320" s="132"/>
      <c r="B320" s="215">
        <v>46308</v>
      </c>
      <c r="C320" s="133"/>
      <c r="D320" s="136"/>
      <c r="E320" s="135"/>
      <c r="F320" s="135"/>
      <c r="G320" s="147">
        <f t="shared" si="128"/>
        <v>0</v>
      </c>
      <c r="H320" s="768"/>
      <c r="I320" s="768"/>
      <c r="J320" s="611"/>
      <c r="K320" s="611"/>
      <c r="L320" s="611"/>
      <c r="M320" s="611"/>
      <c r="N320" s="611"/>
      <c r="O320" s="611"/>
      <c r="P320" s="611"/>
      <c r="Q320" s="611"/>
      <c r="R320" s="611"/>
      <c r="S320" s="143"/>
      <c r="T320" s="143"/>
      <c r="U320" s="143"/>
      <c r="V320" s="143"/>
      <c r="W320" s="143"/>
      <c r="X320" s="1248">
        <f t="shared" si="129"/>
        <v>0</v>
      </c>
      <c r="Y320" s="611"/>
      <c r="Z320" s="611"/>
      <c r="AA320" s="143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03">
        <f t="shared" si="130"/>
        <v>0</v>
      </c>
      <c r="AM320" s="136"/>
      <c r="AN320" s="136"/>
      <c r="AO320" s="136"/>
      <c r="AP320" s="105">
        <f t="shared" si="131"/>
        <v>0</v>
      </c>
      <c r="AQ320" s="143"/>
      <c r="AR320" s="143"/>
      <c r="AS320" s="143"/>
      <c r="AT320" s="146"/>
      <c r="AU320" s="224">
        <f t="shared" si="132"/>
        <v>0</v>
      </c>
      <c r="AV320" s="126"/>
      <c r="AW320" s="274"/>
      <c r="AX320" s="433"/>
      <c r="AY320" s="1133"/>
      <c r="AZ320" s="433"/>
      <c r="BA320" s="275"/>
      <c r="BB320" s="126"/>
      <c r="BC320" s="274"/>
      <c r="BD320" s="274"/>
      <c r="BE320" s="274"/>
      <c r="BF320" s="127"/>
      <c r="BG320" s="308">
        <f t="shared" si="133"/>
        <v>0</v>
      </c>
      <c r="BH320" s="457">
        <f t="shared" si="134"/>
        <v>0</v>
      </c>
      <c r="BI320" s="132"/>
      <c r="BJ320" s="140">
        <f t="shared" si="135"/>
        <v>0</v>
      </c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30">
        <f t="shared" si="136"/>
        <v>0</v>
      </c>
      <c r="BY320" s="132"/>
    </row>
    <row r="321" ht="14.25" customHeight="1">
      <c r="A321" s="132"/>
      <c r="B321" s="215">
        <v>46309</v>
      </c>
      <c r="C321" s="133"/>
      <c r="D321" s="136"/>
      <c r="E321" s="135"/>
      <c r="F321" s="135"/>
      <c r="G321" s="147">
        <f t="shared" si="128"/>
        <v>0</v>
      </c>
      <c r="H321" s="768"/>
      <c r="I321" s="768"/>
      <c r="J321" s="611"/>
      <c r="K321" s="611"/>
      <c r="L321" s="611"/>
      <c r="M321" s="611"/>
      <c r="N321" s="611"/>
      <c r="O321" s="611"/>
      <c r="P321" s="611"/>
      <c r="Q321" s="611"/>
      <c r="R321" s="611"/>
      <c r="S321" s="143"/>
      <c r="T321" s="143"/>
      <c r="U321" s="143"/>
      <c r="V321" s="143"/>
      <c r="W321" s="143"/>
      <c r="X321" s="1248">
        <f t="shared" si="129"/>
        <v>0</v>
      </c>
      <c r="Y321" s="611"/>
      <c r="Z321" s="611"/>
      <c r="AA321" s="143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03">
        <f t="shared" si="130"/>
        <v>0</v>
      </c>
      <c r="AM321" s="136"/>
      <c r="AN321" s="136"/>
      <c r="AO321" s="136"/>
      <c r="AP321" s="105">
        <f t="shared" si="131"/>
        <v>0</v>
      </c>
      <c r="AQ321" s="143"/>
      <c r="AR321" s="143"/>
      <c r="AS321" s="143"/>
      <c r="AT321" s="146"/>
      <c r="AU321" s="224">
        <f t="shared" si="132"/>
        <v>0</v>
      </c>
      <c r="AV321" s="126"/>
      <c r="AW321" s="274"/>
      <c r="AX321" s="433"/>
      <c r="AY321" s="1133"/>
      <c r="AZ321" s="433"/>
      <c r="BA321" s="275"/>
      <c r="BB321" s="126"/>
      <c r="BC321" s="274"/>
      <c r="BD321" s="274"/>
      <c r="BE321" s="274"/>
      <c r="BF321" s="127"/>
      <c r="BG321" s="308">
        <f t="shared" si="133"/>
        <v>0</v>
      </c>
      <c r="BH321" s="457">
        <f t="shared" si="134"/>
        <v>0</v>
      </c>
      <c r="BI321" s="132"/>
      <c r="BJ321" s="140">
        <f t="shared" si="135"/>
        <v>0</v>
      </c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30">
        <f t="shared" si="136"/>
        <v>0</v>
      </c>
      <c r="BY321" s="132"/>
    </row>
    <row r="322" ht="14.25" customHeight="1">
      <c r="A322" s="132"/>
      <c r="B322" s="215">
        <v>46310</v>
      </c>
      <c r="C322" s="133"/>
      <c r="D322" s="136"/>
      <c r="E322" s="135"/>
      <c r="F322" s="135"/>
      <c r="G322" s="147">
        <f t="shared" si="128"/>
        <v>0</v>
      </c>
      <c r="H322" s="768"/>
      <c r="I322" s="768"/>
      <c r="J322" s="611"/>
      <c r="K322" s="611"/>
      <c r="L322" s="611"/>
      <c r="M322" s="611"/>
      <c r="N322" s="611"/>
      <c r="O322" s="611"/>
      <c r="P322" s="611"/>
      <c r="Q322" s="611"/>
      <c r="R322" s="611"/>
      <c r="S322" s="143"/>
      <c r="T322" s="143"/>
      <c r="U322" s="143"/>
      <c r="V322" s="143"/>
      <c r="W322" s="143"/>
      <c r="X322" s="1248">
        <f t="shared" si="129"/>
        <v>0</v>
      </c>
      <c r="Y322" s="611"/>
      <c r="Z322" s="611"/>
      <c r="AA322" s="143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03">
        <f t="shared" si="130"/>
        <v>0</v>
      </c>
      <c r="AM322" s="136"/>
      <c r="AN322" s="136"/>
      <c r="AO322" s="136"/>
      <c r="AP322" s="105">
        <f t="shared" si="131"/>
        <v>0</v>
      </c>
      <c r="AQ322" s="143"/>
      <c r="AR322" s="143"/>
      <c r="AS322" s="143"/>
      <c r="AT322" s="146"/>
      <c r="AU322" s="224">
        <f t="shared" si="132"/>
        <v>0</v>
      </c>
      <c r="AV322" s="126"/>
      <c r="AW322" s="274"/>
      <c r="AX322" s="433"/>
      <c r="AY322" s="1133"/>
      <c r="AZ322" s="433"/>
      <c r="BA322" s="275"/>
      <c r="BB322" s="126"/>
      <c r="BC322" s="274"/>
      <c r="BD322" s="274"/>
      <c r="BE322" s="274"/>
      <c r="BF322" s="127"/>
      <c r="BG322" s="308">
        <f t="shared" si="133"/>
        <v>0</v>
      </c>
      <c r="BH322" s="457">
        <f t="shared" si="134"/>
        <v>0</v>
      </c>
      <c r="BI322" s="132"/>
      <c r="BJ322" s="140">
        <f t="shared" si="135"/>
        <v>0</v>
      </c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30">
        <f t="shared" si="136"/>
        <v>0</v>
      </c>
      <c r="BY322" s="132"/>
    </row>
    <row r="323" ht="14.25" customHeight="1">
      <c r="A323" s="132"/>
      <c r="B323" s="215">
        <v>46311</v>
      </c>
      <c r="C323" s="133"/>
      <c r="D323" s="136"/>
      <c r="E323" s="135"/>
      <c r="F323" s="135"/>
      <c r="G323" s="147">
        <f t="shared" si="128"/>
        <v>0</v>
      </c>
      <c r="H323" s="768"/>
      <c r="I323" s="768"/>
      <c r="J323" s="611"/>
      <c r="K323" s="611"/>
      <c r="L323" s="611"/>
      <c r="M323" s="611"/>
      <c r="N323" s="611"/>
      <c r="O323" s="611"/>
      <c r="P323" s="611"/>
      <c r="Q323" s="611"/>
      <c r="R323" s="611"/>
      <c r="S323" s="143"/>
      <c r="T323" s="143"/>
      <c r="U323" s="143"/>
      <c r="V323" s="143"/>
      <c r="W323" s="143"/>
      <c r="X323" s="1248">
        <f t="shared" si="129"/>
        <v>0</v>
      </c>
      <c r="Y323" s="611"/>
      <c r="Z323" s="611"/>
      <c r="AA323" s="143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03">
        <f t="shared" si="130"/>
        <v>0</v>
      </c>
      <c r="AM323" s="136"/>
      <c r="AN323" s="136"/>
      <c r="AO323" s="136"/>
      <c r="AP323" s="105">
        <f t="shared" si="131"/>
        <v>0</v>
      </c>
      <c r="AQ323" s="143"/>
      <c r="AR323" s="143"/>
      <c r="AS323" s="143"/>
      <c r="AT323" s="146"/>
      <c r="AU323" s="224">
        <f t="shared" si="132"/>
        <v>0</v>
      </c>
      <c r="AV323" s="126"/>
      <c r="AW323" s="274"/>
      <c r="AX323" s="433"/>
      <c r="AY323" s="1133"/>
      <c r="AZ323" s="433"/>
      <c r="BA323" s="275"/>
      <c r="BB323" s="126"/>
      <c r="BC323" s="274"/>
      <c r="BD323" s="274"/>
      <c r="BE323" s="274"/>
      <c r="BF323" s="127"/>
      <c r="BG323" s="308">
        <f t="shared" si="133"/>
        <v>0</v>
      </c>
      <c r="BH323" s="457">
        <f t="shared" si="134"/>
        <v>0</v>
      </c>
      <c r="BI323" s="132"/>
      <c r="BJ323" s="140">
        <f t="shared" si="135"/>
        <v>0</v>
      </c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30">
        <f t="shared" si="136"/>
        <v>0</v>
      </c>
      <c r="BY323" s="132"/>
    </row>
    <row r="324" ht="14.25" customHeight="1">
      <c r="A324" s="132"/>
      <c r="B324" s="215">
        <v>46312</v>
      </c>
      <c r="C324" s="133"/>
      <c r="D324" s="136"/>
      <c r="E324" s="135"/>
      <c r="F324" s="135"/>
      <c r="G324" s="147">
        <f t="shared" si="128"/>
        <v>0</v>
      </c>
      <c r="H324" s="768"/>
      <c r="I324" s="768"/>
      <c r="J324" s="611"/>
      <c r="K324" s="611"/>
      <c r="L324" s="611"/>
      <c r="M324" s="611"/>
      <c r="N324" s="611"/>
      <c r="O324" s="611"/>
      <c r="P324" s="611"/>
      <c r="Q324" s="611"/>
      <c r="R324" s="611"/>
      <c r="S324" s="143"/>
      <c r="T324" s="143"/>
      <c r="U324" s="143"/>
      <c r="V324" s="143"/>
      <c r="W324" s="143"/>
      <c r="X324" s="1248">
        <f t="shared" si="129"/>
        <v>0</v>
      </c>
      <c r="Y324" s="611"/>
      <c r="Z324" s="611"/>
      <c r="AA324" s="143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03">
        <f t="shared" si="130"/>
        <v>0</v>
      </c>
      <c r="AM324" s="136"/>
      <c r="AN324" s="136"/>
      <c r="AO324" s="136"/>
      <c r="AP324" s="105">
        <f t="shared" si="131"/>
        <v>0</v>
      </c>
      <c r="AQ324" s="143"/>
      <c r="AR324" s="143"/>
      <c r="AS324" s="143"/>
      <c r="AT324" s="146"/>
      <c r="AU324" s="224">
        <f t="shared" si="132"/>
        <v>0</v>
      </c>
      <c r="AV324" s="126"/>
      <c r="AW324" s="274"/>
      <c r="AX324" s="433"/>
      <c r="AY324" s="1133"/>
      <c r="AZ324" s="433"/>
      <c r="BA324" s="275"/>
      <c r="BB324" s="126"/>
      <c r="BC324" s="274"/>
      <c r="BD324" s="274"/>
      <c r="BE324" s="274"/>
      <c r="BF324" s="127"/>
      <c r="BG324" s="308">
        <f t="shared" si="133"/>
        <v>0</v>
      </c>
      <c r="BH324" s="457">
        <f t="shared" si="134"/>
        <v>0</v>
      </c>
      <c r="BI324" s="132"/>
      <c r="BJ324" s="140">
        <f t="shared" si="135"/>
        <v>0</v>
      </c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30">
        <f t="shared" si="136"/>
        <v>0</v>
      </c>
      <c r="BY324" s="132"/>
    </row>
    <row r="325" ht="14.25" customHeight="1">
      <c r="A325" s="132"/>
      <c r="B325" s="215">
        <v>46313</v>
      </c>
      <c r="C325" s="133"/>
      <c r="D325" s="136"/>
      <c r="E325" s="135"/>
      <c r="F325" s="135"/>
      <c r="G325" s="147">
        <f t="shared" si="128"/>
        <v>0</v>
      </c>
      <c r="H325" s="768"/>
      <c r="I325" s="768"/>
      <c r="J325" s="611"/>
      <c r="K325" s="611"/>
      <c r="L325" s="611"/>
      <c r="M325" s="611"/>
      <c r="N325" s="611"/>
      <c r="O325" s="611"/>
      <c r="P325" s="611"/>
      <c r="Q325" s="611"/>
      <c r="R325" s="611"/>
      <c r="S325" s="143"/>
      <c r="T325" s="143"/>
      <c r="U325" s="143"/>
      <c r="V325" s="143"/>
      <c r="W325" s="143"/>
      <c r="X325" s="1248">
        <f t="shared" si="129"/>
        <v>0</v>
      </c>
      <c r="Y325" s="611"/>
      <c r="Z325" s="611"/>
      <c r="AA325" s="143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03">
        <f t="shared" si="130"/>
        <v>0</v>
      </c>
      <c r="AM325" s="136"/>
      <c r="AN325" s="136"/>
      <c r="AO325" s="136"/>
      <c r="AP325" s="105">
        <f t="shared" si="131"/>
        <v>0</v>
      </c>
      <c r="AQ325" s="143"/>
      <c r="AR325" s="143"/>
      <c r="AS325" s="143"/>
      <c r="AT325" s="146"/>
      <c r="AU325" s="224">
        <f t="shared" si="132"/>
        <v>0</v>
      </c>
      <c r="AV325" s="126"/>
      <c r="AW325" s="274"/>
      <c r="AX325" s="433"/>
      <c r="AY325" s="1133"/>
      <c r="AZ325" s="433"/>
      <c r="BA325" s="275"/>
      <c r="BB325" s="126"/>
      <c r="BC325" s="274"/>
      <c r="BD325" s="274"/>
      <c r="BE325" s="274"/>
      <c r="BF325" s="127"/>
      <c r="BG325" s="308">
        <f t="shared" si="133"/>
        <v>0</v>
      </c>
      <c r="BH325" s="457">
        <f t="shared" si="134"/>
        <v>0</v>
      </c>
      <c r="BI325" s="132"/>
      <c r="BJ325" s="140">
        <f t="shared" si="135"/>
        <v>0</v>
      </c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30">
        <f t="shared" si="136"/>
        <v>0</v>
      </c>
      <c r="BY325" s="132"/>
    </row>
    <row r="326" ht="14.25" customHeight="1">
      <c r="A326" s="132"/>
      <c r="B326" s="215">
        <v>46314</v>
      </c>
      <c r="C326" s="133"/>
      <c r="D326" s="136"/>
      <c r="E326" s="135"/>
      <c r="F326" s="135"/>
      <c r="G326" s="147">
        <f t="shared" si="128"/>
        <v>0</v>
      </c>
      <c r="H326" s="768"/>
      <c r="I326" s="768"/>
      <c r="J326" s="611"/>
      <c r="K326" s="611"/>
      <c r="L326" s="611"/>
      <c r="M326" s="611"/>
      <c r="N326" s="611"/>
      <c r="O326" s="611"/>
      <c r="P326" s="611"/>
      <c r="Q326" s="611"/>
      <c r="R326" s="611"/>
      <c r="S326" s="143"/>
      <c r="T326" s="143"/>
      <c r="U326" s="143"/>
      <c r="V326" s="143"/>
      <c r="W326" s="143"/>
      <c r="X326" s="1248">
        <f t="shared" si="129"/>
        <v>0</v>
      </c>
      <c r="Y326" s="611"/>
      <c r="Z326" s="611"/>
      <c r="AA326" s="143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03">
        <f t="shared" si="130"/>
        <v>0</v>
      </c>
      <c r="AM326" s="136"/>
      <c r="AN326" s="136"/>
      <c r="AO326" s="136"/>
      <c r="AP326" s="105">
        <f t="shared" si="131"/>
        <v>0</v>
      </c>
      <c r="AQ326" s="143"/>
      <c r="AR326" s="143"/>
      <c r="AS326" s="143"/>
      <c r="AT326" s="146"/>
      <c r="AU326" s="224">
        <f t="shared" si="132"/>
        <v>0</v>
      </c>
      <c r="AV326" s="126"/>
      <c r="AW326" s="274"/>
      <c r="AX326" s="433"/>
      <c r="AY326" s="1133"/>
      <c r="AZ326" s="433"/>
      <c r="BA326" s="275"/>
      <c r="BB326" s="126"/>
      <c r="BC326" s="274"/>
      <c r="BD326" s="274"/>
      <c r="BE326" s="274"/>
      <c r="BF326" s="127"/>
      <c r="BG326" s="308">
        <f t="shared" si="133"/>
        <v>0</v>
      </c>
      <c r="BH326" s="457">
        <f t="shared" si="134"/>
        <v>0</v>
      </c>
      <c r="BI326" s="132"/>
      <c r="BJ326" s="140">
        <f t="shared" si="135"/>
        <v>0</v>
      </c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30">
        <f t="shared" si="136"/>
        <v>0</v>
      </c>
      <c r="BY326" s="132"/>
    </row>
    <row r="327" ht="14.25" customHeight="1">
      <c r="A327" s="132"/>
      <c r="B327" s="215">
        <v>46315</v>
      </c>
      <c r="C327" s="133"/>
      <c r="D327" s="136"/>
      <c r="E327" s="135"/>
      <c r="F327" s="135"/>
      <c r="G327" s="147">
        <f t="shared" si="128"/>
        <v>0</v>
      </c>
      <c r="H327" s="768"/>
      <c r="I327" s="768"/>
      <c r="J327" s="611"/>
      <c r="K327" s="611"/>
      <c r="L327" s="611"/>
      <c r="M327" s="611"/>
      <c r="N327" s="611"/>
      <c r="O327" s="611"/>
      <c r="P327" s="611"/>
      <c r="Q327" s="611"/>
      <c r="R327" s="611"/>
      <c r="S327" s="143"/>
      <c r="T327" s="143"/>
      <c r="U327" s="143"/>
      <c r="V327" s="143"/>
      <c r="W327" s="143"/>
      <c r="X327" s="1248">
        <f t="shared" si="129"/>
        <v>0</v>
      </c>
      <c r="Y327" s="611"/>
      <c r="Z327" s="611"/>
      <c r="AA327" s="143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03">
        <f t="shared" si="130"/>
        <v>0</v>
      </c>
      <c r="AM327" s="136"/>
      <c r="AN327" s="136"/>
      <c r="AO327" s="136"/>
      <c r="AP327" s="105">
        <f t="shared" si="131"/>
        <v>0</v>
      </c>
      <c r="AQ327" s="143"/>
      <c r="AR327" s="143"/>
      <c r="AS327" s="143"/>
      <c r="AT327" s="146"/>
      <c r="AU327" s="224">
        <f t="shared" si="132"/>
        <v>0</v>
      </c>
      <c r="AV327" s="126"/>
      <c r="AW327" s="274"/>
      <c r="AX327" s="433"/>
      <c r="AY327" s="1133"/>
      <c r="AZ327" s="433"/>
      <c r="BA327" s="275"/>
      <c r="BB327" s="126"/>
      <c r="BC327" s="274"/>
      <c r="BD327" s="274"/>
      <c r="BE327" s="274"/>
      <c r="BF327" s="127"/>
      <c r="BG327" s="308">
        <f t="shared" si="133"/>
        <v>0</v>
      </c>
      <c r="BH327" s="457">
        <f t="shared" si="134"/>
        <v>0</v>
      </c>
      <c r="BI327" s="132"/>
      <c r="BJ327" s="140">
        <f t="shared" si="135"/>
        <v>0</v>
      </c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30">
        <f t="shared" si="136"/>
        <v>0</v>
      </c>
      <c r="BY327" s="132"/>
    </row>
    <row r="328" ht="14.25" customHeight="1">
      <c r="A328" s="3"/>
      <c r="B328" s="215">
        <v>46316</v>
      </c>
      <c r="C328" s="118"/>
      <c r="D328" s="123"/>
      <c r="E328" s="120"/>
      <c r="F328" s="120"/>
      <c r="G328" s="147">
        <f t="shared" si="128"/>
        <v>0</v>
      </c>
      <c r="H328" s="611"/>
      <c r="I328" s="611"/>
      <c r="J328" s="611"/>
      <c r="K328" s="611"/>
      <c r="L328" s="611"/>
      <c r="M328" s="611"/>
      <c r="N328" s="611"/>
      <c r="O328" s="611"/>
      <c r="P328" s="611"/>
      <c r="Q328" s="611"/>
      <c r="R328" s="611"/>
      <c r="S328" s="143"/>
      <c r="T328" s="143"/>
      <c r="U328" s="143"/>
      <c r="V328" s="143"/>
      <c r="W328" s="143"/>
      <c r="X328" s="1248">
        <f t="shared" si="129"/>
        <v>0</v>
      </c>
      <c r="Y328" s="611"/>
      <c r="Z328" s="611"/>
      <c r="AA328" s="143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03">
        <f t="shared" si="130"/>
        <v>0</v>
      </c>
      <c r="AM328" s="123"/>
      <c r="AN328" s="123"/>
      <c r="AO328" s="123"/>
      <c r="AP328" s="105">
        <f t="shared" si="131"/>
        <v>0</v>
      </c>
      <c r="AQ328" s="143"/>
      <c r="AR328" s="143"/>
      <c r="AS328" s="143"/>
      <c r="AT328" s="146"/>
      <c r="AU328" s="224">
        <f t="shared" si="132"/>
        <v>0</v>
      </c>
      <c r="AV328" s="126"/>
      <c r="AW328" s="274"/>
      <c r="AX328" s="433"/>
      <c r="AY328" s="1133"/>
      <c r="AZ328" s="433"/>
      <c r="BA328" s="275"/>
      <c r="BB328" s="126"/>
      <c r="BC328" s="274"/>
      <c r="BD328" s="274"/>
      <c r="BE328" s="274"/>
      <c r="BF328" s="127"/>
      <c r="BG328" s="308">
        <f t="shared" si="133"/>
        <v>0</v>
      </c>
      <c r="BH328" s="871">
        <f t="shared" si="134"/>
        <v>0</v>
      </c>
      <c r="BI328" s="3"/>
      <c r="BJ328" s="113">
        <f t="shared" si="135"/>
        <v>0</v>
      </c>
      <c r="BK328" s="129"/>
      <c r="BL328" s="129"/>
      <c r="BM328" s="129"/>
      <c r="BN328" s="129"/>
      <c r="BO328" s="129"/>
      <c r="BP328" s="129"/>
      <c r="BQ328" s="129"/>
      <c r="BR328" s="129"/>
      <c r="BS328" s="129"/>
      <c r="BT328" s="129"/>
      <c r="BU328" s="129"/>
      <c r="BV328" s="141"/>
      <c r="BW328" s="129"/>
      <c r="BX328" s="130">
        <f t="shared" si="136"/>
        <v>0</v>
      </c>
      <c r="BY328" s="3"/>
    </row>
    <row r="329" ht="14.25" customHeight="1">
      <c r="A329" s="132"/>
      <c r="B329" s="215">
        <v>46317</v>
      </c>
      <c r="C329" s="133"/>
      <c r="D329" s="136"/>
      <c r="E329" s="135"/>
      <c r="F329" s="135"/>
      <c r="G329" s="147">
        <f t="shared" si="128"/>
        <v>0</v>
      </c>
      <c r="H329" s="768"/>
      <c r="I329" s="768"/>
      <c r="J329" s="611"/>
      <c r="K329" s="611"/>
      <c r="L329" s="611"/>
      <c r="M329" s="611"/>
      <c r="N329" s="611"/>
      <c r="O329" s="611"/>
      <c r="P329" s="611"/>
      <c r="Q329" s="611"/>
      <c r="R329" s="611"/>
      <c r="S329" s="143"/>
      <c r="T329" s="143"/>
      <c r="U329" s="143"/>
      <c r="V329" s="143"/>
      <c r="W329" s="143"/>
      <c r="X329" s="1248">
        <f t="shared" si="129"/>
        <v>0</v>
      </c>
      <c r="Y329" s="611"/>
      <c r="Z329" s="611"/>
      <c r="AA329" s="143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03">
        <f t="shared" si="130"/>
        <v>0</v>
      </c>
      <c r="AM329" s="136"/>
      <c r="AN329" s="136"/>
      <c r="AO329" s="136"/>
      <c r="AP329" s="105">
        <f t="shared" si="131"/>
        <v>0</v>
      </c>
      <c r="AQ329" s="143"/>
      <c r="AR329" s="143"/>
      <c r="AS329" s="143"/>
      <c r="AT329" s="146"/>
      <c r="AU329" s="224">
        <f t="shared" si="132"/>
        <v>0</v>
      </c>
      <c r="AV329" s="126"/>
      <c r="AW329" s="274"/>
      <c r="AX329" s="433"/>
      <c r="AY329" s="1133"/>
      <c r="AZ329" s="433"/>
      <c r="BA329" s="275"/>
      <c r="BB329" s="126"/>
      <c r="BC329" s="274"/>
      <c r="BD329" s="274"/>
      <c r="BE329" s="274"/>
      <c r="BF329" s="127"/>
      <c r="BG329" s="308">
        <f t="shared" si="133"/>
        <v>0</v>
      </c>
      <c r="BH329" s="457">
        <f t="shared" si="134"/>
        <v>0</v>
      </c>
      <c r="BI329" s="132"/>
      <c r="BJ329" s="140">
        <f t="shared" si="135"/>
        <v>0</v>
      </c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30">
        <f t="shared" si="136"/>
        <v>0</v>
      </c>
      <c r="BY329" s="132"/>
    </row>
    <row r="330" ht="14.25" customHeight="1">
      <c r="A330" s="132"/>
      <c r="B330" s="215">
        <v>46318</v>
      </c>
      <c r="C330" s="133"/>
      <c r="D330" s="136"/>
      <c r="E330" s="135"/>
      <c r="F330" s="135"/>
      <c r="G330" s="147">
        <f t="shared" si="128"/>
        <v>0</v>
      </c>
      <c r="H330" s="768"/>
      <c r="I330" s="768"/>
      <c r="J330" s="611"/>
      <c r="K330" s="611"/>
      <c r="L330" s="611"/>
      <c r="M330" s="611"/>
      <c r="N330" s="611"/>
      <c r="O330" s="611"/>
      <c r="P330" s="611"/>
      <c r="Q330" s="611"/>
      <c r="R330" s="611"/>
      <c r="S330" s="143"/>
      <c r="T330" s="143"/>
      <c r="U330" s="143"/>
      <c r="V330" s="143"/>
      <c r="W330" s="143"/>
      <c r="X330" s="1248">
        <f t="shared" si="129"/>
        <v>0</v>
      </c>
      <c r="Y330" s="611"/>
      <c r="Z330" s="611"/>
      <c r="AA330" s="143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03">
        <f t="shared" si="130"/>
        <v>0</v>
      </c>
      <c r="AM330" s="136"/>
      <c r="AN330" s="136"/>
      <c r="AO330" s="136"/>
      <c r="AP330" s="105">
        <f t="shared" si="131"/>
        <v>0</v>
      </c>
      <c r="AQ330" s="143"/>
      <c r="AR330" s="143"/>
      <c r="AS330" s="143"/>
      <c r="AT330" s="146"/>
      <c r="AU330" s="224">
        <f t="shared" si="132"/>
        <v>0</v>
      </c>
      <c r="AV330" s="126"/>
      <c r="AW330" s="274"/>
      <c r="AX330" s="433"/>
      <c r="AY330" s="1133"/>
      <c r="AZ330" s="433"/>
      <c r="BA330" s="275"/>
      <c r="BB330" s="126"/>
      <c r="BC330" s="274"/>
      <c r="BD330" s="274"/>
      <c r="BE330" s="274"/>
      <c r="BF330" s="127"/>
      <c r="BG330" s="308">
        <f t="shared" si="133"/>
        <v>0</v>
      </c>
      <c r="BH330" s="457">
        <f t="shared" si="134"/>
        <v>0</v>
      </c>
      <c r="BI330" s="132"/>
      <c r="BJ330" s="140">
        <f t="shared" si="135"/>
        <v>0</v>
      </c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30">
        <f t="shared" si="136"/>
        <v>0</v>
      </c>
      <c r="BY330" s="132"/>
    </row>
    <row r="331" ht="14.25" customHeight="1">
      <c r="A331" s="132"/>
      <c r="B331" s="215">
        <v>46319</v>
      </c>
      <c r="C331" s="133"/>
      <c r="D331" s="136"/>
      <c r="E331" s="135"/>
      <c r="F331" s="135"/>
      <c r="G331" s="147">
        <f t="shared" si="128"/>
        <v>0</v>
      </c>
      <c r="H331" s="768"/>
      <c r="I331" s="768"/>
      <c r="J331" s="611"/>
      <c r="K331" s="611"/>
      <c r="L331" s="611"/>
      <c r="M331" s="611"/>
      <c r="N331" s="611"/>
      <c r="O331" s="611"/>
      <c r="P331" s="611"/>
      <c r="Q331" s="611"/>
      <c r="R331" s="611"/>
      <c r="S331" s="143"/>
      <c r="T331" s="143"/>
      <c r="U331" s="143"/>
      <c r="V331" s="143"/>
      <c r="W331" s="143"/>
      <c r="X331" s="1248">
        <f t="shared" si="129"/>
        <v>0</v>
      </c>
      <c r="Y331" s="611"/>
      <c r="Z331" s="611"/>
      <c r="AA331" s="143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03">
        <f t="shared" si="130"/>
        <v>0</v>
      </c>
      <c r="AM331" s="136"/>
      <c r="AN331" s="136"/>
      <c r="AO331" s="136"/>
      <c r="AP331" s="105">
        <f t="shared" si="131"/>
        <v>0</v>
      </c>
      <c r="AQ331" s="143"/>
      <c r="AR331" s="143"/>
      <c r="AS331" s="143"/>
      <c r="AT331" s="146"/>
      <c r="AU331" s="224">
        <f t="shared" si="132"/>
        <v>0</v>
      </c>
      <c r="AV331" s="126"/>
      <c r="AW331" s="274"/>
      <c r="AX331" s="433"/>
      <c r="AY331" s="1133"/>
      <c r="AZ331" s="433"/>
      <c r="BA331" s="275"/>
      <c r="BB331" s="126"/>
      <c r="BC331" s="274"/>
      <c r="BD331" s="274"/>
      <c r="BE331" s="274"/>
      <c r="BF331" s="127"/>
      <c r="BG331" s="308">
        <f t="shared" si="133"/>
        <v>0</v>
      </c>
      <c r="BH331" s="457">
        <f t="shared" si="134"/>
        <v>0</v>
      </c>
      <c r="BI331" s="132"/>
      <c r="BJ331" s="140">
        <f t="shared" si="135"/>
        <v>0</v>
      </c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30">
        <f t="shared" si="136"/>
        <v>0</v>
      </c>
      <c r="BY331" s="132"/>
    </row>
    <row r="332" ht="14.25" customHeight="1">
      <c r="A332" s="132"/>
      <c r="B332" s="215">
        <v>46320</v>
      </c>
      <c r="C332" s="133"/>
      <c r="D332" s="136"/>
      <c r="E332" s="135"/>
      <c r="F332" s="135"/>
      <c r="G332" s="147">
        <f t="shared" si="128"/>
        <v>0</v>
      </c>
      <c r="H332" s="768"/>
      <c r="I332" s="768"/>
      <c r="J332" s="611"/>
      <c r="K332" s="611"/>
      <c r="L332" s="611"/>
      <c r="M332" s="611"/>
      <c r="N332" s="611"/>
      <c r="O332" s="611"/>
      <c r="P332" s="611"/>
      <c r="Q332" s="611"/>
      <c r="R332" s="611"/>
      <c r="S332" s="143"/>
      <c r="T332" s="143"/>
      <c r="U332" s="143"/>
      <c r="V332" s="143"/>
      <c r="W332" s="143"/>
      <c r="X332" s="1248">
        <f t="shared" si="129"/>
        <v>0</v>
      </c>
      <c r="Y332" s="611"/>
      <c r="Z332" s="611"/>
      <c r="AA332" s="143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03">
        <f t="shared" si="130"/>
        <v>0</v>
      </c>
      <c r="AM332" s="136"/>
      <c r="AN332" s="136"/>
      <c r="AO332" s="136"/>
      <c r="AP332" s="105">
        <f t="shared" si="131"/>
        <v>0</v>
      </c>
      <c r="AQ332" s="143"/>
      <c r="AR332" s="143"/>
      <c r="AS332" s="143"/>
      <c r="AT332" s="146"/>
      <c r="AU332" s="224">
        <f t="shared" si="132"/>
        <v>0</v>
      </c>
      <c r="AV332" s="126"/>
      <c r="AW332" s="274"/>
      <c r="AX332" s="433"/>
      <c r="AY332" s="1133"/>
      <c r="AZ332" s="433"/>
      <c r="BA332" s="275"/>
      <c r="BB332" s="126"/>
      <c r="BC332" s="274"/>
      <c r="BD332" s="274"/>
      <c r="BE332" s="274"/>
      <c r="BF332" s="127"/>
      <c r="BG332" s="308">
        <f t="shared" si="133"/>
        <v>0</v>
      </c>
      <c r="BH332" s="457">
        <f t="shared" si="134"/>
        <v>0</v>
      </c>
      <c r="BI332" s="132"/>
      <c r="BJ332" s="140">
        <f t="shared" si="135"/>
        <v>0</v>
      </c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30">
        <f t="shared" si="136"/>
        <v>0</v>
      </c>
      <c r="BY332" s="132"/>
    </row>
    <row r="333" ht="14.25" customHeight="1">
      <c r="A333" s="132"/>
      <c r="B333" s="215">
        <v>46321</v>
      </c>
      <c r="C333" s="133"/>
      <c r="D333" s="136"/>
      <c r="E333" s="135"/>
      <c r="F333" s="135"/>
      <c r="G333" s="147">
        <f t="shared" si="128"/>
        <v>0</v>
      </c>
      <c r="H333" s="768"/>
      <c r="I333" s="768"/>
      <c r="J333" s="611"/>
      <c r="K333" s="611"/>
      <c r="L333" s="641"/>
      <c r="M333" s="641"/>
      <c r="N333" s="641"/>
      <c r="O333" s="611"/>
      <c r="P333" s="611"/>
      <c r="Q333" s="641"/>
      <c r="R333" s="641"/>
      <c r="S333" s="143"/>
      <c r="T333" s="143"/>
      <c r="U333" s="143"/>
      <c r="V333" s="143"/>
      <c r="W333" s="143"/>
      <c r="X333" s="1248">
        <f t="shared" si="129"/>
        <v>0</v>
      </c>
      <c r="Y333" s="611"/>
      <c r="Z333" s="611"/>
      <c r="AA333" s="143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03">
        <f t="shared" si="130"/>
        <v>0</v>
      </c>
      <c r="AM333" s="136"/>
      <c r="AN333" s="136"/>
      <c r="AO333" s="136"/>
      <c r="AP333" s="105">
        <f t="shared" si="131"/>
        <v>0</v>
      </c>
      <c r="AQ333" s="143"/>
      <c r="AR333" s="143"/>
      <c r="AS333" s="143"/>
      <c r="AT333" s="146"/>
      <c r="AU333" s="224">
        <f t="shared" si="132"/>
        <v>0</v>
      </c>
      <c r="AV333" s="126"/>
      <c r="AW333" s="274"/>
      <c r="AX333" s="433"/>
      <c r="AY333" s="1273"/>
      <c r="AZ333" s="433"/>
      <c r="BA333" s="275"/>
      <c r="BB333" s="126"/>
      <c r="BC333" s="274"/>
      <c r="BD333" s="274"/>
      <c r="BE333" s="274"/>
      <c r="BF333" s="127"/>
      <c r="BG333" s="308">
        <f t="shared" si="133"/>
        <v>0</v>
      </c>
      <c r="BH333" s="457">
        <f t="shared" si="134"/>
        <v>0</v>
      </c>
      <c r="BI333" s="132"/>
      <c r="BJ333" s="140">
        <f t="shared" si="135"/>
        <v>0</v>
      </c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30">
        <f t="shared" si="136"/>
        <v>0</v>
      </c>
      <c r="BY333" s="132"/>
    </row>
    <row r="334" ht="14.25" customHeight="1">
      <c r="A334" s="132"/>
      <c r="B334" s="215">
        <v>46322</v>
      </c>
      <c r="C334" s="133"/>
      <c r="D334" s="136"/>
      <c r="E334" s="135"/>
      <c r="F334" s="135"/>
      <c r="G334" s="147">
        <f t="shared" si="128"/>
        <v>0</v>
      </c>
      <c r="H334" s="768"/>
      <c r="I334" s="768"/>
      <c r="J334" s="611"/>
      <c r="K334" s="611"/>
      <c r="L334" s="611"/>
      <c r="M334" s="611"/>
      <c r="N334" s="611"/>
      <c r="O334" s="611"/>
      <c r="P334" s="611"/>
      <c r="Q334" s="611"/>
      <c r="R334" s="611"/>
      <c r="S334" s="143"/>
      <c r="T334" s="143"/>
      <c r="U334" s="143"/>
      <c r="V334" s="143"/>
      <c r="W334" s="143"/>
      <c r="X334" s="1248">
        <f t="shared" si="129"/>
        <v>0</v>
      </c>
      <c r="Y334" s="611"/>
      <c r="Z334" s="611"/>
      <c r="AA334" s="143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03">
        <f t="shared" si="130"/>
        <v>0</v>
      </c>
      <c r="AM334" s="136"/>
      <c r="AN334" s="136"/>
      <c r="AO334" s="136"/>
      <c r="AP334" s="105">
        <f t="shared" si="131"/>
        <v>0</v>
      </c>
      <c r="AQ334" s="143"/>
      <c r="AR334" s="143"/>
      <c r="AS334" s="143"/>
      <c r="AT334" s="146"/>
      <c r="AU334" s="224">
        <f t="shared" si="132"/>
        <v>0</v>
      </c>
      <c r="AV334" s="126"/>
      <c r="AW334" s="274"/>
      <c r="AX334" s="433"/>
      <c r="AY334" s="1133"/>
      <c r="AZ334" s="433"/>
      <c r="BA334" s="275"/>
      <c r="BB334" s="126"/>
      <c r="BC334" s="274"/>
      <c r="BD334" s="274"/>
      <c r="BE334" s="274"/>
      <c r="BF334" s="127"/>
      <c r="BG334" s="308">
        <f t="shared" si="133"/>
        <v>0</v>
      </c>
      <c r="BH334" s="457">
        <f t="shared" si="134"/>
        <v>0</v>
      </c>
      <c r="BI334" s="132"/>
      <c r="BJ334" s="140">
        <f t="shared" si="135"/>
        <v>0</v>
      </c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30">
        <f t="shared" si="136"/>
        <v>0</v>
      </c>
      <c r="BY334" s="132"/>
    </row>
    <row r="335" ht="14.25" customHeight="1">
      <c r="A335" s="132"/>
      <c r="B335" s="215">
        <v>46323</v>
      </c>
      <c r="C335" s="133"/>
      <c r="D335" s="136"/>
      <c r="E335" s="135"/>
      <c r="F335" s="135"/>
      <c r="G335" s="147">
        <f t="shared" si="128"/>
        <v>0</v>
      </c>
      <c r="H335" s="768"/>
      <c r="I335" s="768"/>
      <c r="J335" s="611"/>
      <c r="K335" s="611"/>
      <c r="L335" s="611"/>
      <c r="M335" s="611"/>
      <c r="N335" s="611"/>
      <c r="O335" s="611"/>
      <c r="P335" s="611"/>
      <c r="Q335" s="611"/>
      <c r="R335" s="611"/>
      <c r="S335" s="143"/>
      <c r="T335" s="143"/>
      <c r="U335" s="143"/>
      <c r="V335" s="143"/>
      <c r="W335" s="143"/>
      <c r="X335" s="1248">
        <f t="shared" si="129"/>
        <v>0</v>
      </c>
      <c r="Y335" s="611"/>
      <c r="Z335" s="611"/>
      <c r="AA335" s="143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03">
        <f t="shared" si="130"/>
        <v>0</v>
      </c>
      <c r="AM335" s="136"/>
      <c r="AN335" s="136"/>
      <c r="AO335" s="136"/>
      <c r="AP335" s="105">
        <f t="shared" si="131"/>
        <v>0</v>
      </c>
      <c r="AQ335" s="143"/>
      <c r="AR335" s="143"/>
      <c r="AS335" s="143"/>
      <c r="AT335" s="146"/>
      <c r="AU335" s="224">
        <f t="shared" si="132"/>
        <v>0</v>
      </c>
      <c r="AV335" s="126"/>
      <c r="AW335" s="274"/>
      <c r="AX335" s="433"/>
      <c r="AY335" s="1133"/>
      <c r="AZ335" s="433"/>
      <c r="BA335" s="275"/>
      <c r="BB335" s="126"/>
      <c r="BC335" s="274"/>
      <c r="BD335" s="274"/>
      <c r="BE335" s="274"/>
      <c r="BF335" s="127"/>
      <c r="BG335" s="308">
        <f t="shared" si="133"/>
        <v>0</v>
      </c>
      <c r="BH335" s="457">
        <f t="shared" si="134"/>
        <v>0</v>
      </c>
      <c r="BI335" s="132"/>
      <c r="BJ335" s="140">
        <f t="shared" si="135"/>
        <v>0</v>
      </c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30">
        <f t="shared" si="136"/>
        <v>0</v>
      </c>
      <c r="BY335" s="132"/>
    </row>
    <row r="336" ht="14.25" customHeight="1">
      <c r="A336" s="132"/>
      <c r="B336" s="215">
        <v>46324</v>
      </c>
      <c r="C336" s="133"/>
      <c r="D336" s="136"/>
      <c r="E336" s="135"/>
      <c r="F336" s="135"/>
      <c r="G336" s="147">
        <f t="shared" si="128"/>
        <v>0</v>
      </c>
      <c r="H336" s="768"/>
      <c r="I336" s="768"/>
      <c r="J336" s="611"/>
      <c r="K336" s="611"/>
      <c r="L336" s="611"/>
      <c r="M336" s="611"/>
      <c r="N336" s="611"/>
      <c r="O336" s="611"/>
      <c r="P336" s="611"/>
      <c r="Q336" s="611"/>
      <c r="R336" s="611"/>
      <c r="S336" s="143"/>
      <c r="T336" s="143"/>
      <c r="U336" s="143"/>
      <c r="V336" s="143"/>
      <c r="W336" s="143"/>
      <c r="X336" s="1248">
        <f t="shared" si="129"/>
        <v>0</v>
      </c>
      <c r="Y336" s="611"/>
      <c r="Z336" s="611"/>
      <c r="AA336" s="143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03">
        <f t="shared" si="130"/>
        <v>0</v>
      </c>
      <c r="AM336" s="136"/>
      <c r="AN336" s="136"/>
      <c r="AO336" s="136"/>
      <c r="AP336" s="105">
        <f t="shared" si="131"/>
        <v>0</v>
      </c>
      <c r="AQ336" s="143"/>
      <c r="AR336" s="143"/>
      <c r="AS336" s="143"/>
      <c r="AT336" s="146"/>
      <c r="AU336" s="224">
        <f t="shared" si="132"/>
        <v>0</v>
      </c>
      <c r="AV336" s="126"/>
      <c r="AW336" s="274"/>
      <c r="AX336" s="433"/>
      <c r="AY336" s="1133"/>
      <c r="AZ336" s="433"/>
      <c r="BA336" s="275"/>
      <c r="BB336" s="126"/>
      <c r="BC336" s="274"/>
      <c r="BD336" s="274"/>
      <c r="BE336" s="274"/>
      <c r="BF336" s="127"/>
      <c r="BG336" s="308">
        <f t="shared" si="133"/>
        <v>0</v>
      </c>
      <c r="BH336" s="457">
        <f t="shared" si="134"/>
        <v>0</v>
      </c>
      <c r="BI336" s="132"/>
      <c r="BJ336" s="140">
        <f t="shared" si="135"/>
        <v>0</v>
      </c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30">
        <f t="shared" si="136"/>
        <v>0</v>
      </c>
      <c r="BY336" s="132"/>
    </row>
    <row r="337" ht="14.25" customHeight="1">
      <c r="A337" s="132"/>
      <c r="B337" s="215">
        <v>46325</v>
      </c>
      <c r="C337" s="133"/>
      <c r="D337" s="136"/>
      <c r="E337" s="135"/>
      <c r="F337" s="135"/>
      <c r="G337" s="147">
        <f t="shared" si="128"/>
        <v>0</v>
      </c>
      <c r="H337" s="768"/>
      <c r="I337" s="768"/>
      <c r="J337" s="611"/>
      <c r="K337" s="611"/>
      <c r="L337" s="611"/>
      <c r="M337" s="611"/>
      <c r="N337" s="611"/>
      <c r="O337" s="611"/>
      <c r="P337" s="611"/>
      <c r="Q337" s="611"/>
      <c r="R337" s="611"/>
      <c r="S337" s="143"/>
      <c r="T337" s="143"/>
      <c r="U337" s="143"/>
      <c r="V337" s="143"/>
      <c r="W337" s="143"/>
      <c r="X337" s="1248">
        <f t="shared" si="129"/>
        <v>0</v>
      </c>
      <c r="Y337" s="611"/>
      <c r="Z337" s="611"/>
      <c r="AA337" s="143"/>
      <c r="AB337" s="143"/>
      <c r="AC337" s="143"/>
      <c r="AD337" s="143"/>
      <c r="AE337" s="143"/>
      <c r="AF337" s="143"/>
      <c r="AG337" s="143"/>
      <c r="AH337" s="143"/>
      <c r="AI337" s="143"/>
      <c r="AJ337" s="143"/>
      <c r="AK337" s="143"/>
      <c r="AL337" s="103">
        <f t="shared" si="130"/>
        <v>0</v>
      </c>
      <c r="AM337" s="136"/>
      <c r="AN337" s="136"/>
      <c r="AO337" s="136"/>
      <c r="AP337" s="105">
        <f t="shared" si="131"/>
        <v>0</v>
      </c>
      <c r="AQ337" s="143"/>
      <c r="AR337" s="143"/>
      <c r="AS337" s="143"/>
      <c r="AT337" s="146"/>
      <c r="AU337" s="224">
        <f t="shared" si="132"/>
        <v>0</v>
      </c>
      <c r="AV337" s="126"/>
      <c r="AW337" s="274"/>
      <c r="AX337" s="433"/>
      <c r="AY337" s="1133"/>
      <c r="AZ337" s="433"/>
      <c r="BA337" s="275"/>
      <c r="BB337" s="126"/>
      <c r="BC337" s="274"/>
      <c r="BD337" s="274"/>
      <c r="BE337" s="274"/>
      <c r="BF337" s="127"/>
      <c r="BG337" s="308">
        <f t="shared" si="133"/>
        <v>0</v>
      </c>
      <c r="BH337" s="457">
        <f t="shared" si="134"/>
        <v>0</v>
      </c>
      <c r="BI337" s="132"/>
      <c r="BJ337" s="140">
        <f t="shared" si="135"/>
        <v>0</v>
      </c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41"/>
      <c r="BU337" s="141"/>
      <c r="BV337" s="141"/>
      <c r="BW337" s="141"/>
      <c r="BX337" s="130">
        <f t="shared" si="136"/>
        <v>0</v>
      </c>
      <c r="BY337" s="132"/>
    </row>
    <row r="338" ht="14.25" customHeight="1">
      <c r="A338" s="132"/>
      <c r="B338" s="215">
        <v>46326</v>
      </c>
      <c r="C338" s="153"/>
      <c r="D338" s="159"/>
      <c r="E338" s="156"/>
      <c r="F338" s="156"/>
      <c r="G338" s="147">
        <f t="shared" si="128"/>
        <v>0</v>
      </c>
      <c r="H338" s="788"/>
      <c r="I338" s="788"/>
      <c r="J338" s="613"/>
      <c r="K338" s="613"/>
      <c r="L338" s="613"/>
      <c r="M338" s="613"/>
      <c r="N338" s="613"/>
      <c r="O338" s="613"/>
      <c r="P338" s="613"/>
      <c r="Q338" s="613"/>
      <c r="R338" s="613"/>
      <c r="S338" s="157"/>
      <c r="T338" s="157"/>
      <c r="U338" s="157"/>
      <c r="V338" s="157"/>
      <c r="W338" s="157"/>
      <c r="X338" s="1248">
        <f t="shared" si="129"/>
        <v>0</v>
      </c>
      <c r="Y338" s="613"/>
      <c r="Z338" s="613"/>
      <c r="AA338" s="157"/>
      <c r="AB338" s="157"/>
      <c r="AC338" s="157"/>
      <c r="AD338" s="157"/>
      <c r="AE338" s="157"/>
      <c r="AF338" s="157"/>
      <c r="AG338" s="157"/>
      <c r="AH338" s="157"/>
      <c r="AI338" s="157"/>
      <c r="AJ338" s="157"/>
      <c r="AK338" s="157"/>
      <c r="AL338" s="103">
        <f t="shared" si="130"/>
        <v>0</v>
      </c>
      <c r="AM338" s="159"/>
      <c r="AN338" s="159"/>
      <c r="AO338" s="159"/>
      <c r="AP338" s="105">
        <f t="shared" si="131"/>
        <v>0</v>
      </c>
      <c r="AQ338" s="157"/>
      <c r="AR338" s="157"/>
      <c r="AS338" s="157"/>
      <c r="AT338" s="160"/>
      <c r="AU338" s="224">
        <f t="shared" si="132"/>
        <v>0</v>
      </c>
      <c r="AV338" s="138"/>
      <c r="AW338" s="296"/>
      <c r="AX338" s="435"/>
      <c r="AY338" s="1134"/>
      <c r="AZ338" s="433"/>
      <c r="BA338" s="275"/>
      <c r="BB338" s="138"/>
      <c r="BC338" s="296"/>
      <c r="BD338" s="296"/>
      <c r="BE338" s="296"/>
      <c r="BF338" s="161"/>
      <c r="BG338" s="1334">
        <f t="shared" si="133"/>
        <v>0</v>
      </c>
      <c r="BH338" s="503">
        <f t="shared" si="134"/>
        <v>0</v>
      </c>
      <c r="BI338" s="132"/>
      <c r="BJ338" s="162">
        <f t="shared" si="135"/>
        <v>0</v>
      </c>
      <c r="BK338" s="163"/>
      <c r="BL338" s="163"/>
      <c r="BM338" s="163"/>
      <c r="BN338" s="163"/>
      <c r="BO338" s="163"/>
      <c r="BP338" s="163"/>
      <c r="BQ338" s="163"/>
      <c r="BR338" s="163"/>
      <c r="BS338" s="163"/>
      <c r="BT338" s="141"/>
      <c r="BU338" s="141"/>
      <c r="BV338" s="141"/>
      <c r="BW338" s="141"/>
      <c r="BX338" s="130">
        <f t="shared" si="136"/>
        <v>0</v>
      </c>
      <c r="BY338" s="132"/>
    </row>
    <row r="339" ht="14.25" customHeight="1">
      <c r="A339" s="22"/>
      <c r="B339" s="2" t="s">
        <v>84</v>
      </c>
      <c r="C339" s="166">
        <f ref="C339:H339" t="shared" si="137">SUM(C308:C338)</f>
        <v>0</v>
      </c>
      <c r="D339" s="166">
        <f t="shared" si="137"/>
        <v>0</v>
      </c>
      <c r="E339" s="166">
        <f t="shared" si="137"/>
        <v>0</v>
      </c>
      <c r="F339" s="166">
        <f t="shared" si="137"/>
        <v>0</v>
      </c>
      <c r="G339" s="166">
        <f t="shared" si="137"/>
        <v>0</v>
      </c>
      <c r="H339" s="166">
        <f t="shared" si="137"/>
        <v>0</v>
      </c>
      <c r="I339" s="166"/>
      <c r="J339" s="166">
        <f>SUM(J308:J338)</f>
        <v>0</v>
      </c>
      <c r="K339" s="166"/>
      <c r="L339" s="166">
        <f>SUM(L308:L338)</f>
        <v>0</v>
      </c>
      <c r="M339" s="166"/>
      <c r="N339" s="617">
        <f ref="N339:P339" t="shared" si="138">SUM(N308:N338)</f>
        <v>0</v>
      </c>
      <c r="O339" s="166">
        <f t="shared" si="138"/>
        <v>0</v>
      </c>
      <c r="P339" s="166">
        <f t="shared" si="138"/>
        <v>0</v>
      </c>
      <c r="Q339" s="166"/>
      <c r="R339" s="166">
        <f ref="R339:BH339" t="shared" si="139">SUM(R308:R338)</f>
        <v>0</v>
      </c>
      <c r="S339" s="166">
        <f t="shared" si="139"/>
        <v>0</v>
      </c>
      <c r="T339" s="166">
        <f t="shared" si="139"/>
        <v>0</v>
      </c>
      <c r="U339" s="166">
        <f t="shared" si="139"/>
        <v>0</v>
      </c>
      <c r="V339" s="166">
        <f t="shared" si="139"/>
        <v>0</v>
      </c>
      <c r="W339" s="166">
        <f t="shared" si="139"/>
        <v>0</v>
      </c>
      <c r="X339" s="1271">
        <f t="shared" si="139"/>
        <v>0</v>
      </c>
      <c r="Y339" s="166">
        <f t="shared" si="139"/>
        <v>0</v>
      </c>
      <c r="Z339" s="166">
        <f t="shared" si="139"/>
        <v>0</v>
      </c>
      <c r="AA339" s="166">
        <f t="shared" si="139"/>
        <v>0</v>
      </c>
      <c r="AB339" s="166">
        <f t="shared" si="139"/>
        <v>0</v>
      </c>
      <c r="AC339" s="166">
        <f t="shared" si="139"/>
        <v>0</v>
      </c>
      <c r="AD339" s="166">
        <f t="shared" si="139"/>
        <v>0</v>
      </c>
      <c r="AE339" s="166">
        <f t="shared" si="139"/>
        <v>0</v>
      </c>
      <c r="AF339" s="166">
        <f t="shared" si="139"/>
        <v>0</v>
      </c>
      <c r="AG339" s="166">
        <f t="shared" si="139"/>
        <v>0</v>
      </c>
      <c r="AH339" s="166">
        <f t="shared" si="139"/>
        <v>0</v>
      </c>
      <c r="AI339" s="166">
        <f t="shared" si="139"/>
        <v>0</v>
      </c>
      <c r="AJ339" s="166">
        <f t="shared" si="139"/>
        <v>0</v>
      </c>
      <c r="AK339" s="166">
        <f t="shared" si="139"/>
        <v>0</v>
      </c>
      <c r="AL339" s="166">
        <f t="shared" si="139"/>
        <v>0</v>
      </c>
      <c r="AM339" s="166">
        <f t="shared" si="139"/>
        <v>0</v>
      </c>
      <c r="AN339" s="166">
        <f t="shared" si="139"/>
        <v>0</v>
      </c>
      <c r="AO339" s="166">
        <f t="shared" si="139"/>
        <v>0</v>
      </c>
      <c r="AP339" s="166">
        <f t="shared" si="139"/>
        <v>0</v>
      </c>
      <c r="AQ339" s="166">
        <f t="shared" si="139"/>
        <v>0</v>
      </c>
      <c r="AR339" s="166">
        <f t="shared" si="139"/>
        <v>0</v>
      </c>
      <c r="AS339" s="166">
        <f t="shared" si="139"/>
        <v>0</v>
      </c>
      <c r="AT339" s="166">
        <f t="shared" si="139"/>
        <v>0</v>
      </c>
      <c r="AU339" s="166">
        <f t="shared" si="139"/>
        <v>0</v>
      </c>
      <c r="AV339" s="165">
        <f t="shared" si="139"/>
        <v>0</v>
      </c>
      <c r="AW339" s="166">
        <f t="shared" si="139"/>
        <v>0</v>
      </c>
      <c r="AX339" s="166">
        <f t="shared" si="139"/>
        <v>0</v>
      </c>
      <c r="AY339" s="166">
        <f t="shared" si="139"/>
        <v>0</v>
      </c>
      <c r="AZ339" s="166">
        <f t="shared" si="139"/>
        <v>0</v>
      </c>
      <c r="BA339" s="166">
        <f t="shared" si="139"/>
        <v>0</v>
      </c>
      <c r="BB339" s="165">
        <f t="shared" si="139"/>
        <v>0</v>
      </c>
      <c r="BC339" s="166">
        <f t="shared" si="139"/>
        <v>0</v>
      </c>
      <c r="BD339" s="166">
        <f t="shared" si="139"/>
        <v>0</v>
      </c>
      <c r="BE339" s="166">
        <f t="shared" si="139"/>
        <v>0</v>
      </c>
      <c r="BF339" s="166">
        <f t="shared" si="139"/>
        <v>0</v>
      </c>
      <c r="BG339" s="166">
        <f t="shared" si="139"/>
        <v>0</v>
      </c>
      <c r="BH339" s="166">
        <f t="shared" si="139"/>
        <v>0</v>
      </c>
      <c r="BI339" s="3"/>
      <c r="BJ339" s="172">
        <f ref="BJ339:BX339" t="shared" si="140">SUM(BJ308:BJ338)</f>
        <v>0</v>
      </c>
      <c r="BK339" s="1329">
        <f t="shared" si="140"/>
        <v>0</v>
      </c>
      <c r="BL339" s="1329">
        <f t="shared" si="140"/>
        <v>0</v>
      </c>
      <c r="BM339" s="1329">
        <f t="shared" si="140"/>
        <v>0</v>
      </c>
      <c r="BN339" s="1329">
        <f t="shared" si="140"/>
        <v>0</v>
      </c>
      <c r="BO339" s="1329">
        <f t="shared" si="140"/>
        <v>0</v>
      </c>
      <c r="BP339" s="1329">
        <f t="shared" si="140"/>
        <v>0</v>
      </c>
      <c r="BQ339" s="1329">
        <f t="shared" si="140"/>
        <v>0</v>
      </c>
      <c r="BR339" s="1329">
        <f t="shared" si="140"/>
        <v>0</v>
      </c>
      <c r="BS339" s="1329">
        <f t="shared" si="140"/>
        <v>0</v>
      </c>
      <c r="BT339" s="1329">
        <f t="shared" si="140"/>
        <v>0</v>
      </c>
      <c r="BU339" s="1329">
        <f t="shared" si="140"/>
        <v>0</v>
      </c>
      <c r="BV339" s="1329">
        <f t="shared" si="140"/>
        <v>0</v>
      </c>
      <c r="BW339" s="1329">
        <f t="shared" si="140"/>
        <v>0</v>
      </c>
      <c r="BX339" s="172">
        <f t="shared" si="140"/>
        <v>0</v>
      </c>
      <c r="BY339" s="3"/>
    </row>
    <row r="340" ht="14.25" customHeight="1">
      <c r="A340" s="1"/>
      <c r="B340" s="2"/>
      <c r="C340" s="3"/>
      <c r="D340" s="3"/>
      <c r="E340" s="3"/>
      <c r="F340" s="3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3"/>
      <c r="T340" s="3"/>
      <c r="U340" s="3"/>
      <c r="V340" s="3"/>
      <c r="W340" s="3"/>
      <c r="X340" s="873"/>
      <c r="Y340" s="1"/>
      <c r="Z340" s="1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4"/>
      <c r="AQ340" s="3"/>
      <c r="AR340" s="3"/>
      <c r="AS340" s="3"/>
      <c r="AT340" s="3"/>
      <c r="AU340" s="3"/>
      <c r="AV340" s="3"/>
      <c r="AW340" s="3"/>
      <c r="AX340" s="1"/>
      <c r="AY340" s="1"/>
      <c r="AZ340" s="1"/>
      <c r="BA340" s="3"/>
      <c r="BB340" s="3"/>
      <c r="BC340" s="3"/>
      <c r="BD340" s="3"/>
      <c r="BE340" s="3"/>
      <c r="BF340" s="3"/>
      <c r="BG340" s="4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</row>
    <row r="341" ht="14.25" customHeight="1">
      <c r="A341" s="1"/>
      <c r="B341" s="2"/>
      <c r="C341" s="3"/>
      <c r="D341" s="3"/>
      <c r="E341" s="3"/>
      <c r="F341" s="3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3"/>
      <c r="T341" s="3"/>
      <c r="U341" s="3"/>
      <c r="V341" s="3"/>
      <c r="W341" s="3"/>
      <c r="X341" s="873"/>
      <c r="Y341" s="1"/>
      <c r="Z341" s="1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176"/>
      <c r="AM341" s="3"/>
      <c r="AN341" s="3"/>
      <c r="AO341" s="3"/>
      <c r="AP341" s="4"/>
      <c r="AQ341" s="3"/>
      <c r="AR341" s="3"/>
      <c r="AS341" s="3"/>
      <c r="AT341" s="3"/>
      <c r="AU341" s="3"/>
      <c r="AV341" s="3"/>
      <c r="AW341" s="3"/>
      <c r="AX341" s="1"/>
      <c r="AY341" s="1"/>
      <c r="AZ341" s="1"/>
      <c r="BA341" s="3"/>
      <c r="BB341" s="3"/>
      <c r="BC341" s="3"/>
      <c r="BD341" s="3"/>
      <c r="BE341" s="3"/>
      <c r="BF341" s="3"/>
      <c r="BG341" s="305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</row>
    <row r="342" ht="14.25" customHeight="1">
      <c r="A342" s="3"/>
      <c r="B342" s="306">
        <v>46327</v>
      </c>
      <c r="C342" s="94"/>
      <c r="D342" s="104"/>
      <c r="E342" s="97"/>
      <c r="F342" s="97"/>
      <c r="G342" s="216">
        <f ref="G342:G371" t="shared" si="141">+C342+D342+E342+F342</f>
        <v>0</v>
      </c>
      <c r="H342" s="778"/>
      <c r="I342" s="778"/>
      <c r="J342" s="619"/>
      <c r="K342" s="619"/>
      <c r="L342" s="619"/>
      <c r="M342" s="619"/>
      <c r="N342" s="619"/>
      <c r="O342" s="619"/>
      <c r="P342" s="619"/>
      <c r="Q342" s="619"/>
      <c r="R342" s="619"/>
      <c r="S342" s="186"/>
      <c r="T342" s="186"/>
      <c r="U342" s="186"/>
      <c r="V342" s="186"/>
      <c r="W342" s="186"/>
      <c r="X342" s="1248">
        <f ref="X342:X371" t="shared" si="142">SUM(H342:W342)</f>
        <v>0</v>
      </c>
      <c r="Y342" s="619"/>
      <c r="Z342" s="619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03">
        <f ref="AL342:AL371" t="shared" si="143">SUM(Y342:AK342)</f>
        <v>0</v>
      </c>
      <c r="AM342" s="104"/>
      <c r="AN342" s="104"/>
      <c r="AO342" s="104"/>
      <c r="AP342" s="191">
        <f ref="AP342:AP371" t="shared" si="144">SUM(AM342:AO342)</f>
        <v>0</v>
      </c>
      <c r="AQ342" s="186"/>
      <c r="AR342" s="186"/>
      <c r="AS342" s="186"/>
      <c r="AT342" s="193"/>
      <c r="AU342" s="219">
        <f ref="AU342:AU371" t="shared" si="145">+G342-X342-AL342-AP342-AQ342-AR342-AS342-AT342</f>
        <v>0</v>
      </c>
      <c r="AV342" s="109"/>
      <c r="AW342" s="110"/>
      <c r="AX342" s="427"/>
      <c r="AY342" s="1132"/>
      <c r="AZ342" s="427"/>
      <c r="BA342" s="270"/>
      <c r="BB342" s="109"/>
      <c r="BC342" s="269"/>
      <c r="BD342" s="269"/>
      <c r="BE342" s="269"/>
      <c r="BF342" s="269"/>
      <c r="BG342" s="222">
        <f ref="BG342:BG371" t="shared" si="146">SUM(AV342:BF342)-BE342</f>
        <v>0</v>
      </c>
      <c r="BH342" s="114">
        <f ref="BH342:BH371" t="shared" si="147">+AU342-BG342</f>
        <v>0</v>
      </c>
      <c r="BI342" s="3"/>
      <c r="BJ342" s="114">
        <f ref="BJ342:BJ371" t="shared" si="148">SUM(BK342:BW342)</f>
        <v>0</v>
      </c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5"/>
      <c r="BU342" s="115"/>
      <c r="BV342" s="115"/>
      <c r="BW342" s="115"/>
      <c r="BX342" s="116">
        <f ref="BX342:BX371" t="shared" si="149">+BH342-BJ342</f>
        <v>0</v>
      </c>
      <c r="BY342" s="3"/>
    </row>
    <row r="343" ht="14.25" customHeight="1">
      <c r="A343" s="3"/>
      <c r="B343" s="306">
        <v>46328</v>
      </c>
      <c r="C343" s="118"/>
      <c r="D343" s="123"/>
      <c r="E343" s="120"/>
      <c r="F343" s="120"/>
      <c r="G343" s="147">
        <f t="shared" si="141"/>
        <v>0</v>
      </c>
      <c r="H343" s="768"/>
      <c r="I343" s="768"/>
      <c r="J343" s="611"/>
      <c r="K343" s="611"/>
      <c r="L343" s="611"/>
      <c r="M343" s="611"/>
      <c r="N343" s="611"/>
      <c r="O343" s="611"/>
      <c r="P343" s="611"/>
      <c r="Q343" s="611"/>
      <c r="R343" s="611"/>
      <c r="S343" s="143"/>
      <c r="T343" s="143"/>
      <c r="U343" s="143"/>
      <c r="V343" s="143"/>
      <c r="W343" s="143"/>
      <c r="X343" s="1248">
        <f t="shared" si="142"/>
        <v>0</v>
      </c>
      <c r="Y343" s="611"/>
      <c r="Z343" s="611"/>
      <c r="AA343" s="143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03">
        <f t="shared" si="143"/>
        <v>0</v>
      </c>
      <c r="AM343" s="123"/>
      <c r="AN343" s="123"/>
      <c r="AO343" s="123"/>
      <c r="AP343" s="105">
        <f t="shared" si="144"/>
        <v>0</v>
      </c>
      <c r="AQ343" s="143"/>
      <c r="AR343" s="143"/>
      <c r="AS343" s="143"/>
      <c r="AT343" s="146"/>
      <c r="AU343" s="224">
        <f t="shared" si="145"/>
        <v>0</v>
      </c>
      <c r="AV343" s="126"/>
      <c r="AW343" s="127"/>
      <c r="AX343" s="433"/>
      <c r="AY343" s="1133"/>
      <c r="AZ343" s="433"/>
      <c r="BA343" s="275"/>
      <c r="BB343" s="126"/>
      <c r="BC343" s="274"/>
      <c r="BD343" s="274"/>
      <c r="BE343" s="274"/>
      <c r="BF343" s="274"/>
      <c r="BG343" s="222">
        <f t="shared" si="146"/>
        <v>0</v>
      </c>
      <c r="BH343" s="113">
        <f t="shared" si="147"/>
        <v>0</v>
      </c>
      <c r="BI343" s="3"/>
      <c r="BJ343" s="113">
        <f t="shared" si="148"/>
        <v>0</v>
      </c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29"/>
      <c r="BU343" s="129"/>
      <c r="BV343" s="141"/>
      <c r="BW343" s="129"/>
      <c r="BX343" s="130">
        <f t="shared" si="149"/>
        <v>0</v>
      </c>
      <c r="BY343" s="3"/>
    </row>
    <row r="344" ht="14.25" customHeight="1">
      <c r="A344" s="3"/>
      <c r="B344" s="306">
        <v>46329</v>
      </c>
      <c r="C344" s="118"/>
      <c r="D344" s="123"/>
      <c r="E344" s="120"/>
      <c r="F344" s="120"/>
      <c r="G344" s="147">
        <f t="shared" si="141"/>
        <v>0</v>
      </c>
      <c r="H344" s="768"/>
      <c r="I344" s="768"/>
      <c r="J344" s="611"/>
      <c r="K344" s="611"/>
      <c r="L344" s="611"/>
      <c r="M344" s="611"/>
      <c r="N344" s="611"/>
      <c r="O344" s="611"/>
      <c r="P344" s="611"/>
      <c r="Q344" s="611"/>
      <c r="R344" s="611"/>
      <c r="S344" s="143"/>
      <c r="T344" s="143"/>
      <c r="U344" s="143"/>
      <c r="V344" s="143"/>
      <c r="W344" s="143"/>
      <c r="X344" s="1248">
        <f t="shared" si="142"/>
        <v>0</v>
      </c>
      <c r="Y344" s="611"/>
      <c r="Z344" s="611"/>
      <c r="AA344" s="143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03">
        <f t="shared" si="143"/>
        <v>0</v>
      </c>
      <c r="AM344" s="123"/>
      <c r="AN344" s="123"/>
      <c r="AO344" s="123"/>
      <c r="AP344" s="105">
        <f t="shared" si="144"/>
        <v>0</v>
      </c>
      <c r="AQ344" s="143"/>
      <c r="AR344" s="143"/>
      <c r="AS344" s="143"/>
      <c r="AT344" s="146"/>
      <c r="AU344" s="224">
        <f t="shared" si="145"/>
        <v>0</v>
      </c>
      <c r="AV344" s="126"/>
      <c r="AW344" s="127"/>
      <c r="AX344" s="433"/>
      <c r="AY344" s="1133"/>
      <c r="AZ344" s="433"/>
      <c r="BA344" s="275"/>
      <c r="BB344" s="126"/>
      <c r="BC344" s="274"/>
      <c r="BD344" s="274"/>
      <c r="BE344" s="274"/>
      <c r="BF344" s="274"/>
      <c r="BG344" s="222">
        <f t="shared" si="146"/>
        <v>0</v>
      </c>
      <c r="BH344" s="113">
        <f t="shared" si="147"/>
        <v>0</v>
      </c>
      <c r="BI344" s="3"/>
      <c r="BJ344" s="113">
        <f t="shared" si="148"/>
        <v>0</v>
      </c>
      <c r="BK344" s="129"/>
      <c r="BL344" s="129"/>
      <c r="BM344" s="129"/>
      <c r="BN344" s="129"/>
      <c r="BO344" s="129"/>
      <c r="BP344" s="129"/>
      <c r="BQ344" s="129"/>
      <c r="BR344" s="129"/>
      <c r="BS344" s="129"/>
      <c r="BT344" s="129"/>
      <c r="BU344" s="129"/>
      <c r="BV344" s="141"/>
      <c r="BW344" s="129"/>
      <c r="BX344" s="130">
        <f t="shared" si="149"/>
        <v>0</v>
      </c>
      <c r="BY344" s="3"/>
    </row>
    <row r="345" ht="14.25" customHeight="1">
      <c r="A345" s="3"/>
      <c r="B345" s="306">
        <v>46330</v>
      </c>
      <c r="C345" s="118"/>
      <c r="D345" s="123"/>
      <c r="E345" s="120"/>
      <c r="F345" s="120"/>
      <c r="G345" s="147">
        <f t="shared" si="141"/>
        <v>0</v>
      </c>
      <c r="H345" s="768"/>
      <c r="I345" s="768"/>
      <c r="J345" s="611"/>
      <c r="K345" s="611"/>
      <c r="L345" s="611"/>
      <c r="M345" s="611"/>
      <c r="N345" s="611"/>
      <c r="O345" s="611"/>
      <c r="P345" s="611"/>
      <c r="Q345" s="611"/>
      <c r="R345" s="611"/>
      <c r="S345" s="143"/>
      <c r="T345" s="143"/>
      <c r="U345" s="143"/>
      <c r="V345" s="143"/>
      <c r="W345" s="143"/>
      <c r="X345" s="1248">
        <f t="shared" si="142"/>
        <v>0</v>
      </c>
      <c r="Y345" s="611"/>
      <c r="Z345" s="611"/>
      <c r="AA345" s="143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03">
        <f t="shared" si="143"/>
        <v>0</v>
      </c>
      <c r="AM345" s="123"/>
      <c r="AN345" s="123"/>
      <c r="AO345" s="123"/>
      <c r="AP345" s="105">
        <f t="shared" si="144"/>
        <v>0</v>
      </c>
      <c r="AQ345" s="143"/>
      <c r="AR345" s="143"/>
      <c r="AS345" s="143"/>
      <c r="AT345" s="146"/>
      <c r="AU345" s="224">
        <f t="shared" si="145"/>
        <v>0</v>
      </c>
      <c r="AV345" s="126"/>
      <c r="AW345" s="127"/>
      <c r="AX345" s="433"/>
      <c r="AY345" s="1133"/>
      <c r="AZ345" s="433"/>
      <c r="BA345" s="275"/>
      <c r="BB345" s="126"/>
      <c r="BC345" s="274"/>
      <c r="BD345" s="274"/>
      <c r="BE345" s="274"/>
      <c r="BF345" s="274"/>
      <c r="BG345" s="222">
        <f t="shared" si="146"/>
        <v>0</v>
      </c>
      <c r="BH345" s="113">
        <f t="shared" si="147"/>
        <v>0</v>
      </c>
      <c r="BI345" s="3"/>
      <c r="BJ345" s="113">
        <f t="shared" si="148"/>
        <v>0</v>
      </c>
      <c r="BK345" s="129"/>
      <c r="BL345" s="129"/>
      <c r="BM345" s="129"/>
      <c r="BN345" s="129"/>
      <c r="BO345" s="129"/>
      <c r="BP345" s="129"/>
      <c r="BQ345" s="129"/>
      <c r="BR345" s="129"/>
      <c r="BS345" s="129"/>
      <c r="BT345" s="129"/>
      <c r="BU345" s="129"/>
      <c r="BV345" s="141"/>
      <c r="BW345" s="129"/>
      <c r="BX345" s="130">
        <f t="shared" si="149"/>
        <v>0</v>
      </c>
      <c r="BY345" s="3"/>
    </row>
    <row r="346" ht="14.25" customHeight="1">
      <c r="A346" s="3"/>
      <c r="B346" s="306">
        <v>46331</v>
      </c>
      <c r="C346" s="118"/>
      <c r="D346" s="123"/>
      <c r="E346" s="120"/>
      <c r="F346" s="120"/>
      <c r="G346" s="147">
        <f t="shared" si="141"/>
        <v>0</v>
      </c>
      <c r="H346" s="768"/>
      <c r="I346" s="768"/>
      <c r="J346" s="611"/>
      <c r="K346" s="611"/>
      <c r="L346" s="611"/>
      <c r="M346" s="611"/>
      <c r="N346" s="611"/>
      <c r="O346" s="611"/>
      <c r="P346" s="611"/>
      <c r="Q346" s="611"/>
      <c r="R346" s="611"/>
      <c r="S346" s="143"/>
      <c r="T346" s="143"/>
      <c r="U346" s="143"/>
      <c r="V346" s="143"/>
      <c r="W346" s="143"/>
      <c r="X346" s="1248">
        <f t="shared" si="142"/>
        <v>0</v>
      </c>
      <c r="Y346" s="611"/>
      <c r="Z346" s="611"/>
      <c r="AA346" s="143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03">
        <f t="shared" si="143"/>
        <v>0</v>
      </c>
      <c r="AM346" s="123"/>
      <c r="AN346" s="123"/>
      <c r="AO346" s="123"/>
      <c r="AP346" s="105">
        <f t="shared" si="144"/>
        <v>0</v>
      </c>
      <c r="AQ346" s="143"/>
      <c r="AR346" s="143"/>
      <c r="AS346" s="143"/>
      <c r="AT346" s="146"/>
      <c r="AU346" s="224">
        <f t="shared" si="145"/>
        <v>0</v>
      </c>
      <c r="AV346" s="126"/>
      <c r="AW346" s="127"/>
      <c r="AX346" s="433"/>
      <c r="AY346" s="1133"/>
      <c r="AZ346" s="433"/>
      <c r="BA346" s="275"/>
      <c r="BB346" s="126"/>
      <c r="BC346" s="274"/>
      <c r="BD346" s="274"/>
      <c r="BE346" s="274"/>
      <c r="BF346" s="274"/>
      <c r="BG346" s="222">
        <f t="shared" si="146"/>
        <v>0</v>
      </c>
      <c r="BH346" s="113">
        <f t="shared" si="147"/>
        <v>0</v>
      </c>
      <c r="BI346" s="3"/>
      <c r="BJ346" s="113">
        <f t="shared" si="148"/>
        <v>0</v>
      </c>
      <c r="BK346" s="129"/>
      <c r="BL346" s="129"/>
      <c r="BM346" s="129"/>
      <c r="BN346" s="129"/>
      <c r="BO346" s="129"/>
      <c r="BP346" s="129"/>
      <c r="BQ346" s="129"/>
      <c r="BR346" s="129"/>
      <c r="BS346" s="129"/>
      <c r="BT346" s="129"/>
      <c r="BU346" s="129"/>
      <c r="BV346" s="141"/>
      <c r="BW346" s="129"/>
      <c r="BX346" s="130">
        <f t="shared" si="149"/>
        <v>0</v>
      </c>
      <c r="BY346" s="3"/>
    </row>
    <row r="347" ht="14.25" customHeight="1">
      <c r="A347" s="3"/>
      <c r="B347" s="306">
        <v>46332</v>
      </c>
      <c r="C347" s="118"/>
      <c r="D347" s="123"/>
      <c r="E347" s="120"/>
      <c r="F347" s="120"/>
      <c r="G347" s="147">
        <f t="shared" si="141"/>
        <v>0</v>
      </c>
      <c r="H347" s="768"/>
      <c r="I347" s="768"/>
      <c r="J347" s="611"/>
      <c r="K347" s="611"/>
      <c r="L347" s="611"/>
      <c r="M347" s="611"/>
      <c r="N347" s="611"/>
      <c r="O347" s="611"/>
      <c r="P347" s="611"/>
      <c r="Q347" s="611"/>
      <c r="R347" s="611"/>
      <c r="S347" s="143"/>
      <c r="T347" s="143"/>
      <c r="U347" s="143"/>
      <c r="V347" s="143"/>
      <c r="W347" s="143"/>
      <c r="X347" s="1248">
        <f t="shared" si="142"/>
        <v>0</v>
      </c>
      <c r="Y347" s="1280"/>
      <c r="Z347" s="1280"/>
      <c r="AA347" s="143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03">
        <f t="shared" si="143"/>
        <v>0</v>
      </c>
      <c r="AM347" s="123"/>
      <c r="AN347" s="123"/>
      <c r="AO347" s="123"/>
      <c r="AP347" s="105">
        <f t="shared" si="144"/>
        <v>0</v>
      </c>
      <c r="AQ347" s="143"/>
      <c r="AR347" s="143"/>
      <c r="AS347" s="143"/>
      <c r="AT347" s="146"/>
      <c r="AU347" s="224">
        <f t="shared" si="145"/>
        <v>0</v>
      </c>
      <c r="AV347" s="126"/>
      <c r="AW347" s="127"/>
      <c r="AX347" s="433"/>
      <c r="AY347" s="1133"/>
      <c r="AZ347" s="433"/>
      <c r="BA347" s="275"/>
      <c r="BB347" s="126"/>
      <c r="BC347" s="274"/>
      <c r="BD347" s="274"/>
      <c r="BE347" s="274"/>
      <c r="BF347" s="274"/>
      <c r="BG347" s="222">
        <f t="shared" si="146"/>
        <v>0</v>
      </c>
      <c r="BH347" s="113">
        <f t="shared" si="147"/>
        <v>0</v>
      </c>
      <c r="BI347" s="3"/>
      <c r="BJ347" s="113">
        <f t="shared" si="148"/>
        <v>0</v>
      </c>
      <c r="BK347" s="129"/>
      <c r="BL347" s="129"/>
      <c r="BM347" s="129"/>
      <c r="BN347" s="129"/>
      <c r="BO347" s="129"/>
      <c r="BP347" s="129"/>
      <c r="BQ347" s="129"/>
      <c r="BR347" s="129"/>
      <c r="BS347" s="129"/>
      <c r="BT347" s="129"/>
      <c r="BU347" s="129"/>
      <c r="BV347" s="141"/>
      <c r="BW347" s="129"/>
      <c r="BX347" s="130">
        <f t="shared" si="149"/>
        <v>0</v>
      </c>
      <c r="BY347" s="3"/>
    </row>
    <row r="348" ht="14.25" customHeight="1">
      <c r="A348" s="132"/>
      <c r="B348" s="306">
        <v>46333</v>
      </c>
      <c r="C348" s="133"/>
      <c r="D348" s="136"/>
      <c r="E348" s="135"/>
      <c r="F348" s="135"/>
      <c r="G348" s="147">
        <f t="shared" si="141"/>
        <v>0</v>
      </c>
      <c r="H348" s="768"/>
      <c r="I348" s="768"/>
      <c r="J348" s="611"/>
      <c r="K348" s="611"/>
      <c r="L348" s="611"/>
      <c r="M348" s="611"/>
      <c r="N348" s="611"/>
      <c r="O348" s="611"/>
      <c r="P348" s="611"/>
      <c r="Q348" s="611"/>
      <c r="R348" s="611"/>
      <c r="S348" s="143"/>
      <c r="T348" s="143"/>
      <c r="U348" s="143"/>
      <c r="V348" s="143"/>
      <c r="W348" s="143"/>
      <c r="X348" s="1248">
        <f t="shared" si="142"/>
        <v>0</v>
      </c>
      <c r="Y348" s="1080"/>
      <c r="Z348" s="1080"/>
      <c r="AA348" s="143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03">
        <f t="shared" si="143"/>
        <v>0</v>
      </c>
      <c r="AM348" s="136"/>
      <c r="AN348" s="136"/>
      <c r="AO348" s="136"/>
      <c r="AP348" s="105">
        <f t="shared" si="144"/>
        <v>0</v>
      </c>
      <c r="AQ348" s="143"/>
      <c r="AR348" s="143"/>
      <c r="AS348" s="143"/>
      <c r="AT348" s="146"/>
      <c r="AU348" s="224">
        <f t="shared" si="145"/>
        <v>0</v>
      </c>
      <c r="AV348" s="126"/>
      <c r="AW348" s="127"/>
      <c r="AX348" s="433"/>
      <c r="AY348" s="1133"/>
      <c r="AZ348" s="433"/>
      <c r="BA348" s="275"/>
      <c r="BB348" s="126"/>
      <c r="BC348" s="274"/>
      <c r="BD348" s="274"/>
      <c r="BE348" s="274"/>
      <c r="BF348" s="274"/>
      <c r="BG348" s="222">
        <f t="shared" si="146"/>
        <v>0</v>
      </c>
      <c r="BH348" s="140">
        <f t="shared" si="147"/>
        <v>0</v>
      </c>
      <c r="BI348" s="132"/>
      <c r="BJ348" s="140">
        <f t="shared" si="148"/>
        <v>0</v>
      </c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30">
        <f t="shared" si="149"/>
        <v>0</v>
      </c>
      <c r="BY348" s="132"/>
    </row>
    <row r="349" ht="14.25" customHeight="1">
      <c r="A349" s="132"/>
      <c r="B349" s="306">
        <v>46334</v>
      </c>
      <c r="C349" s="133"/>
      <c r="D349" s="136"/>
      <c r="E349" s="135"/>
      <c r="F349" s="135"/>
      <c r="G349" s="147">
        <f t="shared" si="141"/>
        <v>0</v>
      </c>
      <c r="H349" s="768"/>
      <c r="I349" s="768"/>
      <c r="J349" s="611"/>
      <c r="K349" s="611"/>
      <c r="L349" s="611"/>
      <c r="M349" s="611"/>
      <c r="N349" s="611"/>
      <c r="O349" s="611"/>
      <c r="P349" s="611"/>
      <c r="Q349" s="611"/>
      <c r="R349" s="611"/>
      <c r="S349" s="143"/>
      <c r="T349" s="143"/>
      <c r="U349" s="143"/>
      <c r="V349" s="143"/>
      <c r="W349" s="143"/>
      <c r="X349" s="1248">
        <f t="shared" si="142"/>
        <v>0</v>
      </c>
      <c r="Y349" s="1080"/>
      <c r="Z349" s="1080"/>
      <c r="AA349" s="143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03">
        <f t="shared" si="143"/>
        <v>0</v>
      </c>
      <c r="AM349" s="136"/>
      <c r="AN349" s="136"/>
      <c r="AO349" s="136"/>
      <c r="AP349" s="105">
        <f t="shared" si="144"/>
        <v>0</v>
      </c>
      <c r="AQ349" s="143"/>
      <c r="AR349" s="143"/>
      <c r="AS349" s="143"/>
      <c r="AT349" s="146"/>
      <c r="AU349" s="224">
        <f t="shared" si="145"/>
        <v>0</v>
      </c>
      <c r="AV349" s="126"/>
      <c r="AW349" s="127"/>
      <c r="AX349" s="433"/>
      <c r="AY349" s="1133"/>
      <c r="AZ349" s="433"/>
      <c r="BA349" s="275"/>
      <c r="BB349" s="126"/>
      <c r="BC349" s="274"/>
      <c r="BD349" s="274"/>
      <c r="BE349" s="274"/>
      <c r="BF349" s="274"/>
      <c r="BG349" s="222">
        <f t="shared" si="146"/>
        <v>0</v>
      </c>
      <c r="BH349" s="140">
        <f t="shared" si="147"/>
        <v>0</v>
      </c>
      <c r="BI349" s="132"/>
      <c r="BJ349" s="140">
        <f t="shared" si="148"/>
        <v>0</v>
      </c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30">
        <f t="shared" si="149"/>
        <v>0</v>
      </c>
      <c r="BY349" s="132"/>
    </row>
    <row r="350" ht="14.25" customHeight="1">
      <c r="A350" s="132"/>
      <c r="B350" s="306">
        <v>46335</v>
      </c>
      <c r="C350" s="133"/>
      <c r="D350" s="136"/>
      <c r="E350" s="135"/>
      <c r="F350" s="135"/>
      <c r="G350" s="147">
        <f t="shared" si="141"/>
        <v>0</v>
      </c>
      <c r="H350" s="768"/>
      <c r="I350" s="768"/>
      <c r="J350" s="611"/>
      <c r="K350" s="611"/>
      <c r="L350" s="611"/>
      <c r="M350" s="611"/>
      <c r="N350" s="611"/>
      <c r="O350" s="611"/>
      <c r="P350" s="611"/>
      <c r="Q350" s="611"/>
      <c r="R350" s="611"/>
      <c r="S350" s="143"/>
      <c r="T350" s="143"/>
      <c r="U350" s="143"/>
      <c r="V350" s="143"/>
      <c r="W350" s="143"/>
      <c r="X350" s="1248">
        <f t="shared" si="142"/>
        <v>0</v>
      </c>
      <c r="Y350" s="1080"/>
      <c r="Z350" s="1080"/>
      <c r="AA350" s="143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03">
        <f t="shared" si="143"/>
        <v>0</v>
      </c>
      <c r="AM350" s="136"/>
      <c r="AN350" s="136"/>
      <c r="AO350" s="136"/>
      <c r="AP350" s="105">
        <f t="shared" si="144"/>
        <v>0</v>
      </c>
      <c r="AQ350" s="143"/>
      <c r="AR350" s="143"/>
      <c r="AS350" s="143"/>
      <c r="AT350" s="146"/>
      <c r="AU350" s="224">
        <f t="shared" si="145"/>
        <v>0</v>
      </c>
      <c r="AV350" s="126"/>
      <c r="AW350" s="127"/>
      <c r="AX350" s="433"/>
      <c r="AY350" s="1133"/>
      <c r="AZ350" s="433"/>
      <c r="BA350" s="275"/>
      <c r="BB350" s="126"/>
      <c r="BC350" s="274"/>
      <c r="BD350" s="274"/>
      <c r="BE350" s="274"/>
      <c r="BF350" s="274"/>
      <c r="BG350" s="222">
        <f t="shared" si="146"/>
        <v>0</v>
      </c>
      <c r="BH350" s="140">
        <f t="shared" si="147"/>
        <v>0</v>
      </c>
      <c r="BI350" s="132"/>
      <c r="BJ350" s="140">
        <f t="shared" si="148"/>
        <v>0</v>
      </c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30">
        <f t="shared" si="149"/>
        <v>0</v>
      </c>
      <c r="BY350" s="132"/>
    </row>
    <row r="351" ht="14.25" customHeight="1">
      <c r="A351" s="132"/>
      <c r="B351" s="306">
        <v>46336</v>
      </c>
      <c r="C351" s="133"/>
      <c r="D351" s="136"/>
      <c r="E351" s="135"/>
      <c r="F351" s="135"/>
      <c r="G351" s="147">
        <f t="shared" si="141"/>
        <v>0</v>
      </c>
      <c r="H351" s="768"/>
      <c r="I351" s="768"/>
      <c r="J351" s="611"/>
      <c r="K351" s="611"/>
      <c r="L351" s="611"/>
      <c r="M351" s="611"/>
      <c r="N351" s="611"/>
      <c r="O351" s="611"/>
      <c r="P351" s="611"/>
      <c r="Q351" s="611"/>
      <c r="R351" s="611"/>
      <c r="S351" s="143"/>
      <c r="T351" s="143"/>
      <c r="U351" s="143"/>
      <c r="V351" s="143"/>
      <c r="W351" s="143"/>
      <c r="X351" s="1248">
        <f t="shared" si="142"/>
        <v>0</v>
      </c>
      <c r="Y351" s="1080"/>
      <c r="Z351" s="1080"/>
      <c r="AA351" s="143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03">
        <f t="shared" si="143"/>
        <v>0</v>
      </c>
      <c r="AM351" s="136"/>
      <c r="AN351" s="136"/>
      <c r="AO351" s="136"/>
      <c r="AP351" s="105">
        <f t="shared" si="144"/>
        <v>0</v>
      </c>
      <c r="AQ351" s="143"/>
      <c r="AR351" s="143"/>
      <c r="AS351" s="143"/>
      <c r="AT351" s="146"/>
      <c r="AU351" s="224">
        <f t="shared" si="145"/>
        <v>0</v>
      </c>
      <c r="AV351" s="126"/>
      <c r="AW351" s="127"/>
      <c r="AX351" s="433"/>
      <c r="AY351" s="1133"/>
      <c r="AZ351" s="433"/>
      <c r="BA351" s="275"/>
      <c r="BB351" s="126"/>
      <c r="BC351" s="274"/>
      <c r="BD351" s="274"/>
      <c r="BE351" s="274"/>
      <c r="BF351" s="274"/>
      <c r="BG351" s="222">
        <f t="shared" si="146"/>
        <v>0</v>
      </c>
      <c r="BH351" s="140">
        <f t="shared" si="147"/>
        <v>0</v>
      </c>
      <c r="BI351" s="132"/>
      <c r="BJ351" s="140">
        <f t="shared" si="148"/>
        <v>0</v>
      </c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30">
        <f t="shared" si="149"/>
        <v>0</v>
      </c>
      <c r="BY351" s="132"/>
    </row>
    <row r="352" ht="14.25" customHeight="1">
      <c r="A352" s="132"/>
      <c r="B352" s="306">
        <v>46337</v>
      </c>
      <c r="C352" s="133"/>
      <c r="D352" s="136"/>
      <c r="E352" s="135"/>
      <c r="F352" s="135"/>
      <c r="G352" s="147">
        <f t="shared" si="141"/>
        <v>0</v>
      </c>
      <c r="H352" s="768"/>
      <c r="I352" s="768"/>
      <c r="J352" s="611"/>
      <c r="K352" s="611"/>
      <c r="L352" s="611"/>
      <c r="M352" s="611"/>
      <c r="N352" s="611"/>
      <c r="O352" s="611"/>
      <c r="P352" s="611"/>
      <c r="Q352" s="611"/>
      <c r="R352" s="611"/>
      <c r="S352" s="143"/>
      <c r="T352" s="143"/>
      <c r="U352" s="143"/>
      <c r="V352" s="143"/>
      <c r="W352" s="143"/>
      <c r="X352" s="1248">
        <f t="shared" si="142"/>
        <v>0</v>
      </c>
      <c r="Y352" s="1080"/>
      <c r="Z352" s="1080"/>
      <c r="AA352" s="143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03">
        <f t="shared" si="143"/>
        <v>0</v>
      </c>
      <c r="AM352" s="136"/>
      <c r="AN352" s="136"/>
      <c r="AO352" s="136"/>
      <c r="AP352" s="105">
        <f t="shared" si="144"/>
        <v>0</v>
      </c>
      <c r="AQ352" s="143"/>
      <c r="AR352" s="143"/>
      <c r="AS352" s="143"/>
      <c r="AT352" s="146"/>
      <c r="AU352" s="224">
        <f t="shared" si="145"/>
        <v>0</v>
      </c>
      <c r="AV352" s="126"/>
      <c r="AW352" s="127"/>
      <c r="AX352" s="433"/>
      <c r="AY352" s="1133"/>
      <c r="AZ352" s="433"/>
      <c r="BA352" s="275"/>
      <c r="BB352" s="126"/>
      <c r="BC352" s="274"/>
      <c r="BD352" s="274"/>
      <c r="BE352" s="274"/>
      <c r="BF352" s="274"/>
      <c r="BG352" s="222">
        <f t="shared" si="146"/>
        <v>0</v>
      </c>
      <c r="BH352" s="140">
        <f t="shared" si="147"/>
        <v>0</v>
      </c>
      <c r="BI352" s="132"/>
      <c r="BJ352" s="140">
        <f t="shared" si="148"/>
        <v>0</v>
      </c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30">
        <f t="shared" si="149"/>
        <v>0</v>
      </c>
      <c r="BY352" s="132"/>
    </row>
    <row r="353" ht="14.25" customHeight="1">
      <c r="A353" s="132"/>
      <c r="B353" s="306">
        <v>46338</v>
      </c>
      <c r="C353" s="133"/>
      <c r="D353" s="136"/>
      <c r="E353" s="135"/>
      <c r="F353" s="135"/>
      <c r="G353" s="147">
        <f t="shared" si="141"/>
        <v>0</v>
      </c>
      <c r="H353" s="768"/>
      <c r="I353" s="768"/>
      <c r="J353" s="611"/>
      <c r="K353" s="611"/>
      <c r="L353" s="611"/>
      <c r="M353" s="611"/>
      <c r="N353" s="611"/>
      <c r="O353" s="611"/>
      <c r="P353" s="611"/>
      <c r="Q353" s="611"/>
      <c r="R353" s="611"/>
      <c r="S353" s="143"/>
      <c r="T353" s="143"/>
      <c r="U353" s="143"/>
      <c r="V353" s="143"/>
      <c r="W353" s="143"/>
      <c r="X353" s="1248">
        <f t="shared" si="142"/>
        <v>0</v>
      </c>
      <c r="Y353" s="1080"/>
      <c r="Z353" s="1080"/>
      <c r="AA353" s="143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03">
        <f t="shared" si="143"/>
        <v>0</v>
      </c>
      <c r="AM353" s="136"/>
      <c r="AN353" s="136"/>
      <c r="AO353" s="136"/>
      <c r="AP353" s="105">
        <f t="shared" si="144"/>
        <v>0</v>
      </c>
      <c r="AQ353" s="143"/>
      <c r="AR353" s="143"/>
      <c r="AS353" s="143"/>
      <c r="AT353" s="146"/>
      <c r="AU353" s="224">
        <f t="shared" si="145"/>
        <v>0</v>
      </c>
      <c r="AV353" s="126"/>
      <c r="AW353" s="127"/>
      <c r="AX353" s="433"/>
      <c r="AY353" s="1133"/>
      <c r="AZ353" s="433"/>
      <c r="BA353" s="275"/>
      <c r="BB353" s="126"/>
      <c r="BC353" s="274"/>
      <c r="BD353" s="274"/>
      <c r="BE353" s="274"/>
      <c r="BF353" s="274"/>
      <c r="BG353" s="222">
        <f t="shared" si="146"/>
        <v>0</v>
      </c>
      <c r="BH353" s="140">
        <f t="shared" si="147"/>
        <v>0</v>
      </c>
      <c r="BI353" s="132"/>
      <c r="BJ353" s="140">
        <f t="shared" si="148"/>
        <v>0</v>
      </c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30">
        <f t="shared" si="149"/>
        <v>0</v>
      </c>
      <c r="BY353" s="132"/>
    </row>
    <row r="354" ht="14.25" customHeight="1">
      <c r="A354" s="132"/>
      <c r="B354" s="306">
        <v>46339</v>
      </c>
      <c r="C354" s="133"/>
      <c r="D354" s="136"/>
      <c r="E354" s="135"/>
      <c r="F354" s="135"/>
      <c r="G354" s="147">
        <f t="shared" si="141"/>
        <v>0</v>
      </c>
      <c r="H354" s="768"/>
      <c r="I354" s="768"/>
      <c r="J354" s="611"/>
      <c r="K354" s="611"/>
      <c r="L354" s="611"/>
      <c r="M354" s="611"/>
      <c r="N354" s="611"/>
      <c r="O354" s="611"/>
      <c r="P354" s="611"/>
      <c r="Q354" s="611"/>
      <c r="R354" s="611"/>
      <c r="S354" s="143"/>
      <c r="T354" s="143"/>
      <c r="U354" s="143"/>
      <c r="V354" s="143"/>
      <c r="W354" s="143"/>
      <c r="X354" s="1248">
        <f t="shared" si="142"/>
        <v>0</v>
      </c>
      <c r="Y354" s="1080"/>
      <c r="Z354" s="1080"/>
      <c r="AA354" s="143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03">
        <f t="shared" si="143"/>
        <v>0</v>
      </c>
      <c r="AM354" s="136"/>
      <c r="AN354" s="136"/>
      <c r="AO354" s="136"/>
      <c r="AP354" s="105">
        <f t="shared" si="144"/>
        <v>0</v>
      </c>
      <c r="AQ354" s="143"/>
      <c r="AR354" s="143"/>
      <c r="AS354" s="143"/>
      <c r="AT354" s="146"/>
      <c r="AU354" s="224">
        <f t="shared" si="145"/>
        <v>0</v>
      </c>
      <c r="AV354" s="126"/>
      <c r="AW354" s="127"/>
      <c r="AX354" s="433"/>
      <c r="AY354" s="1133"/>
      <c r="AZ354" s="433"/>
      <c r="BA354" s="275"/>
      <c r="BB354" s="126"/>
      <c r="BC354" s="274"/>
      <c r="BD354" s="274"/>
      <c r="BE354" s="274"/>
      <c r="BF354" s="274"/>
      <c r="BG354" s="222">
        <f t="shared" si="146"/>
        <v>0</v>
      </c>
      <c r="BH354" s="140">
        <f t="shared" si="147"/>
        <v>0</v>
      </c>
      <c r="BI354" s="132"/>
      <c r="BJ354" s="140">
        <f t="shared" si="148"/>
        <v>0</v>
      </c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30">
        <f t="shared" si="149"/>
        <v>0</v>
      </c>
      <c r="BY354" s="132"/>
    </row>
    <row r="355" ht="14.25" customHeight="1">
      <c r="A355" s="132"/>
      <c r="B355" s="306">
        <v>46340</v>
      </c>
      <c r="C355" s="133"/>
      <c r="D355" s="136"/>
      <c r="E355" s="135"/>
      <c r="F355" s="135"/>
      <c r="G355" s="147">
        <f t="shared" si="141"/>
        <v>0</v>
      </c>
      <c r="H355" s="768"/>
      <c r="I355" s="768"/>
      <c r="J355" s="611"/>
      <c r="K355" s="611"/>
      <c r="L355" s="611"/>
      <c r="M355" s="611"/>
      <c r="N355" s="611"/>
      <c r="O355" s="611"/>
      <c r="P355" s="611"/>
      <c r="Q355" s="611"/>
      <c r="R355" s="611"/>
      <c r="S355" s="143"/>
      <c r="T355" s="143"/>
      <c r="U355" s="143"/>
      <c r="V355" s="143"/>
      <c r="W355" s="143"/>
      <c r="X355" s="1248">
        <f t="shared" si="142"/>
        <v>0</v>
      </c>
      <c r="Y355" s="1080"/>
      <c r="Z355" s="1080"/>
      <c r="AA355" s="143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03">
        <f t="shared" si="143"/>
        <v>0</v>
      </c>
      <c r="AM355" s="136"/>
      <c r="AN355" s="136"/>
      <c r="AO355" s="136"/>
      <c r="AP355" s="105">
        <f t="shared" si="144"/>
        <v>0</v>
      </c>
      <c r="AQ355" s="143"/>
      <c r="AR355" s="143"/>
      <c r="AS355" s="143"/>
      <c r="AT355" s="146"/>
      <c r="AU355" s="224">
        <f t="shared" si="145"/>
        <v>0</v>
      </c>
      <c r="AV355" s="126"/>
      <c r="AW355" s="127"/>
      <c r="AX355" s="433"/>
      <c r="AY355" s="1133"/>
      <c r="AZ355" s="433"/>
      <c r="BA355" s="275"/>
      <c r="BB355" s="126"/>
      <c r="BC355" s="274"/>
      <c r="BD355" s="274"/>
      <c r="BE355" s="274"/>
      <c r="BF355" s="274"/>
      <c r="BG355" s="222">
        <f t="shared" si="146"/>
        <v>0</v>
      </c>
      <c r="BH355" s="140">
        <f t="shared" si="147"/>
        <v>0</v>
      </c>
      <c r="BI355" s="132"/>
      <c r="BJ355" s="140">
        <f t="shared" si="148"/>
        <v>0</v>
      </c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30">
        <f t="shared" si="149"/>
        <v>0</v>
      </c>
      <c r="BY355" s="132"/>
    </row>
    <row r="356" ht="14.25" customHeight="1">
      <c r="A356" s="132"/>
      <c r="B356" s="306">
        <v>46341</v>
      </c>
      <c r="C356" s="133"/>
      <c r="D356" s="136"/>
      <c r="E356" s="135"/>
      <c r="F356" s="135"/>
      <c r="G356" s="147">
        <f t="shared" si="141"/>
        <v>0</v>
      </c>
      <c r="H356" s="768"/>
      <c r="I356" s="768"/>
      <c r="J356" s="611"/>
      <c r="K356" s="611"/>
      <c r="L356" s="611"/>
      <c r="M356" s="611"/>
      <c r="N356" s="611"/>
      <c r="O356" s="611"/>
      <c r="P356" s="611"/>
      <c r="Q356" s="611"/>
      <c r="R356" s="611"/>
      <c r="S356" s="143"/>
      <c r="T356" s="143"/>
      <c r="U356" s="143"/>
      <c r="V356" s="143"/>
      <c r="W356" s="143"/>
      <c r="X356" s="1248">
        <f t="shared" si="142"/>
        <v>0</v>
      </c>
      <c r="Y356" s="1280"/>
      <c r="Z356" s="1280"/>
      <c r="AA356" s="143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03">
        <f t="shared" si="143"/>
        <v>0</v>
      </c>
      <c r="AM356" s="136"/>
      <c r="AN356" s="136"/>
      <c r="AO356" s="136"/>
      <c r="AP356" s="105">
        <f t="shared" si="144"/>
        <v>0</v>
      </c>
      <c r="AQ356" s="143"/>
      <c r="AR356" s="143"/>
      <c r="AS356" s="143"/>
      <c r="AT356" s="146"/>
      <c r="AU356" s="224">
        <f t="shared" si="145"/>
        <v>0</v>
      </c>
      <c r="AV356" s="126"/>
      <c r="AW356" s="127"/>
      <c r="AX356" s="433"/>
      <c r="AY356" s="1133"/>
      <c r="AZ356" s="433"/>
      <c r="BA356" s="275"/>
      <c r="BB356" s="126"/>
      <c r="BC356" s="274"/>
      <c r="BD356" s="274"/>
      <c r="BE356" s="274"/>
      <c r="BF356" s="274"/>
      <c r="BG356" s="222">
        <f t="shared" si="146"/>
        <v>0</v>
      </c>
      <c r="BH356" s="140">
        <f t="shared" si="147"/>
        <v>0</v>
      </c>
      <c r="BI356" s="132"/>
      <c r="BJ356" s="140">
        <f t="shared" si="148"/>
        <v>0</v>
      </c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30">
        <f t="shared" si="149"/>
        <v>0</v>
      </c>
      <c r="BY356" s="132"/>
    </row>
    <row r="357" ht="14.25" customHeight="1">
      <c r="A357" s="132"/>
      <c r="B357" s="306">
        <v>46342</v>
      </c>
      <c r="C357" s="133"/>
      <c r="D357" s="136"/>
      <c r="E357" s="135"/>
      <c r="F357" s="135"/>
      <c r="G357" s="147">
        <f t="shared" si="141"/>
        <v>0</v>
      </c>
      <c r="H357" s="768"/>
      <c r="I357" s="768"/>
      <c r="J357" s="611"/>
      <c r="K357" s="611"/>
      <c r="L357" s="611"/>
      <c r="M357" s="611"/>
      <c r="N357" s="611"/>
      <c r="O357" s="611"/>
      <c r="P357" s="611"/>
      <c r="Q357" s="611"/>
      <c r="R357" s="611"/>
      <c r="S357" s="143"/>
      <c r="T357" s="143"/>
      <c r="U357" s="143"/>
      <c r="V357" s="143"/>
      <c r="W357" s="143"/>
      <c r="X357" s="1248">
        <f t="shared" si="142"/>
        <v>0</v>
      </c>
      <c r="Y357" s="1280"/>
      <c r="Z357" s="1280"/>
      <c r="AA357" s="143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03">
        <f t="shared" si="143"/>
        <v>0</v>
      </c>
      <c r="AM357" s="136"/>
      <c r="AN357" s="136"/>
      <c r="AO357" s="136"/>
      <c r="AP357" s="105">
        <f t="shared" si="144"/>
        <v>0</v>
      </c>
      <c r="AQ357" s="143"/>
      <c r="AR357" s="143"/>
      <c r="AS357" s="143"/>
      <c r="AT357" s="146"/>
      <c r="AU357" s="224">
        <f t="shared" si="145"/>
        <v>0</v>
      </c>
      <c r="AV357" s="126"/>
      <c r="AW357" s="127"/>
      <c r="AX357" s="433"/>
      <c r="AY357" s="1133"/>
      <c r="AZ357" s="433"/>
      <c r="BA357" s="275"/>
      <c r="BB357" s="126"/>
      <c r="BC357" s="274"/>
      <c r="BD357" s="274"/>
      <c r="BE357" s="274"/>
      <c r="BF357" s="274"/>
      <c r="BG357" s="222">
        <f t="shared" si="146"/>
        <v>0</v>
      </c>
      <c r="BH357" s="140">
        <f t="shared" si="147"/>
        <v>0</v>
      </c>
      <c r="BI357" s="132"/>
      <c r="BJ357" s="140">
        <f t="shared" si="148"/>
        <v>0</v>
      </c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30">
        <f t="shared" si="149"/>
        <v>0</v>
      </c>
      <c r="BY357" s="132"/>
    </row>
    <row r="358" ht="14.25" customHeight="1">
      <c r="A358" s="132"/>
      <c r="B358" s="306">
        <v>46343</v>
      </c>
      <c r="C358" s="133"/>
      <c r="D358" s="136"/>
      <c r="E358" s="135"/>
      <c r="F358" s="135"/>
      <c r="G358" s="147">
        <f t="shared" si="141"/>
        <v>0</v>
      </c>
      <c r="H358" s="768"/>
      <c r="I358" s="768"/>
      <c r="J358" s="611"/>
      <c r="K358" s="611"/>
      <c r="L358" s="611"/>
      <c r="M358" s="611"/>
      <c r="N358" s="611"/>
      <c r="O358" s="611"/>
      <c r="P358" s="611"/>
      <c r="Q358" s="611"/>
      <c r="R358" s="611"/>
      <c r="S358" s="143"/>
      <c r="T358" s="143"/>
      <c r="U358" s="143"/>
      <c r="V358" s="143"/>
      <c r="W358" s="143"/>
      <c r="X358" s="1248">
        <f t="shared" si="142"/>
        <v>0</v>
      </c>
      <c r="Y358" s="1280"/>
      <c r="Z358" s="1280"/>
      <c r="AA358" s="143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03">
        <f t="shared" si="143"/>
        <v>0</v>
      </c>
      <c r="AM358" s="136"/>
      <c r="AN358" s="136"/>
      <c r="AO358" s="136"/>
      <c r="AP358" s="105">
        <f t="shared" si="144"/>
        <v>0</v>
      </c>
      <c r="AQ358" s="143"/>
      <c r="AR358" s="143"/>
      <c r="AS358" s="143"/>
      <c r="AT358" s="146"/>
      <c r="AU358" s="224">
        <f t="shared" si="145"/>
        <v>0</v>
      </c>
      <c r="AV358" s="126"/>
      <c r="AW358" s="127"/>
      <c r="AX358" s="433"/>
      <c r="AY358" s="1133"/>
      <c r="AZ358" s="433"/>
      <c r="BA358" s="275"/>
      <c r="BB358" s="126"/>
      <c r="BC358" s="274"/>
      <c r="BD358" s="274"/>
      <c r="BE358" s="274"/>
      <c r="BF358" s="274"/>
      <c r="BG358" s="222">
        <f t="shared" si="146"/>
        <v>0</v>
      </c>
      <c r="BH358" s="140">
        <f t="shared" si="147"/>
        <v>0</v>
      </c>
      <c r="BI358" s="132"/>
      <c r="BJ358" s="140">
        <f t="shared" si="148"/>
        <v>0</v>
      </c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30">
        <f t="shared" si="149"/>
        <v>0</v>
      </c>
      <c r="BY358" s="132"/>
    </row>
    <row r="359" ht="14.25" customHeight="1">
      <c r="A359" s="132"/>
      <c r="B359" s="306">
        <v>46344</v>
      </c>
      <c r="C359" s="133"/>
      <c r="D359" s="136"/>
      <c r="E359" s="135"/>
      <c r="F359" s="135"/>
      <c r="G359" s="147">
        <f t="shared" si="141"/>
        <v>0</v>
      </c>
      <c r="H359" s="768"/>
      <c r="I359" s="768"/>
      <c r="J359" s="611"/>
      <c r="K359" s="611"/>
      <c r="L359" s="611"/>
      <c r="M359" s="611"/>
      <c r="N359" s="611"/>
      <c r="O359" s="611"/>
      <c r="P359" s="611"/>
      <c r="Q359" s="611"/>
      <c r="R359" s="611"/>
      <c r="S359" s="143"/>
      <c r="T359" s="143"/>
      <c r="U359" s="143"/>
      <c r="V359" s="143"/>
      <c r="W359" s="143"/>
      <c r="X359" s="1248">
        <f t="shared" si="142"/>
        <v>0</v>
      </c>
      <c r="Y359" s="1280"/>
      <c r="Z359" s="1280"/>
      <c r="AA359" s="143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03">
        <f t="shared" si="143"/>
        <v>0</v>
      </c>
      <c r="AM359" s="136"/>
      <c r="AN359" s="136"/>
      <c r="AO359" s="136"/>
      <c r="AP359" s="105">
        <f t="shared" si="144"/>
        <v>0</v>
      </c>
      <c r="AQ359" s="143"/>
      <c r="AR359" s="143"/>
      <c r="AS359" s="143"/>
      <c r="AT359" s="146"/>
      <c r="AU359" s="224">
        <f t="shared" si="145"/>
        <v>0</v>
      </c>
      <c r="AV359" s="126"/>
      <c r="AW359" s="127"/>
      <c r="AX359" s="433"/>
      <c r="AY359" s="1133"/>
      <c r="AZ359" s="433"/>
      <c r="BA359" s="275"/>
      <c r="BB359" s="126"/>
      <c r="BC359" s="274"/>
      <c r="BD359" s="274"/>
      <c r="BE359" s="274"/>
      <c r="BF359" s="274"/>
      <c r="BG359" s="222">
        <f t="shared" si="146"/>
        <v>0</v>
      </c>
      <c r="BH359" s="140">
        <f t="shared" si="147"/>
        <v>0</v>
      </c>
      <c r="BI359" s="132"/>
      <c r="BJ359" s="140">
        <f t="shared" si="148"/>
        <v>0</v>
      </c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30">
        <f t="shared" si="149"/>
        <v>0</v>
      </c>
      <c r="BY359" s="132"/>
    </row>
    <row r="360" ht="14.25" customHeight="1">
      <c r="A360" s="132"/>
      <c r="B360" s="306">
        <v>46345</v>
      </c>
      <c r="C360" s="133"/>
      <c r="D360" s="136"/>
      <c r="E360" s="135"/>
      <c r="F360" s="135"/>
      <c r="G360" s="147">
        <f t="shared" si="141"/>
        <v>0</v>
      </c>
      <c r="H360" s="768"/>
      <c r="I360" s="768"/>
      <c r="J360" s="611"/>
      <c r="K360" s="611"/>
      <c r="L360" s="611"/>
      <c r="M360" s="611"/>
      <c r="N360" s="611"/>
      <c r="O360" s="611"/>
      <c r="P360" s="611"/>
      <c r="Q360" s="611"/>
      <c r="R360" s="611"/>
      <c r="S360" s="143"/>
      <c r="T360" s="143"/>
      <c r="U360" s="143"/>
      <c r="V360" s="143"/>
      <c r="W360" s="143"/>
      <c r="X360" s="1248">
        <f t="shared" si="142"/>
        <v>0</v>
      </c>
      <c r="Y360" s="1280"/>
      <c r="Z360" s="1280"/>
      <c r="AA360" s="143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03">
        <f t="shared" si="143"/>
        <v>0</v>
      </c>
      <c r="AM360" s="136"/>
      <c r="AN360" s="136"/>
      <c r="AO360" s="136"/>
      <c r="AP360" s="105">
        <f t="shared" si="144"/>
        <v>0</v>
      </c>
      <c r="AQ360" s="143"/>
      <c r="AR360" s="143"/>
      <c r="AS360" s="143"/>
      <c r="AT360" s="146"/>
      <c r="AU360" s="224">
        <f t="shared" si="145"/>
        <v>0</v>
      </c>
      <c r="AV360" s="126"/>
      <c r="AW360" s="127"/>
      <c r="AX360" s="433"/>
      <c r="AY360" s="1133"/>
      <c r="AZ360" s="433"/>
      <c r="BA360" s="275"/>
      <c r="BB360" s="126"/>
      <c r="BC360" s="274"/>
      <c r="BD360" s="274"/>
      <c r="BE360" s="274"/>
      <c r="BF360" s="274"/>
      <c r="BG360" s="222">
        <f t="shared" si="146"/>
        <v>0</v>
      </c>
      <c r="BH360" s="140">
        <f t="shared" si="147"/>
        <v>0</v>
      </c>
      <c r="BI360" s="132"/>
      <c r="BJ360" s="140">
        <f t="shared" si="148"/>
        <v>0</v>
      </c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30">
        <f t="shared" si="149"/>
        <v>0</v>
      </c>
      <c r="BY360" s="132"/>
    </row>
    <row r="361" ht="14.25" customHeight="1">
      <c r="A361" s="132"/>
      <c r="B361" s="306">
        <v>46346</v>
      </c>
      <c r="C361" s="133"/>
      <c r="D361" s="136"/>
      <c r="E361" s="135"/>
      <c r="F361" s="135"/>
      <c r="G361" s="147">
        <f t="shared" si="141"/>
        <v>0</v>
      </c>
      <c r="H361" s="768"/>
      <c r="I361" s="768"/>
      <c r="J361" s="611"/>
      <c r="K361" s="611"/>
      <c r="L361" s="611"/>
      <c r="M361" s="611"/>
      <c r="N361" s="611"/>
      <c r="O361" s="611"/>
      <c r="P361" s="611"/>
      <c r="Q361" s="611"/>
      <c r="R361" s="611"/>
      <c r="S361" s="143"/>
      <c r="T361" s="143"/>
      <c r="U361" s="143"/>
      <c r="V361" s="143"/>
      <c r="W361" s="143"/>
      <c r="X361" s="1248">
        <f t="shared" si="142"/>
        <v>0</v>
      </c>
      <c r="Y361" s="1280"/>
      <c r="Z361" s="1280"/>
      <c r="AA361" s="143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03">
        <f t="shared" si="143"/>
        <v>0</v>
      </c>
      <c r="AM361" s="136"/>
      <c r="AN361" s="136"/>
      <c r="AO361" s="136"/>
      <c r="AP361" s="105">
        <f t="shared" si="144"/>
        <v>0</v>
      </c>
      <c r="AQ361" s="143"/>
      <c r="AR361" s="143"/>
      <c r="AS361" s="143"/>
      <c r="AT361" s="146"/>
      <c r="AU361" s="224">
        <f t="shared" si="145"/>
        <v>0</v>
      </c>
      <c r="AV361" s="126"/>
      <c r="AW361" s="127"/>
      <c r="AX361" s="433"/>
      <c r="AY361" s="1133"/>
      <c r="AZ361" s="433"/>
      <c r="BA361" s="275"/>
      <c r="BB361" s="126"/>
      <c r="BC361" s="274"/>
      <c r="BD361" s="274"/>
      <c r="BE361" s="274"/>
      <c r="BF361" s="274"/>
      <c r="BG361" s="222">
        <f t="shared" si="146"/>
        <v>0</v>
      </c>
      <c r="BH361" s="140">
        <f t="shared" si="147"/>
        <v>0</v>
      </c>
      <c r="BI361" s="132"/>
      <c r="BJ361" s="140">
        <f t="shared" si="148"/>
        <v>0</v>
      </c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30">
        <f t="shared" si="149"/>
        <v>0</v>
      </c>
      <c r="BY361" s="132"/>
    </row>
    <row r="362" ht="14.25" customHeight="1">
      <c r="A362" s="132"/>
      <c r="B362" s="306">
        <v>46347</v>
      </c>
      <c r="C362" s="133"/>
      <c r="D362" s="136"/>
      <c r="E362" s="135"/>
      <c r="F362" s="135"/>
      <c r="G362" s="147">
        <f t="shared" si="141"/>
        <v>0</v>
      </c>
      <c r="H362" s="768"/>
      <c r="I362" s="768"/>
      <c r="J362" s="611"/>
      <c r="K362" s="611"/>
      <c r="L362" s="611"/>
      <c r="M362" s="611"/>
      <c r="N362" s="611"/>
      <c r="O362" s="611"/>
      <c r="P362" s="611"/>
      <c r="Q362" s="611"/>
      <c r="R362" s="611"/>
      <c r="S362" s="143"/>
      <c r="T362" s="143"/>
      <c r="U362" s="143"/>
      <c r="V362" s="143"/>
      <c r="W362" s="143"/>
      <c r="X362" s="1248">
        <f t="shared" si="142"/>
        <v>0</v>
      </c>
      <c r="Y362" s="1280"/>
      <c r="Z362" s="1280"/>
      <c r="AA362" s="143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03">
        <f t="shared" si="143"/>
        <v>0</v>
      </c>
      <c r="AM362" s="136"/>
      <c r="AN362" s="136"/>
      <c r="AO362" s="136"/>
      <c r="AP362" s="105">
        <f t="shared" si="144"/>
        <v>0</v>
      </c>
      <c r="AQ362" s="143"/>
      <c r="AR362" s="143"/>
      <c r="AS362" s="143"/>
      <c r="AT362" s="146"/>
      <c r="AU362" s="224">
        <f t="shared" si="145"/>
        <v>0</v>
      </c>
      <c r="AV362" s="126"/>
      <c r="AW362" s="127"/>
      <c r="AX362" s="433"/>
      <c r="AY362" s="1133"/>
      <c r="AZ362" s="433"/>
      <c r="BA362" s="275"/>
      <c r="BB362" s="126"/>
      <c r="BC362" s="274"/>
      <c r="BD362" s="274"/>
      <c r="BE362" s="274"/>
      <c r="BF362" s="274"/>
      <c r="BG362" s="222">
        <f t="shared" si="146"/>
        <v>0</v>
      </c>
      <c r="BH362" s="140">
        <f t="shared" si="147"/>
        <v>0</v>
      </c>
      <c r="BI362" s="132"/>
      <c r="BJ362" s="140">
        <f t="shared" si="148"/>
        <v>0</v>
      </c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30">
        <f t="shared" si="149"/>
        <v>0</v>
      </c>
      <c r="BY362" s="132"/>
    </row>
    <row r="363" ht="14.25" customHeight="1">
      <c r="A363" s="132"/>
      <c r="B363" s="306">
        <v>46348</v>
      </c>
      <c r="C363" s="133"/>
      <c r="D363" s="136"/>
      <c r="E363" s="135"/>
      <c r="F363" s="135"/>
      <c r="G363" s="147">
        <f t="shared" si="141"/>
        <v>0</v>
      </c>
      <c r="H363" s="768"/>
      <c r="I363" s="768"/>
      <c r="J363" s="611"/>
      <c r="K363" s="611"/>
      <c r="L363" s="611"/>
      <c r="M363" s="611"/>
      <c r="N363" s="611"/>
      <c r="O363" s="611"/>
      <c r="P363" s="611"/>
      <c r="Q363" s="611"/>
      <c r="R363" s="611"/>
      <c r="S363" s="143"/>
      <c r="T363" s="143"/>
      <c r="U363" s="143"/>
      <c r="V363" s="143"/>
      <c r="W363" s="143"/>
      <c r="X363" s="1248">
        <f t="shared" si="142"/>
        <v>0</v>
      </c>
      <c r="Y363" s="1080"/>
      <c r="Z363" s="1080"/>
      <c r="AA363" s="143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03">
        <f t="shared" si="143"/>
        <v>0</v>
      </c>
      <c r="AM363" s="136"/>
      <c r="AN363" s="136"/>
      <c r="AO363" s="136"/>
      <c r="AP363" s="105">
        <f t="shared" si="144"/>
        <v>0</v>
      </c>
      <c r="AQ363" s="143"/>
      <c r="AR363" s="143"/>
      <c r="AS363" s="143"/>
      <c r="AT363" s="146"/>
      <c r="AU363" s="224">
        <f t="shared" si="145"/>
        <v>0</v>
      </c>
      <c r="AV363" s="126"/>
      <c r="AW363" s="127"/>
      <c r="AX363" s="433"/>
      <c r="AY363" s="1133"/>
      <c r="AZ363" s="433"/>
      <c r="BA363" s="275"/>
      <c r="BB363" s="126"/>
      <c r="BC363" s="274"/>
      <c r="BD363" s="274"/>
      <c r="BE363" s="274"/>
      <c r="BF363" s="274"/>
      <c r="BG363" s="222">
        <f t="shared" si="146"/>
        <v>0</v>
      </c>
      <c r="BH363" s="140">
        <f t="shared" si="147"/>
        <v>0</v>
      </c>
      <c r="BI363" s="132"/>
      <c r="BJ363" s="140">
        <f t="shared" si="148"/>
        <v>0</v>
      </c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30">
        <f t="shared" si="149"/>
        <v>0</v>
      </c>
      <c r="BY363" s="132"/>
    </row>
    <row r="364" ht="14.25" customHeight="1">
      <c r="A364" s="132"/>
      <c r="B364" s="306">
        <v>46349</v>
      </c>
      <c r="C364" s="133"/>
      <c r="D364" s="136"/>
      <c r="E364" s="135"/>
      <c r="F364" s="135"/>
      <c r="G364" s="147">
        <f t="shared" si="141"/>
        <v>0</v>
      </c>
      <c r="H364" s="768"/>
      <c r="I364" s="768"/>
      <c r="J364" s="611"/>
      <c r="K364" s="611"/>
      <c r="L364" s="611"/>
      <c r="M364" s="611"/>
      <c r="N364" s="611"/>
      <c r="O364" s="611"/>
      <c r="P364" s="611"/>
      <c r="Q364" s="611"/>
      <c r="R364" s="611"/>
      <c r="S364" s="143"/>
      <c r="T364" s="143"/>
      <c r="U364" s="143"/>
      <c r="V364" s="143"/>
      <c r="W364" s="143"/>
      <c r="X364" s="1248">
        <f t="shared" si="142"/>
        <v>0</v>
      </c>
      <c r="Y364" s="1280"/>
      <c r="Z364" s="1280"/>
      <c r="AA364" s="143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03">
        <f t="shared" si="143"/>
        <v>0</v>
      </c>
      <c r="AM364" s="136"/>
      <c r="AN364" s="136"/>
      <c r="AO364" s="136"/>
      <c r="AP364" s="105">
        <f t="shared" si="144"/>
        <v>0</v>
      </c>
      <c r="AQ364" s="143"/>
      <c r="AR364" s="143"/>
      <c r="AS364" s="143"/>
      <c r="AT364" s="146"/>
      <c r="AU364" s="224">
        <f t="shared" si="145"/>
        <v>0</v>
      </c>
      <c r="AV364" s="126"/>
      <c r="AW364" s="127"/>
      <c r="AX364" s="433"/>
      <c r="AY364" s="1133"/>
      <c r="AZ364" s="433"/>
      <c r="BA364" s="275"/>
      <c r="BB364" s="126"/>
      <c r="BC364" s="274"/>
      <c r="BD364" s="274"/>
      <c r="BE364" s="274"/>
      <c r="BF364" s="274"/>
      <c r="BG364" s="222">
        <f t="shared" si="146"/>
        <v>0</v>
      </c>
      <c r="BH364" s="140">
        <f t="shared" si="147"/>
        <v>0</v>
      </c>
      <c r="BI364" s="132"/>
      <c r="BJ364" s="140">
        <f t="shared" si="148"/>
        <v>0</v>
      </c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30">
        <f t="shared" si="149"/>
        <v>0</v>
      </c>
      <c r="BY364" s="132"/>
    </row>
    <row r="365" ht="14.25" customHeight="1">
      <c r="A365" s="132"/>
      <c r="B365" s="306">
        <v>46350</v>
      </c>
      <c r="C365" s="133"/>
      <c r="D365" s="136"/>
      <c r="E365" s="135"/>
      <c r="F365" s="135"/>
      <c r="G365" s="147">
        <f t="shared" si="141"/>
        <v>0</v>
      </c>
      <c r="H365" s="768"/>
      <c r="I365" s="768"/>
      <c r="J365" s="611"/>
      <c r="K365" s="611"/>
      <c r="L365" s="611"/>
      <c r="M365" s="611"/>
      <c r="N365" s="611"/>
      <c r="O365" s="611"/>
      <c r="P365" s="611"/>
      <c r="Q365" s="611"/>
      <c r="R365" s="611"/>
      <c r="S365" s="143"/>
      <c r="T365" s="143"/>
      <c r="U365" s="143"/>
      <c r="V365" s="143"/>
      <c r="W365" s="143"/>
      <c r="X365" s="1248">
        <f t="shared" si="142"/>
        <v>0</v>
      </c>
      <c r="Y365" s="1080"/>
      <c r="Z365" s="1080"/>
      <c r="AA365" s="143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03">
        <f t="shared" si="143"/>
        <v>0</v>
      </c>
      <c r="AM365" s="136"/>
      <c r="AN365" s="136"/>
      <c r="AO365" s="136"/>
      <c r="AP365" s="105">
        <f t="shared" si="144"/>
        <v>0</v>
      </c>
      <c r="AQ365" s="143"/>
      <c r="AR365" s="143"/>
      <c r="AS365" s="143"/>
      <c r="AT365" s="146"/>
      <c r="AU365" s="224">
        <f t="shared" si="145"/>
        <v>0</v>
      </c>
      <c r="AV365" s="126"/>
      <c r="AW365" s="127"/>
      <c r="AX365" s="433"/>
      <c r="AY365" s="1133"/>
      <c r="AZ365" s="433"/>
      <c r="BA365" s="275"/>
      <c r="BB365" s="126"/>
      <c r="BC365" s="274"/>
      <c r="BD365" s="274"/>
      <c r="BE365" s="274"/>
      <c r="BF365" s="274"/>
      <c r="BG365" s="222">
        <f t="shared" si="146"/>
        <v>0</v>
      </c>
      <c r="BH365" s="140">
        <f t="shared" si="147"/>
        <v>0</v>
      </c>
      <c r="BI365" s="132"/>
      <c r="BJ365" s="140">
        <f t="shared" si="148"/>
        <v>0</v>
      </c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30">
        <f t="shared" si="149"/>
        <v>0</v>
      </c>
      <c r="BY365" s="132"/>
    </row>
    <row r="366" ht="14.25" customHeight="1">
      <c r="A366" s="132"/>
      <c r="B366" s="306">
        <v>46351</v>
      </c>
      <c r="C366" s="133"/>
      <c r="D366" s="136"/>
      <c r="E366" s="135"/>
      <c r="F366" s="135"/>
      <c r="G366" s="147">
        <f t="shared" si="141"/>
        <v>0</v>
      </c>
      <c r="H366" s="768"/>
      <c r="I366" s="768"/>
      <c r="J366" s="611"/>
      <c r="K366" s="611"/>
      <c r="L366" s="611"/>
      <c r="M366" s="611"/>
      <c r="N366" s="611"/>
      <c r="O366" s="611"/>
      <c r="P366" s="611"/>
      <c r="Q366" s="611"/>
      <c r="R366" s="611"/>
      <c r="S366" s="143"/>
      <c r="T366" s="143"/>
      <c r="U366" s="143"/>
      <c r="V366" s="143"/>
      <c r="W366" s="143"/>
      <c r="X366" s="1248">
        <f t="shared" si="142"/>
        <v>0</v>
      </c>
      <c r="Y366" s="1312"/>
      <c r="Z366" s="1312"/>
      <c r="AA366" s="143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03">
        <f t="shared" si="143"/>
        <v>0</v>
      </c>
      <c r="AM366" s="136"/>
      <c r="AN366" s="136"/>
      <c r="AO366" s="136"/>
      <c r="AP366" s="105">
        <f t="shared" si="144"/>
        <v>0</v>
      </c>
      <c r="AQ366" s="143"/>
      <c r="AR366" s="143"/>
      <c r="AS366" s="143"/>
      <c r="AT366" s="146"/>
      <c r="AU366" s="224">
        <f t="shared" si="145"/>
        <v>0</v>
      </c>
      <c r="AV366" s="126"/>
      <c r="AW366" s="127"/>
      <c r="AX366" s="433"/>
      <c r="AY366" s="1133"/>
      <c r="AZ366" s="433"/>
      <c r="BA366" s="275"/>
      <c r="BB366" s="126"/>
      <c r="BC366" s="274"/>
      <c r="BD366" s="274"/>
      <c r="BE366" s="274"/>
      <c r="BF366" s="274"/>
      <c r="BG366" s="222">
        <f t="shared" si="146"/>
        <v>0</v>
      </c>
      <c r="BH366" s="140">
        <f t="shared" si="147"/>
        <v>0</v>
      </c>
      <c r="BI366" s="132"/>
      <c r="BJ366" s="140">
        <f t="shared" si="148"/>
        <v>0</v>
      </c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30">
        <f t="shared" si="149"/>
        <v>0</v>
      </c>
      <c r="BY366" s="132"/>
    </row>
    <row r="367" ht="14.25" customHeight="1">
      <c r="A367" s="132"/>
      <c r="B367" s="306">
        <v>46352</v>
      </c>
      <c r="C367" s="133"/>
      <c r="D367" s="136"/>
      <c r="E367" s="135"/>
      <c r="F367" s="135"/>
      <c r="G367" s="147">
        <f t="shared" si="141"/>
        <v>0</v>
      </c>
      <c r="H367" s="768"/>
      <c r="I367" s="768"/>
      <c r="J367" s="611"/>
      <c r="K367" s="611"/>
      <c r="L367" s="641"/>
      <c r="M367" s="641"/>
      <c r="N367" s="641"/>
      <c r="O367" s="611"/>
      <c r="P367" s="611"/>
      <c r="Q367" s="641"/>
      <c r="R367" s="641"/>
      <c r="S367" s="143"/>
      <c r="T367" s="143"/>
      <c r="U367" s="143"/>
      <c r="V367" s="143"/>
      <c r="W367" s="143"/>
      <c r="X367" s="1248">
        <f t="shared" si="142"/>
        <v>0</v>
      </c>
      <c r="Y367" s="611"/>
      <c r="Z367" s="611"/>
      <c r="AA367" s="143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03">
        <f t="shared" si="143"/>
        <v>0</v>
      </c>
      <c r="AM367" s="136"/>
      <c r="AN367" s="136"/>
      <c r="AO367" s="136"/>
      <c r="AP367" s="105">
        <f t="shared" si="144"/>
        <v>0</v>
      </c>
      <c r="AQ367" s="143"/>
      <c r="AR367" s="143"/>
      <c r="AS367" s="143"/>
      <c r="AT367" s="146"/>
      <c r="AU367" s="224">
        <f t="shared" si="145"/>
        <v>0</v>
      </c>
      <c r="AV367" s="126"/>
      <c r="AW367" s="127"/>
      <c r="AX367" s="433"/>
      <c r="AY367" s="1133"/>
      <c r="AZ367" s="433"/>
      <c r="BA367" s="275"/>
      <c r="BB367" s="126"/>
      <c r="BC367" s="274"/>
      <c r="BD367" s="274"/>
      <c r="BE367" s="274"/>
      <c r="BF367" s="274"/>
      <c r="BG367" s="222">
        <f t="shared" si="146"/>
        <v>0</v>
      </c>
      <c r="BH367" s="140">
        <f t="shared" si="147"/>
        <v>0</v>
      </c>
      <c r="BI367" s="132"/>
      <c r="BJ367" s="140">
        <f t="shared" si="148"/>
        <v>0</v>
      </c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30">
        <f t="shared" si="149"/>
        <v>0</v>
      </c>
      <c r="BY367" s="132"/>
    </row>
    <row r="368" ht="14.25" customHeight="1">
      <c r="A368" s="132"/>
      <c r="B368" s="306">
        <v>46353</v>
      </c>
      <c r="C368" s="133"/>
      <c r="D368" s="136"/>
      <c r="E368" s="135"/>
      <c r="F368" s="135"/>
      <c r="G368" s="147">
        <f t="shared" si="141"/>
        <v>0</v>
      </c>
      <c r="H368" s="768"/>
      <c r="I368" s="768"/>
      <c r="J368" s="611"/>
      <c r="K368" s="611"/>
      <c r="L368" s="611"/>
      <c r="M368" s="611"/>
      <c r="N368" s="611"/>
      <c r="O368" s="611"/>
      <c r="P368" s="611"/>
      <c r="Q368" s="611"/>
      <c r="R368" s="611"/>
      <c r="S368" s="143"/>
      <c r="T368" s="143"/>
      <c r="U368" s="143"/>
      <c r="V368" s="143"/>
      <c r="W368" s="143"/>
      <c r="X368" s="1248">
        <f t="shared" si="142"/>
        <v>0</v>
      </c>
      <c r="Y368" s="611"/>
      <c r="Z368" s="611"/>
      <c r="AA368" s="143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03">
        <f t="shared" si="143"/>
        <v>0</v>
      </c>
      <c r="AM368" s="136"/>
      <c r="AN368" s="136"/>
      <c r="AO368" s="136"/>
      <c r="AP368" s="105">
        <f t="shared" si="144"/>
        <v>0</v>
      </c>
      <c r="AQ368" s="143"/>
      <c r="AR368" s="143"/>
      <c r="AS368" s="143"/>
      <c r="AT368" s="146"/>
      <c r="AU368" s="224">
        <f t="shared" si="145"/>
        <v>0</v>
      </c>
      <c r="AV368" s="126"/>
      <c r="AW368" s="127"/>
      <c r="AX368" s="433"/>
      <c r="AY368" s="1133"/>
      <c r="AZ368" s="433"/>
      <c r="BA368" s="275"/>
      <c r="BB368" s="126"/>
      <c r="BC368" s="274"/>
      <c r="BD368" s="274"/>
      <c r="BE368" s="274"/>
      <c r="BF368" s="274"/>
      <c r="BG368" s="222">
        <f t="shared" si="146"/>
        <v>0</v>
      </c>
      <c r="BH368" s="140">
        <f t="shared" si="147"/>
        <v>0</v>
      </c>
      <c r="BI368" s="132"/>
      <c r="BJ368" s="140">
        <f t="shared" si="148"/>
        <v>0</v>
      </c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30">
        <f t="shared" si="149"/>
        <v>0</v>
      </c>
      <c r="BY368" s="132"/>
    </row>
    <row r="369" ht="14.25" customHeight="1">
      <c r="A369" s="132"/>
      <c r="B369" s="306">
        <v>46354</v>
      </c>
      <c r="C369" s="133"/>
      <c r="D369" s="136"/>
      <c r="E369" s="135"/>
      <c r="F369" s="135"/>
      <c r="G369" s="147">
        <f t="shared" si="141"/>
        <v>0</v>
      </c>
      <c r="H369" s="768"/>
      <c r="I369" s="768"/>
      <c r="J369" s="611"/>
      <c r="K369" s="611"/>
      <c r="L369" s="611"/>
      <c r="M369" s="611"/>
      <c r="N369" s="611"/>
      <c r="O369" s="611"/>
      <c r="P369" s="611"/>
      <c r="Q369" s="611"/>
      <c r="R369" s="611"/>
      <c r="S369" s="143"/>
      <c r="T369" s="143"/>
      <c r="U369" s="143"/>
      <c r="V369" s="143"/>
      <c r="W369" s="143"/>
      <c r="X369" s="1248">
        <f t="shared" si="142"/>
        <v>0</v>
      </c>
      <c r="Y369" s="611"/>
      <c r="Z369" s="611"/>
      <c r="AA369" s="143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03">
        <f t="shared" si="143"/>
        <v>0</v>
      </c>
      <c r="AM369" s="136"/>
      <c r="AN369" s="136"/>
      <c r="AO369" s="136"/>
      <c r="AP369" s="105">
        <f t="shared" si="144"/>
        <v>0</v>
      </c>
      <c r="AQ369" s="143"/>
      <c r="AR369" s="143"/>
      <c r="AS369" s="143"/>
      <c r="AT369" s="146"/>
      <c r="AU369" s="224">
        <f t="shared" si="145"/>
        <v>0</v>
      </c>
      <c r="AV369" s="126"/>
      <c r="AW369" s="127"/>
      <c r="AX369" s="433"/>
      <c r="AY369" s="1133"/>
      <c r="AZ369" s="433"/>
      <c r="BA369" s="275"/>
      <c r="BB369" s="126"/>
      <c r="BC369" s="274"/>
      <c r="BD369" s="274"/>
      <c r="BE369" s="274"/>
      <c r="BF369" s="274"/>
      <c r="BG369" s="222">
        <f t="shared" si="146"/>
        <v>0</v>
      </c>
      <c r="BH369" s="140">
        <f t="shared" si="147"/>
        <v>0</v>
      </c>
      <c r="BI369" s="132"/>
      <c r="BJ369" s="140">
        <f t="shared" si="148"/>
        <v>0</v>
      </c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30">
        <f t="shared" si="149"/>
        <v>0</v>
      </c>
      <c r="BY369" s="132"/>
    </row>
    <row r="370" ht="14.25" customHeight="1">
      <c r="A370" s="132"/>
      <c r="B370" s="306">
        <v>46355</v>
      </c>
      <c r="C370" s="136"/>
      <c r="D370" s="136"/>
      <c r="E370" s="135"/>
      <c r="F370" s="135"/>
      <c r="G370" s="147">
        <f t="shared" si="141"/>
        <v>0</v>
      </c>
      <c r="H370" s="768"/>
      <c r="I370" s="768"/>
      <c r="J370" s="611"/>
      <c r="K370" s="611"/>
      <c r="L370" s="611"/>
      <c r="M370" s="611"/>
      <c r="N370" s="611"/>
      <c r="O370" s="611"/>
      <c r="P370" s="611"/>
      <c r="Q370" s="611"/>
      <c r="R370" s="611"/>
      <c r="S370" s="143"/>
      <c r="T370" s="143"/>
      <c r="U370" s="143"/>
      <c r="V370" s="143"/>
      <c r="W370" s="143"/>
      <c r="X370" s="1248">
        <f t="shared" si="142"/>
        <v>0</v>
      </c>
      <c r="Y370" s="611"/>
      <c r="Z370" s="611"/>
      <c r="AA370" s="143"/>
      <c r="AB370" s="143"/>
      <c r="AC370" s="143"/>
      <c r="AD370" s="143"/>
      <c r="AE370" s="143"/>
      <c r="AF370" s="143"/>
      <c r="AG370" s="143"/>
      <c r="AH370" s="143"/>
      <c r="AI370" s="143"/>
      <c r="AJ370" s="143"/>
      <c r="AK370" s="143"/>
      <c r="AL370" s="103">
        <f t="shared" si="143"/>
        <v>0</v>
      </c>
      <c r="AM370" s="136"/>
      <c r="AN370" s="136"/>
      <c r="AO370" s="136"/>
      <c r="AP370" s="105">
        <f t="shared" si="144"/>
        <v>0</v>
      </c>
      <c r="AQ370" s="143"/>
      <c r="AR370" s="143"/>
      <c r="AS370" s="143"/>
      <c r="AT370" s="146"/>
      <c r="AU370" s="224">
        <f t="shared" si="145"/>
        <v>0</v>
      </c>
      <c r="AV370" s="126"/>
      <c r="AW370" s="127"/>
      <c r="AX370" s="433"/>
      <c r="AY370" s="1133"/>
      <c r="AZ370" s="433"/>
      <c r="BA370" s="275"/>
      <c r="BB370" s="126"/>
      <c r="BC370" s="274"/>
      <c r="BD370" s="274"/>
      <c r="BE370" s="274"/>
      <c r="BF370" s="274"/>
      <c r="BG370" s="222">
        <f t="shared" si="146"/>
        <v>0</v>
      </c>
      <c r="BH370" s="140">
        <f t="shared" si="147"/>
        <v>0</v>
      </c>
      <c r="BI370" s="132"/>
      <c r="BJ370" s="140">
        <f t="shared" si="148"/>
        <v>0</v>
      </c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41"/>
      <c r="BU370" s="141"/>
      <c r="BV370" s="141"/>
      <c r="BW370" s="141"/>
      <c r="BX370" s="130">
        <f t="shared" si="149"/>
        <v>0</v>
      </c>
      <c r="BY370" s="132"/>
    </row>
    <row r="371" ht="14.25" customHeight="1">
      <c r="A371" s="132"/>
      <c r="B371" s="306">
        <v>46356</v>
      </c>
      <c r="C371" s="133"/>
      <c r="D371" s="136"/>
      <c r="E371" s="135"/>
      <c r="F371" s="135"/>
      <c r="G371" s="147">
        <f t="shared" si="141"/>
        <v>0</v>
      </c>
      <c r="H371" s="768"/>
      <c r="I371" s="768"/>
      <c r="J371" s="611"/>
      <c r="K371" s="611"/>
      <c r="L371" s="611"/>
      <c r="M371" s="611"/>
      <c r="N371" s="611"/>
      <c r="O371" s="611"/>
      <c r="P371" s="611"/>
      <c r="Q371" s="611"/>
      <c r="R371" s="611"/>
      <c r="S371" s="143"/>
      <c r="T371" s="143"/>
      <c r="U371" s="143"/>
      <c r="V371" s="143"/>
      <c r="W371" s="143"/>
      <c r="X371" s="1248">
        <f t="shared" si="142"/>
        <v>0</v>
      </c>
      <c r="Y371" s="611"/>
      <c r="Z371" s="611"/>
      <c r="AA371" s="143"/>
      <c r="AB371" s="143"/>
      <c r="AC371" s="143"/>
      <c r="AD371" s="143"/>
      <c r="AE371" s="143"/>
      <c r="AF371" s="143"/>
      <c r="AG371" s="143"/>
      <c r="AH371" s="143"/>
      <c r="AI371" s="143"/>
      <c r="AJ371" s="143"/>
      <c r="AK371" s="143"/>
      <c r="AL371" s="103">
        <f t="shared" si="143"/>
        <v>0</v>
      </c>
      <c r="AM371" s="136"/>
      <c r="AN371" s="136"/>
      <c r="AO371" s="136"/>
      <c r="AP371" s="105">
        <f t="shared" si="144"/>
        <v>0</v>
      </c>
      <c r="AQ371" s="143"/>
      <c r="AR371" s="143"/>
      <c r="AS371" s="143"/>
      <c r="AT371" s="146"/>
      <c r="AU371" s="224">
        <f t="shared" si="145"/>
        <v>0</v>
      </c>
      <c r="AV371" s="138"/>
      <c r="AW371" s="127"/>
      <c r="AX371" s="435"/>
      <c r="AY371" s="1133"/>
      <c r="AZ371" s="433"/>
      <c r="BA371" s="275"/>
      <c r="BB371" s="138"/>
      <c r="BC371" s="274"/>
      <c r="BD371" s="274"/>
      <c r="BE371" s="274"/>
      <c r="BF371" s="274"/>
      <c r="BG371" s="222">
        <f t="shared" si="146"/>
        <v>0</v>
      </c>
      <c r="BH371" s="140">
        <f t="shared" si="147"/>
        <v>0</v>
      </c>
      <c r="BI371" s="132"/>
      <c r="BJ371" s="140">
        <f t="shared" si="148"/>
        <v>0</v>
      </c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41"/>
      <c r="BU371" s="141"/>
      <c r="BV371" s="141"/>
      <c r="BW371" s="141"/>
      <c r="BX371" s="130">
        <f t="shared" si="149"/>
        <v>0</v>
      </c>
      <c r="BY371" s="132"/>
    </row>
    <row r="372" ht="14.25" customHeight="1">
      <c r="A372" s="22"/>
      <c r="B372" s="2" t="s">
        <v>85</v>
      </c>
      <c r="C372" s="166">
        <f ref="C372:H372" t="shared" si="150">SUM(C341:C371)</f>
        <v>0</v>
      </c>
      <c r="D372" s="166">
        <f t="shared" si="150"/>
        <v>0</v>
      </c>
      <c r="E372" s="166">
        <f t="shared" si="150"/>
        <v>0</v>
      </c>
      <c r="F372" s="166">
        <f t="shared" si="150"/>
        <v>0</v>
      </c>
      <c r="G372" s="166">
        <f t="shared" si="150"/>
        <v>0</v>
      </c>
      <c r="H372" s="166">
        <f t="shared" si="150"/>
        <v>0</v>
      </c>
      <c r="I372" s="166"/>
      <c r="J372" s="166">
        <f>SUM(J341:J371)</f>
        <v>0</v>
      </c>
      <c r="K372" s="166"/>
      <c r="L372" s="166">
        <f>SUM(L341:L371)</f>
        <v>0</v>
      </c>
      <c r="M372" s="166"/>
      <c r="N372" s="617">
        <f ref="N372:P372" t="shared" si="151">SUM(N341:N371)</f>
        <v>0</v>
      </c>
      <c r="O372" s="166">
        <f t="shared" si="151"/>
        <v>0</v>
      </c>
      <c r="P372" s="166">
        <f t="shared" si="151"/>
        <v>0</v>
      </c>
      <c r="Q372" s="166"/>
      <c r="R372" s="166">
        <f ref="R372:BH372" t="shared" si="152">SUM(R341:R371)</f>
        <v>0</v>
      </c>
      <c r="S372" s="166">
        <f t="shared" si="152"/>
        <v>0</v>
      </c>
      <c r="T372" s="166">
        <f t="shared" si="152"/>
        <v>0</v>
      </c>
      <c r="U372" s="166">
        <f t="shared" si="152"/>
        <v>0</v>
      </c>
      <c r="V372" s="166">
        <f t="shared" si="152"/>
        <v>0</v>
      </c>
      <c r="W372" s="166">
        <f t="shared" si="152"/>
        <v>0</v>
      </c>
      <c r="X372" s="166">
        <f t="shared" si="152"/>
        <v>0</v>
      </c>
      <c r="Y372" s="166">
        <f t="shared" si="152"/>
        <v>0</v>
      </c>
      <c r="Z372" s="166">
        <f t="shared" si="152"/>
        <v>0</v>
      </c>
      <c r="AA372" s="166">
        <f t="shared" si="152"/>
        <v>0</v>
      </c>
      <c r="AB372" s="166">
        <f t="shared" si="152"/>
        <v>0</v>
      </c>
      <c r="AC372" s="166">
        <f t="shared" si="152"/>
        <v>0</v>
      </c>
      <c r="AD372" s="166">
        <f t="shared" si="152"/>
        <v>0</v>
      </c>
      <c r="AE372" s="166">
        <f t="shared" si="152"/>
        <v>0</v>
      </c>
      <c r="AF372" s="166">
        <f t="shared" si="152"/>
        <v>0</v>
      </c>
      <c r="AG372" s="166">
        <f t="shared" si="152"/>
        <v>0</v>
      </c>
      <c r="AH372" s="166">
        <f t="shared" si="152"/>
        <v>0</v>
      </c>
      <c r="AI372" s="166">
        <f t="shared" si="152"/>
        <v>0</v>
      </c>
      <c r="AJ372" s="166">
        <f t="shared" si="152"/>
        <v>0</v>
      </c>
      <c r="AK372" s="166">
        <f t="shared" si="152"/>
        <v>0</v>
      </c>
      <c r="AL372" s="166">
        <f t="shared" si="152"/>
        <v>0</v>
      </c>
      <c r="AM372" s="166">
        <f t="shared" si="152"/>
        <v>0</v>
      </c>
      <c r="AN372" s="166">
        <f t="shared" si="152"/>
        <v>0</v>
      </c>
      <c r="AO372" s="166">
        <f t="shared" si="152"/>
        <v>0</v>
      </c>
      <c r="AP372" s="166">
        <f t="shared" si="152"/>
        <v>0</v>
      </c>
      <c r="AQ372" s="166">
        <f t="shared" si="152"/>
        <v>0</v>
      </c>
      <c r="AR372" s="166">
        <f t="shared" si="152"/>
        <v>0</v>
      </c>
      <c r="AS372" s="166">
        <f t="shared" si="152"/>
        <v>0</v>
      </c>
      <c r="AT372" s="166">
        <f t="shared" si="152"/>
        <v>0</v>
      </c>
      <c r="AU372" s="166">
        <f t="shared" si="152"/>
        <v>0</v>
      </c>
      <c r="AV372" s="165">
        <f t="shared" si="152"/>
        <v>0</v>
      </c>
      <c r="AW372" s="166">
        <f t="shared" si="152"/>
        <v>0</v>
      </c>
      <c r="AX372" s="166">
        <f t="shared" si="152"/>
        <v>0</v>
      </c>
      <c r="AY372" s="166">
        <f t="shared" si="152"/>
        <v>0</v>
      </c>
      <c r="AZ372" s="166">
        <f t="shared" si="152"/>
        <v>0</v>
      </c>
      <c r="BA372" s="166">
        <f t="shared" si="152"/>
        <v>0</v>
      </c>
      <c r="BB372" s="165">
        <f t="shared" si="152"/>
        <v>0</v>
      </c>
      <c r="BC372" s="166">
        <f t="shared" si="152"/>
        <v>0</v>
      </c>
      <c r="BD372" s="166">
        <f t="shared" si="152"/>
        <v>0</v>
      </c>
      <c r="BE372" s="166">
        <f t="shared" si="152"/>
        <v>0</v>
      </c>
      <c r="BF372" s="166">
        <f t="shared" si="152"/>
        <v>0</v>
      </c>
      <c r="BG372" s="166">
        <f t="shared" si="152"/>
        <v>0</v>
      </c>
      <c r="BH372" s="167">
        <f t="shared" si="152"/>
        <v>0</v>
      </c>
      <c r="BI372" s="819"/>
      <c r="BJ372" s="284">
        <f ref="BJ372:BX372" t="shared" si="153">SUM(BJ342:BJ371)</f>
        <v>0</v>
      </c>
      <c r="BK372" s="284">
        <f t="shared" si="153"/>
        <v>0</v>
      </c>
      <c r="BL372" s="284">
        <f t="shared" si="153"/>
        <v>0</v>
      </c>
      <c r="BM372" s="284">
        <f t="shared" si="153"/>
        <v>0</v>
      </c>
      <c r="BN372" s="284">
        <f t="shared" si="153"/>
        <v>0</v>
      </c>
      <c r="BO372" s="284">
        <f t="shared" si="153"/>
        <v>0</v>
      </c>
      <c r="BP372" s="284">
        <f t="shared" si="153"/>
        <v>0</v>
      </c>
      <c r="BQ372" s="284">
        <f t="shared" si="153"/>
        <v>0</v>
      </c>
      <c r="BR372" s="284">
        <f t="shared" si="153"/>
        <v>0</v>
      </c>
      <c r="BS372" s="284">
        <f t="shared" si="153"/>
        <v>0</v>
      </c>
      <c r="BT372" s="284">
        <f t="shared" si="153"/>
        <v>0</v>
      </c>
      <c r="BU372" s="284">
        <f t="shared" si="153"/>
        <v>0</v>
      </c>
      <c r="BV372" s="284">
        <f t="shared" si="153"/>
        <v>0</v>
      </c>
      <c r="BW372" s="284">
        <f t="shared" si="153"/>
        <v>0</v>
      </c>
      <c r="BX372" s="166">
        <f t="shared" si="153"/>
        <v>0</v>
      </c>
      <c r="BY372" s="235"/>
    </row>
    <row r="373" ht="14.25" customHeight="1">
      <c r="A373" s="1"/>
      <c r="B373" s="2"/>
      <c r="C373" s="3"/>
      <c r="D373" s="3"/>
      <c r="E373" s="3"/>
      <c r="F373" s="3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3"/>
      <c r="T373" s="3"/>
      <c r="U373" s="3"/>
      <c r="V373" s="3"/>
      <c r="W373" s="3"/>
      <c r="X373" s="873"/>
      <c r="Y373" s="1"/>
      <c r="Z373" s="1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96"/>
      <c r="AM373" s="96"/>
      <c r="AN373" s="3"/>
      <c r="AO373" s="3"/>
      <c r="AP373" s="4"/>
      <c r="AQ373" s="3"/>
      <c r="AR373" s="3"/>
      <c r="AS373" s="3"/>
      <c r="AT373" s="3"/>
      <c r="AU373" s="3"/>
      <c r="AV373" s="3"/>
      <c r="AW373" s="3"/>
      <c r="AX373" s="1"/>
      <c r="AY373" s="1"/>
      <c r="AZ373" s="1"/>
      <c r="BA373" s="3"/>
      <c r="BB373" s="3"/>
      <c r="BC373" s="3"/>
      <c r="BD373" s="3"/>
      <c r="BE373" s="3"/>
      <c r="BF373" s="132"/>
      <c r="BG373" s="4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</row>
    <row r="374" ht="14.25" customHeight="1">
      <c r="A374" s="1"/>
      <c r="B374" s="2"/>
      <c r="C374" s="3"/>
      <c r="D374" s="3"/>
      <c r="E374" s="3"/>
      <c r="F374" s="3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3"/>
      <c r="T374" s="3"/>
      <c r="U374" s="3"/>
      <c r="V374" s="3"/>
      <c r="W374" s="3"/>
      <c r="X374" s="873"/>
      <c r="Y374" s="1"/>
      <c r="Z374" s="1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176"/>
      <c r="AM374" s="176"/>
      <c r="AN374" s="3"/>
      <c r="AO374" s="3"/>
      <c r="AP374" s="4"/>
      <c r="AQ374" s="3"/>
      <c r="AR374" s="3"/>
      <c r="AS374" s="3"/>
      <c r="AT374" s="3"/>
      <c r="AU374" s="3"/>
      <c r="AV374" s="3"/>
      <c r="AW374" s="3"/>
      <c r="AX374" s="1"/>
      <c r="AY374" s="1"/>
      <c r="AZ374" s="1"/>
      <c r="BA374" s="3"/>
      <c r="BB374" s="3"/>
      <c r="BC374" s="3"/>
      <c r="BD374" s="3"/>
      <c r="BE374" s="3"/>
      <c r="BF374" s="132"/>
      <c r="BG374" s="4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</row>
    <row r="375" ht="14.25" customHeight="1">
      <c r="A375" s="3"/>
      <c r="B375" s="215">
        <v>46357</v>
      </c>
      <c r="C375" s="94"/>
      <c r="D375" s="104"/>
      <c r="E375" s="97"/>
      <c r="F375" s="97"/>
      <c r="G375" s="265">
        <f ref="G375:G405" t="shared" si="154">+C375+D375+E375+F375</f>
        <v>0</v>
      </c>
      <c r="H375" s="778"/>
      <c r="I375" s="778"/>
      <c r="J375" s="619"/>
      <c r="K375" s="619"/>
      <c r="L375" s="619"/>
      <c r="M375" s="619"/>
      <c r="N375" s="619"/>
      <c r="O375" s="619"/>
      <c r="P375" s="619"/>
      <c r="Q375" s="619"/>
      <c r="R375" s="619"/>
      <c r="S375" s="186"/>
      <c r="T375" s="186"/>
      <c r="U375" s="186"/>
      <c r="V375" s="186"/>
      <c r="W375" s="186"/>
      <c r="X375" s="1248">
        <f ref="X375:X405" t="shared" si="155">SUM(H375:W375)</f>
        <v>0</v>
      </c>
      <c r="Y375" s="619"/>
      <c r="Z375" s="619"/>
      <c r="AA375" s="186"/>
      <c r="AB375" s="186"/>
      <c r="AC375" s="186"/>
      <c r="AD375" s="186"/>
      <c r="AE375" s="186"/>
      <c r="AF375" s="186"/>
      <c r="AG375" s="186"/>
      <c r="AH375" s="186"/>
      <c r="AI375" s="186"/>
      <c r="AJ375" s="186"/>
      <c r="AK375" s="186"/>
      <c r="AL375" s="103">
        <f ref="AL375:AL405" t="shared" si="156">SUM(Y375:AK375)</f>
        <v>0</v>
      </c>
      <c r="AM375" s="104"/>
      <c r="AN375" s="104"/>
      <c r="AO375" s="104"/>
      <c r="AP375" s="191">
        <f ref="AP375:AP405" t="shared" si="157">SUM(AM375:AO375)</f>
        <v>0</v>
      </c>
      <c r="AQ375" s="186"/>
      <c r="AR375" s="186"/>
      <c r="AS375" s="186"/>
      <c r="AT375" s="193"/>
      <c r="AU375" s="266">
        <f ref="AU375:AU405" t="shared" si="158">+G375-X375-AL375-AP375-AQ375-AR375-AS375-AT375</f>
        <v>0</v>
      </c>
      <c r="AV375" s="109"/>
      <c r="AW375" s="269"/>
      <c r="AX375" s="427"/>
      <c r="AY375" s="427"/>
      <c r="AZ375" s="427"/>
      <c r="BA375" s="270"/>
      <c r="BB375" s="109"/>
      <c r="BC375" s="269"/>
      <c r="BD375" s="269"/>
      <c r="BE375" s="269"/>
      <c r="BF375" s="269"/>
      <c r="BG375" s="292">
        <f ref="BG375:BG405" t="shared" si="159">SUM(AV375:BF375)-BE375</f>
        <v>0</v>
      </c>
      <c r="BH375" s="114">
        <f ref="BH375:BH405" t="shared" si="160">+AU375-BG375</f>
        <v>0</v>
      </c>
      <c r="BI375" s="3"/>
      <c r="BJ375" s="114">
        <f ref="BJ375:BJ405" t="shared" si="161">SUM(BK375:BW375)</f>
        <v>0</v>
      </c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335"/>
      <c r="BU375" s="115"/>
      <c r="BV375" s="196"/>
      <c r="BW375" s="115"/>
      <c r="BX375" s="116">
        <f ref="BX375:BX405" t="shared" si="162">+BH375-BJ375</f>
        <v>0</v>
      </c>
      <c r="BY375" s="3"/>
    </row>
    <row r="376" ht="14.25" customHeight="1">
      <c r="A376" s="3"/>
      <c r="B376" s="215">
        <v>46358</v>
      </c>
      <c r="C376" s="118"/>
      <c r="D376" s="123"/>
      <c r="E376" s="120"/>
      <c r="F376" s="120"/>
      <c r="G376" s="147">
        <f t="shared" si="154"/>
        <v>0</v>
      </c>
      <c r="H376" s="768"/>
      <c r="I376" s="768"/>
      <c r="J376" s="611"/>
      <c r="K376" s="611"/>
      <c r="L376" s="611"/>
      <c r="M376" s="611"/>
      <c r="N376" s="611"/>
      <c r="O376" s="611"/>
      <c r="P376" s="611"/>
      <c r="Q376" s="611"/>
      <c r="R376" s="611"/>
      <c r="S376" s="143"/>
      <c r="T376" s="143"/>
      <c r="U376" s="143"/>
      <c r="V376" s="143"/>
      <c r="W376" s="143"/>
      <c r="X376" s="1248">
        <f t="shared" si="155"/>
        <v>0</v>
      </c>
      <c r="Y376" s="611"/>
      <c r="Z376" s="611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03">
        <f t="shared" si="156"/>
        <v>0</v>
      </c>
      <c r="AM376" s="123"/>
      <c r="AN376" s="123"/>
      <c r="AO376" s="123"/>
      <c r="AP376" s="105">
        <f t="shared" si="157"/>
        <v>0</v>
      </c>
      <c r="AQ376" s="143"/>
      <c r="AR376" s="143"/>
      <c r="AS376" s="143"/>
      <c r="AT376" s="146"/>
      <c r="AU376" s="224">
        <f t="shared" si="158"/>
        <v>0</v>
      </c>
      <c r="AV376" s="126"/>
      <c r="AW376" s="274"/>
      <c r="AX376" s="433"/>
      <c r="AY376" s="433"/>
      <c r="AZ376" s="433"/>
      <c r="BA376" s="275"/>
      <c r="BB376" s="126"/>
      <c r="BC376" s="274"/>
      <c r="BD376" s="274"/>
      <c r="BE376" s="274"/>
      <c r="BF376" s="274"/>
      <c r="BG376" s="222">
        <f t="shared" si="159"/>
        <v>0</v>
      </c>
      <c r="BH376" s="113">
        <f t="shared" si="160"/>
        <v>0</v>
      </c>
      <c r="BI376" s="3"/>
      <c r="BJ376" s="113">
        <f t="shared" si="161"/>
        <v>0</v>
      </c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41"/>
      <c r="BW376" s="129"/>
      <c r="BX376" s="130">
        <f t="shared" si="162"/>
        <v>0</v>
      </c>
      <c r="BY376" s="3"/>
    </row>
    <row r="377" ht="14.25" customHeight="1">
      <c r="A377" s="3"/>
      <c r="B377" s="215">
        <v>46359</v>
      </c>
      <c r="C377" s="118"/>
      <c r="D377" s="123"/>
      <c r="E377" s="120"/>
      <c r="F377" s="120"/>
      <c r="G377" s="147">
        <f t="shared" si="154"/>
        <v>0</v>
      </c>
      <c r="H377" s="768"/>
      <c r="I377" s="768"/>
      <c r="J377" s="611"/>
      <c r="K377" s="611"/>
      <c r="L377" s="611"/>
      <c r="M377" s="611"/>
      <c r="N377" s="611"/>
      <c r="O377" s="611"/>
      <c r="P377" s="611"/>
      <c r="Q377" s="611"/>
      <c r="R377" s="611"/>
      <c r="S377" s="143"/>
      <c r="T377" s="143"/>
      <c r="U377" s="143"/>
      <c r="V377" s="143"/>
      <c r="W377" s="143"/>
      <c r="X377" s="1248">
        <f t="shared" si="155"/>
        <v>0</v>
      </c>
      <c r="Y377" s="611"/>
      <c r="Z377" s="611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03">
        <f t="shared" si="156"/>
        <v>0</v>
      </c>
      <c r="AM377" s="123"/>
      <c r="AN377" s="123"/>
      <c r="AO377" s="123"/>
      <c r="AP377" s="105">
        <f t="shared" si="157"/>
        <v>0</v>
      </c>
      <c r="AQ377" s="143"/>
      <c r="AR377" s="143"/>
      <c r="AS377" s="143"/>
      <c r="AT377" s="146"/>
      <c r="AU377" s="224">
        <f t="shared" si="158"/>
        <v>0</v>
      </c>
      <c r="AV377" s="126"/>
      <c r="AW377" s="274"/>
      <c r="AX377" s="1133"/>
      <c r="AY377" s="433"/>
      <c r="AZ377" s="433"/>
      <c r="BA377" s="275"/>
      <c r="BB377" s="126"/>
      <c r="BC377" s="274"/>
      <c r="BD377" s="274"/>
      <c r="BE377" s="274"/>
      <c r="BF377" s="274"/>
      <c r="BG377" s="222">
        <f t="shared" si="159"/>
        <v>0</v>
      </c>
      <c r="BH377" s="113">
        <f t="shared" si="160"/>
        <v>0</v>
      </c>
      <c r="BI377" s="3"/>
      <c r="BJ377" s="113">
        <f t="shared" si="161"/>
        <v>0</v>
      </c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41"/>
      <c r="BW377" s="129"/>
      <c r="BX377" s="130">
        <f t="shared" si="162"/>
        <v>0</v>
      </c>
      <c r="BY377" s="3"/>
    </row>
    <row r="378" ht="14.25" customHeight="1">
      <c r="A378" s="3"/>
      <c r="B378" s="215">
        <v>46360</v>
      </c>
      <c r="C378" s="94"/>
      <c r="D378" s="104"/>
      <c r="E378" s="120"/>
      <c r="F378" s="120"/>
      <c r="G378" s="147">
        <f t="shared" si="154"/>
        <v>0</v>
      </c>
      <c r="H378" s="768"/>
      <c r="I378" s="768"/>
      <c r="J378" s="611"/>
      <c r="K378" s="611"/>
      <c r="L378" s="611"/>
      <c r="M378" s="611"/>
      <c r="N378" s="611"/>
      <c r="O378" s="611"/>
      <c r="P378" s="611"/>
      <c r="Q378" s="611"/>
      <c r="R378" s="611"/>
      <c r="S378" s="143"/>
      <c r="T378" s="143"/>
      <c r="U378" s="143"/>
      <c r="V378" s="143"/>
      <c r="W378" s="143"/>
      <c r="X378" s="1248">
        <f t="shared" si="155"/>
        <v>0</v>
      </c>
      <c r="Y378" s="611"/>
      <c r="Z378" s="611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03">
        <f t="shared" si="156"/>
        <v>0</v>
      </c>
      <c r="AM378" s="123"/>
      <c r="AN378" s="123"/>
      <c r="AO378" s="123"/>
      <c r="AP378" s="105">
        <f t="shared" si="157"/>
        <v>0</v>
      </c>
      <c r="AQ378" s="143"/>
      <c r="AR378" s="143"/>
      <c r="AS378" s="143"/>
      <c r="AT378" s="146"/>
      <c r="AU378" s="224">
        <f t="shared" si="158"/>
        <v>0</v>
      </c>
      <c r="AV378" s="126"/>
      <c r="AW378" s="274"/>
      <c r="AX378" s="1133"/>
      <c r="AY378" s="433"/>
      <c r="AZ378" s="433"/>
      <c r="BA378" s="275"/>
      <c r="BB378" s="126"/>
      <c r="BC378" s="274"/>
      <c r="BD378" s="274"/>
      <c r="BE378" s="274"/>
      <c r="BF378" s="274"/>
      <c r="BG378" s="222">
        <f t="shared" si="159"/>
        <v>0</v>
      </c>
      <c r="BH378" s="113">
        <f t="shared" si="160"/>
        <v>0</v>
      </c>
      <c r="BI378" s="3"/>
      <c r="BJ378" s="113">
        <f t="shared" si="161"/>
        <v>0</v>
      </c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41"/>
      <c r="BW378" s="129"/>
      <c r="BX378" s="130">
        <f t="shared" si="162"/>
        <v>0</v>
      </c>
      <c r="BY378" s="3"/>
    </row>
    <row r="379" ht="14.25" customHeight="1">
      <c r="A379" s="3"/>
      <c r="B379" s="215">
        <v>46361</v>
      </c>
      <c r="C379" s="118"/>
      <c r="D379" s="123"/>
      <c r="E379" s="120"/>
      <c r="F379" s="120"/>
      <c r="G379" s="147">
        <f t="shared" si="154"/>
        <v>0</v>
      </c>
      <c r="H379" s="768"/>
      <c r="I379" s="768"/>
      <c r="J379" s="611"/>
      <c r="K379" s="611"/>
      <c r="L379" s="611"/>
      <c r="M379" s="611"/>
      <c r="N379" s="611"/>
      <c r="O379" s="611"/>
      <c r="P379" s="611"/>
      <c r="Q379" s="611"/>
      <c r="R379" s="611"/>
      <c r="S379" s="143"/>
      <c r="T379" s="143"/>
      <c r="U379" s="143"/>
      <c r="V379" s="143"/>
      <c r="W379" s="143"/>
      <c r="X379" s="1248">
        <f t="shared" si="155"/>
        <v>0</v>
      </c>
      <c r="Y379" s="611"/>
      <c r="Z379" s="611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03">
        <f t="shared" si="156"/>
        <v>0</v>
      </c>
      <c r="AM379" s="123"/>
      <c r="AN379" s="123"/>
      <c r="AO379" s="123"/>
      <c r="AP379" s="105">
        <f t="shared" si="157"/>
        <v>0</v>
      </c>
      <c r="AQ379" s="143"/>
      <c r="AR379" s="143"/>
      <c r="AS379" s="143"/>
      <c r="AT379" s="146"/>
      <c r="AU379" s="224">
        <f t="shared" si="158"/>
        <v>0</v>
      </c>
      <c r="AV379" s="126"/>
      <c r="AW379" s="274"/>
      <c r="AX379" s="433"/>
      <c r="AY379" s="433"/>
      <c r="AZ379" s="433"/>
      <c r="BA379" s="275"/>
      <c r="BB379" s="126"/>
      <c r="BC379" s="274"/>
      <c r="BD379" s="274"/>
      <c r="BE379" s="274"/>
      <c r="BF379" s="274"/>
      <c r="BG379" s="222">
        <f t="shared" si="159"/>
        <v>0</v>
      </c>
      <c r="BH379" s="113">
        <f t="shared" si="160"/>
        <v>0</v>
      </c>
      <c r="BI379" s="3"/>
      <c r="BJ379" s="113">
        <f t="shared" si="161"/>
        <v>0</v>
      </c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29"/>
      <c r="BU379" s="129"/>
      <c r="BV379" s="141"/>
      <c r="BW379" s="129"/>
      <c r="BX379" s="130">
        <f t="shared" si="162"/>
        <v>0</v>
      </c>
      <c r="BY379" s="3"/>
    </row>
    <row r="380" ht="14.25" customHeight="1">
      <c r="A380" s="132"/>
      <c r="B380" s="215">
        <v>46362</v>
      </c>
      <c r="C380" s="133"/>
      <c r="D380" s="136"/>
      <c r="E380" s="135"/>
      <c r="F380" s="135"/>
      <c r="G380" s="147">
        <f t="shared" si="154"/>
        <v>0</v>
      </c>
      <c r="H380" s="768"/>
      <c r="I380" s="768"/>
      <c r="J380" s="611"/>
      <c r="K380" s="611"/>
      <c r="L380" s="611"/>
      <c r="M380" s="611"/>
      <c r="N380" s="611"/>
      <c r="O380" s="611"/>
      <c r="P380" s="611"/>
      <c r="Q380" s="611"/>
      <c r="R380" s="611"/>
      <c r="S380" s="143"/>
      <c r="T380" s="143"/>
      <c r="U380" s="143"/>
      <c r="V380" s="143"/>
      <c r="W380" s="143"/>
      <c r="X380" s="1248">
        <f t="shared" si="155"/>
        <v>0</v>
      </c>
      <c r="Y380" s="611"/>
      <c r="Z380" s="611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03">
        <f t="shared" si="156"/>
        <v>0</v>
      </c>
      <c r="AM380" s="136"/>
      <c r="AN380" s="136"/>
      <c r="AO380" s="136"/>
      <c r="AP380" s="105">
        <f t="shared" si="157"/>
        <v>0</v>
      </c>
      <c r="AQ380" s="143"/>
      <c r="AR380" s="143"/>
      <c r="AS380" s="143"/>
      <c r="AT380" s="146"/>
      <c r="AU380" s="224">
        <f t="shared" si="158"/>
        <v>0</v>
      </c>
      <c r="AV380" s="126"/>
      <c r="AW380" s="274"/>
      <c r="AX380" s="433"/>
      <c r="AY380" s="433"/>
      <c r="AZ380" s="433"/>
      <c r="BA380" s="275"/>
      <c r="BB380" s="126"/>
      <c r="BC380" s="274"/>
      <c r="BD380" s="274"/>
      <c r="BE380" s="274"/>
      <c r="BF380" s="274"/>
      <c r="BG380" s="222">
        <f t="shared" si="159"/>
        <v>0</v>
      </c>
      <c r="BH380" s="140">
        <f t="shared" si="160"/>
        <v>0</v>
      </c>
      <c r="BI380" s="132"/>
      <c r="BJ380" s="140">
        <f t="shared" si="161"/>
        <v>0</v>
      </c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30">
        <f t="shared" si="162"/>
        <v>0</v>
      </c>
      <c r="BY380" s="132"/>
    </row>
    <row r="381" ht="14.25" customHeight="1">
      <c r="A381" s="132"/>
      <c r="B381" s="215">
        <v>46363</v>
      </c>
      <c r="C381" s="133"/>
      <c r="D381" s="136"/>
      <c r="E381" s="135"/>
      <c r="F381" s="135"/>
      <c r="G381" s="147">
        <f t="shared" si="154"/>
        <v>0</v>
      </c>
      <c r="H381" s="768"/>
      <c r="I381" s="768"/>
      <c r="J381" s="611"/>
      <c r="K381" s="611"/>
      <c r="L381" s="611"/>
      <c r="M381" s="611"/>
      <c r="N381" s="611"/>
      <c r="O381" s="611"/>
      <c r="P381" s="611"/>
      <c r="Q381" s="611"/>
      <c r="R381" s="611"/>
      <c r="S381" s="143"/>
      <c r="T381" s="143"/>
      <c r="U381" s="143"/>
      <c r="V381" s="143"/>
      <c r="W381" s="143"/>
      <c r="X381" s="1248">
        <f t="shared" si="155"/>
        <v>0</v>
      </c>
      <c r="Y381" s="611"/>
      <c r="Z381" s="611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03">
        <f t="shared" si="156"/>
        <v>0</v>
      </c>
      <c r="AM381" s="136"/>
      <c r="AN381" s="136"/>
      <c r="AO381" s="136"/>
      <c r="AP381" s="105">
        <f t="shared" si="157"/>
        <v>0</v>
      </c>
      <c r="AQ381" s="143"/>
      <c r="AR381" s="143"/>
      <c r="AS381" s="143"/>
      <c r="AT381" s="146"/>
      <c r="AU381" s="224">
        <f t="shared" si="158"/>
        <v>0</v>
      </c>
      <c r="AV381" s="126"/>
      <c r="AW381" s="274"/>
      <c r="AX381" s="433"/>
      <c r="AY381" s="433"/>
      <c r="AZ381" s="433"/>
      <c r="BA381" s="275"/>
      <c r="BB381" s="126"/>
      <c r="BC381" s="274"/>
      <c r="BD381" s="274"/>
      <c r="BE381" s="274"/>
      <c r="BF381" s="274"/>
      <c r="BG381" s="222">
        <f t="shared" si="159"/>
        <v>0</v>
      </c>
      <c r="BH381" s="140">
        <f t="shared" si="160"/>
        <v>0</v>
      </c>
      <c r="BI381" s="132"/>
      <c r="BJ381" s="140">
        <f t="shared" si="161"/>
        <v>0</v>
      </c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30">
        <f t="shared" si="162"/>
        <v>0</v>
      </c>
      <c r="BY381" s="132"/>
    </row>
    <row r="382" ht="14.25" customHeight="1">
      <c r="A382" s="132"/>
      <c r="B382" s="215">
        <v>46364</v>
      </c>
      <c r="C382" s="133"/>
      <c r="D382" s="136"/>
      <c r="E382" s="135"/>
      <c r="F382" s="135"/>
      <c r="G382" s="147">
        <f t="shared" si="154"/>
        <v>0</v>
      </c>
      <c r="H382" s="768"/>
      <c r="I382" s="768"/>
      <c r="J382" s="611"/>
      <c r="K382" s="611"/>
      <c r="L382" s="611"/>
      <c r="M382" s="611"/>
      <c r="N382" s="611"/>
      <c r="O382" s="611"/>
      <c r="P382" s="611"/>
      <c r="Q382" s="611"/>
      <c r="R382" s="611"/>
      <c r="S382" s="143"/>
      <c r="T382" s="143"/>
      <c r="U382" s="143"/>
      <c r="V382" s="143"/>
      <c r="W382" s="143"/>
      <c r="X382" s="1248">
        <f t="shared" si="155"/>
        <v>0</v>
      </c>
      <c r="Y382" s="611"/>
      <c r="Z382" s="611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03">
        <f t="shared" si="156"/>
        <v>0</v>
      </c>
      <c r="AM382" s="136"/>
      <c r="AN382" s="136"/>
      <c r="AO382" s="136"/>
      <c r="AP382" s="105">
        <f t="shared" si="157"/>
        <v>0</v>
      </c>
      <c r="AQ382" s="143"/>
      <c r="AR382" s="143"/>
      <c r="AS382" s="143"/>
      <c r="AT382" s="146"/>
      <c r="AU382" s="224">
        <f t="shared" si="158"/>
        <v>0</v>
      </c>
      <c r="AV382" s="126"/>
      <c r="AW382" s="274"/>
      <c r="AX382" s="433"/>
      <c r="AY382" s="433"/>
      <c r="AZ382" s="433"/>
      <c r="BA382" s="275"/>
      <c r="BB382" s="126"/>
      <c r="BC382" s="274"/>
      <c r="BD382" s="274"/>
      <c r="BE382" s="274"/>
      <c r="BF382" s="274"/>
      <c r="BG382" s="222">
        <f t="shared" si="159"/>
        <v>0</v>
      </c>
      <c r="BH382" s="140">
        <f t="shared" si="160"/>
        <v>0</v>
      </c>
      <c r="BI382" s="132"/>
      <c r="BJ382" s="140">
        <f t="shared" si="161"/>
        <v>0</v>
      </c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30">
        <f t="shared" si="162"/>
        <v>0</v>
      </c>
      <c r="BY382" s="132"/>
    </row>
    <row r="383" ht="14.25" customHeight="1">
      <c r="A383" s="132"/>
      <c r="B383" s="215">
        <v>46365</v>
      </c>
      <c r="C383" s="133"/>
      <c r="D383" s="136"/>
      <c r="E383" s="135"/>
      <c r="F383" s="135"/>
      <c r="G383" s="147">
        <f t="shared" si="154"/>
        <v>0</v>
      </c>
      <c r="H383" s="768"/>
      <c r="I383" s="768"/>
      <c r="J383" s="611"/>
      <c r="K383" s="611"/>
      <c r="L383" s="611"/>
      <c r="M383" s="611"/>
      <c r="N383" s="611"/>
      <c r="O383" s="611"/>
      <c r="P383" s="611"/>
      <c r="Q383" s="611"/>
      <c r="R383" s="611"/>
      <c r="S383" s="143"/>
      <c r="T383" s="143"/>
      <c r="U383" s="143"/>
      <c r="V383" s="143"/>
      <c r="W383" s="143"/>
      <c r="X383" s="1248">
        <f t="shared" si="155"/>
        <v>0</v>
      </c>
      <c r="Y383" s="611"/>
      <c r="Z383" s="611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03">
        <f t="shared" si="156"/>
        <v>0</v>
      </c>
      <c r="AM383" s="136"/>
      <c r="AN383" s="136"/>
      <c r="AO383" s="136"/>
      <c r="AP383" s="105">
        <f t="shared" si="157"/>
        <v>0</v>
      </c>
      <c r="AQ383" s="143"/>
      <c r="AR383" s="143"/>
      <c r="AS383" s="143"/>
      <c r="AT383" s="146"/>
      <c r="AU383" s="224">
        <f t="shared" si="158"/>
        <v>0</v>
      </c>
      <c r="AV383" s="126"/>
      <c r="AW383" s="274"/>
      <c r="AX383" s="433"/>
      <c r="AY383" s="433"/>
      <c r="AZ383" s="433"/>
      <c r="BA383" s="275"/>
      <c r="BB383" s="126"/>
      <c r="BC383" s="274"/>
      <c r="BD383" s="274"/>
      <c r="BE383" s="274"/>
      <c r="BF383" s="274"/>
      <c r="BG383" s="222">
        <f t="shared" si="159"/>
        <v>0</v>
      </c>
      <c r="BH383" s="140">
        <f t="shared" si="160"/>
        <v>0</v>
      </c>
      <c r="BI383" s="132"/>
      <c r="BJ383" s="140">
        <f t="shared" si="161"/>
        <v>0</v>
      </c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30">
        <f t="shared" si="162"/>
        <v>0</v>
      </c>
      <c r="BY383" s="132"/>
    </row>
    <row r="384" ht="14.25" customHeight="1">
      <c r="A384" s="132"/>
      <c r="B384" s="215">
        <v>46366</v>
      </c>
      <c r="C384" s="133"/>
      <c r="D384" s="136"/>
      <c r="E384" s="135"/>
      <c r="F384" s="135"/>
      <c r="G384" s="147">
        <f t="shared" si="154"/>
        <v>0</v>
      </c>
      <c r="H384" s="768"/>
      <c r="I384" s="768"/>
      <c r="J384" s="611"/>
      <c r="K384" s="611"/>
      <c r="L384" s="611"/>
      <c r="M384" s="611"/>
      <c r="N384" s="611"/>
      <c r="O384" s="611"/>
      <c r="P384" s="611"/>
      <c r="Q384" s="611"/>
      <c r="R384" s="611"/>
      <c r="S384" s="143"/>
      <c r="T384" s="143"/>
      <c r="U384" s="143"/>
      <c r="V384" s="143"/>
      <c r="W384" s="143"/>
      <c r="X384" s="1248">
        <f t="shared" si="155"/>
        <v>0</v>
      </c>
      <c r="Y384" s="611"/>
      <c r="Z384" s="611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03">
        <f t="shared" si="156"/>
        <v>0</v>
      </c>
      <c r="AM384" s="136"/>
      <c r="AN384" s="136"/>
      <c r="AO384" s="136"/>
      <c r="AP384" s="105">
        <f t="shared" si="157"/>
        <v>0</v>
      </c>
      <c r="AQ384" s="143"/>
      <c r="AR384" s="143"/>
      <c r="AS384" s="143"/>
      <c r="AT384" s="146"/>
      <c r="AU384" s="224">
        <f t="shared" si="158"/>
        <v>0</v>
      </c>
      <c r="AV384" s="126"/>
      <c r="AW384" s="274"/>
      <c r="AX384" s="433"/>
      <c r="AY384" s="433"/>
      <c r="AZ384" s="433"/>
      <c r="BA384" s="275"/>
      <c r="BB384" s="126"/>
      <c r="BC384" s="274"/>
      <c r="BD384" s="274"/>
      <c r="BE384" s="274"/>
      <c r="BF384" s="274"/>
      <c r="BG384" s="222">
        <f t="shared" si="159"/>
        <v>0</v>
      </c>
      <c r="BH384" s="140">
        <f t="shared" si="160"/>
        <v>0</v>
      </c>
      <c r="BI384" s="132"/>
      <c r="BJ384" s="140">
        <f t="shared" si="161"/>
        <v>0</v>
      </c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30">
        <f t="shared" si="162"/>
        <v>0</v>
      </c>
      <c r="BY384" s="132"/>
    </row>
    <row r="385" ht="14.25" customHeight="1">
      <c r="A385" s="132"/>
      <c r="B385" s="215">
        <v>46367</v>
      </c>
      <c r="C385" s="133"/>
      <c r="D385" s="136"/>
      <c r="E385" s="135"/>
      <c r="F385" s="135"/>
      <c r="G385" s="147">
        <f t="shared" si="154"/>
        <v>0</v>
      </c>
      <c r="H385" s="768"/>
      <c r="I385" s="768"/>
      <c r="J385" s="611"/>
      <c r="K385" s="611"/>
      <c r="L385" s="611"/>
      <c r="M385" s="611"/>
      <c r="N385" s="611"/>
      <c r="O385" s="611"/>
      <c r="P385" s="611"/>
      <c r="Q385" s="611"/>
      <c r="R385" s="611"/>
      <c r="S385" s="143"/>
      <c r="T385" s="143"/>
      <c r="U385" s="143"/>
      <c r="V385" s="143"/>
      <c r="W385" s="143"/>
      <c r="X385" s="1248">
        <f t="shared" si="155"/>
        <v>0</v>
      </c>
      <c r="Y385" s="611"/>
      <c r="Z385" s="611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03">
        <f t="shared" si="156"/>
        <v>0</v>
      </c>
      <c r="AM385" s="136"/>
      <c r="AN385" s="136"/>
      <c r="AO385" s="136"/>
      <c r="AP385" s="105">
        <f t="shared" si="157"/>
        <v>0</v>
      </c>
      <c r="AQ385" s="143"/>
      <c r="AR385" s="143"/>
      <c r="AS385" s="143"/>
      <c r="AT385" s="146"/>
      <c r="AU385" s="224">
        <f t="shared" si="158"/>
        <v>0</v>
      </c>
      <c r="AV385" s="126"/>
      <c r="AW385" s="274"/>
      <c r="AX385" s="433"/>
      <c r="AY385" s="433"/>
      <c r="AZ385" s="433"/>
      <c r="BA385" s="275"/>
      <c r="BB385" s="126"/>
      <c r="BC385" s="274"/>
      <c r="BD385" s="274"/>
      <c r="BE385" s="274"/>
      <c r="BF385" s="274"/>
      <c r="BG385" s="222">
        <f t="shared" si="159"/>
        <v>0</v>
      </c>
      <c r="BH385" s="140">
        <f t="shared" si="160"/>
        <v>0</v>
      </c>
      <c r="BI385" s="132"/>
      <c r="BJ385" s="140">
        <f t="shared" si="161"/>
        <v>0</v>
      </c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30">
        <f t="shared" si="162"/>
        <v>0</v>
      </c>
      <c r="BY385" s="132"/>
    </row>
    <row r="386" ht="14.25" customHeight="1">
      <c r="A386" s="132"/>
      <c r="B386" s="215">
        <v>46368</v>
      </c>
      <c r="C386" s="133"/>
      <c r="D386" s="136"/>
      <c r="E386" s="135"/>
      <c r="F386" s="135"/>
      <c r="G386" s="147">
        <f t="shared" si="154"/>
        <v>0</v>
      </c>
      <c r="H386" s="768"/>
      <c r="I386" s="768"/>
      <c r="J386" s="611"/>
      <c r="K386" s="611"/>
      <c r="L386" s="611"/>
      <c r="M386" s="611"/>
      <c r="N386" s="611"/>
      <c r="O386" s="611"/>
      <c r="P386" s="611"/>
      <c r="Q386" s="611"/>
      <c r="R386" s="611"/>
      <c r="S386" s="143"/>
      <c r="T386" s="143"/>
      <c r="U386" s="143"/>
      <c r="V386" s="143"/>
      <c r="W386" s="143"/>
      <c r="X386" s="1248">
        <f t="shared" si="155"/>
        <v>0</v>
      </c>
      <c r="Y386" s="611"/>
      <c r="Z386" s="611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03">
        <f t="shared" si="156"/>
        <v>0</v>
      </c>
      <c r="AM386" s="136"/>
      <c r="AN386" s="136"/>
      <c r="AO386" s="136"/>
      <c r="AP386" s="105">
        <f t="shared" si="157"/>
        <v>0</v>
      </c>
      <c r="AQ386" s="143"/>
      <c r="AR386" s="143"/>
      <c r="AS386" s="143"/>
      <c r="AT386" s="146"/>
      <c r="AU386" s="224">
        <f t="shared" si="158"/>
        <v>0</v>
      </c>
      <c r="AV386" s="126"/>
      <c r="AW386" s="274"/>
      <c r="AX386" s="433"/>
      <c r="AY386" s="433"/>
      <c r="AZ386" s="433"/>
      <c r="BA386" s="275"/>
      <c r="BB386" s="126"/>
      <c r="BC386" s="274"/>
      <c r="BD386" s="274"/>
      <c r="BE386" s="274"/>
      <c r="BF386" s="274"/>
      <c r="BG386" s="222">
        <f t="shared" si="159"/>
        <v>0</v>
      </c>
      <c r="BH386" s="140">
        <f t="shared" si="160"/>
        <v>0</v>
      </c>
      <c r="BI386" s="132"/>
      <c r="BJ386" s="140">
        <f t="shared" si="161"/>
        <v>0</v>
      </c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30">
        <f t="shared" si="162"/>
        <v>0</v>
      </c>
      <c r="BY386" s="132"/>
    </row>
    <row r="387" ht="14.25" customHeight="1">
      <c r="A387" s="132"/>
      <c r="B387" s="215">
        <v>46369</v>
      </c>
      <c r="C387" s="133"/>
      <c r="D387" s="136"/>
      <c r="E387" s="135"/>
      <c r="F387" s="135"/>
      <c r="G387" s="147">
        <f t="shared" si="154"/>
        <v>0</v>
      </c>
      <c r="H387" s="768"/>
      <c r="I387" s="768"/>
      <c r="J387" s="611"/>
      <c r="K387" s="611"/>
      <c r="L387" s="611"/>
      <c r="M387" s="611"/>
      <c r="N387" s="611"/>
      <c r="O387" s="611"/>
      <c r="P387" s="611"/>
      <c r="Q387" s="611"/>
      <c r="R387" s="611"/>
      <c r="S387" s="143"/>
      <c r="T387" s="143"/>
      <c r="U387" s="143"/>
      <c r="V387" s="143"/>
      <c r="W387" s="143"/>
      <c r="X387" s="1248">
        <f t="shared" si="155"/>
        <v>0</v>
      </c>
      <c r="Y387" s="611"/>
      <c r="Z387" s="611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03">
        <f t="shared" si="156"/>
        <v>0</v>
      </c>
      <c r="AM387" s="136"/>
      <c r="AN387" s="136"/>
      <c r="AO387" s="136"/>
      <c r="AP387" s="105">
        <f t="shared" si="157"/>
        <v>0</v>
      </c>
      <c r="AQ387" s="143"/>
      <c r="AR387" s="143"/>
      <c r="AS387" s="143"/>
      <c r="AT387" s="146"/>
      <c r="AU387" s="224">
        <f t="shared" si="158"/>
        <v>0</v>
      </c>
      <c r="AV387" s="126"/>
      <c r="AW387" s="274"/>
      <c r="AX387" s="433"/>
      <c r="AY387" s="433"/>
      <c r="AZ387" s="433"/>
      <c r="BA387" s="275"/>
      <c r="BB387" s="126"/>
      <c r="BC387" s="274"/>
      <c r="BD387" s="274"/>
      <c r="BE387" s="274"/>
      <c r="BF387" s="274"/>
      <c r="BG387" s="222">
        <f t="shared" si="159"/>
        <v>0</v>
      </c>
      <c r="BH387" s="140">
        <f t="shared" si="160"/>
        <v>0</v>
      </c>
      <c r="BI387" s="132"/>
      <c r="BJ387" s="140">
        <f t="shared" si="161"/>
        <v>0</v>
      </c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30">
        <f t="shared" si="162"/>
        <v>0</v>
      </c>
      <c r="BY387" s="132"/>
    </row>
    <row r="388" ht="14.25" customHeight="1">
      <c r="A388" s="132"/>
      <c r="B388" s="215">
        <v>46370</v>
      </c>
      <c r="C388" s="133"/>
      <c r="D388" s="136"/>
      <c r="E388" s="135"/>
      <c r="F388" s="135"/>
      <c r="G388" s="147">
        <f t="shared" si="154"/>
        <v>0</v>
      </c>
      <c r="I388" s="768"/>
      <c r="J388" s="611"/>
      <c r="K388" s="611"/>
      <c r="L388" s="611"/>
      <c r="M388" s="611"/>
      <c r="N388" s="611"/>
      <c r="O388" s="611"/>
      <c r="P388" s="611"/>
      <c r="Q388" s="611"/>
      <c r="R388" s="611"/>
      <c r="S388" s="143"/>
      <c r="T388" s="143"/>
      <c r="U388" s="143"/>
      <c r="V388" s="143"/>
      <c r="W388" s="143"/>
      <c r="X388" s="1248">
        <f t="shared" si="155"/>
        <v>0</v>
      </c>
      <c r="Y388" s="611"/>
      <c r="Z388" s="611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03">
        <f t="shared" si="156"/>
        <v>0</v>
      </c>
      <c r="AM388" s="136"/>
      <c r="AN388" s="136"/>
      <c r="AO388" s="136"/>
      <c r="AP388" s="105">
        <f t="shared" si="157"/>
        <v>0</v>
      </c>
      <c r="AQ388" s="143"/>
      <c r="AR388" s="143"/>
      <c r="AS388" s="143"/>
      <c r="AT388" s="146"/>
      <c r="AU388" s="224">
        <f t="shared" si="158"/>
        <v>0</v>
      </c>
      <c r="AV388" s="126"/>
      <c r="AW388" s="274"/>
      <c r="AX388" s="433"/>
      <c r="AY388" s="433"/>
      <c r="AZ388" s="433"/>
      <c r="BA388" s="275"/>
      <c r="BB388" s="126"/>
      <c r="BC388" s="274"/>
      <c r="BD388" s="274"/>
      <c r="BE388" s="274"/>
      <c r="BF388" s="274"/>
      <c r="BG388" s="222">
        <f t="shared" si="159"/>
        <v>0</v>
      </c>
      <c r="BH388" s="140">
        <f t="shared" si="160"/>
        <v>0</v>
      </c>
      <c r="BI388" s="132"/>
      <c r="BJ388" s="140">
        <f t="shared" si="161"/>
        <v>0</v>
      </c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30">
        <f t="shared" si="162"/>
        <v>0</v>
      </c>
      <c r="BY388" s="132"/>
    </row>
    <row r="389" ht="14.25" customHeight="1">
      <c r="A389" s="132"/>
      <c r="B389" s="215">
        <v>46371</v>
      </c>
      <c r="C389" s="133"/>
      <c r="D389" s="136"/>
      <c r="E389" s="135"/>
      <c r="F389" s="135"/>
      <c r="G389" s="147">
        <f t="shared" si="154"/>
        <v>0</v>
      </c>
      <c r="H389" s="768"/>
      <c r="I389" s="768"/>
      <c r="J389" s="611"/>
      <c r="K389" s="611"/>
      <c r="L389" s="611"/>
      <c r="M389" s="611"/>
      <c r="N389" s="611"/>
      <c r="O389" s="611"/>
      <c r="P389" s="611"/>
      <c r="Q389" s="611"/>
      <c r="R389" s="611"/>
      <c r="S389" s="143"/>
      <c r="T389" s="143"/>
      <c r="U389" s="143"/>
      <c r="V389" s="143"/>
      <c r="W389" s="143"/>
      <c r="X389" s="1248">
        <f t="shared" si="155"/>
        <v>0</v>
      </c>
      <c r="Y389" s="611"/>
      <c r="Z389" s="611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03">
        <f t="shared" si="156"/>
        <v>0</v>
      </c>
      <c r="AM389" s="136"/>
      <c r="AN389" s="136"/>
      <c r="AO389" s="136"/>
      <c r="AP389" s="105">
        <f t="shared" si="157"/>
        <v>0</v>
      </c>
      <c r="AQ389" s="143"/>
      <c r="AR389" s="143"/>
      <c r="AS389" s="143"/>
      <c r="AT389" s="146"/>
      <c r="AU389" s="224">
        <f t="shared" si="158"/>
        <v>0</v>
      </c>
      <c r="AV389" s="126"/>
      <c r="AW389" s="274"/>
      <c r="AX389" s="433"/>
      <c r="AY389" s="433"/>
      <c r="AZ389" s="433"/>
      <c r="BA389" s="275"/>
      <c r="BB389" s="126"/>
      <c r="BC389" s="274"/>
      <c r="BD389" s="274"/>
      <c r="BE389" s="274"/>
      <c r="BF389" s="274"/>
      <c r="BG389" s="222">
        <f t="shared" si="159"/>
        <v>0</v>
      </c>
      <c r="BH389" s="140">
        <f t="shared" si="160"/>
        <v>0</v>
      </c>
      <c r="BI389" s="132"/>
      <c r="BJ389" s="140">
        <f t="shared" si="161"/>
        <v>0</v>
      </c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30">
        <f t="shared" si="162"/>
        <v>0</v>
      </c>
      <c r="BY389" s="132"/>
    </row>
    <row r="390" ht="14.25" customHeight="1">
      <c r="A390" s="132"/>
      <c r="B390" s="215">
        <v>46372</v>
      </c>
      <c r="C390" s="133"/>
      <c r="D390" s="136"/>
      <c r="E390" s="135"/>
      <c r="F390" s="135"/>
      <c r="G390" s="147">
        <f t="shared" si="154"/>
        <v>0</v>
      </c>
      <c r="H390" s="768"/>
      <c r="I390" s="768"/>
      <c r="J390" s="611"/>
      <c r="K390" s="611"/>
      <c r="L390" s="611"/>
      <c r="M390" s="611"/>
      <c r="N390" s="611"/>
      <c r="O390" s="611"/>
      <c r="P390" s="611"/>
      <c r="Q390" s="611"/>
      <c r="R390" s="611"/>
      <c r="S390" s="143"/>
      <c r="T390" s="143"/>
      <c r="U390" s="143"/>
      <c r="V390" s="143"/>
      <c r="W390" s="143"/>
      <c r="X390" s="1248">
        <f t="shared" si="155"/>
        <v>0</v>
      </c>
      <c r="Y390" s="611"/>
      <c r="Z390" s="611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03">
        <f t="shared" si="156"/>
        <v>0</v>
      </c>
      <c r="AM390" s="136"/>
      <c r="AN390" s="136"/>
      <c r="AO390" s="136"/>
      <c r="AP390" s="105">
        <f t="shared" si="157"/>
        <v>0</v>
      </c>
      <c r="AQ390" s="143"/>
      <c r="AR390" s="143"/>
      <c r="AS390" s="143"/>
      <c r="AT390" s="146"/>
      <c r="AU390" s="224">
        <f t="shared" si="158"/>
        <v>0</v>
      </c>
      <c r="AV390" s="126"/>
      <c r="AW390" s="274"/>
      <c r="AX390" s="433"/>
      <c r="AY390" s="433"/>
      <c r="AZ390" s="433"/>
      <c r="BA390" s="275"/>
      <c r="BB390" s="126"/>
      <c r="BC390" s="274"/>
      <c r="BD390" s="274"/>
      <c r="BE390" s="274"/>
      <c r="BF390" s="274"/>
      <c r="BG390" s="222">
        <f t="shared" si="159"/>
        <v>0</v>
      </c>
      <c r="BH390" s="140">
        <f t="shared" si="160"/>
        <v>0</v>
      </c>
      <c r="BI390" s="132"/>
      <c r="BJ390" s="140">
        <f t="shared" si="161"/>
        <v>0</v>
      </c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30">
        <f t="shared" si="162"/>
        <v>0</v>
      </c>
      <c r="BY390" s="132"/>
    </row>
    <row r="391" ht="14.25" customHeight="1">
      <c r="A391" s="132"/>
      <c r="B391" s="215">
        <v>46373</v>
      </c>
      <c r="C391" s="133"/>
      <c r="D391" s="136"/>
      <c r="E391" s="135"/>
      <c r="F391" s="135"/>
      <c r="G391" s="147">
        <f t="shared" si="154"/>
        <v>0</v>
      </c>
      <c r="H391" s="768"/>
      <c r="I391" s="768"/>
      <c r="J391" s="611"/>
      <c r="K391" s="611"/>
      <c r="L391" s="611"/>
      <c r="M391" s="611"/>
      <c r="N391" s="611"/>
      <c r="O391" s="611"/>
      <c r="P391" s="611"/>
      <c r="Q391" s="611"/>
      <c r="R391" s="611"/>
      <c r="S391" s="143"/>
      <c r="T391" s="143"/>
      <c r="U391" s="143"/>
      <c r="V391" s="143"/>
      <c r="W391" s="143"/>
      <c r="X391" s="1248">
        <f t="shared" si="155"/>
        <v>0</v>
      </c>
      <c r="Y391" s="611"/>
      <c r="Z391" s="611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03">
        <f t="shared" si="156"/>
        <v>0</v>
      </c>
      <c r="AM391" s="136"/>
      <c r="AN391" s="136"/>
      <c r="AO391" s="136"/>
      <c r="AP391" s="105">
        <f t="shared" si="157"/>
        <v>0</v>
      </c>
      <c r="AQ391" s="143"/>
      <c r="AR391" s="143"/>
      <c r="AS391" s="143"/>
      <c r="AT391" s="146"/>
      <c r="AU391" s="224">
        <f t="shared" si="158"/>
        <v>0</v>
      </c>
      <c r="AV391" s="126"/>
      <c r="AW391" s="274"/>
      <c r="AX391" s="1133"/>
      <c r="AY391" s="433"/>
      <c r="AZ391" s="433"/>
      <c r="BA391" s="275"/>
      <c r="BB391" s="126"/>
      <c r="BC391" s="274"/>
      <c r="BD391" s="274"/>
      <c r="BE391" s="274"/>
      <c r="BF391" s="274"/>
      <c r="BG391" s="222">
        <f t="shared" si="159"/>
        <v>0</v>
      </c>
      <c r="BH391" s="140">
        <f t="shared" si="160"/>
        <v>0</v>
      </c>
      <c r="BI391" s="132"/>
      <c r="BJ391" s="140">
        <f t="shared" si="161"/>
        <v>0</v>
      </c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30">
        <f t="shared" si="162"/>
        <v>0</v>
      </c>
      <c r="BY391" s="132"/>
    </row>
    <row r="392" ht="14.25" customHeight="1">
      <c r="A392" s="132"/>
      <c r="B392" s="215">
        <v>46374</v>
      </c>
      <c r="C392" s="133"/>
      <c r="D392" s="136"/>
      <c r="E392" s="135"/>
      <c r="F392" s="135"/>
      <c r="G392" s="147">
        <f t="shared" si="154"/>
        <v>0</v>
      </c>
      <c r="H392" s="768"/>
      <c r="I392" s="768"/>
      <c r="J392" s="611"/>
      <c r="K392" s="611"/>
      <c r="L392" s="611"/>
      <c r="M392" s="611"/>
      <c r="N392" s="611"/>
      <c r="O392" s="611"/>
      <c r="P392" s="611"/>
      <c r="Q392" s="611"/>
      <c r="R392" s="611"/>
      <c r="S392" s="143"/>
      <c r="T392" s="143"/>
      <c r="U392" s="143"/>
      <c r="V392" s="143"/>
      <c r="W392" s="143"/>
      <c r="X392" s="1248">
        <f t="shared" si="155"/>
        <v>0</v>
      </c>
      <c r="Y392" s="611"/>
      <c r="Z392" s="611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03">
        <f t="shared" si="156"/>
        <v>0</v>
      </c>
      <c r="AM392" s="136"/>
      <c r="AN392" s="136"/>
      <c r="AO392" s="136"/>
      <c r="AP392" s="105">
        <f t="shared" si="157"/>
        <v>0</v>
      </c>
      <c r="AQ392" s="143"/>
      <c r="AR392" s="143"/>
      <c r="AS392" s="143"/>
      <c r="AT392" s="146"/>
      <c r="AU392" s="224">
        <f t="shared" si="158"/>
        <v>0</v>
      </c>
      <c r="AV392" s="126"/>
      <c r="AW392" s="274"/>
      <c r="AX392" s="433"/>
      <c r="AY392" s="433"/>
      <c r="AZ392" s="433"/>
      <c r="BA392" s="275"/>
      <c r="BB392" s="126"/>
      <c r="BC392" s="274"/>
      <c r="BD392" s="274"/>
      <c r="BE392" s="274"/>
      <c r="BF392" s="274"/>
      <c r="BG392" s="222">
        <f t="shared" si="159"/>
        <v>0</v>
      </c>
      <c r="BH392" s="140">
        <f t="shared" si="160"/>
        <v>0</v>
      </c>
      <c r="BI392" s="132"/>
      <c r="BJ392" s="140">
        <f t="shared" si="161"/>
        <v>0</v>
      </c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30">
        <f t="shared" si="162"/>
        <v>0</v>
      </c>
      <c r="BY392" s="132"/>
    </row>
    <row r="393" ht="14.25" customHeight="1">
      <c r="A393" s="132"/>
      <c r="B393" s="215">
        <v>46375</v>
      </c>
      <c r="C393" s="133"/>
      <c r="D393" s="136"/>
      <c r="E393" s="135"/>
      <c r="F393" s="135"/>
      <c r="G393" s="147">
        <f t="shared" si="154"/>
        <v>0</v>
      </c>
      <c r="H393" s="768"/>
      <c r="I393" s="768"/>
      <c r="J393" s="611"/>
      <c r="K393" s="611"/>
      <c r="L393" s="611"/>
      <c r="M393" s="611"/>
      <c r="N393" s="611"/>
      <c r="O393" s="611"/>
      <c r="P393" s="611"/>
      <c r="Q393" s="611"/>
      <c r="R393" s="611"/>
      <c r="S393" s="143"/>
      <c r="T393" s="143"/>
      <c r="U393" s="143"/>
      <c r="V393" s="143"/>
      <c r="W393" s="143"/>
      <c r="X393" s="1248">
        <f t="shared" si="155"/>
        <v>0</v>
      </c>
      <c r="Y393" s="611"/>
      <c r="Z393" s="611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03">
        <f t="shared" si="156"/>
        <v>0</v>
      </c>
      <c r="AM393" s="136"/>
      <c r="AN393" s="136"/>
      <c r="AO393" s="136"/>
      <c r="AP393" s="105">
        <f t="shared" si="157"/>
        <v>0</v>
      </c>
      <c r="AQ393" s="143"/>
      <c r="AR393" s="143"/>
      <c r="AS393" s="143"/>
      <c r="AT393" s="146"/>
      <c r="AU393" s="224">
        <f t="shared" si="158"/>
        <v>0</v>
      </c>
      <c r="AV393" s="126"/>
      <c r="AW393" s="274"/>
      <c r="AX393" s="433"/>
      <c r="AY393" s="433"/>
      <c r="AZ393" s="433"/>
      <c r="BA393" s="275"/>
      <c r="BB393" s="126"/>
      <c r="BC393" s="274"/>
      <c r="BD393" s="274"/>
      <c r="BE393" s="274"/>
      <c r="BF393" s="274"/>
      <c r="BG393" s="222">
        <f t="shared" si="159"/>
        <v>0</v>
      </c>
      <c r="BH393" s="140">
        <f t="shared" si="160"/>
        <v>0</v>
      </c>
      <c r="BI393" s="132"/>
      <c r="BJ393" s="140">
        <f t="shared" si="161"/>
        <v>0</v>
      </c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30">
        <f t="shared" si="162"/>
        <v>0</v>
      </c>
      <c r="BY393" s="132"/>
    </row>
    <row r="394" ht="14.25" customHeight="1">
      <c r="A394" s="132"/>
      <c r="B394" s="215">
        <v>46376</v>
      </c>
      <c r="C394" s="133"/>
      <c r="D394" s="136"/>
      <c r="E394" s="135"/>
      <c r="F394" s="135"/>
      <c r="G394" s="147">
        <f t="shared" si="154"/>
        <v>0</v>
      </c>
      <c r="H394" s="768"/>
      <c r="I394" s="768"/>
      <c r="J394" s="611"/>
      <c r="K394" s="611"/>
      <c r="L394" s="611"/>
      <c r="M394" s="611"/>
      <c r="N394" s="611"/>
      <c r="O394" s="611"/>
      <c r="P394" s="611"/>
      <c r="Q394" s="611"/>
      <c r="R394" s="611"/>
      <c r="S394" s="143"/>
      <c r="T394" s="143"/>
      <c r="U394" s="143"/>
      <c r="V394" s="143"/>
      <c r="W394" s="143"/>
      <c r="X394" s="1248">
        <f t="shared" si="155"/>
        <v>0</v>
      </c>
      <c r="Y394" s="611"/>
      <c r="Z394" s="611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03">
        <f t="shared" si="156"/>
        <v>0</v>
      </c>
      <c r="AM394" s="136"/>
      <c r="AN394" s="136"/>
      <c r="AO394" s="136"/>
      <c r="AP394" s="105">
        <f t="shared" si="157"/>
        <v>0</v>
      </c>
      <c r="AQ394" s="143"/>
      <c r="AR394" s="143"/>
      <c r="AS394" s="143"/>
      <c r="AT394" s="146"/>
      <c r="AU394" s="224">
        <f t="shared" si="158"/>
        <v>0</v>
      </c>
      <c r="AV394" s="126"/>
      <c r="AW394" s="274"/>
      <c r="AX394" s="433"/>
      <c r="AY394" s="433"/>
      <c r="AZ394" s="433"/>
      <c r="BA394" s="275"/>
      <c r="BB394" s="126"/>
      <c r="BC394" s="274"/>
      <c r="BD394" s="274"/>
      <c r="BE394" s="274"/>
      <c r="BF394" s="274"/>
      <c r="BG394" s="222">
        <f t="shared" si="159"/>
        <v>0</v>
      </c>
      <c r="BH394" s="140">
        <f t="shared" si="160"/>
        <v>0</v>
      </c>
      <c r="BI394" s="132"/>
      <c r="BJ394" s="140">
        <f t="shared" si="161"/>
        <v>0</v>
      </c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30">
        <f t="shared" si="162"/>
        <v>0</v>
      </c>
      <c r="BY394" s="132"/>
    </row>
    <row r="395" ht="14.25" customHeight="1">
      <c r="A395" s="132"/>
      <c r="B395" s="215">
        <v>46377</v>
      </c>
      <c r="C395" s="133"/>
      <c r="D395" s="136"/>
      <c r="E395" s="135"/>
      <c r="F395" s="135"/>
      <c r="G395" s="147">
        <f t="shared" si="154"/>
        <v>0</v>
      </c>
      <c r="H395" s="768"/>
      <c r="I395" s="768"/>
      <c r="J395" s="611"/>
      <c r="K395" s="611"/>
      <c r="L395" s="611"/>
      <c r="M395" s="611"/>
      <c r="N395" s="611"/>
      <c r="O395" s="611"/>
      <c r="P395" s="611"/>
      <c r="Q395" s="611"/>
      <c r="R395" s="611"/>
      <c r="S395" s="143"/>
      <c r="T395" s="143"/>
      <c r="U395" s="143"/>
      <c r="V395" s="143"/>
      <c r="W395" s="143"/>
      <c r="X395" s="1248">
        <f t="shared" si="155"/>
        <v>0</v>
      </c>
      <c r="Y395" s="611"/>
      <c r="Z395" s="611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03">
        <f t="shared" si="156"/>
        <v>0</v>
      </c>
      <c r="AM395" s="136"/>
      <c r="AN395" s="136"/>
      <c r="AO395" s="136"/>
      <c r="AP395" s="105">
        <f t="shared" si="157"/>
        <v>0</v>
      </c>
      <c r="AQ395" s="143"/>
      <c r="AR395" s="143"/>
      <c r="AS395" s="143"/>
      <c r="AT395" s="146"/>
      <c r="AU395" s="224">
        <f t="shared" si="158"/>
        <v>0</v>
      </c>
      <c r="AV395" s="126"/>
      <c r="AW395" s="274"/>
      <c r="AX395" s="433"/>
      <c r="AY395" s="433"/>
      <c r="AZ395" s="433"/>
      <c r="BA395" s="275"/>
      <c r="BB395" s="126"/>
      <c r="BC395" s="274"/>
      <c r="BD395" s="274"/>
      <c r="BE395" s="274"/>
      <c r="BF395" s="274"/>
      <c r="BG395" s="222">
        <f t="shared" si="159"/>
        <v>0</v>
      </c>
      <c r="BH395" s="140">
        <f t="shared" si="160"/>
        <v>0</v>
      </c>
      <c r="BI395" s="132"/>
      <c r="BJ395" s="140">
        <f t="shared" si="161"/>
        <v>0</v>
      </c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30">
        <f t="shared" si="162"/>
        <v>0</v>
      </c>
      <c r="BY395" s="132"/>
    </row>
    <row r="396" ht="14.25" customHeight="1">
      <c r="A396" s="132"/>
      <c r="B396" s="215">
        <v>46378</v>
      </c>
      <c r="C396" s="133"/>
      <c r="D396" s="136"/>
      <c r="E396" s="135"/>
      <c r="F396" s="135"/>
      <c r="G396" s="147">
        <f t="shared" si="154"/>
        <v>0</v>
      </c>
      <c r="H396" s="768"/>
      <c r="I396" s="768"/>
      <c r="J396" s="611"/>
      <c r="K396" s="611"/>
      <c r="L396" s="611"/>
      <c r="M396" s="611"/>
      <c r="N396" s="611"/>
      <c r="O396" s="611"/>
      <c r="P396" s="611"/>
      <c r="Q396" s="611"/>
      <c r="R396" s="611"/>
      <c r="S396" s="143"/>
      <c r="T396" s="143"/>
      <c r="U396" s="143"/>
      <c r="V396" s="143"/>
      <c r="W396" s="143"/>
      <c r="X396" s="1248">
        <f t="shared" si="155"/>
        <v>0</v>
      </c>
      <c r="Y396" s="611"/>
      <c r="Z396" s="611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03">
        <f t="shared" si="156"/>
        <v>0</v>
      </c>
      <c r="AM396" s="136"/>
      <c r="AN396" s="136"/>
      <c r="AO396" s="136"/>
      <c r="AP396" s="105">
        <f t="shared" si="157"/>
        <v>0</v>
      </c>
      <c r="AQ396" s="143"/>
      <c r="AR396" s="143"/>
      <c r="AS396" s="143"/>
      <c r="AT396" s="146"/>
      <c r="AU396" s="224">
        <f t="shared" si="158"/>
        <v>0</v>
      </c>
      <c r="AV396" s="126"/>
      <c r="AW396" s="274"/>
      <c r="AX396" s="433"/>
      <c r="AY396" s="433"/>
      <c r="AZ396" s="433"/>
      <c r="BA396" s="275"/>
      <c r="BB396" s="126"/>
      <c r="BC396" s="274"/>
      <c r="BD396" s="274"/>
      <c r="BE396" s="274"/>
      <c r="BF396" s="274"/>
      <c r="BG396" s="222">
        <f t="shared" si="159"/>
        <v>0</v>
      </c>
      <c r="BH396" s="140">
        <f t="shared" si="160"/>
        <v>0</v>
      </c>
      <c r="BI396" s="132"/>
      <c r="BJ396" s="140">
        <f t="shared" si="161"/>
        <v>0</v>
      </c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30">
        <f t="shared" si="162"/>
        <v>0</v>
      </c>
      <c r="BY396" s="132"/>
    </row>
    <row r="397" ht="14.25" customHeight="1">
      <c r="A397" s="132"/>
      <c r="B397" s="215">
        <v>46379</v>
      </c>
      <c r="C397" s="133"/>
      <c r="D397" s="136"/>
      <c r="E397" s="135"/>
      <c r="F397" s="135"/>
      <c r="G397" s="147">
        <f t="shared" si="154"/>
        <v>0</v>
      </c>
      <c r="H397" s="768"/>
      <c r="I397" s="768"/>
      <c r="J397" s="611"/>
      <c r="K397" s="611"/>
      <c r="L397" s="611"/>
      <c r="M397" s="611"/>
      <c r="N397" s="611"/>
      <c r="O397" s="611"/>
      <c r="P397" s="611"/>
      <c r="Q397" s="611"/>
      <c r="R397" s="611"/>
      <c r="S397" s="143"/>
      <c r="T397" s="143"/>
      <c r="U397" s="143"/>
      <c r="V397" s="143"/>
      <c r="W397" s="143"/>
      <c r="X397" s="1248">
        <f t="shared" si="155"/>
        <v>0</v>
      </c>
      <c r="Y397" s="611"/>
      <c r="Z397" s="611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03">
        <f t="shared" si="156"/>
        <v>0</v>
      </c>
      <c r="AM397" s="136"/>
      <c r="AN397" s="136"/>
      <c r="AO397" s="136"/>
      <c r="AP397" s="105">
        <f t="shared" si="157"/>
        <v>0</v>
      </c>
      <c r="AQ397" s="143"/>
      <c r="AR397" s="143"/>
      <c r="AS397" s="143"/>
      <c r="AT397" s="146"/>
      <c r="AU397" s="224">
        <f t="shared" si="158"/>
        <v>0</v>
      </c>
      <c r="AV397" s="126"/>
      <c r="AW397" s="274"/>
      <c r="AX397" s="433"/>
      <c r="AY397" s="433"/>
      <c r="AZ397" s="433"/>
      <c r="BA397" s="275"/>
      <c r="BB397" s="126"/>
      <c r="BC397" s="274"/>
      <c r="BD397" s="274"/>
      <c r="BE397" s="274"/>
      <c r="BF397" s="274"/>
      <c r="BG397" s="222">
        <f t="shared" si="159"/>
        <v>0</v>
      </c>
      <c r="BH397" s="140">
        <f t="shared" si="160"/>
        <v>0</v>
      </c>
      <c r="BI397" s="132"/>
      <c r="BJ397" s="140">
        <f t="shared" si="161"/>
        <v>0</v>
      </c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30">
        <f t="shared" si="162"/>
        <v>0</v>
      </c>
      <c r="BY397" s="132"/>
    </row>
    <row r="398" ht="14.25" customHeight="1">
      <c r="A398" s="132"/>
      <c r="B398" s="215">
        <v>46380</v>
      </c>
      <c r="C398" s="133"/>
      <c r="D398" s="136"/>
      <c r="E398" s="135"/>
      <c r="F398" s="135"/>
      <c r="G398" s="147">
        <f t="shared" si="154"/>
        <v>0</v>
      </c>
      <c r="H398" s="768"/>
      <c r="I398" s="768"/>
      <c r="J398" s="611"/>
      <c r="K398" s="611"/>
      <c r="L398" s="611"/>
      <c r="M398" s="611"/>
      <c r="N398" s="611"/>
      <c r="O398" s="611"/>
      <c r="P398" s="611"/>
      <c r="Q398" s="611"/>
      <c r="R398" s="611"/>
      <c r="S398" s="143"/>
      <c r="T398" s="143"/>
      <c r="U398" s="143"/>
      <c r="V398" s="143"/>
      <c r="W398" s="143"/>
      <c r="X398" s="1248">
        <f t="shared" si="155"/>
        <v>0</v>
      </c>
      <c r="Y398" s="611"/>
      <c r="Z398" s="611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03">
        <f t="shared" si="156"/>
        <v>0</v>
      </c>
      <c r="AM398" s="136"/>
      <c r="AN398" s="136"/>
      <c r="AO398" s="136"/>
      <c r="AP398" s="105">
        <f t="shared" si="157"/>
        <v>0</v>
      </c>
      <c r="AQ398" s="143"/>
      <c r="AR398" s="143"/>
      <c r="AS398" s="143"/>
      <c r="AT398" s="146"/>
      <c r="AU398" s="224">
        <f t="shared" si="158"/>
        <v>0</v>
      </c>
      <c r="AV398" s="126"/>
      <c r="AW398" s="274"/>
      <c r="AX398" s="433"/>
      <c r="AY398" s="433"/>
      <c r="AZ398" s="433"/>
      <c r="BA398" s="275"/>
      <c r="BB398" s="126"/>
      <c r="BC398" s="274"/>
      <c r="BD398" s="274"/>
      <c r="BE398" s="274"/>
      <c r="BF398" s="274"/>
      <c r="BG398" s="222">
        <f t="shared" si="159"/>
        <v>0</v>
      </c>
      <c r="BH398" s="140">
        <f t="shared" si="160"/>
        <v>0</v>
      </c>
      <c r="BI398" s="132"/>
      <c r="BJ398" s="140">
        <f t="shared" si="161"/>
        <v>0</v>
      </c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30">
        <f t="shared" si="162"/>
        <v>0</v>
      </c>
      <c r="BY398" s="132"/>
    </row>
    <row r="399" ht="14.25" customHeight="1">
      <c r="A399" s="132"/>
      <c r="B399" s="215">
        <v>46381</v>
      </c>
      <c r="C399" s="133"/>
      <c r="D399" s="136"/>
      <c r="E399" s="135"/>
      <c r="F399" s="135"/>
      <c r="G399" s="147">
        <f t="shared" si="154"/>
        <v>0</v>
      </c>
      <c r="H399" s="768"/>
      <c r="I399" s="768"/>
      <c r="J399" s="611"/>
      <c r="K399" s="611"/>
      <c r="L399" s="611"/>
      <c r="M399" s="611"/>
      <c r="N399" s="611"/>
      <c r="O399" s="611"/>
      <c r="P399" s="611"/>
      <c r="Q399" s="611"/>
      <c r="R399" s="611"/>
      <c r="S399" s="143"/>
      <c r="T399" s="143"/>
      <c r="U399" s="143"/>
      <c r="V399" s="143"/>
      <c r="W399" s="143"/>
      <c r="X399" s="1248">
        <f t="shared" si="155"/>
        <v>0</v>
      </c>
      <c r="Y399" s="611"/>
      <c r="Z399" s="611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03">
        <f t="shared" si="156"/>
        <v>0</v>
      </c>
      <c r="AM399" s="136"/>
      <c r="AN399" s="136"/>
      <c r="AO399" s="136"/>
      <c r="AP399" s="105">
        <f t="shared" si="157"/>
        <v>0</v>
      </c>
      <c r="AQ399" s="143"/>
      <c r="AR399" s="143"/>
      <c r="AS399" s="143"/>
      <c r="AT399" s="146"/>
      <c r="AU399" s="224">
        <f t="shared" si="158"/>
        <v>0</v>
      </c>
      <c r="AV399" s="126"/>
      <c r="AW399" s="274"/>
      <c r="AX399" s="433"/>
      <c r="AY399" s="433"/>
      <c r="AZ399" s="433"/>
      <c r="BA399" s="275"/>
      <c r="BB399" s="126"/>
      <c r="BC399" s="274"/>
      <c r="BD399" s="274"/>
      <c r="BE399" s="274"/>
      <c r="BF399" s="274"/>
      <c r="BG399" s="222">
        <f t="shared" si="159"/>
        <v>0</v>
      </c>
      <c r="BH399" s="140">
        <f t="shared" si="160"/>
        <v>0</v>
      </c>
      <c r="BI399" s="132"/>
      <c r="BJ399" s="140">
        <f t="shared" si="161"/>
        <v>0</v>
      </c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30">
        <f t="shared" si="162"/>
        <v>0</v>
      </c>
      <c r="BY399" s="132"/>
    </row>
    <row r="400" ht="14.25" customHeight="1">
      <c r="A400" s="132"/>
      <c r="B400" s="215">
        <v>46382</v>
      </c>
      <c r="C400" s="133"/>
      <c r="D400" s="136"/>
      <c r="E400" s="135"/>
      <c r="F400" s="135"/>
      <c r="G400" s="147">
        <f t="shared" si="154"/>
        <v>0</v>
      </c>
      <c r="H400" s="768"/>
      <c r="I400" s="768"/>
      <c r="J400" s="611"/>
      <c r="K400" s="611"/>
      <c r="L400" s="641"/>
      <c r="M400" s="641"/>
      <c r="N400" s="641"/>
      <c r="O400" s="611"/>
      <c r="P400" s="611"/>
      <c r="Q400" s="641"/>
      <c r="R400" s="641"/>
      <c r="S400" s="143"/>
      <c r="T400" s="143"/>
      <c r="U400" s="143"/>
      <c r="V400" s="143"/>
      <c r="W400" s="143"/>
      <c r="X400" s="1248">
        <f t="shared" si="155"/>
        <v>0</v>
      </c>
      <c r="Y400" s="611"/>
      <c r="Z400" s="611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03">
        <f t="shared" si="156"/>
        <v>0</v>
      </c>
      <c r="AM400" s="136"/>
      <c r="AN400" s="136"/>
      <c r="AO400" s="136"/>
      <c r="AP400" s="105">
        <f t="shared" si="157"/>
        <v>0</v>
      </c>
      <c r="AQ400" s="143"/>
      <c r="AR400" s="143"/>
      <c r="AS400" s="143"/>
      <c r="AT400" s="146"/>
      <c r="AU400" s="224">
        <f t="shared" si="158"/>
        <v>0</v>
      </c>
      <c r="AV400" s="126"/>
      <c r="AW400" s="274"/>
      <c r="AX400" s="433"/>
      <c r="AY400" s="433"/>
      <c r="AZ400" s="433"/>
      <c r="BA400" s="275"/>
      <c r="BB400" s="126"/>
      <c r="BC400" s="274"/>
      <c r="BD400" s="274"/>
      <c r="BE400" s="274"/>
      <c r="BF400" s="274"/>
      <c r="BG400" s="222">
        <f t="shared" si="159"/>
        <v>0</v>
      </c>
      <c r="BH400" s="140">
        <f t="shared" si="160"/>
        <v>0</v>
      </c>
      <c r="BI400" s="132"/>
      <c r="BJ400" s="140">
        <f t="shared" si="161"/>
        <v>0</v>
      </c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30">
        <f t="shared" si="162"/>
        <v>0</v>
      </c>
      <c r="BY400" s="132"/>
    </row>
    <row r="401" ht="14.25" customHeight="1">
      <c r="A401" s="132"/>
      <c r="B401" s="215">
        <v>46383</v>
      </c>
      <c r="C401" s="133"/>
      <c r="D401" s="136"/>
      <c r="E401" s="135"/>
      <c r="F401" s="135"/>
      <c r="G401" s="147">
        <f t="shared" si="154"/>
        <v>0</v>
      </c>
      <c r="H401" s="768"/>
      <c r="I401" s="768"/>
      <c r="J401" s="611"/>
      <c r="K401" s="611"/>
      <c r="L401" s="611"/>
      <c r="M401" s="611"/>
      <c r="N401" s="611"/>
      <c r="O401" s="611"/>
      <c r="P401" s="611"/>
      <c r="Q401" s="611"/>
      <c r="R401" s="611"/>
      <c r="S401" s="143"/>
      <c r="T401" s="143"/>
      <c r="U401" s="143"/>
      <c r="V401" s="143"/>
      <c r="W401" s="143"/>
      <c r="X401" s="1248">
        <f t="shared" si="155"/>
        <v>0</v>
      </c>
      <c r="Y401" s="611"/>
      <c r="Z401" s="611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03">
        <f t="shared" si="156"/>
        <v>0</v>
      </c>
      <c r="AM401" s="136"/>
      <c r="AN401" s="136"/>
      <c r="AO401" s="136"/>
      <c r="AP401" s="105">
        <f t="shared" si="157"/>
        <v>0</v>
      </c>
      <c r="AQ401" s="143"/>
      <c r="AR401" s="143"/>
      <c r="AS401" s="143"/>
      <c r="AT401" s="146"/>
      <c r="AU401" s="224">
        <f t="shared" si="158"/>
        <v>0</v>
      </c>
      <c r="AV401" s="126"/>
      <c r="AW401" s="274"/>
      <c r="AX401" s="433"/>
      <c r="AY401" s="433"/>
      <c r="AZ401" s="433"/>
      <c r="BA401" s="275"/>
      <c r="BB401" s="126"/>
      <c r="BC401" s="274"/>
      <c r="BD401" s="274"/>
      <c r="BE401" s="274"/>
      <c r="BF401" s="274"/>
      <c r="BG401" s="222">
        <f t="shared" si="159"/>
        <v>0</v>
      </c>
      <c r="BH401" s="140">
        <f t="shared" si="160"/>
        <v>0</v>
      </c>
      <c r="BI401" s="132"/>
      <c r="BJ401" s="140">
        <f t="shared" si="161"/>
        <v>0</v>
      </c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30">
        <f t="shared" si="162"/>
        <v>0</v>
      </c>
      <c r="BY401" s="132"/>
    </row>
    <row r="402" ht="14.25" customHeight="1">
      <c r="A402" s="132"/>
      <c r="B402" s="215">
        <v>46384</v>
      </c>
      <c r="C402" s="133"/>
      <c r="D402" s="136"/>
      <c r="E402" s="135"/>
      <c r="F402" s="135"/>
      <c r="G402" s="147">
        <f t="shared" si="154"/>
        <v>0</v>
      </c>
      <c r="H402" s="768"/>
      <c r="I402" s="768"/>
      <c r="J402" s="611"/>
      <c r="K402" s="611"/>
      <c r="L402" s="611"/>
      <c r="M402" s="611"/>
      <c r="N402" s="611"/>
      <c r="O402" s="611"/>
      <c r="P402" s="611"/>
      <c r="Q402" s="611"/>
      <c r="R402" s="611"/>
      <c r="S402" s="143"/>
      <c r="T402" s="143"/>
      <c r="U402" s="143"/>
      <c r="V402" s="143"/>
      <c r="W402" s="143"/>
      <c r="X402" s="1248">
        <f t="shared" si="155"/>
        <v>0</v>
      </c>
      <c r="Y402" s="611"/>
      <c r="Z402" s="611"/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03">
        <f t="shared" si="156"/>
        <v>0</v>
      </c>
      <c r="AM402" s="136"/>
      <c r="AN402" s="136"/>
      <c r="AO402" s="136"/>
      <c r="AP402" s="105">
        <f t="shared" si="157"/>
        <v>0</v>
      </c>
      <c r="AQ402" s="143"/>
      <c r="AR402" s="143"/>
      <c r="AS402" s="143"/>
      <c r="AT402" s="146"/>
      <c r="AU402" s="224">
        <f t="shared" si="158"/>
        <v>0</v>
      </c>
      <c r="AV402" s="126"/>
      <c r="AW402" s="274"/>
      <c r="AX402" s="433"/>
      <c r="AY402" s="433"/>
      <c r="AZ402" s="433"/>
      <c r="BA402" s="275"/>
      <c r="BB402" s="126"/>
      <c r="BC402" s="274"/>
      <c r="BD402" s="274"/>
      <c r="BE402" s="274"/>
      <c r="BF402" s="274"/>
      <c r="BG402" s="222">
        <f t="shared" si="159"/>
        <v>0</v>
      </c>
      <c r="BH402" s="140">
        <f t="shared" si="160"/>
        <v>0</v>
      </c>
      <c r="BI402" s="132"/>
      <c r="BJ402" s="140">
        <f t="shared" si="161"/>
        <v>0</v>
      </c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30">
        <f t="shared" si="162"/>
        <v>0</v>
      </c>
      <c r="BY402" s="132"/>
    </row>
    <row r="403" ht="14.25" customHeight="1">
      <c r="A403" s="132"/>
      <c r="B403" s="215">
        <v>46385</v>
      </c>
      <c r="C403" s="133"/>
      <c r="D403" s="136"/>
      <c r="E403" s="135"/>
      <c r="F403" s="135"/>
      <c r="G403" s="147">
        <f t="shared" si="154"/>
        <v>0</v>
      </c>
      <c r="H403" s="768"/>
      <c r="I403" s="768"/>
      <c r="J403" s="611"/>
      <c r="K403" s="611"/>
      <c r="L403" s="611"/>
      <c r="M403" s="611"/>
      <c r="N403" s="611"/>
      <c r="O403" s="611"/>
      <c r="P403" s="611"/>
      <c r="Q403" s="611"/>
      <c r="R403" s="611"/>
      <c r="S403" s="143"/>
      <c r="T403" s="143"/>
      <c r="U403" s="143"/>
      <c r="V403" s="143"/>
      <c r="W403" s="143"/>
      <c r="X403" s="1248">
        <f t="shared" si="155"/>
        <v>0</v>
      </c>
      <c r="Y403" s="611"/>
      <c r="Z403" s="611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03">
        <f t="shared" si="156"/>
        <v>0</v>
      </c>
      <c r="AM403" s="136"/>
      <c r="AN403" s="136"/>
      <c r="AO403" s="136"/>
      <c r="AP403" s="105">
        <f t="shared" si="157"/>
        <v>0</v>
      </c>
      <c r="AQ403" s="143"/>
      <c r="AR403" s="143"/>
      <c r="AS403" s="143"/>
      <c r="AT403" s="146"/>
      <c r="AU403" s="224">
        <f t="shared" si="158"/>
        <v>0</v>
      </c>
      <c r="AV403" s="126"/>
      <c r="AW403" s="274"/>
      <c r="AX403" s="433"/>
      <c r="AY403" s="433"/>
      <c r="AZ403" s="433"/>
      <c r="BA403" s="275"/>
      <c r="BB403" s="126"/>
      <c r="BC403" s="274"/>
      <c r="BD403" s="274"/>
      <c r="BE403" s="274"/>
      <c r="BF403" s="274"/>
      <c r="BG403" s="222">
        <f t="shared" si="159"/>
        <v>0</v>
      </c>
      <c r="BH403" s="140">
        <f t="shared" si="160"/>
        <v>0</v>
      </c>
      <c r="BI403" s="132"/>
      <c r="BJ403" s="140">
        <f t="shared" si="161"/>
        <v>0</v>
      </c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41"/>
      <c r="BU403" s="141"/>
      <c r="BV403" s="141"/>
      <c r="BW403" s="141"/>
      <c r="BX403" s="130">
        <f t="shared" si="162"/>
        <v>0</v>
      </c>
      <c r="BY403" s="132"/>
    </row>
    <row r="404" ht="14.25" customHeight="1">
      <c r="A404" s="132"/>
      <c r="B404" s="215">
        <v>46386</v>
      </c>
      <c r="C404" s="136"/>
      <c r="D404" s="136"/>
      <c r="E404" s="135"/>
      <c r="F404" s="135"/>
      <c r="G404" s="147">
        <f t="shared" si="154"/>
        <v>0</v>
      </c>
      <c r="H404" s="768"/>
      <c r="I404" s="768"/>
      <c r="J404" s="611"/>
      <c r="K404" s="611"/>
      <c r="L404" s="611"/>
      <c r="M404" s="611"/>
      <c r="N404" s="611"/>
      <c r="O404" s="611"/>
      <c r="P404" s="611"/>
      <c r="Q404" s="611"/>
      <c r="R404" s="611"/>
      <c r="S404" s="143"/>
      <c r="T404" s="143"/>
      <c r="U404" s="143"/>
      <c r="V404" s="143"/>
      <c r="W404" s="143"/>
      <c r="X404" s="1248">
        <f t="shared" si="155"/>
        <v>0</v>
      </c>
      <c r="Y404" s="611"/>
      <c r="Z404" s="611"/>
      <c r="AA404" s="143"/>
      <c r="AB404" s="143"/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03">
        <f t="shared" si="156"/>
        <v>0</v>
      </c>
      <c r="AM404" s="136"/>
      <c r="AN404" s="136"/>
      <c r="AO404" s="136"/>
      <c r="AP404" s="105">
        <f t="shared" si="157"/>
        <v>0</v>
      </c>
      <c r="AQ404" s="143"/>
      <c r="AR404" s="143"/>
      <c r="AS404" s="143"/>
      <c r="AT404" s="146"/>
      <c r="AU404" s="224">
        <f t="shared" si="158"/>
        <v>0</v>
      </c>
      <c r="AV404" s="126"/>
      <c r="AW404" s="274"/>
      <c r="AX404" s="433"/>
      <c r="AY404" s="433"/>
      <c r="AZ404" s="433"/>
      <c r="BA404" s="275"/>
      <c r="BB404" s="126"/>
      <c r="BC404" s="274"/>
      <c r="BD404" s="274"/>
      <c r="BE404" s="274"/>
      <c r="BF404" s="274"/>
      <c r="BG404" s="222">
        <f t="shared" si="159"/>
        <v>0</v>
      </c>
      <c r="BH404" s="140">
        <f t="shared" si="160"/>
        <v>0</v>
      </c>
      <c r="BI404" s="132"/>
      <c r="BJ404" s="140">
        <f t="shared" si="161"/>
        <v>0</v>
      </c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41"/>
      <c r="BU404" s="141"/>
      <c r="BV404" s="141"/>
      <c r="BW404" s="141"/>
      <c r="BX404" s="130">
        <f t="shared" si="162"/>
        <v>0</v>
      </c>
      <c r="BY404" s="132"/>
    </row>
    <row r="405" ht="14.25" customHeight="1">
      <c r="A405" s="132"/>
      <c r="B405" s="215">
        <v>46387</v>
      </c>
      <c r="C405" s="159"/>
      <c r="D405" s="159"/>
      <c r="E405" s="156"/>
      <c r="F405" s="156"/>
      <c r="G405" s="147">
        <f t="shared" si="154"/>
        <v>0</v>
      </c>
      <c r="H405" s="788"/>
      <c r="I405" s="788"/>
      <c r="J405" s="613"/>
      <c r="K405" s="613"/>
      <c r="L405" s="613"/>
      <c r="M405" s="613"/>
      <c r="N405" s="613"/>
      <c r="O405" s="613"/>
      <c r="P405" s="613"/>
      <c r="Q405" s="613"/>
      <c r="R405" s="613"/>
      <c r="S405" s="157"/>
      <c r="T405" s="157"/>
      <c r="U405" s="157"/>
      <c r="V405" s="157"/>
      <c r="W405" s="157"/>
      <c r="X405" s="1248">
        <f t="shared" si="155"/>
        <v>0</v>
      </c>
      <c r="Y405" s="613"/>
      <c r="Z405" s="613"/>
      <c r="AA405" s="157"/>
      <c r="AB405" s="157"/>
      <c r="AC405" s="157"/>
      <c r="AD405" s="157"/>
      <c r="AE405" s="157"/>
      <c r="AF405" s="157"/>
      <c r="AG405" s="157"/>
      <c r="AH405" s="157"/>
      <c r="AI405" s="157"/>
      <c r="AJ405" s="157"/>
      <c r="AK405" s="157"/>
      <c r="AL405" s="103">
        <f t="shared" si="156"/>
        <v>0</v>
      </c>
      <c r="AM405" s="159"/>
      <c r="AN405" s="159"/>
      <c r="AO405" s="159"/>
      <c r="AP405" s="105">
        <f t="shared" si="157"/>
        <v>0</v>
      </c>
      <c r="AQ405" s="157"/>
      <c r="AR405" s="157"/>
      <c r="AS405" s="157"/>
      <c r="AT405" s="160"/>
      <c r="AU405" s="224">
        <f t="shared" si="158"/>
        <v>0</v>
      </c>
      <c r="AV405" s="138"/>
      <c r="AW405" s="296"/>
      <c r="AX405" s="435"/>
      <c r="AY405" s="435"/>
      <c r="AZ405" s="435"/>
      <c r="BA405" s="297"/>
      <c r="BB405" s="138"/>
      <c r="BC405" s="296"/>
      <c r="BD405" s="296"/>
      <c r="BE405" s="296"/>
      <c r="BF405" s="296"/>
      <c r="BG405" s="222">
        <f t="shared" si="159"/>
        <v>0</v>
      </c>
      <c r="BH405" s="162">
        <f t="shared" si="160"/>
        <v>0</v>
      </c>
      <c r="BI405" s="132"/>
      <c r="BJ405" s="162">
        <f t="shared" si="161"/>
        <v>0</v>
      </c>
      <c r="BK405" s="163"/>
      <c r="BL405" s="163"/>
      <c r="BM405" s="163"/>
      <c r="BN405" s="163"/>
      <c r="BO405" s="163"/>
      <c r="BP405" s="163"/>
      <c r="BQ405" s="163"/>
      <c r="BR405" s="163"/>
      <c r="BS405" s="163"/>
      <c r="BT405" s="141"/>
      <c r="BU405" s="163"/>
      <c r="BV405" s="163"/>
      <c r="BW405" s="163"/>
      <c r="BX405" s="164">
        <f t="shared" si="162"/>
        <v>0</v>
      </c>
      <c r="BY405" s="132"/>
    </row>
    <row r="406" ht="14.25" customHeight="1">
      <c r="A406" s="22"/>
      <c r="B406" s="2" t="s">
        <v>86</v>
      </c>
      <c r="C406" s="166">
        <f ref="C406:H406" t="shared" si="163">SUM(C375:C405)</f>
        <v>0</v>
      </c>
      <c r="D406" s="166">
        <f t="shared" si="163"/>
        <v>0</v>
      </c>
      <c r="E406" s="166">
        <f t="shared" si="163"/>
        <v>0</v>
      </c>
      <c r="F406" s="166">
        <f t="shared" si="163"/>
        <v>0</v>
      </c>
      <c r="G406" s="166">
        <f t="shared" si="163"/>
        <v>0</v>
      </c>
      <c r="H406" s="166">
        <f t="shared" si="163"/>
        <v>0</v>
      </c>
      <c r="I406" s="166"/>
      <c r="J406" s="166">
        <f>SUM(J375:J405)</f>
        <v>0</v>
      </c>
      <c r="K406" s="166"/>
      <c r="L406" s="166">
        <f>SUM(L375:L405)</f>
        <v>0</v>
      </c>
      <c r="M406" s="166"/>
      <c r="N406" s="617">
        <f ref="N406:P406" t="shared" si="164">SUM(N375:N405)</f>
        <v>0</v>
      </c>
      <c r="O406" s="166">
        <f t="shared" si="164"/>
        <v>0</v>
      </c>
      <c r="P406" s="166">
        <f t="shared" si="164"/>
        <v>0</v>
      </c>
      <c r="Q406" s="166"/>
      <c r="R406" s="166">
        <f ref="R406:BH406" t="shared" si="165">SUM(R375:R405)</f>
        <v>0</v>
      </c>
      <c r="S406" s="166">
        <f t="shared" si="165"/>
        <v>0</v>
      </c>
      <c r="T406" s="166">
        <f t="shared" si="165"/>
        <v>0</v>
      </c>
      <c r="U406" s="166">
        <f t="shared" si="165"/>
        <v>0</v>
      </c>
      <c r="V406" s="166">
        <f t="shared" si="165"/>
        <v>0</v>
      </c>
      <c r="W406" s="166">
        <f t="shared" si="165"/>
        <v>0</v>
      </c>
      <c r="X406" s="166">
        <f t="shared" si="165"/>
        <v>0</v>
      </c>
      <c r="Y406" s="166">
        <f t="shared" si="165"/>
        <v>0</v>
      </c>
      <c r="Z406" s="166">
        <f t="shared" si="165"/>
        <v>0</v>
      </c>
      <c r="AA406" s="166">
        <f t="shared" si="165"/>
        <v>0</v>
      </c>
      <c r="AB406" s="166">
        <f t="shared" si="165"/>
        <v>0</v>
      </c>
      <c r="AC406" s="166">
        <f t="shared" si="165"/>
        <v>0</v>
      </c>
      <c r="AD406" s="166">
        <f t="shared" si="165"/>
        <v>0</v>
      </c>
      <c r="AE406" s="166">
        <f t="shared" si="165"/>
        <v>0</v>
      </c>
      <c r="AF406" s="166">
        <f t="shared" si="165"/>
        <v>0</v>
      </c>
      <c r="AG406" s="166">
        <f t="shared" si="165"/>
        <v>0</v>
      </c>
      <c r="AH406" s="166">
        <f t="shared" si="165"/>
        <v>0</v>
      </c>
      <c r="AI406" s="166">
        <f t="shared" si="165"/>
        <v>0</v>
      </c>
      <c r="AJ406" s="166">
        <f t="shared" si="165"/>
        <v>0</v>
      </c>
      <c r="AK406" s="166">
        <f t="shared" si="165"/>
        <v>0</v>
      </c>
      <c r="AL406" s="166">
        <f t="shared" si="165"/>
        <v>0</v>
      </c>
      <c r="AM406" s="166">
        <f t="shared" si="165"/>
        <v>0</v>
      </c>
      <c r="AN406" s="166">
        <f t="shared" si="165"/>
        <v>0</v>
      </c>
      <c r="AO406" s="166">
        <f t="shared" si="165"/>
        <v>0</v>
      </c>
      <c r="AP406" s="166">
        <f t="shared" si="165"/>
        <v>0</v>
      </c>
      <c r="AQ406" s="166">
        <f t="shared" si="165"/>
        <v>0</v>
      </c>
      <c r="AR406" s="166">
        <f t="shared" si="165"/>
        <v>0</v>
      </c>
      <c r="AS406" s="166">
        <f t="shared" si="165"/>
        <v>0</v>
      </c>
      <c r="AT406" s="166">
        <f t="shared" si="165"/>
        <v>0</v>
      </c>
      <c r="AU406" s="166">
        <f t="shared" si="165"/>
        <v>0</v>
      </c>
      <c r="AV406" s="165">
        <f t="shared" si="165"/>
        <v>0</v>
      </c>
      <c r="AW406" s="166">
        <f t="shared" si="165"/>
        <v>0</v>
      </c>
      <c r="AX406" s="166">
        <f t="shared" si="165"/>
        <v>0</v>
      </c>
      <c r="AY406" s="166">
        <f t="shared" si="165"/>
        <v>0</v>
      </c>
      <c r="AZ406" s="166">
        <f t="shared" si="165"/>
        <v>0</v>
      </c>
      <c r="BA406" s="166">
        <f t="shared" si="165"/>
        <v>0</v>
      </c>
      <c r="BB406" s="165">
        <f t="shared" si="165"/>
        <v>0</v>
      </c>
      <c r="BC406" s="166">
        <f t="shared" si="165"/>
        <v>0</v>
      </c>
      <c r="BD406" s="166">
        <f t="shared" si="165"/>
        <v>0</v>
      </c>
      <c r="BE406" s="166">
        <f t="shared" si="165"/>
        <v>0</v>
      </c>
      <c r="BF406" s="166">
        <f t="shared" si="165"/>
        <v>0</v>
      </c>
      <c r="BG406" s="166">
        <f t="shared" si="165"/>
        <v>0</v>
      </c>
      <c r="BH406" s="166">
        <f t="shared" si="165"/>
        <v>0</v>
      </c>
      <c r="BI406" s="3"/>
      <c r="BJ406" s="172">
        <f ref="BJ406:BX406" t="shared" si="166">SUM(BJ375:BJ405)</f>
        <v>0</v>
      </c>
      <c r="BK406" s="165">
        <f t="shared" si="166"/>
        <v>0</v>
      </c>
      <c r="BL406" s="165">
        <f t="shared" si="166"/>
        <v>0</v>
      </c>
      <c r="BM406" s="165">
        <f t="shared" si="166"/>
        <v>0</v>
      </c>
      <c r="BN406" s="165">
        <f t="shared" si="166"/>
        <v>0</v>
      </c>
      <c r="BO406" s="165">
        <f t="shared" si="166"/>
        <v>0</v>
      </c>
      <c r="BP406" s="165">
        <f t="shared" si="166"/>
        <v>0</v>
      </c>
      <c r="BQ406" s="165">
        <f t="shared" si="166"/>
        <v>0</v>
      </c>
      <c r="BR406" s="165">
        <f t="shared" si="166"/>
        <v>0</v>
      </c>
      <c r="BS406" s="165">
        <f t="shared" si="166"/>
        <v>0</v>
      </c>
      <c r="BT406" s="165">
        <f t="shared" si="166"/>
        <v>0</v>
      </c>
      <c r="BU406" s="165">
        <f t="shared" si="166"/>
        <v>0</v>
      </c>
      <c r="BV406" s="165">
        <f t="shared" si="166"/>
        <v>0</v>
      </c>
      <c r="BW406" s="165">
        <f t="shared" si="166"/>
        <v>0</v>
      </c>
      <c r="BX406" s="165">
        <f t="shared" si="166"/>
        <v>0</v>
      </c>
      <c r="BY406" s="3"/>
    </row>
  </sheetData>
  <mergeCells>
    <mergeCell ref="B2:J2"/>
    <mergeCell ref="B3:J3"/>
  </mergeCells>
  <pageMargins left="0.7" right="0.7" top="0.75" bottom="0.75" header="0" footer="0"/>
  <pageSetup orientation="portrait"/>
  <headerFooter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BU407"/>
  <sheetViews>
    <sheetView showGridLines="0" zoomScale="35" zoomScaleNormal="3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55" sqref="AP155"/>
    </sheetView>
  </sheetViews>
  <sheetFormatPr baseColWidth="10" defaultColWidth="14.42578125" defaultRowHeight="15" customHeight="1" x14ac:dyDescent="0.25"/>
  <cols>
    <col min="1" max="1" width="2.140625" customWidth="1"/>
    <col min="2" max="2" width="16.7109375" customWidth="1"/>
    <col min="3" max="4" width="13.42578125" customWidth="1"/>
    <col min="5" max="5" hidden="1" width="12.42578125" customWidth="1"/>
    <col min="6" max="6" hidden="1" width="13.85546875" customWidth="1"/>
    <col min="7" max="7" width="15.42578125" customWidth="1"/>
    <col min="8" max="8" width="15.28515625" customWidth="1"/>
    <col min="9" max="9" width="20.42578125" customWidth="1"/>
    <col min="10" max="10" width="18.42578125" customWidth="1"/>
    <col min="11" max="11" width="15.5703125" customWidth="1"/>
    <col min="12" max="17" hidden="1" width="13.7109375" customWidth="1"/>
    <col min="18" max="19" width="14.140625" customWidth="1"/>
    <col min="20" max="20" width="12.140625" customWidth="1"/>
    <col min="21" max="21" width="18" customWidth="1"/>
    <col min="22" max="22" width="15.140625" customWidth="1"/>
    <col min="23" max="23" width="14.28515625" customWidth="1"/>
    <col min="24" max="24" width="16" customWidth="1"/>
    <col min="25" max="25" width="12.7109375" customWidth="1"/>
    <col min="26" max="31" hidden="1" width="12.7109375" customWidth="1"/>
    <col min="32" max="32" hidden="1" width="16.85546875" customWidth="1"/>
    <col min="33" max="33" hidden="1" width="12.7109375" customWidth="1"/>
    <col min="34" max="34" width="12" customWidth="1"/>
    <col min="35" max="35" width="12.85546875" customWidth="1"/>
    <col min="36" max="36" width="13.85546875" customWidth="1"/>
    <col min="37" max="37" hidden="1" width="13.85546875" customWidth="1"/>
    <col min="40" max="40" hidden="1" width="10.7109375" customWidth="1"/>
    <col min="41" max="41" hidden="1" width="10.85546875" customWidth="1"/>
    <col min="42" max="42" width="12" customWidth="1"/>
    <col min="43" max="43" width="13.140625" customWidth="1"/>
    <col min="44" max="44" width="14" customWidth="1"/>
    <col min="45" max="47" width="11.85546875" customWidth="1"/>
    <col min="48" max="49" hidden="1" width="11.85546875" customWidth="1"/>
    <col min="50" max="50" width="11.85546875" customWidth="1"/>
    <col min="51" max="52" hidden="1" width="11.85546875" customWidth="1"/>
    <col min="53" max="53" hidden="1" width="13.42578125" customWidth="1"/>
    <col min="54" max="54" width="11.85546875" customWidth="1"/>
    <col min="55" max="55" width="13" customWidth="1"/>
    <col min="56" max="56" width="16.42578125" customWidth="1"/>
    <col min="57" max="57" width="4" customWidth="1"/>
    <col min="58" max="58" width="11.42578125" customWidth="1"/>
    <col min="59" max="60" width="12.7109375" customWidth="1"/>
    <col min="61" max="64" hidden="1" width="12.7109375" customWidth="1"/>
    <col min="65" max="65" hidden="1" width="15" customWidth="1"/>
    <col min="66" max="67" hidden="1" width="14.42578125" customWidth="1"/>
    <col min="68" max="68" width="12.7109375" customWidth="1"/>
    <col min="69" max="69" width="11.28515625" customWidth="1"/>
    <col min="70" max="71" width="12.7109375" customWidth="1"/>
    <col min="72" max="72" width="11.42578125" customWidth="1"/>
    <col min="73" max="73" width="2.140625" customWidth="1"/>
  </cols>
  <sheetData>
    <row r="1" ht="7.5" customHeight="1">
      <c r="A1" s="1"/>
      <c r="B1" s="2"/>
      <c r="C1" s="3"/>
      <c r="D1" s="3"/>
      <c r="E1" s="3"/>
      <c r="F1" s="3"/>
      <c r="G1" s="1336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/>
      <c r="AM1" s="3"/>
      <c r="AN1" s="3"/>
      <c r="AO1" s="3"/>
      <c r="AP1" s="3"/>
      <c r="AQ1" s="4"/>
      <c r="AR1" s="132"/>
      <c r="AS1" s="132"/>
      <c r="AT1" s="132"/>
      <c r="AU1" s="3"/>
      <c r="AV1" s="3"/>
      <c r="AW1" s="3"/>
      <c r="AX1" s="132"/>
      <c r="AY1" s="132"/>
      <c r="AZ1" s="132"/>
      <c r="BA1" s="132"/>
      <c r="BB1" s="132"/>
      <c r="BC1" s="4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ht="12" customHeight="1">
      <c r="A2" s="14"/>
      <c r="B2" s="20" t="s">
        <v>1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5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6"/>
      <c r="AM2" s="16"/>
      <c r="AN2" s="16"/>
      <c r="AO2" s="16"/>
      <c r="AP2" s="16"/>
      <c r="AQ2" s="16"/>
      <c r="AR2" s="14"/>
      <c r="AS2" s="14"/>
      <c r="AT2" s="14"/>
      <c r="AU2" s="14"/>
      <c r="AV2" s="16"/>
      <c r="AW2" s="16"/>
      <c r="AX2" s="14"/>
      <c r="AY2" s="14"/>
      <c r="AZ2" s="14"/>
      <c r="BA2" s="14"/>
      <c r="BB2" s="14"/>
      <c r="BC2" s="16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 ht="11.25" customHeight="1">
      <c r="A3" s="14"/>
      <c r="B3" s="20"/>
      <c r="C3" s="689" t="s">
        <v>250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4"/>
      <c r="AY3" s="14"/>
      <c r="AZ3" s="14"/>
      <c r="BA3" s="14"/>
      <c r="BB3" s="14"/>
      <c r="BC3" s="16"/>
      <c r="BD3" s="14"/>
      <c r="BE3" s="14"/>
      <c r="BF3" s="14" t="s">
        <v>3</v>
      </c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ht="9.75" customHeight="1">
      <c r="A4" s="4"/>
      <c r="B4" s="204"/>
      <c r="C4" s="4"/>
      <c r="D4" s="4"/>
      <c r="E4" s="4"/>
      <c r="F4" s="4"/>
      <c r="G4" s="742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693"/>
      <c r="AH4" s="1042" t="s">
        <v>4</v>
      </c>
      <c r="AI4" s="4"/>
      <c r="AJ4" s="4"/>
      <c r="AK4" s="4"/>
      <c r="AL4" s="695" t="s">
        <v>5</v>
      </c>
      <c r="AM4" s="693"/>
      <c r="AN4" s="693"/>
      <c r="AO4" s="693"/>
      <c r="AP4" s="693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175"/>
      <c r="BU4" s="4"/>
    </row>
    <row r="5" ht="13.5" customHeight="1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10</v>
      </c>
      <c r="U5" s="571" t="s">
        <v>11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571" t="s">
        <v>12</v>
      </c>
      <c r="AG5" s="708" t="s">
        <v>12</v>
      </c>
      <c r="AH5" s="709" t="s">
        <v>12</v>
      </c>
      <c r="AI5" s="572" t="s">
        <v>13</v>
      </c>
      <c r="AJ5" s="573" t="s">
        <v>13</v>
      </c>
      <c r="AK5" s="573" t="s">
        <v>13</v>
      </c>
      <c r="AL5" s="605" t="s">
        <v>14</v>
      </c>
      <c r="AM5" s="574" t="s">
        <v>15</v>
      </c>
      <c r="AN5" s="575" t="s">
        <v>15</v>
      </c>
      <c r="AO5" s="575" t="s">
        <v>15</v>
      </c>
      <c r="AP5" s="576" t="s">
        <v>251</v>
      </c>
      <c r="AQ5" s="566" t="s">
        <v>4</v>
      </c>
      <c r="AR5" s="1338" t="s">
        <v>20</v>
      </c>
      <c r="AS5" s="883" t="s">
        <v>17</v>
      </c>
      <c r="AT5" s="59" t="s">
        <v>20</v>
      </c>
      <c r="AU5" s="59" t="s">
        <v>20</v>
      </c>
      <c r="AV5" s="59" t="s">
        <v>20</v>
      </c>
      <c r="AW5" s="59" t="s">
        <v>20</v>
      </c>
      <c r="AX5" s="980" t="s">
        <v>20</v>
      </c>
      <c r="AY5" s="715" t="s">
        <v>20</v>
      </c>
      <c r="AZ5" s="715" t="s">
        <v>21</v>
      </c>
      <c r="BA5" s="59" t="s">
        <v>22</v>
      </c>
      <c r="BB5" s="59" t="s">
        <v>24</v>
      </c>
      <c r="BC5" s="51" t="s">
        <v>5</v>
      </c>
      <c r="BD5" s="58" t="s">
        <v>25</v>
      </c>
      <c r="BE5" s="33"/>
      <c r="BF5" s="58" t="s">
        <v>4</v>
      </c>
      <c r="BG5" s="59" t="s">
        <v>26</v>
      </c>
      <c r="BH5" s="59" t="s">
        <v>89</v>
      </c>
      <c r="BI5" s="59" t="s">
        <v>90</v>
      </c>
      <c r="BJ5" s="59" t="s">
        <v>91</v>
      </c>
      <c r="BK5" s="59" t="s">
        <v>92</v>
      </c>
      <c r="BL5" s="59" t="s">
        <v>93</v>
      </c>
      <c r="BM5" s="59" t="s">
        <v>94</v>
      </c>
      <c r="BN5" s="59" t="s">
        <v>95</v>
      </c>
      <c r="BO5" s="59" t="s">
        <v>95</v>
      </c>
      <c r="BP5" s="59" t="s">
        <v>27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ht="27" customHeight="1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1340" t="s">
        <v>190</v>
      </c>
      <c r="I6" s="1340" t="s">
        <v>240</v>
      </c>
      <c r="J6" s="588" t="s">
        <v>147</v>
      </c>
      <c r="K6" s="1340" t="s">
        <v>252</v>
      </c>
      <c r="L6" s="588" t="s">
        <v>54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1340" t="s">
        <v>253</v>
      </c>
      <c r="S6" s="1340" t="s">
        <v>35</v>
      </c>
      <c r="T6" s="588" t="s">
        <v>112</v>
      </c>
      <c r="U6" s="595" t="s">
        <v>48</v>
      </c>
      <c r="V6" s="733" t="s">
        <v>254</v>
      </c>
      <c r="W6" s="1341" t="s">
        <v>255</v>
      </c>
      <c r="X6" s="1341" t="s">
        <v>256</v>
      </c>
      <c r="Y6" s="1342"/>
      <c r="Z6" s="733" t="s">
        <v>54</v>
      </c>
      <c r="AA6" s="733" t="s">
        <v>55</v>
      </c>
      <c r="AB6" s="733" t="s">
        <v>56</v>
      </c>
      <c r="AC6" s="733" t="s">
        <v>57</v>
      </c>
      <c r="AD6" s="733" t="s">
        <v>58</v>
      </c>
      <c r="AE6" s="733" t="s">
        <v>59</v>
      </c>
      <c r="AF6" s="733" t="s">
        <v>46</v>
      </c>
      <c r="AG6" s="733" t="s">
        <v>47</v>
      </c>
      <c r="AH6" s="595" t="s">
        <v>30</v>
      </c>
      <c r="AI6" s="599" t="s">
        <v>30</v>
      </c>
      <c r="AJ6" s="600" t="s">
        <v>31</v>
      </c>
      <c r="AK6" s="600" t="s">
        <v>32</v>
      </c>
      <c r="AL6" s="90" t="s">
        <v>34</v>
      </c>
      <c r="AM6" s="601" t="s">
        <v>48</v>
      </c>
      <c r="AN6" s="602" t="s">
        <v>31</v>
      </c>
      <c r="AO6" s="602" t="s">
        <v>32</v>
      </c>
      <c r="AP6" s="603" t="s">
        <v>60</v>
      </c>
      <c r="AQ6" s="64" t="s">
        <v>61</v>
      </c>
      <c r="AR6" s="1343" t="s">
        <v>62</v>
      </c>
      <c r="AS6" s="888" t="s">
        <v>64</v>
      </c>
      <c r="AT6" s="90" t="s">
        <v>158</v>
      </c>
      <c r="AU6" s="90" t="s">
        <v>66</v>
      </c>
      <c r="AV6" s="90" t="s">
        <v>67</v>
      </c>
      <c r="AW6" s="90" t="s">
        <v>68</v>
      </c>
      <c r="AX6" s="1344" t="s">
        <v>31</v>
      </c>
      <c r="AY6" s="1345" t="s">
        <v>32</v>
      </c>
      <c r="AZ6" s="1345" t="s">
        <v>32</v>
      </c>
      <c r="BA6" s="605"/>
      <c r="BB6" s="605" t="s">
        <v>69</v>
      </c>
      <c r="BC6" s="81" t="s">
        <v>70</v>
      </c>
      <c r="BD6" s="89" t="s">
        <v>71</v>
      </c>
      <c r="BE6" s="33"/>
      <c r="BF6" s="89" t="s">
        <v>72</v>
      </c>
      <c r="BG6" s="90"/>
      <c r="BH6" s="90" t="s">
        <v>125</v>
      </c>
      <c r="BI6" s="90"/>
      <c r="BJ6" s="90" t="s">
        <v>126</v>
      </c>
      <c r="BK6" s="90" t="s">
        <v>127</v>
      </c>
      <c r="BL6" s="90" t="s">
        <v>128</v>
      </c>
      <c r="BM6" s="90" t="s">
        <v>129</v>
      </c>
      <c r="BN6" s="90" t="s">
        <v>130</v>
      </c>
      <c r="BO6" s="90" t="s">
        <v>131</v>
      </c>
      <c r="BP6" s="90" t="s">
        <v>73</v>
      </c>
      <c r="BQ6" s="1346" t="s">
        <v>257</v>
      </c>
      <c r="BR6" s="90" t="s">
        <v>75</v>
      </c>
      <c r="BS6" s="90" t="s">
        <v>52</v>
      </c>
      <c r="BT6" s="91"/>
      <c r="BU6" s="33"/>
    </row>
    <row r="7" ht="14.25" customHeight="1">
      <c r="A7" s="3"/>
      <c r="B7" s="215">
        <v>46023</v>
      </c>
      <c r="C7" s="890">
        <f>17619.73-D7-0</f>
      </c>
      <c r="D7" s="891">
        <v>4962.07</v>
      </c>
      <c r="E7" s="97"/>
      <c r="F7" s="97"/>
      <c r="G7" s="147">
        <f ref="G7:G37" t="shared" si="0">+C7+D7+E7+F7</f>
        <v>0</v>
      </c>
      <c r="H7" s="1048"/>
      <c r="I7" s="894"/>
      <c r="J7" s="1347">
        <v>171.18</v>
      </c>
      <c r="K7" s="186"/>
      <c r="L7" s="186"/>
      <c r="M7" s="186"/>
      <c r="N7" s="186"/>
      <c r="O7" s="186"/>
      <c r="P7" s="186"/>
      <c r="Q7" s="186"/>
      <c r="R7" s="186"/>
      <c r="S7" s="894"/>
      <c r="T7" s="186"/>
      <c r="U7" s="103">
        <f ref="U7:U37" t="shared" si="1">SUM(H7:T7)</f>
        <v>0</v>
      </c>
      <c r="V7" s="186"/>
      <c r="W7" s="186"/>
      <c r="X7" s="984">
        <v>250.01</v>
      </c>
      <c r="Y7" s="186"/>
      <c r="Z7" s="186"/>
      <c r="AA7" s="186"/>
      <c r="AB7" s="186"/>
      <c r="AC7" s="186"/>
      <c r="AD7" s="186"/>
      <c r="AE7" s="186"/>
      <c r="AF7" s="186"/>
      <c r="AG7" s="186"/>
      <c r="AH7" s="103">
        <f ref="AH7:AH37" t="shared" si="2">SUM(V7:AG7)</f>
        <v>0</v>
      </c>
      <c r="AI7" s="896">
        <v>3597.95</v>
      </c>
      <c r="AJ7" s="897">
        <v>1458.93</v>
      </c>
      <c r="AK7" s="104"/>
      <c r="AL7" s="105">
        <f ref="AL7:AL37" t="shared" si="3">SUM(AI7:AK7)</f>
        <v>0</v>
      </c>
      <c r="AM7" s="894"/>
      <c r="AN7" s="186"/>
      <c r="AO7" s="186"/>
      <c r="AP7" s="193"/>
      <c r="AQ7" s="621">
        <f ref="AQ7:AQ37" t="shared" si="4">+G7-U7-AH7-AL7-AM7-AN7-AO7-AP7</f>
        <v>0</v>
      </c>
      <c r="AR7" s="1844">
        <v>8637.6</v>
      </c>
      <c r="AS7" s="1708"/>
      <c r="AT7" s="1537"/>
      <c r="AU7" s="1537"/>
      <c r="AV7" s="1546"/>
      <c r="AW7" s="1546"/>
      <c r="AX7" s="1845">
        <v>3503</v>
      </c>
      <c r="AY7" s="1708"/>
      <c r="AZ7" s="1708"/>
      <c r="BA7" s="1708"/>
      <c r="BB7" s="1708"/>
      <c r="BC7" s="222">
        <f ref="BC7:BC37" t="shared" si="5">SUM(AR7:BB7)-BA7</f>
        <v>0</v>
      </c>
      <c r="BD7" s="114">
        <f ref="BD7:BD37" t="shared" si="6">+AQ7-BC7</f>
        <v>0</v>
      </c>
      <c r="BE7" s="3"/>
      <c r="BF7" s="114">
        <f ref="BF7:BF37" t="shared" si="7">SUM(BG7:BS7)</f>
        <v>0</v>
      </c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898"/>
      <c r="BR7" s="899"/>
      <c r="BS7" s="115"/>
      <c r="BT7" s="116">
        <f ref="BT7:BT37" t="shared" si="8">+BD7-BF7</f>
        <v>0</v>
      </c>
      <c r="BU7" s="3"/>
    </row>
    <row r="8" ht="14.25" customHeight="1">
      <c r="A8" s="3"/>
      <c r="B8" s="215">
        <v>46024</v>
      </c>
      <c r="C8" s="900">
        <f>25736.01-D8-0</f>
      </c>
      <c r="D8" s="901">
        <v>4340.79</v>
      </c>
      <c r="E8" s="120"/>
      <c r="F8" s="120"/>
      <c r="G8" s="147">
        <f t="shared" si="0"/>
        <v>0</v>
      </c>
      <c r="H8" s="1151"/>
      <c r="I8" s="904"/>
      <c r="J8" s="1348">
        <v>1416.06</v>
      </c>
      <c r="K8" s="143"/>
      <c r="L8" s="143"/>
      <c r="M8" s="143"/>
      <c r="N8" s="143"/>
      <c r="O8" s="143"/>
      <c r="P8" s="143"/>
      <c r="Q8" s="143"/>
      <c r="R8" s="143"/>
      <c r="S8" s="992">
        <v>35.14</v>
      </c>
      <c r="T8" s="143"/>
      <c r="U8" s="103">
        <f t="shared" si="1"/>
        <v>0</v>
      </c>
      <c r="V8" s="143"/>
      <c r="W8" s="143"/>
      <c r="X8" s="904"/>
      <c r="Y8" s="143"/>
      <c r="Z8" s="143"/>
      <c r="AA8" s="143"/>
      <c r="AB8" s="143"/>
      <c r="AC8" s="143"/>
      <c r="AD8" s="143"/>
      <c r="AE8" s="143"/>
      <c r="AF8" s="143"/>
      <c r="AG8" s="143"/>
      <c r="AH8" s="103">
        <f t="shared" si="2"/>
        <v>0</v>
      </c>
      <c r="AI8" s="906">
        <v>7816.21</v>
      </c>
      <c r="AJ8" s="907">
        <v>936.06</v>
      </c>
      <c r="AK8" s="123"/>
      <c r="AL8" s="105">
        <f t="shared" si="3"/>
        <v>0</v>
      </c>
      <c r="AM8" s="905"/>
      <c r="AN8" s="143"/>
      <c r="AO8" s="143"/>
      <c r="AP8" s="146"/>
      <c r="AQ8" s="621">
        <f t="shared" si="4"/>
        <v>0</v>
      </c>
      <c r="AR8" s="1846">
        <v>11917.5</v>
      </c>
      <c r="AS8" s="1709"/>
      <c r="AT8" s="1546"/>
      <c r="AU8" s="1546"/>
      <c r="AV8" s="1546"/>
      <c r="AW8" s="1546"/>
      <c r="AX8" s="1847">
        <v>3404.5</v>
      </c>
      <c r="AY8" s="1709"/>
      <c r="AZ8" s="1709"/>
      <c r="BA8" s="1709"/>
      <c r="BB8" s="1709"/>
      <c r="BC8" s="222">
        <f t="shared" si="5"/>
        <v>0</v>
      </c>
      <c r="BD8" s="113">
        <f t="shared" si="6"/>
        <v>0</v>
      </c>
      <c r="BE8" s="3"/>
      <c r="BF8" s="113">
        <f t="shared" si="7"/>
        <v>0</v>
      </c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914"/>
      <c r="BR8" s="1062">
        <v>208.8</v>
      </c>
      <c r="BS8" s="129"/>
      <c r="BT8" s="130">
        <f t="shared" si="8"/>
        <v>0</v>
      </c>
      <c r="BU8" s="3"/>
    </row>
    <row r="9" ht="14.25" customHeight="1">
      <c r="A9" s="3"/>
      <c r="B9" s="215">
        <v>46025</v>
      </c>
      <c r="C9" s="900">
        <f>22525.04-D9-0</f>
      </c>
      <c r="D9" s="901">
        <v>6319.77</v>
      </c>
      <c r="E9" s="120"/>
      <c r="F9" s="120"/>
      <c r="G9" s="147">
        <f t="shared" si="0"/>
        <v>0</v>
      </c>
      <c r="H9" s="1053"/>
      <c r="I9" s="904"/>
      <c r="J9" s="1349"/>
      <c r="K9" s="143"/>
      <c r="L9" s="143"/>
      <c r="M9" s="143"/>
      <c r="N9" s="143"/>
      <c r="O9" s="143"/>
      <c r="P9" s="143"/>
      <c r="Q9" s="143"/>
      <c r="R9" s="143"/>
      <c r="S9" s="905"/>
      <c r="T9" s="143"/>
      <c r="U9" s="103">
        <f t="shared" si="1"/>
        <v>0</v>
      </c>
      <c r="V9" s="143"/>
      <c r="W9" s="143"/>
      <c r="X9" s="992"/>
      <c r="Y9" s="143"/>
      <c r="Z9" s="143"/>
      <c r="AA9" s="143"/>
      <c r="AB9" s="143"/>
      <c r="AC9" s="143"/>
      <c r="AD9" s="143"/>
      <c r="AE9" s="143"/>
      <c r="AF9" s="143"/>
      <c r="AG9" s="143"/>
      <c r="AH9" s="103">
        <f t="shared" si="2"/>
        <v>0</v>
      </c>
      <c r="AI9" s="906">
        <v>5374.53</v>
      </c>
      <c r="AJ9" s="901">
        <v>1427.67</v>
      </c>
      <c r="AK9" s="123"/>
      <c r="AL9" s="105">
        <f t="shared" si="3"/>
        <v>0</v>
      </c>
      <c r="AM9" s="905"/>
      <c r="AN9" s="143"/>
      <c r="AO9" s="143"/>
      <c r="AP9" s="146"/>
      <c r="AQ9" s="621">
        <f t="shared" si="4"/>
        <v>0</v>
      </c>
      <c r="AR9" s="1846">
        <v>10456</v>
      </c>
      <c r="AS9" s="1709"/>
      <c r="AT9" s="1709"/>
      <c r="AU9" s="1546"/>
      <c r="AV9" s="1546"/>
      <c r="AW9" s="1546"/>
      <c r="AX9" s="1847">
        <v>4892</v>
      </c>
      <c r="AY9" s="1709"/>
      <c r="AZ9" s="1709"/>
      <c r="BA9" s="1709"/>
      <c r="BB9" s="1709"/>
      <c r="BC9" s="222">
        <f t="shared" si="5"/>
        <v>0</v>
      </c>
      <c r="BD9" s="113">
        <f t="shared" si="6"/>
        <v>0</v>
      </c>
      <c r="BE9" s="3"/>
      <c r="BF9" s="113">
        <f t="shared" si="7"/>
        <v>0</v>
      </c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04"/>
      <c r="BR9" s="1062">
        <v>30</v>
      </c>
      <c r="BS9" s="129"/>
      <c r="BT9" s="130">
        <f t="shared" si="8"/>
        <v>0</v>
      </c>
      <c r="BU9" s="3"/>
    </row>
    <row r="10" ht="14.25" customHeight="1">
      <c r="A10" s="3"/>
      <c r="B10" s="215">
        <v>46026</v>
      </c>
      <c r="C10" s="900">
        <f>34968.58-D10-0</f>
      </c>
      <c r="D10" s="901">
        <v>6781.75</v>
      </c>
      <c r="E10" s="120"/>
      <c r="F10" s="120"/>
      <c r="G10" s="147">
        <f t="shared" si="0"/>
        <v>0</v>
      </c>
      <c r="H10" s="1151"/>
      <c r="I10" s="905"/>
      <c r="J10" s="1348">
        <v>546.6</v>
      </c>
      <c r="K10" s="143"/>
      <c r="L10" s="143"/>
      <c r="M10" s="143"/>
      <c r="N10" s="143"/>
      <c r="O10" s="143"/>
      <c r="P10" s="143"/>
      <c r="Q10" s="143"/>
      <c r="R10" s="143"/>
      <c r="S10" s="904"/>
      <c r="T10" s="143"/>
      <c r="U10" s="103">
        <f t="shared" si="1"/>
        <v>0</v>
      </c>
      <c r="V10" s="143"/>
      <c r="W10" s="143"/>
      <c r="X10" s="988">
        <v>235.48</v>
      </c>
      <c r="Y10" s="143"/>
      <c r="Z10" s="143"/>
      <c r="AA10" s="143"/>
      <c r="AB10" s="143"/>
      <c r="AC10" s="143"/>
      <c r="AD10" s="143"/>
      <c r="AE10" s="143"/>
      <c r="AF10" s="143"/>
      <c r="AG10" s="143"/>
      <c r="AH10" s="103">
        <f t="shared" si="2"/>
        <v>0</v>
      </c>
      <c r="AI10" s="906">
        <v>6679.69</v>
      </c>
      <c r="AJ10" s="907">
        <v>1549.26</v>
      </c>
      <c r="AK10" s="123"/>
      <c r="AL10" s="105">
        <f t="shared" si="3"/>
        <v>0</v>
      </c>
      <c r="AM10" s="904"/>
      <c r="AN10" s="143"/>
      <c r="AO10" s="143"/>
      <c r="AP10" s="146"/>
      <c r="AQ10" s="621">
        <f t="shared" si="4"/>
        <v>0</v>
      </c>
      <c r="AR10" s="1846">
        <v>20723.2</v>
      </c>
      <c r="AS10" s="1709"/>
      <c r="AT10" s="1709"/>
      <c r="AU10" s="1546"/>
      <c r="AV10" s="1546"/>
      <c r="AW10" s="1546"/>
      <c r="AX10" s="1847">
        <v>5232</v>
      </c>
      <c r="AY10" s="1709"/>
      <c r="AZ10" s="1709"/>
      <c r="BA10" s="1709"/>
      <c r="BB10" s="1709"/>
      <c r="BC10" s="222">
        <f t="shared" si="5"/>
        <v>0</v>
      </c>
      <c r="BD10" s="113">
        <f t="shared" si="6"/>
        <v>0</v>
      </c>
      <c r="BE10" s="3"/>
      <c r="BF10" s="113">
        <f t="shared" si="7"/>
        <v>0</v>
      </c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14"/>
      <c r="BR10" s="909"/>
      <c r="BS10" s="129"/>
      <c r="BT10" s="130">
        <f t="shared" si="8"/>
        <v>0</v>
      </c>
      <c r="BU10" s="3"/>
    </row>
    <row r="11" ht="14.25" customHeight="1">
      <c r="A11" s="3"/>
      <c r="B11" s="215">
        <v>46027</v>
      </c>
      <c r="C11" s="900">
        <f>22959.42-D11-0</f>
      </c>
      <c r="D11" s="901">
        <v>4216.48</v>
      </c>
      <c r="E11" s="120"/>
      <c r="F11" s="120"/>
      <c r="G11" s="147">
        <f t="shared" si="0"/>
        <v>0</v>
      </c>
      <c r="H11" s="1053"/>
      <c r="I11" s="904"/>
      <c r="J11" s="1348">
        <v>243.71</v>
      </c>
      <c r="K11" s="143"/>
      <c r="L11" s="143"/>
      <c r="M11" s="143"/>
      <c r="N11" s="143"/>
      <c r="O11" s="143"/>
      <c r="P11" s="143"/>
      <c r="Q11" s="143"/>
      <c r="R11" s="143"/>
      <c r="S11" s="905"/>
      <c r="T11" s="143"/>
      <c r="U11" s="103">
        <f t="shared" si="1"/>
        <v>0</v>
      </c>
      <c r="V11" s="143"/>
      <c r="W11" s="143"/>
      <c r="X11" s="904"/>
      <c r="Y11" s="143"/>
      <c r="Z11" s="143"/>
      <c r="AA11" s="143"/>
      <c r="AB11" s="143"/>
      <c r="AC11" s="143"/>
      <c r="AD11" s="143"/>
      <c r="AE11" s="143"/>
      <c r="AF11" s="143"/>
      <c r="AG11" s="143"/>
      <c r="AH11" s="103">
        <f t="shared" si="2"/>
        <v>0</v>
      </c>
      <c r="AI11" s="906">
        <v>5144.57</v>
      </c>
      <c r="AJ11" s="907">
        <v>996.33</v>
      </c>
      <c r="AK11" s="123"/>
      <c r="AL11" s="105">
        <f t="shared" si="3"/>
        <v>0</v>
      </c>
      <c r="AM11" s="905"/>
      <c r="AN11" s="143"/>
      <c r="AO11" s="143"/>
      <c r="AP11" s="146"/>
      <c r="AQ11" s="621">
        <f t="shared" si="4"/>
        <v>0</v>
      </c>
      <c r="AR11" s="1846">
        <v>13324</v>
      </c>
      <c r="AS11" s="1709"/>
      <c r="AT11" s="1546"/>
      <c r="AU11" s="1546"/>
      <c r="AV11" s="1546"/>
      <c r="AW11" s="1546"/>
      <c r="AX11" s="1847">
        <v>3220</v>
      </c>
      <c r="AY11" s="1709"/>
      <c r="AZ11" s="1709"/>
      <c r="BA11" s="1709"/>
      <c r="BB11" s="1709"/>
      <c r="BC11" s="222">
        <f t="shared" si="5"/>
        <v>0</v>
      </c>
      <c r="BD11" s="113">
        <f t="shared" si="6"/>
        <v>0</v>
      </c>
      <c r="BE11" s="3"/>
      <c r="BF11" s="113">
        <f t="shared" si="7"/>
        <v>0</v>
      </c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056"/>
      <c r="BR11" s="1062">
        <v>30</v>
      </c>
      <c r="BS11" s="129"/>
      <c r="BT11" s="130">
        <f t="shared" si="8"/>
        <v>0</v>
      </c>
      <c r="BU11" s="3"/>
    </row>
    <row r="12" ht="14.25" customHeight="1">
      <c r="A12" s="3"/>
      <c r="B12" s="215">
        <v>46028</v>
      </c>
      <c r="C12" s="900">
        <f>21939.55-D12-0</f>
      </c>
      <c r="D12" s="901">
        <v>4195.05</v>
      </c>
      <c r="E12" s="120"/>
      <c r="F12" s="120"/>
      <c r="G12" s="147">
        <f t="shared" si="0"/>
        <v>0</v>
      </c>
      <c r="H12" s="1053"/>
      <c r="I12" s="905"/>
      <c r="J12" s="1350">
        <v>699.07</v>
      </c>
      <c r="K12" s="143"/>
      <c r="L12" s="143"/>
      <c r="M12" s="143"/>
      <c r="N12" s="143"/>
      <c r="O12" s="143"/>
      <c r="P12" s="143"/>
      <c r="Q12" s="143"/>
      <c r="R12" s="143"/>
      <c r="S12" s="992">
        <v>58.97</v>
      </c>
      <c r="T12" s="143"/>
      <c r="U12" s="103">
        <f t="shared" si="1"/>
        <v>0</v>
      </c>
      <c r="V12" s="143"/>
      <c r="W12" s="143"/>
      <c r="X12" s="992">
        <v>255.05</v>
      </c>
      <c r="Y12" s="143"/>
      <c r="Z12" s="143"/>
      <c r="AA12" s="143"/>
      <c r="AB12" s="143"/>
      <c r="AC12" s="143"/>
      <c r="AD12" s="143"/>
      <c r="AE12" s="143"/>
      <c r="AF12" s="143"/>
      <c r="AG12" s="143"/>
      <c r="AH12" s="103">
        <f t="shared" si="2"/>
        <v>0</v>
      </c>
      <c r="AI12" s="906">
        <v>3963.14</v>
      </c>
      <c r="AJ12" s="907">
        <v>906.45</v>
      </c>
      <c r="AK12" s="123"/>
      <c r="AL12" s="105">
        <f t="shared" si="3"/>
        <v>0</v>
      </c>
      <c r="AM12" s="905"/>
      <c r="AN12" s="143"/>
      <c r="AO12" s="143"/>
      <c r="AP12" s="146"/>
      <c r="AQ12" s="621">
        <f t="shared" si="4"/>
        <v>0</v>
      </c>
      <c r="AR12" s="1846">
        <v>12602.5</v>
      </c>
      <c r="AS12" s="1709"/>
      <c r="AT12" s="1546"/>
      <c r="AU12" s="1546"/>
      <c r="AV12" s="1546"/>
      <c r="AW12" s="1546"/>
      <c r="AX12" s="1847">
        <v>3288.5</v>
      </c>
      <c r="AY12" s="1709"/>
      <c r="AZ12" s="1709"/>
      <c r="BA12" s="1709"/>
      <c r="BB12" s="1709"/>
      <c r="BC12" s="222">
        <f t="shared" si="5"/>
        <v>0</v>
      </c>
      <c r="BD12" s="113">
        <f t="shared" si="6"/>
        <v>0</v>
      </c>
      <c r="BE12" s="3"/>
      <c r="BF12" s="113">
        <f t="shared" si="7"/>
        <v>0</v>
      </c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914"/>
      <c r="BR12" s="1062">
        <v>165</v>
      </c>
      <c r="BS12" s="129"/>
      <c r="BT12" s="130">
        <f t="shared" si="8"/>
        <v>0</v>
      </c>
      <c r="BU12" s="3"/>
    </row>
    <row r="13" ht="14.25" customHeight="1">
      <c r="A13" s="3"/>
      <c r="B13" s="215">
        <v>46029</v>
      </c>
      <c r="C13" s="900">
        <f>22508.03-D13-0</f>
      </c>
      <c r="D13" s="901">
        <v>3936.74</v>
      </c>
      <c r="E13" s="120"/>
      <c r="F13" s="120"/>
      <c r="G13" s="147">
        <f t="shared" si="0"/>
        <v>0</v>
      </c>
      <c r="H13" s="1053"/>
      <c r="I13" s="904"/>
      <c r="J13" s="1348">
        <v>1351.11</v>
      </c>
      <c r="K13" s="143"/>
      <c r="L13" s="143"/>
      <c r="M13" s="143"/>
      <c r="N13" s="143"/>
      <c r="O13" s="143"/>
      <c r="P13" s="143"/>
      <c r="Q13" s="143"/>
      <c r="R13" s="143"/>
      <c r="S13" s="905"/>
      <c r="T13" s="143"/>
      <c r="U13" s="103">
        <f t="shared" si="1"/>
        <v>0</v>
      </c>
      <c r="V13" s="143"/>
      <c r="W13" s="143"/>
      <c r="X13" s="904"/>
      <c r="Y13" s="143"/>
      <c r="Z13" s="143"/>
      <c r="AA13" s="143"/>
      <c r="AB13" s="143"/>
      <c r="AC13" s="143"/>
      <c r="AD13" s="143"/>
      <c r="AE13" s="143"/>
      <c r="AF13" s="143"/>
      <c r="AG13" s="143"/>
      <c r="AH13" s="103">
        <f t="shared" si="2"/>
        <v>0</v>
      </c>
      <c r="AI13" s="906">
        <v>4500.87</v>
      </c>
      <c r="AJ13" s="907">
        <v>727.67</v>
      </c>
      <c r="AK13" s="123"/>
      <c r="AL13" s="105">
        <f t="shared" si="3"/>
        <v>0</v>
      </c>
      <c r="AM13" s="905"/>
      <c r="AN13" s="143"/>
      <c r="AO13" s="143"/>
      <c r="AP13" s="146"/>
      <c r="AQ13" s="621">
        <f t="shared" si="4"/>
        <v>0</v>
      </c>
      <c r="AR13" s="1846">
        <v>12985.9</v>
      </c>
      <c r="AS13" s="1709"/>
      <c r="AT13" s="1546"/>
      <c r="AU13" s="1546"/>
      <c r="AV13" s="1546"/>
      <c r="AW13" s="1546"/>
      <c r="AX13" s="1847">
        <v>2909</v>
      </c>
      <c r="AY13" s="1709"/>
      <c r="AZ13" s="1709"/>
      <c r="BA13" s="1709"/>
      <c r="BB13" s="1709"/>
      <c r="BC13" s="222">
        <f t="shared" si="5"/>
        <v>0</v>
      </c>
      <c r="BD13" s="113">
        <f t="shared" si="6"/>
        <v>0</v>
      </c>
      <c r="BE13" s="3"/>
      <c r="BF13" s="113">
        <f t="shared" si="7"/>
        <v>0</v>
      </c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04"/>
      <c r="BR13" s="1062">
        <v>30</v>
      </c>
      <c r="BS13" s="129"/>
      <c r="BT13" s="130">
        <f t="shared" si="8"/>
        <v>0</v>
      </c>
      <c r="BU13" s="3"/>
    </row>
    <row r="14" ht="14.25" customHeight="1">
      <c r="A14" s="3"/>
      <c r="B14" s="215">
        <v>46030</v>
      </c>
      <c r="C14" s="900">
        <f>21494.31-D14-0</f>
      </c>
      <c r="D14" s="901">
        <v>4070.95</v>
      </c>
      <c r="E14" s="120"/>
      <c r="F14" s="120"/>
      <c r="G14" s="147">
        <f t="shared" si="0"/>
        <v>0</v>
      </c>
      <c r="H14" s="1053"/>
      <c r="I14" s="905"/>
      <c r="J14" s="1348">
        <v>1467.77</v>
      </c>
      <c r="K14" s="143"/>
      <c r="L14" s="143"/>
      <c r="M14" s="143"/>
      <c r="N14" s="143"/>
      <c r="O14" s="143"/>
      <c r="P14" s="143"/>
      <c r="Q14" s="143"/>
      <c r="R14" s="143"/>
      <c r="S14" s="988">
        <v>35.34</v>
      </c>
      <c r="T14" s="143"/>
      <c r="U14" s="103">
        <f t="shared" si="1"/>
        <v>0</v>
      </c>
      <c r="V14" s="143"/>
      <c r="W14" s="143"/>
      <c r="X14" s="992">
        <v>161.87</v>
      </c>
      <c r="Y14" s="143"/>
      <c r="Z14" s="143"/>
      <c r="AA14" s="143"/>
      <c r="AB14" s="143"/>
      <c r="AC14" s="143"/>
      <c r="AD14" s="143"/>
      <c r="AE14" s="143"/>
      <c r="AF14" s="143"/>
      <c r="AG14" s="143"/>
      <c r="AH14" s="103">
        <f t="shared" si="2"/>
        <v>0</v>
      </c>
      <c r="AI14" s="906">
        <v>3195.04</v>
      </c>
      <c r="AJ14" s="901">
        <v>1223.31</v>
      </c>
      <c r="AK14" s="123"/>
      <c r="AL14" s="105">
        <f t="shared" si="3"/>
        <v>0</v>
      </c>
      <c r="AM14" s="905"/>
      <c r="AN14" s="143"/>
      <c r="AO14" s="143"/>
      <c r="AP14" s="146"/>
      <c r="AQ14" s="621">
        <f t="shared" si="4"/>
        <v>0</v>
      </c>
      <c r="AR14" s="1846">
        <v>12532.6</v>
      </c>
      <c r="AS14" s="1709"/>
      <c r="AT14" s="1546"/>
      <c r="AU14" s="1546"/>
      <c r="AV14" s="1546"/>
      <c r="AW14" s="1546"/>
      <c r="AX14" s="1847">
        <v>2847</v>
      </c>
      <c r="AY14" s="1709"/>
      <c r="AZ14" s="1709"/>
      <c r="BA14" s="1709"/>
      <c r="BB14" s="1709"/>
      <c r="BC14" s="222">
        <f t="shared" si="5"/>
        <v>0</v>
      </c>
      <c r="BD14" s="113">
        <f t="shared" si="6"/>
        <v>0</v>
      </c>
      <c r="BE14" s="3"/>
      <c r="BF14" s="113">
        <f t="shared" si="7"/>
        <v>0</v>
      </c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04"/>
      <c r="BR14" s="1062">
        <v>30</v>
      </c>
      <c r="BS14" s="129"/>
      <c r="BT14" s="130">
        <f t="shared" si="8"/>
        <v>0</v>
      </c>
      <c r="BU14" s="3"/>
    </row>
    <row r="15" ht="14.25" customHeight="1">
      <c r="A15" s="3"/>
      <c r="B15" s="215">
        <v>46031</v>
      </c>
      <c r="C15" s="900">
        <f>21360.98-D15-0</f>
      </c>
      <c r="D15" s="901">
        <v>4890.01</v>
      </c>
      <c r="E15" s="120"/>
      <c r="F15" s="120"/>
      <c r="G15" s="147">
        <f t="shared" si="0"/>
        <v>0</v>
      </c>
      <c r="H15" s="1151"/>
      <c r="I15" s="905"/>
      <c r="J15" s="1060">
        <v>541.33</v>
      </c>
      <c r="K15" s="143"/>
      <c r="L15" s="143"/>
      <c r="M15" s="143"/>
      <c r="N15" s="143"/>
      <c r="O15" s="143"/>
      <c r="P15" s="143"/>
      <c r="Q15" s="143"/>
      <c r="R15" s="143"/>
      <c r="S15" s="992">
        <v>36.96</v>
      </c>
      <c r="T15" s="143"/>
      <c r="U15" s="103">
        <f t="shared" si="1"/>
        <v>0</v>
      </c>
      <c r="V15" s="143"/>
      <c r="W15" s="143"/>
      <c r="X15" s="988">
        <v>237.1</v>
      </c>
      <c r="Y15" s="143"/>
      <c r="Z15" s="143"/>
      <c r="AA15" s="143"/>
      <c r="AB15" s="143"/>
      <c r="AC15" s="143"/>
      <c r="AD15" s="143"/>
      <c r="AE15" s="143"/>
      <c r="AF15" s="143"/>
      <c r="AG15" s="143"/>
      <c r="AH15" s="103">
        <f t="shared" si="2"/>
        <v>0</v>
      </c>
      <c r="AI15" s="906">
        <v>5069.17</v>
      </c>
      <c r="AJ15" s="907">
        <v>992.09</v>
      </c>
      <c r="AK15" s="123"/>
      <c r="AL15" s="105">
        <f t="shared" si="3"/>
        <v>0</v>
      </c>
      <c r="AM15" s="905"/>
      <c r="AN15" s="143"/>
      <c r="AO15" s="143"/>
      <c r="AP15" s="146"/>
      <c r="AQ15" s="621">
        <f t="shared" si="4"/>
        <v>0</v>
      </c>
      <c r="AR15" s="1846">
        <v>10283</v>
      </c>
      <c r="AS15" s="1709"/>
      <c r="AT15" s="1546"/>
      <c r="AU15" s="1546"/>
      <c r="AV15" s="1546"/>
      <c r="AW15" s="1546"/>
      <c r="AX15" s="1847">
        <v>3897.4</v>
      </c>
      <c r="AY15" s="1709"/>
      <c r="AZ15" s="1709"/>
      <c r="BA15" s="1709"/>
      <c r="BB15" s="1709"/>
      <c r="BC15" s="222">
        <f t="shared" si="5"/>
        <v>0</v>
      </c>
      <c r="BD15" s="113">
        <f t="shared" si="6"/>
        <v>0</v>
      </c>
      <c r="BE15" s="3"/>
      <c r="BF15" s="113">
        <f t="shared" si="7"/>
        <v>0</v>
      </c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04"/>
      <c r="BR15" s="1062">
        <v>303</v>
      </c>
      <c r="BS15" s="129"/>
      <c r="BT15" s="130">
        <f t="shared" si="8"/>
        <v>0</v>
      </c>
      <c r="BU15" s="3"/>
    </row>
    <row r="16" ht="14.25" customHeight="1">
      <c r="A16" s="3"/>
      <c r="B16" s="215">
        <v>46032</v>
      </c>
      <c r="C16" s="900">
        <f>26297.42-D16-0</f>
      </c>
      <c r="D16" s="901">
        <v>4839.02</v>
      </c>
      <c r="E16" s="120"/>
      <c r="F16" s="120"/>
      <c r="G16" s="147">
        <f t="shared" si="0"/>
        <v>0</v>
      </c>
      <c r="H16" s="1059"/>
      <c r="I16" s="904"/>
      <c r="J16" s="1348">
        <v>1825.57</v>
      </c>
      <c r="K16" s="143"/>
      <c r="L16" s="143"/>
      <c r="M16" s="143"/>
      <c r="N16" s="143"/>
      <c r="O16" s="143"/>
      <c r="P16" s="143"/>
      <c r="Q16" s="143"/>
      <c r="R16" s="143"/>
      <c r="S16" s="905"/>
      <c r="T16" s="143"/>
      <c r="U16" s="103">
        <f t="shared" si="1"/>
        <v>0</v>
      </c>
      <c r="V16" s="143"/>
      <c r="W16" s="143"/>
      <c r="X16" s="992">
        <v>256.37</v>
      </c>
      <c r="Y16" s="143"/>
      <c r="Z16" s="143"/>
      <c r="AA16" s="143"/>
      <c r="AB16" s="143"/>
      <c r="AC16" s="143"/>
      <c r="AD16" s="143"/>
      <c r="AE16" s="143"/>
      <c r="AF16" s="143"/>
      <c r="AG16" s="143"/>
      <c r="AH16" s="103">
        <f t="shared" si="2"/>
        <v>0</v>
      </c>
      <c r="AI16" s="906">
        <v>3553.77</v>
      </c>
      <c r="AJ16" s="907">
        <v>895.46</v>
      </c>
      <c r="AK16" s="123"/>
      <c r="AL16" s="105">
        <f t="shared" si="3"/>
        <v>0</v>
      </c>
      <c r="AM16" s="905"/>
      <c r="AN16" s="143"/>
      <c r="AO16" s="143"/>
      <c r="AP16" s="146"/>
      <c r="AQ16" s="621">
        <f t="shared" si="4"/>
        <v>0</v>
      </c>
      <c r="AR16" s="1846">
        <v>15792</v>
      </c>
      <c r="AS16" s="1709"/>
      <c r="AT16" s="1546"/>
      <c r="AU16" s="1546"/>
      <c r="AV16" s="1546"/>
      <c r="AW16" s="1546"/>
      <c r="AX16" s="1847">
        <v>3943</v>
      </c>
      <c r="AY16" s="1709"/>
      <c r="AZ16" s="1709"/>
      <c r="BA16" s="1709"/>
      <c r="BB16" s="1709"/>
      <c r="BC16" s="222">
        <f t="shared" si="5"/>
        <v>0</v>
      </c>
      <c r="BD16" s="113">
        <f t="shared" si="6"/>
        <v>0</v>
      </c>
      <c r="BE16" s="3"/>
      <c r="BF16" s="113">
        <f t="shared" si="7"/>
        <v>0</v>
      </c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04"/>
      <c r="BR16" s="1062">
        <v>30</v>
      </c>
      <c r="BS16" s="129"/>
      <c r="BT16" s="130">
        <f t="shared" si="8"/>
        <v>0</v>
      </c>
      <c r="BU16" s="3"/>
    </row>
    <row r="17" ht="14.25" customHeight="1">
      <c r="A17" s="3"/>
      <c r="B17" s="215">
        <v>46033</v>
      </c>
      <c r="C17" s="900">
        <f>24153.86-D17-0</f>
      </c>
      <c r="D17" s="901">
        <v>4401.14</v>
      </c>
      <c r="E17" s="120"/>
      <c r="F17" s="120"/>
      <c r="G17" s="147">
        <f t="shared" si="0"/>
        <v>0</v>
      </c>
      <c r="H17" s="1151"/>
      <c r="I17" s="905"/>
      <c r="J17" s="1350">
        <v>566.79</v>
      </c>
      <c r="K17" s="143"/>
      <c r="L17" s="143"/>
      <c r="M17" s="143"/>
      <c r="N17" s="143"/>
      <c r="O17" s="143"/>
      <c r="P17" s="143"/>
      <c r="Q17" s="143"/>
      <c r="R17" s="143"/>
      <c r="S17" s="905"/>
      <c r="T17" s="143"/>
      <c r="U17" s="103">
        <f t="shared" si="1"/>
        <v>0</v>
      </c>
      <c r="V17" s="143"/>
      <c r="W17" s="143"/>
      <c r="X17" s="904"/>
      <c r="Y17" s="143"/>
      <c r="Z17" s="143"/>
      <c r="AA17" s="143"/>
      <c r="AB17" s="143"/>
      <c r="AC17" s="143"/>
      <c r="AD17" s="143"/>
      <c r="AE17" s="143"/>
      <c r="AF17" s="143"/>
      <c r="AG17" s="143"/>
      <c r="AH17" s="103">
        <f t="shared" si="2"/>
        <v>0</v>
      </c>
      <c r="AI17" s="906">
        <v>4603.7</v>
      </c>
      <c r="AJ17" s="907">
        <v>969.31</v>
      </c>
      <c r="AK17" s="123"/>
      <c r="AL17" s="105">
        <f t="shared" si="3"/>
        <v>0</v>
      </c>
      <c r="AM17" s="905"/>
      <c r="AN17" s="143"/>
      <c r="AO17" s="143"/>
      <c r="AP17" s="146"/>
      <c r="AQ17" s="621">
        <f t="shared" si="4"/>
        <v>0</v>
      </c>
      <c r="AR17" s="1846">
        <v>14580</v>
      </c>
      <c r="AS17" s="1709"/>
      <c r="AT17" s="1546"/>
      <c r="AU17" s="1546"/>
      <c r="AV17" s="1546"/>
      <c r="AW17" s="1546"/>
      <c r="AX17" s="1847">
        <v>3431.3</v>
      </c>
      <c r="AY17" s="1709"/>
      <c r="AZ17" s="1709"/>
      <c r="BA17" s="1709"/>
      <c r="BB17" s="1709"/>
      <c r="BC17" s="222">
        <f t="shared" si="5"/>
        <v>0</v>
      </c>
      <c r="BD17" s="113">
        <f t="shared" si="6"/>
        <v>0</v>
      </c>
      <c r="BE17" s="3"/>
      <c r="BF17" s="113">
        <f t="shared" si="7"/>
        <v>0</v>
      </c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14"/>
      <c r="BR17" s="909"/>
      <c r="BS17" s="129"/>
      <c r="BT17" s="130">
        <f t="shared" si="8"/>
        <v>0</v>
      </c>
      <c r="BU17" s="3"/>
    </row>
    <row r="18" ht="14.25" customHeight="1">
      <c r="A18" s="3"/>
      <c r="B18" s="215">
        <v>46034</v>
      </c>
      <c r="C18" s="900">
        <f>20554.50-D18-0</f>
      </c>
      <c r="D18" s="901">
        <v>4144.1</v>
      </c>
      <c r="E18" s="120"/>
      <c r="F18" s="120"/>
      <c r="G18" s="147">
        <f t="shared" si="0"/>
        <v>0</v>
      </c>
      <c r="H18" s="1053"/>
      <c r="I18" s="905"/>
      <c r="J18" s="1351">
        <v>762.34</v>
      </c>
      <c r="K18" s="143"/>
      <c r="L18" s="143"/>
      <c r="M18" s="143"/>
      <c r="N18" s="143"/>
      <c r="O18" s="143"/>
      <c r="P18" s="143"/>
      <c r="Q18" s="143"/>
      <c r="R18" s="143"/>
      <c r="S18" s="905"/>
      <c r="T18" s="143"/>
      <c r="U18" s="103">
        <f t="shared" si="1"/>
        <v>0</v>
      </c>
      <c r="V18" s="143"/>
      <c r="W18" s="143"/>
      <c r="X18" s="992">
        <v>244.01</v>
      </c>
      <c r="Y18" s="143"/>
      <c r="Z18" s="143"/>
      <c r="AA18" s="143"/>
      <c r="AB18" s="143"/>
      <c r="AC18" s="143"/>
      <c r="AD18" s="143"/>
      <c r="AE18" s="143"/>
      <c r="AF18" s="143"/>
      <c r="AG18" s="143"/>
      <c r="AH18" s="103">
        <f t="shared" si="2"/>
        <v>0</v>
      </c>
      <c r="AI18" s="906">
        <v>4252.01</v>
      </c>
      <c r="AJ18" s="907">
        <v>1104.18</v>
      </c>
      <c r="AK18" s="123"/>
      <c r="AL18" s="105">
        <f t="shared" si="3"/>
        <v>0</v>
      </c>
      <c r="AM18" s="905"/>
      <c r="AN18" s="143"/>
      <c r="AO18" s="143"/>
      <c r="AP18" s="146"/>
      <c r="AQ18" s="621">
        <f t="shared" si="4"/>
        <v>0</v>
      </c>
      <c r="AR18" s="1846">
        <v>10992</v>
      </c>
      <c r="AS18" s="1709"/>
      <c r="AT18" s="1546"/>
      <c r="AU18" s="1546"/>
      <c r="AV18" s="1546"/>
      <c r="AW18" s="1546"/>
      <c r="AX18" s="1847">
        <v>3039.1</v>
      </c>
      <c r="AY18" s="1709"/>
      <c r="AZ18" s="1709"/>
      <c r="BA18" s="1709"/>
      <c r="BB18" s="1709"/>
      <c r="BC18" s="222">
        <f t="shared" si="5"/>
        <v>0</v>
      </c>
      <c r="BD18" s="113">
        <f t="shared" si="6"/>
        <v>0</v>
      </c>
      <c r="BE18" s="3"/>
      <c r="BF18" s="113">
        <f t="shared" si="7"/>
        <v>0</v>
      </c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056"/>
      <c r="BR18" s="1062">
        <v>159</v>
      </c>
      <c r="BS18" s="129"/>
      <c r="BT18" s="130">
        <f t="shared" si="8"/>
        <v>0</v>
      </c>
      <c r="BU18" s="3"/>
    </row>
    <row r="19" ht="14.25" customHeight="1">
      <c r="A19" s="3"/>
      <c r="B19" s="215">
        <v>46035</v>
      </c>
      <c r="C19" s="900">
        <f>22420.74-D19-0</f>
      </c>
      <c r="D19" s="901">
        <v>4007.26</v>
      </c>
      <c r="E19" s="120"/>
      <c r="F19" s="120"/>
      <c r="G19" s="147">
        <f t="shared" si="0"/>
        <v>0</v>
      </c>
      <c r="H19" s="1053"/>
      <c r="I19" s="905"/>
      <c r="J19" s="1348">
        <v>1393.37</v>
      </c>
      <c r="K19" s="143"/>
      <c r="L19" s="143"/>
      <c r="M19" s="143"/>
      <c r="N19" s="143"/>
      <c r="O19" s="143"/>
      <c r="P19" s="143"/>
      <c r="Q19" s="143"/>
      <c r="R19" s="143"/>
      <c r="S19" s="905"/>
      <c r="T19" s="143"/>
      <c r="U19" s="103">
        <f t="shared" si="1"/>
        <v>0</v>
      </c>
      <c r="V19" s="143"/>
      <c r="W19" s="143"/>
      <c r="X19" s="988">
        <v>177.72</v>
      </c>
      <c r="Y19" s="143"/>
      <c r="Z19" s="143"/>
      <c r="AA19" s="143"/>
      <c r="AB19" s="143"/>
      <c r="AC19" s="143"/>
      <c r="AD19" s="143"/>
      <c r="AE19" s="143"/>
      <c r="AF19" s="143"/>
      <c r="AG19" s="143"/>
      <c r="AH19" s="103">
        <f t="shared" si="2"/>
        <v>0</v>
      </c>
      <c r="AI19" s="906">
        <v>3903.78</v>
      </c>
      <c r="AJ19" s="907">
        <v>727.14</v>
      </c>
      <c r="AK19" s="123"/>
      <c r="AL19" s="105">
        <f t="shared" si="3"/>
        <v>0</v>
      </c>
      <c r="AM19" s="905"/>
      <c r="AN19" s="143"/>
      <c r="AO19" s="143"/>
      <c r="AP19" s="146"/>
      <c r="AQ19" s="621">
        <f t="shared" si="4"/>
        <v>0</v>
      </c>
      <c r="AR19" s="1846">
        <v>12907.9</v>
      </c>
      <c r="AS19" s="1709"/>
      <c r="AT19" s="1546"/>
      <c r="AU19" s="1546"/>
      <c r="AV19" s="1546"/>
      <c r="AW19" s="1546"/>
      <c r="AX19" s="1847">
        <v>3280</v>
      </c>
      <c r="AY19" s="1709"/>
      <c r="AZ19" s="1709"/>
      <c r="BA19" s="1709"/>
      <c r="BB19" s="1709"/>
      <c r="BC19" s="222">
        <f t="shared" si="5"/>
        <v>0</v>
      </c>
      <c r="BD19" s="113">
        <f t="shared" si="6"/>
        <v>0</v>
      </c>
      <c r="BE19" s="3"/>
      <c r="BF19" s="113">
        <f t="shared" si="7"/>
        <v>0</v>
      </c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04"/>
      <c r="BR19" s="909">
        <v>30</v>
      </c>
      <c r="BS19" s="129"/>
      <c r="BT19" s="130">
        <f t="shared" si="8"/>
        <v>0</v>
      </c>
      <c r="BU19" s="3"/>
    </row>
    <row r="20" ht="14.25" customHeight="1">
      <c r="A20" s="3"/>
      <c r="B20" s="215">
        <v>46036</v>
      </c>
      <c r="C20" s="900">
        <f>27034.33-D20-0</f>
      </c>
      <c r="D20" s="907">
        <v>3921.98</v>
      </c>
      <c r="E20" s="120"/>
      <c r="F20" s="120"/>
      <c r="G20" s="147">
        <f t="shared" si="0"/>
        <v>0</v>
      </c>
      <c r="H20" s="1053"/>
      <c r="I20" s="992">
        <v>208.96</v>
      </c>
      <c r="J20" s="1060">
        <v>1975.59</v>
      </c>
      <c r="K20" s="143"/>
      <c r="L20" s="143"/>
      <c r="M20" s="143"/>
      <c r="N20" s="143"/>
      <c r="O20" s="143"/>
      <c r="P20" s="143"/>
      <c r="Q20" s="143"/>
      <c r="R20" s="143"/>
      <c r="S20" s="992">
        <v>65.92</v>
      </c>
      <c r="T20" s="143"/>
      <c r="U20" s="103">
        <f t="shared" si="1"/>
        <v>0</v>
      </c>
      <c r="V20" s="143"/>
      <c r="W20" s="143"/>
      <c r="X20" s="988">
        <v>260.07</v>
      </c>
      <c r="Y20" s="143"/>
      <c r="Z20" s="143"/>
      <c r="AA20" s="143"/>
      <c r="AB20" s="143"/>
      <c r="AC20" s="143"/>
      <c r="AD20" s="143"/>
      <c r="AE20" s="143"/>
      <c r="AF20" s="143"/>
      <c r="AG20" s="143"/>
      <c r="AH20" s="103">
        <f t="shared" si="2"/>
        <v>0</v>
      </c>
      <c r="AI20" s="906">
        <v>3268.49</v>
      </c>
      <c r="AJ20" s="907">
        <v>704.71</v>
      </c>
      <c r="AK20" s="123"/>
      <c r="AL20" s="105">
        <f t="shared" si="3"/>
        <v>0</v>
      </c>
      <c r="AM20" s="905"/>
      <c r="AN20" s="143"/>
      <c r="AO20" s="143"/>
      <c r="AP20" s="146"/>
      <c r="AQ20" s="621">
        <f t="shared" si="4"/>
        <v>0</v>
      </c>
      <c r="AR20" s="1846">
        <v>17301</v>
      </c>
      <c r="AS20" s="1709"/>
      <c r="AT20" s="1546"/>
      <c r="AU20" s="1546"/>
      <c r="AV20" s="1546"/>
      <c r="AW20" s="1546"/>
      <c r="AX20" s="1847">
        <v>3217</v>
      </c>
      <c r="AY20" s="1709"/>
      <c r="AZ20" s="1709"/>
      <c r="BA20" s="1709"/>
      <c r="BB20" s="1709"/>
      <c r="BC20" s="222">
        <f t="shared" si="5"/>
        <v>0</v>
      </c>
      <c r="BD20" s="113">
        <f t="shared" si="6"/>
        <v>0</v>
      </c>
      <c r="BE20" s="3"/>
      <c r="BF20" s="113">
        <f t="shared" si="7"/>
        <v>0</v>
      </c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04"/>
      <c r="BR20" s="909">
        <v>30</v>
      </c>
      <c r="BS20" s="129"/>
      <c r="BT20" s="130">
        <f t="shared" si="8"/>
        <v>0</v>
      </c>
      <c r="BU20" s="3"/>
    </row>
    <row r="21" ht="14.25" customHeight="1">
      <c r="A21" s="3"/>
      <c r="B21" s="215">
        <v>46037</v>
      </c>
      <c r="C21" s="900">
        <f>20300.99-D21-0</f>
      </c>
      <c r="D21" s="907">
        <v>4342.96</v>
      </c>
      <c r="E21" s="120"/>
      <c r="F21" s="120"/>
      <c r="G21" s="147">
        <f t="shared" si="0"/>
        <v>0</v>
      </c>
      <c r="H21" s="1053"/>
      <c r="I21" s="905"/>
      <c r="J21" s="1348">
        <v>1831.58</v>
      </c>
      <c r="K21" s="143"/>
      <c r="L21" s="143"/>
      <c r="M21" s="143"/>
      <c r="N21" s="143"/>
      <c r="O21" s="143"/>
      <c r="P21" s="143"/>
      <c r="Q21" s="143"/>
      <c r="R21" s="143"/>
      <c r="S21" s="904"/>
      <c r="T21" s="143"/>
      <c r="U21" s="103">
        <f t="shared" si="1"/>
        <v>0</v>
      </c>
      <c r="V21" s="143"/>
      <c r="W21" s="143"/>
      <c r="X21" s="904"/>
      <c r="Y21" s="143"/>
      <c r="Z21" s="143"/>
      <c r="AA21" s="143"/>
      <c r="AB21" s="143"/>
      <c r="AC21" s="143"/>
      <c r="AD21" s="143"/>
      <c r="AE21" s="143"/>
      <c r="AF21" s="143"/>
      <c r="AG21" s="143"/>
      <c r="AH21" s="103">
        <f t="shared" si="2"/>
        <v>0</v>
      </c>
      <c r="AI21" s="906">
        <v>4746.74</v>
      </c>
      <c r="AJ21" s="907">
        <v>579.3</v>
      </c>
      <c r="AK21" s="123"/>
      <c r="AL21" s="105">
        <f t="shared" si="3"/>
        <v>0</v>
      </c>
      <c r="AM21" s="905"/>
      <c r="AN21" s="143"/>
      <c r="AO21" s="143"/>
      <c r="AP21" s="146"/>
      <c r="AQ21" s="621">
        <f t="shared" si="4"/>
        <v>0</v>
      </c>
      <c r="AR21" s="1846">
        <v>9073</v>
      </c>
      <c r="AS21" s="1709"/>
      <c r="AT21" s="1546"/>
      <c r="AU21" s="1546"/>
      <c r="AV21" s="1546"/>
      <c r="AW21" s="1546"/>
      <c r="AX21" s="1847">
        <v>3763.4</v>
      </c>
      <c r="AY21" s="1709"/>
      <c r="AZ21" s="1709"/>
      <c r="BA21" s="1709"/>
      <c r="BB21" s="1709"/>
      <c r="BC21" s="222">
        <f t="shared" si="5"/>
        <v>0</v>
      </c>
      <c r="BD21" s="113">
        <f t="shared" si="6"/>
        <v>0</v>
      </c>
      <c r="BE21" s="3"/>
      <c r="BF21" s="113">
        <f t="shared" si="7"/>
        <v>0</v>
      </c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914"/>
      <c r="BR21" s="1062">
        <v>303</v>
      </c>
      <c r="BS21" s="129"/>
      <c r="BT21" s="130">
        <f t="shared" si="8"/>
        <v>0</v>
      </c>
      <c r="BU21" s="3"/>
    </row>
    <row r="22" ht="14.25" customHeight="1">
      <c r="A22" s="132"/>
      <c r="B22" s="215">
        <v>46038</v>
      </c>
      <c r="C22" s="900">
        <f>18685.50-D22-0</f>
      </c>
      <c r="D22" s="907">
        <v>4327.56</v>
      </c>
      <c r="E22" s="135"/>
      <c r="F22" s="135"/>
      <c r="G22" s="147">
        <f t="shared" si="0"/>
        <v>0</v>
      </c>
      <c r="H22" s="1151"/>
      <c r="I22" s="905"/>
      <c r="J22" s="1350">
        <v>116.08</v>
      </c>
      <c r="K22" s="143"/>
      <c r="L22" s="143"/>
      <c r="M22" s="143"/>
      <c r="N22" s="143"/>
      <c r="O22" s="143"/>
      <c r="P22" s="143"/>
      <c r="Q22" s="143"/>
      <c r="R22" s="143"/>
      <c r="S22" s="905"/>
      <c r="T22" s="143"/>
      <c r="U22" s="103">
        <f t="shared" si="1"/>
        <v>0</v>
      </c>
      <c r="V22" s="143"/>
      <c r="W22" s="143"/>
      <c r="X22" s="988">
        <v>127</v>
      </c>
      <c r="Y22" s="143"/>
      <c r="Z22" s="143"/>
      <c r="AA22" s="143"/>
      <c r="AB22" s="143"/>
      <c r="AC22" s="143"/>
      <c r="AD22" s="143"/>
      <c r="AE22" s="143"/>
      <c r="AF22" s="143"/>
      <c r="AG22" s="143"/>
      <c r="AH22" s="103">
        <f t="shared" si="2"/>
        <v>0</v>
      </c>
      <c r="AI22" s="906">
        <v>4172.41</v>
      </c>
      <c r="AJ22" s="907">
        <v>1045.1</v>
      </c>
      <c r="AK22" s="136"/>
      <c r="AL22" s="105">
        <f t="shared" si="3"/>
        <v>0</v>
      </c>
      <c r="AM22" s="905"/>
      <c r="AN22" s="143"/>
      <c r="AO22" s="143"/>
      <c r="AP22" s="146"/>
      <c r="AQ22" s="621">
        <f t="shared" si="4"/>
        <v>0</v>
      </c>
      <c r="AR22" s="1846">
        <v>9911.5</v>
      </c>
      <c r="AS22" s="1709"/>
      <c r="AT22" s="1546"/>
      <c r="AU22" s="1546"/>
      <c r="AV22" s="1546"/>
      <c r="AW22" s="1546"/>
      <c r="AX22" s="1847">
        <v>3282</v>
      </c>
      <c r="AY22" s="1709"/>
      <c r="AZ22" s="1709"/>
      <c r="BA22" s="1709"/>
      <c r="BB22" s="1709"/>
      <c r="BC22" s="222">
        <f t="shared" si="5"/>
        <v>0</v>
      </c>
      <c r="BD22" s="140">
        <f t="shared" si="6"/>
        <v>0</v>
      </c>
      <c r="BE22" s="132"/>
      <c r="BF22" s="140">
        <f t="shared" si="7"/>
        <v>0</v>
      </c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1204"/>
      <c r="BR22" s="909">
        <v>30</v>
      </c>
      <c r="BS22" s="141"/>
      <c r="BT22" s="130">
        <f t="shared" si="8"/>
        <v>0</v>
      </c>
      <c r="BU22" s="132"/>
    </row>
    <row r="23" ht="14.25" customHeight="1">
      <c r="A23" s="132"/>
      <c r="B23" s="215">
        <v>46039</v>
      </c>
      <c r="C23" s="900">
        <f>18106.01-D23-0</f>
      </c>
      <c r="D23" s="907">
        <v>4780.71</v>
      </c>
      <c r="E23" s="135"/>
      <c r="F23" s="135"/>
      <c r="G23" s="147">
        <f t="shared" si="0"/>
        <v>0</v>
      </c>
      <c r="H23" s="1053"/>
      <c r="I23" s="905"/>
      <c r="J23" s="1350">
        <v>389.23</v>
      </c>
      <c r="K23" s="143"/>
      <c r="L23" s="143"/>
      <c r="M23" s="143"/>
      <c r="N23" s="143"/>
      <c r="O23" s="143"/>
      <c r="P23" s="143"/>
      <c r="Q23" s="143"/>
      <c r="R23" s="143"/>
      <c r="S23" s="905"/>
      <c r="T23" s="143"/>
      <c r="U23" s="103">
        <f t="shared" si="1"/>
        <v>0</v>
      </c>
      <c r="V23" s="143"/>
      <c r="W23" s="143"/>
      <c r="X23" s="988">
        <v>248.36</v>
      </c>
      <c r="Y23" s="143"/>
      <c r="Z23" s="143"/>
      <c r="AA23" s="143"/>
      <c r="AB23" s="143"/>
      <c r="AC23" s="143"/>
      <c r="AD23" s="143"/>
      <c r="AE23" s="143"/>
      <c r="AF23" s="143"/>
      <c r="AG23" s="143"/>
      <c r="AH23" s="103">
        <f t="shared" si="2"/>
        <v>0</v>
      </c>
      <c r="AI23" s="906">
        <v>3204.5</v>
      </c>
      <c r="AJ23" s="907">
        <v>889.87</v>
      </c>
      <c r="AK23" s="136"/>
      <c r="AL23" s="105">
        <f t="shared" si="3"/>
        <v>0</v>
      </c>
      <c r="AM23" s="905"/>
      <c r="AN23" s="143"/>
      <c r="AO23" s="143"/>
      <c r="AP23" s="146"/>
      <c r="AQ23" s="621">
        <f t="shared" si="4"/>
        <v>0</v>
      </c>
      <c r="AR23" s="1846">
        <v>9179</v>
      </c>
      <c r="AS23" s="1709"/>
      <c r="AT23" s="1546"/>
      <c r="AU23" s="1546"/>
      <c r="AV23" s="1546"/>
      <c r="AW23" s="1546"/>
      <c r="AX23" s="1847">
        <v>3890.1</v>
      </c>
      <c r="AY23" s="1709"/>
      <c r="AZ23" s="1709"/>
      <c r="BA23" s="1709"/>
      <c r="BB23" s="1709"/>
      <c r="BC23" s="222">
        <f t="shared" si="5"/>
        <v>0</v>
      </c>
      <c r="BD23" s="140">
        <f t="shared" si="6"/>
        <v>0</v>
      </c>
      <c r="BE23" s="132"/>
      <c r="BF23" s="140">
        <f t="shared" si="7"/>
        <v>0</v>
      </c>
      <c r="BG23" s="141"/>
      <c r="BH23" s="141"/>
      <c r="BI23" s="141"/>
      <c r="BJ23" s="141"/>
      <c r="BK23" s="141"/>
      <c r="BL23" s="141"/>
      <c r="BM23" s="141"/>
      <c r="BN23" s="141"/>
      <c r="BO23" s="141"/>
      <c r="BP23" s="141"/>
      <c r="BQ23" s="908"/>
      <c r="BR23" s="1261">
        <v>303</v>
      </c>
      <c r="BS23" s="141"/>
      <c r="BT23" s="130">
        <f t="shared" si="8"/>
        <v>0</v>
      </c>
      <c r="BU23" s="132"/>
    </row>
    <row r="24" ht="14.25" customHeight="1">
      <c r="A24" s="132"/>
      <c r="B24" s="215">
        <v>46040</v>
      </c>
      <c r="C24" s="900">
        <f>18528.09-D24-0</f>
      </c>
      <c r="D24" s="907">
        <v>4786.81</v>
      </c>
      <c r="E24" s="135"/>
      <c r="F24" s="135"/>
      <c r="G24" s="147">
        <f t="shared" si="0"/>
        <v>0</v>
      </c>
      <c r="H24" s="1151"/>
      <c r="I24" s="905"/>
      <c r="J24" s="1348">
        <v>243.12</v>
      </c>
      <c r="K24" s="143"/>
      <c r="L24" s="143"/>
      <c r="M24" s="143"/>
      <c r="N24" s="143"/>
      <c r="O24" s="143"/>
      <c r="P24" s="143"/>
      <c r="Q24" s="143"/>
      <c r="R24" s="143"/>
      <c r="S24" s="905"/>
      <c r="T24" s="143"/>
      <c r="U24" s="103">
        <f t="shared" si="1"/>
        <v>0</v>
      </c>
      <c r="V24" s="143"/>
      <c r="W24" s="143"/>
      <c r="X24" s="904"/>
      <c r="Y24" s="143"/>
      <c r="Z24" s="143"/>
      <c r="AA24" s="143"/>
      <c r="AB24" s="143"/>
      <c r="AC24" s="143"/>
      <c r="AD24" s="143"/>
      <c r="AE24" s="143"/>
      <c r="AF24" s="143"/>
      <c r="AG24" s="143"/>
      <c r="AH24" s="103">
        <f t="shared" si="2"/>
        <v>0</v>
      </c>
      <c r="AI24" s="906">
        <v>3459.6</v>
      </c>
      <c r="AJ24" s="907">
        <v>952.61</v>
      </c>
      <c r="AK24" s="136"/>
      <c r="AL24" s="105">
        <f t="shared" si="3"/>
        <v>0</v>
      </c>
      <c r="AM24" s="905"/>
      <c r="AN24" s="143"/>
      <c r="AO24" s="143"/>
      <c r="AP24" s="146"/>
      <c r="AQ24" s="621">
        <f t="shared" si="4"/>
        <v>0</v>
      </c>
      <c r="AR24" s="1846">
        <v>10036.5</v>
      </c>
      <c r="AS24" s="1709"/>
      <c r="AT24" s="1546"/>
      <c r="AU24" s="1546"/>
      <c r="AV24" s="1546"/>
      <c r="AW24" s="1546"/>
      <c r="AX24" s="1847">
        <v>3834.2</v>
      </c>
      <c r="AY24" s="1709"/>
      <c r="AZ24" s="1709"/>
      <c r="BA24" s="1709"/>
      <c r="BB24" s="1709"/>
      <c r="BC24" s="222">
        <f t="shared" si="5"/>
        <v>0</v>
      </c>
      <c r="BD24" s="140">
        <f t="shared" si="6"/>
        <v>0</v>
      </c>
      <c r="BE24" s="132"/>
      <c r="BF24" s="140">
        <f t="shared" si="7"/>
        <v>0</v>
      </c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14"/>
      <c r="BR24" s="909"/>
      <c r="BS24" s="141"/>
      <c r="BT24" s="130">
        <f t="shared" si="8"/>
        <v>0</v>
      </c>
      <c r="BU24" s="132"/>
    </row>
    <row r="25" ht="14.25" customHeight="1">
      <c r="A25" s="132"/>
      <c r="B25" s="215">
        <v>46041</v>
      </c>
      <c r="C25" s="900">
        <f>21930.52-D25-0</f>
      </c>
      <c r="D25" s="907">
        <v>3894.44</v>
      </c>
      <c r="E25" s="135"/>
      <c r="F25" s="135"/>
      <c r="G25" s="147">
        <f t="shared" si="0"/>
        <v>0</v>
      </c>
      <c r="H25" s="1053"/>
      <c r="I25" s="905"/>
      <c r="J25" s="1054">
        <v>1114.52</v>
      </c>
      <c r="K25" s="143"/>
      <c r="L25" s="143"/>
      <c r="M25" s="143"/>
      <c r="N25" s="143"/>
      <c r="O25" s="143"/>
      <c r="P25" s="143"/>
      <c r="Q25" s="143"/>
      <c r="R25" s="143"/>
      <c r="S25" s="992">
        <v>65.01</v>
      </c>
      <c r="T25" s="143"/>
      <c r="U25" s="103">
        <f t="shared" si="1"/>
        <v>0</v>
      </c>
      <c r="V25" s="143"/>
      <c r="W25" s="143"/>
      <c r="X25" s="992">
        <v>779.18</v>
      </c>
      <c r="Y25" s="143"/>
      <c r="Z25" s="143"/>
      <c r="AA25" s="143"/>
      <c r="AB25" s="143"/>
      <c r="AC25" s="143"/>
      <c r="AD25" s="143"/>
      <c r="AE25" s="143"/>
      <c r="AF25" s="143"/>
      <c r="AG25" s="143"/>
      <c r="AH25" s="103">
        <f t="shared" si="2"/>
        <v>0</v>
      </c>
      <c r="AI25" s="906">
        <v>6716.08</v>
      </c>
      <c r="AJ25" s="907">
        <v>705.97</v>
      </c>
      <c r="AK25" s="136"/>
      <c r="AL25" s="105">
        <f t="shared" si="3"/>
        <v>0</v>
      </c>
      <c r="AM25" s="905"/>
      <c r="AN25" s="143"/>
      <c r="AO25" s="143"/>
      <c r="AP25" s="146"/>
      <c r="AQ25" s="621">
        <f t="shared" si="4"/>
        <v>0</v>
      </c>
      <c r="AR25" s="1846">
        <v>9330.8</v>
      </c>
      <c r="AS25" s="1709"/>
      <c r="AT25" s="1546"/>
      <c r="AU25" s="1546"/>
      <c r="AV25" s="1546"/>
      <c r="AW25" s="1546"/>
      <c r="AX25" s="1847">
        <v>3188</v>
      </c>
      <c r="AY25" s="1709"/>
      <c r="AZ25" s="1709"/>
      <c r="BA25" s="1709"/>
      <c r="BB25" s="1709"/>
      <c r="BC25" s="222">
        <f t="shared" si="5"/>
        <v>0</v>
      </c>
      <c r="BD25" s="140">
        <f t="shared" si="6"/>
        <v>0</v>
      </c>
      <c r="BE25" s="132"/>
      <c r="BF25" s="140">
        <f t="shared" si="7"/>
        <v>0</v>
      </c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056"/>
      <c r="BR25" s="909">
        <v>30</v>
      </c>
      <c r="BS25" s="141"/>
      <c r="BT25" s="130">
        <f t="shared" si="8"/>
        <v>0</v>
      </c>
      <c r="BU25" s="132"/>
    </row>
    <row r="26" ht="14.25" customHeight="1">
      <c r="A26" s="132"/>
      <c r="B26" s="215">
        <v>46042</v>
      </c>
      <c r="C26" s="900">
        <f>21788.11-D26-0</f>
      </c>
      <c r="D26" s="907">
        <v>3668.54</v>
      </c>
      <c r="E26" s="135"/>
      <c r="F26" s="135"/>
      <c r="G26" s="147">
        <f t="shared" si="0"/>
        <v>0</v>
      </c>
      <c r="H26" s="1150"/>
      <c r="I26" s="905"/>
      <c r="J26" s="1348">
        <v>409.39</v>
      </c>
      <c r="K26" s="143"/>
      <c r="L26" s="143"/>
      <c r="M26" s="143"/>
      <c r="N26" s="143"/>
      <c r="O26" s="143"/>
      <c r="P26" s="143"/>
      <c r="Q26" s="143"/>
      <c r="R26" s="143"/>
      <c r="S26" s="905"/>
      <c r="T26" s="143"/>
      <c r="U26" s="103">
        <f t="shared" si="1"/>
        <v>0</v>
      </c>
      <c r="V26" s="143"/>
      <c r="W26" s="143"/>
      <c r="X26" s="988">
        <v>181.13</v>
      </c>
      <c r="Y26" s="143"/>
      <c r="Z26" s="143"/>
      <c r="AA26" s="143"/>
      <c r="AB26" s="143"/>
      <c r="AC26" s="143"/>
      <c r="AD26" s="143"/>
      <c r="AE26" s="143"/>
      <c r="AF26" s="143"/>
      <c r="AG26" s="143"/>
      <c r="AH26" s="103">
        <f t="shared" si="2"/>
        <v>0</v>
      </c>
      <c r="AI26" s="906">
        <v>3850.98</v>
      </c>
      <c r="AJ26" s="907">
        <v>969.22</v>
      </c>
      <c r="AK26" s="136"/>
      <c r="AL26" s="105">
        <f t="shared" si="3"/>
        <v>0</v>
      </c>
      <c r="AM26" s="905"/>
      <c r="AN26" s="143"/>
      <c r="AO26" s="143"/>
      <c r="AP26" s="146"/>
      <c r="AQ26" s="621">
        <f t="shared" si="4"/>
        <v>0</v>
      </c>
      <c r="AR26" s="1846">
        <v>13646.9</v>
      </c>
      <c r="AS26" s="1709"/>
      <c r="AT26" s="1546"/>
      <c r="AU26" s="1546"/>
      <c r="AV26" s="1546"/>
      <c r="AW26" s="1546"/>
      <c r="AX26" s="1847">
        <v>2699</v>
      </c>
      <c r="AY26" s="1709"/>
      <c r="AZ26" s="1709"/>
      <c r="BA26" s="1709"/>
      <c r="BB26" s="1709"/>
      <c r="BC26" s="222">
        <f t="shared" si="5"/>
        <v>0</v>
      </c>
      <c r="BD26" s="140">
        <f t="shared" si="6"/>
        <v>0</v>
      </c>
      <c r="BE26" s="132"/>
      <c r="BF26" s="140">
        <f t="shared" si="7"/>
        <v>0</v>
      </c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204"/>
      <c r="BR26" s="909">
        <v>30</v>
      </c>
      <c r="BS26" s="141"/>
      <c r="BT26" s="130">
        <f t="shared" si="8"/>
        <v>0</v>
      </c>
      <c r="BU26" s="132"/>
    </row>
    <row r="27" ht="14.25" customHeight="1">
      <c r="A27" s="132"/>
      <c r="B27" s="215">
        <v>46043</v>
      </c>
      <c r="C27" s="900">
        <f>18228.61-D27-0</f>
      </c>
      <c r="D27" s="907">
        <v>3961.69</v>
      </c>
      <c r="E27" s="135"/>
      <c r="F27" s="135"/>
      <c r="G27" s="147">
        <f t="shared" si="0"/>
        <v>0</v>
      </c>
      <c r="H27" s="1053"/>
      <c r="I27" s="905"/>
      <c r="J27" s="1348">
        <v>1206.63</v>
      </c>
      <c r="K27" s="143"/>
      <c r="L27" s="143"/>
      <c r="M27" s="143"/>
      <c r="N27" s="143"/>
      <c r="O27" s="143"/>
      <c r="P27" s="143"/>
      <c r="Q27" s="143"/>
      <c r="R27" s="143"/>
      <c r="S27" s="905"/>
      <c r="T27" s="143"/>
      <c r="U27" s="103">
        <f t="shared" si="1"/>
        <v>0</v>
      </c>
      <c r="V27" s="143"/>
      <c r="W27" s="143"/>
      <c r="X27" s="904"/>
      <c r="Y27" s="143"/>
      <c r="Z27" s="143"/>
      <c r="AA27" s="143"/>
      <c r="AB27" s="143"/>
      <c r="AC27" s="143"/>
      <c r="AD27" s="143"/>
      <c r="AE27" s="143"/>
      <c r="AF27" s="143"/>
      <c r="AG27" s="143"/>
      <c r="AH27" s="103">
        <f t="shared" si="2"/>
        <v>0</v>
      </c>
      <c r="AI27" s="906">
        <v>4537.21</v>
      </c>
      <c r="AJ27" s="907">
        <v>784.35</v>
      </c>
      <c r="AK27" s="136"/>
      <c r="AL27" s="105">
        <f t="shared" si="3"/>
        <v>0</v>
      </c>
      <c r="AM27" s="905"/>
      <c r="AN27" s="143"/>
      <c r="AO27" s="143"/>
      <c r="AP27" s="146"/>
      <c r="AQ27" s="621">
        <f t="shared" si="4"/>
        <v>0</v>
      </c>
      <c r="AR27" s="1848">
        <v>8490.6</v>
      </c>
      <c r="AS27" s="1709"/>
      <c r="AT27" s="1546"/>
      <c r="AU27" s="1546"/>
      <c r="AV27" s="1546"/>
      <c r="AW27" s="1546"/>
      <c r="AX27" s="1849">
        <v>3177</v>
      </c>
      <c r="AY27" s="1709"/>
      <c r="AZ27" s="1709"/>
      <c r="BA27" s="1709"/>
      <c r="BB27" s="1709"/>
      <c r="BC27" s="222">
        <f t="shared" si="5"/>
        <v>0</v>
      </c>
      <c r="BD27" s="140">
        <f t="shared" si="6"/>
        <v>0</v>
      </c>
      <c r="BE27" s="132"/>
      <c r="BF27" s="140">
        <f t="shared" si="7"/>
        <v>0</v>
      </c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204"/>
      <c r="BR27" s="909">
        <v>30</v>
      </c>
      <c r="BS27" s="141"/>
      <c r="BT27" s="130">
        <f t="shared" si="8"/>
        <v>0</v>
      </c>
      <c r="BU27" s="132"/>
    </row>
    <row r="28" ht="14.25" customHeight="1">
      <c r="A28" s="132"/>
      <c r="B28" s="215">
        <v>46044</v>
      </c>
      <c r="C28" s="900">
        <f>21967.28-D28-0</f>
      </c>
      <c r="D28" s="901">
        <v>4327.05</v>
      </c>
      <c r="E28" s="135"/>
      <c r="F28" s="135"/>
      <c r="G28" s="147">
        <f t="shared" si="0"/>
        <v>0</v>
      </c>
      <c r="H28" s="1151"/>
      <c r="I28" s="992">
        <v>265.82</v>
      </c>
      <c r="J28" s="1348">
        <v>1848.73</v>
      </c>
      <c r="K28" s="143"/>
      <c r="L28" s="143"/>
      <c r="M28" s="143"/>
      <c r="N28" s="143"/>
      <c r="O28" s="143"/>
      <c r="P28" s="143"/>
      <c r="Q28" s="143"/>
      <c r="R28" s="143"/>
      <c r="S28" s="905"/>
      <c r="T28" s="143"/>
      <c r="U28" s="103">
        <f t="shared" si="1"/>
        <v>0</v>
      </c>
      <c r="V28" s="143"/>
      <c r="W28" s="143"/>
      <c r="X28" s="992">
        <v>348.58</v>
      </c>
      <c r="Y28" s="143"/>
      <c r="Z28" s="143"/>
      <c r="AA28" s="143"/>
      <c r="AB28" s="143"/>
      <c r="AC28" s="143"/>
      <c r="AD28" s="143"/>
      <c r="AE28" s="143"/>
      <c r="AF28" s="143"/>
      <c r="AG28" s="143"/>
      <c r="AH28" s="103">
        <f t="shared" si="2"/>
        <v>0</v>
      </c>
      <c r="AI28" s="906">
        <v>4268.52</v>
      </c>
      <c r="AJ28" s="907">
        <v>536.25</v>
      </c>
      <c r="AK28" s="136"/>
      <c r="AL28" s="105">
        <f t="shared" si="3"/>
        <v>0</v>
      </c>
      <c r="AM28" s="905"/>
      <c r="AN28" s="143"/>
      <c r="AO28" s="143"/>
      <c r="AP28" s="146"/>
      <c r="AQ28" s="621">
        <f t="shared" si="4"/>
        <v>0</v>
      </c>
      <c r="AR28" s="1848">
        <v>10530</v>
      </c>
      <c r="AS28" s="1709"/>
      <c r="AT28" s="1546"/>
      <c r="AU28" s="1546"/>
      <c r="AV28" s="1546"/>
      <c r="AW28" s="1546"/>
      <c r="AX28" s="1849">
        <v>3790.8</v>
      </c>
      <c r="AY28" s="1709"/>
      <c r="AZ28" s="1709"/>
      <c r="BA28" s="1709"/>
      <c r="BB28" s="1709"/>
      <c r="BC28" s="222">
        <f t="shared" si="5"/>
        <v>0</v>
      </c>
      <c r="BD28" s="140">
        <f t="shared" si="6"/>
        <v>0</v>
      </c>
      <c r="BE28" s="132"/>
      <c r="BF28" s="140">
        <f t="shared" si="7"/>
        <v>0</v>
      </c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1261">
        <v>378</v>
      </c>
      <c r="BS28" s="141"/>
      <c r="BT28" s="130">
        <f t="shared" si="8"/>
        <v>0</v>
      </c>
      <c r="BU28" s="132"/>
    </row>
    <row r="29" ht="14.25" customHeight="1">
      <c r="A29" s="132"/>
      <c r="B29" s="215">
        <v>46045</v>
      </c>
      <c r="C29" s="900">
        <f>23447.29-D29-0</f>
      </c>
      <c r="D29" s="901">
        <v>4927.5</v>
      </c>
      <c r="E29" s="135"/>
      <c r="F29" s="135"/>
      <c r="G29" s="147">
        <f t="shared" si="0"/>
        <v>0</v>
      </c>
      <c r="H29" s="1053"/>
      <c r="I29" s="905"/>
      <c r="J29" s="1348">
        <v>1344.68</v>
      </c>
      <c r="K29" s="143"/>
      <c r="L29" s="143"/>
      <c r="M29" s="143"/>
      <c r="N29" s="143"/>
      <c r="O29" s="143"/>
      <c r="P29" s="143"/>
      <c r="Q29" s="143"/>
      <c r="R29" s="143"/>
      <c r="S29" s="905"/>
      <c r="T29" s="143"/>
      <c r="U29" s="103">
        <f t="shared" si="1"/>
        <v>0</v>
      </c>
      <c r="V29" s="143"/>
      <c r="W29" s="143"/>
      <c r="X29" s="904"/>
      <c r="Y29" s="143"/>
      <c r="Z29" s="143"/>
      <c r="AA29" s="143"/>
      <c r="AB29" s="143"/>
      <c r="AC29" s="143"/>
      <c r="AD29" s="143"/>
      <c r="AE29" s="143"/>
      <c r="AF29" s="143"/>
      <c r="AG29" s="143"/>
      <c r="AH29" s="103">
        <f t="shared" si="2"/>
        <v>0</v>
      </c>
      <c r="AI29" s="906">
        <v>4209.2</v>
      </c>
      <c r="AJ29" s="907">
        <v>900.33</v>
      </c>
      <c r="AK29" s="136"/>
      <c r="AL29" s="105">
        <f t="shared" si="3"/>
        <v>0</v>
      </c>
      <c r="AM29" s="905"/>
      <c r="AN29" s="143"/>
      <c r="AO29" s="143"/>
      <c r="AP29" s="146"/>
      <c r="AQ29" s="621">
        <f t="shared" si="4"/>
        <v>0</v>
      </c>
      <c r="AR29" s="1848">
        <v>12661.2</v>
      </c>
      <c r="AS29" s="1709"/>
      <c r="AT29" s="1546"/>
      <c r="AU29" s="1546"/>
      <c r="AV29" s="1546"/>
      <c r="AW29" s="1546"/>
      <c r="AX29" s="1849">
        <v>4027</v>
      </c>
      <c r="AY29" s="1709"/>
      <c r="AZ29" s="1709"/>
      <c r="BA29" s="1709"/>
      <c r="BB29" s="1709"/>
      <c r="BC29" s="222">
        <f t="shared" si="5"/>
        <v>0</v>
      </c>
      <c r="BD29" s="140">
        <f t="shared" si="6"/>
        <v>0</v>
      </c>
      <c r="BE29" s="132"/>
      <c r="BF29" s="140">
        <f t="shared" si="7"/>
        <v>0</v>
      </c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14"/>
      <c r="BR29" s="1062">
        <v>303</v>
      </c>
      <c r="BS29" s="141"/>
      <c r="BT29" s="130">
        <f t="shared" si="8"/>
        <v>0</v>
      </c>
      <c r="BU29" s="132"/>
    </row>
    <row r="30" ht="14.25" customHeight="1">
      <c r="A30" s="132"/>
      <c r="B30" s="215">
        <v>46046</v>
      </c>
      <c r="C30" s="900">
        <f>19786.58-D30-0</f>
      </c>
      <c r="D30" s="901">
        <v>4209.97</v>
      </c>
      <c r="E30" s="135"/>
      <c r="F30" s="135"/>
      <c r="G30" s="147">
        <f t="shared" si="0"/>
        <v>0</v>
      </c>
      <c r="H30" s="1151"/>
      <c r="I30" s="905"/>
      <c r="J30" s="1350">
        <v>167.48</v>
      </c>
      <c r="K30" s="143"/>
      <c r="L30" s="143"/>
      <c r="M30" s="143"/>
      <c r="N30" s="143"/>
      <c r="O30" s="143"/>
      <c r="P30" s="143"/>
      <c r="Q30" s="143"/>
      <c r="R30" s="143"/>
      <c r="S30" s="904"/>
      <c r="T30" s="143"/>
      <c r="U30" s="103">
        <f t="shared" si="1"/>
        <v>0</v>
      </c>
      <c r="V30" s="143"/>
      <c r="W30" s="143"/>
      <c r="X30" s="905"/>
      <c r="Y30" s="143"/>
      <c r="Z30" s="143"/>
      <c r="AA30" s="143"/>
      <c r="AB30" s="143"/>
      <c r="AC30" s="143"/>
      <c r="AD30" s="143"/>
      <c r="AE30" s="143"/>
      <c r="AF30" s="143"/>
      <c r="AG30" s="143"/>
      <c r="AH30" s="103">
        <f t="shared" si="2"/>
        <v>0</v>
      </c>
      <c r="AI30" s="906">
        <v>4037.31</v>
      </c>
      <c r="AJ30" s="907">
        <v>820.69</v>
      </c>
      <c r="AK30" s="136"/>
      <c r="AL30" s="105">
        <f t="shared" si="3"/>
        <v>0</v>
      </c>
      <c r="AM30" s="905"/>
      <c r="AN30" s="143"/>
      <c r="AO30" s="143"/>
      <c r="AP30" s="146"/>
      <c r="AQ30" s="621">
        <f t="shared" si="4"/>
        <v>0</v>
      </c>
      <c r="AR30" s="1848">
        <v>11339.7</v>
      </c>
      <c r="AS30" s="1709"/>
      <c r="AT30" s="1546"/>
      <c r="AU30" s="1546"/>
      <c r="AV30" s="1546"/>
      <c r="AW30" s="1546"/>
      <c r="AX30" s="1849">
        <v>3389</v>
      </c>
      <c r="AY30" s="1709"/>
      <c r="AZ30" s="1709"/>
      <c r="BA30" s="1709"/>
      <c r="BB30" s="1709"/>
      <c r="BC30" s="222">
        <f t="shared" si="5"/>
        <v>0</v>
      </c>
      <c r="BD30" s="140">
        <f t="shared" si="6"/>
        <v>0</v>
      </c>
      <c r="BE30" s="132"/>
      <c r="BF30" s="140">
        <f t="shared" si="7"/>
        <v>0</v>
      </c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204"/>
      <c r="BR30" s="909">
        <v>30</v>
      </c>
      <c r="BS30" s="141"/>
      <c r="BT30" s="130">
        <f t="shared" si="8"/>
        <v>0</v>
      </c>
      <c r="BU30" s="132"/>
    </row>
    <row r="31" ht="14.25" customHeight="1">
      <c r="A31" s="132"/>
      <c r="B31" s="215">
        <v>46047</v>
      </c>
      <c r="C31" s="906">
        <f>20763.50-D31-0</f>
      </c>
      <c r="D31" s="901">
        <v>4654.76</v>
      </c>
      <c r="E31" s="135"/>
      <c r="F31" s="135"/>
      <c r="G31" s="147">
        <f t="shared" si="0"/>
        <v>0</v>
      </c>
      <c r="H31" s="1053"/>
      <c r="I31" s="905"/>
      <c r="J31" s="1348">
        <v>525.19</v>
      </c>
      <c r="K31" s="143"/>
      <c r="L31" s="143"/>
      <c r="M31" s="143"/>
      <c r="N31" s="143"/>
      <c r="O31" s="143"/>
      <c r="P31" s="143"/>
      <c r="Q31" s="143"/>
      <c r="R31" s="143"/>
      <c r="S31" s="905"/>
      <c r="T31" s="143"/>
      <c r="U31" s="103">
        <f t="shared" si="1"/>
        <v>0</v>
      </c>
      <c r="V31" s="143"/>
      <c r="W31" s="143"/>
      <c r="X31" s="988">
        <v>245.01</v>
      </c>
      <c r="Y31" s="143"/>
      <c r="Z31" s="143"/>
      <c r="AA31" s="143"/>
      <c r="AB31" s="143"/>
      <c r="AC31" s="143"/>
      <c r="AD31" s="143"/>
      <c r="AE31" s="143"/>
      <c r="AF31" s="143"/>
      <c r="AG31" s="143"/>
      <c r="AH31" s="103">
        <f t="shared" si="2"/>
        <v>0</v>
      </c>
      <c r="AI31" s="906">
        <v>3581.54</v>
      </c>
      <c r="AJ31" s="907">
        <v>1000.98</v>
      </c>
      <c r="AK31" s="136"/>
      <c r="AL31" s="105">
        <f t="shared" si="3"/>
        <v>0</v>
      </c>
      <c r="AM31" s="905"/>
      <c r="AN31" s="143"/>
      <c r="AO31" s="143"/>
      <c r="AP31" s="146"/>
      <c r="AQ31" s="621">
        <f t="shared" si="4"/>
        <v>0</v>
      </c>
      <c r="AR31" s="1848">
        <v>11756</v>
      </c>
      <c r="AS31" s="1709"/>
      <c r="AT31" s="1546"/>
      <c r="AU31" s="1546"/>
      <c r="AV31" s="1546"/>
      <c r="AW31" s="1546"/>
      <c r="AX31" s="1849">
        <v>3653.1</v>
      </c>
      <c r="AY31" s="1709"/>
      <c r="AZ31" s="1709"/>
      <c r="BA31" s="1709"/>
      <c r="BB31" s="1709"/>
      <c r="BC31" s="222">
        <f t="shared" si="5"/>
        <v>0</v>
      </c>
      <c r="BD31" s="140">
        <f t="shared" si="6"/>
        <v>0</v>
      </c>
      <c r="BE31" s="132"/>
      <c r="BF31" s="140">
        <f t="shared" si="7"/>
        <v>0</v>
      </c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14"/>
      <c r="BR31" s="909"/>
      <c r="BS31" s="141"/>
      <c r="BT31" s="130">
        <f t="shared" si="8"/>
        <v>0</v>
      </c>
      <c r="BU31" s="132"/>
    </row>
    <row r="32" ht="14.25" customHeight="1">
      <c r="A32" s="132"/>
      <c r="B32" s="215">
        <v>46048</v>
      </c>
      <c r="C32" s="900">
        <f>21339.21-D32-0</f>
      </c>
      <c r="D32" s="901">
        <v>4195.92</v>
      </c>
      <c r="E32" s="135"/>
      <c r="F32" s="135"/>
      <c r="G32" s="147">
        <f t="shared" si="0"/>
        <v>0</v>
      </c>
      <c r="H32" s="1053"/>
      <c r="I32" s="905"/>
      <c r="J32" s="1348">
        <v>788.27</v>
      </c>
      <c r="K32" s="143"/>
      <c r="L32" s="143"/>
      <c r="M32" s="143"/>
      <c r="N32" s="99"/>
      <c r="O32" s="143"/>
      <c r="P32" s="143"/>
      <c r="Q32" s="143"/>
      <c r="R32" s="143"/>
      <c r="S32" s="905">
        <v>172.36</v>
      </c>
      <c r="T32" s="143"/>
      <c r="U32" s="103">
        <f t="shared" si="1"/>
        <v>0</v>
      </c>
      <c r="V32" s="143"/>
      <c r="W32" s="143"/>
      <c r="X32" s="992">
        <v>266.9</v>
      </c>
      <c r="Y32" s="143"/>
      <c r="Z32" s="143"/>
      <c r="AA32" s="143"/>
      <c r="AB32" s="143"/>
      <c r="AC32" s="143"/>
      <c r="AD32" s="143"/>
      <c r="AE32" s="143"/>
      <c r="AF32" s="143"/>
      <c r="AG32" s="143"/>
      <c r="AH32" s="103">
        <f t="shared" si="2"/>
        <v>0</v>
      </c>
      <c r="AI32" s="906">
        <v>5994.61</v>
      </c>
      <c r="AJ32" s="901">
        <v>924.13</v>
      </c>
      <c r="AK32" s="136"/>
      <c r="AL32" s="105">
        <f t="shared" si="3"/>
        <v>0</v>
      </c>
      <c r="AM32" s="905"/>
      <c r="AN32" s="143"/>
      <c r="AO32" s="143"/>
      <c r="AP32" s="146"/>
      <c r="AQ32" s="621">
        <f t="shared" si="4"/>
        <v>0</v>
      </c>
      <c r="AR32" s="1848">
        <v>9890</v>
      </c>
      <c r="AS32" s="1709"/>
      <c r="AT32" s="1546"/>
      <c r="AU32" s="1546"/>
      <c r="AV32" s="1546"/>
      <c r="AW32" s="1546"/>
      <c r="AX32" s="1849">
        <v>3271.5</v>
      </c>
      <c r="AY32" s="1709"/>
      <c r="AZ32" s="1709"/>
      <c r="BA32" s="1709"/>
      <c r="BB32" s="1709"/>
      <c r="BC32" s="222">
        <f t="shared" si="5"/>
        <v>0</v>
      </c>
      <c r="BD32" s="140">
        <f t="shared" si="6"/>
        <v>0</v>
      </c>
      <c r="BE32" s="132"/>
      <c r="BF32" s="140">
        <f t="shared" si="7"/>
        <v>0</v>
      </c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056"/>
      <c r="BR32" s="909">
        <v>30</v>
      </c>
      <c r="BS32" s="141"/>
      <c r="BT32" s="130">
        <f t="shared" si="8"/>
        <v>0</v>
      </c>
      <c r="BU32" s="132"/>
    </row>
    <row r="33" ht="14.25" customHeight="1">
      <c r="A33" s="132"/>
      <c r="B33" s="215">
        <v>46049</v>
      </c>
      <c r="C33" s="900">
        <f>21910.32-D33-0</f>
      </c>
      <c r="D33" s="901">
        <v>4427.84</v>
      </c>
      <c r="E33" s="135"/>
      <c r="F33" s="135"/>
      <c r="G33" s="147">
        <f t="shared" si="0"/>
        <v>0</v>
      </c>
      <c r="H33" s="1151"/>
      <c r="I33" s="905"/>
      <c r="J33" s="1350">
        <v>586.52</v>
      </c>
      <c r="K33" s="143"/>
      <c r="L33" s="143"/>
      <c r="M33" s="143"/>
      <c r="N33" s="143"/>
      <c r="O33" s="143"/>
      <c r="P33" s="143"/>
      <c r="Q33" s="143"/>
      <c r="R33" s="143"/>
      <c r="S33" s="905"/>
      <c r="T33" s="143"/>
      <c r="U33" s="103">
        <f t="shared" si="1"/>
        <v>0</v>
      </c>
      <c r="V33" s="143"/>
      <c r="W33" s="143"/>
      <c r="X33" s="988">
        <v>244.95</v>
      </c>
      <c r="Y33" s="143"/>
      <c r="Z33" s="143"/>
      <c r="AA33" s="143"/>
      <c r="AB33" s="143"/>
      <c r="AC33" s="143"/>
      <c r="AD33" s="143"/>
      <c r="AE33" s="143"/>
      <c r="AF33" s="143"/>
      <c r="AG33" s="143"/>
      <c r="AH33" s="103">
        <f t="shared" si="2"/>
        <v>0</v>
      </c>
      <c r="AI33" s="906">
        <v>6952.01</v>
      </c>
      <c r="AJ33" s="907">
        <v>650.76</v>
      </c>
      <c r="AK33" s="136"/>
      <c r="AL33" s="105">
        <f t="shared" si="3"/>
        <v>0</v>
      </c>
      <c r="AM33" s="905"/>
      <c r="AN33" s="143"/>
      <c r="AO33" s="143"/>
      <c r="AP33" s="146"/>
      <c r="AQ33" s="621">
        <f t="shared" si="4"/>
        <v>0</v>
      </c>
      <c r="AR33" s="1848">
        <v>9393.9</v>
      </c>
      <c r="AS33" s="1709"/>
      <c r="AT33" s="1546"/>
      <c r="AU33" s="1546"/>
      <c r="AV33" s="1546"/>
      <c r="AW33" s="1546"/>
      <c r="AX33" s="1849">
        <v>3777</v>
      </c>
      <c r="AY33" s="1709"/>
      <c r="AZ33" s="1709"/>
      <c r="BA33" s="1709"/>
      <c r="BB33" s="1709"/>
      <c r="BC33" s="222">
        <f t="shared" si="5"/>
        <v>0</v>
      </c>
      <c r="BD33" s="140">
        <f t="shared" si="6"/>
        <v>0</v>
      </c>
      <c r="BE33" s="132"/>
      <c r="BF33" s="140">
        <f t="shared" si="7"/>
        <v>0</v>
      </c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914"/>
      <c r="BR33" s="1062">
        <v>303</v>
      </c>
      <c r="BS33" s="141"/>
      <c r="BT33" s="130">
        <f t="shared" si="8"/>
        <v>0</v>
      </c>
      <c r="BU33" s="132"/>
    </row>
    <row r="34" ht="14.25" customHeight="1">
      <c r="A34" s="132"/>
      <c r="B34" s="215">
        <v>46050</v>
      </c>
      <c r="C34" s="900">
        <f>22725.52-D34-0</f>
      </c>
      <c r="D34" s="901">
        <v>4263.91</v>
      </c>
      <c r="E34" s="135"/>
      <c r="F34" s="135"/>
      <c r="G34" s="147">
        <f t="shared" si="0"/>
        <v>0</v>
      </c>
      <c r="H34" s="1053"/>
      <c r="I34" s="904"/>
      <c r="J34" s="1348">
        <v>3117.97</v>
      </c>
      <c r="K34" s="143"/>
      <c r="L34" s="143"/>
      <c r="M34" s="143"/>
      <c r="N34" s="143"/>
      <c r="O34" s="143"/>
      <c r="P34" s="143"/>
      <c r="Q34" s="143"/>
      <c r="R34" s="143"/>
      <c r="S34" s="905"/>
      <c r="T34" s="143"/>
      <c r="U34" s="103">
        <f t="shared" si="1"/>
        <v>0</v>
      </c>
      <c r="V34" s="143"/>
      <c r="W34" s="143"/>
      <c r="X34" s="905"/>
      <c r="Y34" s="143"/>
      <c r="Z34" s="143"/>
      <c r="AA34" s="143"/>
      <c r="AB34" s="143"/>
      <c r="AC34" s="143"/>
      <c r="AD34" s="143"/>
      <c r="AE34" s="143"/>
      <c r="AF34" s="143"/>
      <c r="AG34" s="143"/>
      <c r="AH34" s="103">
        <f t="shared" si="2"/>
        <v>0</v>
      </c>
      <c r="AI34" s="906">
        <v>6953.97</v>
      </c>
      <c r="AJ34" s="907">
        <v>875.29</v>
      </c>
      <c r="AK34" s="136"/>
      <c r="AL34" s="105">
        <f t="shared" si="3"/>
        <v>0</v>
      </c>
      <c r="AM34" s="905"/>
      <c r="AN34" s="143"/>
      <c r="AO34" s="143"/>
      <c r="AP34" s="146"/>
      <c r="AQ34" s="621">
        <f t="shared" si="4"/>
        <v>0</v>
      </c>
      <c r="AR34" s="1848">
        <v>8358</v>
      </c>
      <c r="AS34" s="1709"/>
      <c r="AT34" s="1546"/>
      <c r="AU34" s="1546"/>
      <c r="AV34" s="1546"/>
      <c r="AW34" s="1546"/>
      <c r="AX34" s="1849">
        <v>3388.1</v>
      </c>
      <c r="AY34" s="1709"/>
      <c r="AZ34" s="1709"/>
      <c r="BA34" s="1709"/>
      <c r="BB34" s="1709"/>
      <c r="BC34" s="222">
        <f t="shared" si="5"/>
        <v>0</v>
      </c>
      <c r="BD34" s="140">
        <f t="shared" si="6"/>
        <v>0</v>
      </c>
      <c r="BE34" s="132"/>
      <c r="BF34" s="140">
        <f t="shared" si="7"/>
        <v>0</v>
      </c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1204"/>
      <c r="BR34" s="909">
        <v>30</v>
      </c>
      <c r="BS34" s="141"/>
      <c r="BT34" s="130">
        <f t="shared" si="8"/>
        <v>0</v>
      </c>
      <c r="BU34" s="132"/>
    </row>
    <row r="35" ht="14.25" customHeight="1">
      <c r="A35" s="132"/>
      <c r="B35" s="215">
        <v>46051</v>
      </c>
      <c r="C35" s="900">
        <f>24730.89-D35-0</f>
      </c>
      <c r="D35" s="901">
        <v>3836.25</v>
      </c>
      <c r="E35" s="135"/>
      <c r="F35" s="135"/>
      <c r="G35" s="147">
        <f t="shared" si="0"/>
        <v>0</v>
      </c>
      <c r="H35" s="1151"/>
      <c r="I35" s="905"/>
      <c r="J35" s="1350">
        <v>1241.08</v>
      </c>
      <c r="K35" s="143"/>
      <c r="L35" s="143"/>
      <c r="M35" s="143"/>
      <c r="N35" s="143"/>
      <c r="O35" s="143"/>
      <c r="P35" s="143"/>
      <c r="Q35" s="143"/>
      <c r="R35" s="143"/>
      <c r="S35" s="905"/>
      <c r="T35" s="143"/>
      <c r="U35" s="103">
        <f t="shared" si="1"/>
        <v>0</v>
      </c>
      <c r="V35" s="143"/>
      <c r="W35" s="143"/>
      <c r="X35" s="988">
        <v>348.52</v>
      </c>
      <c r="Y35" s="143"/>
      <c r="Z35" s="143"/>
      <c r="AA35" s="143"/>
      <c r="AB35" s="143"/>
      <c r="AC35" s="143"/>
      <c r="AD35" s="143"/>
      <c r="AE35" s="143"/>
      <c r="AF35" s="143"/>
      <c r="AG35" s="143"/>
      <c r="AH35" s="103">
        <f t="shared" si="2"/>
        <v>0</v>
      </c>
      <c r="AI35" s="906">
        <v>5068.38</v>
      </c>
      <c r="AJ35" s="907">
        <v>1005</v>
      </c>
      <c r="AK35" s="136"/>
      <c r="AL35" s="105">
        <f t="shared" si="3"/>
        <v>0</v>
      </c>
      <c r="AM35" s="904"/>
      <c r="AN35" s="143"/>
      <c r="AO35" s="143"/>
      <c r="AP35" s="146"/>
      <c r="AQ35" s="621">
        <f t="shared" si="4"/>
        <v>0</v>
      </c>
      <c r="AR35" s="1848">
        <v>14205</v>
      </c>
      <c r="AS35" s="1709"/>
      <c r="AT35" s="1546"/>
      <c r="AU35" s="1546"/>
      <c r="AV35" s="1546"/>
      <c r="AW35" s="1546"/>
      <c r="AX35" s="1849">
        <v>2831</v>
      </c>
      <c r="AY35" s="1709"/>
      <c r="AZ35" s="1709"/>
      <c r="BA35" s="1709"/>
      <c r="BB35" s="1709"/>
      <c r="BC35" s="222">
        <f t="shared" si="5"/>
        <v>0</v>
      </c>
      <c r="BD35" s="140">
        <f t="shared" si="6"/>
        <v>0</v>
      </c>
      <c r="BE35" s="132"/>
      <c r="BF35" s="140">
        <f t="shared" si="7"/>
        <v>0</v>
      </c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1204"/>
      <c r="BR35" s="909">
        <v>30</v>
      </c>
      <c r="BS35" s="141"/>
      <c r="BT35" s="130">
        <f t="shared" si="8"/>
        <v>0</v>
      </c>
      <c r="BU35" s="132"/>
    </row>
    <row r="36" ht="14.25" customHeight="1">
      <c r="A36" s="132"/>
      <c r="B36" s="215">
        <v>46052</v>
      </c>
      <c r="C36" s="900">
        <f>22925.72-D36-0</f>
      </c>
      <c r="D36" s="901">
        <v>5433.76</v>
      </c>
      <c r="E36" s="135"/>
      <c r="F36" s="135"/>
      <c r="G36" s="147">
        <f t="shared" si="0"/>
        <v>0</v>
      </c>
      <c r="H36" s="1053"/>
      <c r="I36" s="905"/>
      <c r="J36" s="1350">
        <v>1009.42</v>
      </c>
      <c r="K36" s="143"/>
      <c r="L36" s="143"/>
      <c r="M36" s="143"/>
      <c r="N36" s="143"/>
      <c r="O36" s="143"/>
      <c r="P36" s="143"/>
      <c r="Q36" s="143"/>
      <c r="R36" s="143"/>
      <c r="S36" s="905"/>
      <c r="T36" s="143"/>
      <c r="U36" s="103">
        <f t="shared" si="1"/>
        <v>0</v>
      </c>
      <c r="V36" s="143"/>
      <c r="W36" s="143"/>
      <c r="X36" s="988">
        <v>221.68</v>
      </c>
      <c r="Y36" s="143"/>
      <c r="Z36" s="143"/>
      <c r="AA36" s="143"/>
      <c r="AB36" s="143"/>
      <c r="AC36" s="143"/>
      <c r="AD36" s="143"/>
      <c r="AE36" s="143"/>
      <c r="AF36" s="143"/>
      <c r="AG36" s="143"/>
      <c r="AH36" s="103">
        <f t="shared" si="2"/>
        <v>0</v>
      </c>
      <c r="AI36" s="906">
        <v>5630.96</v>
      </c>
      <c r="AJ36" s="907">
        <v>1563.59</v>
      </c>
      <c r="AK36" s="136"/>
      <c r="AL36" s="105">
        <f t="shared" si="3"/>
        <v>0</v>
      </c>
      <c r="AM36" s="905"/>
      <c r="AN36" s="143"/>
      <c r="AO36" s="143"/>
      <c r="AP36" s="146"/>
      <c r="AQ36" s="621">
        <f t="shared" si="4"/>
        <v>0</v>
      </c>
      <c r="AR36" s="1848">
        <v>10597.4</v>
      </c>
      <c r="AS36" s="1709"/>
      <c r="AT36" s="1546"/>
      <c r="AU36" s="1546"/>
      <c r="AV36" s="1546"/>
      <c r="AW36" s="1546"/>
      <c r="AX36" s="1849">
        <v>3870</v>
      </c>
      <c r="AY36" s="1709"/>
      <c r="AZ36" s="1709"/>
      <c r="BA36" s="1709"/>
      <c r="BB36" s="1709"/>
      <c r="BC36" s="222">
        <f t="shared" si="5"/>
        <v>0</v>
      </c>
      <c r="BD36" s="140">
        <f t="shared" si="6"/>
        <v>0</v>
      </c>
      <c r="BE36" s="132"/>
      <c r="BF36" s="140">
        <f t="shared" si="7"/>
        <v>0</v>
      </c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1204"/>
      <c r="BR36" s="909">
        <v>30</v>
      </c>
      <c r="BS36" s="141"/>
      <c r="BT36" s="130">
        <f t="shared" si="8"/>
        <v>0</v>
      </c>
      <c r="BU36" s="132"/>
    </row>
    <row r="37" ht="14.25" customHeight="1">
      <c r="A37" s="132"/>
      <c r="B37" s="215">
        <v>46053</v>
      </c>
      <c r="C37" s="918">
        <f>27555.74-D37-0</f>
      </c>
      <c r="D37" s="919">
        <v>4936.27</v>
      </c>
      <c r="E37" s="156"/>
      <c r="F37" s="156"/>
      <c r="G37" s="147">
        <f t="shared" si="0"/>
        <v>0</v>
      </c>
      <c r="H37" s="1153"/>
      <c r="I37" s="923"/>
      <c r="J37" s="1352">
        <v>965.51</v>
      </c>
      <c r="K37" s="157"/>
      <c r="L37" s="157"/>
      <c r="M37" s="157"/>
      <c r="N37" s="157"/>
      <c r="O37" s="157"/>
      <c r="P37" s="157"/>
      <c r="Q37" s="157"/>
      <c r="R37" s="157"/>
      <c r="S37" s="923"/>
      <c r="T37" s="157"/>
      <c r="U37" s="103">
        <f t="shared" si="1"/>
        <v>0</v>
      </c>
      <c r="V37" s="157"/>
      <c r="W37" s="157"/>
      <c r="X37" s="1353"/>
      <c r="Y37" s="157"/>
      <c r="Z37" s="157"/>
      <c r="AA37" s="157"/>
      <c r="AB37" s="157"/>
      <c r="AC37" s="157"/>
      <c r="AD37" s="157"/>
      <c r="AE37" s="157"/>
      <c r="AF37" s="157"/>
      <c r="AG37" s="157"/>
      <c r="AH37" s="103">
        <f t="shared" si="2"/>
        <v>0</v>
      </c>
      <c r="AI37" s="924">
        <v>7884.88</v>
      </c>
      <c r="AJ37" s="925">
        <v>1159.7</v>
      </c>
      <c r="AK37" s="159"/>
      <c r="AL37" s="105">
        <f t="shared" si="3"/>
        <v>0</v>
      </c>
      <c r="AM37" s="923"/>
      <c r="AN37" s="157"/>
      <c r="AO37" s="157"/>
      <c r="AP37" s="160"/>
      <c r="AQ37" s="621">
        <f t="shared" si="4"/>
        <v>0</v>
      </c>
      <c r="AR37" s="1850">
        <v>13738.1</v>
      </c>
      <c r="AS37" s="1720"/>
      <c r="AT37" s="1557"/>
      <c r="AU37" s="1557"/>
      <c r="AV37" s="1546"/>
      <c r="AW37" s="1546"/>
      <c r="AX37" s="1849">
        <v>3776</v>
      </c>
      <c r="AY37" s="1720"/>
      <c r="AZ37" s="1720"/>
      <c r="BA37" s="1720"/>
      <c r="BB37" s="1720"/>
      <c r="BC37" s="222">
        <f t="shared" si="5"/>
        <v>0</v>
      </c>
      <c r="BD37" s="162">
        <f t="shared" si="6"/>
        <v>0</v>
      </c>
      <c r="BE37" s="132"/>
      <c r="BF37" s="162">
        <f t="shared" si="7"/>
        <v>0</v>
      </c>
      <c r="BG37" s="163"/>
      <c r="BH37" s="163"/>
      <c r="BI37" s="163"/>
      <c r="BJ37" s="163"/>
      <c r="BK37" s="163"/>
      <c r="BL37" s="163"/>
      <c r="BM37" s="163"/>
      <c r="BN37" s="163"/>
      <c r="BO37" s="163"/>
      <c r="BP37" s="141"/>
      <c r="BQ37" s="1204"/>
      <c r="BR37" s="927">
        <v>30</v>
      </c>
      <c r="BS37" s="163"/>
      <c r="BT37" s="164">
        <f t="shared" si="8"/>
        <v>0</v>
      </c>
      <c r="BU37" s="132"/>
    </row>
    <row r="38" ht="14.25" customHeight="1">
      <c r="A38" s="3"/>
      <c r="B38" s="2" t="s">
        <v>186</v>
      </c>
      <c r="C38" s="166">
        <f ref="C38:R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/>
      <c r="T38" s="166">
        <f ref="T38:BD38" t="shared" si="10">SUM(T7:T37)</f>
        <v>0</v>
      </c>
      <c r="U38" s="166">
        <f t="shared" si="10"/>
        <v>0</v>
      </c>
      <c r="V38" s="166">
        <f t="shared" si="10"/>
        <v>0</v>
      </c>
      <c r="W38" s="166">
        <f t="shared" si="10"/>
        <v>0</v>
      </c>
      <c r="X38" s="166">
        <f t="shared" si="10"/>
        <v>0</v>
      </c>
      <c r="Y38" s="166">
        <f t="shared" si="10"/>
        <v>0</v>
      </c>
      <c r="Z38" s="166">
        <f t="shared" si="10"/>
        <v>0</v>
      </c>
      <c r="AA38" s="166">
        <f t="shared" si="10"/>
        <v>0</v>
      </c>
      <c r="AB38" s="166">
        <f t="shared" si="10"/>
        <v>0</v>
      </c>
      <c r="AC38" s="166">
        <f t="shared" si="10"/>
        <v>0</v>
      </c>
      <c r="AD38" s="166">
        <f t="shared" si="10"/>
        <v>0</v>
      </c>
      <c r="AE38" s="166">
        <f t="shared" si="10"/>
        <v>0</v>
      </c>
      <c r="AF38" s="166">
        <f t="shared" si="10"/>
        <v>0</v>
      </c>
      <c r="AG38" s="166">
        <f t="shared" si="10"/>
        <v>0</v>
      </c>
      <c r="AH38" s="166">
        <f t="shared" si="10"/>
        <v>0</v>
      </c>
      <c r="AI38" s="166">
        <f t="shared" si="10"/>
        <v>0</v>
      </c>
      <c r="AJ38" s="166">
        <f t="shared" si="10"/>
        <v>0</v>
      </c>
      <c r="AK38" s="166">
        <f t="shared" si="10"/>
        <v>0</v>
      </c>
      <c r="AL38" s="166">
        <f t="shared" si="10"/>
        <v>0</v>
      </c>
      <c r="AM38" s="166">
        <f t="shared" si="10"/>
        <v>0</v>
      </c>
      <c r="AN38" s="166">
        <f t="shared" si="10"/>
        <v>0</v>
      </c>
      <c r="AO38" s="166">
        <f t="shared" si="10"/>
        <v>0</v>
      </c>
      <c r="AP38" s="166">
        <f t="shared" si="10"/>
        <v>0</v>
      </c>
      <c r="AQ38" s="166">
        <f t="shared" si="10"/>
        <v>0</v>
      </c>
      <c r="AR38" s="166">
        <f t="shared" si="10"/>
        <v>0</v>
      </c>
      <c r="AS38" s="166">
        <f t="shared" si="10"/>
        <v>0</v>
      </c>
      <c r="AT38" s="166">
        <f t="shared" si="10"/>
        <v>0</v>
      </c>
      <c r="AU38" s="166">
        <f t="shared" si="10"/>
        <v>0</v>
      </c>
      <c r="AV38" s="166">
        <f t="shared" si="10"/>
        <v>0</v>
      </c>
      <c r="AW38" s="166">
        <f t="shared" si="10"/>
        <v>0</v>
      </c>
      <c r="AX38" s="166">
        <f t="shared" si="10"/>
        <v>0</v>
      </c>
      <c r="AY38" s="166">
        <f t="shared" si="10"/>
        <v>0</v>
      </c>
      <c r="AZ38" s="166">
        <f t="shared" si="10"/>
        <v>0</v>
      </c>
      <c r="BA38" s="166">
        <f t="shared" si="10"/>
        <v>0</v>
      </c>
      <c r="BB38" s="166">
        <f t="shared" si="10"/>
        <v>0</v>
      </c>
      <c r="BC38" s="166">
        <f t="shared" si="10"/>
        <v>0</v>
      </c>
      <c r="BD38" s="166">
        <f t="shared" si="10"/>
        <v>0</v>
      </c>
      <c r="BE38" s="3"/>
      <c r="BF38" s="172">
        <f>SUM(BF7:BF37)</f>
        <v>0</v>
      </c>
      <c r="BG38" s="165">
        <f ref="BG38:BT38" t="shared" si="11">SUM(BG13:BG37)</f>
        <v>0</v>
      </c>
      <c r="BH38" s="165">
        <f t="shared" si="11"/>
        <v>0</v>
      </c>
      <c r="BI38" s="165">
        <f t="shared" si="11"/>
        <v>0</v>
      </c>
      <c r="BJ38" s="165">
        <f t="shared" si="11"/>
        <v>0</v>
      </c>
      <c r="BK38" s="165">
        <f t="shared" si="11"/>
        <v>0</v>
      </c>
      <c r="BL38" s="165">
        <f t="shared" si="11"/>
        <v>0</v>
      </c>
      <c r="BM38" s="165">
        <f t="shared" si="11"/>
        <v>0</v>
      </c>
      <c r="BN38" s="165">
        <f t="shared" si="11"/>
        <v>0</v>
      </c>
      <c r="BO38" s="165">
        <f t="shared" si="11"/>
        <v>0</v>
      </c>
      <c r="BP38" s="165">
        <f t="shared" si="11"/>
        <v>0</v>
      </c>
      <c r="BQ38" s="165">
        <f t="shared" si="11"/>
        <v>0</v>
      </c>
      <c r="BR38" s="165">
        <f t="shared" si="11"/>
        <v>0</v>
      </c>
      <c r="BS38" s="165">
        <f t="shared" si="11"/>
        <v>0</v>
      </c>
      <c r="BT38" s="165">
        <f t="shared" si="11"/>
        <v>0</v>
      </c>
      <c r="BU38" s="3"/>
    </row>
    <row r="39" ht="14.25" customHeight="1">
      <c r="A39" s="3"/>
      <c r="B39" s="174"/>
      <c r="C39" s="3"/>
      <c r="D39" s="3"/>
      <c r="E39" s="3"/>
      <c r="F39" s="3"/>
      <c r="G39" s="133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7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4"/>
      <c r="AM39" s="3"/>
      <c r="AN39" s="3"/>
      <c r="AO39" s="3"/>
      <c r="AP39" s="3"/>
      <c r="AQ39" s="4"/>
      <c r="AR39" s="132"/>
      <c r="AS39" s="132"/>
      <c r="AT39" s="132"/>
      <c r="AU39" s="3"/>
      <c r="AV39" s="3"/>
      <c r="AW39" s="3"/>
      <c r="AX39" s="132"/>
      <c r="AY39" s="132"/>
      <c r="AZ39" s="132"/>
      <c r="BA39" s="132"/>
      <c r="BB39" s="132"/>
      <c r="BC39" s="4"/>
      <c r="BD39" s="3"/>
      <c r="BE39" s="3"/>
      <c r="BF39" s="17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ht="14.25" customHeight="1">
      <c r="A40" s="3"/>
      <c r="B40" s="174"/>
      <c r="C40" s="3"/>
      <c r="D40" s="3"/>
      <c r="E40" s="3"/>
      <c r="F40" s="3"/>
      <c r="G40" s="133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7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176"/>
      <c r="AI40" s="3"/>
      <c r="AJ40" s="3"/>
      <c r="AK40" s="3"/>
      <c r="AL40" s="4"/>
      <c r="AM40" s="3"/>
      <c r="AN40" s="3"/>
      <c r="AO40" s="3"/>
      <c r="AP40" s="3"/>
      <c r="AQ40" s="4"/>
      <c r="AR40" s="132"/>
      <c r="AS40" s="132"/>
      <c r="AT40" s="132"/>
      <c r="AU40" s="3"/>
      <c r="AV40" s="3"/>
      <c r="AW40" s="3"/>
      <c r="AX40" s="132"/>
      <c r="AY40" s="132"/>
      <c r="AZ40" s="132"/>
      <c r="BA40" s="132"/>
      <c r="BB40" s="132"/>
      <c r="BC40" s="177"/>
      <c r="BD40" s="3"/>
      <c r="BE40" s="3"/>
      <c r="BF40" s="178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ht="14.25" customHeight="1">
      <c r="A41" s="3"/>
      <c r="B41" s="215">
        <v>46054</v>
      </c>
      <c r="C41" s="94">
        <f>24069.53-D41-0</f>
      </c>
      <c r="D41" s="95">
        <v>3801.58</v>
      </c>
      <c r="E41" s="97"/>
      <c r="F41" s="97"/>
      <c r="G41" s="216">
        <f ref="G41:G69" t="shared" si="12">+C41+D41+E41+F41</f>
        <v>0</v>
      </c>
      <c r="H41" s="187"/>
      <c r="I41" s="186"/>
      <c r="J41" s="188">
        <v>2898</v>
      </c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9">
        <f ref="U41:U69" t="shared" si="13">SUM(H41:T41)</f>
        <v>0</v>
      </c>
      <c r="V41" s="186"/>
      <c r="W41" s="186"/>
      <c r="X41" s="188">
        <v>115.38</v>
      </c>
      <c r="Y41" s="186"/>
      <c r="Z41" s="186"/>
      <c r="AA41" s="186"/>
      <c r="AB41" s="186"/>
      <c r="AC41" s="186"/>
      <c r="AD41" s="186"/>
      <c r="AE41" s="186"/>
      <c r="AF41" s="186"/>
      <c r="AG41" s="186"/>
      <c r="AH41" s="103">
        <f ref="AH41:AH69" t="shared" si="14">SUM(V41:AG41)</f>
        <v>0</v>
      </c>
      <c r="AI41" s="95">
        <v>4114.91</v>
      </c>
      <c r="AJ41" s="95">
        <v>705.38</v>
      </c>
      <c r="AK41" s="104"/>
      <c r="AL41" s="191">
        <f ref="AL41:AL69" t="shared" si="15">SUM(AI41:AK41)</f>
        <v>0</v>
      </c>
      <c r="AM41" s="186"/>
      <c r="AN41" s="186"/>
      <c r="AO41" s="186"/>
      <c r="AP41" s="193"/>
      <c r="AQ41" s="620">
        <f ref="AQ41:AQ69" t="shared" si="16">+G41-U41-AH41-AL41-AM41-AN41-AO41-AP41</f>
        <v>0</v>
      </c>
      <c r="AR41" s="1617">
        <v>13138</v>
      </c>
      <c r="AS41" s="1851"/>
      <c r="AT41" s="1852"/>
      <c r="AU41" s="1618"/>
      <c r="AV41" s="1851"/>
      <c r="AW41" s="1851"/>
      <c r="AX41" s="1721">
        <v>3096</v>
      </c>
      <c r="AY41" s="1708"/>
      <c r="AZ41" s="1708"/>
      <c r="BA41" s="1708"/>
      <c r="BB41" s="1708"/>
      <c r="BC41" s="222">
        <f ref="BC41:BC69" t="shared" si="17">SUM(AR41:BB41)-BA41</f>
        <v>0</v>
      </c>
      <c r="BD41" s="114">
        <f ref="BD41:BD69" t="shared" si="18">+AQ41-BC41</f>
        <v>0</v>
      </c>
      <c r="BE41" s="3"/>
      <c r="BF41" s="114">
        <f ref="BF41:BF69" t="shared" si="19">SUM(BG41:BS41)</f>
        <v>0</v>
      </c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ref="BT41:BT69" t="shared" si="20">+BD41-BF41</f>
        <v>0</v>
      </c>
      <c r="BU41" s="3"/>
    </row>
    <row r="42" ht="14.25" customHeight="1">
      <c r="A42" s="3"/>
      <c r="B42" s="215">
        <v>46055</v>
      </c>
      <c r="C42" s="118">
        <f>17945.60-D42-0</f>
      </c>
      <c r="D42" s="119">
        <v>3393.33</v>
      </c>
      <c r="E42" s="120"/>
      <c r="F42" s="120"/>
      <c r="G42" s="147">
        <f t="shared" si="12"/>
        <v>0</v>
      </c>
      <c r="H42" s="144"/>
      <c r="I42" s="143"/>
      <c r="J42" s="145">
        <v>975.68</v>
      </c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03">
        <f t="shared" si="13"/>
        <v>0</v>
      </c>
      <c r="V42" s="143"/>
      <c r="W42" s="143"/>
      <c r="X42" s="145">
        <v>232.17</v>
      </c>
      <c r="Y42" s="143"/>
      <c r="Z42" s="143"/>
      <c r="AA42" s="143"/>
      <c r="AB42" s="143"/>
      <c r="AC42" s="143"/>
      <c r="AD42" s="143"/>
      <c r="AE42" s="143"/>
      <c r="AF42" s="143"/>
      <c r="AG42" s="143"/>
      <c r="AH42" s="103">
        <f t="shared" si="14"/>
        <v>0</v>
      </c>
      <c r="AI42" s="119">
        <v>3272.88</v>
      </c>
      <c r="AJ42" s="119">
        <v>744.21</v>
      </c>
      <c r="AK42" s="123"/>
      <c r="AL42" s="105">
        <f t="shared" si="15"/>
        <v>0</v>
      </c>
      <c r="AM42" s="143"/>
      <c r="AN42" s="143"/>
      <c r="AO42" s="143"/>
      <c r="AP42" s="146"/>
      <c r="AQ42" s="621">
        <f t="shared" si="16"/>
        <v>0</v>
      </c>
      <c r="AR42" s="1853">
        <v>10039.9</v>
      </c>
      <c r="AS42" s="1854"/>
      <c r="AT42" s="1619"/>
      <c r="AU42" s="1621"/>
      <c r="AV42" s="1854"/>
      <c r="AW42" s="1854"/>
      <c r="AX42" s="1554">
        <v>2649</v>
      </c>
      <c r="AY42" s="1709"/>
      <c r="AZ42" s="1709"/>
      <c r="BA42" s="1709"/>
      <c r="BB42" s="1709"/>
      <c r="BC42" s="222">
        <f t="shared" si="17"/>
        <v>0</v>
      </c>
      <c r="BD42" s="113">
        <f t="shared" si="18"/>
        <v>0</v>
      </c>
      <c r="BE42" s="3"/>
      <c r="BF42" s="113">
        <f t="shared" si="19"/>
        <v>0</v>
      </c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31"/>
      <c r="BR42" s="129">
        <v>30</v>
      </c>
      <c r="BS42" s="129"/>
      <c r="BT42" s="130">
        <f t="shared" si="20"/>
        <v>0</v>
      </c>
      <c r="BU42" s="3"/>
    </row>
    <row r="43" ht="14.25" customHeight="1">
      <c r="A43" s="3"/>
      <c r="B43" s="215">
        <v>46056</v>
      </c>
      <c r="C43" s="118">
        <f>22496.76-D43-0</f>
      </c>
      <c r="D43" s="119">
        <v>4282.65</v>
      </c>
      <c r="E43" s="120"/>
      <c r="F43" s="120"/>
      <c r="G43" s="147">
        <f t="shared" si="12"/>
        <v>0</v>
      </c>
      <c r="H43" s="144"/>
      <c r="I43" s="143"/>
      <c r="J43" s="143">
        <v>1250.11</v>
      </c>
      <c r="K43" s="143"/>
      <c r="L43" s="143"/>
      <c r="M43" s="143"/>
      <c r="N43" s="143"/>
      <c r="O43" s="143"/>
      <c r="P43" s="143"/>
      <c r="Q43" s="143"/>
      <c r="R43" s="143"/>
      <c r="S43" s="145">
        <v>65.45</v>
      </c>
      <c r="T43" s="143"/>
      <c r="U43" s="103">
        <f t="shared" si="13"/>
        <v>0</v>
      </c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03">
        <f t="shared" si="14"/>
        <v>0</v>
      </c>
      <c r="AI43" s="119">
        <v>5242.23</v>
      </c>
      <c r="AJ43" s="119">
        <v>751.62</v>
      </c>
      <c r="AK43" s="123"/>
      <c r="AL43" s="105">
        <f t="shared" si="15"/>
        <v>0</v>
      </c>
      <c r="AM43" s="143"/>
      <c r="AN43" s="143"/>
      <c r="AO43" s="143"/>
      <c r="AP43" s="146"/>
      <c r="AQ43" s="621">
        <f t="shared" si="16"/>
        <v>0</v>
      </c>
      <c r="AR43" s="1853">
        <v>11352</v>
      </c>
      <c r="AS43" s="1854"/>
      <c r="AT43" s="1619"/>
      <c r="AU43" s="1621"/>
      <c r="AV43" s="1854"/>
      <c r="AW43" s="1854"/>
      <c r="AX43" s="1554">
        <v>3531</v>
      </c>
      <c r="AY43" s="1709"/>
      <c r="AZ43" s="1709"/>
      <c r="BA43" s="1709"/>
      <c r="BB43" s="1709"/>
      <c r="BC43" s="222">
        <f t="shared" si="17"/>
        <v>0</v>
      </c>
      <c r="BD43" s="113">
        <f t="shared" si="18"/>
        <v>0</v>
      </c>
      <c r="BE43" s="3"/>
      <c r="BF43" s="113">
        <f t="shared" si="19"/>
        <v>0</v>
      </c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31">
        <v>303</v>
      </c>
      <c r="BS43" s="129"/>
      <c r="BT43" s="130">
        <f t="shared" si="20"/>
        <v>0</v>
      </c>
      <c r="BU43" s="3"/>
    </row>
    <row r="44" ht="14.25" customHeight="1">
      <c r="A44" s="3"/>
      <c r="B44" s="215">
        <v>46057</v>
      </c>
      <c r="C44" s="118">
        <f>18988.13-D44-0</f>
      </c>
      <c r="D44" s="119">
        <v>3557.02</v>
      </c>
      <c r="E44" s="120"/>
      <c r="F44" s="120"/>
      <c r="G44" s="147">
        <f t="shared" si="12"/>
        <v>0</v>
      </c>
      <c r="H44" s="144"/>
      <c r="I44" s="143"/>
      <c r="J44" s="145">
        <v>2013.22</v>
      </c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03">
        <f t="shared" si="13"/>
        <v>0</v>
      </c>
      <c r="V44" s="143"/>
      <c r="W44" s="143"/>
      <c r="X44" s="145">
        <v>348.33</v>
      </c>
      <c r="Y44" s="143"/>
      <c r="Z44" s="143"/>
      <c r="AA44" s="143"/>
      <c r="AB44" s="143"/>
      <c r="AC44" s="143"/>
      <c r="AD44" s="143"/>
      <c r="AE44" s="143"/>
      <c r="AF44" s="143"/>
      <c r="AG44" s="143"/>
      <c r="AH44" s="103">
        <f t="shared" si="14"/>
        <v>0</v>
      </c>
      <c r="AI44" s="119">
        <v>4348.67</v>
      </c>
      <c r="AJ44" s="1354">
        <v>1003.72</v>
      </c>
      <c r="AK44" s="123"/>
      <c r="AL44" s="105">
        <f t="shared" si="15"/>
        <v>0</v>
      </c>
      <c r="AM44" s="143"/>
      <c r="AN44" s="143"/>
      <c r="AO44" s="143"/>
      <c r="AP44" s="146"/>
      <c r="AQ44" s="621">
        <f t="shared" si="16"/>
        <v>0</v>
      </c>
      <c r="AR44" s="1853">
        <v>8690</v>
      </c>
      <c r="AS44" s="1854"/>
      <c r="AT44" s="1619"/>
      <c r="AU44" s="1621"/>
      <c r="AV44" s="1854"/>
      <c r="AW44" s="1854"/>
      <c r="AX44" s="1554">
        <v>2553</v>
      </c>
      <c r="AY44" s="1709"/>
      <c r="AZ44" s="1709"/>
      <c r="BA44" s="1709"/>
      <c r="BB44" s="1709"/>
      <c r="BC44" s="222">
        <f t="shared" si="17"/>
        <v>0</v>
      </c>
      <c r="BD44" s="113">
        <f t="shared" si="18"/>
        <v>0</v>
      </c>
      <c r="BE44" s="3"/>
      <c r="BF44" s="113">
        <f t="shared" si="19"/>
        <v>0</v>
      </c>
      <c r="BG44" s="129"/>
      <c r="BH44" s="129"/>
      <c r="BI44" s="129"/>
      <c r="BJ44" s="129"/>
      <c r="BK44" s="129"/>
      <c r="BL44" s="129"/>
      <c r="BM44" s="129"/>
      <c r="BN44" s="129"/>
      <c r="BO44" s="129"/>
      <c r="BP44" s="129"/>
      <c r="BQ44" s="131"/>
      <c r="BR44" s="129">
        <v>30</v>
      </c>
      <c r="BS44" s="129"/>
      <c r="BT44" s="130">
        <f t="shared" si="20"/>
        <v>0</v>
      </c>
      <c r="BU44" s="3"/>
    </row>
    <row r="45" ht="14.25" customHeight="1">
      <c r="A45" s="3"/>
      <c r="B45" s="215">
        <v>46058</v>
      </c>
      <c r="C45" s="118">
        <f>19571.74-D45-0</f>
      </c>
      <c r="D45" s="119">
        <v>4156.82</v>
      </c>
      <c r="E45" s="120"/>
      <c r="F45" s="120"/>
      <c r="G45" s="147">
        <f t="shared" si="12"/>
        <v>0</v>
      </c>
      <c r="H45" s="144"/>
      <c r="I45" s="145">
        <v>198.69</v>
      </c>
      <c r="J45" s="145">
        <v>465.77</v>
      </c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03">
        <f t="shared" si="13"/>
        <v>0</v>
      </c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03">
        <f t="shared" si="14"/>
        <v>0</v>
      </c>
      <c r="AI45" s="119">
        <v>4091.94</v>
      </c>
      <c r="AJ45" s="119">
        <v>840.91</v>
      </c>
      <c r="AK45" s="123"/>
      <c r="AL45" s="105">
        <f t="shared" si="15"/>
        <v>0</v>
      </c>
      <c r="AM45" s="143"/>
      <c r="AN45" s="143"/>
      <c r="AO45" s="143"/>
      <c r="AP45" s="146"/>
      <c r="AQ45" s="621">
        <f t="shared" si="16"/>
        <v>0</v>
      </c>
      <c r="AR45" s="1853">
        <v>10626</v>
      </c>
      <c r="AS45" s="1854"/>
      <c r="AT45" s="1619"/>
      <c r="AU45" s="1621"/>
      <c r="AV45" s="1854"/>
      <c r="AW45" s="1854"/>
      <c r="AX45" s="1554">
        <v>3315.8</v>
      </c>
      <c r="AY45" s="1709"/>
      <c r="AZ45" s="1709"/>
      <c r="BA45" s="1709"/>
      <c r="BB45" s="1709"/>
      <c r="BC45" s="222">
        <f t="shared" si="17"/>
        <v>0</v>
      </c>
      <c r="BD45" s="113">
        <f t="shared" si="18"/>
        <v>0</v>
      </c>
      <c r="BE45" s="3"/>
      <c r="BF45" s="113">
        <f t="shared" si="19"/>
        <v>0</v>
      </c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31"/>
      <c r="BR45" s="129">
        <v>30</v>
      </c>
      <c r="BS45" s="129"/>
      <c r="BT45" s="130">
        <f t="shared" si="20"/>
        <v>0</v>
      </c>
      <c r="BU45" s="3"/>
    </row>
    <row r="46" ht="14.25" customHeight="1">
      <c r="A46" s="132"/>
      <c r="B46" s="215">
        <v>46059</v>
      </c>
      <c r="C46" s="133">
        <f>19939.85-D46-0</f>
      </c>
      <c r="D46" s="134">
        <v>3967.3</v>
      </c>
      <c r="E46" s="135"/>
      <c r="F46" s="135"/>
      <c r="G46" s="147">
        <f t="shared" si="12"/>
        <v>0</v>
      </c>
      <c r="H46" s="144"/>
      <c r="I46" s="143"/>
      <c r="J46" s="145">
        <v>815.64</v>
      </c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03">
        <f t="shared" si="13"/>
        <v>0</v>
      </c>
      <c r="V46" s="143"/>
      <c r="W46" s="143"/>
      <c r="X46" s="145">
        <v>228.32</v>
      </c>
      <c r="Y46" s="143"/>
      <c r="Z46" s="143"/>
      <c r="AA46" s="143"/>
      <c r="AB46" s="143"/>
      <c r="AC46" s="143"/>
      <c r="AD46" s="143"/>
      <c r="AE46" s="143"/>
      <c r="AF46" s="143"/>
      <c r="AG46" s="143"/>
      <c r="AH46" s="103">
        <f t="shared" si="14"/>
        <v>0</v>
      </c>
      <c r="AI46" s="134">
        <v>3663.43</v>
      </c>
      <c r="AJ46" s="134">
        <v>560.67</v>
      </c>
      <c r="AK46" s="136"/>
      <c r="AL46" s="105">
        <f t="shared" si="15"/>
        <v>0</v>
      </c>
      <c r="AM46" s="143"/>
      <c r="AN46" s="143"/>
      <c r="AO46" s="143"/>
      <c r="AP46" s="146"/>
      <c r="AQ46" s="621">
        <f t="shared" si="16"/>
        <v>0</v>
      </c>
      <c r="AR46" s="1554">
        <v>11233</v>
      </c>
      <c r="AS46" s="1709"/>
      <c r="AT46" s="1548"/>
      <c r="AU46" s="1546"/>
      <c r="AV46" s="1709"/>
      <c r="AW46" s="1709"/>
      <c r="AX46" s="1554">
        <v>3406.2</v>
      </c>
      <c r="AY46" s="1709"/>
      <c r="AZ46" s="1709"/>
      <c r="BA46" s="1709"/>
      <c r="BB46" s="1709"/>
      <c r="BC46" s="222">
        <f t="shared" si="17"/>
        <v>0</v>
      </c>
      <c r="BD46" s="140">
        <f t="shared" si="18"/>
        <v>0</v>
      </c>
      <c r="BE46" s="132"/>
      <c r="BF46" s="140">
        <f t="shared" si="19"/>
        <v>0</v>
      </c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50"/>
      <c r="BR46" s="141">
        <v>30</v>
      </c>
      <c r="BS46" s="141"/>
      <c r="BT46" s="130">
        <f t="shared" si="20"/>
        <v>0</v>
      </c>
      <c r="BU46" s="132"/>
    </row>
    <row r="47" ht="14.25" customHeight="1">
      <c r="A47" s="132"/>
      <c r="B47" s="215">
        <v>46060</v>
      </c>
      <c r="C47" s="133">
        <f>22587.74-D47-0</f>
      </c>
      <c r="D47" s="134">
        <v>5276.06</v>
      </c>
      <c r="E47" s="135"/>
      <c r="F47" s="135"/>
      <c r="G47" s="147">
        <f t="shared" si="12"/>
        <v>0</v>
      </c>
      <c r="H47" s="144"/>
      <c r="I47" s="143"/>
      <c r="J47" s="145">
        <v>1674.27</v>
      </c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03">
        <f t="shared" si="13"/>
        <v>0</v>
      </c>
      <c r="V47" s="143"/>
      <c r="W47" s="143"/>
      <c r="X47" s="145">
        <v>126.61</v>
      </c>
      <c r="Y47" s="143"/>
      <c r="Z47" s="143"/>
      <c r="AA47" s="143"/>
      <c r="AB47" s="143"/>
      <c r="AC47" s="143"/>
      <c r="AD47" s="143"/>
      <c r="AE47" s="143"/>
      <c r="AF47" s="143"/>
      <c r="AG47" s="143"/>
      <c r="AH47" s="103">
        <f t="shared" si="14"/>
        <v>0</v>
      </c>
      <c r="AI47" s="134">
        <v>4835.74</v>
      </c>
      <c r="AJ47" s="134">
        <v>1182.14</v>
      </c>
      <c r="AK47" s="136"/>
      <c r="AL47" s="105">
        <f t="shared" si="15"/>
        <v>0</v>
      </c>
      <c r="AM47" s="143"/>
      <c r="AN47" s="143"/>
      <c r="AO47" s="143"/>
      <c r="AP47" s="146"/>
      <c r="AQ47" s="621">
        <f t="shared" si="16"/>
        <v>0</v>
      </c>
      <c r="AR47" s="1554">
        <v>10371</v>
      </c>
      <c r="AS47" s="1709"/>
      <c r="AT47" s="1548"/>
      <c r="AU47" s="1546"/>
      <c r="AV47" s="1709"/>
      <c r="AW47" s="1709"/>
      <c r="AX47" s="1554">
        <v>4093.7</v>
      </c>
      <c r="AY47" s="1709"/>
      <c r="AZ47" s="1709"/>
      <c r="BA47" s="1709"/>
      <c r="BB47" s="1709"/>
      <c r="BC47" s="222">
        <f t="shared" si="17"/>
        <v>0</v>
      </c>
      <c r="BD47" s="140">
        <f t="shared" si="18"/>
        <v>0</v>
      </c>
      <c r="BE47" s="132"/>
      <c r="BF47" s="140">
        <f t="shared" si="19"/>
        <v>0</v>
      </c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50">
        <v>303</v>
      </c>
      <c r="BS47" s="141"/>
      <c r="BT47" s="130">
        <f t="shared" si="20"/>
        <v>0</v>
      </c>
      <c r="BU47" s="132"/>
    </row>
    <row r="48" ht="14.25" customHeight="1">
      <c r="A48" s="132"/>
      <c r="B48" s="215">
        <v>46061</v>
      </c>
      <c r="C48" s="133">
        <f>19003.85-D48-0</f>
      </c>
      <c r="D48" s="134">
        <v>4091.77</v>
      </c>
      <c r="E48" s="135"/>
      <c r="F48" s="135"/>
      <c r="G48" s="147">
        <f t="shared" si="12"/>
        <v>0</v>
      </c>
      <c r="H48" s="144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03">
        <f t="shared" si="13"/>
        <v>0</v>
      </c>
      <c r="V48" s="143"/>
      <c r="W48" s="143"/>
      <c r="X48" s="145"/>
      <c r="Y48" s="143"/>
      <c r="Z48" s="143"/>
      <c r="AA48" s="143"/>
      <c r="AB48" s="143"/>
      <c r="AC48" s="143"/>
      <c r="AD48" s="143"/>
      <c r="AE48" s="143"/>
      <c r="AF48" s="143"/>
      <c r="AG48" s="143"/>
      <c r="AH48" s="103">
        <f t="shared" si="14"/>
        <v>0</v>
      </c>
      <c r="AI48" s="134">
        <v>3631.31</v>
      </c>
      <c r="AJ48" s="134">
        <v>770.15</v>
      </c>
      <c r="AK48" s="136"/>
      <c r="AL48" s="105">
        <f t="shared" si="15"/>
        <v>0</v>
      </c>
      <c r="AM48" s="143"/>
      <c r="AN48" s="143"/>
      <c r="AO48" s="143"/>
      <c r="AP48" s="146"/>
      <c r="AQ48" s="621">
        <f t="shared" si="16"/>
        <v>0</v>
      </c>
      <c r="AR48" s="1554">
        <v>11047</v>
      </c>
      <c r="AS48" s="1709"/>
      <c r="AT48" s="1548"/>
      <c r="AU48" s="1546"/>
      <c r="AV48" s="1709"/>
      <c r="AW48" s="1709"/>
      <c r="AX48" s="1554">
        <v>3321.2</v>
      </c>
      <c r="AY48" s="1709"/>
      <c r="AZ48" s="1709"/>
      <c r="BA48" s="1709"/>
      <c r="BB48" s="1709"/>
      <c r="BC48" s="222">
        <f t="shared" si="17"/>
        <v>0</v>
      </c>
      <c r="BD48" s="140">
        <f t="shared" si="18"/>
        <v>0</v>
      </c>
      <c r="BE48" s="132"/>
      <c r="BF48" s="140">
        <f t="shared" si="19"/>
        <v>0</v>
      </c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50"/>
      <c r="BR48" s="141"/>
      <c r="BS48" s="141"/>
      <c r="BT48" s="130">
        <f t="shared" si="20"/>
        <v>0</v>
      </c>
      <c r="BU48" s="132"/>
    </row>
    <row r="49" ht="14.25" customHeight="1">
      <c r="A49" s="132"/>
      <c r="B49" s="215">
        <v>46062</v>
      </c>
      <c r="C49" s="133">
        <f>17561.38-D49-0</f>
      </c>
      <c r="D49" s="134">
        <v>3813.7</v>
      </c>
      <c r="E49" s="135"/>
      <c r="F49" s="135"/>
      <c r="G49" s="147">
        <f t="shared" si="12"/>
        <v>0</v>
      </c>
      <c r="H49" s="144"/>
      <c r="I49" s="143"/>
      <c r="J49" s="143">
        <v>972.07</v>
      </c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03">
        <f t="shared" si="13"/>
        <v>0</v>
      </c>
      <c r="V49" s="143"/>
      <c r="W49" s="143"/>
      <c r="X49" s="145">
        <v>237.13</v>
      </c>
      <c r="Y49" s="143"/>
      <c r="Z49" s="143"/>
      <c r="AA49" s="143"/>
      <c r="AB49" s="143"/>
      <c r="AC49" s="143"/>
      <c r="AD49" s="143"/>
      <c r="AE49" s="143"/>
      <c r="AF49" s="143"/>
      <c r="AG49" s="143"/>
      <c r="AH49" s="103">
        <f t="shared" si="14"/>
        <v>0</v>
      </c>
      <c r="AI49" s="134">
        <v>4456.62</v>
      </c>
      <c r="AJ49" s="134">
        <v>1193.58</v>
      </c>
      <c r="AK49" s="136"/>
      <c r="AL49" s="105">
        <f t="shared" si="15"/>
        <v>0</v>
      </c>
      <c r="AM49" s="143"/>
      <c r="AN49" s="143"/>
      <c r="AO49" s="143"/>
      <c r="AP49" s="146"/>
      <c r="AQ49" s="621">
        <f t="shared" si="16"/>
        <v>0</v>
      </c>
      <c r="AR49" s="1554">
        <v>8049.4</v>
      </c>
      <c r="AS49" s="1709"/>
      <c r="AT49" s="1548"/>
      <c r="AU49" s="1546"/>
      <c r="AV49" s="1709"/>
      <c r="AW49" s="1709"/>
      <c r="AX49" s="1554">
        <v>2620</v>
      </c>
      <c r="AY49" s="1709"/>
      <c r="AZ49" s="1709"/>
      <c r="BA49" s="1709"/>
      <c r="BB49" s="1709"/>
      <c r="BC49" s="222">
        <f t="shared" si="17"/>
        <v>0</v>
      </c>
      <c r="BD49" s="140">
        <f t="shared" si="18"/>
        <v>0</v>
      </c>
      <c r="BE49" s="132"/>
      <c r="BF49" s="140">
        <f t="shared" si="19"/>
        <v>0</v>
      </c>
      <c r="BG49" s="141"/>
      <c r="BH49" s="141"/>
      <c r="BI49" s="141"/>
      <c r="BJ49" s="141"/>
      <c r="BK49" s="141"/>
      <c r="BL49" s="141"/>
      <c r="BM49" s="141"/>
      <c r="BN49" s="141"/>
      <c r="BO49" s="141"/>
      <c r="BP49" s="141"/>
      <c r="BQ49" s="150"/>
      <c r="BR49" s="141">
        <v>30</v>
      </c>
      <c r="BS49" s="141"/>
      <c r="BT49" s="130">
        <f t="shared" si="20"/>
        <v>0</v>
      </c>
      <c r="BU49" s="132"/>
    </row>
    <row r="50" ht="14.25" customHeight="1">
      <c r="A50" s="132"/>
      <c r="B50" s="215">
        <v>46063</v>
      </c>
      <c r="C50" s="133">
        <f>16698.82-D50-0</f>
      </c>
      <c r="D50" s="134">
        <v>3964.99</v>
      </c>
      <c r="E50" s="135"/>
      <c r="F50" s="135"/>
      <c r="G50" s="147">
        <f t="shared" si="12"/>
        <v>0</v>
      </c>
      <c r="H50" s="143"/>
      <c r="I50" s="143"/>
      <c r="J50" s="145">
        <v>1281.29</v>
      </c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03">
        <f t="shared" si="13"/>
        <v>0</v>
      </c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03">
        <f t="shared" si="14"/>
        <v>0</v>
      </c>
      <c r="AI50" s="134">
        <v>3333.13</v>
      </c>
      <c r="AJ50" s="134">
        <v>973.25</v>
      </c>
      <c r="AK50" s="136"/>
      <c r="AL50" s="105">
        <f t="shared" si="15"/>
        <v>0</v>
      </c>
      <c r="AM50" s="143"/>
      <c r="AN50" s="143"/>
      <c r="AO50" s="143"/>
      <c r="AP50" s="146"/>
      <c r="AQ50" s="621">
        <f t="shared" si="16"/>
        <v>0</v>
      </c>
      <c r="AR50" s="1554">
        <v>8088</v>
      </c>
      <c r="AS50" s="1709"/>
      <c r="AT50" s="1785"/>
      <c r="AU50" s="1546"/>
      <c r="AV50" s="1709"/>
      <c r="AW50" s="1709"/>
      <c r="AX50" s="1554">
        <v>2991.6</v>
      </c>
      <c r="AY50" s="1709"/>
      <c r="AZ50" s="1709"/>
      <c r="BA50" s="1709"/>
      <c r="BB50" s="1709"/>
      <c r="BC50" s="222">
        <f t="shared" si="17"/>
        <v>0</v>
      </c>
      <c r="BD50" s="140">
        <f t="shared" si="18"/>
        <v>0</v>
      </c>
      <c r="BE50" s="132"/>
      <c r="BF50" s="140">
        <f t="shared" si="19"/>
        <v>0</v>
      </c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50"/>
      <c r="BR50" s="141">
        <v>30</v>
      </c>
      <c r="BS50" s="141"/>
      <c r="BT50" s="130">
        <f t="shared" si="20"/>
        <v>0</v>
      </c>
      <c r="BU50" s="132"/>
    </row>
    <row r="51" ht="14.25" customHeight="1">
      <c r="A51" s="132"/>
      <c r="B51" s="215">
        <v>46064</v>
      </c>
      <c r="C51" s="133">
        <f>19213.20-D51-0</f>
      </c>
      <c r="D51" s="134">
        <v>4748.28</v>
      </c>
      <c r="E51" s="135"/>
      <c r="F51" s="135"/>
      <c r="G51" s="147">
        <f t="shared" si="12"/>
        <v>0</v>
      </c>
      <c r="H51" s="144"/>
      <c r="I51" s="143"/>
      <c r="J51" s="143">
        <v>1103.19</v>
      </c>
      <c r="K51" s="143"/>
      <c r="L51" s="143"/>
      <c r="M51" s="143"/>
      <c r="N51" s="143"/>
      <c r="O51" s="143"/>
      <c r="P51" s="143"/>
      <c r="Q51" s="143"/>
      <c r="R51" s="143"/>
      <c r="S51" s="143">
        <v>203.54</v>
      </c>
      <c r="T51" s="143"/>
      <c r="U51" s="103">
        <f t="shared" si="13"/>
        <v>0</v>
      </c>
      <c r="V51" s="143"/>
      <c r="W51" s="143"/>
      <c r="X51" s="145">
        <v>132.21</v>
      </c>
      <c r="Y51" s="143"/>
      <c r="Z51" s="143"/>
      <c r="AA51" s="143"/>
      <c r="AB51" s="143"/>
      <c r="AC51" s="143"/>
      <c r="AD51" s="143"/>
      <c r="AE51" s="143"/>
      <c r="AF51" s="143"/>
      <c r="AG51" s="143"/>
      <c r="AH51" s="103">
        <f t="shared" si="14"/>
        <v>0</v>
      </c>
      <c r="AI51" s="134">
        <v>3981.19</v>
      </c>
      <c r="AJ51" s="134">
        <v>1141.19</v>
      </c>
      <c r="AK51" s="136"/>
      <c r="AL51" s="105">
        <f t="shared" si="15"/>
        <v>0</v>
      </c>
      <c r="AM51" s="143"/>
      <c r="AN51" s="143"/>
      <c r="AO51" s="143"/>
      <c r="AP51" s="146"/>
      <c r="AQ51" s="621">
        <f t="shared" si="16"/>
        <v>0</v>
      </c>
      <c r="AR51" s="1554">
        <v>9012.8</v>
      </c>
      <c r="AS51" s="1709"/>
      <c r="AT51" s="1548"/>
      <c r="AU51" s="1546"/>
      <c r="AV51" s="1709"/>
      <c r="AW51" s="1709"/>
      <c r="AX51" s="1554">
        <v>3607</v>
      </c>
      <c r="AY51" s="1709"/>
      <c r="AZ51" s="1709"/>
      <c r="BA51" s="1709"/>
      <c r="BB51" s="1709"/>
      <c r="BC51" s="222">
        <f t="shared" si="17"/>
        <v>0</v>
      </c>
      <c r="BD51" s="140">
        <f t="shared" si="18"/>
        <v>0</v>
      </c>
      <c r="BE51" s="132"/>
      <c r="BF51" s="140">
        <f t="shared" si="19"/>
        <v>0</v>
      </c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50"/>
      <c r="BR51" s="141">
        <v>30</v>
      </c>
      <c r="BS51" s="141"/>
      <c r="BT51" s="130">
        <f t="shared" si="20"/>
        <v>0</v>
      </c>
      <c r="BU51" s="132"/>
    </row>
    <row r="52" ht="14.25" customHeight="1">
      <c r="A52" s="132"/>
      <c r="B52" s="215">
        <v>46065</v>
      </c>
      <c r="C52" s="133">
        <f>22183.19-D52-0</f>
      </c>
      <c r="D52" s="134">
        <v>3736.14</v>
      </c>
      <c r="E52" s="135"/>
      <c r="F52" s="135"/>
      <c r="G52" s="147">
        <f t="shared" si="12"/>
        <v>0</v>
      </c>
      <c r="H52" s="144"/>
      <c r="I52" s="143"/>
      <c r="J52" s="145">
        <v>952.84</v>
      </c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03">
        <f t="shared" si="13"/>
        <v>0</v>
      </c>
      <c r="V52" s="143"/>
      <c r="W52" s="143"/>
      <c r="X52" s="145">
        <v>251.69</v>
      </c>
      <c r="Y52" s="143"/>
      <c r="Z52" s="143"/>
      <c r="AA52" s="143"/>
      <c r="AB52" s="143"/>
      <c r="AC52" s="143"/>
      <c r="AD52" s="143"/>
      <c r="AE52" s="143"/>
      <c r="AF52" s="143"/>
      <c r="AG52" s="143"/>
      <c r="AH52" s="103">
        <f t="shared" si="14"/>
        <v>0</v>
      </c>
      <c r="AI52" s="134">
        <v>7323.06</v>
      </c>
      <c r="AJ52" s="134">
        <v>1245.74</v>
      </c>
      <c r="AK52" s="136"/>
      <c r="AL52" s="105">
        <f t="shared" si="15"/>
        <v>0</v>
      </c>
      <c r="AM52" s="143"/>
      <c r="AN52" s="143"/>
      <c r="AO52" s="143"/>
      <c r="AP52" s="146"/>
      <c r="AQ52" s="621">
        <f t="shared" si="16"/>
        <v>0</v>
      </c>
      <c r="AR52" s="1554">
        <v>9887</v>
      </c>
      <c r="AS52" s="1709"/>
      <c r="AT52" s="1548"/>
      <c r="AU52" s="1546"/>
      <c r="AV52" s="1709"/>
      <c r="AW52" s="1709"/>
      <c r="AX52" s="1554">
        <v>2490.3</v>
      </c>
      <c r="AY52" s="1709"/>
      <c r="AZ52" s="1709"/>
      <c r="BA52" s="1709"/>
      <c r="BB52" s="1709"/>
      <c r="BC52" s="222">
        <f t="shared" si="17"/>
        <v>0</v>
      </c>
      <c r="BD52" s="140">
        <f t="shared" si="18"/>
        <v>0</v>
      </c>
      <c r="BE52" s="132"/>
      <c r="BF52" s="140">
        <f t="shared" si="19"/>
        <v>0</v>
      </c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50"/>
      <c r="BR52" s="141">
        <v>30</v>
      </c>
      <c r="BS52" s="141"/>
      <c r="BT52" s="130">
        <f t="shared" si="20"/>
        <v>0</v>
      </c>
      <c r="BU52" s="132"/>
    </row>
    <row r="53" ht="14.25" customHeight="1">
      <c r="A53" s="132"/>
      <c r="B53" s="215">
        <v>46066</v>
      </c>
      <c r="C53" s="133">
        <f>19264.82-D53-0</f>
      </c>
      <c r="D53" s="134">
        <v>3997.44</v>
      </c>
      <c r="E53" s="135"/>
      <c r="F53" s="135"/>
      <c r="G53" s="147">
        <f t="shared" si="12"/>
        <v>0</v>
      </c>
      <c r="H53" s="144"/>
      <c r="I53" s="145">
        <v>106.35</v>
      </c>
      <c r="J53" s="145">
        <v>182.02</v>
      </c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03">
        <f t="shared" si="13"/>
        <v>0</v>
      </c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03">
        <f t="shared" si="14"/>
        <v>0</v>
      </c>
      <c r="AI53" s="134">
        <v>5307.93</v>
      </c>
      <c r="AJ53" s="134">
        <v>632.01</v>
      </c>
      <c r="AK53" s="136"/>
      <c r="AL53" s="105">
        <f t="shared" si="15"/>
        <v>0</v>
      </c>
      <c r="AM53" s="143"/>
      <c r="AN53" s="143"/>
      <c r="AO53" s="143"/>
      <c r="AP53" s="146"/>
      <c r="AQ53" s="621">
        <f t="shared" si="16"/>
        <v>0</v>
      </c>
      <c r="AR53" s="1554">
        <v>9367</v>
      </c>
      <c r="AS53" s="1709"/>
      <c r="AT53" s="1548"/>
      <c r="AU53" s="1546"/>
      <c r="AV53" s="1709"/>
      <c r="AW53" s="1709"/>
      <c r="AX53" s="1554">
        <v>3365.1</v>
      </c>
      <c r="AY53" s="1709"/>
      <c r="AZ53" s="1709"/>
      <c r="BA53" s="1709"/>
      <c r="BB53" s="1709"/>
      <c r="BC53" s="222">
        <f t="shared" si="17"/>
        <v>0</v>
      </c>
      <c r="BD53" s="140">
        <f t="shared" si="18"/>
        <v>0</v>
      </c>
      <c r="BE53" s="132"/>
      <c r="BF53" s="140">
        <f t="shared" si="19"/>
        <v>0</v>
      </c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50">
        <v>303</v>
      </c>
      <c r="BS53" s="141"/>
      <c r="BT53" s="130">
        <f t="shared" si="20"/>
        <v>0</v>
      </c>
      <c r="BU53" s="132"/>
    </row>
    <row r="54" ht="14.25" customHeight="1">
      <c r="A54" s="132"/>
      <c r="B54" s="215">
        <v>46067</v>
      </c>
      <c r="C54" s="133">
        <f>22241.86-D54-0</f>
      </c>
      <c r="D54" s="134">
        <v>4351.75</v>
      </c>
      <c r="E54" s="135"/>
      <c r="F54" s="135"/>
      <c r="G54" s="147">
        <f t="shared" si="12"/>
        <v>0</v>
      </c>
      <c r="H54" s="144"/>
      <c r="I54" s="143"/>
      <c r="J54" s="143">
        <v>762.22</v>
      </c>
      <c r="K54" s="143"/>
      <c r="L54" s="140"/>
      <c r="M54" s="143"/>
      <c r="N54" s="143"/>
      <c r="O54" s="143"/>
      <c r="P54" s="143"/>
      <c r="Q54" s="143"/>
      <c r="R54" s="143"/>
      <c r="S54" s="145">
        <v>36.23</v>
      </c>
      <c r="T54" s="143"/>
      <c r="U54" s="103">
        <f t="shared" si="13"/>
        <v>0</v>
      </c>
      <c r="V54" s="143"/>
      <c r="W54" s="143"/>
      <c r="X54" s="145">
        <v>126.4</v>
      </c>
      <c r="Y54" s="143"/>
      <c r="Z54" s="143"/>
      <c r="AA54" s="143"/>
      <c r="AB54" s="143"/>
      <c r="AC54" s="143"/>
      <c r="AD54" s="143"/>
      <c r="AE54" s="143"/>
      <c r="AF54" s="143"/>
      <c r="AG54" s="143"/>
      <c r="AH54" s="103">
        <f t="shared" si="14"/>
        <v>0</v>
      </c>
      <c r="AI54" s="134">
        <v>4643</v>
      </c>
      <c r="AJ54" s="134">
        <v>937.98</v>
      </c>
      <c r="AK54" s="136"/>
      <c r="AL54" s="105">
        <f t="shared" si="15"/>
        <v>0</v>
      </c>
      <c r="AM54" s="143"/>
      <c r="AN54" s="143"/>
      <c r="AO54" s="143"/>
      <c r="AP54" s="146"/>
      <c r="AQ54" s="621">
        <f t="shared" si="16"/>
        <v>0</v>
      </c>
      <c r="AR54" s="1554">
        <v>12291</v>
      </c>
      <c r="AS54" s="1709"/>
      <c r="AT54" s="1548"/>
      <c r="AU54" s="1546"/>
      <c r="AV54" s="1709"/>
      <c r="AW54" s="1709"/>
      <c r="AX54" s="1554">
        <v>3413.1</v>
      </c>
      <c r="AY54" s="1709"/>
      <c r="AZ54" s="1709"/>
      <c r="BA54" s="1709"/>
      <c r="BB54" s="1709"/>
      <c r="BC54" s="222">
        <f t="shared" si="17"/>
        <v>0</v>
      </c>
      <c r="BD54" s="140">
        <f t="shared" si="18"/>
        <v>0</v>
      </c>
      <c r="BE54" s="132"/>
      <c r="BF54" s="140">
        <f t="shared" si="19"/>
        <v>0</v>
      </c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50"/>
      <c r="BR54" s="141">
        <v>30</v>
      </c>
      <c r="BS54" s="141"/>
      <c r="BT54" s="130">
        <f t="shared" si="20"/>
        <v>0</v>
      </c>
      <c r="BU54" s="132"/>
    </row>
    <row r="55" ht="14.25" customHeight="1">
      <c r="A55" s="132"/>
      <c r="B55" s="215">
        <v>46068</v>
      </c>
      <c r="C55" s="133">
        <f>19657.23-D55-0</f>
      </c>
      <c r="D55" s="134">
        <v>3734.21</v>
      </c>
      <c r="E55" s="135"/>
      <c r="F55" s="135"/>
      <c r="G55" s="147">
        <f t="shared" si="12"/>
        <v>0</v>
      </c>
      <c r="H55" s="144"/>
      <c r="I55" s="145">
        <v>623.67</v>
      </c>
      <c r="J55" s="145">
        <v>249.43</v>
      </c>
      <c r="K55" s="143"/>
      <c r="L55" s="140"/>
      <c r="M55" s="143"/>
      <c r="N55" s="143"/>
      <c r="O55" s="143"/>
      <c r="P55" s="143"/>
      <c r="Q55" s="143"/>
      <c r="R55" s="143"/>
      <c r="S55" s="143"/>
      <c r="T55" s="143"/>
      <c r="U55" s="103">
        <f t="shared" si="13"/>
        <v>0</v>
      </c>
      <c r="V55" s="143"/>
      <c r="W55" s="143"/>
      <c r="X55" s="145">
        <v>595.6</v>
      </c>
      <c r="Y55" s="143"/>
      <c r="Z55" s="143"/>
      <c r="AA55" s="143"/>
      <c r="AB55" s="143"/>
      <c r="AC55" s="143"/>
      <c r="AD55" s="143"/>
      <c r="AE55" s="143"/>
      <c r="AF55" s="143"/>
      <c r="AG55" s="143"/>
      <c r="AH55" s="103">
        <f t="shared" si="14"/>
        <v>0</v>
      </c>
      <c r="AI55" s="134">
        <v>3519.41</v>
      </c>
      <c r="AJ55" s="134">
        <v>790.22</v>
      </c>
      <c r="AK55" s="136"/>
      <c r="AL55" s="105">
        <f t="shared" si="15"/>
        <v>0</v>
      </c>
      <c r="AM55" s="143"/>
      <c r="AN55" s="143"/>
      <c r="AO55" s="143"/>
      <c r="AP55" s="146"/>
      <c r="AQ55" s="621">
        <f t="shared" si="16"/>
        <v>0</v>
      </c>
      <c r="AR55" s="1554">
        <v>10934</v>
      </c>
      <c r="AS55" s="1709"/>
      <c r="AT55" s="1548"/>
      <c r="AU55" s="1546"/>
      <c r="AV55" s="1709"/>
      <c r="AW55" s="1709"/>
      <c r="AX55" s="1554">
        <v>2943.8</v>
      </c>
      <c r="AY55" s="1709"/>
      <c r="AZ55" s="1709"/>
      <c r="BA55" s="1709"/>
      <c r="BB55" s="1709"/>
      <c r="BC55" s="222">
        <f t="shared" si="17"/>
        <v>0</v>
      </c>
      <c r="BD55" s="140">
        <f t="shared" si="18"/>
        <v>0</v>
      </c>
      <c r="BE55" s="132"/>
      <c r="BF55" s="140">
        <f t="shared" si="19"/>
        <v>0</v>
      </c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20"/>
        <v>0</v>
      </c>
      <c r="BU55" s="132"/>
    </row>
    <row r="56" ht="14.25" customHeight="1">
      <c r="A56" s="132"/>
      <c r="B56" s="215">
        <v>46069</v>
      </c>
      <c r="C56" s="133">
        <f>24181.11-D56-0</f>
      </c>
      <c r="D56" s="134">
        <v>3885.55</v>
      </c>
      <c r="E56" s="135"/>
      <c r="F56" s="135"/>
      <c r="G56" s="147">
        <f t="shared" si="12"/>
        <v>0</v>
      </c>
      <c r="H56" s="144"/>
      <c r="I56" s="143"/>
      <c r="J56" s="145">
        <v>1527.08</v>
      </c>
      <c r="K56" s="143"/>
      <c r="L56" s="140"/>
      <c r="M56" s="143"/>
      <c r="N56" s="143"/>
      <c r="O56" s="143"/>
      <c r="P56" s="143"/>
      <c r="Q56" s="143"/>
      <c r="R56" s="143"/>
      <c r="S56" s="143"/>
      <c r="T56" s="143"/>
      <c r="U56" s="103">
        <f t="shared" si="13"/>
        <v>0</v>
      </c>
      <c r="V56" s="143"/>
      <c r="W56" s="143"/>
      <c r="X56" s="145">
        <v>181.39</v>
      </c>
      <c r="Y56" s="143"/>
      <c r="Z56" s="143"/>
      <c r="AA56" s="143"/>
      <c r="AB56" s="143"/>
      <c r="AC56" s="143"/>
      <c r="AD56" s="143"/>
      <c r="AE56" s="143"/>
      <c r="AF56" s="143"/>
      <c r="AG56" s="143"/>
      <c r="AH56" s="103">
        <f t="shared" si="14"/>
        <v>0</v>
      </c>
      <c r="AI56" s="134">
        <v>6180.92</v>
      </c>
      <c r="AJ56" s="134">
        <v>1111.49</v>
      </c>
      <c r="AK56" s="136"/>
      <c r="AL56" s="105">
        <f t="shared" si="15"/>
        <v>0</v>
      </c>
      <c r="AM56" s="143"/>
      <c r="AN56" s="143"/>
      <c r="AO56" s="143"/>
      <c r="AP56" s="146"/>
      <c r="AQ56" s="621">
        <f t="shared" si="16"/>
        <v>0</v>
      </c>
      <c r="AR56" s="1554">
        <v>12372.8</v>
      </c>
      <c r="AS56" s="1709"/>
      <c r="AT56" s="1548"/>
      <c r="AU56" s="1546"/>
      <c r="AV56" s="1709"/>
      <c r="AW56" s="1709"/>
      <c r="AX56" s="1554">
        <v>2775</v>
      </c>
      <c r="AY56" s="1709"/>
      <c r="AZ56" s="1709"/>
      <c r="BA56" s="1709"/>
      <c r="BB56" s="1709"/>
      <c r="BC56" s="222">
        <f t="shared" si="17"/>
        <v>0</v>
      </c>
      <c r="BD56" s="140">
        <f t="shared" si="18"/>
        <v>0</v>
      </c>
      <c r="BE56" s="132"/>
      <c r="BF56" s="140">
        <f t="shared" si="19"/>
        <v>0</v>
      </c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50"/>
      <c r="BR56" s="141">
        <v>30</v>
      </c>
      <c r="BS56" s="141"/>
      <c r="BT56" s="130">
        <f t="shared" si="20"/>
        <v>0</v>
      </c>
      <c r="BU56" s="132"/>
    </row>
    <row r="57" ht="14.25" customHeight="1">
      <c r="A57" s="132"/>
      <c r="B57" s="215">
        <v>46070</v>
      </c>
      <c r="C57" s="133">
        <f>17788.15-D57-0</f>
      </c>
      <c r="D57" s="134">
        <v>3762.04</v>
      </c>
      <c r="E57" s="135"/>
      <c r="F57" s="135"/>
      <c r="G57" s="147">
        <f t="shared" si="12"/>
        <v>0</v>
      </c>
      <c r="H57" s="144"/>
      <c r="I57" s="143"/>
      <c r="J57" s="143">
        <v>1218</v>
      </c>
      <c r="K57" s="143"/>
      <c r="L57" s="140"/>
      <c r="M57" s="143"/>
      <c r="N57" s="143"/>
      <c r="O57" s="143"/>
      <c r="P57" s="143"/>
      <c r="Q57" s="143"/>
      <c r="R57" s="143"/>
      <c r="S57" s="143"/>
      <c r="T57" s="143"/>
      <c r="U57" s="103">
        <f t="shared" si="13"/>
        <v>0</v>
      </c>
      <c r="V57" s="143"/>
      <c r="W57" s="143"/>
      <c r="X57" s="145">
        <v>236.89</v>
      </c>
      <c r="Y57" s="143"/>
      <c r="Z57" s="143"/>
      <c r="AA57" s="143"/>
      <c r="AB57" s="143"/>
      <c r="AC57" s="143"/>
      <c r="AD57" s="143"/>
      <c r="AE57" s="143"/>
      <c r="AF57" s="143"/>
      <c r="AG57" s="143"/>
      <c r="AH57" s="103">
        <f t="shared" si="14"/>
        <v>0</v>
      </c>
      <c r="AI57" s="134">
        <v>3176.41</v>
      </c>
      <c r="AJ57" s="134">
        <v>946.13</v>
      </c>
      <c r="AK57" s="136"/>
      <c r="AL57" s="105">
        <f t="shared" si="15"/>
        <v>0</v>
      </c>
      <c r="AM57" s="143"/>
      <c r="AN57" s="143"/>
      <c r="AO57" s="143"/>
      <c r="AP57" s="146"/>
      <c r="AQ57" s="621">
        <f t="shared" si="16"/>
        <v>0</v>
      </c>
      <c r="AR57" s="1554">
        <v>9360</v>
      </c>
      <c r="AS57" s="1709"/>
      <c r="AT57" s="1548"/>
      <c r="AU57" s="1546"/>
      <c r="AV57" s="1709"/>
      <c r="AW57" s="1709"/>
      <c r="AX57" s="1554">
        <v>2818.5</v>
      </c>
      <c r="AY57" s="1709"/>
      <c r="AZ57" s="1709"/>
      <c r="BA57" s="1709"/>
      <c r="BB57" s="1709"/>
      <c r="BC57" s="222">
        <f t="shared" si="17"/>
        <v>0</v>
      </c>
      <c r="BD57" s="140">
        <f t="shared" si="18"/>
        <v>0</v>
      </c>
      <c r="BE57" s="132"/>
      <c r="BF57" s="140">
        <f t="shared" si="19"/>
        <v>0</v>
      </c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50"/>
      <c r="BR57" s="141">
        <v>30</v>
      </c>
      <c r="BS57" s="141"/>
      <c r="BT57" s="130">
        <f t="shared" si="20"/>
        <v>0</v>
      </c>
      <c r="BU57" s="132"/>
    </row>
    <row r="58" ht="14.25" customHeight="1">
      <c r="A58" s="132"/>
      <c r="B58" s="215">
        <v>46071</v>
      </c>
      <c r="C58" s="133">
        <f>21407.41-D58-0</f>
      </c>
      <c r="D58" s="134">
        <v>3933.18</v>
      </c>
      <c r="E58" s="135"/>
      <c r="F58" s="135"/>
      <c r="G58" s="147">
        <f t="shared" si="12"/>
        <v>0</v>
      </c>
      <c r="H58" s="144"/>
      <c r="I58" s="143"/>
      <c r="J58" s="143">
        <v>2538.21</v>
      </c>
      <c r="K58" s="143"/>
      <c r="L58" s="140"/>
      <c r="M58" s="143"/>
      <c r="N58" s="143"/>
      <c r="O58" s="143"/>
      <c r="P58" s="143"/>
      <c r="Q58" s="143"/>
      <c r="R58" s="143"/>
      <c r="S58" s="143">
        <v>117.5</v>
      </c>
      <c r="T58" s="143"/>
      <c r="U58" s="103">
        <f t="shared" si="13"/>
        <v>0</v>
      </c>
      <c r="V58" s="143"/>
      <c r="W58" s="143"/>
      <c r="X58" s="145">
        <v>136.43</v>
      </c>
      <c r="Y58" s="143"/>
      <c r="Z58" s="143"/>
      <c r="AA58" s="143"/>
      <c r="AB58" s="143"/>
      <c r="AC58" s="143"/>
      <c r="AD58" s="143"/>
      <c r="AE58" s="143"/>
      <c r="AF58" s="143"/>
      <c r="AG58" s="143"/>
      <c r="AH58" s="103">
        <f t="shared" si="14"/>
        <v>0</v>
      </c>
      <c r="AI58" s="134">
        <v>4865.03</v>
      </c>
      <c r="AJ58" s="134">
        <v>1020.01</v>
      </c>
      <c r="AK58" s="136"/>
      <c r="AL58" s="105">
        <f t="shared" si="15"/>
        <v>0</v>
      </c>
      <c r="AM58" s="143"/>
      <c r="AN58" s="143"/>
      <c r="AO58" s="143"/>
      <c r="AP58" s="146"/>
      <c r="AQ58" s="621">
        <f t="shared" si="16"/>
        <v>0</v>
      </c>
      <c r="AR58" s="1554">
        <v>9786</v>
      </c>
      <c r="AS58" s="1709"/>
      <c r="AT58" s="1548"/>
      <c r="AU58" s="1546"/>
      <c r="AV58" s="1709"/>
      <c r="AW58" s="1709"/>
      <c r="AX58" s="1554">
        <v>2913</v>
      </c>
      <c r="AY58" s="1709"/>
      <c r="AZ58" s="1709"/>
      <c r="BA58" s="1709"/>
      <c r="BB58" s="1709"/>
      <c r="BC58" s="222">
        <f t="shared" si="17"/>
        <v>0</v>
      </c>
      <c r="BD58" s="140">
        <f t="shared" si="18"/>
        <v>0</v>
      </c>
      <c r="BE58" s="132"/>
      <c r="BF58" s="140">
        <f t="shared" si="19"/>
        <v>0</v>
      </c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50"/>
      <c r="BR58" s="141">
        <v>30</v>
      </c>
      <c r="BS58" s="141"/>
      <c r="BT58" s="130">
        <f t="shared" si="20"/>
        <v>0</v>
      </c>
      <c r="BU58" s="132"/>
    </row>
    <row r="59" ht="14.25" customHeight="1">
      <c r="A59" s="132"/>
      <c r="B59" s="215">
        <v>46072</v>
      </c>
      <c r="C59" s="133">
        <f>17841.32-D59-0</f>
      </c>
      <c r="D59" s="134">
        <v>3390.94</v>
      </c>
      <c r="E59" s="135"/>
      <c r="F59" s="135"/>
      <c r="G59" s="147">
        <f t="shared" si="12"/>
        <v>0</v>
      </c>
      <c r="H59" s="144"/>
      <c r="I59" s="143"/>
      <c r="J59" s="145">
        <v>603.45</v>
      </c>
      <c r="K59" s="143"/>
      <c r="L59" s="140"/>
      <c r="M59" s="143"/>
      <c r="N59" s="143"/>
      <c r="O59" s="143"/>
      <c r="P59" s="143"/>
      <c r="Q59" s="143"/>
      <c r="R59" s="143"/>
      <c r="S59" s="143"/>
      <c r="T59" s="143"/>
      <c r="U59" s="103">
        <f t="shared" si="13"/>
        <v>0</v>
      </c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03">
        <f t="shared" si="14"/>
        <v>0</v>
      </c>
      <c r="AI59" s="134">
        <v>4132.84</v>
      </c>
      <c r="AJ59" s="134">
        <v>682.93</v>
      </c>
      <c r="AK59" s="136"/>
      <c r="AL59" s="105">
        <f t="shared" si="15"/>
        <v>0</v>
      </c>
      <c r="AM59" s="143"/>
      <c r="AN59" s="143"/>
      <c r="AO59" s="143"/>
      <c r="AP59" s="146"/>
      <c r="AQ59" s="621">
        <f t="shared" si="16"/>
        <v>0</v>
      </c>
      <c r="AR59" s="1554">
        <v>9473.1</v>
      </c>
      <c r="AS59" s="1709"/>
      <c r="AT59" s="1548"/>
      <c r="AU59" s="1546"/>
      <c r="AV59" s="1709"/>
      <c r="AW59" s="1709"/>
      <c r="AX59" s="1554">
        <v>2708</v>
      </c>
      <c r="AY59" s="1709"/>
      <c r="AZ59" s="1709"/>
      <c r="BA59" s="1709"/>
      <c r="BB59" s="1709"/>
      <c r="BC59" s="222">
        <f t="shared" si="17"/>
        <v>0</v>
      </c>
      <c r="BD59" s="140">
        <f t="shared" si="18"/>
        <v>0</v>
      </c>
      <c r="BE59" s="132"/>
      <c r="BF59" s="140">
        <f t="shared" si="19"/>
        <v>0</v>
      </c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50">
        <v>240</v>
      </c>
      <c r="BS59" s="141"/>
      <c r="BT59" s="130">
        <f t="shared" si="20"/>
        <v>0</v>
      </c>
      <c r="BU59" s="132"/>
    </row>
    <row r="60" ht="14.25" customHeight="1">
      <c r="A60" s="132"/>
      <c r="B60" s="215">
        <v>46073</v>
      </c>
      <c r="C60" s="133">
        <f>27211.63-D60-0</f>
      </c>
      <c r="D60" s="134">
        <v>3804.01</v>
      </c>
      <c r="E60" s="135"/>
      <c r="F60" s="135"/>
      <c r="G60" s="147">
        <f t="shared" si="12"/>
        <v>0</v>
      </c>
      <c r="H60" s="144"/>
      <c r="I60" s="143"/>
      <c r="J60" s="143">
        <v>4641.18</v>
      </c>
      <c r="K60" s="143"/>
      <c r="L60" s="140"/>
      <c r="M60" s="143"/>
      <c r="N60" s="143"/>
      <c r="O60" s="143"/>
      <c r="P60" s="143"/>
      <c r="Q60" s="143"/>
      <c r="R60" s="143"/>
      <c r="S60" s="143"/>
      <c r="T60" s="143"/>
      <c r="U60" s="103">
        <f t="shared" si="13"/>
        <v>0</v>
      </c>
      <c r="V60" s="143"/>
      <c r="W60" s="143"/>
      <c r="X60" s="145">
        <v>209.65</v>
      </c>
      <c r="Y60" s="143"/>
      <c r="Z60" s="143"/>
      <c r="AA60" s="143"/>
      <c r="AB60" s="143"/>
      <c r="AC60" s="143"/>
      <c r="AD60" s="143"/>
      <c r="AE60" s="143"/>
      <c r="AF60" s="143"/>
      <c r="AG60" s="143"/>
      <c r="AH60" s="103">
        <f t="shared" si="14"/>
        <v>0</v>
      </c>
      <c r="AI60" s="134">
        <v>6376.92</v>
      </c>
      <c r="AJ60" s="134">
        <v>621.61</v>
      </c>
      <c r="AK60" s="136"/>
      <c r="AL60" s="105">
        <f t="shared" si="15"/>
        <v>0</v>
      </c>
      <c r="AM60" s="143"/>
      <c r="AN60" s="143"/>
      <c r="AO60" s="143"/>
      <c r="AP60" s="146"/>
      <c r="AQ60" s="621">
        <f t="shared" si="16"/>
        <v>0</v>
      </c>
      <c r="AR60" s="1554">
        <v>12149</v>
      </c>
      <c r="AS60" s="1709"/>
      <c r="AT60" s="1548"/>
      <c r="AU60" s="1546"/>
      <c r="AV60" s="1709"/>
      <c r="AW60" s="1709"/>
      <c r="AX60" s="1855">
        <v>3182.2</v>
      </c>
      <c r="AY60" s="1709"/>
      <c r="AZ60" s="1709"/>
      <c r="BA60" s="1709"/>
      <c r="BB60" s="1709"/>
      <c r="BC60" s="222">
        <f t="shared" si="17"/>
        <v>0</v>
      </c>
      <c r="BD60" s="140">
        <f t="shared" si="18"/>
        <v>0</v>
      </c>
      <c r="BE60" s="132"/>
      <c r="BF60" s="140">
        <f t="shared" si="19"/>
        <v>0</v>
      </c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31"/>
      <c r="BR60" s="141">
        <v>30</v>
      </c>
      <c r="BS60" s="141"/>
      <c r="BT60" s="130">
        <f t="shared" si="20"/>
        <v>0</v>
      </c>
      <c r="BU60" s="132"/>
    </row>
    <row r="61" ht="14.25" customHeight="1">
      <c r="A61" s="132"/>
      <c r="B61" s="215">
        <v>46074</v>
      </c>
      <c r="C61" s="133">
        <f>25542.17-D61-0</f>
      </c>
      <c r="D61" s="134">
        <v>5446.27</v>
      </c>
      <c r="E61" s="135"/>
      <c r="F61" s="135"/>
      <c r="G61" s="147">
        <f t="shared" si="12"/>
        <v>0</v>
      </c>
      <c r="H61" s="144"/>
      <c r="I61" s="143"/>
      <c r="J61" s="145">
        <v>1660.28</v>
      </c>
      <c r="K61" s="143"/>
      <c r="L61" s="140"/>
      <c r="M61" s="143"/>
      <c r="N61" s="143"/>
      <c r="O61" s="143"/>
      <c r="P61" s="143"/>
      <c r="Q61" s="143"/>
      <c r="R61" s="143"/>
      <c r="S61" s="143"/>
      <c r="T61" s="143"/>
      <c r="U61" s="103">
        <f t="shared" si="13"/>
        <v>0</v>
      </c>
      <c r="V61" s="143"/>
      <c r="W61" s="143"/>
      <c r="X61" s="145">
        <v>122.03</v>
      </c>
      <c r="Y61" s="143"/>
      <c r="Z61" s="143"/>
      <c r="AA61" s="143"/>
      <c r="AB61" s="143"/>
      <c r="AC61" s="143"/>
      <c r="AD61" s="143"/>
      <c r="AE61" s="143"/>
      <c r="AF61" s="143"/>
      <c r="AG61" s="143"/>
      <c r="AH61" s="103">
        <f t="shared" si="14"/>
        <v>0</v>
      </c>
      <c r="AI61" s="134">
        <v>5693.72</v>
      </c>
      <c r="AJ61" s="134">
        <v>1152.52</v>
      </c>
      <c r="AK61" s="136"/>
      <c r="AL61" s="105">
        <f t="shared" si="15"/>
        <v>0</v>
      </c>
      <c r="AM61" s="143"/>
      <c r="AN61" s="143"/>
      <c r="AO61" s="143"/>
      <c r="AP61" s="146"/>
      <c r="AQ61" s="621">
        <f t="shared" si="16"/>
        <v>0</v>
      </c>
      <c r="AR61" s="1554">
        <v>12315.3</v>
      </c>
      <c r="AS61" s="1709"/>
      <c r="AT61" s="1548"/>
      <c r="AU61" s="1546"/>
      <c r="AV61" s="1709"/>
      <c r="AW61" s="1709"/>
      <c r="AX61" s="1855">
        <v>4293.5</v>
      </c>
      <c r="AY61" s="1709"/>
      <c r="AZ61" s="1709"/>
      <c r="BA61" s="1709"/>
      <c r="BB61" s="1709"/>
      <c r="BC61" s="222">
        <f t="shared" si="17"/>
        <v>0</v>
      </c>
      <c r="BD61" s="140">
        <f t="shared" si="18"/>
        <v>0</v>
      </c>
      <c r="BE61" s="132"/>
      <c r="BF61" s="140">
        <f t="shared" si="19"/>
        <v>0</v>
      </c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50">
        <v>303</v>
      </c>
      <c r="BS61" s="141"/>
      <c r="BT61" s="130">
        <f t="shared" si="20"/>
        <v>0</v>
      </c>
      <c r="BU61" s="132"/>
    </row>
    <row r="62" ht="14.25" customHeight="1">
      <c r="A62" s="132"/>
      <c r="B62" s="215">
        <v>46075</v>
      </c>
      <c r="C62" s="133">
        <f>22326.76-D62-0</f>
      </c>
      <c r="D62" s="134">
        <v>4577.7</v>
      </c>
      <c r="E62" s="135"/>
      <c r="F62" s="135"/>
      <c r="G62" s="147">
        <f t="shared" si="12"/>
        <v>0</v>
      </c>
      <c r="H62" s="144"/>
      <c r="I62" s="143"/>
      <c r="J62" s="145">
        <v>560.53</v>
      </c>
      <c r="K62" s="143"/>
      <c r="L62" s="140"/>
      <c r="M62" s="143"/>
      <c r="N62" s="143"/>
      <c r="O62" s="143"/>
      <c r="P62" s="143"/>
      <c r="Q62" s="143"/>
      <c r="R62" s="143"/>
      <c r="S62" s="143"/>
      <c r="T62" s="143"/>
      <c r="U62" s="103">
        <f t="shared" si="13"/>
        <v>0</v>
      </c>
      <c r="V62" s="143"/>
      <c r="W62" s="143"/>
      <c r="X62" s="145">
        <v>367.09</v>
      </c>
      <c r="Y62" s="143"/>
      <c r="Z62" s="143"/>
      <c r="AA62" s="143"/>
      <c r="AB62" s="143"/>
      <c r="AC62" s="143"/>
      <c r="AD62" s="143"/>
      <c r="AE62" s="143"/>
      <c r="AF62" s="143"/>
      <c r="AG62" s="143"/>
      <c r="AH62" s="103">
        <f t="shared" si="14"/>
        <v>0</v>
      </c>
      <c r="AI62" s="134">
        <v>4346.84</v>
      </c>
      <c r="AJ62" s="134">
        <v>902.76</v>
      </c>
      <c r="AK62" s="136"/>
      <c r="AL62" s="105">
        <f t="shared" si="15"/>
        <v>0</v>
      </c>
      <c r="AM62" s="143"/>
      <c r="AN62" s="143"/>
      <c r="AO62" s="143"/>
      <c r="AP62" s="146"/>
      <c r="AQ62" s="621">
        <f t="shared" si="16"/>
        <v>0</v>
      </c>
      <c r="AR62" s="1554">
        <v>12474</v>
      </c>
      <c r="AS62" s="1709"/>
      <c r="AT62" s="1548"/>
      <c r="AU62" s="1546"/>
      <c r="AV62" s="1709"/>
      <c r="AW62" s="1709"/>
      <c r="AX62" s="1855">
        <v>3674.8</v>
      </c>
      <c r="AY62" s="1709"/>
      <c r="AZ62" s="1709"/>
      <c r="BA62" s="1709"/>
      <c r="BB62" s="1709"/>
      <c r="BC62" s="222">
        <f t="shared" si="17"/>
        <v>0</v>
      </c>
      <c r="BD62" s="140">
        <f t="shared" si="18"/>
        <v>0</v>
      </c>
      <c r="BE62" s="132"/>
      <c r="BF62" s="140">
        <f t="shared" si="19"/>
        <v>0</v>
      </c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20"/>
        <v>0</v>
      </c>
      <c r="BU62" s="132"/>
    </row>
    <row r="63" ht="14.25" customHeight="1">
      <c r="A63" s="132"/>
      <c r="B63" s="215">
        <v>46076</v>
      </c>
      <c r="C63" s="133">
        <f>20937.90-D63-0</f>
      </c>
      <c r="D63" s="134">
        <v>3805.07</v>
      </c>
      <c r="E63" s="135"/>
      <c r="F63" s="135"/>
      <c r="G63" s="147">
        <f t="shared" si="12"/>
        <v>0</v>
      </c>
      <c r="H63" s="144"/>
      <c r="I63" s="143"/>
      <c r="J63" s="145">
        <v>2172.56</v>
      </c>
      <c r="K63" s="143"/>
      <c r="L63" s="140"/>
      <c r="M63" s="143"/>
      <c r="N63" s="143"/>
      <c r="O63" s="143"/>
      <c r="P63" s="143"/>
      <c r="Q63" s="143"/>
      <c r="R63" s="143"/>
      <c r="S63" s="143"/>
      <c r="T63" s="143"/>
      <c r="U63" s="103">
        <f t="shared" si="13"/>
        <v>0</v>
      </c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03">
        <f t="shared" si="14"/>
        <v>0</v>
      </c>
      <c r="AI63" s="134">
        <v>4817.56</v>
      </c>
      <c r="AJ63" s="134">
        <v>608.15</v>
      </c>
      <c r="AK63" s="136"/>
      <c r="AL63" s="105">
        <f t="shared" si="15"/>
        <v>0</v>
      </c>
      <c r="AM63" s="143"/>
      <c r="AN63" s="143"/>
      <c r="AO63" s="143"/>
      <c r="AP63" s="146"/>
      <c r="AQ63" s="621">
        <f t="shared" si="16"/>
        <v>0</v>
      </c>
      <c r="AR63" s="1554">
        <v>10112</v>
      </c>
      <c r="AS63" s="1709"/>
      <c r="AT63" s="1548"/>
      <c r="AU63" s="1546"/>
      <c r="AV63" s="1709"/>
      <c r="AW63" s="1709"/>
      <c r="AX63" s="1855">
        <v>3196.2</v>
      </c>
      <c r="AY63" s="1709"/>
      <c r="AZ63" s="1709"/>
      <c r="BA63" s="1709"/>
      <c r="BB63" s="1709"/>
      <c r="BC63" s="222">
        <f t="shared" si="17"/>
        <v>0</v>
      </c>
      <c r="BD63" s="140">
        <f t="shared" si="18"/>
        <v>0</v>
      </c>
      <c r="BE63" s="132"/>
      <c r="BF63" s="140">
        <f t="shared" si="19"/>
        <v>0</v>
      </c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50"/>
      <c r="BR63" s="141">
        <v>30</v>
      </c>
      <c r="BS63" s="141"/>
      <c r="BT63" s="130">
        <f t="shared" si="20"/>
        <v>0</v>
      </c>
      <c r="BU63" s="132"/>
    </row>
    <row r="64" ht="14.25" customHeight="1">
      <c r="A64" s="132"/>
      <c r="B64" s="215">
        <v>46077</v>
      </c>
      <c r="C64" s="133">
        <f>19565.33-D64-0</f>
      </c>
      <c r="D64" s="134">
        <v>4198.13</v>
      </c>
      <c r="E64" s="135"/>
      <c r="F64" s="135"/>
      <c r="G64" s="147">
        <f t="shared" si="12"/>
        <v>0</v>
      </c>
      <c r="H64" s="144"/>
      <c r="I64" s="143"/>
      <c r="J64" s="145">
        <v>719.02</v>
      </c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03">
        <f t="shared" si="13"/>
        <v>0</v>
      </c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03">
        <f t="shared" si="14"/>
        <v>0</v>
      </c>
      <c r="AI64" s="134">
        <v>4593.82</v>
      </c>
      <c r="AJ64" s="134">
        <v>723.91</v>
      </c>
      <c r="AK64" s="136"/>
      <c r="AL64" s="105">
        <f t="shared" si="15"/>
        <v>0</v>
      </c>
      <c r="AM64" s="143"/>
      <c r="AN64" s="143"/>
      <c r="AO64" s="143"/>
      <c r="AP64" s="146"/>
      <c r="AQ64" s="621">
        <f t="shared" si="16"/>
        <v>0</v>
      </c>
      <c r="AR64" s="1554">
        <v>10023.3</v>
      </c>
      <c r="AS64" s="1709"/>
      <c r="AT64" s="1548"/>
      <c r="AU64" s="1546"/>
      <c r="AV64" s="1709"/>
      <c r="AW64" s="1709"/>
      <c r="AX64" s="1855">
        <v>3474</v>
      </c>
      <c r="AY64" s="1709"/>
      <c r="AZ64" s="1709"/>
      <c r="BA64" s="1709"/>
      <c r="BB64" s="1709"/>
      <c r="BC64" s="222">
        <f t="shared" si="17"/>
        <v>0</v>
      </c>
      <c r="BD64" s="140">
        <f t="shared" si="18"/>
        <v>0</v>
      </c>
      <c r="BE64" s="132"/>
      <c r="BF64" s="140">
        <f t="shared" si="19"/>
        <v>0</v>
      </c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50"/>
      <c r="BR64" s="141">
        <v>30</v>
      </c>
      <c r="BS64" s="141"/>
      <c r="BT64" s="130">
        <f t="shared" si="20"/>
        <v>0</v>
      </c>
      <c r="BU64" s="132"/>
    </row>
    <row r="65" ht="14.25" customHeight="1">
      <c r="A65" s="132"/>
      <c r="B65" s="215">
        <v>46078</v>
      </c>
      <c r="C65" s="133">
        <f>21688.73-D65-0</f>
      </c>
      <c r="D65" s="134">
        <v>5906.87</v>
      </c>
      <c r="E65" s="135"/>
      <c r="F65" s="135"/>
      <c r="G65" s="147">
        <f t="shared" si="12"/>
        <v>0</v>
      </c>
      <c r="H65" s="144"/>
      <c r="I65" s="145">
        <v>232.74</v>
      </c>
      <c r="J65" s="145">
        <v>491.47</v>
      </c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03">
        <f t="shared" si="13"/>
        <v>0</v>
      </c>
      <c r="V65" s="143"/>
      <c r="W65" s="143"/>
      <c r="X65" s="145">
        <v>606.86</v>
      </c>
      <c r="Y65" s="143"/>
      <c r="Z65" s="143"/>
      <c r="AA65" s="143"/>
      <c r="AB65" s="143"/>
      <c r="AC65" s="143"/>
      <c r="AD65" s="143"/>
      <c r="AE65" s="143"/>
      <c r="AF65" s="143"/>
      <c r="AG65" s="143"/>
      <c r="AH65" s="103">
        <f t="shared" si="14"/>
        <v>0</v>
      </c>
      <c r="AI65" s="134">
        <v>4779.88</v>
      </c>
      <c r="AJ65" s="134">
        <v>1520.34</v>
      </c>
      <c r="AK65" s="136"/>
      <c r="AL65" s="105">
        <f t="shared" si="15"/>
        <v>0</v>
      </c>
      <c r="AM65" s="143"/>
      <c r="AN65" s="143"/>
      <c r="AO65" s="143"/>
      <c r="AP65" s="146"/>
      <c r="AQ65" s="621">
        <f t="shared" si="16"/>
        <v>0</v>
      </c>
      <c r="AR65" s="1554">
        <v>9639.8</v>
      </c>
      <c r="AS65" s="1709"/>
      <c r="AT65" s="1548"/>
      <c r="AU65" s="1546"/>
      <c r="AV65" s="1709"/>
      <c r="AW65" s="1709"/>
      <c r="AX65" s="1855">
        <v>4386</v>
      </c>
      <c r="AY65" s="1709"/>
      <c r="AZ65" s="1709"/>
      <c r="BA65" s="1709"/>
      <c r="BB65" s="1709"/>
      <c r="BC65" s="222">
        <f t="shared" si="17"/>
        <v>0</v>
      </c>
      <c r="BD65" s="140">
        <f t="shared" si="18"/>
        <v>0</v>
      </c>
      <c r="BE65" s="132"/>
      <c r="BF65" s="140">
        <f t="shared" si="19"/>
        <v>0</v>
      </c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50"/>
      <c r="BR65" s="141">
        <v>30</v>
      </c>
      <c r="BS65" s="141"/>
      <c r="BT65" s="130">
        <f t="shared" si="20"/>
        <v>0</v>
      </c>
      <c r="BU65" s="132"/>
    </row>
    <row r="66" ht="14.25" customHeight="1">
      <c r="A66" s="132"/>
      <c r="B66" s="215">
        <v>46079</v>
      </c>
      <c r="C66" s="133">
        <f>20847.51-D66-0</f>
      </c>
      <c r="D66" s="134">
        <v>2344.76</v>
      </c>
      <c r="E66" s="135"/>
      <c r="F66" s="135"/>
      <c r="G66" s="147">
        <f t="shared" si="12"/>
        <v>0</v>
      </c>
      <c r="H66" s="144"/>
      <c r="I66" s="143"/>
      <c r="J66" s="143">
        <v>356.6</v>
      </c>
      <c r="K66" s="143"/>
      <c r="L66" s="143"/>
      <c r="M66" s="143"/>
      <c r="N66" s="99"/>
      <c r="O66" s="143"/>
      <c r="P66" s="143"/>
      <c r="Q66" s="143"/>
      <c r="R66" s="143"/>
      <c r="S66" s="145">
        <v>65.69</v>
      </c>
      <c r="T66" s="143"/>
      <c r="U66" s="103">
        <f t="shared" si="13"/>
        <v>0</v>
      </c>
      <c r="V66" s="143"/>
      <c r="W66" s="143"/>
      <c r="X66" s="145">
        <v>198.88</v>
      </c>
      <c r="Y66" s="143"/>
      <c r="Z66" s="143"/>
      <c r="AA66" s="143"/>
      <c r="AB66" s="143"/>
      <c r="AC66" s="143"/>
      <c r="AD66" s="143"/>
      <c r="AE66" s="143"/>
      <c r="AF66" s="143"/>
      <c r="AG66" s="143"/>
      <c r="AH66" s="103">
        <f t="shared" si="14"/>
        <v>0</v>
      </c>
      <c r="AI66" s="134">
        <v>3423.41</v>
      </c>
      <c r="AJ66" s="134">
        <v>425.27</v>
      </c>
      <c r="AK66" s="136"/>
      <c r="AL66" s="105">
        <f t="shared" si="15"/>
        <v>0</v>
      </c>
      <c r="AM66" s="143"/>
      <c r="AN66" s="143"/>
      <c r="AO66" s="143"/>
      <c r="AP66" s="146"/>
      <c r="AQ66" s="621">
        <f t="shared" si="16"/>
        <v>0</v>
      </c>
      <c r="AR66" s="1554">
        <v>14426</v>
      </c>
      <c r="AS66" s="1709"/>
      <c r="AT66" s="1548"/>
      <c r="AU66" s="1546"/>
      <c r="AV66" s="1709"/>
      <c r="AW66" s="1709"/>
      <c r="AX66" s="1855">
        <v>1919</v>
      </c>
      <c r="AY66" s="1709"/>
      <c r="AZ66" s="1709"/>
      <c r="BA66" s="1709"/>
      <c r="BB66" s="1709"/>
      <c r="BC66" s="222">
        <f t="shared" si="17"/>
        <v>0</v>
      </c>
      <c r="BD66" s="140">
        <f t="shared" si="18"/>
        <v>0</v>
      </c>
      <c r="BE66" s="132"/>
      <c r="BF66" s="140">
        <f t="shared" si="19"/>
        <v>0</v>
      </c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31"/>
      <c r="BR66" s="141">
        <v>30</v>
      </c>
      <c r="BS66" s="141"/>
      <c r="BT66" s="130">
        <f t="shared" si="20"/>
        <v>0</v>
      </c>
      <c r="BU66" s="132"/>
    </row>
    <row r="67" ht="14.25" customHeight="1">
      <c r="A67" s="132"/>
      <c r="B67" s="215">
        <v>46080</v>
      </c>
      <c r="C67" s="133">
        <f>24104.43-D67-0</f>
      </c>
      <c r="D67" s="134">
        <v>4262.16</v>
      </c>
      <c r="E67" s="135"/>
      <c r="F67" s="135"/>
      <c r="G67" s="147">
        <f t="shared" si="12"/>
        <v>0</v>
      </c>
      <c r="H67" s="144"/>
      <c r="I67" s="145">
        <v>100</v>
      </c>
      <c r="J67" s="145">
        <v>264.39</v>
      </c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03">
        <f t="shared" si="13"/>
        <v>0</v>
      </c>
      <c r="V67" s="143"/>
      <c r="W67" s="143"/>
      <c r="X67" s="145">
        <v>233.66</v>
      </c>
      <c r="Y67" s="143"/>
      <c r="Z67" s="143"/>
      <c r="AA67" s="143"/>
      <c r="AB67" s="143"/>
      <c r="AC67" s="143"/>
      <c r="AD67" s="143"/>
      <c r="AE67" s="143"/>
      <c r="AF67" s="143"/>
      <c r="AG67" s="143"/>
      <c r="AH67" s="103">
        <f t="shared" si="14"/>
        <v>0</v>
      </c>
      <c r="AI67" s="134">
        <v>6011.5</v>
      </c>
      <c r="AJ67" s="134">
        <v>994.79</v>
      </c>
      <c r="AK67" s="136"/>
      <c r="AL67" s="105">
        <f t="shared" si="15"/>
        <v>0</v>
      </c>
      <c r="AM67" s="143"/>
      <c r="AN67" s="143"/>
      <c r="AO67" s="143"/>
      <c r="AP67" s="146"/>
      <c r="AQ67" s="621">
        <f t="shared" si="16"/>
        <v>0</v>
      </c>
      <c r="AR67" s="1554">
        <v>13201.4</v>
      </c>
      <c r="AS67" s="1709"/>
      <c r="AT67" s="1548"/>
      <c r="AU67" s="1546"/>
      <c r="AV67" s="1709"/>
      <c r="AW67" s="1709"/>
      <c r="AX67" s="1855">
        <v>3267</v>
      </c>
      <c r="AY67" s="1709"/>
      <c r="AZ67" s="1709"/>
      <c r="BA67" s="1709"/>
      <c r="BB67" s="1709"/>
      <c r="BC67" s="222">
        <f t="shared" si="17"/>
        <v>0</v>
      </c>
      <c r="BD67" s="140">
        <f t="shared" si="18"/>
        <v>0</v>
      </c>
      <c r="BE67" s="132"/>
      <c r="BF67" s="140">
        <f t="shared" si="19"/>
        <v>0</v>
      </c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31"/>
      <c r="BR67" s="141">
        <v>30</v>
      </c>
      <c r="BS67" s="141"/>
      <c r="BT67" s="130">
        <f t="shared" si="20"/>
        <v>0</v>
      </c>
      <c r="BU67" s="132"/>
    </row>
    <row r="68" ht="14.25" customHeight="1">
      <c r="A68" s="132"/>
      <c r="B68" s="215">
        <v>46081</v>
      </c>
      <c r="C68" s="133">
        <f>25615.28-D68-0</f>
      </c>
      <c r="D68" s="134">
        <v>5230.77</v>
      </c>
      <c r="E68" s="135"/>
      <c r="F68" s="135"/>
      <c r="G68" s="147">
        <f t="shared" si="12"/>
        <v>0</v>
      </c>
      <c r="H68" s="144"/>
      <c r="I68" s="143"/>
      <c r="J68" s="145">
        <v>863.97</v>
      </c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03">
        <f t="shared" si="13"/>
        <v>0</v>
      </c>
      <c r="V68" s="143"/>
      <c r="W68" s="143"/>
      <c r="X68" s="145">
        <v>334.75</v>
      </c>
      <c r="Y68" s="143"/>
      <c r="Z68" s="143"/>
      <c r="AA68" s="143"/>
      <c r="AB68" s="143"/>
      <c r="AC68" s="143"/>
      <c r="AD68" s="143"/>
      <c r="AE68" s="143"/>
      <c r="AF68" s="143"/>
      <c r="AG68" s="143"/>
      <c r="AH68" s="103">
        <f t="shared" si="14"/>
        <v>0</v>
      </c>
      <c r="AI68" s="134">
        <v>5688.94</v>
      </c>
      <c r="AJ68" s="134">
        <v>842.24</v>
      </c>
      <c r="AK68" s="136"/>
      <c r="AL68" s="105">
        <f t="shared" si="15"/>
        <v>0</v>
      </c>
      <c r="AM68" s="143"/>
      <c r="AN68" s="143"/>
      <c r="AO68" s="143"/>
      <c r="AP68" s="146"/>
      <c r="AQ68" s="621">
        <f t="shared" si="16"/>
        <v>0</v>
      </c>
      <c r="AR68" s="1554">
        <v>13465</v>
      </c>
      <c r="AS68" s="1720"/>
      <c r="AT68" s="1586"/>
      <c r="AU68" s="1557"/>
      <c r="AV68" s="1720"/>
      <c r="AW68" s="1709"/>
      <c r="AX68" s="1855">
        <v>4388</v>
      </c>
      <c r="AY68" s="1709"/>
      <c r="AZ68" s="1709"/>
      <c r="BA68" s="1709"/>
      <c r="BB68" s="1709"/>
      <c r="BC68" s="222">
        <f t="shared" si="17"/>
        <v>0</v>
      </c>
      <c r="BD68" s="140">
        <f t="shared" si="18"/>
        <v>0</v>
      </c>
      <c r="BE68" s="132"/>
      <c r="BF68" s="140">
        <f t="shared" si="19"/>
        <v>0</v>
      </c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50"/>
      <c r="BR68" s="141">
        <v>30</v>
      </c>
      <c r="BS68" s="141"/>
      <c r="BT68" s="130">
        <f t="shared" si="20"/>
        <v>0</v>
      </c>
      <c r="BU68" s="132"/>
    </row>
    <row r="69" ht="14.25" customHeight="1">
      <c r="A69" s="132"/>
      <c r="B69" s="117"/>
      <c r="C69" s="133"/>
      <c r="D69" s="136"/>
      <c r="E69" s="135"/>
      <c r="F69" s="135"/>
      <c r="G69" s="147">
        <f t="shared" si="12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03">
        <f t="shared" si="13"/>
        <v>0</v>
      </c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43"/>
      <c r="AH69" s="103">
        <f t="shared" si="14"/>
        <v>0</v>
      </c>
      <c r="AI69" s="136"/>
      <c r="AJ69" s="136"/>
      <c r="AK69" s="136"/>
      <c r="AL69" s="105">
        <f t="shared" si="15"/>
        <v>0</v>
      </c>
      <c r="AM69" s="143"/>
      <c r="AN69" s="143"/>
      <c r="AO69" s="143"/>
      <c r="AP69" s="146"/>
      <c r="AQ69" s="621">
        <f t="shared" si="16"/>
        <v>0</v>
      </c>
      <c r="AR69" s="1557"/>
      <c r="AS69" s="1720"/>
      <c r="AT69" s="1586"/>
      <c r="AU69" s="1557"/>
      <c r="AV69" s="1720"/>
      <c r="AW69" s="1709"/>
      <c r="AX69" s="1546"/>
      <c r="AY69" s="1709"/>
      <c r="AZ69" s="1709"/>
      <c r="BA69" s="1709"/>
      <c r="BB69" s="1709"/>
      <c r="BC69" s="222">
        <f t="shared" si="17"/>
        <v>0</v>
      </c>
      <c r="BD69" s="140">
        <f t="shared" si="18"/>
        <v>0</v>
      </c>
      <c r="BE69" s="132"/>
      <c r="BF69" s="140">
        <f t="shared" si="19"/>
        <v>0</v>
      </c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20"/>
        <v>0</v>
      </c>
      <c r="BU69" s="132"/>
    </row>
    <row r="70" ht="14.25" customHeight="1">
      <c r="A70" s="3"/>
      <c r="B70" s="2" t="s">
        <v>258</v>
      </c>
      <c r="C70" s="166">
        <f>SUM(C41:C69)</f>
        <v>0</v>
      </c>
      <c r="D70" s="166">
        <f ref="D70:H70" t="shared" si="21">SUM(D41:D68)</f>
        <v>0</v>
      </c>
      <c r="E70" s="166">
        <f t="shared" si="21"/>
        <v>0</v>
      </c>
      <c r="F70" s="166">
        <f t="shared" si="21"/>
        <v>0</v>
      </c>
      <c r="G70" s="166">
        <f t="shared" si="21"/>
        <v>0</v>
      </c>
      <c r="H70" s="166">
        <f t="shared" si="21"/>
        <v>0</v>
      </c>
      <c r="I70" s="166">
        <f>SUM(I41:I69)</f>
        <v>0</v>
      </c>
      <c r="J70" s="166">
        <f ref="J70:R70" t="shared" si="22">SUM(J41:J68)</f>
        <v>0</v>
      </c>
      <c r="K70" s="166">
        <f t="shared" si="22"/>
        <v>0</v>
      </c>
      <c r="L70" s="166">
        <f t="shared" si="22"/>
        <v>0</v>
      </c>
      <c r="M70" s="166">
        <f t="shared" si="22"/>
        <v>0</v>
      </c>
      <c r="N70" s="166">
        <f t="shared" si="22"/>
        <v>0</v>
      </c>
      <c r="O70" s="166">
        <f t="shared" si="22"/>
        <v>0</v>
      </c>
      <c r="P70" s="166">
        <f t="shared" si="22"/>
        <v>0</v>
      </c>
      <c r="Q70" s="166">
        <f t="shared" si="22"/>
        <v>0</v>
      </c>
      <c r="R70" s="166">
        <f t="shared" si="22"/>
        <v>0</v>
      </c>
      <c r="S70" s="166"/>
      <c r="T70" s="166">
        <f ref="T70:W70" t="shared" si="23">SUM(T41:T68)</f>
        <v>0</v>
      </c>
      <c r="U70" s="166">
        <f t="shared" si="23"/>
        <v>0</v>
      </c>
      <c r="V70" s="166">
        <f t="shared" si="23"/>
        <v>0</v>
      </c>
      <c r="W70" s="166">
        <f t="shared" si="23"/>
        <v>0</v>
      </c>
      <c r="X70" s="166">
        <f>SUM(X41:X69)</f>
        <v>0</v>
      </c>
      <c r="Y70" s="166">
        <f ref="Y70:AH70" t="shared" si="24">SUM(Y41:Y68)</f>
        <v>0</v>
      </c>
      <c r="Z70" s="166">
        <f t="shared" si="24"/>
        <v>0</v>
      </c>
      <c r="AA70" s="166">
        <f t="shared" si="24"/>
        <v>0</v>
      </c>
      <c r="AB70" s="166">
        <f t="shared" si="24"/>
        <v>0</v>
      </c>
      <c r="AC70" s="166">
        <f t="shared" si="24"/>
        <v>0</v>
      </c>
      <c r="AD70" s="166">
        <f t="shared" si="24"/>
        <v>0</v>
      </c>
      <c r="AE70" s="166">
        <f t="shared" si="24"/>
        <v>0</v>
      </c>
      <c r="AF70" s="166">
        <f t="shared" si="24"/>
        <v>0</v>
      </c>
      <c r="AG70" s="166">
        <f t="shared" si="24"/>
        <v>0</v>
      </c>
      <c r="AH70" s="166">
        <f t="shared" si="24"/>
        <v>0</v>
      </c>
      <c r="AI70" s="166">
        <f>SUM(AI41:AI69)</f>
        <v>0</v>
      </c>
      <c r="AJ70" s="166">
        <f ref="AJ70:BD70" t="shared" si="25">SUM(AJ41:AJ68)</f>
        <v>0</v>
      </c>
      <c r="AK70" s="166">
        <f t="shared" si="25"/>
        <v>0</v>
      </c>
      <c r="AL70" s="166">
        <f t="shared" si="25"/>
        <v>0</v>
      </c>
      <c r="AM70" s="166">
        <f t="shared" si="25"/>
        <v>0</v>
      </c>
      <c r="AN70" s="166">
        <f t="shared" si="25"/>
        <v>0</v>
      </c>
      <c r="AO70" s="166">
        <f t="shared" si="25"/>
        <v>0</v>
      </c>
      <c r="AP70" s="166">
        <f t="shared" si="25"/>
        <v>0</v>
      </c>
      <c r="AQ70" s="166">
        <f t="shared" si="25"/>
        <v>0</v>
      </c>
      <c r="AR70" s="165">
        <f t="shared" si="25"/>
        <v>0</v>
      </c>
      <c r="AS70" s="165">
        <f t="shared" si="25"/>
        <v>0</v>
      </c>
      <c r="AT70" s="165">
        <f t="shared" si="25"/>
        <v>0</v>
      </c>
      <c r="AU70" s="165">
        <f t="shared" si="25"/>
        <v>0</v>
      </c>
      <c r="AV70" s="165">
        <f t="shared" si="25"/>
        <v>0</v>
      </c>
      <c r="AW70" s="166">
        <f t="shared" si="25"/>
        <v>0</v>
      </c>
      <c r="AX70" s="166">
        <f t="shared" si="25"/>
        <v>0</v>
      </c>
      <c r="AY70" s="166">
        <f t="shared" si="25"/>
        <v>0</v>
      </c>
      <c r="AZ70" s="166">
        <f t="shared" si="25"/>
        <v>0</v>
      </c>
      <c r="BA70" s="166">
        <f t="shared" si="25"/>
        <v>0</v>
      </c>
      <c r="BB70" s="166">
        <f t="shared" si="25"/>
        <v>0</v>
      </c>
      <c r="BC70" s="166">
        <f t="shared" si="25"/>
        <v>0</v>
      </c>
      <c r="BD70" s="166">
        <f t="shared" si="25"/>
        <v>0</v>
      </c>
      <c r="BE70" s="235"/>
      <c r="BF70" s="166">
        <f ref="BF70:BT70" t="shared" si="26">SUM(BF41:BF68)</f>
        <v>0</v>
      </c>
      <c r="BG70" s="166">
        <f t="shared" si="26"/>
        <v>0</v>
      </c>
      <c r="BH70" s="166">
        <f t="shared" si="26"/>
        <v>0</v>
      </c>
      <c r="BI70" s="166">
        <f t="shared" si="26"/>
        <v>0</v>
      </c>
      <c r="BJ70" s="166">
        <f t="shared" si="26"/>
        <v>0</v>
      </c>
      <c r="BK70" s="166">
        <f t="shared" si="26"/>
        <v>0</v>
      </c>
      <c r="BL70" s="166">
        <f t="shared" si="26"/>
        <v>0</v>
      </c>
      <c r="BM70" s="166">
        <f t="shared" si="26"/>
        <v>0</v>
      </c>
      <c r="BN70" s="166">
        <f t="shared" si="26"/>
        <v>0</v>
      </c>
      <c r="BO70" s="166">
        <f t="shared" si="26"/>
        <v>0</v>
      </c>
      <c r="BP70" s="166">
        <f t="shared" si="26"/>
        <v>0</v>
      </c>
      <c r="BQ70" s="166">
        <f t="shared" si="26"/>
        <v>0</v>
      </c>
      <c r="BR70" s="166">
        <f t="shared" si="26"/>
        <v>0</v>
      </c>
      <c r="BS70" s="166">
        <f t="shared" si="26"/>
        <v>0</v>
      </c>
      <c r="BT70" s="166">
        <f t="shared" si="26"/>
        <v>0</v>
      </c>
      <c r="BU70" s="235"/>
    </row>
    <row r="71" ht="14.25" customHeight="1">
      <c r="A71" s="1"/>
      <c r="B71" s="206"/>
      <c r="C71" s="3"/>
      <c r="D71" s="3"/>
      <c r="E71" s="3"/>
      <c r="F71" s="3"/>
      <c r="G71" s="133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4"/>
      <c r="AM71" s="3"/>
      <c r="AN71" s="3"/>
      <c r="AO71" s="3"/>
      <c r="AP71" s="3"/>
      <c r="AQ71" s="4"/>
      <c r="AR71" s="132"/>
      <c r="AS71" s="132"/>
      <c r="AT71" s="132"/>
      <c r="AU71" s="3"/>
      <c r="AV71" s="3"/>
      <c r="AW71" s="3"/>
      <c r="AX71" s="132"/>
      <c r="AY71" s="132"/>
      <c r="AZ71" s="132"/>
      <c r="BA71" s="132"/>
      <c r="BB71" s="132"/>
      <c r="BC71" s="4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235"/>
    </row>
    <row r="72" ht="14.25" customHeight="1">
      <c r="A72" s="205"/>
      <c r="B72" s="207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9"/>
      <c r="AI72" s="207"/>
      <c r="AJ72" s="207"/>
      <c r="AK72" s="207"/>
      <c r="AL72" s="208"/>
      <c r="AM72" s="207"/>
      <c r="AN72" s="207"/>
      <c r="AO72" s="207"/>
      <c r="AP72" s="207"/>
      <c r="AQ72" s="210"/>
      <c r="AR72" s="316"/>
      <c r="AS72" s="316"/>
      <c r="AT72" s="316"/>
      <c r="AU72" s="207"/>
      <c r="AV72" s="207"/>
      <c r="AW72" s="207"/>
      <c r="AX72" s="316"/>
      <c r="AY72" s="316"/>
      <c r="AZ72" s="316"/>
      <c r="BA72" s="316"/>
      <c r="BB72" s="316"/>
      <c r="BC72" s="214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ht="14.25" customHeight="1">
      <c r="A73" s="3"/>
      <c r="B73" s="215">
        <v>46082</v>
      </c>
      <c r="C73" s="104">
        <f>25543.15-D73-0</f>
      </c>
      <c r="D73" s="95">
        <v>4908.47</v>
      </c>
      <c r="E73" s="97"/>
      <c r="F73" s="97"/>
      <c r="G73" s="265">
        <f ref="G73:G103" t="shared" si="27">+C73+D73+E73+F73</f>
        <v>0</v>
      </c>
      <c r="H73" s="187"/>
      <c r="I73" s="188">
        <v>211.91</v>
      </c>
      <c r="J73" s="188">
        <v>510.7</v>
      </c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9">
        <f ref="U73:U103" t="shared" si="28">SUM(H73:T73)</f>
        <v>0</v>
      </c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03">
        <f ref="AH73:AH103" t="shared" si="29">SUM(V73:AG73)</f>
        <v>0</v>
      </c>
      <c r="AI73" s="95">
        <v>5695.17</v>
      </c>
      <c r="AJ73" s="95">
        <v>1180.58</v>
      </c>
      <c r="AK73" s="104"/>
      <c r="AL73" s="191">
        <f ref="AL73:AL103" t="shared" si="30">SUM(AI73:AK73)</f>
        <v>0</v>
      </c>
      <c r="AM73" s="186"/>
      <c r="AN73" s="186"/>
      <c r="AO73" s="186"/>
      <c r="AP73" s="193"/>
      <c r="AQ73" s="219">
        <f ref="AQ73:AQ103" t="shared" si="31">+G73-U73-AH73-AL73-AM73-AN73-AO73-AP73</f>
        <v>0</v>
      </c>
      <c r="AR73" s="1856">
        <v>14215</v>
      </c>
      <c r="AS73" s="1708"/>
      <c r="AT73" s="1537"/>
      <c r="AU73" s="1537"/>
      <c r="AV73" s="1537"/>
      <c r="AW73" s="1537"/>
      <c r="AX73" s="1721">
        <v>3727.7</v>
      </c>
      <c r="AY73" s="1708"/>
      <c r="AZ73" s="1708"/>
      <c r="BA73" s="1708"/>
      <c r="BB73" s="1708"/>
      <c r="BC73" s="222">
        <f ref="BC73:BC103" t="shared" si="32">SUM(AR73:BB73)-BA73</f>
        <v>0</v>
      </c>
      <c r="BD73" s="114">
        <f ref="BD73:BD103" t="shared" si="33">+AQ73-BC73</f>
        <v>0</v>
      </c>
      <c r="BE73" s="3"/>
      <c r="BF73" s="114">
        <f ref="BF73:BF103" t="shared" si="34">SUM(BG73:BS73)</f>
        <v>0</v>
      </c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29"/>
      <c r="BR73" s="115"/>
      <c r="BS73" s="115"/>
      <c r="BT73" s="116">
        <f ref="BT73:BT103" t="shared" si="35">+BD73-BF73</f>
        <v>0</v>
      </c>
      <c r="BU73" s="3"/>
    </row>
    <row r="74" ht="14.25" customHeight="1">
      <c r="A74" s="3"/>
      <c r="B74" s="215">
        <v>46083</v>
      </c>
      <c r="C74" s="123">
        <f>23476.88-D74-0</f>
      </c>
      <c r="D74" s="119">
        <v>4585.76</v>
      </c>
      <c r="E74" s="120"/>
      <c r="F74" s="120"/>
      <c r="G74" s="147">
        <f t="shared" si="27"/>
        <v>0</v>
      </c>
      <c r="H74" s="144"/>
      <c r="I74" s="143"/>
      <c r="J74" s="145">
        <v>324.08</v>
      </c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03">
        <f t="shared" si="28"/>
        <v>0</v>
      </c>
      <c r="V74" s="143"/>
      <c r="W74" s="143"/>
      <c r="X74" s="145">
        <v>244.84</v>
      </c>
      <c r="Y74" s="143"/>
      <c r="Z74" s="143"/>
      <c r="AA74" s="143"/>
      <c r="AB74" s="143"/>
      <c r="AC74" s="143"/>
      <c r="AD74" s="143"/>
      <c r="AE74" s="143"/>
      <c r="AF74" s="143"/>
      <c r="AG74" s="143"/>
      <c r="AH74" s="103">
        <f t="shared" si="29"/>
        <v>0</v>
      </c>
      <c r="AI74" s="119">
        <v>2836.76</v>
      </c>
      <c r="AJ74" s="119">
        <v>1275.85</v>
      </c>
      <c r="AK74" s="123"/>
      <c r="AL74" s="105">
        <f t="shared" si="30"/>
        <v>0</v>
      </c>
      <c r="AM74" s="143"/>
      <c r="AN74" s="143"/>
      <c r="AO74" s="143"/>
      <c r="AP74" s="146"/>
      <c r="AQ74" s="224">
        <f t="shared" si="31"/>
        <v>0</v>
      </c>
      <c r="AR74" s="1634">
        <v>15454</v>
      </c>
      <c r="AS74" s="1709"/>
      <c r="AT74" s="1546"/>
      <c r="AU74" s="1546"/>
      <c r="AV74" s="1546"/>
      <c r="AW74" s="1546"/>
      <c r="AX74" s="1554">
        <v>3309.2</v>
      </c>
      <c r="AY74" s="1709"/>
      <c r="AZ74" s="1709"/>
      <c r="BA74" s="1709"/>
      <c r="BB74" s="1709"/>
      <c r="BC74" s="222">
        <f t="shared" si="32"/>
        <v>0</v>
      </c>
      <c r="BD74" s="113">
        <f t="shared" si="33"/>
        <v>0</v>
      </c>
      <c r="BE74" s="3"/>
      <c r="BF74" s="113">
        <f t="shared" si="34"/>
        <v>0</v>
      </c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31"/>
      <c r="BR74" s="129">
        <v>30</v>
      </c>
      <c r="BS74" s="129"/>
      <c r="BT74" s="130">
        <f t="shared" si="35"/>
        <v>0</v>
      </c>
      <c r="BU74" s="3"/>
    </row>
    <row r="75" ht="14.25" customHeight="1">
      <c r="A75" s="3"/>
      <c r="B75" s="215">
        <v>46084</v>
      </c>
      <c r="C75" s="123">
        <f>30267.67-D75-0</f>
      </c>
      <c r="D75" s="119">
        <v>4592.67</v>
      </c>
      <c r="E75" s="120"/>
      <c r="F75" s="120"/>
      <c r="G75" s="147">
        <f t="shared" si="27"/>
        <v>0</v>
      </c>
      <c r="H75" s="144"/>
      <c r="I75" s="143"/>
      <c r="J75" s="143">
        <v>818.37</v>
      </c>
      <c r="K75" s="143"/>
      <c r="L75" s="143"/>
      <c r="M75" s="143"/>
      <c r="N75" s="143"/>
      <c r="O75" s="143"/>
      <c r="P75" s="143"/>
      <c r="Q75" s="143"/>
      <c r="R75" s="143"/>
      <c r="S75" s="143">
        <v>115.95</v>
      </c>
      <c r="T75" s="143"/>
      <c r="U75" s="103">
        <f t="shared" si="28"/>
        <v>0</v>
      </c>
      <c r="V75" s="143"/>
      <c r="W75" s="143"/>
      <c r="X75" s="145">
        <v>122.08</v>
      </c>
      <c r="Y75" s="143"/>
      <c r="Z75" s="143"/>
      <c r="AA75" s="143"/>
      <c r="AB75" s="143"/>
      <c r="AC75" s="143"/>
      <c r="AD75" s="143"/>
      <c r="AE75" s="143"/>
      <c r="AF75" s="143"/>
      <c r="AG75" s="143"/>
      <c r="AH75" s="103">
        <f t="shared" si="29"/>
        <v>0</v>
      </c>
      <c r="AI75" s="119">
        <v>5962.38</v>
      </c>
      <c r="AJ75" s="119">
        <v>1506.85</v>
      </c>
      <c r="AK75" s="123"/>
      <c r="AL75" s="105">
        <f t="shared" si="30"/>
        <v>0</v>
      </c>
      <c r="AM75" s="143"/>
      <c r="AN75" s="143"/>
      <c r="AO75" s="143"/>
      <c r="AP75" s="146"/>
      <c r="AQ75" s="224">
        <f t="shared" si="31"/>
        <v>0</v>
      </c>
      <c r="AR75" s="1634">
        <v>18624</v>
      </c>
      <c r="AS75" s="1709"/>
      <c r="AT75" s="1546"/>
      <c r="AU75" s="1546"/>
      <c r="AV75" s="1546"/>
      <c r="AW75" s="1546"/>
      <c r="AX75" s="1554">
        <v>3085.8</v>
      </c>
      <c r="AY75" s="1709"/>
      <c r="AZ75" s="1709"/>
      <c r="BA75" s="1709"/>
      <c r="BB75" s="1709"/>
      <c r="BC75" s="222">
        <f t="shared" si="32"/>
        <v>0</v>
      </c>
      <c r="BD75" s="113">
        <f t="shared" si="33"/>
        <v>0</v>
      </c>
      <c r="BE75" s="3"/>
      <c r="BF75" s="113">
        <f t="shared" si="34"/>
        <v>0</v>
      </c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31"/>
      <c r="BR75" s="129">
        <v>30</v>
      </c>
      <c r="BS75" s="129"/>
      <c r="BT75" s="130">
        <f t="shared" si="35"/>
        <v>0</v>
      </c>
      <c r="BU75" s="3"/>
    </row>
    <row r="76" ht="14.25" customHeight="1">
      <c r="A76" s="3"/>
      <c r="B76" s="215">
        <v>46085</v>
      </c>
      <c r="C76" s="123">
        <f>13876.42-D76-0</f>
      </c>
      <c r="D76" s="119">
        <v>3404.58</v>
      </c>
      <c r="E76" s="120"/>
      <c r="F76" s="120"/>
      <c r="G76" s="147">
        <f t="shared" si="27"/>
        <v>0</v>
      </c>
      <c r="H76" s="144"/>
      <c r="I76" s="143"/>
      <c r="J76" s="145">
        <v>1629.74</v>
      </c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03">
        <f t="shared" si="28"/>
        <v>0</v>
      </c>
      <c r="V76" s="143"/>
      <c r="W76" s="143"/>
      <c r="X76" s="145">
        <v>170.31</v>
      </c>
      <c r="Y76" s="143"/>
      <c r="Z76" s="143"/>
      <c r="AA76" s="143"/>
      <c r="AB76" s="143"/>
      <c r="AC76" s="143"/>
      <c r="AD76" s="143"/>
      <c r="AE76" s="143"/>
      <c r="AF76" s="143"/>
      <c r="AG76" s="143"/>
      <c r="AH76" s="103">
        <f t="shared" si="29"/>
        <v>0</v>
      </c>
      <c r="AI76" s="119">
        <v>2389.92</v>
      </c>
      <c r="AJ76" s="119">
        <v>710.8</v>
      </c>
      <c r="AK76" s="123"/>
      <c r="AL76" s="105">
        <f t="shared" si="30"/>
        <v>0</v>
      </c>
      <c r="AM76" s="143"/>
      <c r="AN76" s="143"/>
      <c r="AO76" s="143"/>
      <c r="AP76" s="146"/>
      <c r="AQ76" s="224">
        <f t="shared" si="31"/>
        <v>0</v>
      </c>
      <c r="AR76" s="1634">
        <v>6250</v>
      </c>
      <c r="AS76" s="1709"/>
      <c r="AT76" s="1546"/>
      <c r="AU76" s="1546"/>
      <c r="AV76" s="1546"/>
      <c r="AW76" s="1546"/>
      <c r="AX76" s="1554">
        <v>2693.2</v>
      </c>
      <c r="AY76" s="1709"/>
      <c r="AZ76" s="1709"/>
      <c r="BA76" s="1709"/>
      <c r="BB76" s="1709"/>
      <c r="BC76" s="222">
        <f t="shared" si="32"/>
        <v>0</v>
      </c>
      <c r="BD76" s="113">
        <f t="shared" si="33"/>
        <v>0</v>
      </c>
      <c r="BE76" s="3"/>
      <c r="BF76" s="113">
        <f t="shared" si="34"/>
        <v>0</v>
      </c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31"/>
      <c r="BR76" s="129">
        <v>30</v>
      </c>
      <c r="BS76" s="129"/>
      <c r="BT76" s="130">
        <f t="shared" si="35"/>
        <v>0</v>
      </c>
      <c r="BU76" s="3"/>
    </row>
    <row r="77" ht="14.25" customHeight="1">
      <c r="A77" s="3"/>
      <c r="B77" s="215">
        <v>46086</v>
      </c>
      <c r="C77" s="123">
        <f>25846.82-D77-0</f>
      </c>
      <c r="D77" s="119">
        <v>4611.33</v>
      </c>
      <c r="E77" s="120"/>
      <c r="F77" s="120"/>
      <c r="G77" s="147">
        <f t="shared" si="27"/>
        <v>0</v>
      </c>
      <c r="H77" s="144"/>
      <c r="I77" s="143"/>
      <c r="J77" s="143">
        <v>2652.98</v>
      </c>
      <c r="K77" s="143"/>
      <c r="L77" s="143"/>
      <c r="M77" s="143"/>
      <c r="N77" s="143"/>
      <c r="O77" s="143"/>
      <c r="P77" s="143"/>
      <c r="Q77" s="143"/>
      <c r="R77" s="143"/>
      <c r="S77" s="145">
        <v>28.37</v>
      </c>
      <c r="T77" s="143"/>
      <c r="U77" s="103">
        <f t="shared" si="28"/>
        <v>0</v>
      </c>
      <c r="V77" s="143"/>
      <c r="W77" s="143"/>
      <c r="X77" s="145">
        <v>284.51</v>
      </c>
      <c r="Y77" s="143"/>
      <c r="Z77" s="143"/>
      <c r="AA77" s="143"/>
      <c r="AB77" s="143"/>
      <c r="AC77" s="143"/>
      <c r="AD77" s="143"/>
      <c r="AE77" s="143"/>
      <c r="AF77" s="143"/>
      <c r="AG77" s="143"/>
      <c r="AH77" s="103">
        <f t="shared" si="29"/>
        <v>0</v>
      </c>
      <c r="AI77" s="119">
        <v>6314.44</v>
      </c>
      <c r="AJ77" s="119">
        <v>795.59</v>
      </c>
      <c r="AK77" s="123"/>
      <c r="AL77" s="105">
        <f t="shared" si="30"/>
        <v>0</v>
      </c>
      <c r="AM77" s="143"/>
      <c r="AN77" s="143"/>
      <c r="AO77" s="143"/>
      <c r="AP77" s="146"/>
      <c r="AQ77" s="224">
        <f t="shared" si="31"/>
        <v>0</v>
      </c>
      <c r="AR77" s="1634">
        <v>11923.9</v>
      </c>
      <c r="AS77" s="1709"/>
      <c r="AT77" s="1546"/>
      <c r="AU77" s="1546"/>
      <c r="AV77" s="1546"/>
      <c r="AW77" s="1546"/>
      <c r="AX77" s="1554">
        <v>3815</v>
      </c>
      <c r="AY77" s="1709"/>
      <c r="AZ77" s="1709"/>
      <c r="BA77" s="1709"/>
      <c r="BB77" s="1709"/>
      <c r="BC77" s="222">
        <f t="shared" si="32"/>
        <v>0</v>
      </c>
      <c r="BD77" s="113">
        <f t="shared" si="33"/>
        <v>0</v>
      </c>
      <c r="BE77" s="3"/>
      <c r="BF77" s="113">
        <f t="shared" si="34"/>
        <v>0</v>
      </c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31"/>
      <c r="BR77" s="129">
        <v>30</v>
      </c>
      <c r="BS77" s="129"/>
      <c r="BT77" s="130">
        <f t="shared" si="35"/>
        <v>0</v>
      </c>
      <c r="BU77" s="3"/>
    </row>
    <row r="78" ht="14.25" customHeight="1">
      <c r="A78" s="3"/>
      <c r="B78" s="215">
        <v>46087</v>
      </c>
      <c r="C78" s="123">
        <f>43578.91-D78-0</f>
      </c>
      <c r="D78" s="119">
        <v>10859.7</v>
      </c>
      <c r="E78" s="120"/>
      <c r="F78" s="120"/>
      <c r="G78" s="147">
        <f t="shared" si="27"/>
        <v>0</v>
      </c>
      <c r="H78" s="144"/>
      <c r="I78" s="143"/>
      <c r="J78" s="145">
        <v>1396.32</v>
      </c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03">
        <f t="shared" si="28"/>
        <v>0</v>
      </c>
      <c r="V78" s="143"/>
      <c r="W78" s="143"/>
      <c r="X78" s="145">
        <v>154.07</v>
      </c>
      <c r="Y78" s="143"/>
      <c r="Z78" s="143"/>
      <c r="AA78" s="143"/>
      <c r="AB78" s="143"/>
      <c r="AC78" s="143"/>
      <c r="AD78" s="143"/>
      <c r="AE78" s="143"/>
      <c r="AF78" s="143"/>
      <c r="AG78" s="143"/>
      <c r="AH78" s="103">
        <f t="shared" si="29"/>
        <v>0</v>
      </c>
      <c r="AI78" s="119">
        <v>12003.18</v>
      </c>
      <c r="AJ78" s="119">
        <v>1764.14</v>
      </c>
      <c r="AK78" s="123"/>
      <c r="AL78" s="105">
        <f t="shared" si="30"/>
        <v>0</v>
      </c>
      <c r="AM78" s="143"/>
      <c r="AN78" s="143"/>
      <c r="AO78" s="143"/>
      <c r="AP78" s="146"/>
      <c r="AQ78" s="224">
        <f t="shared" si="31"/>
        <v>0</v>
      </c>
      <c r="AR78" s="1634">
        <v>19134.3</v>
      </c>
      <c r="AS78" s="1709"/>
      <c r="AT78" s="1546"/>
      <c r="AU78" s="1546"/>
      <c r="AV78" s="1546"/>
      <c r="AW78" s="1546"/>
      <c r="AX78" s="1554">
        <v>9095.5</v>
      </c>
      <c r="AY78" s="1709"/>
      <c r="AZ78" s="1709"/>
      <c r="BA78" s="1709"/>
      <c r="BB78" s="1709"/>
      <c r="BC78" s="222">
        <f t="shared" si="32"/>
        <v>0</v>
      </c>
      <c r="BD78" s="113">
        <f t="shared" si="33"/>
        <v>0</v>
      </c>
      <c r="BE78" s="3"/>
      <c r="BF78" s="113">
        <f t="shared" si="34"/>
        <v>0</v>
      </c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31"/>
      <c r="BR78" s="129">
        <v>30</v>
      </c>
      <c r="BS78" s="129"/>
      <c r="BT78" s="130">
        <f t="shared" si="35"/>
        <v>0</v>
      </c>
      <c r="BU78" s="3"/>
    </row>
    <row r="79" ht="14.25" customHeight="1">
      <c r="A79" s="132"/>
      <c r="B79" s="215">
        <v>46088</v>
      </c>
      <c r="C79" s="136">
        <f>48972.99-D79-0</f>
      </c>
      <c r="D79" s="134">
        <v>15582.18</v>
      </c>
      <c r="E79" s="135"/>
      <c r="F79" s="135"/>
      <c r="G79" s="147">
        <f t="shared" si="27"/>
        <v>0</v>
      </c>
      <c r="H79" s="144"/>
      <c r="I79" s="143"/>
      <c r="J79" s="145">
        <v>1608.02</v>
      </c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03">
        <f t="shared" si="28"/>
        <v>0</v>
      </c>
      <c r="V79" s="143"/>
      <c r="W79" s="143"/>
      <c r="X79" s="145">
        <v>196.49</v>
      </c>
      <c r="Y79" s="143"/>
      <c r="Z79" s="143"/>
      <c r="AA79" s="143"/>
      <c r="AB79" s="143"/>
      <c r="AC79" s="143"/>
      <c r="AD79" s="143"/>
      <c r="AE79" s="143"/>
      <c r="AF79" s="143"/>
      <c r="AG79" s="143"/>
      <c r="AH79" s="103">
        <f t="shared" si="29"/>
        <v>0</v>
      </c>
      <c r="AI79" s="134">
        <v>11717.28</v>
      </c>
      <c r="AJ79" s="134">
        <v>2516.79</v>
      </c>
      <c r="AK79" s="136"/>
      <c r="AL79" s="105">
        <f t="shared" si="30"/>
        <v>0</v>
      </c>
      <c r="AM79" s="143"/>
      <c r="AN79" s="143"/>
      <c r="AO79" s="143"/>
      <c r="AP79" s="146"/>
      <c r="AQ79" s="224">
        <f t="shared" si="31"/>
        <v>0</v>
      </c>
      <c r="AR79" s="1634">
        <v>19835.8</v>
      </c>
      <c r="AS79" s="1709"/>
      <c r="AT79" s="1546"/>
      <c r="AU79" s="1546"/>
      <c r="AV79" s="1546"/>
      <c r="AW79" s="1546"/>
      <c r="AX79" s="1554">
        <v>13065</v>
      </c>
      <c r="AY79" s="1709"/>
      <c r="AZ79" s="1709"/>
      <c r="BA79" s="1709"/>
      <c r="BB79" s="1709"/>
      <c r="BC79" s="222">
        <f t="shared" si="32"/>
        <v>0</v>
      </c>
      <c r="BD79" s="140">
        <f t="shared" si="33"/>
        <v>0</v>
      </c>
      <c r="BE79" s="132"/>
      <c r="BF79" s="140">
        <f t="shared" si="34"/>
        <v>0</v>
      </c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50"/>
      <c r="BR79" s="141">
        <v>30</v>
      </c>
      <c r="BS79" s="141"/>
      <c r="BT79" s="130">
        <f t="shared" si="35"/>
        <v>0</v>
      </c>
      <c r="BU79" s="132"/>
    </row>
    <row r="80" ht="14.25" customHeight="1">
      <c r="A80" s="132"/>
      <c r="B80" s="215">
        <v>46089</v>
      </c>
      <c r="C80" s="136">
        <f>32027.29-D80-0</f>
      </c>
      <c r="D80" s="134">
        <v>8526.16</v>
      </c>
      <c r="E80" s="135"/>
      <c r="F80" s="135"/>
      <c r="G80" s="147">
        <f t="shared" si="27"/>
        <v>0</v>
      </c>
      <c r="H80" s="144"/>
      <c r="I80" s="143"/>
      <c r="J80" s="145">
        <v>200</v>
      </c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03">
        <f t="shared" si="28"/>
        <v>0</v>
      </c>
      <c r="V80" s="143"/>
      <c r="W80" s="143"/>
      <c r="X80" s="145">
        <v>100</v>
      </c>
      <c r="Y80" s="143"/>
      <c r="Z80" s="143"/>
      <c r="AA80" s="143"/>
      <c r="AB80" s="143"/>
      <c r="AC80" s="143"/>
      <c r="AD80" s="143"/>
      <c r="AE80" s="143"/>
      <c r="AF80" s="143"/>
      <c r="AG80" s="143"/>
      <c r="AH80" s="103">
        <f t="shared" si="29"/>
        <v>0</v>
      </c>
      <c r="AI80" s="134">
        <v>5031.08</v>
      </c>
      <c r="AJ80" s="134">
        <v>732.85</v>
      </c>
      <c r="AK80" s="136"/>
      <c r="AL80" s="105">
        <f t="shared" si="30"/>
        <v>0</v>
      </c>
      <c r="AM80" s="143"/>
      <c r="AN80" s="143"/>
      <c r="AO80" s="143"/>
      <c r="AP80" s="146"/>
      <c r="AQ80" s="224">
        <f t="shared" si="31"/>
        <v>0</v>
      </c>
      <c r="AR80" s="1634">
        <v>18167.7</v>
      </c>
      <c r="AS80" s="1709"/>
      <c r="AT80" s="1546"/>
      <c r="AU80" s="1546"/>
      <c r="AV80" s="1546"/>
      <c r="AW80" s="1546"/>
      <c r="AX80" s="1554">
        <v>7793</v>
      </c>
      <c r="AY80" s="1709"/>
      <c r="AZ80" s="1709"/>
      <c r="BA80" s="1709"/>
      <c r="BB80" s="1709"/>
      <c r="BC80" s="222">
        <f t="shared" si="32"/>
        <v>0</v>
      </c>
      <c r="BD80" s="140">
        <f t="shared" si="33"/>
        <v>0</v>
      </c>
      <c r="BE80" s="132"/>
      <c r="BF80" s="140">
        <f t="shared" si="34"/>
        <v>0</v>
      </c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30">
        <f t="shared" si="35"/>
        <v>0</v>
      </c>
      <c r="BU80" s="132"/>
    </row>
    <row r="81" ht="14.25" customHeight="1">
      <c r="A81" s="132"/>
      <c r="B81" s="215">
        <v>46090</v>
      </c>
      <c r="C81" s="134">
        <f>32204.66-D81-0</f>
      </c>
      <c r="D81" s="134"/>
      <c r="E81" s="135"/>
      <c r="F81" s="135"/>
      <c r="G81" s="147">
        <f t="shared" si="27"/>
        <v>0</v>
      </c>
      <c r="H81" s="144"/>
      <c r="I81" s="143"/>
      <c r="J81" s="145">
        <v>1132.21</v>
      </c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03">
        <f t="shared" si="28"/>
        <v>0</v>
      </c>
      <c r="V81" s="143"/>
      <c r="W81" s="143"/>
      <c r="X81" s="145">
        <v>395.76</v>
      </c>
      <c r="Y81" s="143"/>
      <c r="Z81" s="143"/>
      <c r="AA81" s="143"/>
      <c r="AB81" s="143"/>
      <c r="AC81" s="143"/>
      <c r="AD81" s="143"/>
      <c r="AE81" s="143"/>
      <c r="AF81" s="143"/>
      <c r="AG81" s="143"/>
      <c r="AH81" s="103">
        <f t="shared" si="29"/>
        <v>0</v>
      </c>
      <c r="AI81" s="134">
        <v>9157.5</v>
      </c>
      <c r="AJ81" s="134"/>
      <c r="AK81" s="136"/>
      <c r="AL81" s="105">
        <f t="shared" si="30"/>
        <v>0</v>
      </c>
      <c r="AM81" s="143"/>
      <c r="AN81" s="143"/>
      <c r="AO81" s="143"/>
      <c r="AP81" s="146"/>
      <c r="AQ81" s="224">
        <f t="shared" si="31"/>
        <v>0</v>
      </c>
      <c r="AR81" s="1634">
        <v>21486.6</v>
      </c>
      <c r="AS81" s="1709"/>
      <c r="AT81" s="1546"/>
      <c r="AU81" s="1546"/>
      <c r="AV81" s="1546"/>
      <c r="AW81" s="1546"/>
      <c r="AX81" s="1554"/>
      <c r="AY81" s="1709"/>
      <c r="AZ81" s="1709"/>
      <c r="BA81" s="1709"/>
      <c r="BB81" s="1709"/>
      <c r="BC81" s="222">
        <f t="shared" si="32"/>
        <v>0</v>
      </c>
      <c r="BD81" s="140">
        <f t="shared" si="33"/>
        <v>0</v>
      </c>
      <c r="BE81" s="132"/>
      <c r="BF81" s="140">
        <f t="shared" si="34"/>
        <v>0</v>
      </c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31"/>
      <c r="BR81" s="141">
        <v>30</v>
      </c>
      <c r="BS81" s="141"/>
      <c r="BT81" s="130">
        <f t="shared" si="35"/>
        <v>0</v>
      </c>
      <c r="BU81" s="132"/>
    </row>
    <row r="82" ht="14.25" customHeight="1">
      <c r="A82" s="132"/>
      <c r="B82" s="215">
        <v>46091</v>
      </c>
      <c r="C82" s="134">
        <f>33024.60-D82-0</f>
      </c>
      <c r="D82" s="134"/>
      <c r="E82" s="135"/>
      <c r="F82" s="135"/>
      <c r="G82" s="147">
        <f t="shared" si="27"/>
        <v>0</v>
      </c>
      <c r="H82" s="144"/>
      <c r="I82" s="143"/>
      <c r="J82" s="145">
        <v>804.22</v>
      </c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03">
        <f t="shared" si="28"/>
        <v>0</v>
      </c>
      <c r="V82" s="143"/>
      <c r="W82" s="143"/>
      <c r="X82" s="145">
        <v>233.31</v>
      </c>
      <c r="Y82" s="143"/>
      <c r="Z82" s="143"/>
      <c r="AA82" s="143"/>
      <c r="AB82" s="143"/>
      <c r="AC82" s="143"/>
      <c r="AD82" s="143"/>
      <c r="AE82" s="143"/>
      <c r="AF82" s="143"/>
      <c r="AG82" s="143"/>
      <c r="AH82" s="103">
        <f t="shared" si="29"/>
        <v>0</v>
      </c>
      <c r="AI82" s="134">
        <v>13214.54</v>
      </c>
      <c r="AJ82" s="134"/>
      <c r="AK82" s="136"/>
      <c r="AL82" s="105">
        <f t="shared" si="30"/>
        <v>0</v>
      </c>
      <c r="AM82" s="143"/>
      <c r="AN82" s="143"/>
      <c r="AO82" s="143"/>
      <c r="AP82" s="146"/>
      <c r="AQ82" s="224">
        <f t="shared" si="31"/>
        <v>0</v>
      </c>
      <c r="AR82" s="1634">
        <v>18741.4</v>
      </c>
      <c r="AS82" s="1709"/>
      <c r="AT82" s="1546"/>
      <c r="AU82" s="1546"/>
      <c r="AV82" s="1546"/>
      <c r="AW82" s="1546"/>
      <c r="AX82" s="1554"/>
      <c r="AY82" s="1709"/>
      <c r="AZ82" s="1709"/>
      <c r="BA82" s="1709"/>
      <c r="BB82" s="1709"/>
      <c r="BC82" s="222">
        <f t="shared" si="32"/>
        <v>0</v>
      </c>
      <c r="BD82" s="140">
        <f t="shared" si="33"/>
        <v>0</v>
      </c>
      <c r="BE82" s="132"/>
      <c r="BF82" s="140">
        <f t="shared" si="34"/>
        <v>0</v>
      </c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50"/>
      <c r="BR82" s="141">
        <v>30</v>
      </c>
      <c r="BS82" s="141"/>
      <c r="BT82" s="130">
        <f t="shared" si="35"/>
        <v>0</v>
      </c>
      <c r="BU82" s="132"/>
    </row>
    <row r="83" ht="14.25" customHeight="1">
      <c r="A83" s="132"/>
      <c r="B83" s="215">
        <v>46092</v>
      </c>
      <c r="C83" s="134">
        <f>16854.64-D83-0</f>
      </c>
      <c r="D83" s="134"/>
      <c r="E83" s="135"/>
      <c r="F83" s="135"/>
      <c r="G83" s="147">
        <f t="shared" si="27"/>
        <v>0</v>
      </c>
      <c r="H83" s="144"/>
      <c r="I83" s="143"/>
      <c r="J83" s="145">
        <v>644.9</v>
      </c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03">
        <f t="shared" si="28"/>
        <v>0</v>
      </c>
      <c r="V83" s="143"/>
      <c r="W83" s="143"/>
      <c r="X83" s="145">
        <v>120</v>
      </c>
      <c r="Y83" s="143"/>
      <c r="Z83" s="143"/>
      <c r="AA83" s="143"/>
      <c r="AB83" s="143"/>
      <c r="AC83" s="143"/>
      <c r="AD83" s="143"/>
      <c r="AE83" s="143"/>
      <c r="AF83" s="143"/>
      <c r="AG83" s="143"/>
      <c r="AH83" s="103">
        <f t="shared" si="29"/>
        <v>0</v>
      </c>
      <c r="AI83" s="134">
        <v>3410.24</v>
      </c>
      <c r="AJ83" s="134"/>
      <c r="AK83" s="136"/>
      <c r="AL83" s="105">
        <f t="shared" si="30"/>
        <v>0</v>
      </c>
      <c r="AM83" s="143"/>
      <c r="AN83" s="143"/>
      <c r="AO83" s="143"/>
      <c r="AP83" s="146"/>
      <c r="AQ83" s="224">
        <f t="shared" si="31"/>
        <v>0</v>
      </c>
      <c r="AR83" s="1634">
        <v>12648.5</v>
      </c>
      <c r="AS83" s="1709"/>
      <c r="AT83" s="1546"/>
      <c r="AU83" s="1546"/>
      <c r="AV83" s="1546"/>
      <c r="AW83" s="1546"/>
      <c r="AX83" s="1554"/>
      <c r="AY83" s="1709"/>
      <c r="AZ83" s="1709"/>
      <c r="BA83" s="1709"/>
      <c r="BB83" s="1709"/>
      <c r="BC83" s="222">
        <f t="shared" si="32"/>
        <v>0</v>
      </c>
      <c r="BD83" s="140">
        <f t="shared" si="33"/>
        <v>0</v>
      </c>
      <c r="BE83" s="132"/>
      <c r="BF83" s="140">
        <f t="shared" si="34"/>
        <v>0</v>
      </c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50"/>
      <c r="BR83" s="141">
        <v>30</v>
      </c>
      <c r="BS83" s="141"/>
      <c r="BT83" s="130">
        <f t="shared" si="35"/>
        <v>0</v>
      </c>
      <c r="BU83" s="132"/>
    </row>
    <row r="84" ht="14.25" customHeight="1">
      <c r="A84" s="132"/>
      <c r="B84" s="215">
        <v>46093</v>
      </c>
      <c r="C84" s="134">
        <f>35361.37-D84-0</f>
      </c>
      <c r="D84" s="134"/>
      <c r="E84" s="135"/>
      <c r="F84" s="135"/>
      <c r="G84" s="147">
        <f t="shared" si="27"/>
        <v>0</v>
      </c>
      <c r="H84" s="144"/>
      <c r="I84" s="143"/>
      <c r="J84" s="143">
        <v>584.33</v>
      </c>
      <c r="K84" s="143"/>
      <c r="L84" s="143"/>
      <c r="M84" s="143"/>
      <c r="N84" s="143"/>
      <c r="O84" s="143"/>
      <c r="P84" s="143"/>
      <c r="Q84" s="143"/>
      <c r="R84" s="143"/>
      <c r="S84" s="145">
        <v>35.01</v>
      </c>
      <c r="T84" s="143"/>
      <c r="U84" s="103">
        <f t="shared" si="28"/>
        <v>0</v>
      </c>
      <c r="V84" s="143"/>
      <c r="W84" s="663"/>
      <c r="X84" s="145">
        <v>150</v>
      </c>
      <c r="Y84" s="143"/>
      <c r="Z84" s="143"/>
      <c r="AA84" s="143"/>
      <c r="AB84" s="143"/>
      <c r="AC84" s="143"/>
      <c r="AD84" s="143"/>
      <c r="AE84" s="143"/>
      <c r="AF84" s="143"/>
      <c r="AG84" s="143"/>
      <c r="AH84" s="103">
        <f t="shared" si="29"/>
        <v>0</v>
      </c>
      <c r="AI84" s="134">
        <v>9320.78</v>
      </c>
      <c r="AJ84" s="134"/>
      <c r="AK84" s="136"/>
      <c r="AL84" s="105">
        <f t="shared" si="30"/>
        <v>0</v>
      </c>
      <c r="AM84" s="143"/>
      <c r="AN84" s="143"/>
      <c r="AO84" s="143"/>
      <c r="AP84" s="146"/>
      <c r="AQ84" s="224">
        <f t="shared" si="31"/>
        <v>0</v>
      </c>
      <c r="AR84" s="1634">
        <v>25239.6</v>
      </c>
      <c r="AS84" s="1709"/>
      <c r="AT84" s="1546"/>
      <c r="AU84" s="1546"/>
      <c r="AV84" s="1546"/>
      <c r="AW84" s="1546"/>
      <c r="AX84" s="1554"/>
      <c r="AY84" s="1709"/>
      <c r="AZ84" s="1709"/>
      <c r="BA84" s="1709"/>
      <c r="BB84" s="1709"/>
      <c r="BC84" s="222">
        <f t="shared" si="32"/>
        <v>0</v>
      </c>
      <c r="BD84" s="140">
        <f t="shared" si="33"/>
        <v>0</v>
      </c>
      <c r="BE84" s="132"/>
      <c r="BF84" s="140">
        <f t="shared" si="34"/>
        <v>0</v>
      </c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50"/>
      <c r="BR84" s="141">
        <v>30</v>
      </c>
      <c r="BS84" s="141"/>
      <c r="BT84" s="130">
        <f t="shared" si="35"/>
        <v>0</v>
      </c>
      <c r="BU84" s="132"/>
    </row>
    <row r="85" ht="14.25" customHeight="1">
      <c r="A85" s="132"/>
      <c r="B85" s="215">
        <v>46094</v>
      </c>
      <c r="C85" s="134">
        <f>50701.85-D85-0</f>
      </c>
      <c r="D85" s="134"/>
      <c r="E85" s="135"/>
      <c r="F85" s="135"/>
      <c r="G85" s="147">
        <f t="shared" si="27"/>
        <v>0</v>
      </c>
      <c r="H85" s="144"/>
      <c r="I85" s="143"/>
      <c r="J85" s="145">
        <v>735.78</v>
      </c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03">
        <f t="shared" si="28"/>
        <v>0</v>
      </c>
      <c r="V85" s="143"/>
      <c r="W85" s="143"/>
      <c r="X85" s="145">
        <v>532.89</v>
      </c>
      <c r="Y85" s="143"/>
      <c r="Z85" s="143"/>
      <c r="AA85" s="143"/>
      <c r="AB85" s="143"/>
      <c r="AC85" s="143"/>
      <c r="AD85" s="143"/>
      <c r="AE85" s="143"/>
      <c r="AF85" s="143"/>
      <c r="AG85" s="143"/>
      <c r="AH85" s="103">
        <f t="shared" si="29"/>
        <v>0</v>
      </c>
      <c r="AI85" s="134">
        <v>8458.07</v>
      </c>
      <c r="AJ85" s="134"/>
      <c r="AK85" s="136"/>
      <c r="AL85" s="105">
        <f t="shared" si="30"/>
        <v>0</v>
      </c>
      <c r="AM85" s="143"/>
      <c r="AN85" s="143"/>
      <c r="AO85" s="143"/>
      <c r="AP85" s="146"/>
      <c r="AQ85" s="224">
        <f t="shared" si="31"/>
        <v>0</v>
      </c>
      <c r="AR85" s="1634">
        <v>40943.4</v>
      </c>
      <c r="AS85" s="1709"/>
      <c r="AT85" s="1546"/>
      <c r="AU85" s="1546"/>
      <c r="AV85" s="1546"/>
      <c r="AW85" s="1546"/>
      <c r="AX85" s="1554"/>
      <c r="AY85" s="1709"/>
      <c r="AZ85" s="1709"/>
      <c r="BA85" s="1709"/>
      <c r="BB85" s="1709"/>
      <c r="BC85" s="222">
        <f t="shared" si="32"/>
        <v>0</v>
      </c>
      <c r="BD85" s="140">
        <f t="shared" si="33"/>
        <v>0</v>
      </c>
      <c r="BE85" s="132"/>
      <c r="BF85" s="140">
        <f t="shared" si="34"/>
        <v>0</v>
      </c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50"/>
      <c r="BR85" s="141">
        <v>30</v>
      </c>
      <c r="BS85" s="141"/>
      <c r="BT85" s="130">
        <f t="shared" si="35"/>
        <v>0</v>
      </c>
      <c r="BU85" s="132"/>
    </row>
    <row r="86" ht="14.25" customHeight="1">
      <c r="A86" s="132"/>
      <c r="B86" s="215">
        <v>46095</v>
      </c>
      <c r="C86" s="134">
        <f>8301.04-D86-0</f>
      </c>
      <c r="D86" s="134"/>
      <c r="E86" s="135"/>
      <c r="F86" s="135"/>
      <c r="G86" s="147">
        <f t="shared" si="27"/>
        <v>0</v>
      </c>
      <c r="H86" s="144"/>
      <c r="I86" s="145">
        <v>314.32</v>
      </c>
      <c r="J86" s="145">
        <v>696.9</v>
      </c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03">
        <f t="shared" si="28"/>
        <v>0</v>
      </c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43"/>
      <c r="AH86" s="103">
        <f t="shared" si="29"/>
        <v>0</v>
      </c>
      <c r="AI86" s="134">
        <v>1353.59</v>
      </c>
      <c r="AJ86" s="134"/>
      <c r="AK86" s="136"/>
      <c r="AL86" s="105">
        <f t="shared" si="30"/>
        <v>0</v>
      </c>
      <c r="AM86" s="143"/>
      <c r="AN86" s="143"/>
      <c r="AO86" s="143"/>
      <c r="AP86" s="146"/>
      <c r="AQ86" s="224">
        <f t="shared" si="31"/>
        <v>0</v>
      </c>
      <c r="AR86" s="1634">
        <v>5905.9</v>
      </c>
      <c r="AS86" s="1709"/>
      <c r="AT86" s="1546"/>
      <c r="AU86" s="1546"/>
      <c r="AV86" s="1546"/>
      <c r="AW86" s="1546"/>
      <c r="AX86" s="1554"/>
      <c r="AY86" s="1709"/>
      <c r="AZ86" s="1709"/>
      <c r="BA86" s="1709"/>
      <c r="BB86" s="1709"/>
      <c r="BC86" s="222">
        <f t="shared" si="32"/>
        <v>0</v>
      </c>
      <c r="BD86" s="140">
        <f t="shared" si="33"/>
        <v>0</v>
      </c>
      <c r="BE86" s="132"/>
      <c r="BF86" s="140">
        <f t="shared" si="34"/>
        <v>0</v>
      </c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50"/>
      <c r="BR86" s="141">
        <v>30</v>
      </c>
      <c r="BS86" s="141"/>
      <c r="BT86" s="130">
        <f t="shared" si="35"/>
        <v>0</v>
      </c>
      <c r="BU86" s="132"/>
    </row>
    <row r="87" ht="14.25" customHeight="1">
      <c r="A87" s="132"/>
      <c r="B87" s="215">
        <v>46096</v>
      </c>
      <c r="C87" s="134">
        <f>5497.25-D87-0</f>
      </c>
      <c r="D87" s="134"/>
      <c r="E87" s="135"/>
      <c r="F87" s="135"/>
      <c r="G87" s="147">
        <f t="shared" si="27"/>
        <v>0</v>
      </c>
      <c r="H87" s="144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03">
        <f t="shared" si="28"/>
        <v>0</v>
      </c>
      <c r="V87" s="143"/>
      <c r="W87" s="143"/>
      <c r="X87" s="145"/>
      <c r="Y87" s="143"/>
      <c r="Z87" s="143"/>
      <c r="AA87" s="143"/>
      <c r="AB87" s="143"/>
      <c r="AC87" s="143"/>
      <c r="AD87" s="143"/>
      <c r="AE87" s="143"/>
      <c r="AF87" s="143"/>
      <c r="AG87" s="143"/>
      <c r="AH87" s="103">
        <f t="shared" si="29"/>
        <v>0</v>
      </c>
      <c r="AI87" s="134">
        <v>1200.8</v>
      </c>
      <c r="AJ87" s="134"/>
      <c r="AK87" s="136"/>
      <c r="AL87" s="105">
        <f t="shared" si="30"/>
        <v>0</v>
      </c>
      <c r="AM87" s="143"/>
      <c r="AN87" s="143"/>
      <c r="AO87" s="143"/>
      <c r="AP87" s="146"/>
      <c r="AQ87" s="224">
        <f t="shared" si="31"/>
        <v>0</v>
      </c>
      <c r="AR87" s="1634"/>
      <c r="AS87" s="1709"/>
      <c r="AT87" s="1546"/>
      <c r="AU87" s="1546"/>
      <c r="AV87" s="1546"/>
      <c r="AW87" s="1546"/>
      <c r="AX87" s="1554"/>
      <c r="AY87" s="1709"/>
      <c r="AZ87" s="1709"/>
      <c r="BA87" s="1709"/>
      <c r="BB87" s="1709"/>
      <c r="BC87" s="222">
        <f t="shared" si="32"/>
        <v>0</v>
      </c>
      <c r="BD87" s="140">
        <f t="shared" si="33"/>
        <v>0</v>
      </c>
      <c r="BE87" s="132"/>
      <c r="BF87" s="140">
        <f t="shared" si="34"/>
        <v>0</v>
      </c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50"/>
      <c r="BR87" s="141">
        <v>30</v>
      </c>
      <c r="BS87" s="141"/>
      <c r="BT87" s="130">
        <f t="shared" si="35"/>
        <v>0</v>
      </c>
      <c r="BU87" s="132"/>
    </row>
    <row r="88" ht="14.25" customHeight="1">
      <c r="A88" s="132"/>
      <c r="B88" s="215">
        <v>46097</v>
      </c>
      <c r="C88" s="134">
        <f>20972.93-D88-0</f>
      </c>
      <c r="D88" s="134"/>
      <c r="E88" s="135"/>
      <c r="F88" s="135"/>
      <c r="G88" s="147">
        <f t="shared" si="27"/>
        <v>0</v>
      </c>
      <c r="H88" s="144"/>
      <c r="I88" s="145">
        <v>320.92</v>
      </c>
      <c r="J88" s="145">
        <v>213.98</v>
      </c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03">
        <f t="shared" si="28"/>
        <v>0</v>
      </c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43"/>
      <c r="AH88" s="103">
        <f t="shared" si="29"/>
        <v>0</v>
      </c>
      <c r="AI88" s="134">
        <v>3610.73</v>
      </c>
      <c r="AJ88" s="134"/>
      <c r="AK88" s="136"/>
      <c r="AL88" s="105">
        <f t="shared" si="30"/>
        <v>0</v>
      </c>
      <c r="AM88" s="143"/>
      <c r="AN88" s="143"/>
      <c r="AO88" s="143"/>
      <c r="AP88" s="146"/>
      <c r="AQ88" s="224">
        <f t="shared" si="31"/>
        <v>0</v>
      </c>
      <c r="AR88" s="1634">
        <v>16795.5</v>
      </c>
      <c r="AS88" s="1709"/>
      <c r="AT88" s="1546"/>
      <c r="AU88" s="1546"/>
      <c r="AV88" s="1546"/>
      <c r="AW88" s="1546"/>
      <c r="AX88" s="1554"/>
      <c r="AY88" s="1709"/>
      <c r="AZ88" s="1709"/>
      <c r="BA88" s="1709"/>
      <c r="BB88" s="1709"/>
      <c r="BC88" s="222">
        <f t="shared" si="32"/>
        <v>0</v>
      </c>
      <c r="BD88" s="140">
        <f t="shared" si="33"/>
        <v>0</v>
      </c>
      <c r="BE88" s="132"/>
      <c r="BF88" s="140">
        <f t="shared" si="34"/>
        <v>0</v>
      </c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50"/>
      <c r="BR88" s="141">
        <v>30</v>
      </c>
      <c r="BS88" s="141"/>
      <c r="BT88" s="130">
        <f t="shared" si="35"/>
        <v>0</v>
      </c>
      <c r="BU88" s="132"/>
    </row>
    <row r="89" ht="14.25" customHeight="1">
      <c r="A89" s="132"/>
      <c r="B89" s="215">
        <v>46098</v>
      </c>
      <c r="C89" s="136">
        <f>24511.92-D89-0</f>
      </c>
      <c r="D89" s="134">
        <v>391.31</v>
      </c>
      <c r="E89" s="135"/>
      <c r="F89" s="135"/>
      <c r="G89" s="147">
        <f t="shared" si="27"/>
        <v>0</v>
      </c>
      <c r="H89" s="144"/>
      <c r="I89" s="145">
        <v>306.68</v>
      </c>
      <c r="J89" s="143">
        <v>2945.26</v>
      </c>
      <c r="K89" s="143"/>
      <c r="L89" s="143"/>
      <c r="M89" s="143"/>
      <c r="N89" s="143"/>
      <c r="O89" s="143"/>
      <c r="P89" s="143"/>
      <c r="Q89" s="143"/>
      <c r="R89" s="143"/>
      <c r="S89" s="145">
        <v>107.15</v>
      </c>
      <c r="T89" s="143"/>
      <c r="U89" s="103">
        <f t="shared" si="28"/>
        <v>0</v>
      </c>
      <c r="V89" s="143"/>
      <c r="W89" s="143"/>
      <c r="X89" s="145">
        <v>315.42</v>
      </c>
      <c r="Y89" s="143"/>
      <c r="Z89" s="143"/>
      <c r="AA89" s="143"/>
      <c r="AB89" s="143"/>
      <c r="AC89" s="143"/>
      <c r="AD89" s="143"/>
      <c r="AE89" s="143"/>
      <c r="AF89" s="143"/>
      <c r="AG89" s="143"/>
      <c r="AH89" s="103">
        <f t="shared" si="29"/>
        <v>0</v>
      </c>
      <c r="AI89" s="134">
        <v>6152.13</v>
      </c>
      <c r="AJ89" s="134">
        <v>55.98</v>
      </c>
      <c r="AK89" s="136"/>
      <c r="AL89" s="105">
        <f t="shared" si="30"/>
        <v>0</v>
      </c>
      <c r="AM89" s="143"/>
      <c r="AN89" s="143"/>
      <c r="AO89" s="143"/>
      <c r="AP89" s="146"/>
      <c r="AQ89" s="224">
        <f t="shared" si="31"/>
        <v>0</v>
      </c>
      <c r="AR89" s="1634">
        <v>14262.5</v>
      </c>
      <c r="AS89" s="1709"/>
      <c r="AT89" s="1546"/>
      <c r="AU89" s="1546"/>
      <c r="AV89" s="1546"/>
      <c r="AW89" s="1546"/>
      <c r="AX89" s="1554">
        <v>335</v>
      </c>
      <c r="AY89" s="1709"/>
      <c r="AZ89" s="1709"/>
      <c r="BA89" s="1709"/>
      <c r="BB89" s="1709"/>
      <c r="BC89" s="222">
        <f t="shared" si="32"/>
        <v>0</v>
      </c>
      <c r="BD89" s="140">
        <f t="shared" si="33"/>
        <v>0</v>
      </c>
      <c r="BE89" s="132"/>
      <c r="BF89" s="140">
        <f t="shared" si="34"/>
        <v>0</v>
      </c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50"/>
      <c r="BR89" s="141">
        <v>30</v>
      </c>
      <c r="BS89" s="141"/>
      <c r="BT89" s="130">
        <f t="shared" si="35"/>
        <v>0</v>
      </c>
      <c r="BU89" s="132"/>
    </row>
    <row r="90" ht="14.25" customHeight="1">
      <c r="A90" s="132"/>
      <c r="B90" s="215">
        <v>46099</v>
      </c>
      <c r="C90" s="136">
        <f>32329.72-D90-0</f>
      </c>
      <c r="D90" s="134">
        <v>3759.81</v>
      </c>
      <c r="E90" s="135"/>
      <c r="F90" s="135"/>
      <c r="G90" s="147">
        <f t="shared" si="27"/>
        <v>0</v>
      </c>
      <c r="H90" s="144"/>
      <c r="I90" s="143"/>
      <c r="J90" s="145">
        <v>2070.75</v>
      </c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03">
        <f t="shared" si="28"/>
        <v>0</v>
      </c>
      <c r="V90" s="143"/>
      <c r="W90" s="143"/>
      <c r="X90" s="145">
        <v>399.02</v>
      </c>
      <c r="Y90" s="143"/>
      <c r="Z90" s="143"/>
      <c r="AA90" s="143"/>
      <c r="AB90" s="143"/>
      <c r="AC90" s="143"/>
      <c r="AD90" s="143"/>
      <c r="AE90" s="143"/>
      <c r="AF90" s="143"/>
      <c r="AG90" s="143"/>
      <c r="AH90" s="103">
        <f t="shared" si="29"/>
        <v>0</v>
      </c>
      <c r="AI90" s="134">
        <v>6929.07</v>
      </c>
      <c r="AJ90" s="134">
        <v>892.71</v>
      </c>
      <c r="AK90" s="136"/>
      <c r="AL90" s="105">
        <f t="shared" si="30"/>
        <v>0</v>
      </c>
      <c r="AM90" s="143"/>
      <c r="AN90" s="143"/>
      <c r="AO90" s="143"/>
      <c r="AP90" s="146"/>
      <c r="AQ90" s="224">
        <f t="shared" si="31"/>
        <v>0</v>
      </c>
      <c r="AR90" s="1634">
        <v>19144.7</v>
      </c>
      <c r="AS90" s="1709"/>
      <c r="AT90" s="1546"/>
      <c r="AU90" s="1546"/>
      <c r="AV90" s="1546"/>
      <c r="AW90" s="1546"/>
      <c r="AX90" s="1554">
        <v>2861.7</v>
      </c>
      <c r="AY90" s="1709"/>
      <c r="AZ90" s="1709"/>
      <c r="BA90" s="1709"/>
      <c r="BB90" s="1709"/>
      <c r="BC90" s="222">
        <f t="shared" si="32"/>
        <v>0</v>
      </c>
      <c r="BD90" s="140">
        <f t="shared" si="33"/>
        <v>0</v>
      </c>
      <c r="BE90" s="132"/>
      <c r="BF90" s="140">
        <f t="shared" si="34"/>
        <v>0</v>
      </c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50"/>
      <c r="BR90" s="141">
        <v>30</v>
      </c>
      <c r="BS90" s="141"/>
      <c r="BT90" s="130">
        <f t="shared" si="35"/>
        <v>0</v>
      </c>
      <c r="BU90" s="132"/>
    </row>
    <row r="91" ht="14.25" customHeight="1">
      <c r="A91" s="132"/>
      <c r="B91" s="215">
        <v>46100</v>
      </c>
      <c r="C91" s="136">
        <f>35664.17-D91-0</f>
      </c>
      <c r="D91" s="134">
        <v>3361.37</v>
      </c>
      <c r="E91" s="135"/>
      <c r="F91" s="135"/>
      <c r="G91" s="147">
        <f t="shared" si="27"/>
        <v>0</v>
      </c>
      <c r="H91" s="144"/>
      <c r="I91" s="143"/>
      <c r="J91" s="145">
        <v>761.18</v>
      </c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03">
        <f t="shared" si="28"/>
        <v>0</v>
      </c>
      <c r="V91" s="143"/>
      <c r="W91" s="143"/>
      <c r="X91" s="145">
        <v>430</v>
      </c>
      <c r="Y91" s="143"/>
      <c r="Z91" s="143"/>
      <c r="AA91" s="143"/>
      <c r="AB91" s="143"/>
      <c r="AC91" s="143"/>
      <c r="AD91" s="143"/>
      <c r="AE91" s="143"/>
      <c r="AF91" s="143"/>
      <c r="AG91" s="143"/>
      <c r="AH91" s="103">
        <f t="shared" si="29"/>
        <v>0</v>
      </c>
      <c r="AI91" s="134">
        <v>9110.34</v>
      </c>
      <c r="AJ91" s="134">
        <v>549.41</v>
      </c>
      <c r="AK91" s="136"/>
      <c r="AL91" s="105">
        <f t="shared" si="30"/>
        <v>0</v>
      </c>
      <c r="AM91" s="143"/>
      <c r="AN91" s="143"/>
      <c r="AO91" s="143"/>
      <c r="AP91" s="146"/>
      <c r="AQ91" s="224">
        <f t="shared" si="31"/>
        <v>0</v>
      </c>
      <c r="AR91" s="1634">
        <v>21969</v>
      </c>
      <c r="AS91" s="1709"/>
      <c r="AT91" s="1546"/>
      <c r="AU91" s="1546"/>
      <c r="AV91" s="1546"/>
      <c r="AW91" s="1546"/>
      <c r="AX91" s="1554">
        <v>2811.3</v>
      </c>
      <c r="AY91" s="1709"/>
      <c r="AZ91" s="1709"/>
      <c r="BA91" s="1709"/>
      <c r="BB91" s="1709"/>
      <c r="BC91" s="222">
        <f t="shared" si="32"/>
        <v>0</v>
      </c>
      <c r="BD91" s="140">
        <f t="shared" si="33"/>
        <v>0</v>
      </c>
      <c r="BE91" s="132"/>
      <c r="BF91" s="140">
        <f t="shared" si="34"/>
        <v>0</v>
      </c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50"/>
      <c r="BR91" s="141">
        <v>30</v>
      </c>
      <c r="BS91" s="141"/>
      <c r="BT91" s="130">
        <f t="shared" si="35"/>
        <v>0</v>
      </c>
      <c r="BU91" s="132"/>
    </row>
    <row r="92" ht="14.25" customHeight="1">
      <c r="A92" s="132"/>
      <c r="B92" s="215">
        <v>46101</v>
      </c>
      <c r="C92" s="136">
        <f>42562.57-D92-0</f>
      </c>
      <c r="D92" s="134">
        <v>6049.52</v>
      </c>
      <c r="E92" s="135"/>
      <c r="F92" s="135"/>
      <c r="G92" s="147">
        <f t="shared" si="27"/>
        <v>0</v>
      </c>
      <c r="H92" s="144"/>
      <c r="I92" s="143"/>
      <c r="J92" s="145">
        <v>2105.64</v>
      </c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03">
        <f t="shared" si="28"/>
        <v>0</v>
      </c>
      <c r="V92" s="143"/>
      <c r="W92" s="143"/>
      <c r="X92" s="145">
        <v>198.58</v>
      </c>
      <c r="Y92" s="143"/>
      <c r="Z92" s="143"/>
      <c r="AA92" s="143"/>
      <c r="AB92" s="143"/>
      <c r="AC92" s="143"/>
      <c r="AD92" s="143"/>
      <c r="AE92" s="143"/>
      <c r="AF92" s="143"/>
      <c r="AG92" s="143"/>
      <c r="AH92" s="103">
        <f t="shared" si="29"/>
        <v>0</v>
      </c>
      <c r="AI92" s="134">
        <v>9108.15</v>
      </c>
      <c r="AJ92" s="134">
        <v>1317.21</v>
      </c>
      <c r="AK92" s="136"/>
      <c r="AL92" s="105">
        <f t="shared" si="30"/>
        <v>0</v>
      </c>
      <c r="AM92" s="143"/>
      <c r="AN92" s="143"/>
      <c r="AO92" s="143"/>
      <c r="AP92" s="146"/>
      <c r="AQ92" s="224">
        <f t="shared" si="31"/>
        <v>0</v>
      </c>
      <c r="AR92" s="1634">
        <v>24834.5</v>
      </c>
      <c r="AS92" s="1709"/>
      <c r="AT92" s="1546"/>
      <c r="AU92" s="1546"/>
      <c r="AV92" s="1546"/>
      <c r="AW92" s="1546"/>
      <c r="AX92" s="1554">
        <v>4732</v>
      </c>
      <c r="AY92" s="1709"/>
      <c r="AZ92" s="1709"/>
      <c r="BA92" s="1709"/>
      <c r="BB92" s="1709"/>
      <c r="BC92" s="222">
        <f t="shared" si="32"/>
        <v>0</v>
      </c>
      <c r="BD92" s="140">
        <f t="shared" si="33"/>
        <v>0</v>
      </c>
      <c r="BE92" s="132"/>
      <c r="BF92" s="140">
        <f t="shared" si="34"/>
        <v>0</v>
      </c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50">
        <v>264</v>
      </c>
      <c r="BS92" s="141"/>
      <c r="BT92" s="130">
        <f t="shared" si="35"/>
        <v>0</v>
      </c>
      <c r="BU92" s="132"/>
    </row>
    <row r="93" ht="14.25" customHeight="1">
      <c r="A93" s="132"/>
      <c r="B93" s="215">
        <v>46102</v>
      </c>
      <c r="C93" s="136">
        <f>43042.34-D93-0</f>
      </c>
      <c r="D93" s="134">
        <v>3353.49</v>
      </c>
      <c r="E93" s="135"/>
      <c r="F93" s="135"/>
      <c r="G93" s="147">
        <f t="shared" si="27"/>
        <v>0</v>
      </c>
      <c r="H93" s="144"/>
      <c r="I93" s="143"/>
      <c r="J93" s="145">
        <v>2588.54</v>
      </c>
      <c r="K93" s="143"/>
      <c r="L93" s="143"/>
      <c r="M93" s="143"/>
      <c r="N93" s="143"/>
      <c r="O93" s="143"/>
      <c r="P93" s="143"/>
      <c r="Q93" s="143"/>
      <c r="R93" s="143"/>
      <c r="S93" s="145">
        <v>76.02</v>
      </c>
      <c r="T93" s="143"/>
      <c r="U93" s="103">
        <f t="shared" si="28"/>
        <v>0</v>
      </c>
      <c r="V93" s="143"/>
      <c r="W93" s="143"/>
      <c r="X93" s="145">
        <v>188.87</v>
      </c>
      <c r="Y93" s="143"/>
      <c r="Z93" s="143"/>
      <c r="AA93" s="143"/>
      <c r="AB93" s="143"/>
      <c r="AC93" s="143"/>
      <c r="AD93" s="143"/>
      <c r="AE93" s="143"/>
      <c r="AF93" s="143"/>
      <c r="AG93" s="143"/>
      <c r="AH93" s="103">
        <f t="shared" si="29"/>
        <v>0</v>
      </c>
      <c r="AI93" s="134">
        <v>8214.59</v>
      </c>
      <c r="AJ93" s="134">
        <v>907.91</v>
      </c>
      <c r="AK93" s="136"/>
      <c r="AL93" s="105">
        <f t="shared" si="30"/>
        <v>0</v>
      </c>
      <c r="AM93" s="143"/>
      <c r="AN93" s="143"/>
      <c r="AO93" s="143"/>
      <c r="AP93" s="146"/>
      <c r="AQ93" s="224">
        <f t="shared" si="31"/>
        <v>0</v>
      </c>
      <c r="AR93" s="1634">
        <v>28242.2</v>
      </c>
      <c r="AS93" s="1709"/>
      <c r="AT93" s="1546"/>
      <c r="AU93" s="1546"/>
      <c r="AV93" s="1546"/>
      <c r="AW93" s="1546"/>
      <c r="AX93" s="1554">
        <v>2445.5</v>
      </c>
      <c r="AY93" s="1709"/>
      <c r="AZ93" s="1709"/>
      <c r="BA93" s="1709"/>
      <c r="BB93" s="1709"/>
      <c r="BC93" s="222">
        <f t="shared" si="32"/>
        <v>0</v>
      </c>
      <c r="BD93" s="140">
        <f t="shared" si="33"/>
        <v>0</v>
      </c>
      <c r="BE93" s="132"/>
      <c r="BF93" s="140">
        <f t="shared" si="34"/>
        <v>0</v>
      </c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50">
        <v>375.8</v>
      </c>
      <c r="BS93" s="141"/>
      <c r="BT93" s="130">
        <f t="shared" si="35"/>
        <v>0</v>
      </c>
      <c r="BU93" s="132"/>
    </row>
    <row r="94" ht="14.25" customHeight="1">
      <c r="A94" s="132"/>
      <c r="B94" s="215">
        <v>46103</v>
      </c>
      <c r="C94" s="136">
        <f>38142.68-D94-0</f>
      </c>
      <c r="D94" s="134">
        <v>2659.11</v>
      </c>
      <c r="E94" s="135"/>
      <c r="F94" s="135"/>
      <c r="G94" s="147">
        <f t="shared" si="27"/>
        <v>0</v>
      </c>
      <c r="H94" s="144"/>
      <c r="I94" s="143"/>
      <c r="J94" s="145">
        <v>856.17</v>
      </c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03">
        <f t="shared" si="28"/>
        <v>0</v>
      </c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43"/>
      <c r="AH94" s="103">
        <f t="shared" si="29"/>
        <v>0</v>
      </c>
      <c r="AI94" s="134">
        <v>9212.96</v>
      </c>
      <c r="AJ94" s="134">
        <v>620.22</v>
      </c>
      <c r="AK94" s="136"/>
      <c r="AL94" s="105">
        <f t="shared" si="30"/>
        <v>0</v>
      </c>
      <c r="AM94" s="143"/>
      <c r="AN94" s="143"/>
      <c r="AO94" s="143"/>
      <c r="AP94" s="146"/>
      <c r="AQ94" s="224">
        <f t="shared" si="31"/>
        <v>0</v>
      </c>
      <c r="AR94" s="1634">
        <v>25414</v>
      </c>
      <c r="AS94" s="1709"/>
      <c r="AT94" s="1546"/>
      <c r="AU94" s="1546"/>
      <c r="AV94" s="1546"/>
      <c r="AW94" s="1546"/>
      <c r="AX94" s="1554">
        <v>2038.1</v>
      </c>
      <c r="AY94" s="1709"/>
      <c r="AZ94" s="1709"/>
      <c r="BA94" s="1709"/>
      <c r="BB94" s="1709"/>
      <c r="BC94" s="222">
        <f t="shared" si="32"/>
        <v>0</v>
      </c>
      <c r="BD94" s="140">
        <f t="shared" si="33"/>
        <v>0</v>
      </c>
      <c r="BE94" s="132"/>
      <c r="BF94" s="140">
        <f t="shared" si="34"/>
        <v>0</v>
      </c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30">
        <f t="shared" si="35"/>
        <v>0</v>
      </c>
      <c r="BU94" s="132"/>
    </row>
    <row r="95" ht="14.25" customHeight="1">
      <c r="A95" s="132"/>
      <c r="B95" s="215">
        <v>46104</v>
      </c>
      <c r="C95" s="136">
        <f>40030.85-D95-0</f>
      </c>
      <c r="D95" s="134">
        <v>3047.85</v>
      </c>
      <c r="E95" s="135"/>
      <c r="F95" s="135"/>
      <c r="G95" s="147">
        <f t="shared" si="27"/>
        <v>0</v>
      </c>
      <c r="H95" s="144"/>
      <c r="I95" s="143"/>
      <c r="J95" s="145">
        <v>532.01</v>
      </c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03">
        <f t="shared" si="28"/>
        <v>0</v>
      </c>
      <c r="V95" s="143"/>
      <c r="W95" s="143"/>
      <c r="X95" s="145">
        <v>271.59</v>
      </c>
      <c r="Y95" s="143"/>
      <c r="Z95" s="143"/>
      <c r="AA95" s="143"/>
      <c r="AB95" s="143"/>
      <c r="AC95" s="143"/>
      <c r="AD95" s="143"/>
      <c r="AE95" s="143"/>
      <c r="AF95" s="143"/>
      <c r="AG95" s="143"/>
      <c r="AH95" s="103">
        <f t="shared" si="29"/>
        <v>0</v>
      </c>
      <c r="AI95" s="134">
        <v>9362.19</v>
      </c>
      <c r="AJ95" s="134">
        <v>410.55</v>
      </c>
      <c r="AK95" s="136"/>
      <c r="AL95" s="105">
        <f t="shared" si="30"/>
        <v>0</v>
      </c>
      <c r="AM95" s="143"/>
      <c r="AN95" s="143"/>
      <c r="AO95" s="143"/>
      <c r="AP95" s="146"/>
      <c r="AQ95" s="224">
        <f t="shared" si="31"/>
        <v>0</v>
      </c>
      <c r="AR95" s="1634">
        <v>26439.8</v>
      </c>
      <c r="AS95" s="1709"/>
      <c r="AT95" s="1546"/>
      <c r="AU95" s="1546"/>
      <c r="AV95" s="1546"/>
      <c r="AW95" s="1546"/>
      <c r="AX95" s="1857">
        <v>2637</v>
      </c>
      <c r="AY95" s="1709"/>
      <c r="AZ95" s="1709"/>
      <c r="BA95" s="1709"/>
      <c r="BB95" s="1709"/>
      <c r="BC95" s="222">
        <f t="shared" si="32"/>
        <v>0</v>
      </c>
      <c r="BD95" s="140">
        <f t="shared" si="33"/>
        <v>0</v>
      </c>
      <c r="BE95" s="132"/>
      <c r="BF95" s="140">
        <f t="shared" si="34"/>
        <v>0</v>
      </c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50">
        <v>375.8</v>
      </c>
      <c r="BS95" s="141"/>
      <c r="BT95" s="130">
        <f t="shared" si="35"/>
        <v>0</v>
      </c>
      <c r="BU95" s="132"/>
    </row>
    <row r="96" ht="14.25" customHeight="1">
      <c r="A96" s="132"/>
      <c r="B96" s="215">
        <v>46105</v>
      </c>
      <c r="C96" s="136">
        <f>41791.93-D96-0</f>
      </c>
      <c r="D96" s="134">
        <v>2611.42</v>
      </c>
      <c r="E96" s="135"/>
      <c r="F96" s="135"/>
      <c r="G96" s="147">
        <f t="shared" si="27"/>
        <v>0</v>
      </c>
      <c r="H96" s="144"/>
      <c r="I96" s="143"/>
      <c r="J96" s="143">
        <v>510.64</v>
      </c>
      <c r="K96" s="143"/>
      <c r="L96" s="143"/>
      <c r="M96" s="143"/>
      <c r="N96" s="143"/>
      <c r="O96" s="143"/>
      <c r="P96" s="143"/>
      <c r="Q96" s="143"/>
      <c r="R96" s="143"/>
      <c r="S96" s="143">
        <v>112.66</v>
      </c>
      <c r="T96" s="143"/>
      <c r="U96" s="103">
        <f t="shared" si="28"/>
        <v>0</v>
      </c>
      <c r="V96" s="143"/>
      <c r="W96" s="143"/>
      <c r="X96" s="145">
        <v>219.2</v>
      </c>
      <c r="Y96" s="143"/>
      <c r="Z96" s="143"/>
      <c r="AA96" s="143"/>
      <c r="AB96" s="143"/>
      <c r="AC96" s="143"/>
      <c r="AD96" s="143"/>
      <c r="AE96" s="143"/>
      <c r="AF96" s="143"/>
      <c r="AG96" s="143"/>
      <c r="AH96" s="103">
        <f t="shared" si="29"/>
        <v>0</v>
      </c>
      <c r="AI96" s="134">
        <v>7443.86</v>
      </c>
      <c r="AJ96" s="134">
        <v>569.76</v>
      </c>
      <c r="AK96" s="136"/>
      <c r="AL96" s="105">
        <f t="shared" si="30"/>
        <v>0</v>
      </c>
      <c r="AM96" s="143"/>
      <c r="AN96" s="143"/>
      <c r="AO96" s="143"/>
      <c r="AP96" s="146"/>
      <c r="AQ96" s="224">
        <f t="shared" si="31"/>
        <v>0</v>
      </c>
      <c r="AR96" s="1634">
        <v>30861.2</v>
      </c>
      <c r="AS96" s="1709"/>
      <c r="AT96" s="1546"/>
      <c r="AU96" s="1546"/>
      <c r="AV96" s="1546"/>
      <c r="AW96" s="1546"/>
      <c r="AX96" s="1554">
        <v>2041.5</v>
      </c>
      <c r="AY96" s="1709"/>
      <c r="AZ96" s="1709"/>
      <c r="BA96" s="1709"/>
      <c r="BB96" s="1709"/>
      <c r="BC96" s="222">
        <f t="shared" si="32"/>
        <v>0</v>
      </c>
      <c r="BD96" s="140">
        <f t="shared" si="33"/>
        <v>0</v>
      </c>
      <c r="BE96" s="132"/>
      <c r="BF96" s="140">
        <f t="shared" si="34"/>
        <v>0</v>
      </c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50"/>
      <c r="BR96" s="141">
        <v>30</v>
      </c>
      <c r="BS96" s="141"/>
      <c r="BT96" s="130">
        <f t="shared" si="35"/>
        <v>0</v>
      </c>
      <c r="BU96" s="132"/>
    </row>
    <row r="97" ht="14.25" customHeight="1">
      <c r="A97" s="132"/>
      <c r="B97" s="215">
        <v>46106</v>
      </c>
      <c r="C97" s="136">
        <f>45650.72-D97-0</f>
      </c>
      <c r="D97" s="134">
        <v>3348.17</v>
      </c>
      <c r="E97" s="135"/>
      <c r="F97" s="135"/>
      <c r="G97" s="147">
        <f t="shared" si="27"/>
        <v>0</v>
      </c>
      <c r="H97" s="144"/>
      <c r="I97" s="143"/>
      <c r="J97" s="145">
        <v>1798.69</v>
      </c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03">
        <f t="shared" si="28"/>
        <v>0</v>
      </c>
      <c r="V97" s="143"/>
      <c r="W97" s="143"/>
      <c r="X97" s="145">
        <v>512.05</v>
      </c>
      <c r="Y97" s="143"/>
      <c r="Z97" s="143"/>
      <c r="AA97" s="143"/>
      <c r="AB97" s="143"/>
      <c r="AC97" s="143"/>
      <c r="AD97" s="143"/>
      <c r="AE97" s="143"/>
      <c r="AF97" s="143"/>
      <c r="AG97" s="143"/>
      <c r="AH97" s="103">
        <f t="shared" si="29"/>
        <v>0</v>
      </c>
      <c r="AI97" s="134">
        <v>9036.47</v>
      </c>
      <c r="AJ97" s="134">
        <v>535.08</v>
      </c>
      <c r="AK97" s="136"/>
      <c r="AL97" s="105">
        <f t="shared" si="30"/>
        <v>0</v>
      </c>
      <c r="AM97" s="143"/>
      <c r="AN97" s="143"/>
      <c r="AO97" s="143"/>
      <c r="AP97" s="146"/>
      <c r="AQ97" s="224">
        <f t="shared" si="31"/>
        <v>0</v>
      </c>
      <c r="AR97" s="1634">
        <v>30576.5</v>
      </c>
      <c r="AS97" s="1709"/>
      <c r="AT97" s="1546"/>
      <c r="AU97" s="1546"/>
      <c r="AV97" s="1546"/>
      <c r="AW97" s="1546"/>
      <c r="AX97" s="1554">
        <v>2813</v>
      </c>
      <c r="AY97" s="1709"/>
      <c r="AZ97" s="1709"/>
      <c r="BA97" s="1709"/>
      <c r="BB97" s="1709"/>
      <c r="BC97" s="222">
        <f t="shared" si="32"/>
        <v>0</v>
      </c>
      <c r="BD97" s="140">
        <f t="shared" si="33"/>
        <v>0</v>
      </c>
      <c r="BE97" s="132"/>
      <c r="BF97" s="140">
        <f t="shared" si="34"/>
        <v>0</v>
      </c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50">
        <v>375.8</v>
      </c>
      <c r="BS97" s="141"/>
      <c r="BT97" s="130">
        <f t="shared" si="35"/>
        <v>0</v>
      </c>
      <c r="BU97" s="132"/>
    </row>
    <row r="98" ht="14.25" customHeight="1">
      <c r="A98" s="132"/>
      <c r="B98" s="215">
        <v>46107</v>
      </c>
      <c r="C98" s="136">
        <f>41341.55-D98-0</f>
      </c>
      <c r="D98" s="134">
        <v>3203.57</v>
      </c>
      <c r="E98" s="135"/>
      <c r="F98" s="135"/>
      <c r="G98" s="147">
        <f t="shared" si="27"/>
        <v>0</v>
      </c>
      <c r="H98" s="144"/>
      <c r="I98" s="143"/>
      <c r="J98" s="143">
        <v>1647.98</v>
      </c>
      <c r="K98" s="143"/>
      <c r="L98" s="143"/>
      <c r="M98" s="143"/>
      <c r="N98" s="99"/>
      <c r="O98" s="143"/>
      <c r="P98" s="143"/>
      <c r="Q98" s="143"/>
      <c r="R98" s="143"/>
      <c r="S98" s="145">
        <v>44.63</v>
      </c>
      <c r="T98" s="143"/>
      <c r="U98" s="103">
        <f t="shared" si="28"/>
        <v>0</v>
      </c>
      <c r="V98" s="143"/>
      <c r="W98" s="143"/>
      <c r="X98" s="145">
        <v>274.57</v>
      </c>
      <c r="Y98" s="143"/>
      <c r="Z98" s="143"/>
      <c r="AA98" s="143"/>
      <c r="AB98" s="143"/>
      <c r="AC98" s="143"/>
      <c r="AD98" s="143"/>
      <c r="AE98" s="143"/>
      <c r="AF98" s="143"/>
      <c r="AG98" s="143"/>
      <c r="AH98" s="103">
        <f t="shared" si="29"/>
        <v>0</v>
      </c>
      <c r="AI98" s="134">
        <v>10970.44</v>
      </c>
      <c r="AJ98" s="134">
        <v>697.33</v>
      </c>
      <c r="AK98" s="136"/>
      <c r="AL98" s="105">
        <f t="shared" si="30"/>
        <v>0</v>
      </c>
      <c r="AM98" s="143"/>
      <c r="AN98" s="143"/>
      <c r="AO98" s="143"/>
      <c r="AP98" s="146"/>
      <c r="AQ98" s="224">
        <f t="shared" si="31"/>
        <v>0</v>
      </c>
      <c r="AR98" s="1634">
        <v>25092.3</v>
      </c>
      <c r="AS98" s="1709"/>
      <c r="AT98" s="1546"/>
      <c r="AU98" s="1546"/>
      <c r="AV98" s="1546"/>
      <c r="AW98" s="1546"/>
      <c r="AX98" s="1554">
        <v>2236</v>
      </c>
      <c r="AY98" s="1709"/>
      <c r="AZ98" s="1709"/>
      <c r="BA98" s="1709"/>
      <c r="BB98" s="1709"/>
      <c r="BC98" s="222">
        <f t="shared" si="32"/>
        <v>0</v>
      </c>
      <c r="BD98" s="140">
        <f t="shared" si="33"/>
        <v>0</v>
      </c>
      <c r="BE98" s="132"/>
      <c r="BF98" s="140">
        <f t="shared" si="34"/>
        <v>0</v>
      </c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150">
        <v>375.8</v>
      </c>
      <c r="BS98" s="141"/>
      <c r="BT98" s="130">
        <f t="shared" si="35"/>
        <v>0</v>
      </c>
      <c r="BU98" s="132"/>
    </row>
    <row r="99" ht="14.25" customHeight="1">
      <c r="A99" s="132"/>
      <c r="B99" s="215">
        <v>46108</v>
      </c>
      <c r="C99" s="136">
        <f>31667.62-D99-0</f>
      </c>
      <c r="D99" s="134">
        <v>3642.18</v>
      </c>
      <c r="E99" s="135"/>
      <c r="F99" s="135"/>
      <c r="G99" s="147">
        <f t="shared" si="27"/>
        <v>0</v>
      </c>
      <c r="H99" s="144"/>
      <c r="I99" s="143"/>
      <c r="J99" s="145">
        <v>184.6</v>
      </c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03">
        <f t="shared" si="28"/>
        <v>0</v>
      </c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03">
        <f t="shared" si="29"/>
        <v>0</v>
      </c>
      <c r="AI99" s="134">
        <v>6884.28</v>
      </c>
      <c r="AJ99" s="134">
        <v>1201.22</v>
      </c>
      <c r="AK99" s="136"/>
      <c r="AL99" s="105">
        <f t="shared" si="30"/>
        <v>0</v>
      </c>
      <c r="AM99" s="143"/>
      <c r="AN99" s="143"/>
      <c r="AO99" s="143"/>
      <c r="AP99" s="146"/>
      <c r="AQ99" s="224">
        <f t="shared" si="31"/>
        <v>0</v>
      </c>
      <c r="AR99" s="1634">
        <v>20925</v>
      </c>
      <c r="AS99" s="1709"/>
      <c r="AT99" s="1546"/>
      <c r="AU99" s="1546"/>
      <c r="AV99" s="1546"/>
      <c r="AW99" s="1546"/>
      <c r="AX99" s="1554">
        <v>2440.3</v>
      </c>
      <c r="AY99" s="1709"/>
      <c r="AZ99" s="1709"/>
      <c r="BA99" s="1709"/>
      <c r="BB99" s="1709"/>
      <c r="BC99" s="222">
        <f t="shared" si="32"/>
        <v>0</v>
      </c>
      <c r="BD99" s="140">
        <f t="shared" si="33"/>
        <v>0</v>
      </c>
      <c r="BE99" s="132"/>
      <c r="BF99" s="140">
        <f t="shared" si="34"/>
        <v>0</v>
      </c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50"/>
      <c r="BR99" s="141">
        <v>30</v>
      </c>
      <c r="BS99" s="141"/>
      <c r="BT99" s="130">
        <f t="shared" si="35"/>
        <v>0</v>
      </c>
      <c r="BU99" s="132"/>
    </row>
    <row r="100" ht="14.25" customHeight="1">
      <c r="A100" s="132"/>
      <c r="B100" s="215">
        <v>46109</v>
      </c>
      <c r="C100" s="136">
        <f>32167.69-D100-0</f>
      </c>
      <c r="D100" s="134">
        <v>3291.03</v>
      </c>
      <c r="E100" s="135"/>
      <c r="F100" s="135"/>
      <c r="G100" s="147">
        <f t="shared" si="27"/>
        <v>0</v>
      </c>
      <c r="H100" s="144"/>
      <c r="I100" s="143"/>
      <c r="J100" s="143">
        <v>1968.82</v>
      </c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03">
        <f t="shared" si="28"/>
        <v>0</v>
      </c>
      <c r="V100" s="143"/>
      <c r="W100" s="143"/>
      <c r="X100" s="145">
        <v>254.49</v>
      </c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03">
        <f t="shared" si="29"/>
        <v>0</v>
      </c>
      <c r="AI100" s="134">
        <v>8653.76</v>
      </c>
      <c r="AJ100" s="134">
        <v>767.88</v>
      </c>
      <c r="AK100" s="136"/>
      <c r="AL100" s="105">
        <f t="shared" si="30"/>
        <v>0</v>
      </c>
      <c r="AM100" s="143"/>
      <c r="AN100" s="143"/>
      <c r="AO100" s="143"/>
      <c r="AP100" s="146"/>
      <c r="AQ100" s="224">
        <f t="shared" si="31"/>
        <v>0</v>
      </c>
      <c r="AR100" s="1634">
        <v>17621.9</v>
      </c>
      <c r="AS100" s="1709"/>
      <c r="AT100" s="1546"/>
      <c r="AU100" s="1546"/>
      <c r="AV100" s="1546"/>
      <c r="AW100" s="1546"/>
      <c r="AX100" s="1554">
        <v>2523</v>
      </c>
      <c r="AY100" s="1709"/>
      <c r="AZ100" s="1709"/>
      <c r="BA100" s="1709"/>
      <c r="BB100" s="1709"/>
      <c r="BC100" s="222">
        <f t="shared" si="32"/>
        <v>0</v>
      </c>
      <c r="BD100" s="140">
        <f t="shared" si="33"/>
        <v>0</v>
      </c>
      <c r="BE100" s="132"/>
      <c r="BF100" s="140">
        <f t="shared" si="34"/>
        <v>0</v>
      </c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41"/>
      <c r="BQ100" s="141"/>
      <c r="BR100" s="150">
        <v>375.8</v>
      </c>
      <c r="BS100" s="141"/>
      <c r="BT100" s="130">
        <f t="shared" si="35"/>
        <v>0</v>
      </c>
      <c r="BU100" s="132"/>
    </row>
    <row r="101" ht="14.25" customHeight="1">
      <c r="A101" s="132"/>
      <c r="B101" s="215">
        <v>46110</v>
      </c>
      <c r="C101" s="133">
        <f>32515.46-D101-0</f>
      </c>
      <c r="D101" s="134">
        <v>708.49</v>
      </c>
      <c r="E101" s="135"/>
      <c r="F101" s="135"/>
      <c r="G101" s="147">
        <f t="shared" si="27"/>
        <v>0</v>
      </c>
      <c r="H101" s="144"/>
      <c r="I101" s="143"/>
      <c r="J101" s="145">
        <v>349.42</v>
      </c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03">
        <f t="shared" si="28"/>
        <v>0</v>
      </c>
      <c r="V101" s="143"/>
      <c r="W101" s="143"/>
      <c r="X101" s="145">
        <v>210.22</v>
      </c>
      <c r="Y101" s="143"/>
      <c r="Z101" s="143"/>
      <c r="AA101" s="143"/>
      <c r="AB101" s="143"/>
      <c r="AC101" s="143"/>
      <c r="AD101" s="143"/>
      <c r="AE101" s="143"/>
      <c r="AF101" s="143"/>
      <c r="AG101" s="143"/>
      <c r="AH101" s="103">
        <f t="shared" si="29"/>
        <v>0</v>
      </c>
      <c r="AI101" s="134">
        <v>8208.72</v>
      </c>
      <c r="AJ101" s="134"/>
      <c r="AK101" s="136"/>
      <c r="AL101" s="105">
        <f t="shared" si="30"/>
        <v>0</v>
      </c>
      <c r="AM101" s="143"/>
      <c r="AN101" s="143"/>
      <c r="AO101" s="143"/>
      <c r="AP101" s="146"/>
      <c r="AQ101" s="224">
        <f t="shared" si="31"/>
        <v>0</v>
      </c>
      <c r="AR101" s="1634">
        <v>23037</v>
      </c>
      <c r="AS101" s="1709"/>
      <c r="AT101" s="1546"/>
      <c r="AU101" s="1546"/>
      <c r="AV101" s="1546"/>
      <c r="AW101" s="1546"/>
      <c r="AX101" s="1554">
        <v>708</v>
      </c>
      <c r="AY101" s="1709"/>
      <c r="AZ101" s="1709"/>
      <c r="BA101" s="1709"/>
      <c r="BB101" s="1709"/>
      <c r="BC101" s="222">
        <f t="shared" si="32"/>
        <v>0</v>
      </c>
      <c r="BD101" s="140">
        <f t="shared" si="33"/>
        <v>0</v>
      </c>
      <c r="BE101" s="132"/>
      <c r="BF101" s="140">
        <f t="shared" si="34"/>
        <v>0</v>
      </c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30">
        <f t="shared" si="35"/>
        <v>0</v>
      </c>
      <c r="BU101" s="132"/>
    </row>
    <row r="102" ht="14.25" customHeight="1">
      <c r="A102" s="132"/>
      <c r="B102" s="215">
        <v>46111</v>
      </c>
      <c r="C102" s="133">
        <f>38323.87-D102-0</f>
      </c>
      <c r="D102" s="134">
        <v>3106.29</v>
      </c>
      <c r="E102" s="135"/>
      <c r="F102" s="135"/>
      <c r="G102" s="147">
        <f t="shared" si="27"/>
        <v>0</v>
      </c>
      <c r="H102" s="144"/>
      <c r="I102" s="143"/>
      <c r="J102" s="143">
        <v>1799.02</v>
      </c>
      <c r="K102" s="143"/>
      <c r="L102" s="143"/>
      <c r="M102" s="143"/>
      <c r="N102" s="143"/>
      <c r="O102" s="143"/>
      <c r="P102" s="143"/>
      <c r="Q102" s="143"/>
      <c r="R102" s="143"/>
      <c r="S102" s="145">
        <v>133.16</v>
      </c>
      <c r="T102" s="143"/>
      <c r="U102" s="103">
        <f t="shared" si="28"/>
        <v>0</v>
      </c>
      <c r="V102" s="143"/>
      <c r="W102" s="143"/>
      <c r="X102" s="145">
        <v>294.27</v>
      </c>
      <c r="Y102" s="143"/>
      <c r="Z102" s="143"/>
      <c r="AA102" s="143"/>
      <c r="AB102" s="143"/>
      <c r="AC102" s="143"/>
      <c r="AD102" s="143"/>
      <c r="AE102" s="143"/>
      <c r="AF102" s="143"/>
      <c r="AG102" s="143"/>
      <c r="AH102" s="103">
        <f t="shared" si="29"/>
        <v>0</v>
      </c>
      <c r="AI102" s="134">
        <v>10394.05</v>
      </c>
      <c r="AJ102" s="134">
        <v>747.76</v>
      </c>
      <c r="AK102" s="136"/>
      <c r="AL102" s="105">
        <f t="shared" si="30"/>
        <v>0</v>
      </c>
      <c r="AM102" s="143"/>
      <c r="AN102" s="143"/>
      <c r="AO102" s="143"/>
      <c r="AP102" s="146"/>
      <c r="AQ102" s="224">
        <f t="shared" si="31"/>
        <v>0</v>
      </c>
      <c r="AR102" s="1634">
        <v>22220</v>
      </c>
      <c r="AS102" s="1709"/>
      <c r="AT102" s="1546"/>
      <c r="AU102" s="1546"/>
      <c r="AV102" s="1546"/>
      <c r="AW102" s="1546"/>
      <c r="AX102" s="1554">
        <v>2358.3</v>
      </c>
      <c r="AY102" s="1709"/>
      <c r="AZ102" s="1709"/>
      <c r="BA102" s="1709"/>
      <c r="BB102" s="1709"/>
      <c r="BC102" s="222">
        <f t="shared" si="32"/>
        <v>0</v>
      </c>
      <c r="BD102" s="140">
        <f t="shared" si="33"/>
        <v>0</v>
      </c>
      <c r="BE102" s="132"/>
      <c r="BF102" s="140">
        <f t="shared" si="34"/>
        <v>0</v>
      </c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50">
        <v>375.8</v>
      </c>
      <c r="BS102" s="141"/>
      <c r="BT102" s="130">
        <f t="shared" si="35"/>
        <v>0</v>
      </c>
      <c r="BU102" s="132"/>
    </row>
    <row r="103" ht="14.25" customHeight="1">
      <c r="A103" s="132"/>
      <c r="B103" s="215">
        <v>46112</v>
      </c>
      <c r="C103" s="153">
        <f>45863.34-D103-0</f>
      </c>
      <c r="D103" s="154">
        <v>3370.85</v>
      </c>
      <c r="E103" s="156"/>
      <c r="F103" s="156"/>
      <c r="G103" s="147">
        <f t="shared" si="27"/>
        <v>0</v>
      </c>
      <c r="H103" s="612"/>
      <c r="I103" s="157"/>
      <c r="J103" s="158">
        <v>710.68</v>
      </c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03">
        <f t="shared" si="28"/>
        <v>0</v>
      </c>
      <c r="V103" s="157"/>
      <c r="W103" s="157"/>
      <c r="X103" s="158">
        <v>512.59</v>
      </c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03">
        <f t="shared" si="29"/>
        <v>0</v>
      </c>
      <c r="AI103" s="154">
        <v>14120.93</v>
      </c>
      <c r="AJ103" s="154">
        <v>899.86</v>
      </c>
      <c r="AK103" s="159"/>
      <c r="AL103" s="105">
        <f t="shared" si="30"/>
        <v>0</v>
      </c>
      <c r="AM103" s="157"/>
      <c r="AN103" s="157"/>
      <c r="AO103" s="157"/>
      <c r="AP103" s="160"/>
      <c r="AQ103" s="232">
        <f t="shared" si="31"/>
        <v>0</v>
      </c>
      <c r="AR103" s="1858">
        <v>27116</v>
      </c>
      <c r="AS103" s="1720"/>
      <c r="AT103" s="1557"/>
      <c r="AU103" s="1557"/>
      <c r="AV103" s="1557"/>
      <c r="AW103" s="1557"/>
      <c r="AX103" s="1642">
        <v>2470.3</v>
      </c>
      <c r="AY103" s="1720"/>
      <c r="AZ103" s="1720"/>
      <c r="BA103" s="1720"/>
      <c r="BB103" s="1720"/>
      <c r="BC103" s="222">
        <f t="shared" si="32"/>
        <v>0</v>
      </c>
      <c r="BD103" s="162">
        <f t="shared" si="33"/>
        <v>0</v>
      </c>
      <c r="BE103" s="132"/>
      <c r="BF103" s="162">
        <f t="shared" si="34"/>
        <v>0</v>
      </c>
      <c r="BG103" s="163"/>
      <c r="BH103" s="163"/>
      <c r="BI103" s="163"/>
      <c r="BJ103" s="163"/>
      <c r="BK103" s="163"/>
      <c r="BL103" s="163"/>
      <c r="BM103" s="163"/>
      <c r="BN103" s="163"/>
      <c r="BO103" s="163"/>
      <c r="BP103" s="141"/>
      <c r="BQ103" s="789"/>
      <c r="BR103" s="163">
        <v>30</v>
      </c>
      <c r="BS103" s="163"/>
      <c r="BT103" s="164">
        <f t="shared" si="35"/>
        <v>0</v>
      </c>
      <c r="BU103" s="132"/>
    </row>
    <row r="104" ht="14.25" customHeight="1">
      <c r="A104" s="3"/>
      <c r="B104" s="2" t="s">
        <v>259</v>
      </c>
      <c r="C104" s="166">
        <f ref="C104:R104" t="shared" si="36">SUM(C73:C103)</f>
        <v>0</v>
      </c>
      <c r="D104" s="166">
        <f t="shared" si="36"/>
        <v>0</v>
      </c>
      <c r="E104" s="166">
        <f t="shared" si="36"/>
        <v>0</v>
      </c>
      <c r="F104" s="166">
        <f t="shared" si="36"/>
        <v>0</v>
      </c>
      <c r="G104" s="166">
        <f t="shared" si="36"/>
        <v>0</v>
      </c>
      <c r="H104" s="166">
        <f t="shared" si="36"/>
        <v>0</v>
      </c>
      <c r="I104" s="166">
        <f t="shared" si="36"/>
        <v>0</v>
      </c>
      <c r="J104" s="166">
        <f t="shared" si="36"/>
        <v>0</v>
      </c>
      <c r="K104" s="166">
        <f t="shared" si="36"/>
        <v>0</v>
      </c>
      <c r="L104" s="166">
        <f t="shared" si="36"/>
        <v>0</v>
      </c>
      <c r="M104" s="166">
        <f t="shared" si="36"/>
        <v>0</v>
      </c>
      <c r="N104" s="166">
        <f t="shared" si="36"/>
        <v>0</v>
      </c>
      <c r="O104" s="166">
        <f t="shared" si="36"/>
        <v>0</v>
      </c>
      <c r="P104" s="166">
        <f t="shared" si="36"/>
        <v>0</v>
      </c>
      <c r="Q104" s="166">
        <f t="shared" si="36"/>
        <v>0</v>
      </c>
      <c r="R104" s="166">
        <f t="shared" si="36"/>
        <v>0</v>
      </c>
      <c r="S104" s="166"/>
      <c r="T104" s="166">
        <f ref="T104:BD104" t="shared" si="37">SUM(T73:T103)</f>
        <v>0</v>
      </c>
      <c r="U104" s="166">
        <f t="shared" si="37"/>
        <v>0</v>
      </c>
      <c r="V104" s="166">
        <f t="shared" si="37"/>
        <v>0</v>
      </c>
      <c r="W104" s="166">
        <f t="shared" si="37"/>
        <v>0</v>
      </c>
      <c r="X104" s="166">
        <f t="shared" si="37"/>
        <v>0</v>
      </c>
      <c r="Y104" s="166">
        <f t="shared" si="37"/>
        <v>0</v>
      </c>
      <c r="Z104" s="166">
        <f t="shared" si="37"/>
        <v>0</v>
      </c>
      <c r="AA104" s="166">
        <f t="shared" si="37"/>
        <v>0</v>
      </c>
      <c r="AB104" s="166">
        <f t="shared" si="37"/>
        <v>0</v>
      </c>
      <c r="AC104" s="166">
        <f t="shared" si="37"/>
        <v>0</v>
      </c>
      <c r="AD104" s="166">
        <f t="shared" si="37"/>
        <v>0</v>
      </c>
      <c r="AE104" s="166">
        <f t="shared" si="37"/>
        <v>0</v>
      </c>
      <c r="AF104" s="166">
        <f t="shared" si="37"/>
        <v>0</v>
      </c>
      <c r="AG104" s="166">
        <f t="shared" si="37"/>
        <v>0</v>
      </c>
      <c r="AH104" s="166">
        <f t="shared" si="37"/>
        <v>0</v>
      </c>
      <c r="AI104" s="166">
        <f t="shared" si="37"/>
        <v>0</v>
      </c>
      <c r="AJ104" s="166">
        <f t="shared" si="37"/>
        <v>0</v>
      </c>
      <c r="AK104" s="166">
        <f t="shared" si="37"/>
        <v>0</v>
      </c>
      <c r="AL104" s="166">
        <f t="shared" si="37"/>
        <v>0</v>
      </c>
      <c r="AM104" s="166">
        <f t="shared" si="37"/>
        <v>0</v>
      </c>
      <c r="AN104" s="166">
        <f t="shared" si="37"/>
        <v>0</v>
      </c>
      <c r="AO104" s="166">
        <f t="shared" si="37"/>
        <v>0</v>
      </c>
      <c r="AP104" s="166">
        <f t="shared" si="37"/>
        <v>0</v>
      </c>
      <c r="AQ104" s="166">
        <f t="shared" si="37"/>
        <v>0</v>
      </c>
      <c r="AR104" s="1355">
        <f t="shared" si="37"/>
        <v>0</v>
      </c>
      <c r="AS104" s="166">
        <f t="shared" si="37"/>
        <v>0</v>
      </c>
      <c r="AT104" s="166">
        <f t="shared" si="37"/>
        <v>0</v>
      </c>
      <c r="AU104" s="166">
        <f t="shared" si="37"/>
        <v>0</v>
      </c>
      <c r="AV104" s="166">
        <f t="shared" si="37"/>
        <v>0</v>
      </c>
      <c r="AW104" s="166">
        <f t="shared" si="37"/>
        <v>0</v>
      </c>
      <c r="AX104" s="166">
        <f t="shared" si="37"/>
        <v>0</v>
      </c>
      <c r="AY104" s="166">
        <f t="shared" si="37"/>
        <v>0</v>
      </c>
      <c r="AZ104" s="166">
        <f t="shared" si="37"/>
        <v>0</v>
      </c>
      <c r="BA104" s="166">
        <f t="shared" si="37"/>
        <v>0</v>
      </c>
      <c r="BB104" s="166">
        <f t="shared" si="37"/>
        <v>0</v>
      </c>
      <c r="BC104" s="166">
        <f t="shared" si="37"/>
        <v>0</v>
      </c>
      <c r="BD104" s="166">
        <f t="shared" si="37"/>
        <v>0</v>
      </c>
      <c r="BE104" s="132"/>
      <c r="BF104" s="166">
        <f ref="BF104:BT104" t="shared" si="38">SUM(BF73:BF103)</f>
        <v>0</v>
      </c>
      <c r="BG104" s="166">
        <f t="shared" si="38"/>
        <v>0</v>
      </c>
      <c r="BH104" s="166">
        <f t="shared" si="38"/>
        <v>0</v>
      </c>
      <c r="BI104" s="166">
        <f t="shared" si="38"/>
        <v>0</v>
      </c>
      <c r="BJ104" s="166">
        <f t="shared" si="38"/>
        <v>0</v>
      </c>
      <c r="BK104" s="166">
        <f t="shared" si="38"/>
        <v>0</v>
      </c>
      <c r="BL104" s="166">
        <f t="shared" si="38"/>
        <v>0</v>
      </c>
      <c r="BM104" s="166">
        <f t="shared" si="38"/>
        <v>0</v>
      </c>
      <c r="BN104" s="166">
        <f t="shared" si="38"/>
        <v>0</v>
      </c>
      <c r="BO104" s="166">
        <f t="shared" si="38"/>
        <v>0</v>
      </c>
      <c r="BP104" s="166">
        <f t="shared" si="38"/>
        <v>0</v>
      </c>
      <c r="BQ104" s="166">
        <f t="shared" si="38"/>
        <v>0</v>
      </c>
      <c r="BR104" s="166">
        <f t="shared" si="38"/>
        <v>0</v>
      </c>
      <c r="BS104" s="166">
        <f t="shared" si="38"/>
        <v>0</v>
      </c>
      <c r="BT104" s="166">
        <f t="shared" si="38"/>
        <v>0</v>
      </c>
      <c r="BU104" s="3"/>
    </row>
    <row r="105" ht="14.25" customHeight="1">
      <c r="A105" s="1"/>
      <c r="B105" s="2"/>
      <c r="C105" s="3"/>
      <c r="D105" s="3"/>
      <c r="E105" s="3"/>
      <c r="F105" s="3"/>
      <c r="G105" s="133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4"/>
      <c r="AM105" s="3"/>
      <c r="AN105" s="3"/>
      <c r="AO105" s="3"/>
      <c r="AP105" s="3"/>
      <c r="AQ105" s="4"/>
      <c r="AR105" s="132"/>
      <c r="AS105" s="132"/>
      <c r="AT105" s="132"/>
      <c r="AU105" s="3"/>
      <c r="AV105" s="3"/>
      <c r="AW105" s="3"/>
      <c r="AX105" s="132"/>
      <c r="AY105" s="132"/>
      <c r="AZ105" s="132"/>
      <c r="BA105" s="132"/>
      <c r="BB105" s="132"/>
      <c r="BC105" s="4"/>
      <c r="BD105" s="3"/>
      <c r="BE105" s="132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ht="14.25" customHeight="1">
      <c r="A106" s="1"/>
      <c r="B106" s="2"/>
      <c r="C106" s="3"/>
      <c r="D106" s="3"/>
      <c r="E106" s="3"/>
      <c r="F106" s="3"/>
      <c r="G106" s="133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176"/>
      <c r="AI106" s="3"/>
      <c r="AJ106" s="3"/>
      <c r="AK106" s="3"/>
      <c r="AL106" s="4"/>
      <c r="AM106" s="3"/>
      <c r="AN106" s="3"/>
      <c r="AO106" s="3"/>
      <c r="AP106" s="3"/>
      <c r="AQ106" s="177"/>
      <c r="AR106" s="4"/>
      <c r="AS106" s="177"/>
      <c r="AT106" s="177"/>
      <c r="AU106" s="177"/>
      <c r="AV106" s="177"/>
      <c r="AW106" s="177"/>
      <c r="AX106" s="177"/>
      <c r="AY106" s="177"/>
      <c r="AZ106" s="4"/>
      <c r="BA106" s="132"/>
      <c r="BB106" s="132"/>
      <c r="BC106" s="177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ht="14.25" customHeight="1">
      <c r="A107" s="3"/>
      <c r="B107" s="215">
        <v>46113</v>
      </c>
      <c r="C107" s="104">
        <f>57091.28-D107-0</f>
      </c>
      <c r="D107" s="95">
        <v>2961.5</v>
      </c>
      <c r="E107" s="97"/>
      <c r="F107" s="97"/>
      <c r="G107" s="216">
        <f ref="G107:G137" t="shared" si="39">+C107+D107+E107+F107</f>
        <v>0</v>
      </c>
      <c r="H107" s="187"/>
      <c r="I107" s="186"/>
      <c r="J107" s="188">
        <v>1342.64</v>
      </c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03">
        <f ref="U107:U130" t="shared" si="40">SUM(H107:T107)</f>
        <v>0</v>
      </c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03">
        <f ref="AH107:AH130" t="shared" si="41">SUM(V107:AG107)</f>
        <v>0</v>
      </c>
      <c r="AI107" s="95">
        <v>12444.49</v>
      </c>
      <c r="AJ107" s="95">
        <v>641.9</v>
      </c>
      <c r="AK107" s="104"/>
      <c r="AL107" s="191">
        <f ref="AL107:AL137" t="shared" si="42">SUM(AI107:AK107)</f>
        <v>0</v>
      </c>
      <c r="AM107" s="186"/>
      <c r="AN107" s="186"/>
      <c r="AO107" s="186"/>
      <c r="AP107" s="193"/>
      <c r="AQ107" s="224">
        <f ref="AQ107:AQ137" t="shared" si="43">+G107-U107-AH107-AL107-AM107-AN107-AO107-AP107</f>
        <v>0</v>
      </c>
      <c r="AR107" s="1721">
        <v>39964.4</v>
      </c>
      <c r="AS107" s="1708"/>
      <c r="AT107" s="1537"/>
      <c r="AU107" s="1537"/>
      <c r="AV107" s="1546"/>
      <c r="AW107" s="1546"/>
      <c r="AX107" s="1721">
        <v>2319.6</v>
      </c>
      <c r="AY107" s="1708"/>
      <c r="AZ107" s="1708"/>
      <c r="BA107" s="1708"/>
      <c r="BB107" s="1708"/>
      <c r="BC107" s="222">
        <f ref="BC107:BC137" t="shared" si="44">SUM(AR107:BB107)-BA107</f>
        <v>0</v>
      </c>
      <c r="BD107" s="114">
        <f ref="BD107:BD137" t="shared" si="45">+AQ107-BC107</f>
        <v>0</v>
      </c>
      <c r="BE107" s="3"/>
      <c r="BF107" s="114">
        <f ref="BF107:BF137" t="shared" si="46">SUM(BG107:BS107)</f>
        <v>0</v>
      </c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250">
        <v>375.8</v>
      </c>
      <c r="BS107" s="115"/>
      <c r="BT107" s="116">
        <f ref="BT107:BT137" t="shared" si="47">+BD107-BF107</f>
        <v>0</v>
      </c>
      <c r="BU107" s="3"/>
    </row>
    <row r="108" ht="14.25" customHeight="1">
      <c r="A108" s="3"/>
      <c r="B108" s="215">
        <v>46114</v>
      </c>
      <c r="C108" s="123">
        <f>35827.19-D108-0</f>
      </c>
      <c r="D108" s="119">
        <v>4562.86</v>
      </c>
      <c r="E108" s="120"/>
      <c r="F108" s="120"/>
      <c r="G108" s="216">
        <f t="shared" si="39"/>
        <v>0</v>
      </c>
      <c r="H108" s="144"/>
      <c r="I108" s="143"/>
      <c r="J108" s="145">
        <v>1603.25</v>
      </c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03">
        <f t="shared" si="40"/>
        <v>0</v>
      </c>
      <c r="V108" s="143"/>
      <c r="W108" s="143"/>
      <c r="X108" s="145">
        <v>884.92</v>
      </c>
      <c r="Y108" s="143"/>
      <c r="Z108" s="143"/>
      <c r="AA108" s="143"/>
      <c r="AB108" s="143"/>
      <c r="AC108" s="143"/>
      <c r="AD108" s="143"/>
      <c r="AE108" s="143"/>
      <c r="AF108" s="143"/>
      <c r="AG108" s="143"/>
      <c r="AH108" s="103">
        <f t="shared" si="41"/>
        <v>0</v>
      </c>
      <c r="AI108" s="119">
        <v>8075.46</v>
      </c>
      <c r="AJ108" s="119">
        <v>1130.66</v>
      </c>
      <c r="AK108" s="123"/>
      <c r="AL108" s="105">
        <f t="shared" si="42"/>
        <v>0</v>
      </c>
      <c r="AM108" s="143"/>
      <c r="AN108" s="143"/>
      <c r="AO108" s="143"/>
      <c r="AP108" s="146"/>
      <c r="AQ108" s="224">
        <f t="shared" si="43"/>
        <v>0</v>
      </c>
      <c r="AR108" s="1554">
        <v>20700</v>
      </c>
      <c r="AS108" s="1709"/>
      <c r="AT108" s="1546"/>
      <c r="AU108" s="1546"/>
      <c r="AV108" s="1546"/>
      <c r="AW108" s="1546"/>
      <c r="AX108" s="1554">
        <v>3432</v>
      </c>
      <c r="AY108" s="1709"/>
      <c r="AZ108" s="1709"/>
      <c r="BA108" s="1709"/>
      <c r="BB108" s="1709"/>
      <c r="BC108" s="222">
        <f t="shared" si="44"/>
        <v>0</v>
      </c>
      <c r="BD108" s="113">
        <f t="shared" si="45"/>
        <v>0</v>
      </c>
      <c r="BE108" s="3"/>
      <c r="BF108" s="113">
        <f t="shared" si="46"/>
        <v>0</v>
      </c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30">
        <f t="shared" si="47"/>
        <v>0</v>
      </c>
      <c r="BU108" s="3"/>
    </row>
    <row r="109" ht="14.25" customHeight="1">
      <c r="A109" s="3"/>
      <c r="B109" s="215">
        <v>46115</v>
      </c>
      <c r="C109" s="123">
        <f>33559.84-D109-0</f>
      </c>
      <c r="D109" s="119">
        <v>4081.84</v>
      </c>
      <c r="E109" s="120"/>
      <c r="F109" s="120"/>
      <c r="G109" s="216">
        <f t="shared" si="39"/>
        <v>0</v>
      </c>
      <c r="H109" s="144"/>
      <c r="I109" s="143"/>
      <c r="J109" s="145">
        <v>800.08</v>
      </c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03">
        <f t="shared" si="40"/>
        <v>0</v>
      </c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03">
        <f t="shared" si="41"/>
        <v>0</v>
      </c>
      <c r="AI109" s="119">
        <v>8046.32</v>
      </c>
      <c r="AJ109" s="119">
        <v>625.4</v>
      </c>
      <c r="AK109" s="123"/>
      <c r="AL109" s="105">
        <f t="shared" si="42"/>
        <v>0</v>
      </c>
      <c r="AM109" s="143"/>
      <c r="AN109" s="143"/>
      <c r="AO109" s="143"/>
      <c r="AP109" s="146"/>
      <c r="AQ109" s="224">
        <f t="shared" si="43"/>
        <v>0</v>
      </c>
      <c r="AR109" s="1554">
        <v>20629.2</v>
      </c>
      <c r="AS109" s="1709"/>
      <c r="AT109" s="1709"/>
      <c r="AU109" s="1546"/>
      <c r="AV109" s="1546"/>
      <c r="AW109" s="1546"/>
      <c r="AX109" s="1554">
        <v>3456</v>
      </c>
      <c r="AY109" s="1709"/>
      <c r="AZ109" s="1709"/>
      <c r="BA109" s="1709"/>
      <c r="BB109" s="1709"/>
      <c r="BC109" s="222">
        <f t="shared" si="44"/>
        <v>0</v>
      </c>
      <c r="BD109" s="113">
        <f t="shared" si="45"/>
        <v>0</v>
      </c>
      <c r="BE109" s="3"/>
      <c r="BF109" s="113">
        <f t="shared" si="46"/>
        <v>0</v>
      </c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30">
        <f t="shared" si="47"/>
        <v>0</v>
      </c>
      <c r="BU109" s="3"/>
    </row>
    <row r="110" ht="14.25" customHeight="1">
      <c r="A110" s="132"/>
      <c r="B110" s="215">
        <v>46116</v>
      </c>
      <c r="C110" s="136">
        <f>43788.26-D110-0</f>
      </c>
      <c r="D110" s="134">
        <v>3289.48</v>
      </c>
      <c r="E110" s="135"/>
      <c r="F110" s="135"/>
      <c r="G110" s="147">
        <f t="shared" si="39"/>
        <v>0</v>
      </c>
      <c r="H110" s="144"/>
      <c r="I110" s="143"/>
      <c r="J110" s="145">
        <v>840.84</v>
      </c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03">
        <f t="shared" si="40"/>
        <v>0</v>
      </c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43"/>
      <c r="AH110" s="103">
        <f t="shared" si="41"/>
        <v>0</v>
      </c>
      <c r="AI110" s="134">
        <v>10349.05</v>
      </c>
      <c r="AJ110" s="134">
        <v>809.61</v>
      </c>
      <c r="AK110" s="136"/>
      <c r="AL110" s="105">
        <f t="shared" si="42"/>
        <v>0</v>
      </c>
      <c r="AM110" s="143"/>
      <c r="AN110" s="143"/>
      <c r="AO110" s="143"/>
      <c r="AP110" s="146"/>
      <c r="AQ110" s="224">
        <f t="shared" si="43"/>
        <v>0</v>
      </c>
      <c r="AR110" s="1554">
        <v>29277</v>
      </c>
      <c r="AS110" s="1709"/>
      <c r="AT110" s="1709"/>
      <c r="AU110" s="1546"/>
      <c r="AV110" s="1546"/>
      <c r="AW110" s="1546"/>
      <c r="AX110" s="1554">
        <v>2479.5</v>
      </c>
      <c r="AY110" s="1709"/>
      <c r="AZ110" s="1709"/>
      <c r="BA110" s="1709"/>
      <c r="BB110" s="1709"/>
      <c r="BC110" s="222">
        <f t="shared" si="44"/>
        <v>0</v>
      </c>
      <c r="BD110" s="140">
        <f t="shared" si="45"/>
        <v>0</v>
      </c>
      <c r="BE110" s="132"/>
      <c r="BF110" s="140">
        <f t="shared" si="46"/>
        <v>0</v>
      </c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50">
        <v>30</v>
      </c>
      <c r="BS110" s="141"/>
      <c r="BT110" s="130">
        <f t="shared" si="47"/>
        <v>0</v>
      </c>
      <c r="BU110" s="132"/>
    </row>
    <row r="111" ht="14.25" customHeight="1">
      <c r="A111" s="132"/>
      <c r="B111" s="215">
        <v>46117</v>
      </c>
      <c r="C111" s="136">
        <f>59687.90-D111-0</f>
      </c>
      <c r="D111" s="134">
        <v>4063.14</v>
      </c>
      <c r="E111" s="135"/>
      <c r="F111" s="135"/>
      <c r="G111" s="147">
        <f t="shared" si="39"/>
        <v>0</v>
      </c>
      <c r="H111" s="144"/>
      <c r="I111" s="143"/>
      <c r="J111" s="145">
        <v>184.04</v>
      </c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03">
        <f t="shared" si="40"/>
        <v>0</v>
      </c>
      <c r="V111" s="143"/>
      <c r="W111" s="143"/>
      <c r="X111" s="145">
        <v>297.55</v>
      </c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03">
        <f t="shared" si="41"/>
        <v>0</v>
      </c>
      <c r="AI111" s="134">
        <v>13635.9</v>
      </c>
      <c r="AJ111" s="134">
        <v>637.97</v>
      </c>
      <c r="AK111" s="136"/>
      <c r="AL111" s="105">
        <f t="shared" si="42"/>
        <v>0</v>
      </c>
      <c r="AM111" s="143"/>
      <c r="AN111" s="143"/>
      <c r="AO111" s="143"/>
      <c r="AP111" s="146"/>
      <c r="AQ111" s="224">
        <f t="shared" si="43"/>
        <v>0</v>
      </c>
      <c r="AR111" s="1554">
        <v>41475.6</v>
      </c>
      <c r="AS111" s="1709"/>
      <c r="AT111" s="1546"/>
      <c r="AU111" s="1546"/>
      <c r="AV111" s="1546"/>
      <c r="AW111" s="1546"/>
      <c r="AX111" s="1554">
        <v>3425</v>
      </c>
      <c r="AY111" s="1709"/>
      <c r="AZ111" s="1709"/>
      <c r="BA111" s="1709"/>
      <c r="BB111" s="1709"/>
      <c r="BC111" s="222">
        <f t="shared" si="44"/>
        <v>0</v>
      </c>
      <c r="BD111" s="140">
        <f t="shared" si="45"/>
        <v>0</v>
      </c>
      <c r="BE111" s="132"/>
      <c r="BF111" s="140">
        <f t="shared" si="46"/>
        <v>0</v>
      </c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50">
        <v>30</v>
      </c>
      <c r="BS111" s="141"/>
      <c r="BT111" s="130">
        <f t="shared" si="47"/>
        <v>0</v>
      </c>
      <c r="BU111" s="132"/>
    </row>
    <row r="112" ht="14.25" customHeight="1">
      <c r="A112" s="132"/>
      <c r="B112" s="215">
        <v>46118</v>
      </c>
      <c r="C112" s="136">
        <f>43401.72-D112-0</f>
      </c>
      <c r="D112" s="134">
        <v>3498.73</v>
      </c>
      <c r="E112" s="135"/>
      <c r="F112" s="135"/>
      <c r="G112" s="147">
        <f t="shared" si="39"/>
        <v>0</v>
      </c>
      <c r="H112" s="144"/>
      <c r="I112" s="143"/>
      <c r="J112" s="143">
        <v>3045.01</v>
      </c>
      <c r="K112" s="143"/>
      <c r="L112" s="143"/>
      <c r="M112" s="143"/>
      <c r="N112" s="143"/>
      <c r="O112" s="143"/>
      <c r="P112" s="143"/>
      <c r="Q112" s="143"/>
      <c r="R112" s="143"/>
      <c r="S112" s="145">
        <v>167.52</v>
      </c>
      <c r="T112" s="143"/>
      <c r="U112" s="103">
        <f t="shared" si="40"/>
        <v>0</v>
      </c>
      <c r="V112" s="143"/>
      <c r="W112" s="143"/>
      <c r="X112" s="145">
        <v>343.86</v>
      </c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03">
        <f t="shared" si="41"/>
        <v>0</v>
      </c>
      <c r="AI112" s="134">
        <v>11820.46</v>
      </c>
      <c r="AJ112" s="134">
        <v>909.89</v>
      </c>
      <c r="AK112" s="136"/>
      <c r="AL112" s="105">
        <f t="shared" si="42"/>
        <v>0</v>
      </c>
      <c r="AM112" s="143"/>
      <c r="AN112" s="143"/>
      <c r="AO112" s="143"/>
      <c r="AP112" s="146"/>
      <c r="AQ112" s="224">
        <f t="shared" si="43"/>
        <v>0</v>
      </c>
      <c r="AR112" s="1554">
        <v>24494</v>
      </c>
      <c r="AS112" s="1709"/>
      <c r="AT112" s="1546"/>
      <c r="AU112" s="1546"/>
      <c r="AV112" s="1546"/>
      <c r="AW112" s="1546"/>
      <c r="AX112" s="1554">
        <v>2588.8</v>
      </c>
      <c r="AY112" s="1709"/>
      <c r="AZ112" s="1709"/>
      <c r="BA112" s="1709"/>
      <c r="BB112" s="1709"/>
      <c r="BC112" s="222">
        <f t="shared" si="44"/>
        <v>0</v>
      </c>
      <c r="BD112" s="140">
        <f t="shared" si="45"/>
        <v>0</v>
      </c>
      <c r="BE112" s="132"/>
      <c r="BF112" s="140">
        <f t="shared" si="46"/>
        <v>0</v>
      </c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50">
        <v>30</v>
      </c>
      <c r="BS112" s="141"/>
      <c r="BT112" s="130">
        <f t="shared" si="47"/>
        <v>0</v>
      </c>
      <c r="BU112" s="132"/>
    </row>
    <row r="113" ht="14.25" customHeight="1">
      <c r="A113" s="132"/>
      <c r="B113" s="215">
        <v>46119</v>
      </c>
      <c r="C113" s="136">
        <f>39856.51-D113-0</f>
      </c>
      <c r="D113" s="134">
        <v>3101.29</v>
      </c>
      <c r="E113" s="135"/>
      <c r="F113" s="135"/>
      <c r="G113" s="147">
        <f t="shared" si="39"/>
        <v>0</v>
      </c>
      <c r="H113" s="144"/>
      <c r="I113" s="143"/>
      <c r="J113" s="145">
        <v>1179.24</v>
      </c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03">
        <f t="shared" si="40"/>
        <v>0</v>
      </c>
      <c r="V113" s="143"/>
      <c r="W113" s="143"/>
      <c r="X113" s="145">
        <v>286.07</v>
      </c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03">
        <f t="shared" si="41"/>
        <v>0</v>
      </c>
      <c r="AI113" s="134">
        <v>10950.38</v>
      </c>
      <c r="AJ113" s="134">
        <v>845.12</v>
      </c>
      <c r="AK113" s="136"/>
      <c r="AL113" s="105">
        <f t="shared" si="42"/>
        <v>0</v>
      </c>
      <c r="AM113" s="143"/>
      <c r="AN113" s="143"/>
      <c r="AO113" s="143"/>
      <c r="AP113" s="146"/>
      <c r="AQ113" s="224">
        <f t="shared" si="43"/>
        <v>0</v>
      </c>
      <c r="AR113" s="1554">
        <v>24307.5</v>
      </c>
      <c r="AS113" s="1709"/>
      <c r="AT113" s="1546"/>
      <c r="AU113" s="1546"/>
      <c r="AV113" s="1546"/>
      <c r="AW113" s="1546"/>
      <c r="AX113" s="1554">
        <v>2256</v>
      </c>
      <c r="AY113" s="1709"/>
      <c r="AZ113" s="1709"/>
      <c r="BA113" s="1709"/>
      <c r="BB113" s="1709"/>
      <c r="BC113" s="222">
        <f t="shared" si="44"/>
        <v>0</v>
      </c>
      <c r="BD113" s="140">
        <f t="shared" si="45"/>
        <v>0</v>
      </c>
      <c r="BE113" s="132"/>
      <c r="BF113" s="140">
        <f t="shared" si="46"/>
        <v>0</v>
      </c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50">
        <v>30</v>
      </c>
      <c r="BS113" s="141"/>
      <c r="BT113" s="130">
        <f t="shared" si="47"/>
        <v>0</v>
      </c>
      <c r="BU113" s="132"/>
    </row>
    <row r="114" ht="14.25" customHeight="1">
      <c r="A114" s="132"/>
      <c r="B114" s="215">
        <v>46120</v>
      </c>
      <c r="C114" s="136">
        <f>39544.76-D114-0</f>
      </c>
      <c r="D114" s="134">
        <v>3115.22</v>
      </c>
      <c r="E114" s="135"/>
      <c r="F114" s="135"/>
      <c r="G114" s="147">
        <f t="shared" si="39"/>
        <v>0</v>
      </c>
      <c r="H114" s="144"/>
      <c r="I114" s="143"/>
      <c r="J114" s="145">
        <v>2551.32</v>
      </c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03">
        <f t="shared" si="40"/>
        <v>0</v>
      </c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03">
        <f t="shared" si="41"/>
        <v>0</v>
      </c>
      <c r="AI114" s="134">
        <v>9334.26</v>
      </c>
      <c r="AJ114" s="134">
        <v>535.49</v>
      </c>
      <c r="AK114" s="136"/>
      <c r="AL114" s="105">
        <f t="shared" si="42"/>
        <v>0</v>
      </c>
      <c r="AM114" s="143"/>
      <c r="AN114" s="143"/>
      <c r="AO114" s="143"/>
      <c r="AP114" s="146"/>
      <c r="AQ114" s="224">
        <f t="shared" si="43"/>
        <v>0</v>
      </c>
      <c r="AR114" s="1554">
        <v>24512</v>
      </c>
      <c r="AS114" s="1709"/>
      <c r="AT114" s="1546"/>
      <c r="AU114" s="1546"/>
      <c r="AV114" s="1546"/>
      <c r="AW114" s="1546"/>
      <c r="AX114" s="1554">
        <v>2579.1</v>
      </c>
      <c r="AY114" s="1709"/>
      <c r="AZ114" s="1709"/>
      <c r="BA114" s="1709"/>
      <c r="BB114" s="1709"/>
      <c r="BC114" s="222">
        <f t="shared" si="44"/>
        <v>0</v>
      </c>
      <c r="BD114" s="140">
        <f t="shared" si="45"/>
        <v>0</v>
      </c>
      <c r="BE114" s="132"/>
      <c r="BF114" s="140">
        <f t="shared" si="46"/>
        <v>0</v>
      </c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50">
        <v>30</v>
      </c>
      <c r="BS114" s="141"/>
      <c r="BT114" s="130">
        <f t="shared" si="47"/>
        <v>0</v>
      </c>
      <c r="BU114" s="132"/>
    </row>
    <row r="115" ht="14.25" customHeight="1">
      <c r="A115" s="132"/>
      <c r="B115" s="215">
        <v>46121</v>
      </c>
      <c r="C115" s="136">
        <f>39936.73-D115-0</f>
      </c>
      <c r="D115" s="134">
        <v>3452.55</v>
      </c>
      <c r="E115" s="135"/>
      <c r="F115" s="135"/>
      <c r="G115" s="147">
        <f t="shared" si="39"/>
        <v>0</v>
      </c>
      <c r="H115" s="144"/>
      <c r="I115" s="143"/>
      <c r="J115" s="145">
        <v>3921.2</v>
      </c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03">
        <f t="shared" si="40"/>
        <v>0</v>
      </c>
      <c r="V115" s="143"/>
      <c r="W115" s="143"/>
      <c r="X115" s="145">
        <v>650.39</v>
      </c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03">
        <f t="shared" si="41"/>
        <v>0</v>
      </c>
      <c r="AI115" s="134">
        <v>9486.92</v>
      </c>
      <c r="AJ115" s="134">
        <v>933.35</v>
      </c>
      <c r="AK115" s="136"/>
      <c r="AL115" s="105">
        <f t="shared" si="42"/>
        <v>0</v>
      </c>
      <c r="AM115" s="143"/>
      <c r="AN115" s="143"/>
      <c r="AO115" s="143"/>
      <c r="AP115" s="146"/>
      <c r="AQ115" s="224">
        <f t="shared" si="43"/>
        <v>0</v>
      </c>
      <c r="AR115" s="1554">
        <v>22394.6</v>
      </c>
      <c r="AS115" s="1709"/>
      <c r="AT115" s="1546"/>
      <c r="AU115" s="1546"/>
      <c r="AV115" s="1546"/>
      <c r="AW115" s="1546"/>
      <c r="AX115" s="1554">
        <v>2519.2</v>
      </c>
      <c r="AY115" s="1709"/>
      <c r="AZ115" s="1709"/>
      <c r="BA115" s="1709"/>
      <c r="BB115" s="1709"/>
      <c r="BC115" s="222">
        <f t="shared" si="44"/>
        <v>0</v>
      </c>
      <c r="BD115" s="140">
        <f t="shared" si="45"/>
        <v>0</v>
      </c>
      <c r="BE115" s="132"/>
      <c r="BF115" s="140">
        <f t="shared" si="46"/>
        <v>0</v>
      </c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50">
        <v>30</v>
      </c>
      <c r="BS115" s="141"/>
      <c r="BT115" s="130">
        <f t="shared" si="47"/>
        <v>0</v>
      </c>
      <c r="BU115" s="132"/>
    </row>
    <row r="116" ht="14.25" customHeight="1">
      <c r="A116" s="132"/>
      <c r="B116" s="215">
        <v>46122</v>
      </c>
      <c r="C116" s="136">
        <f>38214.15-D116-0</f>
      </c>
      <c r="D116" s="134">
        <v>4359.24</v>
      </c>
      <c r="E116" s="135"/>
      <c r="F116" s="135"/>
      <c r="G116" s="147">
        <f t="shared" si="39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5">
        <v>67.06</v>
      </c>
      <c r="T116" s="143"/>
      <c r="U116" s="103">
        <f t="shared" si="40"/>
        <v>0</v>
      </c>
      <c r="V116" s="143"/>
      <c r="W116" s="143"/>
      <c r="X116" s="145">
        <v>309.82</v>
      </c>
      <c r="Y116" s="143"/>
      <c r="Z116" s="143"/>
      <c r="AA116" s="143"/>
      <c r="AB116" s="143"/>
      <c r="AC116" s="143"/>
      <c r="AD116" s="143"/>
      <c r="AE116" s="143"/>
      <c r="AF116" s="143"/>
      <c r="AG116" s="143"/>
      <c r="AH116" s="103">
        <f t="shared" si="41"/>
        <v>0</v>
      </c>
      <c r="AI116" s="134">
        <v>10313.07</v>
      </c>
      <c r="AJ116" s="134">
        <v>1218.89</v>
      </c>
      <c r="AK116" s="136"/>
      <c r="AL116" s="105">
        <f t="shared" si="42"/>
        <v>0</v>
      </c>
      <c r="AM116" s="143"/>
      <c r="AN116" s="143"/>
      <c r="AO116" s="143"/>
      <c r="AP116" s="146"/>
      <c r="AQ116" s="224">
        <f t="shared" si="43"/>
        <v>0</v>
      </c>
      <c r="AR116" s="1554">
        <v>23133.6</v>
      </c>
      <c r="AS116" s="1718"/>
      <c r="AT116" s="1546"/>
      <c r="AU116" s="1546"/>
      <c r="AV116" s="1546"/>
      <c r="AW116" s="1546"/>
      <c r="AX116" s="1554">
        <v>3140</v>
      </c>
      <c r="AY116" s="1709"/>
      <c r="AZ116" s="1709"/>
      <c r="BA116" s="1709"/>
      <c r="BB116" s="1709"/>
      <c r="BC116" s="222">
        <f t="shared" si="44"/>
        <v>0</v>
      </c>
      <c r="BD116" s="140">
        <f t="shared" si="45"/>
        <v>0</v>
      </c>
      <c r="BE116" s="132"/>
      <c r="BF116" s="140">
        <f t="shared" si="46"/>
        <v>0</v>
      </c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50">
        <v>30</v>
      </c>
      <c r="BS116" s="141"/>
      <c r="BT116" s="130">
        <f t="shared" si="47"/>
        <v>0</v>
      </c>
      <c r="BU116" s="132"/>
    </row>
    <row r="117" ht="14.25" customHeight="1">
      <c r="A117" s="132"/>
      <c r="B117" s="215">
        <v>46123</v>
      </c>
      <c r="C117" s="136">
        <f>42896.36-D117-0</f>
      </c>
      <c r="D117" s="134">
        <v>3866.08</v>
      </c>
      <c r="E117" s="135"/>
      <c r="F117" s="135"/>
      <c r="G117" s="147">
        <f t="shared" si="39"/>
        <v>0</v>
      </c>
      <c r="H117" s="144"/>
      <c r="I117" s="143"/>
      <c r="J117" s="143">
        <v>3390.92</v>
      </c>
      <c r="K117" s="143"/>
      <c r="L117" s="143"/>
      <c r="M117" s="143"/>
      <c r="N117" s="143"/>
      <c r="O117" s="143"/>
      <c r="P117" s="143"/>
      <c r="Q117" s="143"/>
      <c r="R117" s="143"/>
      <c r="S117" s="145">
        <v>45.21</v>
      </c>
      <c r="T117" s="143"/>
      <c r="U117" s="103">
        <f t="shared" si="40"/>
        <v>0</v>
      </c>
      <c r="V117" s="143"/>
      <c r="W117" s="143"/>
      <c r="X117" s="145">
        <v>421.06</v>
      </c>
      <c r="Y117" s="143"/>
      <c r="Z117" s="143"/>
      <c r="AA117" s="143"/>
      <c r="AB117" s="143"/>
      <c r="AC117" s="143"/>
      <c r="AD117" s="143"/>
      <c r="AE117" s="143"/>
      <c r="AF117" s="143"/>
      <c r="AG117" s="143"/>
      <c r="AH117" s="103">
        <f t="shared" si="41"/>
        <v>0</v>
      </c>
      <c r="AI117" s="134">
        <v>11589.41</v>
      </c>
      <c r="AJ117" s="134">
        <v>1129.24</v>
      </c>
      <c r="AK117" s="136"/>
      <c r="AL117" s="105">
        <f t="shared" si="42"/>
        <v>0</v>
      </c>
      <c r="AM117" s="143"/>
      <c r="AN117" s="143"/>
      <c r="AO117" s="143"/>
      <c r="AP117" s="146"/>
      <c r="AQ117" s="224">
        <f t="shared" si="43"/>
        <v>0</v>
      </c>
      <c r="AR117" s="1554">
        <v>23552</v>
      </c>
      <c r="AS117" s="1709"/>
      <c r="AT117" s="1546"/>
      <c r="AU117" s="1546"/>
      <c r="AV117" s="1546"/>
      <c r="AW117" s="1546"/>
      <c r="AX117" s="1554">
        <v>2736.5</v>
      </c>
      <c r="AY117" s="1709"/>
      <c r="AZ117" s="1709"/>
      <c r="BA117" s="1709"/>
      <c r="BB117" s="1709"/>
      <c r="BC117" s="222">
        <f t="shared" si="44"/>
        <v>0</v>
      </c>
      <c r="BD117" s="140">
        <f t="shared" si="45"/>
        <v>0</v>
      </c>
      <c r="BE117" s="132"/>
      <c r="BF117" s="140">
        <f t="shared" si="46"/>
        <v>0</v>
      </c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50">
        <v>30</v>
      </c>
      <c r="BS117" s="141"/>
      <c r="BT117" s="130">
        <f t="shared" si="47"/>
        <v>0</v>
      </c>
      <c r="BU117" s="132"/>
    </row>
    <row r="118" ht="14.25" customHeight="1">
      <c r="A118" s="132"/>
      <c r="B118" s="215">
        <v>46124</v>
      </c>
      <c r="C118" s="136">
        <f>36255.21-D118-0</f>
      </c>
      <c r="D118" s="134">
        <v>4773.96</v>
      </c>
      <c r="E118" s="135"/>
      <c r="F118" s="135"/>
      <c r="G118" s="147">
        <f t="shared" si="39"/>
        <v>0</v>
      </c>
      <c r="H118" s="144"/>
      <c r="I118" s="143"/>
      <c r="J118" s="145">
        <v>799.15</v>
      </c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03">
        <f t="shared" si="40"/>
        <v>0</v>
      </c>
      <c r="V118" s="143"/>
      <c r="W118" s="143"/>
      <c r="X118" s="145">
        <v>431.08</v>
      </c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03">
        <f t="shared" si="41"/>
        <v>0</v>
      </c>
      <c r="AI118" s="134">
        <v>7628.13</v>
      </c>
      <c r="AJ118" s="134">
        <v>1150.43</v>
      </c>
      <c r="AK118" s="136"/>
      <c r="AL118" s="105">
        <f t="shared" si="42"/>
        <v>0</v>
      </c>
      <c r="AM118" s="143"/>
      <c r="AN118" s="143"/>
      <c r="AO118" s="143"/>
      <c r="AP118" s="146"/>
      <c r="AQ118" s="224">
        <f t="shared" si="43"/>
        <v>0</v>
      </c>
      <c r="AR118" s="1554">
        <v>22621</v>
      </c>
      <c r="AS118" s="1709"/>
      <c r="AT118" s="1546"/>
      <c r="AU118" s="1546"/>
      <c r="AV118" s="1546"/>
      <c r="AW118" s="1546"/>
      <c r="AX118" s="1554">
        <v>3623.2</v>
      </c>
      <c r="AY118" s="1709"/>
      <c r="AZ118" s="1709"/>
      <c r="BA118" s="1709"/>
      <c r="BB118" s="1709"/>
      <c r="BC118" s="222">
        <f t="shared" si="44"/>
        <v>0</v>
      </c>
      <c r="BD118" s="1356">
        <f t="shared" si="45"/>
        <v>0</v>
      </c>
      <c r="BE118" s="132"/>
      <c r="BF118" s="140">
        <f t="shared" si="46"/>
        <v>0</v>
      </c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30">
        <f t="shared" si="47"/>
        <v>0</v>
      </c>
      <c r="BU118" s="132"/>
    </row>
    <row r="119" ht="14.25" customHeight="1">
      <c r="A119" s="132"/>
      <c r="B119" s="215">
        <v>46125</v>
      </c>
      <c r="C119" s="136">
        <f>30513.10-D119-0</f>
      </c>
      <c r="D119" s="134">
        <v>2644.56</v>
      </c>
      <c r="E119" s="135"/>
      <c r="F119" s="135"/>
      <c r="G119" s="147">
        <f t="shared" si="39"/>
        <v>0</v>
      </c>
      <c r="H119" s="144"/>
      <c r="I119" s="231"/>
      <c r="J119" s="145">
        <v>3183.26</v>
      </c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03">
        <f t="shared" si="40"/>
        <v>0</v>
      </c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03">
        <f t="shared" si="41"/>
        <v>0</v>
      </c>
      <c r="AI119" s="134">
        <v>6937.59</v>
      </c>
      <c r="AJ119" s="134">
        <v>625.12</v>
      </c>
      <c r="AK119" s="136"/>
      <c r="AL119" s="105">
        <f t="shared" si="42"/>
        <v>0</v>
      </c>
      <c r="AM119" s="143"/>
      <c r="AN119" s="143"/>
      <c r="AO119" s="143"/>
      <c r="AP119" s="146"/>
      <c r="AQ119" s="224">
        <f t="shared" si="43"/>
        <v>0</v>
      </c>
      <c r="AR119" s="1554">
        <v>17715</v>
      </c>
      <c r="AS119" s="1709"/>
      <c r="AT119" s="1546"/>
      <c r="AU119" s="1546"/>
      <c r="AV119" s="1546"/>
      <c r="AW119" s="1546"/>
      <c r="AX119" s="1554">
        <v>2019.1</v>
      </c>
      <c r="AY119" s="1709"/>
      <c r="AZ119" s="1709"/>
      <c r="BA119" s="1709"/>
      <c r="BB119" s="1709"/>
      <c r="BC119" s="222">
        <f t="shared" si="44"/>
        <v>0</v>
      </c>
      <c r="BD119" s="140">
        <f t="shared" si="45"/>
        <v>0</v>
      </c>
      <c r="BE119" s="132"/>
      <c r="BF119" s="140">
        <f t="shared" si="46"/>
        <v>0</v>
      </c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50">
        <v>30</v>
      </c>
      <c r="BS119" s="141"/>
      <c r="BT119" s="130">
        <f t="shared" si="47"/>
        <v>0</v>
      </c>
      <c r="BU119" s="132"/>
    </row>
    <row r="120" ht="14.25" customHeight="1">
      <c r="A120" s="132"/>
      <c r="B120" s="215">
        <v>46126</v>
      </c>
      <c r="C120" s="136">
        <f>36746.52-D120-0</f>
      </c>
      <c r="D120" s="134">
        <v>3497.23</v>
      </c>
      <c r="E120" s="135"/>
      <c r="F120" s="135"/>
      <c r="G120" s="147">
        <f t="shared" si="39"/>
        <v>0</v>
      </c>
      <c r="H120" s="144"/>
      <c r="I120" s="231"/>
      <c r="J120" s="145">
        <v>1143.45</v>
      </c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03">
        <f t="shared" si="40"/>
        <v>0</v>
      </c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03">
        <f t="shared" si="41"/>
        <v>0</v>
      </c>
      <c r="AI120" s="134">
        <v>10316.03</v>
      </c>
      <c r="AJ120" s="134">
        <v>694.22</v>
      </c>
      <c r="AK120" s="136"/>
      <c r="AL120" s="105">
        <f t="shared" si="42"/>
        <v>0</v>
      </c>
      <c r="AM120" s="143"/>
      <c r="AN120" s="143"/>
      <c r="AO120" s="143"/>
      <c r="AP120" s="146"/>
      <c r="AQ120" s="224">
        <f t="shared" si="43"/>
        <v>0</v>
      </c>
      <c r="AR120" s="1554">
        <v>21757.8</v>
      </c>
      <c r="AS120" s="1709"/>
      <c r="AT120" s="1546"/>
      <c r="AU120" s="1546"/>
      <c r="AV120" s="1546"/>
      <c r="AW120" s="1546"/>
      <c r="AX120" s="1554">
        <v>2803</v>
      </c>
      <c r="AY120" s="1709"/>
      <c r="AZ120" s="1709"/>
      <c r="BA120" s="1709"/>
      <c r="BB120" s="1709"/>
      <c r="BC120" s="222">
        <f t="shared" si="44"/>
        <v>0</v>
      </c>
      <c r="BD120" s="140">
        <f t="shared" si="45"/>
        <v>0</v>
      </c>
      <c r="BE120" s="132"/>
      <c r="BF120" s="140">
        <f t="shared" si="46"/>
        <v>0</v>
      </c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50">
        <v>30</v>
      </c>
      <c r="BS120" s="141"/>
      <c r="BT120" s="130">
        <f t="shared" si="47"/>
        <v>0</v>
      </c>
      <c r="BU120" s="132"/>
    </row>
    <row r="121" ht="14.25" customHeight="1">
      <c r="A121" s="132"/>
      <c r="B121" s="215">
        <v>46127</v>
      </c>
      <c r="C121" s="136">
        <f>32872.81-D121-0</f>
      </c>
      <c r="D121" s="134">
        <v>3339.5</v>
      </c>
      <c r="E121" s="135"/>
      <c r="F121" s="135"/>
      <c r="G121" s="147">
        <f t="shared" si="39"/>
        <v>0</v>
      </c>
      <c r="H121" s="144"/>
      <c r="I121" s="646">
        <v>702.01</v>
      </c>
      <c r="J121" s="145">
        <v>366.96</v>
      </c>
      <c r="K121" s="143"/>
      <c r="L121" s="143"/>
      <c r="M121" s="143"/>
      <c r="N121" s="143"/>
      <c r="O121" s="143"/>
      <c r="P121" s="143"/>
      <c r="Q121" s="143"/>
      <c r="R121" s="143"/>
      <c r="S121" s="143">
        <v>154.32</v>
      </c>
      <c r="T121" s="143"/>
      <c r="U121" s="103">
        <f t="shared" si="40"/>
        <v>0</v>
      </c>
      <c r="V121" s="143"/>
      <c r="W121" s="143"/>
      <c r="X121" s="145">
        <v>419.34</v>
      </c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03">
        <f t="shared" si="41"/>
        <v>0</v>
      </c>
      <c r="AI121" s="134">
        <v>9711.57</v>
      </c>
      <c r="AJ121" s="134">
        <v>551.03</v>
      </c>
      <c r="AK121" s="136"/>
      <c r="AL121" s="105">
        <f t="shared" si="42"/>
        <v>0</v>
      </c>
      <c r="AM121" s="143"/>
      <c r="AN121" s="143"/>
      <c r="AO121" s="143"/>
      <c r="AP121" s="146"/>
      <c r="AQ121" s="224">
        <f t="shared" si="43"/>
        <v>0</v>
      </c>
      <c r="AR121" s="1554">
        <v>18147</v>
      </c>
      <c r="AS121" s="1709"/>
      <c r="AT121" s="1546"/>
      <c r="AU121" s="1546"/>
      <c r="AV121" s="1546"/>
      <c r="AW121" s="1546"/>
      <c r="AX121" s="1554">
        <v>2788</v>
      </c>
      <c r="AY121" s="1709"/>
      <c r="AZ121" s="1709"/>
      <c r="BA121" s="1709"/>
      <c r="BB121" s="1709"/>
      <c r="BC121" s="222">
        <f t="shared" si="44"/>
        <v>0</v>
      </c>
      <c r="BD121" s="140">
        <f t="shared" si="45"/>
        <v>0</v>
      </c>
      <c r="BE121" s="132"/>
      <c r="BF121" s="140">
        <f t="shared" si="46"/>
        <v>0</v>
      </c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50">
        <v>30</v>
      </c>
      <c r="BS121" s="141"/>
      <c r="BT121" s="130">
        <f t="shared" si="47"/>
        <v>0</v>
      </c>
      <c r="BU121" s="132"/>
    </row>
    <row r="122" ht="14.25" customHeight="1">
      <c r="A122" s="132"/>
      <c r="B122" s="215">
        <v>46128</v>
      </c>
      <c r="C122" s="136">
        <f>31614.60-D122-0</f>
      </c>
      <c r="D122" s="134">
        <v>3660.57</v>
      </c>
      <c r="E122" s="135"/>
      <c r="F122" s="135"/>
      <c r="G122" s="147">
        <f t="shared" si="39"/>
        <v>0</v>
      </c>
      <c r="H122" s="144"/>
      <c r="I122" s="231"/>
      <c r="J122" s="145">
        <v>1123.08</v>
      </c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03">
        <f t="shared" si="40"/>
        <v>0</v>
      </c>
      <c r="V122" s="143"/>
      <c r="W122" s="143"/>
      <c r="X122" s="145">
        <v>359.99</v>
      </c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03">
        <f t="shared" si="41"/>
        <v>0</v>
      </c>
      <c r="AI122" s="134">
        <v>8499.84</v>
      </c>
      <c r="AJ122" s="134">
        <v>801.62</v>
      </c>
      <c r="AK122" s="136"/>
      <c r="AL122" s="105">
        <f t="shared" si="42"/>
        <v>0</v>
      </c>
      <c r="AM122" s="143"/>
      <c r="AN122" s="143"/>
      <c r="AO122" s="143"/>
      <c r="AP122" s="146"/>
      <c r="AQ122" s="224">
        <f t="shared" si="43"/>
        <v>0</v>
      </c>
      <c r="AR122" s="1554">
        <v>17938</v>
      </c>
      <c r="AS122" s="1709"/>
      <c r="AT122" s="1546"/>
      <c r="AU122" s="1546"/>
      <c r="AV122" s="1546"/>
      <c r="AW122" s="1546"/>
      <c r="AX122" s="1554">
        <v>2858.8</v>
      </c>
      <c r="AY122" s="1709"/>
      <c r="AZ122" s="1709"/>
      <c r="BA122" s="1709"/>
      <c r="BB122" s="1709"/>
      <c r="BC122" s="222">
        <f t="shared" si="44"/>
        <v>0</v>
      </c>
      <c r="BD122" s="140">
        <f t="shared" si="45"/>
        <v>0</v>
      </c>
      <c r="BE122" s="132"/>
      <c r="BF122" s="140">
        <f t="shared" si="46"/>
        <v>0</v>
      </c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50">
        <v>30</v>
      </c>
      <c r="BS122" s="141"/>
      <c r="BT122" s="130">
        <f t="shared" si="47"/>
        <v>0</v>
      </c>
      <c r="BU122" s="132"/>
    </row>
    <row r="123" ht="14.25" customHeight="1">
      <c r="A123" s="132"/>
      <c r="B123" s="215">
        <v>46129</v>
      </c>
      <c r="C123" s="136">
        <f>34023.28-D123-0</f>
      </c>
      <c r="D123" s="134">
        <v>3941.36</v>
      </c>
      <c r="E123" s="135"/>
      <c r="F123" s="135"/>
      <c r="G123" s="147">
        <f t="shared" si="39"/>
        <v>0</v>
      </c>
      <c r="H123" s="144"/>
      <c r="I123" s="231"/>
      <c r="J123" s="145">
        <v>1089.79</v>
      </c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03">
        <f t="shared" si="40"/>
        <v>0</v>
      </c>
      <c r="V123" s="143"/>
      <c r="W123" s="143"/>
      <c r="X123" s="145">
        <v>778.27</v>
      </c>
      <c r="Y123" s="143"/>
      <c r="Z123" s="143"/>
      <c r="AA123" s="143"/>
      <c r="AB123" s="143"/>
      <c r="AC123" s="143"/>
      <c r="AD123" s="143"/>
      <c r="AE123" s="143"/>
      <c r="AF123" s="143"/>
      <c r="AG123" s="143"/>
      <c r="AH123" s="103">
        <f t="shared" si="41"/>
        <v>0</v>
      </c>
      <c r="AI123" s="134">
        <v>9444.48</v>
      </c>
      <c r="AJ123" s="134">
        <v>867.55</v>
      </c>
      <c r="AK123" s="136"/>
      <c r="AL123" s="105">
        <f t="shared" si="42"/>
        <v>0</v>
      </c>
      <c r="AM123" s="143"/>
      <c r="AN123" s="143"/>
      <c r="AO123" s="143"/>
      <c r="AP123" s="146"/>
      <c r="AQ123" s="224">
        <f t="shared" si="43"/>
        <v>0</v>
      </c>
      <c r="AR123" s="1554">
        <v>18738</v>
      </c>
      <c r="AS123" s="1709"/>
      <c r="AT123" s="1546"/>
      <c r="AU123" s="1546"/>
      <c r="AV123" s="1546"/>
      <c r="AW123" s="1546"/>
      <c r="AX123" s="1554">
        <v>3073.1</v>
      </c>
      <c r="AY123" s="1709"/>
      <c r="AZ123" s="1709"/>
      <c r="BA123" s="1709"/>
      <c r="BB123" s="1709"/>
      <c r="BC123" s="222">
        <f t="shared" si="44"/>
        <v>0</v>
      </c>
      <c r="BD123" s="140">
        <f t="shared" si="45"/>
        <v>0</v>
      </c>
      <c r="BE123" s="132"/>
      <c r="BF123" s="140">
        <f t="shared" si="46"/>
        <v>0</v>
      </c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50">
        <v>30</v>
      </c>
      <c r="BS123" s="141"/>
      <c r="BT123" s="130">
        <f t="shared" si="47"/>
        <v>0</v>
      </c>
      <c r="BU123" s="132"/>
    </row>
    <row r="124" ht="14.25" customHeight="1">
      <c r="A124" s="132"/>
      <c r="B124" s="215">
        <v>46130</v>
      </c>
      <c r="C124" s="136">
        <f>31348.48-D124-0</f>
      </c>
      <c r="D124" s="134">
        <v>3570.66</v>
      </c>
      <c r="E124" s="135"/>
      <c r="F124" s="135"/>
      <c r="G124" s="147">
        <f t="shared" si="39"/>
        <v>0</v>
      </c>
      <c r="H124" s="144"/>
      <c r="I124" s="646">
        <v>716.47</v>
      </c>
      <c r="J124" s="143">
        <v>1066.04</v>
      </c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03">
        <f t="shared" si="40"/>
        <v>0</v>
      </c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43"/>
      <c r="AH124" s="103">
        <f t="shared" si="41"/>
        <v>0</v>
      </c>
      <c r="AI124" s="134">
        <v>7393.47</v>
      </c>
      <c r="AJ124" s="134">
        <v>643.05</v>
      </c>
      <c r="AK124" s="136"/>
      <c r="AL124" s="105">
        <f t="shared" si="42"/>
        <v>0</v>
      </c>
      <c r="AM124" s="143"/>
      <c r="AN124" s="143"/>
      <c r="AO124" s="143"/>
      <c r="AP124" s="146"/>
      <c r="AQ124" s="224">
        <f t="shared" si="43"/>
        <v>0</v>
      </c>
      <c r="AR124" s="1554">
        <v>18570</v>
      </c>
      <c r="AS124" s="1709"/>
      <c r="AT124" s="1546"/>
      <c r="AU124" s="1546"/>
      <c r="AV124" s="1546"/>
      <c r="AW124" s="1546"/>
      <c r="AX124" s="1554">
        <v>2927</v>
      </c>
      <c r="AY124" s="1709"/>
      <c r="AZ124" s="1709"/>
      <c r="BA124" s="1709"/>
      <c r="BB124" s="1709"/>
      <c r="BC124" s="222">
        <f t="shared" si="44"/>
        <v>0</v>
      </c>
      <c r="BD124" s="140">
        <f t="shared" si="45"/>
        <v>0</v>
      </c>
      <c r="BE124" s="132"/>
      <c r="BF124" s="140">
        <f t="shared" si="46"/>
        <v>0</v>
      </c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50">
        <v>30</v>
      </c>
      <c r="BS124" s="141"/>
      <c r="BT124" s="130">
        <f t="shared" si="47"/>
        <v>0</v>
      </c>
      <c r="BU124" s="132"/>
    </row>
    <row r="125" ht="14.25" customHeight="1">
      <c r="A125" s="132"/>
      <c r="B125" s="215">
        <v>46131</v>
      </c>
      <c r="C125" s="136">
        <f>29704.71-D125-0</f>
      </c>
      <c r="D125" s="134">
        <v>3745.37</v>
      </c>
      <c r="E125" s="135"/>
      <c r="F125" s="135"/>
      <c r="G125" s="147">
        <f t="shared" si="39"/>
        <v>0</v>
      </c>
      <c r="H125" s="144"/>
      <c r="I125" s="231"/>
      <c r="J125" s="145">
        <v>1435.26</v>
      </c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03">
        <f t="shared" si="40"/>
        <v>0</v>
      </c>
      <c r="V125" s="143"/>
      <c r="W125" s="143"/>
      <c r="X125" s="145">
        <v>342.17</v>
      </c>
      <c r="Y125" s="143"/>
      <c r="Z125" s="143"/>
      <c r="AA125" s="143"/>
      <c r="AB125" s="143"/>
      <c r="AC125" s="143"/>
      <c r="AD125" s="143"/>
      <c r="AE125" s="143"/>
      <c r="AF125" s="143"/>
      <c r="AG125" s="143"/>
      <c r="AH125" s="103">
        <f t="shared" si="41"/>
        <v>0</v>
      </c>
      <c r="AI125" s="134">
        <v>7818.81</v>
      </c>
      <c r="AJ125" s="134">
        <v>567.12</v>
      </c>
      <c r="AK125" s="136"/>
      <c r="AL125" s="105">
        <f t="shared" si="42"/>
        <v>0</v>
      </c>
      <c r="AM125" s="143"/>
      <c r="AN125" s="143"/>
      <c r="AO125" s="143"/>
      <c r="AP125" s="146"/>
      <c r="AQ125" s="224">
        <f t="shared" si="43"/>
        <v>0</v>
      </c>
      <c r="AR125" s="1554">
        <v>16362</v>
      </c>
      <c r="AS125" s="1709"/>
      <c r="AT125" s="1546"/>
      <c r="AU125" s="1546"/>
      <c r="AV125" s="1546"/>
      <c r="AW125" s="1546"/>
      <c r="AX125" s="1554">
        <v>3178.1</v>
      </c>
      <c r="AY125" s="1709"/>
      <c r="AZ125" s="1709"/>
      <c r="BA125" s="1709"/>
      <c r="BB125" s="1709"/>
      <c r="BC125" s="222">
        <f t="shared" si="44"/>
        <v>0</v>
      </c>
      <c r="BD125" s="140">
        <f t="shared" si="45"/>
        <v>0</v>
      </c>
      <c r="BE125" s="132"/>
      <c r="BF125" s="140">
        <f t="shared" si="46"/>
        <v>0</v>
      </c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30">
        <f t="shared" si="47"/>
        <v>0</v>
      </c>
      <c r="BU125" s="132"/>
    </row>
    <row r="126" ht="14.25" customHeight="1">
      <c r="A126" s="132"/>
      <c r="B126" s="215">
        <v>46132</v>
      </c>
      <c r="C126" s="136">
        <f>28200.22-D126-0</f>
      </c>
      <c r="D126" s="134">
        <v>3849.48</v>
      </c>
      <c r="E126" s="135"/>
      <c r="F126" s="135"/>
      <c r="G126" s="147">
        <f t="shared" si="39"/>
        <v>0</v>
      </c>
      <c r="H126" s="144"/>
      <c r="I126" s="231"/>
      <c r="J126" s="145">
        <v>1120.14</v>
      </c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03">
        <f t="shared" si="40"/>
        <v>0</v>
      </c>
      <c r="V126" s="143"/>
      <c r="W126" s="143"/>
      <c r="X126" s="145">
        <v>452.89</v>
      </c>
      <c r="Y126" s="143"/>
      <c r="Z126" s="143"/>
      <c r="AA126" s="143"/>
      <c r="AB126" s="143"/>
      <c r="AC126" s="143"/>
      <c r="AD126" s="143"/>
      <c r="AE126" s="143"/>
      <c r="AF126" s="143"/>
      <c r="AG126" s="143"/>
      <c r="AH126" s="103">
        <f t="shared" si="41"/>
        <v>0</v>
      </c>
      <c r="AI126" s="134">
        <v>7983.09</v>
      </c>
      <c r="AJ126" s="134">
        <v>700.69</v>
      </c>
      <c r="AK126" s="136"/>
      <c r="AL126" s="105">
        <f t="shared" si="42"/>
        <v>0</v>
      </c>
      <c r="AM126" s="143"/>
      <c r="AN126" s="143"/>
      <c r="AO126" s="143"/>
      <c r="AP126" s="146"/>
      <c r="AQ126" s="224">
        <f t="shared" si="43"/>
        <v>0</v>
      </c>
      <c r="AR126" s="1554">
        <v>14760</v>
      </c>
      <c r="AS126" s="1709"/>
      <c r="AT126" s="1546"/>
      <c r="AU126" s="1546"/>
      <c r="AV126" s="1546"/>
      <c r="AW126" s="1546"/>
      <c r="AX126" s="1554">
        <v>3148.7</v>
      </c>
      <c r="AY126" s="1709"/>
      <c r="AZ126" s="1709"/>
      <c r="BA126" s="1709"/>
      <c r="BB126" s="1709"/>
      <c r="BC126" s="222">
        <f t="shared" si="44"/>
        <v>0</v>
      </c>
      <c r="BD126" s="140">
        <f t="shared" si="45"/>
        <v>0</v>
      </c>
      <c r="BE126" s="132"/>
      <c r="BF126" s="140">
        <f t="shared" si="46"/>
        <v>0</v>
      </c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50">
        <v>30</v>
      </c>
      <c r="BS126" s="141"/>
      <c r="BT126" s="130">
        <f t="shared" si="47"/>
        <v>0</v>
      </c>
      <c r="BU126" s="132"/>
    </row>
    <row r="127" ht="14.25" customHeight="1">
      <c r="A127" s="132"/>
      <c r="B127" s="215">
        <v>46133</v>
      </c>
      <c r="C127" s="136">
        <f>24512.74-D127-0</f>
      </c>
      <c r="D127" s="134">
        <v>3173.24</v>
      </c>
      <c r="E127" s="135"/>
      <c r="F127" s="135"/>
      <c r="G127" s="147">
        <f t="shared" si="39"/>
        <v>0</v>
      </c>
      <c r="H127" s="144"/>
      <c r="I127" s="231"/>
      <c r="J127" s="143">
        <v>1222.29</v>
      </c>
      <c r="K127" s="143"/>
      <c r="L127" s="143"/>
      <c r="M127" s="143"/>
      <c r="N127" s="143"/>
      <c r="O127" s="143"/>
      <c r="P127" s="143"/>
      <c r="Q127" s="143"/>
      <c r="R127" s="143"/>
      <c r="S127" s="145">
        <v>68.63</v>
      </c>
      <c r="T127" s="143"/>
      <c r="U127" s="103">
        <f t="shared" si="40"/>
        <v>0</v>
      </c>
      <c r="V127" s="143"/>
      <c r="W127" s="143"/>
      <c r="X127" s="145">
        <v>550.79</v>
      </c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03">
        <f t="shared" si="41"/>
        <v>0</v>
      </c>
      <c r="AI127" s="134">
        <v>5614.5</v>
      </c>
      <c r="AJ127" s="134">
        <v>624.06</v>
      </c>
      <c r="AK127" s="136"/>
      <c r="AL127" s="105">
        <f t="shared" si="42"/>
        <v>0</v>
      </c>
      <c r="AM127" s="143"/>
      <c r="AN127" s="143"/>
      <c r="AO127" s="143"/>
      <c r="AP127" s="146"/>
      <c r="AQ127" s="224">
        <f t="shared" si="43"/>
        <v>0</v>
      </c>
      <c r="AR127" s="1633">
        <v>13849.5</v>
      </c>
      <c r="AS127" s="1709"/>
      <c r="AT127" s="1546"/>
      <c r="AU127" s="1546"/>
      <c r="AV127" s="1546"/>
      <c r="AW127" s="1546"/>
      <c r="AX127" s="1633">
        <v>2549</v>
      </c>
      <c r="AY127" s="1709"/>
      <c r="AZ127" s="1709"/>
      <c r="BA127" s="1709"/>
      <c r="BB127" s="1709"/>
      <c r="BC127" s="222">
        <f t="shared" si="44"/>
        <v>0</v>
      </c>
      <c r="BD127" s="140">
        <f t="shared" si="45"/>
        <v>0</v>
      </c>
      <c r="BE127" s="132"/>
      <c r="BF127" s="140">
        <f t="shared" si="46"/>
        <v>0</v>
      </c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50">
        <v>30</v>
      </c>
      <c r="BS127" s="141"/>
      <c r="BT127" s="130">
        <f t="shared" si="47"/>
        <v>0</v>
      </c>
      <c r="BU127" s="132"/>
    </row>
    <row r="128" ht="14.25" customHeight="1">
      <c r="A128" s="132"/>
      <c r="B128" s="215">
        <v>46134</v>
      </c>
      <c r="C128" s="136">
        <f>26140.25-D128-0</f>
      </c>
      <c r="D128" s="134">
        <v>3807.3</v>
      </c>
      <c r="E128" s="135"/>
      <c r="F128" s="135"/>
      <c r="G128" s="147">
        <f t="shared" si="39"/>
        <v>0</v>
      </c>
      <c r="H128" s="144"/>
      <c r="I128" s="231"/>
      <c r="J128" s="145">
        <v>1633.28</v>
      </c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03">
        <f t="shared" si="40"/>
        <v>0</v>
      </c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43"/>
      <c r="AH128" s="103">
        <f t="shared" si="41"/>
        <v>0</v>
      </c>
      <c r="AI128" s="134">
        <v>4037.18</v>
      </c>
      <c r="AJ128" s="134">
        <v>722.46</v>
      </c>
      <c r="AK128" s="136"/>
      <c r="AL128" s="105">
        <f t="shared" si="42"/>
        <v>0</v>
      </c>
      <c r="AM128" s="143"/>
      <c r="AN128" s="143"/>
      <c r="AO128" s="143"/>
      <c r="AP128" s="146"/>
      <c r="AQ128" s="224">
        <f t="shared" si="43"/>
        <v>0</v>
      </c>
      <c r="AR128" s="1633">
        <v>16631.4</v>
      </c>
      <c r="AS128" s="1709"/>
      <c r="AT128" s="1546"/>
      <c r="AU128" s="1546"/>
      <c r="AV128" s="1546"/>
      <c r="AW128" s="1546"/>
      <c r="AX128" s="1633">
        <v>3084.5</v>
      </c>
      <c r="AY128" s="1709"/>
      <c r="AZ128" s="1709"/>
      <c r="BA128" s="1709"/>
      <c r="BB128" s="1709"/>
      <c r="BC128" s="222">
        <f t="shared" si="44"/>
        <v>0</v>
      </c>
      <c r="BD128" s="140">
        <f t="shared" si="45"/>
        <v>0</v>
      </c>
      <c r="BE128" s="132"/>
      <c r="BF128" s="140">
        <f t="shared" si="46"/>
        <v>0</v>
      </c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50">
        <v>30</v>
      </c>
      <c r="BS128" s="141"/>
      <c r="BT128" s="130">
        <f t="shared" si="47"/>
        <v>0</v>
      </c>
      <c r="BU128" s="132"/>
    </row>
    <row r="129" ht="14.25" customHeight="1">
      <c r="A129" s="132"/>
      <c r="B129" s="215">
        <v>46135</v>
      </c>
      <c r="C129" s="136">
        <f>30156.12-D129-0</f>
      </c>
      <c r="D129" s="134">
        <v>3659.9</v>
      </c>
      <c r="E129" s="135"/>
      <c r="F129" s="135"/>
      <c r="G129" s="1081">
        <f t="shared" si="39"/>
        <v>0</v>
      </c>
      <c r="H129" s="1357"/>
      <c r="I129" s="1358"/>
      <c r="J129" s="1088">
        <v>6559.77</v>
      </c>
      <c r="K129" s="1085"/>
      <c r="L129" s="1085"/>
      <c r="M129" s="1085"/>
      <c r="N129" s="1085"/>
      <c r="O129" s="1085"/>
      <c r="P129" s="1085"/>
      <c r="Q129" s="1085"/>
      <c r="R129" s="1085"/>
      <c r="S129" s="1085"/>
      <c r="T129" s="1085"/>
      <c r="U129" s="1086">
        <f t="shared" si="40"/>
        <v>0</v>
      </c>
      <c r="V129" s="1085"/>
      <c r="W129" s="1085"/>
      <c r="X129" s="1088">
        <v>310.98</v>
      </c>
      <c r="Y129" s="1085"/>
      <c r="Z129" s="1085"/>
      <c r="AA129" s="1085"/>
      <c r="AB129" s="1085"/>
      <c r="AC129" s="1085"/>
      <c r="AD129" s="1085"/>
      <c r="AE129" s="1085"/>
      <c r="AF129" s="1085"/>
      <c r="AG129" s="1085"/>
      <c r="AH129" s="1086">
        <f t="shared" si="41"/>
        <v>0</v>
      </c>
      <c r="AI129" s="134"/>
      <c r="AJ129" s="134">
        <v>1059</v>
      </c>
      <c r="AK129" s="136"/>
      <c r="AL129" s="1087">
        <f t="shared" si="42"/>
        <v>0</v>
      </c>
      <c r="AM129" s="1085"/>
      <c r="AN129" s="1085"/>
      <c r="AO129" s="1085"/>
      <c r="AP129" s="1089"/>
      <c r="AQ129" s="1090">
        <f t="shared" si="43"/>
        <v>0</v>
      </c>
      <c r="AR129" s="1859">
        <v>19594</v>
      </c>
      <c r="AS129" s="1715"/>
      <c r="AT129" s="1713"/>
      <c r="AU129" s="1713"/>
      <c r="AV129" s="1713"/>
      <c r="AW129" s="1713"/>
      <c r="AX129" s="1859">
        <v>2600.5</v>
      </c>
      <c r="AY129" s="1715"/>
      <c r="AZ129" s="1715"/>
      <c r="BA129" s="1715"/>
      <c r="BB129" s="1715"/>
      <c r="BC129" s="1091">
        <f t="shared" si="44"/>
        <v>0</v>
      </c>
      <c r="BD129" s="466">
        <f t="shared" si="45"/>
        <v>0</v>
      </c>
      <c r="BE129" s="132"/>
      <c r="BF129" s="466">
        <f t="shared" si="46"/>
        <v>0</v>
      </c>
      <c r="BG129" s="478"/>
      <c r="BH129" s="478"/>
      <c r="BI129" s="478"/>
      <c r="BJ129" s="478"/>
      <c r="BK129" s="478"/>
      <c r="BL129" s="478"/>
      <c r="BM129" s="478"/>
      <c r="BN129" s="478"/>
      <c r="BO129" s="478"/>
      <c r="BP129" s="478"/>
      <c r="BQ129" s="478"/>
      <c r="BR129" s="1092">
        <v>30</v>
      </c>
      <c r="BS129" s="478"/>
      <c r="BT129" s="1093">
        <f t="shared" si="47"/>
        <v>0</v>
      </c>
      <c r="BU129" s="132"/>
    </row>
    <row r="130" ht="14.25" customHeight="1">
      <c r="A130" s="1359"/>
      <c r="B130" s="1360">
        <v>46136</v>
      </c>
      <c r="C130" s="1361">
        <f>7397.03-D130-0</f>
      </c>
      <c r="D130" s="1362">
        <v>1535.75</v>
      </c>
      <c r="E130" s="1361"/>
      <c r="F130" s="1361"/>
      <c r="G130" s="1363">
        <f t="shared" si="39"/>
        <v>0</v>
      </c>
      <c r="H130" s="1364"/>
      <c r="I130" s="1361"/>
      <c r="J130" s="1365"/>
      <c r="K130" s="1364"/>
      <c r="L130" s="1364"/>
      <c r="M130" s="1364"/>
      <c r="N130" s="1364"/>
      <c r="O130" s="1364"/>
      <c r="P130" s="1364"/>
      <c r="Q130" s="1364"/>
      <c r="R130" s="1364"/>
      <c r="S130" s="1364"/>
      <c r="T130" s="1364"/>
      <c r="U130" s="1363">
        <f t="shared" si="40"/>
        <v>0</v>
      </c>
      <c r="V130" s="1364"/>
      <c r="W130" s="1364"/>
      <c r="X130" s="1364"/>
      <c r="Y130" s="1364"/>
      <c r="Z130" s="1364"/>
      <c r="AA130" s="1364"/>
      <c r="AB130" s="1364"/>
      <c r="AC130" s="1364"/>
      <c r="AD130" s="1364"/>
      <c r="AE130" s="1364"/>
      <c r="AF130" s="1364"/>
      <c r="AG130" s="1364"/>
      <c r="AH130" s="1363">
        <f t="shared" si="41"/>
        <v>0</v>
      </c>
      <c r="AI130" s="1362"/>
      <c r="AJ130" s="1362">
        <v>278.88</v>
      </c>
      <c r="AK130" s="1361"/>
      <c r="AL130" s="1363">
        <f t="shared" si="42"/>
        <v>0</v>
      </c>
      <c r="AM130" s="1364"/>
      <c r="AN130" s="1364"/>
      <c r="AO130" s="1364"/>
      <c r="AP130" s="1364"/>
      <c r="AQ130" s="1363">
        <f t="shared" si="43"/>
        <v>0</v>
      </c>
      <c r="AR130" s="1860">
        <v>5831</v>
      </c>
      <c r="AS130" s="1861"/>
      <c r="AT130" s="1861"/>
      <c r="AU130" s="1861"/>
      <c r="AV130" s="1861"/>
      <c r="AW130" s="1861"/>
      <c r="AX130" s="1860">
        <v>1256.6</v>
      </c>
      <c r="AY130" s="1861"/>
      <c r="AZ130" s="1861"/>
      <c r="BA130" s="1861"/>
      <c r="BB130" s="1861"/>
      <c r="BC130" s="1363">
        <f t="shared" si="44"/>
        <v>0</v>
      </c>
      <c r="BD130" s="1361">
        <f t="shared" si="45"/>
        <v>0</v>
      </c>
      <c r="BE130" s="1361"/>
      <c r="BF130" s="1361">
        <f t="shared" si="46"/>
        <v>0</v>
      </c>
      <c r="BG130" s="1361"/>
      <c r="BH130" s="1361"/>
      <c r="BI130" s="1361"/>
      <c r="BJ130" s="1361"/>
      <c r="BK130" s="1361"/>
      <c r="BL130" s="1361"/>
      <c r="BM130" s="1361"/>
      <c r="BN130" s="1361"/>
      <c r="BO130" s="1361"/>
      <c r="BP130" s="1361"/>
      <c r="BQ130" s="1361"/>
      <c r="BR130" s="1361">
        <v>30</v>
      </c>
      <c r="BS130" s="1361"/>
      <c r="BT130" s="1363">
        <f t="shared" si="47"/>
        <v>0</v>
      </c>
      <c r="BU130" s="1361"/>
    </row>
    <row r="131" ht="14.25" customHeight="1">
      <c r="A131" s="1366"/>
      <c r="B131" s="1367" t="s">
        <v>260</v>
      </c>
      <c r="C131" s="1368"/>
      <c r="D131" s="1368"/>
      <c r="E131" s="1369"/>
      <c r="F131" s="1369"/>
      <c r="G131" s="1370">
        <f t="shared" si="39"/>
        <v>0</v>
      </c>
      <c r="H131" s="1371"/>
      <c r="I131" s="1369"/>
      <c r="J131" s="1372"/>
      <c r="K131" s="1371"/>
      <c r="L131" s="1371"/>
      <c r="M131" s="1371"/>
      <c r="N131" s="1371"/>
      <c r="O131" s="1371"/>
      <c r="P131" s="1371"/>
      <c r="Q131" s="1371"/>
      <c r="R131" s="1371"/>
      <c r="S131" s="1371"/>
      <c r="T131" s="1371"/>
      <c r="U131" s="1370"/>
      <c r="V131" s="1371"/>
      <c r="W131" s="1371"/>
      <c r="X131" s="1371"/>
      <c r="Y131" s="1371"/>
      <c r="Z131" s="1371"/>
      <c r="AA131" s="1371"/>
      <c r="AB131" s="1371"/>
      <c r="AC131" s="1371"/>
      <c r="AD131" s="1371"/>
      <c r="AE131" s="1371"/>
      <c r="AF131" s="1371"/>
      <c r="AG131" s="1371"/>
      <c r="AH131" s="1370"/>
      <c r="AI131" s="1368"/>
      <c r="AJ131" s="1368"/>
      <c r="AK131" s="1369"/>
      <c r="AL131" s="1370">
        <f t="shared" si="42"/>
        <v>0</v>
      </c>
      <c r="AM131" s="1371"/>
      <c r="AN131" s="1371"/>
      <c r="AO131" s="1371"/>
      <c r="AP131" s="1371"/>
      <c r="AQ131" s="1370">
        <f t="shared" si="43"/>
        <v>0</v>
      </c>
      <c r="AR131" s="1862"/>
      <c r="AS131" s="1863"/>
      <c r="AT131" s="1863"/>
      <c r="AU131" s="1863"/>
      <c r="AV131" s="1863"/>
      <c r="AW131" s="1863"/>
      <c r="AX131" s="1862"/>
      <c r="AY131" s="1863"/>
      <c r="AZ131" s="1863"/>
      <c r="BA131" s="1863"/>
      <c r="BB131" s="1863"/>
      <c r="BC131" s="1370">
        <f t="shared" si="44"/>
        <v>0</v>
      </c>
      <c r="BD131" s="1369">
        <f t="shared" si="45"/>
        <v>0</v>
      </c>
      <c r="BE131" s="1369"/>
      <c r="BF131" s="1369">
        <f t="shared" si="46"/>
        <v>0</v>
      </c>
      <c r="BG131" s="1369"/>
      <c r="BH131" s="1369"/>
      <c r="BI131" s="1369"/>
      <c r="BJ131" s="1369"/>
      <c r="BK131" s="1369"/>
      <c r="BL131" s="1369"/>
      <c r="BM131" s="1369"/>
      <c r="BN131" s="1369"/>
      <c r="BO131" s="1369"/>
      <c r="BP131" s="1369"/>
      <c r="BQ131" s="1369"/>
      <c r="BR131" s="1368"/>
      <c r="BS131" s="1369"/>
      <c r="BT131" s="1370">
        <f t="shared" si="47"/>
        <v>0</v>
      </c>
      <c r="BU131" s="1369"/>
    </row>
    <row r="132" ht="14.25" customHeight="1">
      <c r="A132" s="132"/>
      <c r="B132" s="444">
        <v>46137</v>
      </c>
      <c r="C132" s="136">
        <f>25552.82-D132-0</f>
      </c>
      <c r="D132" s="134">
        <v>4827.23</v>
      </c>
      <c r="E132" s="135"/>
      <c r="F132" s="135"/>
      <c r="G132" s="251">
        <f t="shared" si="39"/>
        <v>0</v>
      </c>
      <c r="H132" s="1373"/>
      <c r="I132" s="1374"/>
      <c r="J132" s="253">
        <v>1029.41</v>
      </c>
      <c r="K132" s="253"/>
      <c r="L132" s="253"/>
      <c r="M132" s="253"/>
      <c r="N132" s="253"/>
      <c r="O132" s="253"/>
      <c r="P132" s="253"/>
      <c r="Q132" s="253"/>
      <c r="R132" s="253"/>
      <c r="S132" s="198">
        <v>33.18</v>
      </c>
      <c r="T132" s="253"/>
      <c r="U132" s="1107">
        <f ref="U132:U137" t="shared" si="48">SUM(H132:T132)</f>
        <v>0</v>
      </c>
      <c r="V132" s="253"/>
      <c r="W132" s="253"/>
      <c r="X132" s="198">
        <v>226</v>
      </c>
      <c r="Y132" s="253"/>
      <c r="Z132" s="253"/>
      <c r="AA132" s="253"/>
      <c r="AB132" s="253"/>
      <c r="AC132" s="253"/>
      <c r="AD132" s="253"/>
      <c r="AE132" s="253"/>
      <c r="AF132" s="253"/>
      <c r="AG132" s="253"/>
      <c r="AH132" s="1107">
        <f ref="AH132:AH137" t="shared" si="49">SUM(V132:AG132)</f>
        <v>0</v>
      </c>
      <c r="AI132" s="134">
        <v>6229.94</v>
      </c>
      <c r="AJ132" s="134">
        <v>1274.74</v>
      </c>
      <c r="AK132" s="136"/>
      <c r="AL132" s="254">
        <f t="shared" si="42"/>
        <v>0</v>
      </c>
      <c r="AM132" s="253"/>
      <c r="AN132" s="253"/>
      <c r="AO132" s="253"/>
      <c r="AP132" s="1108"/>
      <c r="AQ132" s="1109">
        <f t="shared" si="43"/>
        <v>0</v>
      </c>
      <c r="AR132" s="1864">
        <v>13173.5</v>
      </c>
      <c r="AS132" s="1865"/>
      <c r="AT132" s="1806"/>
      <c r="AU132" s="1806"/>
      <c r="AV132" s="1806"/>
      <c r="AW132" s="1806"/>
      <c r="AX132" s="1864">
        <v>3552.2</v>
      </c>
      <c r="AY132" s="1865"/>
      <c r="AZ132" s="1865"/>
      <c r="BA132" s="1865"/>
      <c r="BB132" s="1865"/>
      <c r="BC132" s="1110">
        <f t="shared" si="44"/>
        <v>0</v>
      </c>
      <c r="BD132" s="1112">
        <f t="shared" si="45"/>
        <v>0</v>
      </c>
      <c r="BE132" s="132"/>
      <c r="BF132" s="1112">
        <f t="shared" si="46"/>
        <v>0</v>
      </c>
      <c r="BG132" s="1113"/>
      <c r="BH132" s="1113"/>
      <c r="BI132" s="1113"/>
      <c r="BJ132" s="1113"/>
      <c r="BK132" s="1113"/>
      <c r="BL132" s="1113"/>
      <c r="BM132" s="1113"/>
      <c r="BN132" s="1113"/>
      <c r="BO132" s="1113"/>
      <c r="BP132" s="1113"/>
      <c r="BQ132" s="1113"/>
      <c r="BR132" s="1114">
        <v>30</v>
      </c>
      <c r="BS132" s="1113"/>
      <c r="BT132" s="1115">
        <f t="shared" si="47"/>
        <v>0</v>
      </c>
      <c r="BU132" s="132"/>
    </row>
    <row r="133" ht="14.25" customHeight="1">
      <c r="A133" s="132"/>
      <c r="B133" s="215">
        <v>46138</v>
      </c>
      <c r="C133" s="136">
        <f>18301.60-D133-0</f>
      </c>
      <c r="D133" s="134">
        <v>3411.23</v>
      </c>
      <c r="E133" s="135"/>
      <c r="F133" s="135"/>
      <c r="G133" s="147">
        <f t="shared" si="39"/>
        <v>0</v>
      </c>
      <c r="H133" s="144"/>
      <c r="I133" s="231"/>
      <c r="J133" s="145">
        <v>1128.94</v>
      </c>
      <c r="K133" s="143"/>
      <c r="L133" s="143"/>
      <c r="M133" s="143"/>
      <c r="N133" s="99"/>
      <c r="O133" s="143"/>
      <c r="P133" s="143"/>
      <c r="Q133" s="143"/>
      <c r="R133" s="143"/>
      <c r="S133" s="143"/>
      <c r="T133" s="143"/>
      <c r="U133" s="103">
        <f t="shared" si="48"/>
        <v>0</v>
      </c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43"/>
      <c r="AH133" s="103">
        <f t="shared" si="49"/>
        <v>0</v>
      </c>
      <c r="AI133" s="134">
        <v>3439.02</v>
      </c>
      <c r="AJ133" s="134">
        <v>645.48</v>
      </c>
      <c r="AK133" s="136"/>
      <c r="AL133" s="105">
        <f t="shared" si="42"/>
        <v>0</v>
      </c>
      <c r="AM133" s="143"/>
      <c r="AN133" s="143"/>
      <c r="AO133" s="143"/>
      <c r="AP133" s="146"/>
      <c r="AQ133" s="224">
        <f t="shared" si="43"/>
        <v>0</v>
      </c>
      <c r="AR133" s="1633">
        <v>10320.4</v>
      </c>
      <c r="AS133" s="1709"/>
      <c r="AT133" s="1546"/>
      <c r="AU133" s="1546"/>
      <c r="AV133" s="1546"/>
      <c r="AW133" s="1546"/>
      <c r="AX133" s="1633">
        <v>2765.5</v>
      </c>
      <c r="AY133" s="1709"/>
      <c r="AZ133" s="1709"/>
      <c r="BA133" s="1709"/>
      <c r="BB133" s="1709"/>
      <c r="BC133" s="222">
        <f t="shared" si="44"/>
        <v>0</v>
      </c>
      <c r="BD133" s="140">
        <f t="shared" si="45"/>
        <v>0</v>
      </c>
      <c r="BE133" s="132"/>
      <c r="BF133" s="140">
        <f t="shared" si="46"/>
        <v>0</v>
      </c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30">
        <f t="shared" si="47"/>
        <v>0</v>
      </c>
      <c r="BU133" s="132"/>
    </row>
    <row r="134" ht="14.25" customHeight="1">
      <c r="A134" s="132"/>
      <c r="B134" s="215">
        <v>46139</v>
      </c>
      <c r="C134" s="136">
        <f>21939.43-D134-0</f>
      </c>
      <c r="D134" s="134">
        <v>4843.13</v>
      </c>
      <c r="E134" s="135"/>
      <c r="F134" s="135"/>
      <c r="G134" s="147">
        <f t="shared" si="39"/>
        <v>0</v>
      </c>
      <c r="H134" s="144"/>
      <c r="I134" s="231"/>
      <c r="J134" s="145">
        <v>1129.19</v>
      </c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03">
        <f t="shared" si="48"/>
        <v>0</v>
      </c>
      <c r="V134" s="143"/>
      <c r="W134" s="143"/>
      <c r="X134" s="145">
        <v>566.13</v>
      </c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03">
        <f t="shared" si="49"/>
        <v>0</v>
      </c>
      <c r="AI134" s="134">
        <v>4440.66</v>
      </c>
      <c r="AJ134" s="134">
        <v>924.88</v>
      </c>
      <c r="AK134" s="136"/>
      <c r="AL134" s="105">
        <f t="shared" si="42"/>
        <v>0</v>
      </c>
      <c r="AM134" s="143"/>
      <c r="AN134" s="143"/>
      <c r="AO134" s="143"/>
      <c r="AP134" s="146"/>
      <c r="AQ134" s="224">
        <f t="shared" si="43"/>
        <v>0</v>
      </c>
      <c r="AR134" s="1633">
        <v>10928.8</v>
      </c>
      <c r="AS134" s="1709"/>
      <c r="AT134" s="1546"/>
      <c r="AU134" s="1546"/>
      <c r="AV134" s="1546"/>
      <c r="AW134" s="1546"/>
      <c r="AX134" s="1633">
        <v>3918</v>
      </c>
      <c r="AY134" s="1709"/>
      <c r="AZ134" s="1709"/>
      <c r="BA134" s="1709"/>
      <c r="BB134" s="1709"/>
      <c r="BC134" s="222">
        <f t="shared" si="44"/>
        <v>0</v>
      </c>
      <c r="BD134" s="140">
        <f t="shared" si="45"/>
        <v>0</v>
      </c>
      <c r="BE134" s="132"/>
      <c r="BF134" s="140">
        <f t="shared" si="46"/>
        <v>0</v>
      </c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50">
        <v>30</v>
      </c>
      <c r="BS134" s="141"/>
      <c r="BT134" s="130">
        <f t="shared" si="47"/>
        <v>0</v>
      </c>
      <c r="BU134" s="132"/>
    </row>
    <row r="135" ht="14.25" customHeight="1">
      <c r="A135" s="132"/>
      <c r="B135" s="215">
        <v>46140</v>
      </c>
      <c r="C135" s="136">
        <f>25185.29-D135-0</f>
      </c>
      <c r="D135" s="134">
        <v>4141.25</v>
      </c>
      <c r="E135" s="135"/>
      <c r="F135" s="135"/>
      <c r="G135" s="147">
        <f t="shared" si="39"/>
        <v>0</v>
      </c>
      <c r="H135" s="144"/>
      <c r="I135" s="231"/>
      <c r="J135" s="145">
        <v>368.5</v>
      </c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03">
        <f t="shared" si="48"/>
        <v>0</v>
      </c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43"/>
      <c r="AH135" s="103">
        <f t="shared" si="49"/>
        <v>0</v>
      </c>
      <c r="AI135" s="134">
        <v>5482.79</v>
      </c>
      <c r="AJ135" s="134">
        <v>760.04</v>
      </c>
      <c r="AK135" s="136"/>
      <c r="AL135" s="105">
        <f t="shared" si="42"/>
        <v>0</v>
      </c>
      <c r="AM135" s="143"/>
      <c r="AN135" s="143"/>
      <c r="AO135" s="143"/>
      <c r="AP135" s="146"/>
      <c r="AQ135" s="224">
        <f t="shared" si="43"/>
        <v>0</v>
      </c>
      <c r="AR135" s="1633">
        <v>15161.3</v>
      </c>
      <c r="AS135" s="1709"/>
      <c r="AT135" s="1546"/>
      <c r="AU135" s="1546"/>
      <c r="AV135" s="1546"/>
      <c r="AW135" s="1546"/>
      <c r="AX135" s="1633">
        <v>3381</v>
      </c>
      <c r="AY135" s="1709"/>
      <c r="AZ135" s="1709"/>
      <c r="BA135" s="1709"/>
      <c r="BB135" s="1709"/>
      <c r="BC135" s="222">
        <f t="shared" si="44"/>
        <v>0</v>
      </c>
      <c r="BD135" s="140">
        <f t="shared" si="45"/>
        <v>0</v>
      </c>
      <c r="BE135" s="132"/>
      <c r="BF135" s="140">
        <f t="shared" si="46"/>
        <v>0</v>
      </c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50">
        <v>30</v>
      </c>
      <c r="BS135" s="141"/>
      <c r="BT135" s="130">
        <f t="shared" si="47"/>
        <v>0</v>
      </c>
      <c r="BU135" s="132"/>
    </row>
    <row r="136" ht="14.25" customHeight="1">
      <c r="A136" s="132"/>
      <c r="B136" s="215">
        <v>46141</v>
      </c>
      <c r="C136" s="136">
        <f>26891.53-D136-0</f>
      </c>
      <c r="D136" s="134">
        <v>3839.38</v>
      </c>
      <c r="E136" s="135"/>
      <c r="F136" s="135"/>
      <c r="G136" s="147">
        <f t="shared" si="39"/>
        <v>0</v>
      </c>
      <c r="H136" s="144"/>
      <c r="I136" s="231"/>
      <c r="J136" s="143">
        <v>1251.66</v>
      </c>
      <c r="K136" s="143"/>
      <c r="L136" s="143"/>
      <c r="M136" s="143"/>
      <c r="N136" s="143"/>
      <c r="O136" s="143"/>
      <c r="P136" s="143"/>
      <c r="Q136" s="143"/>
      <c r="R136" s="143"/>
      <c r="S136" s="145">
        <v>49.11</v>
      </c>
      <c r="T136" s="143"/>
      <c r="U136" s="103">
        <f t="shared" si="48"/>
        <v>0</v>
      </c>
      <c r="V136" s="143"/>
      <c r="W136" s="143"/>
      <c r="X136" s="145">
        <v>251.04</v>
      </c>
      <c r="Y136" s="143"/>
      <c r="Z136" s="143"/>
      <c r="AA136" s="143"/>
      <c r="AB136" s="143"/>
      <c r="AC136" s="143"/>
      <c r="AD136" s="143"/>
      <c r="AE136" s="143"/>
      <c r="AF136" s="143"/>
      <c r="AG136" s="143"/>
      <c r="AH136" s="103">
        <f t="shared" si="49"/>
        <v>0</v>
      </c>
      <c r="AI136" s="134">
        <v>6016.38</v>
      </c>
      <c r="AJ136" s="134">
        <v>826.02</v>
      </c>
      <c r="AK136" s="136"/>
      <c r="AL136" s="105">
        <f t="shared" si="42"/>
        <v>0</v>
      </c>
      <c r="AM136" s="143"/>
      <c r="AN136" s="143"/>
      <c r="AO136" s="143"/>
      <c r="AP136" s="146"/>
      <c r="AQ136" s="224">
        <f t="shared" si="43"/>
        <v>0</v>
      </c>
      <c r="AR136" s="1633">
        <v>15451.8</v>
      </c>
      <c r="AS136" s="1709"/>
      <c r="AT136" s="1546"/>
      <c r="AU136" s="1546"/>
      <c r="AV136" s="1546"/>
      <c r="AW136" s="1546"/>
      <c r="AX136" s="1633">
        <v>3013</v>
      </c>
      <c r="AY136" s="1709"/>
      <c r="AZ136" s="1709"/>
      <c r="BA136" s="1709"/>
      <c r="BB136" s="1709"/>
      <c r="BC136" s="222">
        <f t="shared" si="44"/>
        <v>0</v>
      </c>
      <c r="BD136" s="140">
        <f t="shared" si="45"/>
        <v>0</v>
      </c>
      <c r="BE136" s="132"/>
      <c r="BF136" s="140">
        <f t="shared" si="46"/>
        <v>0</v>
      </c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41"/>
      <c r="BQ136" s="141"/>
      <c r="BR136" s="150">
        <v>30</v>
      </c>
      <c r="BS136" s="141"/>
      <c r="BT136" s="130">
        <f t="shared" si="47"/>
        <v>0</v>
      </c>
      <c r="BU136" s="132"/>
    </row>
    <row r="137" ht="14.25" customHeight="1">
      <c r="A137" s="132"/>
      <c r="B137" s="215">
        <v>46142</v>
      </c>
      <c r="C137" s="136">
        <f>34351.05-D137-0</f>
      </c>
      <c r="D137" s="134">
        <v>6591.17</v>
      </c>
      <c r="E137" s="135"/>
      <c r="F137" s="135"/>
      <c r="G137" s="147">
        <f t="shared" si="39"/>
        <v>0</v>
      </c>
      <c r="H137" s="144"/>
      <c r="I137" s="231"/>
      <c r="J137" s="145">
        <v>512.47</v>
      </c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03">
        <f t="shared" si="48"/>
        <v>0</v>
      </c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03">
        <f t="shared" si="49"/>
        <v>0</v>
      </c>
      <c r="AI137" s="134">
        <v>9463.02</v>
      </c>
      <c r="AJ137" s="134">
        <v>1387.11</v>
      </c>
      <c r="AK137" s="136"/>
      <c r="AL137" s="105">
        <f t="shared" si="42"/>
        <v>0</v>
      </c>
      <c r="AM137" s="143"/>
      <c r="AN137" s="143"/>
      <c r="AO137" s="143"/>
      <c r="AP137" s="146"/>
      <c r="AQ137" s="224">
        <f t="shared" si="43"/>
        <v>0</v>
      </c>
      <c r="AR137" s="1866">
        <v>17629.1</v>
      </c>
      <c r="AS137" s="1709"/>
      <c r="AT137" s="1546"/>
      <c r="AU137" s="1546"/>
      <c r="AV137" s="1546"/>
      <c r="AW137" s="1546"/>
      <c r="AX137" s="1633">
        <v>5328</v>
      </c>
      <c r="AY137" s="1709"/>
      <c r="AZ137" s="1709"/>
      <c r="BA137" s="1709"/>
      <c r="BB137" s="1709"/>
      <c r="BC137" s="222">
        <f t="shared" si="44"/>
        <v>0</v>
      </c>
      <c r="BD137" s="140">
        <f t="shared" si="45"/>
        <v>0</v>
      </c>
      <c r="BE137" s="132"/>
      <c r="BF137" s="140">
        <f t="shared" si="46"/>
        <v>0</v>
      </c>
      <c r="BG137" s="141"/>
      <c r="BH137" s="141"/>
      <c r="BI137" s="141"/>
      <c r="BJ137" s="141"/>
      <c r="BK137" s="141"/>
      <c r="BL137" s="141"/>
      <c r="BM137" s="141"/>
      <c r="BN137" s="141"/>
      <c r="BO137" s="141"/>
      <c r="BP137" s="141"/>
      <c r="BQ137" s="141"/>
      <c r="BR137" s="150">
        <v>30</v>
      </c>
      <c r="BS137" s="141"/>
      <c r="BT137" s="130">
        <f t="shared" si="47"/>
        <v>0</v>
      </c>
      <c r="BU137" s="132"/>
    </row>
    <row r="138" ht="14.25" customHeight="1">
      <c r="A138" s="3"/>
      <c r="B138" s="1375" t="s">
        <v>78</v>
      </c>
      <c r="C138" s="166">
        <f ref="C138:G138" t="shared" si="50">SUM(C107:C137)</f>
        <v>0</v>
      </c>
      <c r="D138" s="166">
        <f t="shared" si="50"/>
        <v>0</v>
      </c>
      <c r="E138" s="166">
        <f t="shared" si="50"/>
        <v>0</v>
      </c>
      <c r="F138" s="166">
        <f t="shared" si="50"/>
        <v>0</v>
      </c>
      <c r="G138" s="166">
        <f t="shared" si="50"/>
        <v>0</v>
      </c>
      <c r="H138" s="166">
        <f>SUMIF(H107:H137,"&gt;0")</f>
        <v>0</v>
      </c>
      <c r="I138" s="166">
        <f ref="I138:BD138" t="shared" si="51">SUM(I107:I137)</f>
        <v>0</v>
      </c>
      <c r="J138" s="166">
        <f t="shared" si="51"/>
        <v>0</v>
      </c>
      <c r="K138" s="166">
        <f t="shared" si="51"/>
        <v>0</v>
      </c>
      <c r="L138" s="166">
        <f t="shared" si="51"/>
        <v>0</v>
      </c>
      <c r="M138" s="166">
        <f t="shared" si="51"/>
        <v>0</v>
      </c>
      <c r="N138" s="166">
        <f t="shared" si="51"/>
        <v>0</v>
      </c>
      <c r="O138" s="166">
        <f t="shared" si="51"/>
        <v>0</v>
      </c>
      <c r="P138" s="166">
        <f t="shared" si="51"/>
        <v>0</v>
      </c>
      <c r="Q138" s="166">
        <f t="shared" si="51"/>
        <v>0</v>
      </c>
      <c r="R138" s="166">
        <f t="shared" si="51"/>
        <v>0</v>
      </c>
      <c r="S138" s="166">
        <f t="shared" si="51"/>
        <v>0</v>
      </c>
      <c r="T138" s="166">
        <f t="shared" si="51"/>
        <v>0</v>
      </c>
      <c r="U138" s="166">
        <f t="shared" si="51"/>
        <v>0</v>
      </c>
      <c r="V138" s="166">
        <f t="shared" si="51"/>
        <v>0</v>
      </c>
      <c r="W138" s="166">
        <f t="shared" si="51"/>
        <v>0</v>
      </c>
      <c r="X138" s="166">
        <f t="shared" si="51"/>
        <v>0</v>
      </c>
      <c r="Y138" s="166">
        <f t="shared" si="51"/>
        <v>0</v>
      </c>
      <c r="Z138" s="166">
        <f t="shared" si="51"/>
        <v>0</v>
      </c>
      <c r="AA138" s="166">
        <f t="shared" si="51"/>
        <v>0</v>
      </c>
      <c r="AB138" s="166">
        <f t="shared" si="51"/>
        <v>0</v>
      </c>
      <c r="AC138" s="166">
        <f t="shared" si="51"/>
        <v>0</v>
      </c>
      <c r="AD138" s="166">
        <f t="shared" si="51"/>
        <v>0</v>
      </c>
      <c r="AE138" s="166">
        <f t="shared" si="51"/>
        <v>0</v>
      </c>
      <c r="AF138" s="166">
        <f t="shared" si="51"/>
        <v>0</v>
      </c>
      <c r="AG138" s="166">
        <f t="shared" si="51"/>
        <v>0</v>
      </c>
      <c r="AH138" s="166">
        <f t="shared" si="51"/>
        <v>0</v>
      </c>
      <c r="AI138" s="166">
        <f t="shared" si="51"/>
        <v>0</v>
      </c>
      <c r="AJ138" s="166">
        <f t="shared" si="51"/>
        <v>0</v>
      </c>
      <c r="AK138" s="166">
        <f t="shared" si="51"/>
        <v>0</v>
      </c>
      <c r="AL138" s="166">
        <f t="shared" si="51"/>
        <v>0</v>
      </c>
      <c r="AM138" s="166">
        <f t="shared" si="51"/>
        <v>0</v>
      </c>
      <c r="AN138" s="166">
        <f t="shared" si="51"/>
        <v>0</v>
      </c>
      <c r="AO138" s="166">
        <f t="shared" si="51"/>
        <v>0</v>
      </c>
      <c r="AP138" s="166">
        <f t="shared" si="51"/>
        <v>0</v>
      </c>
      <c r="AQ138" s="166">
        <f t="shared" si="51"/>
        <v>0</v>
      </c>
      <c r="AR138" s="1355">
        <f t="shared" si="51"/>
        <v>0</v>
      </c>
      <c r="AS138" s="166">
        <f t="shared" si="51"/>
        <v>0</v>
      </c>
      <c r="AT138" s="166">
        <f t="shared" si="51"/>
        <v>0</v>
      </c>
      <c r="AU138" s="166">
        <f t="shared" si="51"/>
        <v>0</v>
      </c>
      <c r="AV138" s="166">
        <f t="shared" si="51"/>
        <v>0</v>
      </c>
      <c r="AW138" s="166">
        <f t="shared" si="51"/>
        <v>0</v>
      </c>
      <c r="AX138" s="166">
        <f t="shared" si="51"/>
        <v>0</v>
      </c>
      <c r="AY138" s="166">
        <f t="shared" si="51"/>
        <v>0</v>
      </c>
      <c r="AZ138" s="166">
        <f t="shared" si="51"/>
        <v>0</v>
      </c>
      <c r="BA138" s="166">
        <f t="shared" si="51"/>
        <v>0</v>
      </c>
      <c r="BB138" s="166">
        <f t="shared" si="51"/>
        <v>0</v>
      </c>
      <c r="BC138" s="166">
        <f t="shared" si="51"/>
        <v>0</v>
      </c>
      <c r="BD138" s="166">
        <f t="shared" si="51"/>
        <v>0</v>
      </c>
      <c r="BE138" s="132"/>
      <c r="BF138" s="166">
        <f ref="BF138:BT138" t="shared" si="52">SUM(BF107:BF137)</f>
        <v>0</v>
      </c>
      <c r="BG138" s="166">
        <f t="shared" si="52"/>
        <v>0</v>
      </c>
      <c r="BH138" s="166">
        <f t="shared" si="52"/>
        <v>0</v>
      </c>
      <c r="BI138" s="166">
        <f t="shared" si="52"/>
        <v>0</v>
      </c>
      <c r="BJ138" s="166">
        <f t="shared" si="52"/>
        <v>0</v>
      </c>
      <c r="BK138" s="166">
        <f t="shared" si="52"/>
        <v>0</v>
      </c>
      <c r="BL138" s="166">
        <f t="shared" si="52"/>
        <v>0</v>
      </c>
      <c r="BM138" s="166">
        <f t="shared" si="52"/>
        <v>0</v>
      </c>
      <c r="BN138" s="166">
        <f t="shared" si="52"/>
        <v>0</v>
      </c>
      <c r="BO138" s="166">
        <f t="shared" si="52"/>
        <v>0</v>
      </c>
      <c r="BP138" s="166">
        <f t="shared" si="52"/>
        <v>0</v>
      </c>
      <c r="BQ138" s="166">
        <f t="shared" si="52"/>
        <v>0</v>
      </c>
      <c r="BR138" s="166">
        <f t="shared" si="52"/>
        <v>0</v>
      </c>
      <c r="BS138" s="166">
        <f t="shared" si="52"/>
        <v>0</v>
      </c>
      <c r="BT138" s="166">
        <f t="shared" si="52"/>
        <v>0</v>
      </c>
      <c r="BU138" s="3"/>
    </row>
    <row r="139" ht="14.25" customHeight="1">
      <c r="A139" s="1"/>
      <c r="B139" s="1376" t="s">
        <v>11</v>
      </c>
      <c r="C139" s="3"/>
      <c r="D139" s="3"/>
      <c r="E139" s="3"/>
      <c r="F139" s="3"/>
      <c r="G139" s="1336"/>
      <c r="H139" s="263">
        <f ref="H139:T139" t="shared" si="53">SUMIF(H108:H138,"&lt;0")</f>
        <v>0</v>
      </c>
      <c r="I139" s="263">
        <f t="shared" si="53"/>
        <v>0</v>
      </c>
      <c r="J139" s="263">
        <f t="shared" si="53"/>
        <v>0</v>
      </c>
      <c r="K139" s="263">
        <f t="shared" si="53"/>
        <v>0</v>
      </c>
      <c r="L139" s="263">
        <f t="shared" si="53"/>
        <v>0</v>
      </c>
      <c r="M139" s="263">
        <f t="shared" si="53"/>
        <v>0</v>
      </c>
      <c r="N139" s="263">
        <f t="shared" si="53"/>
        <v>0</v>
      </c>
      <c r="O139" s="263">
        <f t="shared" si="53"/>
        <v>0</v>
      </c>
      <c r="P139" s="263">
        <f t="shared" si="53"/>
        <v>0</v>
      </c>
      <c r="Q139" s="263">
        <f t="shared" si="53"/>
        <v>0</v>
      </c>
      <c r="R139" s="263">
        <f t="shared" si="53"/>
        <v>0</v>
      </c>
      <c r="S139" s="263">
        <f t="shared" si="53"/>
        <v>0</v>
      </c>
      <c r="T139" s="263">
        <f t="shared" si="53"/>
        <v>0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96"/>
      <c r="AI139" s="3"/>
      <c r="AJ139" s="3"/>
      <c r="AK139" s="3"/>
      <c r="AL139" s="4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132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ht="14.25" customHeight="1">
      <c r="A140" s="1"/>
      <c r="B140" s="2"/>
      <c r="C140" s="3"/>
      <c r="D140" s="3"/>
      <c r="E140" s="3"/>
      <c r="F140" s="3"/>
      <c r="G140" s="133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176"/>
      <c r="AI140" s="3"/>
      <c r="AJ140" s="3"/>
      <c r="AK140" s="3"/>
      <c r="AL140" s="4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</row>
    <row r="141" ht="14.25" customHeight="1">
      <c r="A141" s="3"/>
      <c r="B141" s="215">
        <v>46143</v>
      </c>
      <c r="C141" s="104"/>
      <c r="D141" s="95"/>
      <c r="E141" s="97"/>
      <c r="F141" s="97"/>
      <c r="G141" s="265">
        <f ref="G141:G171" t="shared" si="54">+C141+D141+E141+F141</f>
        <v>0</v>
      </c>
      <c r="H141" s="187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03">
        <f ref="U141:U171" t="shared" si="55">SUM(H141:T141)</f>
        <v>0</v>
      </c>
      <c r="V141" s="186"/>
      <c r="W141" s="186"/>
      <c r="X141" s="188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03">
        <f ref="AH141:AH171" t="shared" si="56">SUM(V141:AG141)</f>
        <v>0</v>
      </c>
      <c r="AI141" s="95"/>
      <c r="AJ141" s="95"/>
      <c r="AK141" s="104"/>
      <c r="AL141" s="191">
        <f ref="AL141:AL171" t="shared" si="57">SUM(AI141:AK141)</f>
        <v>0</v>
      </c>
      <c r="AM141" s="186"/>
      <c r="AN141" s="186"/>
      <c r="AO141" s="186"/>
      <c r="AP141" s="193"/>
      <c r="AQ141" s="219">
        <f ref="AQ141:AQ171" t="shared" si="58">+G141-U141-AH141-AL141-AM141-AN141-AO141-AP141</f>
        <v>0</v>
      </c>
      <c r="AR141" s="271"/>
      <c r="AS141" s="269"/>
      <c r="AT141" s="109"/>
      <c r="AU141" s="109"/>
      <c r="AV141" s="109"/>
      <c r="AW141" s="109"/>
      <c r="AX141" s="271"/>
      <c r="AY141" s="269"/>
      <c r="AZ141" s="269"/>
      <c r="BA141" s="269"/>
      <c r="BB141" s="269"/>
      <c r="BC141" s="292">
        <f ref="BC141:BC171" t="shared" si="59">SUM(AR141:BB141)-BA141</f>
        <v>0</v>
      </c>
      <c r="BD141" s="114">
        <f ref="BD141:BD171" t="shared" si="60">+AQ141-BC141</f>
        <v>0</v>
      </c>
      <c r="BE141" s="3"/>
      <c r="BF141" s="114">
        <f ref="BF141:BF171" t="shared" si="61">SUM(BG141:BS141)</f>
        <v>0</v>
      </c>
      <c r="BG141" s="115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116">
        <f ref="BT141:BT171" t="shared" si="62">+BD141-BF141</f>
        <v>0</v>
      </c>
      <c r="BU141" s="3"/>
    </row>
    <row r="142" ht="14.25" customHeight="1">
      <c r="A142" s="3"/>
      <c r="B142" s="215">
        <v>46144</v>
      </c>
      <c r="C142" s="123"/>
      <c r="D142" s="119"/>
      <c r="E142" s="120"/>
      <c r="F142" s="120"/>
      <c r="G142" s="147">
        <f t="shared" si="54"/>
        <v>0</v>
      </c>
      <c r="H142" s="144"/>
      <c r="I142" s="143"/>
      <c r="J142" s="145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03">
        <f t="shared" si="55"/>
        <v>0</v>
      </c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43"/>
      <c r="AH142" s="103">
        <f t="shared" si="56"/>
        <v>0</v>
      </c>
      <c r="AI142" s="119"/>
      <c r="AJ142" s="119"/>
      <c r="AK142" s="123"/>
      <c r="AL142" s="105">
        <f t="shared" si="57"/>
        <v>0</v>
      </c>
      <c r="AM142" s="143"/>
      <c r="AN142" s="143"/>
      <c r="AO142" s="143"/>
      <c r="AP142" s="146"/>
      <c r="AQ142" s="224">
        <f t="shared" si="58"/>
        <v>0</v>
      </c>
      <c r="AR142" s="229"/>
      <c r="AS142" s="274"/>
      <c r="AT142" s="126"/>
      <c r="AU142" s="126"/>
      <c r="AV142" s="126"/>
      <c r="AW142" s="126"/>
      <c r="AX142" s="229"/>
      <c r="AY142" s="274"/>
      <c r="AZ142" s="274"/>
      <c r="BA142" s="274"/>
      <c r="BB142" s="274"/>
      <c r="BC142" s="222">
        <f t="shared" si="59"/>
        <v>0</v>
      </c>
      <c r="BD142" s="113">
        <f t="shared" si="60"/>
        <v>0</v>
      </c>
      <c r="BE142" s="3"/>
      <c r="BF142" s="113">
        <f t="shared" si="61"/>
        <v>0</v>
      </c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50"/>
      <c r="BS142" s="129"/>
      <c r="BT142" s="130">
        <f t="shared" si="62"/>
        <v>0</v>
      </c>
      <c r="BU142" s="3"/>
    </row>
    <row r="143" ht="14.25" customHeight="1">
      <c r="A143" s="3"/>
      <c r="B143" s="215">
        <v>46145</v>
      </c>
      <c r="C143" s="123"/>
      <c r="D143" s="119"/>
      <c r="E143" s="120"/>
      <c r="F143" s="120"/>
      <c r="G143" s="147">
        <f t="shared" si="54"/>
        <v>0</v>
      </c>
      <c r="H143" s="144"/>
      <c r="I143" s="553"/>
      <c r="J143" s="145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03">
        <f t="shared" si="55"/>
        <v>0</v>
      </c>
      <c r="V143" s="143"/>
      <c r="W143" s="143"/>
      <c r="X143" s="145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03">
        <f t="shared" si="56"/>
        <v>0</v>
      </c>
      <c r="AI143" s="119"/>
      <c r="AJ143" s="119"/>
      <c r="AK143" s="123"/>
      <c r="AL143" s="105">
        <f t="shared" si="57"/>
        <v>0</v>
      </c>
      <c r="AM143" s="143"/>
      <c r="AN143" s="143"/>
      <c r="AO143" s="143"/>
      <c r="AP143" s="146"/>
      <c r="AQ143" s="224">
        <f t="shared" si="58"/>
        <v>0</v>
      </c>
      <c r="AR143" s="229"/>
      <c r="AS143" s="274"/>
      <c r="AT143" s="274"/>
      <c r="AU143" s="126"/>
      <c r="AV143" s="126"/>
      <c r="AW143" s="126"/>
      <c r="AX143" s="229"/>
      <c r="AY143" s="274"/>
      <c r="AZ143" s="274"/>
      <c r="BA143" s="274"/>
      <c r="BB143" s="274"/>
      <c r="BC143" s="222">
        <f t="shared" si="59"/>
        <v>0</v>
      </c>
      <c r="BD143" s="113">
        <f t="shared" si="60"/>
        <v>0</v>
      </c>
      <c r="BE143" s="3"/>
      <c r="BF143" s="113">
        <f t="shared" si="61"/>
        <v>0</v>
      </c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41"/>
      <c r="BS143" s="129"/>
      <c r="BT143" s="130">
        <f t="shared" si="62"/>
        <v>0</v>
      </c>
      <c r="BU143" s="3"/>
    </row>
    <row r="144" ht="14.25" customHeight="1">
      <c r="A144" s="3"/>
      <c r="B144" s="215">
        <v>46146</v>
      </c>
      <c r="C144" s="104"/>
      <c r="D144" s="95"/>
      <c r="E144" s="120"/>
      <c r="F144" s="120"/>
      <c r="G144" s="147">
        <f t="shared" si="54"/>
        <v>0</v>
      </c>
      <c r="H144" s="144"/>
      <c r="I144" s="553"/>
      <c r="J144" s="145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03">
        <f t="shared" si="55"/>
        <v>0</v>
      </c>
      <c r="V144" s="143"/>
      <c r="W144" s="143"/>
      <c r="X144" s="145"/>
      <c r="Y144" s="143"/>
      <c r="Z144" s="143"/>
      <c r="AA144" s="143"/>
      <c r="AB144" s="143"/>
      <c r="AC144" s="143"/>
      <c r="AD144" s="143"/>
      <c r="AE144" s="143"/>
      <c r="AF144" s="143"/>
      <c r="AG144" s="143"/>
      <c r="AH144" s="103">
        <f t="shared" si="56"/>
        <v>0</v>
      </c>
      <c r="AI144" s="119"/>
      <c r="AJ144" s="119"/>
      <c r="AK144" s="123"/>
      <c r="AL144" s="105">
        <f t="shared" si="57"/>
        <v>0</v>
      </c>
      <c r="AM144" s="143"/>
      <c r="AN144" s="143"/>
      <c r="AO144" s="143"/>
      <c r="AP144" s="146"/>
      <c r="AQ144" s="224">
        <f t="shared" si="58"/>
        <v>0</v>
      </c>
      <c r="AR144" s="229"/>
      <c r="AS144" s="274"/>
      <c r="AT144" s="274"/>
      <c r="AU144" s="126"/>
      <c r="AV144" s="126"/>
      <c r="AW144" s="126"/>
      <c r="AX144" s="229"/>
      <c r="AY144" s="274"/>
      <c r="AZ144" s="274"/>
      <c r="BA144" s="274"/>
      <c r="BB144" s="274"/>
      <c r="BC144" s="222">
        <f t="shared" si="59"/>
        <v>0</v>
      </c>
      <c r="BD144" s="113">
        <f t="shared" si="60"/>
        <v>0</v>
      </c>
      <c r="BE144" s="3"/>
      <c r="BF144" s="113">
        <f t="shared" si="61"/>
        <v>0</v>
      </c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31"/>
      <c r="BR144" s="150"/>
      <c r="BS144" s="129"/>
      <c r="BT144" s="130">
        <f t="shared" si="62"/>
        <v>0</v>
      </c>
      <c r="BU144" s="3"/>
    </row>
    <row r="145" ht="14.25" customHeight="1">
      <c r="A145" s="3"/>
      <c r="B145" s="215">
        <v>46147</v>
      </c>
      <c r="C145" s="123"/>
      <c r="D145" s="119"/>
      <c r="E145" s="120"/>
      <c r="F145" s="120"/>
      <c r="G145" s="147">
        <f t="shared" si="54"/>
        <v>0</v>
      </c>
      <c r="H145" s="144"/>
      <c r="I145" s="553"/>
      <c r="J145" s="145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03">
        <f t="shared" si="55"/>
        <v>0</v>
      </c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43"/>
      <c r="AH145" s="103">
        <f t="shared" si="56"/>
        <v>0</v>
      </c>
      <c r="AI145" s="119"/>
      <c r="AJ145" s="119"/>
      <c r="AK145" s="123"/>
      <c r="AL145" s="105">
        <f t="shared" si="57"/>
        <v>0</v>
      </c>
      <c r="AM145" s="143"/>
      <c r="AN145" s="143"/>
      <c r="AO145" s="143"/>
      <c r="AP145" s="146"/>
      <c r="AQ145" s="224">
        <f t="shared" si="58"/>
        <v>0</v>
      </c>
      <c r="AR145" s="229"/>
      <c r="AS145" s="274"/>
      <c r="AT145" s="126"/>
      <c r="AU145" s="126"/>
      <c r="AV145" s="126"/>
      <c r="AW145" s="126"/>
      <c r="AX145" s="229"/>
      <c r="AY145" s="274"/>
      <c r="AZ145" s="274"/>
      <c r="BA145" s="274"/>
      <c r="BB145" s="274"/>
      <c r="BC145" s="222">
        <f t="shared" si="59"/>
        <v>0</v>
      </c>
      <c r="BD145" s="113">
        <f t="shared" si="60"/>
        <v>0</v>
      </c>
      <c r="BE145" s="3"/>
      <c r="BF145" s="113">
        <f t="shared" si="61"/>
        <v>0</v>
      </c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50"/>
      <c r="BS145" s="129"/>
      <c r="BT145" s="130">
        <f t="shared" si="62"/>
        <v>0</v>
      </c>
      <c r="BU145" s="3"/>
    </row>
    <row r="146" ht="14.25" customHeight="1">
      <c r="A146" s="3"/>
      <c r="B146" s="215">
        <v>46148</v>
      </c>
      <c r="C146" s="123"/>
      <c r="D146" s="123"/>
      <c r="E146" s="120"/>
      <c r="F146" s="120"/>
      <c r="G146" s="147">
        <f t="shared" si="54"/>
        <v>0</v>
      </c>
      <c r="H146" s="144"/>
      <c r="I146" s="55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03">
        <f t="shared" si="55"/>
        <v>0</v>
      </c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43"/>
      <c r="AH146" s="103">
        <f t="shared" si="56"/>
        <v>0</v>
      </c>
      <c r="AI146" s="123"/>
      <c r="AJ146" s="123"/>
      <c r="AK146" s="123"/>
      <c r="AL146" s="105">
        <f t="shared" si="57"/>
        <v>0</v>
      </c>
      <c r="AM146" s="143"/>
      <c r="AN146" s="143"/>
      <c r="AO146" s="143"/>
      <c r="AP146" s="146"/>
      <c r="AQ146" s="224">
        <f t="shared" si="58"/>
        <v>0</v>
      </c>
      <c r="AR146" s="126"/>
      <c r="AS146" s="274"/>
      <c r="AT146" s="126"/>
      <c r="AU146" s="126"/>
      <c r="AV146" s="126"/>
      <c r="AW146" s="126"/>
      <c r="AX146" s="126"/>
      <c r="AY146" s="274"/>
      <c r="AZ146" s="274"/>
      <c r="BA146" s="274"/>
      <c r="BB146" s="274"/>
      <c r="BC146" s="222">
        <f t="shared" si="59"/>
        <v>0</v>
      </c>
      <c r="BD146" s="113">
        <f t="shared" si="60"/>
        <v>0</v>
      </c>
      <c r="BE146" s="3"/>
      <c r="BF146" s="113">
        <f t="shared" si="61"/>
        <v>0</v>
      </c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41"/>
      <c r="BS146" s="129"/>
      <c r="BT146" s="130">
        <f t="shared" si="62"/>
        <v>0</v>
      </c>
      <c r="BU146" s="3"/>
    </row>
    <row r="147" ht="14.25" customHeight="1">
      <c r="A147" s="3"/>
      <c r="B147" s="215">
        <v>46149</v>
      </c>
      <c r="C147" s="123"/>
      <c r="D147" s="123"/>
      <c r="E147" s="120"/>
      <c r="F147" s="120"/>
      <c r="G147" s="147">
        <f t="shared" si="54"/>
        <v>0</v>
      </c>
      <c r="H147" s="144"/>
      <c r="I147" s="55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03">
        <f t="shared" si="55"/>
        <v>0</v>
      </c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43"/>
      <c r="AH147" s="103">
        <f t="shared" si="56"/>
        <v>0</v>
      </c>
      <c r="AI147" s="123"/>
      <c r="AJ147" s="123"/>
      <c r="AK147" s="123"/>
      <c r="AL147" s="105">
        <f t="shared" si="57"/>
        <v>0</v>
      </c>
      <c r="AM147" s="143"/>
      <c r="AN147" s="143"/>
      <c r="AO147" s="143"/>
      <c r="AP147" s="146"/>
      <c r="AQ147" s="224">
        <f t="shared" si="58"/>
        <v>0</v>
      </c>
      <c r="AR147" s="126"/>
      <c r="AS147" s="274"/>
      <c r="AT147" s="126"/>
      <c r="AU147" s="126"/>
      <c r="AV147" s="126"/>
      <c r="AW147" s="126"/>
      <c r="AX147" s="126"/>
      <c r="AY147" s="274"/>
      <c r="AZ147" s="274"/>
      <c r="BA147" s="274"/>
      <c r="BB147" s="274"/>
      <c r="BC147" s="222">
        <f t="shared" si="59"/>
        <v>0</v>
      </c>
      <c r="BD147" s="113">
        <f t="shared" si="60"/>
        <v>0</v>
      </c>
      <c r="BE147" s="3"/>
      <c r="BF147" s="113">
        <f t="shared" si="61"/>
        <v>0</v>
      </c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41"/>
      <c r="BS147" s="129"/>
      <c r="BT147" s="130">
        <f t="shared" si="62"/>
        <v>0</v>
      </c>
      <c r="BU147" s="3"/>
    </row>
    <row r="148" ht="14.25" customHeight="1">
      <c r="A148" s="3"/>
      <c r="B148" s="215">
        <v>46150</v>
      </c>
      <c r="C148" s="123"/>
      <c r="D148" s="123"/>
      <c r="E148" s="120"/>
      <c r="F148" s="120"/>
      <c r="G148" s="147">
        <f t="shared" si="54"/>
        <v>0</v>
      </c>
      <c r="H148" s="144"/>
      <c r="I148" s="55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03">
        <f t="shared" si="55"/>
        <v>0</v>
      </c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43"/>
      <c r="AH148" s="103">
        <f t="shared" si="56"/>
        <v>0</v>
      </c>
      <c r="AI148" s="123"/>
      <c r="AJ148" s="123"/>
      <c r="AK148" s="123"/>
      <c r="AL148" s="105">
        <f t="shared" si="57"/>
        <v>0</v>
      </c>
      <c r="AM148" s="143"/>
      <c r="AN148" s="143"/>
      <c r="AO148" s="143"/>
      <c r="AP148" s="146"/>
      <c r="AQ148" s="224">
        <f t="shared" si="58"/>
        <v>0</v>
      </c>
      <c r="AR148" s="126"/>
      <c r="AS148" s="274"/>
      <c r="AT148" s="126"/>
      <c r="AU148" s="126"/>
      <c r="AV148" s="126"/>
      <c r="AW148" s="126"/>
      <c r="AX148" s="126"/>
      <c r="AY148" s="274"/>
      <c r="AZ148" s="274"/>
      <c r="BA148" s="274"/>
      <c r="BB148" s="274"/>
      <c r="BC148" s="222">
        <f t="shared" si="59"/>
        <v>0</v>
      </c>
      <c r="BD148" s="113">
        <f t="shared" si="60"/>
        <v>0</v>
      </c>
      <c r="BE148" s="3"/>
      <c r="BF148" s="113">
        <f t="shared" si="61"/>
        <v>0</v>
      </c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41"/>
      <c r="BS148" s="129"/>
      <c r="BT148" s="130">
        <f t="shared" si="62"/>
        <v>0</v>
      </c>
      <c r="BU148" s="3"/>
    </row>
    <row r="149" ht="14.25" customHeight="1">
      <c r="A149" s="3"/>
      <c r="B149" s="215">
        <v>46151</v>
      </c>
      <c r="C149" s="123"/>
      <c r="D149" s="123"/>
      <c r="E149" s="120"/>
      <c r="F149" s="120"/>
      <c r="G149" s="147">
        <f t="shared" si="54"/>
        <v>0</v>
      </c>
      <c r="H149" s="144"/>
      <c r="I149" s="55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03">
        <f t="shared" si="55"/>
        <v>0</v>
      </c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43"/>
      <c r="AH149" s="103">
        <f t="shared" si="56"/>
        <v>0</v>
      </c>
      <c r="AI149" s="123"/>
      <c r="AJ149" s="123"/>
      <c r="AK149" s="123"/>
      <c r="AL149" s="105">
        <f t="shared" si="57"/>
        <v>0</v>
      </c>
      <c r="AM149" s="143"/>
      <c r="AN149" s="143"/>
      <c r="AO149" s="143"/>
      <c r="AP149" s="146"/>
      <c r="AQ149" s="224">
        <f t="shared" si="58"/>
        <v>0</v>
      </c>
      <c r="AR149" s="126"/>
      <c r="AS149" s="274"/>
      <c r="AT149" s="126"/>
      <c r="AU149" s="126"/>
      <c r="AV149" s="126"/>
      <c r="AW149" s="126"/>
      <c r="AX149" s="126"/>
      <c r="AY149" s="274"/>
      <c r="AZ149" s="274"/>
      <c r="BA149" s="274"/>
      <c r="BB149" s="274"/>
      <c r="BC149" s="222">
        <f t="shared" si="59"/>
        <v>0</v>
      </c>
      <c r="BD149" s="113">
        <f t="shared" si="60"/>
        <v>0</v>
      </c>
      <c r="BE149" s="3"/>
      <c r="BF149" s="113">
        <f t="shared" si="61"/>
        <v>0</v>
      </c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41"/>
      <c r="BS149" s="129"/>
      <c r="BT149" s="130">
        <f t="shared" si="62"/>
        <v>0</v>
      </c>
      <c r="BU149" s="3"/>
    </row>
    <row r="150" ht="14.25" customHeight="1">
      <c r="A150" s="3"/>
      <c r="B150" s="215">
        <v>46152</v>
      </c>
      <c r="C150" s="123"/>
      <c r="D150" s="123"/>
      <c r="E150" s="120"/>
      <c r="F150" s="120"/>
      <c r="G150" s="147">
        <f t="shared" si="54"/>
        <v>0</v>
      </c>
      <c r="H150" s="144"/>
      <c r="I150" s="55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03">
        <f t="shared" si="55"/>
        <v>0</v>
      </c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43"/>
      <c r="AH150" s="103">
        <f t="shared" si="56"/>
        <v>0</v>
      </c>
      <c r="AI150" s="123"/>
      <c r="AJ150" s="123"/>
      <c r="AK150" s="123"/>
      <c r="AL150" s="105">
        <f t="shared" si="57"/>
        <v>0</v>
      </c>
      <c r="AM150" s="143"/>
      <c r="AN150" s="143"/>
      <c r="AO150" s="143"/>
      <c r="AP150" s="146"/>
      <c r="AQ150" s="224">
        <f t="shared" si="58"/>
        <v>0</v>
      </c>
      <c r="AR150" s="126"/>
      <c r="AS150" s="274"/>
      <c r="AT150" s="126"/>
      <c r="AU150" s="126"/>
      <c r="AV150" s="126"/>
      <c r="AW150" s="126"/>
      <c r="AX150" s="126"/>
      <c r="AY150" s="274"/>
      <c r="AZ150" s="274"/>
      <c r="BA150" s="274"/>
      <c r="BB150" s="274"/>
      <c r="BC150" s="222">
        <f t="shared" si="59"/>
        <v>0</v>
      </c>
      <c r="BD150" s="113">
        <f t="shared" si="60"/>
        <v>0</v>
      </c>
      <c r="BE150" s="3"/>
      <c r="BF150" s="113">
        <f t="shared" si="61"/>
        <v>0</v>
      </c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41"/>
      <c r="BS150" s="129"/>
      <c r="BT150" s="130">
        <f t="shared" si="62"/>
        <v>0</v>
      </c>
      <c r="BU150" s="3"/>
    </row>
    <row r="151" ht="14.25" customHeight="1">
      <c r="A151" s="3"/>
      <c r="B151" s="215">
        <v>46153</v>
      </c>
      <c r="C151" s="123"/>
      <c r="D151" s="123"/>
      <c r="E151" s="120"/>
      <c r="F151" s="120"/>
      <c r="G151" s="147">
        <f t="shared" si="54"/>
        <v>0</v>
      </c>
      <c r="H151" s="144"/>
      <c r="I151" s="55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03">
        <f t="shared" si="55"/>
        <v>0</v>
      </c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43"/>
      <c r="AH151" s="103">
        <f t="shared" si="56"/>
        <v>0</v>
      </c>
      <c r="AI151" s="123"/>
      <c r="AJ151" s="123"/>
      <c r="AK151" s="123"/>
      <c r="AL151" s="105">
        <f t="shared" si="57"/>
        <v>0</v>
      </c>
      <c r="AM151" s="143"/>
      <c r="AN151" s="143"/>
      <c r="AO151" s="143"/>
      <c r="AP151" s="146"/>
      <c r="AQ151" s="224">
        <f t="shared" si="58"/>
        <v>0</v>
      </c>
      <c r="AR151" s="126"/>
      <c r="AS151" s="274"/>
      <c r="AT151" s="274"/>
      <c r="AU151" s="126"/>
      <c r="AV151" s="126"/>
      <c r="AW151" s="126"/>
      <c r="AX151" s="126"/>
      <c r="AY151" s="274"/>
      <c r="AZ151" s="274"/>
      <c r="BA151" s="274"/>
      <c r="BB151" s="274"/>
      <c r="BC151" s="222">
        <f t="shared" si="59"/>
        <v>0</v>
      </c>
      <c r="BD151" s="113">
        <f t="shared" si="60"/>
        <v>0</v>
      </c>
      <c r="BE151" s="3"/>
      <c r="BF151" s="113">
        <f t="shared" si="61"/>
        <v>0</v>
      </c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41"/>
      <c r="BS151" s="129"/>
      <c r="BT151" s="130">
        <f t="shared" si="62"/>
        <v>0</v>
      </c>
      <c r="BU151" s="3"/>
    </row>
    <row r="152" ht="14.25" customHeight="1">
      <c r="A152" s="3"/>
      <c r="B152" s="215">
        <v>46154</v>
      </c>
      <c r="C152" s="123"/>
      <c r="D152" s="123"/>
      <c r="E152" s="120"/>
      <c r="F152" s="120"/>
      <c r="G152" s="147">
        <f t="shared" si="54"/>
        <v>0</v>
      </c>
      <c r="H152" s="144"/>
      <c r="I152" s="55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03">
        <f t="shared" si="55"/>
        <v>0</v>
      </c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43"/>
      <c r="AH152" s="103">
        <f t="shared" si="56"/>
        <v>0</v>
      </c>
      <c r="AI152" s="123"/>
      <c r="AJ152" s="123"/>
      <c r="AK152" s="123"/>
      <c r="AL152" s="105">
        <f t="shared" si="57"/>
        <v>0</v>
      </c>
      <c r="AM152" s="143"/>
      <c r="AN152" s="143"/>
      <c r="AO152" s="143"/>
      <c r="AP152" s="146"/>
      <c r="AQ152" s="224">
        <f t="shared" si="58"/>
        <v>0</v>
      </c>
      <c r="AR152" s="126"/>
      <c r="AS152" s="274"/>
      <c r="AT152" s="126"/>
      <c r="AU152" s="126"/>
      <c r="AV152" s="126"/>
      <c r="AW152" s="126"/>
      <c r="AX152" s="126"/>
      <c r="AY152" s="274"/>
      <c r="AZ152" s="274"/>
      <c r="BA152" s="274"/>
      <c r="BB152" s="274"/>
      <c r="BC152" s="222">
        <f t="shared" si="59"/>
        <v>0</v>
      </c>
      <c r="BD152" s="113">
        <f t="shared" si="60"/>
        <v>0</v>
      </c>
      <c r="BE152" s="3"/>
      <c r="BF152" s="113">
        <f t="shared" si="61"/>
        <v>0</v>
      </c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41"/>
      <c r="BS152" s="129"/>
      <c r="BT152" s="130">
        <f t="shared" si="62"/>
        <v>0</v>
      </c>
      <c r="BU152" s="3"/>
    </row>
    <row r="153" ht="14.25" customHeight="1">
      <c r="A153" s="3"/>
      <c r="B153" s="215">
        <v>46155</v>
      </c>
      <c r="C153" s="123"/>
      <c r="D153" s="123"/>
      <c r="E153" s="120"/>
      <c r="F153" s="120"/>
      <c r="G153" s="147">
        <f t="shared" si="54"/>
        <v>0</v>
      </c>
      <c r="H153" s="144"/>
      <c r="I153" s="55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03">
        <f t="shared" si="55"/>
        <v>0</v>
      </c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43"/>
      <c r="AH153" s="103">
        <f t="shared" si="56"/>
        <v>0</v>
      </c>
      <c r="AI153" s="123"/>
      <c r="AJ153" s="123"/>
      <c r="AK153" s="123"/>
      <c r="AL153" s="105">
        <f t="shared" si="57"/>
        <v>0</v>
      </c>
      <c r="AM153" s="143"/>
      <c r="AN153" s="143"/>
      <c r="AO153" s="143"/>
      <c r="AP153" s="146"/>
      <c r="AQ153" s="224">
        <f t="shared" si="58"/>
        <v>0</v>
      </c>
      <c r="AR153" s="126"/>
      <c r="AS153" s="274"/>
      <c r="AT153" s="126"/>
      <c r="AU153" s="126"/>
      <c r="AV153" s="126"/>
      <c r="AW153" s="126"/>
      <c r="AX153" s="126"/>
      <c r="AY153" s="274"/>
      <c r="AZ153" s="274"/>
      <c r="BA153" s="274"/>
      <c r="BB153" s="274"/>
      <c r="BC153" s="222">
        <f t="shared" si="59"/>
        <v>0</v>
      </c>
      <c r="BD153" s="113">
        <f t="shared" si="60"/>
        <v>0</v>
      </c>
      <c r="BE153" s="3"/>
      <c r="BF153" s="113">
        <f t="shared" si="61"/>
        <v>0</v>
      </c>
      <c r="BG153" s="129"/>
      <c r="BH153" s="129"/>
      <c r="BI153" s="129"/>
      <c r="BJ153" s="129"/>
      <c r="BK153" s="129"/>
      <c r="BL153" s="129"/>
      <c r="BM153" s="129"/>
      <c r="BN153" s="129"/>
      <c r="BO153" s="129"/>
      <c r="BP153" s="129"/>
      <c r="BQ153" s="129"/>
      <c r="BR153" s="141"/>
      <c r="BS153" s="129"/>
      <c r="BT153" s="130">
        <f t="shared" si="62"/>
        <v>0</v>
      </c>
      <c r="BU153" s="3"/>
    </row>
    <row r="154" ht="14.25" customHeight="1">
      <c r="A154" s="132"/>
      <c r="B154" s="215">
        <v>46156</v>
      </c>
      <c r="C154" s="136"/>
      <c r="D154" s="136"/>
      <c r="E154" s="135"/>
      <c r="F154" s="135"/>
      <c r="G154" s="147">
        <f t="shared" si="54"/>
        <v>0</v>
      </c>
      <c r="H154" s="144"/>
      <c r="I154" s="231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03">
        <f t="shared" si="55"/>
        <v>0</v>
      </c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43"/>
      <c r="AH154" s="103">
        <f t="shared" si="56"/>
        <v>0</v>
      </c>
      <c r="AI154" s="136"/>
      <c r="AJ154" s="136"/>
      <c r="AK154" s="136"/>
      <c r="AL154" s="105">
        <f t="shared" si="57"/>
        <v>0</v>
      </c>
      <c r="AM154" s="143"/>
      <c r="AN154" s="143"/>
      <c r="AO154" s="143"/>
      <c r="AP154" s="146"/>
      <c r="AQ154" s="224">
        <f t="shared" si="58"/>
        <v>0</v>
      </c>
      <c r="AR154" s="126"/>
      <c r="AS154" s="274"/>
      <c r="AT154" s="126"/>
      <c r="AU154" s="126"/>
      <c r="AV154" s="126"/>
      <c r="AW154" s="126"/>
      <c r="AX154" s="126"/>
      <c r="AY154" s="274"/>
      <c r="AZ154" s="274"/>
      <c r="BA154" s="274"/>
      <c r="BB154" s="274"/>
      <c r="BC154" s="222">
        <f t="shared" si="59"/>
        <v>0</v>
      </c>
      <c r="BD154" s="140">
        <f t="shared" si="60"/>
        <v>0</v>
      </c>
      <c r="BE154" s="132"/>
      <c r="BF154" s="140">
        <f t="shared" si="61"/>
        <v>0</v>
      </c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30">
        <f t="shared" si="62"/>
        <v>0</v>
      </c>
      <c r="BU154" s="132"/>
    </row>
    <row r="155" ht="14.25" customHeight="1">
      <c r="A155" s="132"/>
      <c r="B155" s="215">
        <v>46157</v>
      </c>
      <c r="C155" s="136"/>
      <c r="D155" s="136"/>
      <c r="E155" s="135"/>
      <c r="F155" s="135"/>
      <c r="G155" s="147">
        <f t="shared" si="54"/>
        <v>0</v>
      </c>
      <c r="H155" s="144"/>
      <c r="I155" s="231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03">
        <f t="shared" si="55"/>
        <v>0</v>
      </c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03">
        <f t="shared" si="56"/>
        <v>0</v>
      </c>
      <c r="AI155" s="136"/>
      <c r="AJ155" s="136"/>
      <c r="AK155" s="136"/>
      <c r="AL155" s="105">
        <f t="shared" si="57"/>
        <v>0</v>
      </c>
      <c r="AM155" s="143"/>
      <c r="AN155" s="143"/>
      <c r="AO155" s="143"/>
      <c r="AP155" s="146"/>
      <c r="AQ155" s="224">
        <f t="shared" si="58"/>
        <v>0</v>
      </c>
      <c r="AR155" s="126"/>
      <c r="AS155" s="274"/>
      <c r="AT155" s="126"/>
      <c r="AU155" s="126"/>
      <c r="AV155" s="126"/>
      <c r="AW155" s="126"/>
      <c r="AX155" s="126"/>
      <c r="AY155" s="274"/>
      <c r="AZ155" s="274"/>
      <c r="BA155" s="274"/>
      <c r="BB155" s="274"/>
      <c r="BC155" s="222">
        <f t="shared" si="59"/>
        <v>0</v>
      </c>
      <c r="BD155" s="140">
        <f t="shared" si="60"/>
        <v>0</v>
      </c>
      <c r="BE155" s="132"/>
      <c r="BF155" s="140">
        <f t="shared" si="61"/>
        <v>0</v>
      </c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30">
        <f t="shared" si="62"/>
        <v>0</v>
      </c>
      <c r="BU155" s="132"/>
    </row>
    <row r="156" ht="14.25" customHeight="1">
      <c r="A156" s="132"/>
      <c r="B156" s="215">
        <v>46158</v>
      </c>
      <c r="C156" s="136"/>
      <c r="D156" s="136"/>
      <c r="E156" s="135"/>
      <c r="F156" s="135"/>
      <c r="G156" s="147">
        <f t="shared" si="54"/>
        <v>0</v>
      </c>
      <c r="H156" s="144"/>
      <c r="I156" s="231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03">
        <f t="shared" si="55"/>
        <v>0</v>
      </c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43"/>
      <c r="AH156" s="103">
        <f t="shared" si="56"/>
        <v>0</v>
      </c>
      <c r="AI156" s="136"/>
      <c r="AJ156" s="136"/>
      <c r="AK156" s="136"/>
      <c r="AL156" s="105">
        <f t="shared" si="57"/>
        <v>0</v>
      </c>
      <c r="AM156" s="143"/>
      <c r="AN156" s="143"/>
      <c r="AO156" s="143"/>
      <c r="AP156" s="146"/>
      <c r="AQ156" s="224">
        <f t="shared" si="58"/>
        <v>0</v>
      </c>
      <c r="AR156" s="126"/>
      <c r="AS156" s="274"/>
      <c r="AT156" s="126"/>
      <c r="AU156" s="126"/>
      <c r="AV156" s="126"/>
      <c r="AW156" s="126"/>
      <c r="AX156" s="126"/>
      <c r="AY156" s="274"/>
      <c r="AZ156" s="274"/>
      <c r="BA156" s="274"/>
      <c r="BB156" s="274"/>
      <c r="BC156" s="222">
        <f t="shared" si="59"/>
        <v>0</v>
      </c>
      <c r="BD156" s="140">
        <f t="shared" si="60"/>
        <v>0</v>
      </c>
      <c r="BE156" s="132"/>
      <c r="BF156" s="140">
        <f t="shared" si="61"/>
        <v>0</v>
      </c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30">
        <f t="shared" si="62"/>
        <v>0</v>
      </c>
      <c r="BU156" s="132"/>
    </row>
    <row r="157" ht="14.25" customHeight="1">
      <c r="A157" s="132"/>
      <c r="B157" s="215">
        <v>46159</v>
      </c>
      <c r="C157" s="136"/>
      <c r="D157" s="136"/>
      <c r="E157" s="135"/>
      <c r="F157" s="135"/>
      <c r="G157" s="147">
        <f t="shared" si="54"/>
        <v>0</v>
      </c>
      <c r="H157" s="144"/>
      <c r="I157" s="231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03">
        <f t="shared" si="55"/>
        <v>0</v>
      </c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43"/>
      <c r="AH157" s="103">
        <f t="shared" si="56"/>
        <v>0</v>
      </c>
      <c r="AI157" s="136"/>
      <c r="AJ157" s="136"/>
      <c r="AK157" s="136"/>
      <c r="AL157" s="105">
        <f t="shared" si="57"/>
        <v>0</v>
      </c>
      <c r="AM157" s="143"/>
      <c r="AN157" s="143"/>
      <c r="AO157" s="143"/>
      <c r="AP157" s="146"/>
      <c r="AQ157" s="224">
        <f t="shared" si="58"/>
        <v>0</v>
      </c>
      <c r="AR157" s="126"/>
      <c r="AS157" s="274"/>
      <c r="AT157" s="126"/>
      <c r="AU157" s="126"/>
      <c r="AV157" s="126"/>
      <c r="AW157" s="126"/>
      <c r="AX157" s="126"/>
      <c r="AY157" s="274"/>
      <c r="AZ157" s="274"/>
      <c r="BA157" s="274"/>
      <c r="BB157" s="274"/>
      <c r="BC157" s="222">
        <f t="shared" si="59"/>
        <v>0</v>
      </c>
      <c r="BD157" s="140">
        <f t="shared" si="60"/>
        <v>0</v>
      </c>
      <c r="BE157" s="132"/>
      <c r="BF157" s="140">
        <f t="shared" si="61"/>
        <v>0</v>
      </c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30">
        <f t="shared" si="62"/>
        <v>0</v>
      </c>
      <c r="BU157" s="132"/>
    </row>
    <row r="158" ht="14.25" customHeight="1">
      <c r="A158" s="132"/>
      <c r="B158" s="215">
        <v>46160</v>
      </c>
      <c r="C158" s="136"/>
      <c r="D158" s="136"/>
      <c r="E158" s="135"/>
      <c r="F158" s="135"/>
      <c r="G158" s="147">
        <f t="shared" si="54"/>
        <v>0</v>
      </c>
      <c r="H158" s="144"/>
      <c r="I158" s="231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03">
        <f t="shared" si="55"/>
        <v>0</v>
      </c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03">
        <f t="shared" si="56"/>
        <v>0</v>
      </c>
      <c r="AI158" s="136"/>
      <c r="AJ158" s="136"/>
      <c r="AK158" s="136"/>
      <c r="AL158" s="105">
        <f t="shared" si="57"/>
        <v>0</v>
      </c>
      <c r="AM158" s="143"/>
      <c r="AN158" s="143"/>
      <c r="AO158" s="143"/>
      <c r="AP158" s="146"/>
      <c r="AQ158" s="224">
        <f t="shared" si="58"/>
        <v>0</v>
      </c>
      <c r="AR158" s="126"/>
      <c r="AS158" s="274"/>
      <c r="AT158" s="126"/>
      <c r="AU158" s="126"/>
      <c r="AV158" s="126"/>
      <c r="AW158" s="126"/>
      <c r="AX158" s="126"/>
      <c r="AY158" s="274"/>
      <c r="AZ158" s="274"/>
      <c r="BA158" s="274"/>
      <c r="BB158" s="274"/>
      <c r="BC158" s="222">
        <f t="shared" si="59"/>
        <v>0</v>
      </c>
      <c r="BD158" s="140">
        <f t="shared" si="60"/>
        <v>0</v>
      </c>
      <c r="BE158" s="132"/>
      <c r="BF158" s="140">
        <f t="shared" si="61"/>
        <v>0</v>
      </c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30">
        <f t="shared" si="62"/>
        <v>0</v>
      </c>
      <c r="BU158" s="132"/>
    </row>
    <row r="159" ht="14.25" customHeight="1">
      <c r="A159" s="132"/>
      <c r="B159" s="215">
        <v>46161</v>
      </c>
      <c r="C159" s="136"/>
      <c r="D159" s="136"/>
      <c r="E159" s="135"/>
      <c r="F159" s="135"/>
      <c r="G159" s="147">
        <f t="shared" si="54"/>
        <v>0</v>
      </c>
      <c r="H159" s="144"/>
      <c r="I159" s="231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03">
        <f t="shared" si="55"/>
        <v>0</v>
      </c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43"/>
      <c r="AH159" s="103">
        <f t="shared" si="56"/>
        <v>0</v>
      </c>
      <c r="AI159" s="136"/>
      <c r="AJ159" s="136"/>
      <c r="AK159" s="136"/>
      <c r="AL159" s="105">
        <f t="shared" si="57"/>
        <v>0</v>
      </c>
      <c r="AM159" s="143"/>
      <c r="AN159" s="143"/>
      <c r="AO159" s="143"/>
      <c r="AP159" s="146"/>
      <c r="AQ159" s="224">
        <f t="shared" si="58"/>
        <v>0</v>
      </c>
      <c r="AR159" s="126"/>
      <c r="AS159" s="274"/>
      <c r="AT159" s="126"/>
      <c r="AU159" s="126"/>
      <c r="AV159" s="126"/>
      <c r="AW159" s="126"/>
      <c r="AX159" s="126"/>
      <c r="AY159" s="274"/>
      <c r="AZ159" s="274"/>
      <c r="BA159" s="274"/>
      <c r="BB159" s="274"/>
      <c r="BC159" s="222">
        <f t="shared" si="59"/>
        <v>0</v>
      </c>
      <c r="BD159" s="140">
        <f t="shared" si="60"/>
        <v>0</v>
      </c>
      <c r="BE159" s="132"/>
      <c r="BF159" s="140">
        <f t="shared" si="61"/>
        <v>0</v>
      </c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30">
        <f t="shared" si="62"/>
        <v>0</v>
      </c>
      <c r="BU159" s="132"/>
    </row>
    <row r="160" ht="14.25" customHeight="1">
      <c r="A160" s="132"/>
      <c r="B160" s="215">
        <v>46162</v>
      </c>
      <c r="C160" s="136"/>
      <c r="D160" s="136"/>
      <c r="E160" s="135"/>
      <c r="F160" s="135"/>
      <c r="G160" s="147">
        <f t="shared" si="54"/>
        <v>0</v>
      </c>
      <c r="H160" s="144"/>
      <c r="I160" s="231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03">
        <f t="shared" si="55"/>
        <v>0</v>
      </c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43"/>
      <c r="AH160" s="103">
        <f t="shared" si="56"/>
        <v>0</v>
      </c>
      <c r="AI160" s="136"/>
      <c r="AJ160" s="136"/>
      <c r="AK160" s="136"/>
      <c r="AL160" s="105">
        <f t="shared" si="57"/>
        <v>0</v>
      </c>
      <c r="AM160" s="143"/>
      <c r="AN160" s="143"/>
      <c r="AO160" s="143"/>
      <c r="AP160" s="146"/>
      <c r="AQ160" s="224">
        <f t="shared" si="58"/>
        <v>0</v>
      </c>
      <c r="AR160" s="126"/>
      <c r="AS160" s="274"/>
      <c r="AT160" s="126"/>
      <c r="AU160" s="126"/>
      <c r="AV160" s="126"/>
      <c r="AW160" s="126"/>
      <c r="AX160" s="126"/>
      <c r="AY160" s="274"/>
      <c r="AZ160" s="274"/>
      <c r="BA160" s="274"/>
      <c r="BB160" s="274"/>
      <c r="BC160" s="222">
        <f t="shared" si="59"/>
        <v>0</v>
      </c>
      <c r="BD160" s="140">
        <f t="shared" si="60"/>
        <v>0</v>
      </c>
      <c r="BE160" s="132"/>
      <c r="BF160" s="140">
        <f t="shared" si="61"/>
        <v>0</v>
      </c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30">
        <f t="shared" si="62"/>
        <v>0</v>
      </c>
      <c r="BU160" s="132"/>
    </row>
    <row r="161" ht="14.25" customHeight="1">
      <c r="A161" s="132"/>
      <c r="B161" s="215">
        <v>46163</v>
      </c>
      <c r="C161" s="136"/>
      <c r="D161" s="136"/>
      <c r="E161" s="135"/>
      <c r="F161" s="135"/>
      <c r="G161" s="147">
        <f t="shared" si="54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03">
        <f t="shared" si="55"/>
        <v>0</v>
      </c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43"/>
      <c r="AH161" s="103">
        <f t="shared" si="56"/>
        <v>0</v>
      </c>
      <c r="AI161" s="136"/>
      <c r="AJ161" s="136"/>
      <c r="AK161" s="136"/>
      <c r="AL161" s="105">
        <f t="shared" si="57"/>
        <v>0</v>
      </c>
      <c r="AM161" s="143"/>
      <c r="AN161" s="143"/>
      <c r="AO161" s="143"/>
      <c r="AP161" s="146"/>
      <c r="AQ161" s="224">
        <f t="shared" si="58"/>
        <v>0</v>
      </c>
      <c r="AR161" s="126"/>
      <c r="AS161" s="274"/>
      <c r="AT161" s="126"/>
      <c r="AU161" s="126"/>
      <c r="AV161" s="126"/>
      <c r="AW161" s="126"/>
      <c r="AX161" s="126"/>
      <c r="AY161" s="274"/>
      <c r="AZ161" s="274"/>
      <c r="BA161" s="274"/>
      <c r="BB161" s="274"/>
      <c r="BC161" s="222">
        <f t="shared" si="59"/>
        <v>0</v>
      </c>
      <c r="BD161" s="140">
        <f t="shared" si="60"/>
        <v>0</v>
      </c>
      <c r="BE161" s="132"/>
      <c r="BF161" s="140">
        <f t="shared" si="61"/>
        <v>0</v>
      </c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30">
        <f t="shared" si="62"/>
        <v>0</v>
      </c>
      <c r="BU161" s="132"/>
    </row>
    <row r="162" ht="14.25" customHeight="1">
      <c r="A162" s="132"/>
      <c r="B162" s="215">
        <v>46164</v>
      </c>
      <c r="C162" s="136"/>
      <c r="D162" s="136"/>
      <c r="E162" s="135"/>
      <c r="F162" s="135"/>
      <c r="G162" s="147">
        <f t="shared" si="54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03">
        <f t="shared" si="55"/>
        <v>0</v>
      </c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43"/>
      <c r="AH162" s="103">
        <f t="shared" si="56"/>
        <v>0</v>
      </c>
      <c r="AI162" s="136"/>
      <c r="AJ162" s="136"/>
      <c r="AK162" s="136"/>
      <c r="AL162" s="105">
        <f t="shared" si="57"/>
        <v>0</v>
      </c>
      <c r="AM162" s="143"/>
      <c r="AN162" s="143"/>
      <c r="AO162" s="143"/>
      <c r="AP162" s="146"/>
      <c r="AQ162" s="224">
        <f t="shared" si="58"/>
        <v>0</v>
      </c>
      <c r="AR162" s="126"/>
      <c r="AS162" s="274"/>
      <c r="AT162" s="126"/>
      <c r="AU162" s="126"/>
      <c r="AV162" s="126"/>
      <c r="AW162" s="126"/>
      <c r="AX162" s="126"/>
      <c r="AY162" s="274"/>
      <c r="AZ162" s="274"/>
      <c r="BA162" s="274"/>
      <c r="BB162" s="274"/>
      <c r="BC162" s="222">
        <f t="shared" si="59"/>
        <v>0</v>
      </c>
      <c r="BD162" s="140">
        <f t="shared" si="60"/>
        <v>0</v>
      </c>
      <c r="BE162" s="132"/>
      <c r="BF162" s="140">
        <f t="shared" si="61"/>
        <v>0</v>
      </c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30">
        <f t="shared" si="62"/>
        <v>0</v>
      </c>
      <c r="BU162" s="132"/>
    </row>
    <row r="163" ht="14.25" customHeight="1">
      <c r="A163" s="132"/>
      <c r="B163" s="215">
        <v>46165</v>
      </c>
      <c r="C163" s="136"/>
      <c r="D163" s="136"/>
      <c r="E163" s="135"/>
      <c r="F163" s="135"/>
      <c r="G163" s="147">
        <f t="shared" si="54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03">
        <f t="shared" si="55"/>
        <v>0</v>
      </c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43"/>
      <c r="AH163" s="103">
        <f t="shared" si="56"/>
        <v>0</v>
      </c>
      <c r="AI163" s="136"/>
      <c r="AJ163" s="136"/>
      <c r="AK163" s="136"/>
      <c r="AL163" s="105">
        <f t="shared" si="57"/>
        <v>0</v>
      </c>
      <c r="AM163" s="143"/>
      <c r="AN163" s="143"/>
      <c r="AO163" s="143"/>
      <c r="AP163" s="146"/>
      <c r="AQ163" s="224">
        <f t="shared" si="58"/>
        <v>0</v>
      </c>
      <c r="AR163" s="126"/>
      <c r="AS163" s="274"/>
      <c r="AT163" s="126"/>
      <c r="AU163" s="126"/>
      <c r="AV163" s="126"/>
      <c r="AW163" s="126"/>
      <c r="AX163" s="126"/>
      <c r="AY163" s="274"/>
      <c r="AZ163" s="274"/>
      <c r="BA163" s="274"/>
      <c r="BB163" s="274"/>
      <c r="BC163" s="222">
        <f t="shared" si="59"/>
        <v>0</v>
      </c>
      <c r="BD163" s="140">
        <f t="shared" si="60"/>
        <v>0</v>
      </c>
      <c r="BE163" s="132"/>
      <c r="BF163" s="140">
        <f t="shared" si="61"/>
        <v>0</v>
      </c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30">
        <f t="shared" si="62"/>
        <v>0</v>
      </c>
      <c r="BU163" s="132"/>
    </row>
    <row r="164" ht="14.25" customHeight="1">
      <c r="A164" s="132"/>
      <c r="B164" s="215">
        <v>46166</v>
      </c>
      <c r="C164" s="136"/>
      <c r="D164" s="136"/>
      <c r="E164" s="135"/>
      <c r="F164" s="135"/>
      <c r="G164" s="147">
        <f t="shared" si="54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03">
        <f t="shared" si="55"/>
        <v>0</v>
      </c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43"/>
      <c r="AH164" s="103">
        <f t="shared" si="56"/>
        <v>0</v>
      </c>
      <c r="AI164" s="136"/>
      <c r="AJ164" s="136"/>
      <c r="AK164" s="136"/>
      <c r="AL164" s="105">
        <f t="shared" si="57"/>
        <v>0</v>
      </c>
      <c r="AM164" s="143"/>
      <c r="AN164" s="143"/>
      <c r="AO164" s="143"/>
      <c r="AP164" s="146"/>
      <c r="AQ164" s="224">
        <f t="shared" si="58"/>
        <v>0</v>
      </c>
      <c r="AR164" s="126"/>
      <c r="AS164" s="274"/>
      <c r="AT164" s="126"/>
      <c r="AU164" s="126"/>
      <c r="AV164" s="126"/>
      <c r="AW164" s="126"/>
      <c r="AX164" s="126"/>
      <c r="AY164" s="274"/>
      <c r="AZ164" s="274"/>
      <c r="BA164" s="274"/>
      <c r="BB164" s="274"/>
      <c r="BC164" s="222">
        <f t="shared" si="59"/>
        <v>0</v>
      </c>
      <c r="BD164" s="140">
        <f t="shared" si="60"/>
        <v>0</v>
      </c>
      <c r="BE164" s="132"/>
      <c r="BF164" s="140">
        <f t="shared" si="61"/>
        <v>0</v>
      </c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30">
        <f t="shared" si="62"/>
        <v>0</v>
      </c>
      <c r="BU164" s="132"/>
    </row>
    <row r="165" ht="14.25" customHeight="1">
      <c r="A165" s="132"/>
      <c r="B165" s="215">
        <v>46167</v>
      </c>
      <c r="C165" s="136"/>
      <c r="D165" s="136"/>
      <c r="E165" s="135"/>
      <c r="F165" s="135"/>
      <c r="G165" s="147">
        <f t="shared" si="54"/>
        <v>0</v>
      </c>
      <c r="H165" s="144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03">
        <f t="shared" si="55"/>
        <v>0</v>
      </c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43"/>
      <c r="AH165" s="103">
        <f t="shared" si="56"/>
        <v>0</v>
      </c>
      <c r="AI165" s="136"/>
      <c r="AJ165" s="136"/>
      <c r="AK165" s="136"/>
      <c r="AL165" s="105">
        <f t="shared" si="57"/>
        <v>0</v>
      </c>
      <c r="AM165" s="143"/>
      <c r="AN165" s="143"/>
      <c r="AO165" s="143"/>
      <c r="AP165" s="146"/>
      <c r="AQ165" s="224">
        <f t="shared" si="58"/>
        <v>0</v>
      </c>
      <c r="AR165" s="126"/>
      <c r="AS165" s="274"/>
      <c r="AT165" s="126"/>
      <c r="AU165" s="126"/>
      <c r="AV165" s="126"/>
      <c r="AW165" s="126"/>
      <c r="AX165" s="126"/>
      <c r="AY165" s="274"/>
      <c r="AZ165" s="274"/>
      <c r="BA165" s="274"/>
      <c r="BB165" s="274"/>
      <c r="BC165" s="222">
        <f t="shared" si="59"/>
        <v>0</v>
      </c>
      <c r="BD165" s="140">
        <f t="shared" si="60"/>
        <v>0</v>
      </c>
      <c r="BE165" s="132"/>
      <c r="BF165" s="140">
        <f t="shared" si="61"/>
        <v>0</v>
      </c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30">
        <f t="shared" si="62"/>
        <v>0</v>
      </c>
      <c r="BU165" s="132"/>
    </row>
    <row r="166" ht="14.25" customHeight="1">
      <c r="A166" s="132"/>
      <c r="B166" s="215">
        <v>46168</v>
      </c>
      <c r="C166" s="136"/>
      <c r="D166" s="136"/>
      <c r="E166" s="135"/>
      <c r="F166" s="135"/>
      <c r="G166" s="147">
        <f t="shared" si="54"/>
        <v>0</v>
      </c>
      <c r="H166" s="144"/>
      <c r="I166" s="143"/>
      <c r="J166" s="143"/>
      <c r="K166" s="143"/>
      <c r="L166" s="143"/>
      <c r="M166" s="143"/>
      <c r="N166" s="99"/>
      <c r="O166" s="143"/>
      <c r="P166" s="143"/>
      <c r="Q166" s="143"/>
      <c r="R166" s="143"/>
      <c r="S166" s="143"/>
      <c r="T166" s="143"/>
      <c r="U166" s="103">
        <f t="shared" si="55"/>
        <v>0</v>
      </c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43"/>
      <c r="AH166" s="103">
        <f t="shared" si="56"/>
        <v>0</v>
      </c>
      <c r="AI166" s="136"/>
      <c r="AJ166" s="136"/>
      <c r="AK166" s="136"/>
      <c r="AL166" s="105">
        <f t="shared" si="57"/>
        <v>0</v>
      </c>
      <c r="AM166" s="143"/>
      <c r="AN166" s="143"/>
      <c r="AO166" s="143"/>
      <c r="AP166" s="146"/>
      <c r="AQ166" s="224">
        <f t="shared" si="58"/>
        <v>0</v>
      </c>
      <c r="AR166" s="126"/>
      <c r="AS166" s="274"/>
      <c r="AT166" s="274"/>
      <c r="AU166" s="126"/>
      <c r="AV166" s="126"/>
      <c r="AW166" s="126"/>
      <c r="AX166" s="126"/>
      <c r="AY166" s="274"/>
      <c r="AZ166" s="274"/>
      <c r="BA166" s="274"/>
      <c r="BB166" s="274"/>
      <c r="BC166" s="222">
        <f t="shared" si="59"/>
        <v>0</v>
      </c>
      <c r="BD166" s="140">
        <f t="shared" si="60"/>
        <v>0</v>
      </c>
      <c r="BE166" s="132"/>
      <c r="BF166" s="140">
        <f t="shared" si="61"/>
        <v>0</v>
      </c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30">
        <f t="shared" si="62"/>
        <v>0</v>
      </c>
      <c r="BU166" s="132"/>
    </row>
    <row r="167" ht="14.25" customHeight="1">
      <c r="A167" s="132"/>
      <c r="B167" s="215">
        <v>46169</v>
      </c>
      <c r="C167" s="136"/>
      <c r="D167" s="136"/>
      <c r="E167" s="135"/>
      <c r="F167" s="135"/>
      <c r="G167" s="147">
        <f t="shared" si="54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03">
        <f t="shared" si="55"/>
        <v>0</v>
      </c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43"/>
      <c r="AH167" s="103">
        <f t="shared" si="56"/>
        <v>0</v>
      </c>
      <c r="AI167" s="136"/>
      <c r="AJ167" s="136"/>
      <c r="AK167" s="136"/>
      <c r="AL167" s="105">
        <f t="shared" si="57"/>
        <v>0</v>
      </c>
      <c r="AM167" s="143"/>
      <c r="AN167" s="143"/>
      <c r="AO167" s="143"/>
      <c r="AP167" s="146"/>
      <c r="AQ167" s="224">
        <f t="shared" si="58"/>
        <v>0</v>
      </c>
      <c r="AR167" s="126"/>
      <c r="AS167" s="274"/>
      <c r="AT167" s="126"/>
      <c r="AU167" s="126"/>
      <c r="AV167" s="126"/>
      <c r="AW167" s="126"/>
      <c r="AX167" s="126"/>
      <c r="AY167" s="274"/>
      <c r="AZ167" s="274"/>
      <c r="BA167" s="274"/>
      <c r="BB167" s="274"/>
      <c r="BC167" s="222">
        <f t="shared" si="59"/>
        <v>0</v>
      </c>
      <c r="BD167" s="140">
        <f t="shared" si="60"/>
        <v>0</v>
      </c>
      <c r="BE167" s="132"/>
      <c r="BF167" s="140">
        <f t="shared" si="61"/>
        <v>0</v>
      </c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30">
        <f t="shared" si="62"/>
        <v>0</v>
      </c>
      <c r="BU167" s="132"/>
    </row>
    <row r="168" ht="14.25" customHeight="1">
      <c r="A168" s="132"/>
      <c r="B168" s="215">
        <v>46170</v>
      </c>
      <c r="C168" s="136"/>
      <c r="D168" s="136"/>
      <c r="E168" s="135"/>
      <c r="F168" s="135"/>
      <c r="G168" s="147">
        <f t="shared" si="54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03">
        <f t="shared" si="55"/>
        <v>0</v>
      </c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43"/>
      <c r="AH168" s="103">
        <f t="shared" si="56"/>
        <v>0</v>
      </c>
      <c r="AI168" s="136"/>
      <c r="AJ168" s="136"/>
      <c r="AK168" s="136"/>
      <c r="AL168" s="105">
        <f t="shared" si="57"/>
        <v>0</v>
      </c>
      <c r="AM168" s="143"/>
      <c r="AN168" s="143"/>
      <c r="AO168" s="143"/>
      <c r="AP168" s="146"/>
      <c r="AQ168" s="224">
        <f t="shared" si="58"/>
        <v>0</v>
      </c>
      <c r="AR168" s="126"/>
      <c r="AS168" s="274"/>
      <c r="AT168" s="126"/>
      <c r="AU168" s="126"/>
      <c r="AV168" s="126"/>
      <c r="AW168" s="126"/>
      <c r="AX168" s="126"/>
      <c r="AY168" s="274"/>
      <c r="AZ168" s="274"/>
      <c r="BA168" s="274"/>
      <c r="BB168" s="274"/>
      <c r="BC168" s="222">
        <f t="shared" si="59"/>
        <v>0</v>
      </c>
      <c r="BD168" s="140">
        <f t="shared" si="60"/>
        <v>0</v>
      </c>
      <c r="BE168" s="132"/>
      <c r="BF168" s="140">
        <f t="shared" si="61"/>
        <v>0</v>
      </c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30">
        <f t="shared" si="62"/>
        <v>0</v>
      </c>
      <c r="BU168" s="132"/>
    </row>
    <row r="169" ht="14.25" customHeight="1">
      <c r="A169" s="235"/>
      <c r="B169" s="215">
        <v>46171</v>
      </c>
      <c r="C169" s="821"/>
      <c r="D169" s="821"/>
      <c r="E169" s="822"/>
      <c r="F169" s="822"/>
      <c r="G169" s="1377">
        <f t="shared" si="54"/>
        <v>0</v>
      </c>
      <c r="H169" s="1378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1379">
        <f t="shared" si="55"/>
        <v>0</v>
      </c>
      <c r="V169" s="672"/>
      <c r="W169" s="672"/>
      <c r="X169" s="672"/>
      <c r="Y169" s="672"/>
      <c r="Z169" s="672"/>
      <c r="AA169" s="672"/>
      <c r="AB169" s="672"/>
      <c r="AC169" s="672"/>
      <c r="AD169" s="672"/>
      <c r="AE169" s="672"/>
      <c r="AF169" s="672"/>
      <c r="AG169" s="672"/>
      <c r="AH169" s="1379">
        <f t="shared" si="56"/>
        <v>0</v>
      </c>
      <c r="AI169" s="821"/>
      <c r="AJ169" s="821"/>
      <c r="AK169" s="821"/>
      <c r="AL169" s="1380">
        <f t="shared" si="57"/>
        <v>0</v>
      </c>
      <c r="AM169" s="672"/>
      <c r="AN169" s="672"/>
      <c r="AO169" s="672"/>
      <c r="AP169" s="827"/>
      <c r="AQ169" s="1381">
        <f t="shared" si="58"/>
        <v>0</v>
      </c>
      <c r="AR169" s="1301"/>
      <c r="AS169" s="1298"/>
      <c r="AT169" s="1301"/>
      <c r="AU169" s="1301"/>
      <c r="AV169" s="1301"/>
      <c r="AW169" s="1301"/>
      <c r="AX169" s="1301"/>
      <c r="AY169" s="1298"/>
      <c r="AZ169" s="1298"/>
      <c r="BA169" s="1298"/>
      <c r="BB169" s="1298"/>
      <c r="BC169" s="1302">
        <f t="shared" si="59"/>
        <v>0</v>
      </c>
      <c r="BD169" s="524">
        <f t="shared" si="60"/>
        <v>0</v>
      </c>
      <c r="BE169" s="235"/>
      <c r="BF169" s="524">
        <f t="shared" si="61"/>
        <v>0</v>
      </c>
      <c r="BG169" s="540"/>
      <c r="BH169" s="540"/>
      <c r="BI169" s="540"/>
      <c r="BJ169" s="540"/>
      <c r="BK169" s="540"/>
      <c r="BL169" s="540"/>
      <c r="BM169" s="540"/>
      <c r="BN169" s="540"/>
      <c r="BO169" s="540"/>
      <c r="BP169" s="540"/>
      <c r="BQ169" s="540"/>
      <c r="BR169" s="540"/>
      <c r="BS169" s="540"/>
      <c r="BT169" s="828">
        <f t="shared" si="62"/>
        <v>0</v>
      </c>
      <c r="BU169" s="235"/>
    </row>
    <row r="170" ht="14.25" customHeight="1">
      <c r="A170" s="235"/>
      <c r="B170" s="215">
        <v>46172</v>
      </c>
      <c r="C170" s="821"/>
      <c r="D170" s="821"/>
      <c r="E170" s="822"/>
      <c r="F170" s="822"/>
      <c r="G170" s="1377">
        <f t="shared" si="54"/>
        <v>0</v>
      </c>
      <c r="H170" s="1378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1379">
        <f t="shared" si="55"/>
        <v>0</v>
      </c>
      <c r="V170" s="672"/>
      <c r="W170" s="672"/>
      <c r="X170" s="672"/>
      <c r="Y170" s="672"/>
      <c r="Z170" s="672"/>
      <c r="AA170" s="672"/>
      <c r="AB170" s="672"/>
      <c r="AC170" s="672"/>
      <c r="AD170" s="672"/>
      <c r="AE170" s="672"/>
      <c r="AF170" s="672"/>
      <c r="AG170" s="672"/>
      <c r="AH170" s="1379">
        <f t="shared" si="56"/>
        <v>0</v>
      </c>
      <c r="AI170" s="821"/>
      <c r="AJ170" s="821"/>
      <c r="AK170" s="821"/>
      <c r="AL170" s="1380">
        <f t="shared" si="57"/>
        <v>0</v>
      </c>
      <c r="AM170" s="672"/>
      <c r="AN170" s="672"/>
      <c r="AO170" s="672"/>
      <c r="AP170" s="827"/>
      <c r="AQ170" s="1381">
        <f t="shared" si="58"/>
        <v>0</v>
      </c>
      <c r="AR170" s="1301"/>
      <c r="AS170" s="1298"/>
      <c r="AT170" s="1301"/>
      <c r="AU170" s="1301"/>
      <c r="AV170" s="1301"/>
      <c r="AW170" s="1301"/>
      <c r="AX170" s="1301"/>
      <c r="AY170" s="1298"/>
      <c r="AZ170" s="1298"/>
      <c r="BA170" s="1298"/>
      <c r="BB170" s="1298"/>
      <c r="BC170" s="1302">
        <f t="shared" si="59"/>
        <v>0</v>
      </c>
      <c r="BD170" s="524">
        <f t="shared" si="60"/>
        <v>0</v>
      </c>
      <c r="BE170" s="235"/>
      <c r="BF170" s="524">
        <f t="shared" si="61"/>
        <v>0</v>
      </c>
      <c r="BG170" s="540"/>
      <c r="BH170" s="540"/>
      <c r="BI170" s="540"/>
      <c r="BJ170" s="540"/>
      <c r="BK170" s="540"/>
      <c r="BL170" s="540"/>
      <c r="BM170" s="540"/>
      <c r="BN170" s="540"/>
      <c r="BO170" s="540"/>
      <c r="BP170" s="540"/>
      <c r="BQ170" s="540"/>
      <c r="BR170" s="540"/>
      <c r="BS170" s="540"/>
      <c r="BT170" s="828">
        <f t="shared" si="62"/>
        <v>0</v>
      </c>
      <c r="BU170" s="235"/>
    </row>
    <row r="171" ht="14.25" customHeight="1">
      <c r="A171" s="235"/>
      <c r="B171" s="215">
        <v>46173</v>
      </c>
      <c r="C171" s="831"/>
      <c r="D171" s="831"/>
      <c r="E171" s="832"/>
      <c r="F171" s="832"/>
      <c r="G171" s="1377">
        <f t="shared" si="54"/>
        <v>0</v>
      </c>
      <c r="H171" s="1382"/>
      <c r="I171" s="838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1379">
        <f t="shared" si="55"/>
        <v>0</v>
      </c>
      <c r="V171" s="838"/>
      <c r="W171" s="838"/>
      <c r="X171" s="838"/>
      <c r="Y171" s="838"/>
      <c r="Z171" s="838"/>
      <c r="AA171" s="838"/>
      <c r="AB171" s="838"/>
      <c r="AC171" s="838"/>
      <c r="AD171" s="838"/>
      <c r="AE171" s="838"/>
      <c r="AF171" s="838"/>
      <c r="AG171" s="838"/>
      <c r="AH171" s="1379">
        <f t="shared" si="56"/>
        <v>0</v>
      </c>
      <c r="AI171" s="831"/>
      <c r="AJ171" s="831"/>
      <c r="AK171" s="831"/>
      <c r="AL171" s="1380">
        <f t="shared" si="57"/>
        <v>0</v>
      </c>
      <c r="AM171" s="838"/>
      <c r="AN171" s="838"/>
      <c r="AO171" s="838"/>
      <c r="AP171" s="840"/>
      <c r="AQ171" s="1383">
        <f t="shared" si="58"/>
        <v>0</v>
      </c>
      <c r="AR171" s="138"/>
      <c r="AS171" s="1305"/>
      <c r="AT171" s="1301"/>
      <c r="AU171" s="1119"/>
      <c r="AV171" s="1119"/>
      <c r="AW171" s="1119"/>
      <c r="AX171" s="1119"/>
      <c r="AY171" s="1305"/>
      <c r="AZ171" s="1305"/>
      <c r="BA171" s="1305"/>
      <c r="BB171" s="1305"/>
      <c r="BC171" s="1302">
        <f t="shared" si="59"/>
        <v>0</v>
      </c>
      <c r="BD171" s="1384">
        <f t="shared" si="60"/>
        <v>0</v>
      </c>
      <c r="BE171" s="235"/>
      <c r="BF171" s="1384">
        <f t="shared" si="61"/>
        <v>0</v>
      </c>
      <c r="BG171" s="841"/>
      <c r="BH171" s="841"/>
      <c r="BI171" s="841"/>
      <c r="BJ171" s="841"/>
      <c r="BK171" s="841"/>
      <c r="BL171" s="841"/>
      <c r="BM171" s="841"/>
      <c r="BN171" s="841"/>
      <c r="BO171" s="841"/>
      <c r="BP171" s="540"/>
      <c r="BQ171" s="841"/>
      <c r="BR171" s="841"/>
      <c r="BS171" s="841"/>
      <c r="BT171" s="842">
        <f t="shared" si="62"/>
        <v>0</v>
      </c>
      <c r="BU171" s="235"/>
    </row>
    <row r="172" ht="14.25" customHeight="1">
      <c r="A172" s="3"/>
      <c r="B172" s="2" t="s">
        <v>261</v>
      </c>
      <c r="C172" s="166">
        <f ref="C172:R172" t="shared" si="63">SUM(C141:C171)</f>
        <v>0</v>
      </c>
      <c r="D172" s="166">
        <f t="shared" si="63"/>
        <v>0</v>
      </c>
      <c r="E172" s="166">
        <f t="shared" si="63"/>
        <v>0</v>
      </c>
      <c r="F172" s="166">
        <f t="shared" si="63"/>
        <v>0</v>
      </c>
      <c r="G172" s="166">
        <f t="shared" si="63"/>
        <v>0</v>
      </c>
      <c r="H172" s="166">
        <f t="shared" si="63"/>
        <v>0</v>
      </c>
      <c r="I172" s="166">
        <f t="shared" si="63"/>
        <v>0</v>
      </c>
      <c r="J172" s="166">
        <f t="shared" si="63"/>
        <v>0</v>
      </c>
      <c r="K172" s="166">
        <f t="shared" si="63"/>
        <v>0</v>
      </c>
      <c r="L172" s="166">
        <f t="shared" si="63"/>
        <v>0</v>
      </c>
      <c r="M172" s="166">
        <f t="shared" si="63"/>
        <v>0</v>
      </c>
      <c r="N172" s="166">
        <f t="shared" si="63"/>
        <v>0</v>
      </c>
      <c r="O172" s="166">
        <f t="shared" si="63"/>
        <v>0</v>
      </c>
      <c r="P172" s="166">
        <f t="shared" si="63"/>
        <v>0</v>
      </c>
      <c r="Q172" s="166">
        <f t="shared" si="63"/>
        <v>0</v>
      </c>
      <c r="R172" s="166">
        <f t="shared" si="63"/>
        <v>0</v>
      </c>
      <c r="S172" s="166"/>
      <c r="T172" s="166">
        <f ref="T172:BD172" t="shared" si="64">SUM(T141:T171)</f>
        <v>0</v>
      </c>
      <c r="U172" s="166">
        <f t="shared" si="64"/>
        <v>0</v>
      </c>
      <c r="V172" s="166">
        <f t="shared" si="64"/>
        <v>0</v>
      </c>
      <c r="W172" s="166">
        <f t="shared" si="64"/>
        <v>0</v>
      </c>
      <c r="X172" s="166">
        <f t="shared" si="64"/>
        <v>0</v>
      </c>
      <c r="Y172" s="166">
        <f t="shared" si="64"/>
        <v>0</v>
      </c>
      <c r="Z172" s="166">
        <f t="shared" si="64"/>
        <v>0</v>
      </c>
      <c r="AA172" s="166">
        <f t="shared" si="64"/>
        <v>0</v>
      </c>
      <c r="AB172" s="166">
        <f t="shared" si="64"/>
        <v>0</v>
      </c>
      <c r="AC172" s="166">
        <f t="shared" si="64"/>
        <v>0</v>
      </c>
      <c r="AD172" s="166">
        <f t="shared" si="64"/>
        <v>0</v>
      </c>
      <c r="AE172" s="166">
        <f t="shared" si="64"/>
        <v>0</v>
      </c>
      <c r="AF172" s="166">
        <f t="shared" si="64"/>
        <v>0</v>
      </c>
      <c r="AG172" s="166">
        <f t="shared" si="64"/>
        <v>0</v>
      </c>
      <c r="AH172" s="166">
        <f t="shared" si="64"/>
        <v>0</v>
      </c>
      <c r="AI172" s="166">
        <f t="shared" si="64"/>
        <v>0</v>
      </c>
      <c r="AJ172" s="166">
        <f t="shared" si="64"/>
        <v>0</v>
      </c>
      <c r="AK172" s="166">
        <f t="shared" si="64"/>
        <v>0</v>
      </c>
      <c r="AL172" s="166">
        <f t="shared" si="64"/>
        <v>0</v>
      </c>
      <c r="AM172" s="166">
        <f t="shared" si="64"/>
        <v>0</v>
      </c>
      <c r="AN172" s="166">
        <f t="shared" si="64"/>
        <v>0</v>
      </c>
      <c r="AO172" s="166">
        <f t="shared" si="64"/>
        <v>0</v>
      </c>
      <c r="AP172" s="166">
        <f t="shared" si="64"/>
        <v>0</v>
      </c>
      <c r="AQ172" s="166">
        <f t="shared" si="64"/>
        <v>0</v>
      </c>
      <c r="AR172" s="1355">
        <f t="shared" si="64"/>
        <v>0</v>
      </c>
      <c r="AS172" s="166">
        <f t="shared" si="64"/>
        <v>0</v>
      </c>
      <c r="AT172" s="166">
        <f t="shared" si="64"/>
        <v>0</v>
      </c>
      <c r="AU172" s="166">
        <f t="shared" si="64"/>
        <v>0</v>
      </c>
      <c r="AV172" s="166">
        <f t="shared" si="64"/>
        <v>0</v>
      </c>
      <c r="AW172" s="166">
        <f t="shared" si="64"/>
        <v>0</v>
      </c>
      <c r="AX172" s="166">
        <f t="shared" si="64"/>
        <v>0</v>
      </c>
      <c r="AY172" s="166">
        <f t="shared" si="64"/>
        <v>0</v>
      </c>
      <c r="AZ172" s="166">
        <f t="shared" si="64"/>
        <v>0</v>
      </c>
      <c r="BA172" s="166">
        <f t="shared" si="64"/>
        <v>0</v>
      </c>
      <c r="BB172" s="166">
        <f t="shared" si="64"/>
        <v>0</v>
      </c>
      <c r="BC172" s="166">
        <f t="shared" si="64"/>
        <v>0</v>
      </c>
      <c r="BD172" s="166">
        <f t="shared" si="64"/>
        <v>0</v>
      </c>
      <c r="BE172" s="235"/>
      <c r="BF172" s="166">
        <f ref="BF172:BT172" t="shared" si="65">SUM(BF141:BF171)</f>
        <v>0</v>
      </c>
      <c r="BG172" s="166">
        <f t="shared" si="65"/>
        <v>0</v>
      </c>
      <c r="BH172" s="166">
        <f t="shared" si="65"/>
        <v>0</v>
      </c>
      <c r="BI172" s="166">
        <f t="shared" si="65"/>
        <v>0</v>
      </c>
      <c r="BJ172" s="166">
        <f t="shared" si="65"/>
        <v>0</v>
      </c>
      <c r="BK172" s="166">
        <f t="shared" si="65"/>
        <v>0</v>
      </c>
      <c r="BL172" s="166">
        <f t="shared" si="65"/>
        <v>0</v>
      </c>
      <c r="BM172" s="166">
        <f t="shared" si="65"/>
        <v>0</v>
      </c>
      <c r="BN172" s="166">
        <f t="shared" si="65"/>
        <v>0</v>
      </c>
      <c r="BO172" s="166">
        <f t="shared" si="65"/>
        <v>0</v>
      </c>
      <c r="BP172" s="166">
        <f t="shared" si="65"/>
        <v>0</v>
      </c>
      <c r="BQ172" s="166">
        <f t="shared" si="65"/>
        <v>0</v>
      </c>
      <c r="BR172" s="166">
        <f t="shared" si="65"/>
        <v>0</v>
      </c>
      <c r="BS172" s="166">
        <f t="shared" si="65"/>
        <v>0</v>
      </c>
      <c r="BT172" s="166">
        <f t="shared" si="65"/>
        <v>0</v>
      </c>
      <c r="BU172" s="235"/>
    </row>
    <row r="173" ht="14.25" customHeight="1">
      <c r="A173" s="1"/>
      <c r="B173" s="2"/>
      <c r="C173" s="3"/>
      <c r="D173" s="3"/>
      <c r="E173" s="3"/>
      <c r="F173" s="3"/>
      <c r="G173" s="133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4"/>
      <c r="AM173" s="3"/>
      <c r="AN173" s="3"/>
      <c r="AO173" s="3"/>
      <c r="AP173" s="3"/>
      <c r="AQ173" s="4"/>
      <c r="AR173" s="132"/>
      <c r="AS173" s="132"/>
      <c r="AT173" s="132"/>
      <c r="AU173" s="3"/>
      <c r="AV173" s="3"/>
      <c r="AW173" s="3"/>
      <c r="AX173" s="132"/>
      <c r="AY173" s="132"/>
      <c r="AZ173" s="132"/>
      <c r="BA173" s="132"/>
      <c r="BB173" s="132"/>
      <c r="BC173" s="4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235"/>
    </row>
    <row r="174" ht="14.25" customHeight="1">
      <c r="A174" s="1"/>
      <c r="B174" s="2"/>
      <c r="C174" s="3"/>
      <c r="D174" s="3"/>
      <c r="E174" s="3"/>
      <c r="F174" s="3"/>
      <c r="G174" s="133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176"/>
      <c r="AI174" s="3"/>
      <c r="AJ174" s="3"/>
      <c r="AK174" s="3"/>
      <c r="AL174" s="4"/>
      <c r="AM174" s="3"/>
      <c r="AN174" s="3"/>
      <c r="AO174" s="3"/>
      <c r="AP174" s="3"/>
      <c r="AQ174" s="177"/>
      <c r="AR174" s="4"/>
      <c r="AS174" s="177"/>
      <c r="AT174" s="177"/>
      <c r="AU174" s="177"/>
      <c r="AV174" s="177"/>
      <c r="AW174" s="177"/>
      <c r="AX174" s="177"/>
      <c r="AY174" s="177"/>
      <c r="AZ174" s="177"/>
      <c r="BA174" s="177"/>
      <c r="BB174" s="132"/>
      <c r="BC174" s="177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</row>
    <row r="175" ht="14.25" customHeight="1">
      <c r="A175" s="3"/>
      <c r="B175" s="215">
        <v>46174</v>
      </c>
      <c r="C175" s="104"/>
      <c r="D175" s="104"/>
      <c r="E175" s="97"/>
      <c r="F175" s="97"/>
      <c r="G175" s="265">
        <f ref="G175:G204" t="shared" si="66">+C175+D175+E175+F175</f>
        <v>0</v>
      </c>
      <c r="H175" s="187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89">
        <f ref="U175:U204" t="shared" si="67">SUM(H175:T175)</f>
        <v>0</v>
      </c>
      <c r="V175" s="186"/>
      <c r="W175" s="186"/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03">
        <f ref="AH175:AH204" t="shared" si="68">SUM(V175:AG175)</f>
        <v>0</v>
      </c>
      <c r="AI175" s="104"/>
      <c r="AJ175" s="104"/>
      <c r="AK175" s="104"/>
      <c r="AL175" s="191">
        <f ref="AL175:AL204" t="shared" si="69">SUM(AI175:AK175)</f>
        <v>0</v>
      </c>
      <c r="AM175" s="186"/>
      <c r="AN175" s="186"/>
      <c r="AO175" s="186"/>
      <c r="AP175" s="193"/>
      <c r="AQ175" s="224">
        <f ref="AQ175:AQ204" t="shared" si="70">+G175-U175-AH175-AL175-AM175-AN175-AO175-AP175</f>
        <v>0</v>
      </c>
      <c r="AR175" s="109"/>
      <c r="AS175" s="269"/>
      <c r="AT175" s="109"/>
      <c r="AU175" s="109"/>
      <c r="AV175" s="126"/>
      <c r="AW175" s="126"/>
      <c r="AX175" s="109"/>
      <c r="AY175" s="269"/>
      <c r="AZ175" s="269"/>
      <c r="BA175" s="269"/>
      <c r="BB175" s="269"/>
      <c r="BC175" s="222">
        <f ref="BC175:BC204" t="shared" si="71">SUM(AR175:BB175)-BA175</f>
        <v>0</v>
      </c>
      <c r="BD175" s="114">
        <f ref="BD175:BD204" t="shared" si="72">+AQ175-BC175</f>
        <v>0</v>
      </c>
      <c r="BE175" s="3"/>
      <c r="BF175" s="114">
        <f ref="BF175:BF204" t="shared" si="73">SUM(BG175:BS175)</f>
        <v>0</v>
      </c>
      <c r="BG175" s="115"/>
      <c r="BH175" s="115"/>
      <c r="BI175" s="115"/>
      <c r="BJ175" s="115"/>
      <c r="BK175" s="115"/>
      <c r="BL175" s="115"/>
      <c r="BM175" s="115"/>
      <c r="BN175" s="115"/>
      <c r="BO175" s="115"/>
      <c r="BP175" s="115"/>
      <c r="BQ175" s="115"/>
      <c r="BR175" s="196"/>
      <c r="BS175" s="115"/>
      <c r="BT175" s="116">
        <f ref="BT175:BT204" t="shared" si="74">+BD175-BF175</f>
        <v>0</v>
      </c>
      <c r="BU175" s="3"/>
    </row>
    <row r="176" ht="14.25" customHeight="1">
      <c r="A176" s="3"/>
      <c r="B176" s="215">
        <v>46175</v>
      </c>
      <c r="C176" s="123"/>
      <c r="D176" s="123"/>
      <c r="E176" s="120"/>
      <c r="F176" s="120"/>
      <c r="G176" s="147">
        <f t="shared" si="66"/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03">
        <f t="shared" si="67"/>
        <v>0</v>
      </c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03">
        <f t="shared" si="68"/>
        <v>0</v>
      </c>
      <c r="AI176" s="123"/>
      <c r="AJ176" s="123"/>
      <c r="AK176" s="123"/>
      <c r="AL176" s="105">
        <f t="shared" si="69"/>
        <v>0</v>
      </c>
      <c r="AM176" s="143"/>
      <c r="AN176" s="143"/>
      <c r="AO176" s="143"/>
      <c r="AP176" s="146"/>
      <c r="AQ176" s="224">
        <f t="shared" si="70"/>
        <v>0</v>
      </c>
      <c r="AR176" s="126"/>
      <c r="AS176" s="274"/>
      <c r="AT176" s="126"/>
      <c r="AU176" s="126"/>
      <c r="AV176" s="126"/>
      <c r="AW176" s="126"/>
      <c r="AX176" s="126"/>
      <c r="AY176" s="274"/>
      <c r="AZ176" s="274"/>
      <c r="BA176" s="274"/>
      <c r="BB176" s="274"/>
      <c r="BC176" s="222">
        <f t="shared" si="71"/>
        <v>0</v>
      </c>
      <c r="BD176" s="113">
        <f t="shared" si="72"/>
        <v>0</v>
      </c>
      <c r="BE176" s="3"/>
      <c r="BF176" s="113">
        <f t="shared" si="73"/>
        <v>0</v>
      </c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41"/>
      <c r="BS176" s="129"/>
      <c r="BT176" s="130">
        <f t="shared" si="74"/>
        <v>0</v>
      </c>
      <c r="BU176" s="3"/>
    </row>
    <row r="177" ht="14.25" customHeight="1">
      <c r="A177" s="3"/>
      <c r="B177" s="215">
        <v>46176</v>
      </c>
      <c r="C177" s="123"/>
      <c r="D177" s="123"/>
      <c r="E177" s="120"/>
      <c r="F177" s="120"/>
      <c r="G177" s="147">
        <f t="shared" si="66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03">
        <f t="shared" si="67"/>
        <v>0</v>
      </c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43"/>
      <c r="AH177" s="103">
        <f t="shared" si="68"/>
        <v>0</v>
      </c>
      <c r="AI177" s="123"/>
      <c r="AJ177" s="123"/>
      <c r="AK177" s="123"/>
      <c r="AL177" s="105">
        <f t="shared" si="69"/>
        <v>0</v>
      </c>
      <c r="AM177" s="143"/>
      <c r="AN177" s="143"/>
      <c r="AO177" s="143"/>
      <c r="AP177" s="146"/>
      <c r="AQ177" s="224">
        <f t="shared" si="70"/>
        <v>0</v>
      </c>
      <c r="AR177" s="126"/>
      <c r="AS177" s="274"/>
      <c r="AT177" s="274"/>
      <c r="AU177" s="126"/>
      <c r="AV177" s="126"/>
      <c r="AW177" s="126"/>
      <c r="AX177" s="126"/>
      <c r="AY177" s="274"/>
      <c r="AZ177" s="274"/>
      <c r="BA177" s="274"/>
      <c r="BB177" s="274"/>
      <c r="BC177" s="222">
        <f t="shared" si="71"/>
        <v>0</v>
      </c>
      <c r="BD177" s="113">
        <f t="shared" si="72"/>
        <v>0</v>
      </c>
      <c r="BE177" s="3"/>
      <c r="BF177" s="113">
        <f t="shared" si="73"/>
        <v>0</v>
      </c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41"/>
      <c r="BS177" s="129"/>
      <c r="BT177" s="130">
        <f t="shared" si="74"/>
        <v>0</v>
      </c>
      <c r="BU177" s="3"/>
    </row>
    <row r="178" ht="14.25" customHeight="1">
      <c r="A178" s="132"/>
      <c r="B178" s="215">
        <v>46177</v>
      </c>
      <c r="C178" s="136"/>
      <c r="D178" s="136"/>
      <c r="E178" s="135"/>
      <c r="F178" s="135"/>
      <c r="G178" s="147">
        <f t="shared" si="66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03">
        <f t="shared" si="67"/>
        <v>0</v>
      </c>
      <c r="V178" s="99"/>
      <c r="W178" s="99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03">
        <f t="shared" si="68"/>
        <v>0</v>
      </c>
      <c r="AI178" s="136"/>
      <c r="AJ178" s="136"/>
      <c r="AK178" s="136"/>
      <c r="AL178" s="105">
        <f t="shared" si="69"/>
        <v>0</v>
      </c>
      <c r="AM178" s="143"/>
      <c r="AN178" s="143"/>
      <c r="AO178" s="143"/>
      <c r="AP178" s="146"/>
      <c r="AQ178" s="224">
        <f t="shared" si="70"/>
        <v>0</v>
      </c>
      <c r="AR178" s="126"/>
      <c r="AS178" s="274"/>
      <c r="AT178" s="274"/>
      <c r="AU178" s="126"/>
      <c r="AV178" s="126"/>
      <c r="AW178" s="126"/>
      <c r="AX178" s="126"/>
      <c r="AY178" s="274"/>
      <c r="AZ178" s="274"/>
      <c r="BA178" s="274"/>
      <c r="BB178" s="274"/>
      <c r="BC178" s="222">
        <f t="shared" si="71"/>
        <v>0</v>
      </c>
      <c r="BD178" s="140">
        <f t="shared" si="72"/>
        <v>0</v>
      </c>
      <c r="BE178" s="132"/>
      <c r="BF178" s="140">
        <f t="shared" si="73"/>
        <v>0</v>
      </c>
      <c r="BG178" s="141"/>
      <c r="BH178" s="141"/>
      <c r="BI178" s="141"/>
      <c r="BJ178" s="141"/>
      <c r="BK178" s="141"/>
      <c r="BL178" s="141"/>
      <c r="BM178" s="141"/>
      <c r="BN178" s="141"/>
      <c r="BO178" s="141"/>
      <c r="BP178" s="141"/>
      <c r="BQ178" s="141"/>
      <c r="BR178" s="141"/>
      <c r="BS178" s="141"/>
      <c r="BT178" s="130">
        <f t="shared" si="74"/>
        <v>0</v>
      </c>
      <c r="BU178" s="132"/>
    </row>
    <row r="179" ht="14.25" customHeight="1">
      <c r="A179" s="132"/>
      <c r="B179" s="215">
        <v>46178</v>
      </c>
      <c r="C179" s="136"/>
      <c r="D179" s="136"/>
      <c r="E179" s="135"/>
      <c r="F179" s="135"/>
      <c r="G179" s="147">
        <f t="shared" si="66"/>
        <v>0</v>
      </c>
      <c r="H179" s="1385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03">
        <f t="shared" si="67"/>
        <v>0</v>
      </c>
      <c r="V179" s="99"/>
      <c r="W179" s="99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43"/>
      <c r="AH179" s="103">
        <f t="shared" si="68"/>
        <v>0</v>
      </c>
      <c r="AI179" s="136"/>
      <c r="AJ179" s="136"/>
      <c r="AK179" s="136"/>
      <c r="AL179" s="105">
        <f t="shared" si="69"/>
        <v>0</v>
      </c>
      <c r="AM179" s="143"/>
      <c r="AN179" s="143"/>
      <c r="AO179" s="143"/>
      <c r="AP179" s="146"/>
      <c r="AQ179" s="224">
        <f t="shared" si="70"/>
        <v>0</v>
      </c>
      <c r="AR179" s="126"/>
      <c r="AS179" s="274"/>
      <c r="AT179" s="126"/>
      <c r="AU179" s="126"/>
      <c r="AV179" s="126"/>
      <c r="AW179" s="126"/>
      <c r="AX179" s="126"/>
      <c r="AY179" s="274"/>
      <c r="AZ179" s="274"/>
      <c r="BA179" s="274"/>
      <c r="BB179" s="274"/>
      <c r="BC179" s="222">
        <f t="shared" si="71"/>
        <v>0</v>
      </c>
      <c r="BD179" s="140">
        <f t="shared" si="72"/>
        <v>0</v>
      </c>
      <c r="BE179" s="132"/>
      <c r="BF179" s="140">
        <f t="shared" si="73"/>
        <v>0</v>
      </c>
      <c r="BG179" s="141"/>
      <c r="BH179" s="141"/>
      <c r="BI179" s="141"/>
      <c r="BJ179" s="141"/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30">
        <f t="shared" si="74"/>
        <v>0</v>
      </c>
      <c r="BU179" s="132"/>
    </row>
    <row r="180" ht="14.25" customHeight="1">
      <c r="A180" s="132"/>
      <c r="B180" s="215">
        <v>46179</v>
      </c>
      <c r="C180" s="136"/>
      <c r="D180" s="136"/>
      <c r="E180" s="135"/>
      <c r="F180" s="135"/>
      <c r="G180" s="147">
        <f t="shared" si="66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03">
        <f t="shared" si="67"/>
        <v>0</v>
      </c>
      <c r="V180" s="99"/>
      <c r="W180" s="99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43"/>
      <c r="AH180" s="103">
        <f t="shared" si="68"/>
        <v>0</v>
      </c>
      <c r="AI180" s="136"/>
      <c r="AJ180" s="136"/>
      <c r="AK180" s="136"/>
      <c r="AL180" s="105">
        <f t="shared" si="69"/>
        <v>0</v>
      </c>
      <c r="AM180" s="143"/>
      <c r="AN180" s="143"/>
      <c r="AO180" s="143"/>
      <c r="AP180" s="146"/>
      <c r="AQ180" s="224">
        <f t="shared" si="70"/>
        <v>0</v>
      </c>
      <c r="AR180" s="126"/>
      <c r="AS180" s="274"/>
      <c r="AT180" s="126"/>
      <c r="AU180" s="126"/>
      <c r="AV180" s="126"/>
      <c r="AW180" s="126"/>
      <c r="AX180" s="126"/>
      <c r="AY180" s="274"/>
      <c r="AZ180" s="274"/>
      <c r="BA180" s="274"/>
      <c r="BB180" s="274"/>
      <c r="BC180" s="222">
        <f t="shared" si="71"/>
        <v>0</v>
      </c>
      <c r="BD180" s="140">
        <f t="shared" si="72"/>
        <v>0</v>
      </c>
      <c r="BE180" s="132"/>
      <c r="BF180" s="140">
        <f t="shared" si="73"/>
        <v>0</v>
      </c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74"/>
        <v>0</v>
      </c>
      <c r="BU180" s="132"/>
    </row>
    <row r="181" ht="14.25" customHeight="1">
      <c r="A181" s="132"/>
      <c r="B181" s="215">
        <v>46180</v>
      </c>
      <c r="C181" s="136"/>
      <c r="D181" s="136"/>
      <c r="E181" s="135"/>
      <c r="F181" s="135"/>
      <c r="G181" s="147">
        <f t="shared" si="66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03">
        <f t="shared" si="67"/>
        <v>0</v>
      </c>
      <c r="V181" s="99"/>
      <c r="W181" s="99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43"/>
      <c r="AH181" s="103">
        <f t="shared" si="68"/>
        <v>0</v>
      </c>
      <c r="AI181" s="136"/>
      <c r="AJ181" s="136"/>
      <c r="AK181" s="136"/>
      <c r="AL181" s="105">
        <f t="shared" si="69"/>
        <v>0</v>
      </c>
      <c r="AM181" s="143"/>
      <c r="AN181" s="143"/>
      <c r="AO181" s="143"/>
      <c r="AP181" s="146"/>
      <c r="AQ181" s="224">
        <f t="shared" si="70"/>
        <v>0</v>
      </c>
      <c r="AR181" s="126"/>
      <c r="AS181" s="274"/>
      <c r="AT181" s="126"/>
      <c r="AU181" s="126"/>
      <c r="AV181" s="126"/>
      <c r="AW181" s="126"/>
      <c r="AX181" s="126"/>
      <c r="AY181" s="274"/>
      <c r="AZ181" s="274"/>
      <c r="BA181" s="274"/>
      <c r="BB181" s="274"/>
      <c r="BC181" s="222">
        <f t="shared" si="71"/>
        <v>0</v>
      </c>
      <c r="BD181" s="140">
        <f t="shared" si="72"/>
        <v>0</v>
      </c>
      <c r="BE181" s="132"/>
      <c r="BF181" s="140">
        <f t="shared" si="73"/>
        <v>0</v>
      </c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74"/>
        <v>0</v>
      </c>
      <c r="BU181" s="132"/>
    </row>
    <row r="182" ht="14.25" customHeight="1">
      <c r="A182" s="132"/>
      <c r="B182" s="215">
        <v>46181</v>
      </c>
      <c r="C182" s="136"/>
      <c r="D182" s="136"/>
      <c r="E182" s="135"/>
      <c r="F182" s="135"/>
      <c r="G182" s="147">
        <f t="shared" si="66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03">
        <f t="shared" si="67"/>
        <v>0</v>
      </c>
      <c r="V182" s="99"/>
      <c r="W182" s="99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03">
        <f t="shared" si="68"/>
        <v>0</v>
      </c>
      <c r="AI182" s="136"/>
      <c r="AJ182" s="136"/>
      <c r="AK182" s="136"/>
      <c r="AL182" s="105">
        <f t="shared" si="69"/>
        <v>0</v>
      </c>
      <c r="AM182" s="143"/>
      <c r="AN182" s="143"/>
      <c r="AO182" s="143"/>
      <c r="AP182" s="146"/>
      <c r="AQ182" s="224">
        <f t="shared" si="70"/>
        <v>0</v>
      </c>
      <c r="AR182" s="126"/>
      <c r="AS182" s="274"/>
      <c r="AT182" s="126"/>
      <c r="AU182" s="126"/>
      <c r="AV182" s="126"/>
      <c r="AW182" s="126"/>
      <c r="AX182" s="126"/>
      <c r="AY182" s="274"/>
      <c r="AZ182" s="274"/>
      <c r="BA182" s="274"/>
      <c r="BB182" s="274"/>
      <c r="BC182" s="222">
        <f t="shared" si="71"/>
        <v>0</v>
      </c>
      <c r="BD182" s="140">
        <f t="shared" si="72"/>
        <v>0</v>
      </c>
      <c r="BE182" s="132"/>
      <c r="BF182" s="140">
        <f t="shared" si="73"/>
        <v>0</v>
      </c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74"/>
        <v>0</v>
      </c>
      <c r="BU182" s="132"/>
    </row>
    <row r="183" ht="14.25" customHeight="1">
      <c r="A183" s="132"/>
      <c r="B183" s="215">
        <v>46182</v>
      </c>
      <c r="C183" s="136"/>
      <c r="D183" s="136"/>
      <c r="E183" s="135"/>
      <c r="F183" s="135"/>
      <c r="G183" s="147">
        <f t="shared" si="66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03">
        <f t="shared" si="67"/>
        <v>0</v>
      </c>
      <c r="V183" s="99"/>
      <c r="W183" s="99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03">
        <f t="shared" si="68"/>
        <v>0</v>
      </c>
      <c r="AI183" s="136"/>
      <c r="AJ183" s="136"/>
      <c r="AK183" s="136"/>
      <c r="AL183" s="105">
        <f t="shared" si="69"/>
        <v>0</v>
      </c>
      <c r="AM183" s="143"/>
      <c r="AN183" s="143"/>
      <c r="AO183" s="143"/>
      <c r="AP183" s="146"/>
      <c r="AQ183" s="224">
        <f t="shared" si="70"/>
        <v>0</v>
      </c>
      <c r="AR183" s="126"/>
      <c r="AS183" s="274"/>
      <c r="AT183" s="126"/>
      <c r="AU183" s="126"/>
      <c r="AV183" s="126"/>
      <c r="AW183" s="126"/>
      <c r="AX183" s="126"/>
      <c r="AY183" s="274"/>
      <c r="AZ183" s="274"/>
      <c r="BA183" s="274"/>
      <c r="BB183" s="274"/>
      <c r="BC183" s="222">
        <f t="shared" si="71"/>
        <v>0</v>
      </c>
      <c r="BD183" s="140">
        <f t="shared" si="72"/>
        <v>0</v>
      </c>
      <c r="BE183" s="132"/>
      <c r="BF183" s="140">
        <f t="shared" si="73"/>
        <v>0</v>
      </c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30">
        <f t="shared" si="74"/>
        <v>0</v>
      </c>
      <c r="BU183" s="132"/>
    </row>
    <row r="184" ht="14.25" customHeight="1">
      <c r="A184" s="132"/>
      <c r="B184" s="215">
        <v>46183</v>
      </c>
      <c r="C184" s="136"/>
      <c r="D184" s="136"/>
      <c r="E184" s="135"/>
      <c r="F184" s="135"/>
      <c r="G184" s="147">
        <f t="shared" si="66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03">
        <f t="shared" si="67"/>
        <v>0</v>
      </c>
      <c r="V184" s="99"/>
      <c r="W184" s="99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03">
        <f t="shared" si="68"/>
        <v>0</v>
      </c>
      <c r="AI184" s="136"/>
      <c r="AJ184" s="136"/>
      <c r="AK184" s="136"/>
      <c r="AL184" s="105">
        <f t="shared" si="69"/>
        <v>0</v>
      </c>
      <c r="AM184" s="143"/>
      <c r="AN184" s="143"/>
      <c r="AO184" s="143"/>
      <c r="AP184" s="146"/>
      <c r="AQ184" s="224">
        <f t="shared" si="70"/>
        <v>0</v>
      </c>
      <c r="AR184" s="126"/>
      <c r="AS184" s="274"/>
      <c r="AT184" s="126"/>
      <c r="AU184" s="126"/>
      <c r="AV184" s="126"/>
      <c r="AW184" s="126"/>
      <c r="AX184" s="126"/>
      <c r="AY184" s="274"/>
      <c r="AZ184" s="274"/>
      <c r="BA184" s="274"/>
      <c r="BB184" s="274"/>
      <c r="BC184" s="222">
        <f t="shared" si="71"/>
        <v>0</v>
      </c>
      <c r="BD184" s="140">
        <f t="shared" si="72"/>
        <v>0</v>
      </c>
      <c r="BE184" s="132"/>
      <c r="BF184" s="140">
        <f t="shared" si="73"/>
        <v>0</v>
      </c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74"/>
        <v>0</v>
      </c>
      <c r="BU184" s="132"/>
    </row>
    <row r="185" ht="14.25" customHeight="1">
      <c r="A185" s="132"/>
      <c r="B185" s="215">
        <v>46184</v>
      </c>
      <c r="C185" s="136"/>
      <c r="D185" s="136"/>
      <c r="E185" s="135"/>
      <c r="F185" s="135"/>
      <c r="G185" s="147">
        <f t="shared" si="66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03">
        <f t="shared" si="67"/>
        <v>0</v>
      </c>
      <c r="V185" s="99"/>
      <c r="W185" s="99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03">
        <f t="shared" si="68"/>
        <v>0</v>
      </c>
      <c r="AI185" s="136"/>
      <c r="AJ185" s="136"/>
      <c r="AK185" s="136"/>
      <c r="AL185" s="105">
        <f t="shared" si="69"/>
        <v>0</v>
      </c>
      <c r="AM185" s="143"/>
      <c r="AN185" s="143"/>
      <c r="AO185" s="143"/>
      <c r="AP185" s="146"/>
      <c r="AQ185" s="224">
        <f t="shared" si="70"/>
        <v>0</v>
      </c>
      <c r="AR185" s="126"/>
      <c r="AS185" s="274"/>
      <c r="AT185" s="126"/>
      <c r="AU185" s="126"/>
      <c r="AV185" s="126"/>
      <c r="AW185" s="126"/>
      <c r="AX185" s="126"/>
      <c r="AY185" s="274"/>
      <c r="AZ185" s="274"/>
      <c r="BA185" s="274"/>
      <c r="BB185" s="274"/>
      <c r="BC185" s="222">
        <f t="shared" si="71"/>
        <v>0</v>
      </c>
      <c r="BD185" s="140">
        <f t="shared" si="72"/>
        <v>0</v>
      </c>
      <c r="BE185" s="132"/>
      <c r="BF185" s="140">
        <f t="shared" si="73"/>
        <v>0</v>
      </c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74"/>
        <v>0</v>
      </c>
      <c r="BU185" s="132"/>
    </row>
    <row r="186" ht="16.5" customHeight="1">
      <c r="A186" s="132"/>
      <c r="B186" s="215">
        <v>46185</v>
      </c>
      <c r="C186" s="136"/>
      <c r="D186" s="136"/>
      <c r="E186" s="135"/>
      <c r="F186" s="135"/>
      <c r="G186" s="147">
        <f t="shared" si="66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03">
        <f t="shared" si="67"/>
        <v>0</v>
      </c>
      <c r="V186" s="99"/>
      <c r="W186" s="99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03">
        <f t="shared" si="68"/>
        <v>0</v>
      </c>
      <c r="AI186" s="136"/>
      <c r="AJ186" s="136"/>
      <c r="AK186" s="136"/>
      <c r="AL186" s="105">
        <f t="shared" si="69"/>
        <v>0</v>
      </c>
      <c r="AM186" s="143"/>
      <c r="AN186" s="143"/>
      <c r="AO186" s="143"/>
      <c r="AP186" s="146"/>
      <c r="AQ186" s="224">
        <f t="shared" si="70"/>
        <v>0</v>
      </c>
      <c r="AR186" s="126"/>
      <c r="AS186" s="274"/>
      <c r="AT186" s="126"/>
      <c r="AU186" s="126"/>
      <c r="AV186" s="126"/>
      <c r="AW186" s="126"/>
      <c r="AX186" s="126"/>
      <c r="AY186" s="274"/>
      <c r="AZ186" s="274"/>
      <c r="BA186" s="274"/>
      <c r="BB186" s="274"/>
      <c r="BC186" s="222">
        <f t="shared" si="71"/>
        <v>0</v>
      </c>
      <c r="BD186" s="140">
        <f t="shared" si="72"/>
        <v>0</v>
      </c>
      <c r="BE186" s="132"/>
      <c r="BF186" s="140">
        <f t="shared" si="73"/>
        <v>0</v>
      </c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74"/>
        <v>0</v>
      </c>
      <c r="BU186" s="132"/>
    </row>
    <row r="187" ht="14.25" customHeight="1">
      <c r="A187" s="132"/>
      <c r="B187" s="215">
        <v>46186</v>
      </c>
      <c r="C187" s="136"/>
      <c r="D187" s="136"/>
      <c r="E187" s="135"/>
      <c r="F187" s="135"/>
      <c r="G187" s="147">
        <f t="shared" si="66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03">
        <f t="shared" si="67"/>
        <v>0</v>
      </c>
      <c r="V187" s="99"/>
      <c r="W187" s="99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03">
        <f t="shared" si="68"/>
        <v>0</v>
      </c>
      <c r="AI187" s="136"/>
      <c r="AJ187" s="136"/>
      <c r="AK187" s="136"/>
      <c r="AL187" s="105">
        <f t="shared" si="69"/>
        <v>0</v>
      </c>
      <c r="AM187" s="143"/>
      <c r="AN187" s="143"/>
      <c r="AO187" s="143"/>
      <c r="AP187" s="146"/>
      <c r="AQ187" s="224">
        <f t="shared" si="70"/>
        <v>0</v>
      </c>
      <c r="AR187" s="126"/>
      <c r="AS187" s="274"/>
      <c r="AT187" s="126"/>
      <c r="AU187" s="126"/>
      <c r="AV187" s="126"/>
      <c r="AW187" s="126"/>
      <c r="AX187" s="126"/>
      <c r="AY187" s="274"/>
      <c r="AZ187" s="274"/>
      <c r="BA187" s="274"/>
      <c r="BB187" s="274"/>
      <c r="BC187" s="222">
        <f t="shared" si="71"/>
        <v>0</v>
      </c>
      <c r="BD187" s="140">
        <f t="shared" si="72"/>
        <v>0</v>
      </c>
      <c r="BE187" s="132"/>
      <c r="BF187" s="140">
        <f t="shared" si="73"/>
        <v>0</v>
      </c>
      <c r="BG187" s="141"/>
      <c r="BH187" s="141"/>
      <c r="BI187" s="141"/>
      <c r="BJ187" s="141"/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30">
        <f t="shared" si="74"/>
        <v>0</v>
      </c>
      <c r="BU187" s="132"/>
    </row>
    <row r="188" ht="14.25" customHeight="1">
      <c r="A188" s="132"/>
      <c r="B188" s="215">
        <v>46187</v>
      </c>
      <c r="C188" s="136"/>
      <c r="D188" s="136"/>
      <c r="E188" s="135"/>
      <c r="F188" s="135"/>
      <c r="G188" s="147">
        <f t="shared" si="66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03">
        <f t="shared" si="67"/>
        <v>0</v>
      </c>
      <c r="V188" s="99"/>
      <c r="W188" s="99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43"/>
      <c r="AH188" s="103">
        <f t="shared" si="68"/>
        <v>0</v>
      </c>
      <c r="AI188" s="136"/>
      <c r="AJ188" s="136"/>
      <c r="AK188" s="136"/>
      <c r="AL188" s="105">
        <f t="shared" si="69"/>
        <v>0</v>
      </c>
      <c r="AM188" s="143"/>
      <c r="AN188" s="143"/>
      <c r="AO188" s="143"/>
      <c r="AP188" s="146"/>
      <c r="AQ188" s="224">
        <f t="shared" si="70"/>
        <v>0</v>
      </c>
      <c r="AR188" s="126"/>
      <c r="AS188" s="274"/>
      <c r="AT188" s="126"/>
      <c r="AU188" s="126"/>
      <c r="AV188" s="126"/>
      <c r="AW188" s="126"/>
      <c r="AX188" s="126"/>
      <c r="AY188" s="274"/>
      <c r="AZ188" s="274"/>
      <c r="BA188" s="274"/>
      <c r="BB188" s="274"/>
      <c r="BC188" s="222">
        <f t="shared" si="71"/>
        <v>0</v>
      </c>
      <c r="BD188" s="140">
        <f t="shared" si="72"/>
        <v>0</v>
      </c>
      <c r="BE188" s="132"/>
      <c r="BF188" s="140">
        <f t="shared" si="73"/>
        <v>0</v>
      </c>
      <c r="BG188" s="141"/>
      <c r="BH188" s="141"/>
      <c r="BI188" s="141"/>
      <c r="BJ188" s="141"/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30">
        <f t="shared" si="74"/>
        <v>0</v>
      </c>
      <c r="BU188" s="132"/>
    </row>
    <row r="189" ht="14.25" customHeight="1">
      <c r="A189" s="132"/>
      <c r="B189" s="215">
        <v>46188</v>
      </c>
      <c r="C189" s="136"/>
      <c r="D189" s="136"/>
      <c r="E189" s="135"/>
      <c r="F189" s="135"/>
      <c r="G189" s="147">
        <f t="shared" si="66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03">
        <f t="shared" si="67"/>
        <v>0</v>
      </c>
      <c r="V189" s="99"/>
      <c r="W189" s="99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43"/>
      <c r="AH189" s="103">
        <f t="shared" si="68"/>
        <v>0</v>
      </c>
      <c r="AI189" s="136"/>
      <c r="AJ189" s="136"/>
      <c r="AK189" s="136"/>
      <c r="AL189" s="105">
        <f t="shared" si="69"/>
        <v>0</v>
      </c>
      <c r="AM189" s="143"/>
      <c r="AN189" s="143"/>
      <c r="AO189" s="143"/>
      <c r="AP189" s="146"/>
      <c r="AQ189" s="224">
        <f t="shared" si="70"/>
        <v>0</v>
      </c>
      <c r="AR189" s="126"/>
      <c r="AS189" s="274"/>
      <c r="AT189" s="126"/>
      <c r="AU189" s="126"/>
      <c r="AV189" s="126"/>
      <c r="AW189" s="126"/>
      <c r="AX189" s="126"/>
      <c r="AY189" s="274"/>
      <c r="AZ189" s="274"/>
      <c r="BA189" s="274"/>
      <c r="BB189" s="274"/>
      <c r="BC189" s="222">
        <f t="shared" si="71"/>
        <v>0</v>
      </c>
      <c r="BD189" s="140">
        <f t="shared" si="72"/>
        <v>0</v>
      </c>
      <c r="BE189" s="132"/>
      <c r="BF189" s="140">
        <f t="shared" si="73"/>
        <v>0</v>
      </c>
      <c r="BG189" s="141"/>
      <c r="BH189" s="141"/>
      <c r="BI189" s="141"/>
      <c r="BJ189" s="141"/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30">
        <f t="shared" si="74"/>
        <v>0</v>
      </c>
      <c r="BU189" s="132"/>
    </row>
    <row r="190" ht="14.25" customHeight="1">
      <c r="A190" s="132"/>
      <c r="B190" s="215">
        <v>46189</v>
      </c>
      <c r="C190" s="136"/>
      <c r="D190" s="136"/>
      <c r="E190" s="135"/>
      <c r="F190" s="135"/>
      <c r="G190" s="147">
        <f t="shared" si="66"/>
        <v>0</v>
      </c>
      <c r="H190" s="99"/>
      <c r="I190" s="143"/>
      <c r="J190" s="99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03">
        <f t="shared" si="67"/>
        <v>0</v>
      </c>
      <c r="V190" s="99"/>
      <c r="W190" s="99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03">
        <f t="shared" si="68"/>
        <v>0</v>
      </c>
      <c r="AI190" s="136"/>
      <c r="AJ190" s="136"/>
      <c r="AK190" s="136"/>
      <c r="AL190" s="105">
        <f t="shared" si="69"/>
        <v>0</v>
      </c>
      <c r="AM190" s="143"/>
      <c r="AN190" s="143"/>
      <c r="AO190" s="143"/>
      <c r="AP190" s="146"/>
      <c r="AQ190" s="224">
        <f t="shared" si="70"/>
        <v>0</v>
      </c>
      <c r="AR190" s="126"/>
      <c r="AS190" s="274"/>
      <c r="AT190" s="126"/>
      <c r="AU190" s="126"/>
      <c r="AV190" s="126"/>
      <c r="AW190" s="126"/>
      <c r="AX190" s="126"/>
      <c r="AY190" s="274"/>
      <c r="AZ190" s="274"/>
      <c r="BA190" s="274"/>
      <c r="BB190" s="274"/>
      <c r="BC190" s="222">
        <f t="shared" si="71"/>
        <v>0</v>
      </c>
      <c r="BD190" s="140">
        <f t="shared" si="72"/>
        <v>0</v>
      </c>
      <c r="BE190" s="132"/>
      <c r="BF190" s="140">
        <f t="shared" si="73"/>
        <v>0</v>
      </c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74"/>
        <v>0</v>
      </c>
      <c r="BU190" s="132"/>
    </row>
    <row r="191" ht="14.25" customHeight="1">
      <c r="A191" s="132"/>
      <c r="B191" s="215">
        <v>46190</v>
      </c>
      <c r="C191" s="136"/>
      <c r="D191" s="136"/>
      <c r="E191" s="135"/>
      <c r="F191" s="135"/>
      <c r="G191" s="147">
        <f t="shared" si="66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03">
        <f t="shared" si="67"/>
        <v>0</v>
      </c>
      <c r="V191" s="99"/>
      <c r="W191" s="99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03">
        <f t="shared" si="68"/>
        <v>0</v>
      </c>
      <c r="AI191" s="136"/>
      <c r="AJ191" s="136"/>
      <c r="AK191" s="136"/>
      <c r="AL191" s="105">
        <f t="shared" si="69"/>
        <v>0</v>
      </c>
      <c r="AM191" s="143"/>
      <c r="AN191" s="143"/>
      <c r="AO191" s="143"/>
      <c r="AP191" s="146"/>
      <c r="AQ191" s="224">
        <f t="shared" si="70"/>
        <v>0</v>
      </c>
      <c r="AR191" s="126"/>
      <c r="AS191" s="274"/>
      <c r="AT191" s="126"/>
      <c r="AU191" s="126"/>
      <c r="AV191" s="126"/>
      <c r="AW191" s="126"/>
      <c r="AX191" s="126"/>
      <c r="AY191" s="274"/>
      <c r="AZ191" s="274"/>
      <c r="BA191" s="274"/>
      <c r="BB191" s="274"/>
      <c r="BC191" s="222">
        <f t="shared" si="71"/>
        <v>0</v>
      </c>
      <c r="BD191" s="140">
        <f t="shared" si="72"/>
        <v>0</v>
      </c>
      <c r="BE191" s="132"/>
      <c r="BF191" s="140">
        <f t="shared" si="73"/>
        <v>0</v>
      </c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74"/>
        <v>0</v>
      </c>
      <c r="BU191" s="132"/>
    </row>
    <row r="192" ht="14.25" customHeight="1">
      <c r="A192" s="132"/>
      <c r="B192" s="215">
        <v>46191</v>
      </c>
      <c r="C192" s="136"/>
      <c r="D192" s="136"/>
      <c r="E192" s="135"/>
      <c r="F192" s="135"/>
      <c r="G192" s="147">
        <f t="shared" si="66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03">
        <f t="shared" si="67"/>
        <v>0</v>
      </c>
      <c r="V192" s="99"/>
      <c r="W192" s="99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03">
        <f t="shared" si="68"/>
        <v>0</v>
      </c>
      <c r="AI192" s="136"/>
      <c r="AJ192" s="136"/>
      <c r="AK192" s="136"/>
      <c r="AL192" s="105">
        <f t="shared" si="69"/>
        <v>0</v>
      </c>
      <c r="AM192" s="143"/>
      <c r="AN192" s="143"/>
      <c r="AO192" s="143"/>
      <c r="AP192" s="146"/>
      <c r="AQ192" s="224">
        <f t="shared" si="70"/>
        <v>0</v>
      </c>
      <c r="AR192" s="126"/>
      <c r="AS192" s="274"/>
      <c r="AT192" s="126"/>
      <c r="AU192" s="126"/>
      <c r="AV192" s="126"/>
      <c r="AW192" s="126"/>
      <c r="AX192" s="126"/>
      <c r="AY192" s="274"/>
      <c r="AZ192" s="274"/>
      <c r="BA192" s="274"/>
      <c r="BB192" s="274"/>
      <c r="BC192" s="222">
        <f t="shared" si="71"/>
        <v>0</v>
      </c>
      <c r="BD192" s="140">
        <f t="shared" si="72"/>
        <v>0</v>
      </c>
      <c r="BE192" s="132"/>
      <c r="BF192" s="140">
        <f t="shared" si="73"/>
        <v>0</v>
      </c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74"/>
        <v>0</v>
      </c>
      <c r="BU192" s="132"/>
    </row>
    <row r="193" ht="14.25" customHeight="1">
      <c r="A193" s="132"/>
      <c r="B193" s="215">
        <v>46192</v>
      </c>
      <c r="C193" s="136"/>
      <c r="D193" s="136"/>
      <c r="E193" s="135"/>
      <c r="F193" s="135"/>
      <c r="G193" s="147">
        <f t="shared" si="66"/>
        <v>0</v>
      </c>
      <c r="H193" s="144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03">
        <f t="shared" si="67"/>
        <v>0</v>
      </c>
      <c r="V193" s="99"/>
      <c r="W193" s="99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03">
        <f t="shared" si="68"/>
        <v>0</v>
      </c>
      <c r="AI193" s="136"/>
      <c r="AJ193" s="136"/>
      <c r="AK193" s="136"/>
      <c r="AL193" s="105">
        <f t="shared" si="69"/>
        <v>0</v>
      </c>
      <c r="AM193" s="143"/>
      <c r="AN193" s="143"/>
      <c r="AO193" s="143"/>
      <c r="AP193" s="146"/>
      <c r="AQ193" s="224">
        <f t="shared" si="70"/>
        <v>0</v>
      </c>
      <c r="AR193" s="126"/>
      <c r="AS193" s="274"/>
      <c r="AT193" s="126"/>
      <c r="AU193" s="126"/>
      <c r="AV193" s="126"/>
      <c r="AW193" s="126"/>
      <c r="AX193" s="126"/>
      <c r="AY193" s="274"/>
      <c r="AZ193" s="274"/>
      <c r="BA193" s="274"/>
      <c r="BB193" s="274"/>
      <c r="BC193" s="222">
        <f t="shared" si="71"/>
        <v>0</v>
      </c>
      <c r="BD193" s="140">
        <f t="shared" si="72"/>
        <v>0</v>
      </c>
      <c r="BE193" s="132"/>
      <c r="BF193" s="140">
        <f t="shared" si="73"/>
        <v>0</v>
      </c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74"/>
        <v>0</v>
      </c>
      <c r="BU193" s="132"/>
    </row>
    <row r="194" ht="14.25" customHeight="1">
      <c r="A194" s="132"/>
      <c r="B194" s="215">
        <v>46193</v>
      </c>
      <c r="C194" s="136"/>
      <c r="D194" s="136"/>
      <c r="E194" s="135"/>
      <c r="F194" s="135"/>
      <c r="G194" s="147">
        <f t="shared" si="66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03">
        <f t="shared" si="67"/>
        <v>0</v>
      </c>
      <c r="V194" s="99"/>
      <c r="W194" s="99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03">
        <f t="shared" si="68"/>
        <v>0</v>
      </c>
      <c r="AI194" s="136"/>
      <c r="AJ194" s="136"/>
      <c r="AK194" s="136"/>
      <c r="AL194" s="105">
        <f t="shared" si="69"/>
        <v>0</v>
      </c>
      <c r="AM194" s="143"/>
      <c r="AN194" s="143"/>
      <c r="AO194" s="143"/>
      <c r="AP194" s="146"/>
      <c r="AQ194" s="224">
        <f t="shared" si="70"/>
        <v>0</v>
      </c>
      <c r="AR194" s="126"/>
      <c r="AS194" s="274"/>
      <c r="AT194" s="126"/>
      <c r="AU194" s="126"/>
      <c r="AV194" s="126"/>
      <c r="AW194" s="126"/>
      <c r="AX194" s="126"/>
      <c r="AY194" s="274"/>
      <c r="AZ194" s="274"/>
      <c r="BA194" s="274"/>
      <c r="BB194" s="274"/>
      <c r="BC194" s="222">
        <f t="shared" si="71"/>
        <v>0</v>
      </c>
      <c r="BD194" s="140">
        <f t="shared" si="72"/>
        <v>0</v>
      </c>
      <c r="BE194" s="132"/>
      <c r="BF194" s="140">
        <f t="shared" si="73"/>
        <v>0</v>
      </c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74"/>
        <v>0</v>
      </c>
      <c r="BU194" s="132"/>
    </row>
    <row r="195" ht="14.25" customHeight="1">
      <c r="A195" s="132"/>
      <c r="B195" s="215">
        <v>46194</v>
      </c>
      <c r="C195" s="136"/>
      <c r="D195" s="136"/>
      <c r="E195" s="135"/>
      <c r="F195" s="135"/>
      <c r="G195" s="147">
        <f t="shared" si="66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03">
        <f t="shared" si="67"/>
        <v>0</v>
      </c>
      <c r="V195" s="99"/>
      <c r="W195" s="99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43"/>
      <c r="AH195" s="103">
        <f t="shared" si="68"/>
        <v>0</v>
      </c>
      <c r="AI195" s="136"/>
      <c r="AJ195" s="136"/>
      <c r="AK195" s="136"/>
      <c r="AL195" s="105">
        <f t="shared" si="69"/>
        <v>0</v>
      </c>
      <c r="AM195" s="143"/>
      <c r="AN195" s="143"/>
      <c r="AO195" s="143"/>
      <c r="AP195" s="146"/>
      <c r="AQ195" s="224">
        <f t="shared" si="70"/>
        <v>0</v>
      </c>
      <c r="AR195" s="126"/>
      <c r="AS195" s="274"/>
      <c r="AT195" s="126"/>
      <c r="AU195" s="126"/>
      <c r="AV195" s="126"/>
      <c r="AW195" s="126"/>
      <c r="AX195" s="126"/>
      <c r="AY195" s="274"/>
      <c r="AZ195" s="274"/>
      <c r="BA195" s="274"/>
      <c r="BB195" s="274"/>
      <c r="BC195" s="222">
        <f t="shared" si="71"/>
        <v>0</v>
      </c>
      <c r="BD195" s="140">
        <f t="shared" si="72"/>
        <v>0</v>
      </c>
      <c r="BE195" s="132"/>
      <c r="BF195" s="140">
        <f t="shared" si="73"/>
        <v>0</v>
      </c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74"/>
        <v>0</v>
      </c>
      <c r="BU195" s="132"/>
    </row>
    <row r="196" ht="14.25" customHeight="1">
      <c r="A196" s="132"/>
      <c r="B196" s="215">
        <v>46195</v>
      </c>
      <c r="C196" s="136"/>
      <c r="D196" s="136"/>
      <c r="E196" s="135"/>
      <c r="F196" s="135"/>
      <c r="G196" s="147">
        <f t="shared" si="66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03">
        <f t="shared" si="67"/>
        <v>0</v>
      </c>
      <c r="V196" s="99"/>
      <c r="W196" s="99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43"/>
      <c r="AH196" s="103">
        <f t="shared" si="68"/>
        <v>0</v>
      </c>
      <c r="AI196" s="136"/>
      <c r="AJ196" s="136"/>
      <c r="AK196" s="136"/>
      <c r="AL196" s="105">
        <f t="shared" si="69"/>
        <v>0</v>
      </c>
      <c r="AM196" s="143"/>
      <c r="AN196" s="143"/>
      <c r="AO196" s="143"/>
      <c r="AP196" s="146"/>
      <c r="AQ196" s="224">
        <f t="shared" si="70"/>
        <v>0</v>
      </c>
      <c r="AR196" s="126"/>
      <c r="AS196" s="274"/>
      <c r="AT196" s="126"/>
      <c r="AU196" s="126"/>
      <c r="AV196" s="126"/>
      <c r="AW196" s="126"/>
      <c r="AX196" s="126"/>
      <c r="AY196" s="274"/>
      <c r="AZ196" s="274"/>
      <c r="BA196" s="274"/>
      <c r="BB196" s="274"/>
      <c r="BC196" s="222">
        <f t="shared" si="71"/>
        <v>0</v>
      </c>
      <c r="BD196" s="140">
        <f t="shared" si="72"/>
        <v>0</v>
      </c>
      <c r="BE196" s="132"/>
      <c r="BF196" s="140">
        <f t="shared" si="73"/>
        <v>0</v>
      </c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74"/>
        <v>0</v>
      </c>
      <c r="BU196" s="132"/>
    </row>
    <row r="197" ht="14.25" customHeight="1">
      <c r="A197" s="132"/>
      <c r="B197" s="215">
        <v>46196</v>
      </c>
      <c r="C197" s="136"/>
      <c r="D197" s="136"/>
      <c r="E197" s="135"/>
      <c r="F197" s="135"/>
      <c r="G197" s="147">
        <f t="shared" si="66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03">
        <f t="shared" si="67"/>
        <v>0</v>
      </c>
      <c r="V197" s="99"/>
      <c r="W197" s="99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103">
        <f t="shared" si="68"/>
        <v>0</v>
      </c>
      <c r="AI197" s="136"/>
      <c r="AJ197" s="136"/>
      <c r="AK197" s="136"/>
      <c r="AL197" s="105">
        <f t="shared" si="69"/>
        <v>0</v>
      </c>
      <c r="AM197" s="143"/>
      <c r="AN197" s="143"/>
      <c r="AO197" s="143"/>
      <c r="AP197" s="146"/>
      <c r="AQ197" s="224">
        <f t="shared" si="70"/>
        <v>0</v>
      </c>
      <c r="AR197" s="126"/>
      <c r="AS197" s="274"/>
      <c r="AT197" s="126"/>
      <c r="AU197" s="126"/>
      <c r="AV197" s="126"/>
      <c r="AW197" s="126"/>
      <c r="AX197" s="126"/>
      <c r="AY197" s="274"/>
      <c r="AZ197" s="274"/>
      <c r="BA197" s="274"/>
      <c r="BB197" s="274"/>
      <c r="BC197" s="222">
        <f t="shared" si="71"/>
        <v>0</v>
      </c>
      <c r="BD197" s="140">
        <f t="shared" si="72"/>
        <v>0</v>
      </c>
      <c r="BE197" s="132"/>
      <c r="BF197" s="140">
        <f t="shared" si="73"/>
        <v>0</v>
      </c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74"/>
        <v>0</v>
      </c>
      <c r="BU197" s="132"/>
    </row>
    <row r="198" ht="14.25" customHeight="1">
      <c r="A198" s="132"/>
      <c r="B198" s="215">
        <v>46197</v>
      </c>
      <c r="C198" s="136"/>
      <c r="D198" s="136"/>
      <c r="E198" s="135"/>
      <c r="F198" s="135"/>
      <c r="G198" s="147">
        <f t="shared" si="66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03">
        <f t="shared" si="67"/>
        <v>0</v>
      </c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103">
        <f t="shared" si="68"/>
        <v>0</v>
      </c>
      <c r="AI198" s="136"/>
      <c r="AJ198" s="136"/>
      <c r="AK198" s="136"/>
      <c r="AL198" s="105">
        <f t="shared" si="69"/>
        <v>0</v>
      </c>
      <c r="AM198" s="143"/>
      <c r="AN198" s="143"/>
      <c r="AO198" s="143"/>
      <c r="AP198" s="146"/>
      <c r="AQ198" s="224">
        <f t="shared" si="70"/>
        <v>0</v>
      </c>
      <c r="AR198" s="126"/>
      <c r="AS198" s="274"/>
      <c r="AT198" s="126"/>
      <c r="AU198" s="126"/>
      <c r="AV198" s="126"/>
      <c r="AW198" s="126"/>
      <c r="AX198" s="126"/>
      <c r="AY198" s="274"/>
      <c r="AZ198" s="274"/>
      <c r="BA198" s="274"/>
      <c r="BB198" s="274"/>
      <c r="BC198" s="222">
        <f t="shared" si="71"/>
        <v>0</v>
      </c>
      <c r="BD198" s="140">
        <f t="shared" si="72"/>
        <v>0</v>
      </c>
      <c r="BE198" s="132"/>
      <c r="BF198" s="140">
        <f t="shared" si="73"/>
        <v>0</v>
      </c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74"/>
        <v>0</v>
      </c>
      <c r="BU198" s="132"/>
    </row>
    <row r="199" ht="14.25" customHeight="1">
      <c r="A199" s="132"/>
      <c r="B199" s="215">
        <v>46198</v>
      </c>
      <c r="C199" s="136"/>
      <c r="D199" s="136"/>
      <c r="E199" s="135"/>
      <c r="F199" s="135"/>
      <c r="G199" s="147">
        <f t="shared" si="66"/>
        <v>0</v>
      </c>
      <c r="H199" s="144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03">
        <f t="shared" si="67"/>
        <v>0</v>
      </c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103">
        <f t="shared" si="68"/>
        <v>0</v>
      </c>
      <c r="AI199" s="136"/>
      <c r="AJ199" s="136"/>
      <c r="AK199" s="136"/>
      <c r="AL199" s="105">
        <f t="shared" si="69"/>
        <v>0</v>
      </c>
      <c r="AM199" s="143"/>
      <c r="AN199" s="143"/>
      <c r="AO199" s="143"/>
      <c r="AP199" s="146"/>
      <c r="AQ199" s="224">
        <f t="shared" si="70"/>
        <v>0</v>
      </c>
      <c r="AR199" s="126"/>
      <c r="AS199" s="274"/>
      <c r="AT199" s="126"/>
      <c r="AU199" s="126"/>
      <c r="AV199" s="126"/>
      <c r="AW199" s="126"/>
      <c r="AX199" s="126"/>
      <c r="AY199" s="274"/>
      <c r="AZ199" s="274"/>
      <c r="BA199" s="274"/>
      <c r="BB199" s="274"/>
      <c r="BC199" s="222">
        <f t="shared" si="71"/>
        <v>0</v>
      </c>
      <c r="BD199" s="140">
        <f t="shared" si="72"/>
        <v>0</v>
      </c>
      <c r="BE199" s="132"/>
      <c r="BF199" s="140">
        <f t="shared" si="73"/>
        <v>0</v>
      </c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74"/>
        <v>0</v>
      </c>
      <c r="BU199" s="132"/>
    </row>
    <row r="200" ht="14.25" customHeight="1">
      <c r="A200" s="132"/>
      <c r="B200" s="215">
        <v>46199</v>
      </c>
      <c r="C200" s="136"/>
      <c r="D200" s="136"/>
      <c r="E200" s="135"/>
      <c r="F200" s="135"/>
      <c r="G200" s="147">
        <f t="shared" si="66"/>
        <v>0</v>
      </c>
      <c r="H200" s="144"/>
      <c r="I200" s="143"/>
      <c r="J200" s="143"/>
      <c r="K200" s="143"/>
      <c r="L200" s="143"/>
      <c r="M200" s="143"/>
      <c r="N200" s="99"/>
      <c r="O200" s="143"/>
      <c r="P200" s="143"/>
      <c r="Q200" s="143"/>
      <c r="R200" s="143"/>
      <c r="S200" s="143"/>
      <c r="T200" s="143"/>
      <c r="U200" s="103">
        <f t="shared" si="67"/>
        <v>0</v>
      </c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103">
        <f t="shared" si="68"/>
        <v>0</v>
      </c>
      <c r="AI200" s="136"/>
      <c r="AJ200" s="136"/>
      <c r="AK200" s="136"/>
      <c r="AL200" s="105">
        <f t="shared" si="69"/>
        <v>0</v>
      </c>
      <c r="AM200" s="143"/>
      <c r="AN200" s="143"/>
      <c r="AO200" s="143"/>
      <c r="AP200" s="146"/>
      <c r="AQ200" s="224">
        <f t="shared" si="70"/>
        <v>0</v>
      </c>
      <c r="AR200" s="126"/>
      <c r="AS200" s="274"/>
      <c r="AT200" s="126"/>
      <c r="AU200" s="126"/>
      <c r="AV200" s="126"/>
      <c r="AW200" s="126"/>
      <c r="AX200" s="126"/>
      <c r="AY200" s="274"/>
      <c r="AZ200" s="274"/>
      <c r="BA200" s="274"/>
      <c r="BB200" s="274"/>
      <c r="BC200" s="222">
        <f t="shared" si="71"/>
        <v>0</v>
      </c>
      <c r="BD200" s="140">
        <f t="shared" si="72"/>
        <v>0</v>
      </c>
      <c r="BE200" s="132"/>
      <c r="BF200" s="140">
        <f t="shared" si="73"/>
        <v>0</v>
      </c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74"/>
        <v>0</v>
      </c>
      <c r="BU200" s="132"/>
    </row>
    <row r="201" ht="14.25" customHeight="1">
      <c r="A201" s="132"/>
      <c r="B201" s="215">
        <v>46200</v>
      </c>
      <c r="C201" s="136"/>
      <c r="D201" s="136"/>
      <c r="E201" s="135"/>
      <c r="F201" s="135"/>
      <c r="G201" s="147">
        <f t="shared" si="66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03">
        <f t="shared" si="67"/>
        <v>0</v>
      </c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103">
        <f t="shared" si="68"/>
        <v>0</v>
      </c>
      <c r="AI201" s="136"/>
      <c r="AJ201" s="136"/>
      <c r="AK201" s="136"/>
      <c r="AL201" s="105">
        <f t="shared" si="69"/>
        <v>0</v>
      </c>
      <c r="AM201" s="143"/>
      <c r="AN201" s="143"/>
      <c r="AO201" s="143"/>
      <c r="AP201" s="146"/>
      <c r="AQ201" s="224">
        <f t="shared" si="70"/>
        <v>0</v>
      </c>
      <c r="AR201" s="126"/>
      <c r="AS201" s="274"/>
      <c r="AT201" s="126"/>
      <c r="AU201" s="126"/>
      <c r="AV201" s="126"/>
      <c r="AW201" s="126"/>
      <c r="AX201" s="126"/>
      <c r="AY201" s="274"/>
      <c r="AZ201" s="274"/>
      <c r="BA201" s="274"/>
      <c r="BB201" s="274"/>
      <c r="BC201" s="222">
        <f t="shared" si="71"/>
        <v>0</v>
      </c>
      <c r="BD201" s="140">
        <f t="shared" si="72"/>
        <v>0</v>
      </c>
      <c r="BE201" s="132"/>
      <c r="BF201" s="140">
        <f t="shared" si="73"/>
        <v>0</v>
      </c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74"/>
        <v>0</v>
      </c>
      <c r="BU201" s="132"/>
    </row>
    <row r="202" ht="14.25" customHeight="1">
      <c r="A202" s="132"/>
      <c r="B202" s="215">
        <v>46201</v>
      </c>
      <c r="C202" s="136"/>
      <c r="D202" s="136"/>
      <c r="E202" s="135"/>
      <c r="F202" s="135"/>
      <c r="G202" s="147">
        <f t="shared" si="66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03">
        <f t="shared" si="67"/>
        <v>0</v>
      </c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103">
        <f t="shared" si="68"/>
        <v>0</v>
      </c>
      <c r="AI202" s="136"/>
      <c r="AJ202" s="136"/>
      <c r="AK202" s="136"/>
      <c r="AL202" s="105">
        <f t="shared" si="69"/>
        <v>0</v>
      </c>
      <c r="AM202" s="143"/>
      <c r="AN202" s="143"/>
      <c r="AO202" s="143"/>
      <c r="AP202" s="146"/>
      <c r="AQ202" s="224">
        <f t="shared" si="70"/>
        <v>0</v>
      </c>
      <c r="AR202" s="126"/>
      <c r="AS202" s="274"/>
      <c r="AT202" s="126"/>
      <c r="AU202" s="126"/>
      <c r="AV202" s="126"/>
      <c r="AW202" s="126"/>
      <c r="AX202" s="126"/>
      <c r="AY202" s="274"/>
      <c r="AZ202" s="274"/>
      <c r="BA202" s="274"/>
      <c r="BB202" s="274"/>
      <c r="BC202" s="222">
        <f t="shared" si="71"/>
        <v>0</v>
      </c>
      <c r="BD202" s="140">
        <f t="shared" si="72"/>
        <v>0</v>
      </c>
      <c r="BE202" s="132"/>
      <c r="BF202" s="140">
        <f t="shared" si="73"/>
        <v>0</v>
      </c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74"/>
        <v>0</v>
      </c>
      <c r="BU202" s="132"/>
    </row>
    <row r="203" ht="14.25" customHeight="1">
      <c r="A203" s="132"/>
      <c r="B203" s="215">
        <v>46202</v>
      </c>
      <c r="C203" s="136"/>
      <c r="D203" s="136"/>
      <c r="E203" s="135"/>
      <c r="F203" s="135"/>
      <c r="G203" s="147">
        <f t="shared" si="66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03">
        <f t="shared" si="67"/>
        <v>0</v>
      </c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103">
        <f t="shared" si="68"/>
        <v>0</v>
      </c>
      <c r="AI203" s="136"/>
      <c r="AJ203" s="136"/>
      <c r="AK203" s="136"/>
      <c r="AL203" s="105">
        <f t="shared" si="69"/>
        <v>0</v>
      </c>
      <c r="AM203" s="143"/>
      <c r="AN203" s="143"/>
      <c r="AO203" s="143"/>
      <c r="AP203" s="146"/>
      <c r="AQ203" s="224">
        <f t="shared" si="70"/>
        <v>0</v>
      </c>
      <c r="AR203" s="126"/>
      <c r="AS203" s="274"/>
      <c r="AT203" s="126"/>
      <c r="AU203" s="126"/>
      <c r="AV203" s="126"/>
      <c r="AW203" s="126"/>
      <c r="AX203" s="126"/>
      <c r="AY203" s="274"/>
      <c r="AZ203" s="274"/>
      <c r="BA203" s="274"/>
      <c r="BB203" s="274"/>
      <c r="BC203" s="222">
        <f t="shared" si="71"/>
        <v>0</v>
      </c>
      <c r="BD203" s="140">
        <f t="shared" si="72"/>
        <v>0</v>
      </c>
      <c r="BE203" s="132"/>
      <c r="BF203" s="140">
        <f t="shared" si="73"/>
        <v>0</v>
      </c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30">
        <f t="shared" si="74"/>
        <v>0</v>
      </c>
      <c r="BU203" s="132"/>
    </row>
    <row r="204" ht="14.25" customHeight="1">
      <c r="A204" s="132"/>
      <c r="B204" s="215">
        <v>46203</v>
      </c>
      <c r="C204" s="136"/>
      <c r="D204" s="136"/>
      <c r="E204" s="135"/>
      <c r="F204" s="135"/>
      <c r="G204" s="147">
        <f t="shared" si="66"/>
        <v>0</v>
      </c>
      <c r="H204" s="144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03">
        <f t="shared" si="67"/>
        <v>0</v>
      </c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103">
        <f t="shared" si="68"/>
        <v>0</v>
      </c>
      <c r="AI204" s="136"/>
      <c r="AJ204" s="136"/>
      <c r="AK204" s="136"/>
      <c r="AL204" s="105">
        <f t="shared" si="69"/>
        <v>0</v>
      </c>
      <c r="AM204" s="143"/>
      <c r="AN204" s="143"/>
      <c r="AO204" s="143"/>
      <c r="AP204" s="146"/>
      <c r="AQ204" s="224">
        <f t="shared" si="70"/>
        <v>0</v>
      </c>
      <c r="AR204" s="138"/>
      <c r="AS204" s="274"/>
      <c r="AT204" s="126"/>
      <c r="AU204" s="126"/>
      <c r="AV204" s="126"/>
      <c r="AW204" s="126"/>
      <c r="AX204" s="126"/>
      <c r="AY204" s="274"/>
      <c r="AZ204" s="274"/>
      <c r="BA204" s="274"/>
      <c r="BB204" s="274"/>
      <c r="BC204" s="222">
        <f t="shared" si="71"/>
        <v>0</v>
      </c>
      <c r="BD204" s="140">
        <f t="shared" si="72"/>
        <v>0</v>
      </c>
      <c r="BE204" s="132"/>
      <c r="BF204" s="140">
        <f t="shared" si="73"/>
        <v>0</v>
      </c>
      <c r="BG204" s="141"/>
      <c r="BH204" s="141"/>
      <c r="BI204" s="141"/>
      <c r="BJ204" s="141"/>
      <c r="BK204" s="141"/>
      <c r="BL204" s="141"/>
      <c r="BM204" s="141"/>
      <c r="BN204" s="141"/>
      <c r="BO204" s="141"/>
      <c r="BP204" s="141"/>
      <c r="BQ204" s="141"/>
      <c r="BR204" s="141"/>
      <c r="BS204" s="141"/>
      <c r="BT204" s="130">
        <f t="shared" si="74"/>
        <v>0</v>
      </c>
      <c r="BU204" s="132"/>
    </row>
    <row r="205" ht="14.25" customHeight="1">
      <c r="A205" s="3"/>
      <c r="B205" s="2" t="s">
        <v>262</v>
      </c>
      <c r="C205" s="166">
        <f ref="C205:J205" t="shared" si="75">SUM(C175:C204)</f>
        <v>0</v>
      </c>
      <c r="D205" s="166">
        <f t="shared" si="75"/>
        <v>0</v>
      </c>
      <c r="E205" s="166">
        <f t="shared" si="75"/>
        <v>0</v>
      </c>
      <c r="F205" s="166">
        <f t="shared" si="75"/>
        <v>0</v>
      </c>
      <c r="G205" s="166">
        <f t="shared" si="75"/>
        <v>0</v>
      </c>
      <c r="H205" s="166">
        <f t="shared" si="75"/>
        <v>0</v>
      </c>
      <c r="I205" s="166">
        <f t="shared" si="75"/>
        <v>0</v>
      </c>
      <c r="J205" s="166">
        <f t="shared" si="75"/>
        <v>0</v>
      </c>
      <c r="K205" s="166"/>
      <c r="L205" s="166">
        <f ref="L205:R205" t="shared" si="76">SUM(L175:L204)</f>
        <v>0</v>
      </c>
      <c r="M205" s="166">
        <f t="shared" si="76"/>
        <v>0</v>
      </c>
      <c r="N205" s="166">
        <f t="shared" si="76"/>
        <v>0</v>
      </c>
      <c r="O205" s="166">
        <f t="shared" si="76"/>
        <v>0</v>
      </c>
      <c r="P205" s="166">
        <f t="shared" si="76"/>
        <v>0</v>
      </c>
      <c r="Q205" s="166">
        <f t="shared" si="76"/>
        <v>0</v>
      </c>
      <c r="R205" s="166">
        <f t="shared" si="76"/>
        <v>0</v>
      </c>
      <c r="S205" s="166"/>
      <c r="T205" s="166">
        <f ref="T205:AJ205" t="shared" si="77">SUM(T175:T204)</f>
        <v>0</v>
      </c>
      <c r="U205" s="166">
        <f t="shared" si="77"/>
        <v>0</v>
      </c>
      <c r="V205" s="166">
        <f t="shared" si="77"/>
        <v>0</v>
      </c>
      <c r="W205" s="166">
        <f t="shared" si="77"/>
        <v>0</v>
      </c>
      <c r="X205" s="166">
        <f t="shared" si="77"/>
        <v>0</v>
      </c>
      <c r="Y205" s="166">
        <f t="shared" si="77"/>
        <v>0</v>
      </c>
      <c r="Z205" s="166">
        <f t="shared" si="77"/>
        <v>0</v>
      </c>
      <c r="AA205" s="166">
        <f t="shared" si="77"/>
        <v>0</v>
      </c>
      <c r="AB205" s="166">
        <f t="shared" si="77"/>
        <v>0</v>
      </c>
      <c r="AC205" s="166">
        <f t="shared" si="77"/>
        <v>0</v>
      </c>
      <c r="AD205" s="166">
        <f t="shared" si="77"/>
        <v>0</v>
      </c>
      <c r="AE205" s="166">
        <f t="shared" si="77"/>
        <v>0</v>
      </c>
      <c r="AF205" s="166">
        <f t="shared" si="77"/>
        <v>0</v>
      </c>
      <c r="AG205" s="166">
        <f t="shared" si="77"/>
        <v>0</v>
      </c>
      <c r="AH205" s="166">
        <f t="shared" si="77"/>
        <v>0</v>
      </c>
      <c r="AI205" s="166">
        <f t="shared" si="77"/>
        <v>0</v>
      </c>
      <c r="AJ205" s="166">
        <f t="shared" si="77"/>
        <v>0</v>
      </c>
      <c r="AK205" s="166"/>
      <c r="AL205" s="166">
        <f ref="AL205:AO205" t="shared" si="78">SUM(AL175:AL204)</f>
        <v>0</v>
      </c>
      <c r="AM205" s="166">
        <f t="shared" si="78"/>
        <v>0</v>
      </c>
      <c r="AN205" s="166">
        <f t="shared" si="78"/>
        <v>0</v>
      </c>
      <c r="AO205" s="166">
        <f t="shared" si="78"/>
        <v>0</v>
      </c>
      <c r="AP205" s="166"/>
      <c r="AQ205" s="166">
        <f ref="AQ205:AX205" t="shared" si="79">SUM(AQ175:AQ204)</f>
        <v>0</v>
      </c>
      <c r="AR205" s="165">
        <f t="shared" si="79"/>
        <v>0</v>
      </c>
      <c r="AS205" s="166">
        <f t="shared" si="79"/>
        <v>0</v>
      </c>
      <c r="AT205" s="166">
        <f t="shared" si="79"/>
        <v>0</v>
      </c>
      <c r="AU205" s="166">
        <f t="shared" si="79"/>
        <v>0</v>
      </c>
      <c r="AV205" s="166">
        <f t="shared" si="79"/>
        <v>0</v>
      </c>
      <c r="AW205" s="166">
        <f t="shared" si="79"/>
        <v>0</v>
      </c>
      <c r="AX205" s="166">
        <f t="shared" si="79"/>
        <v>0</v>
      </c>
      <c r="AY205" s="166"/>
      <c r="AZ205" s="166"/>
      <c r="BA205" s="166"/>
      <c r="BB205" s="166"/>
      <c r="BC205" s="166">
        <f ref="BC205:BD205" t="shared" si="80">SUM(BC175:BC204)</f>
        <v>0</v>
      </c>
      <c r="BD205" s="166">
        <f t="shared" si="80"/>
        <v>0</v>
      </c>
      <c r="BE205" s="132"/>
      <c r="BF205" s="166">
        <f>SUM(BF175:BF204)</f>
        <v>0</v>
      </c>
      <c r="BG205" s="166"/>
      <c r="BH205" s="166"/>
      <c r="BI205" s="166"/>
      <c r="BJ205" s="166"/>
      <c r="BK205" s="166"/>
      <c r="BL205" s="166"/>
      <c r="BM205" s="166"/>
      <c r="BN205" s="166"/>
      <c r="BO205" s="166"/>
      <c r="BP205" s="166">
        <f ref="BP205:BT205" t="shared" si="81">SUM(BP175:BP204)</f>
        <v>0</v>
      </c>
      <c r="BQ205" s="166">
        <f t="shared" si="81"/>
        <v>0</v>
      </c>
      <c r="BR205" s="166">
        <f t="shared" si="81"/>
        <v>0</v>
      </c>
      <c r="BS205" s="166">
        <f t="shared" si="81"/>
        <v>0</v>
      </c>
      <c r="BT205" s="166">
        <f t="shared" si="81"/>
        <v>0</v>
      </c>
      <c r="BU205" s="3"/>
    </row>
    <row r="206" ht="14.25" customHeight="1">
      <c r="A206" s="1"/>
      <c r="B206" s="2"/>
      <c r="C206" s="3"/>
      <c r="D206" s="3"/>
      <c r="E206" s="3"/>
      <c r="F206" s="3"/>
      <c r="G206" s="133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96"/>
      <c r="AI206" s="3"/>
      <c r="AJ206" s="3"/>
      <c r="AK206" s="3"/>
      <c r="AL206" s="4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ht="14.25" customHeight="1">
      <c r="A207" s="1"/>
      <c r="B207" s="2"/>
      <c r="C207" s="3"/>
      <c r="D207" s="3"/>
      <c r="E207" s="3"/>
      <c r="F207" s="3"/>
      <c r="G207" s="133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176"/>
      <c r="AI207" s="3"/>
      <c r="AJ207" s="3"/>
      <c r="AK207" s="3"/>
      <c r="AL207" s="4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</row>
    <row r="208" ht="14.25" customHeight="1">
      <c r="A208" s="3"/>
      <c r="B208" s="215">
        <v>46204</v>
      </c>
      <c r="C208" s="104"/>
      <c r="D208" s="104"/>
      <c r="E208" s="97"/>
      <c r="F208" s="97"/>
      <c r="G208" s="265">
        <f ref="G208:G238" t="shared" si="82">+C208+D208+E208+F208</f>
        <v>0</v>
      </c>
      <c r="H208" s="187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03">
        <f ref="U208:U238" t="shared" si="83">SUM(H208:T208)</f>
        <v>0</v>
      </c>
      <c r="V208" s="186"/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03">
        <f ref="AH208:AH238" t="shared" si="84">SUM(V208:AG208)</f>
        <v>0</v>
      </c>
      <c r="AI208" s="104"/>
      <c r="AJ208" s="104"/>
      <c r="AK208" s="104"/>
      <c r="AL208" s="191">
        <f ref="AL208:AL238" t="shared" si="85">SUM(AI208:AK208)</f>
        <v>0</v>
      </c>
      <c r="AM208" s="186"/>
      <c r="AN208" s="186"/>
      <c r="AO208" s="186"/>
      <c r="AP208" s="193"/>
      <c r="AQ208" s="266">
        <f ref="AQ208:AQ238" t="shared" si="86">+G208-U208-AH208-AL208-AM208-AN208-AO208-AP208</f>
        <v>0</v>
      </c>
      <c r="AR208" s="109"/>
      <c r="AS208" s="269"/>
      <c r="AT208" s="109"/>
      <c r="AU208" s="109"/>
      <c r="AV208" s="109"/>
      <c r="AW208" s="270"/>
      <c r="AX208" s="109"/>
      <c r="AY208" s="269"/>
      <c r="AZ208" s="269"/>
      <c r="BA208" s="269"/>
      <c r="BB208" s="269"/>
      <c r="BC208" s="292">
        <f ref="BC208:BC212" t="shared" si="87">SUM(AR208:BB208)-BA208</f>
        <v>0</v>
      </c>
      <c r="BD208" s="114">
        <f ref="BD208:BD238" t="shared" si="88">+AQ208-BC208</f>
        <v>0</v>
      </c>
      <c r="BE208" s="3"/>
      <c r="BF208" s="114">
        <f ref="BF208:BF238" t="shared" si="89">SUM(BG208:BS208)</f>
        <v>0</v>
      </c>
      <c r="BG208" s="115"/>
      <c r="BH208" s="115"/>
      <c r="BI208" s="115"/>
      <c r="BJ208" s="115"/>
      <c r="BK208" s="115"/>
      <c r="BL208" s="115"/>
      <c r="BM208" s="115"/>
      <c r="BN208" s="115"/>
      <c r="BO208" s="115"/>
      <c r="BP208" s="115"/>
      <c r="BQ208" s="115"/>
      <c r="BR208" s="196"/>
      <c r="BS208" s="115"/>
      <c r="BT208" s="116">
        <f ref="BT208:BT238" t="shared" si="90">+BD208-BF208</f>
        <v>0</v>
      </c>
      <c r="BU208" s="3"/>
    </row>
    <row r="209" ht="14.25" customHeight="1">
      <c r="A209" s="3"/>
      <c r="B209" s="215">
        <v>46205</v>
      </c>
      <c r="C209" s="123"/>
      <c r="D209" s="123"/>
      <c r="E209" s="120"/>
      <c r="F209" s="120"/>
      <c r="G209" s="147">
        <f t="shared" si="82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03">
        <f t="shared" si="83"/>
        <v>0</v>
      </c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43"/>
      <c r="AH209" s="103">
        <f t="shared" si="84"/>
        <v>0</v>
      </c>
      <c r="AI209" s="123"/>
      <c r="AJ209" s="123"/>
      <c r="AK209" s="123"/>
      <c r="AL209" s="105">
        <f t="shared" si="85"/>
        <v>0</v>
      </c>
      <c r="AM209" s="143"/>
      <c r="AN209" s="143"/>
      <c r="AO209" s="143"/>
      <c r="AP209" s="146"/>
      <c r="AQ209" s="224">
        <f t="shared" si="86"/>
        <v>0</v>
      </c>
      <c r="AR209" s="126"/>
      <c r="AS209" s="274"/>
      <c r="AT209" s="126"/>
      <c r="AU209" s="126"/>
      <c r="AV209" s="126"/>
      <c r="AW209" s="275"/>
      <c r="AX209" s="126"/>
      <c r="AY209" s="274"/>
      <c r="AZ209" s="274"/>
      <c r="BA209" s="274"/>
      <c r="BB209" s="274"/>
      <c r="BC209" s="222">
        <f t="shared" si="87"/>
        <v>0</v>
      </c>
      <c r="BD209" s="113">
        <f t="shared" si="88"/>
        <v>0</v>
      </c>
      <c r="BE209" s="3"/>
      <c r="BF209" s="113">
        <f t="shared" si="89"/>
        <v>0</v>
      </c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30">
        <f t="shared" si="90"/>
        <v>0</v>
      </c>
      <c r="BU209" s="3"/>
    </row>
    <row r="210" ht="14.25" customHeight="1">
      <c r="A210" s="3"/>
      <c r="B210" s="215">
        <v>46206</v>
      </c>
      <c r="C210" s="123"/>
      <c r="D210" s="123"/>
      <c r="E210" s="120"/>
      <c r="F210" s="120"/>
      <c r="G210" s="147">
        <f t="shared" si="82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03">
        <f t="shared" si="83"/>
        <v>0</v>
      </c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43"/>
      <c r="AH210" s="103">
        <f t="shared" si="84"/>
        <v>0</v>
      </c>
      <c r="AI210" s="123"/>
      <c r="AJ210" s="123"/>
      <c r="AK210" s="123"/>
      <c r="AL210" s="105">
        <f t="shared" si="85"/>
        <v>0</v>
      </c>
      <c r="AM210" s="143"/>
      <c r="AN210" s="143"/>
      <c r="AO210" s="143"/>
      <c r="AP210" s="146"/>
      <c r="AQ210" s="224">
        <f t="shared" si="86"/>
        <v>0</v>
      </c>
      <c r="AR210" s="126"/>
      <c r="AS210" s="274"/>
      <c r="AT210" s="274"/>
      <c r="AU210" s="126"/>
      <c r="AV210" s="126"/>
      <c r="AW210" s="275"/>
      <c r="AX210" s="126"/>
      <c r="AY210" s="274"/>
      <c r="AZ210" s="274"/>
      <c r="BA210" s="274"/>
      <c r="BB210" s="274"/>
      <c r="BC210" s="222">
        <f t="shared" si="87"/>
        <v>0</v>
      </c>
      <c r="BD210" s="113">
        <f t="shared" si="88"/>
        <v>0</v>
      </c>
      <c r="BE210" s="3"/>
      <c r="BF210" s="113">
        <f t="shared" si="89"/>
        <v>0</v>
      </c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452"/>
      <c r="BR210" s="141"/>
      <c r="BS210" s="255"/>
      <c r="BT210" s="130">
        <f t="shared" si="90"/>
        <v>0</v>
      </c>
      <c r="BU210" s="3"/>
    </row>
    <row r="211" ht="14.25" customHeight="1">
      <c r="A211" s="3"/>
      <c r="B211" s="215">
        <v>46207</v>
      </c>
      <c r="C211" s="123"/>
      <c r="D211" s="123"/>
      <c r="E211" s="120"/>
      <c r="F211" s="120"/>
      <c r="G211" s="147">
        <f t="shared" si="82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03">
        <f t="shared" si="83"/>
        <v>0</v>
      </c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43"/>
      <c r="AH211" s="103">
        <f t="shared" si="84"/>
        <v>0</v>
      </c>
      <c r="AI211" s="123"/>
      <c r="AJ211" s="123"/>
      <c r="AK211" s="123"/>
      <c r="AL211" s="105">
        <f t="shared" si="85"/>
        <v>0</v>
      </c>
      <c r="AM211" s="143"/>
      <c r="AN211" s="143"/>
      <c r="AO211" s="143"/>
      <c r="AP211" s="146"/>
      <c r="AQ211" s="224">
        <f t="shared" si="86"/>
        <v>0</v>
      </c>
      <c r="AR211" s="126"/>
      <c r="AS211" s="274"/>
      <c r="AT211" s="274"/>
      <c r="AU211" s="126"/>
      <c r="AV211" s="126"/>
      <c r="AW211" s="275"/>
      <c r="AX211" s="126"/>
      <c r="AY211" s="274"/>
      <c r="AZ211" s="274"/>
      <c r="BA211" s="274"/>
      <c r="BB211" s="274"/>
      <c r="BC211" s="222">
        <f t="shared" si="87"/>
        <v>0</v>
      </c>
      <c r="BD211" s="113">
        <f t="shared" si="88"/>
        <v>0</v>
      </c>
      <c r="BE211" s="3"/>
      <c r="BF211" s="113">
        <f t="shared" si="89"/>
        <v>0</v>
      </c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41"/>
      <c r="BS211" s="129"/>
      <c r="BT211" s="130">
        <f t="shared" si="90"/>
        <v>0</v>
      </c>
      <c r="BU211" s="3"/>
    </row>
    <row r="212" ht="14.25" customHeight="1">
      <c r="A212" s="132"/>
      <c r="B212" s="215">
        <v>46208</v>
      </c>
      <c r="C212" s="136"/>
      <c r="D212" s="136"/>
      <c r="E212" s="135"/>
      <c r="F212" s="135"/>
      <c r="G212" s="147">
        <f t="shared" si="82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03">
        <f t="shared" si="83"/>
        <v>0</v>
      </c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43"/>
      <c r="AH212" s="103">
        <f t="shared" si="84"/>
        <v>0</v>
      </c>
      <c r="AI212" s="136"/>
      <c r="AJ212" s="136"/>
      <c r="AK212" s="136"/>
      <c r="AL212" s="105">
        <f t="shared" si="85"/>
        <v>0</v>
      </c>
      <c r="AM212" s="143"/>
      <c r="AN212" s="143"/>
      <c r="AO212" s="143"/>
      <c r="AP212" s="146"/>
      <c r="AQ212" s="224">
        <f t="shared" si="86"/>
        <v>0</v>
      </c>
      <c r="AR212" s="126"/>
      <c r="AS212" s="274"/>
      <c r="AT212" s="126"/>
      <c r="AU212" s="126"/>
      <c r="AV212" s="126"/>
      <c r="AW212" s="275"/>
      <c r="AX212" s="126"/>
      <c r="AY212" s="274"/>
      <c r="AZ212" s="274"/>
      <c r="BA212" s="274"/>
      <c r="BB212" s="274"/>
      <c r="BC212" s="222">
        <f t="shared" si="87"/>
        <v>0</v>
      </c>
      <c r="BD212" s="140">
        <f t="shared" si="88"/>
        <v>0</v>
      </c>
      <c r="BE212" s="132"/>
      <c r="BF212" s="140">
        <f t="shared" si="89"/>
        <v>0</v>
      </c>
      <c r="BG212" s="141"/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30">
        <f t="shared" si="90"/>
        <v>0</v>
      </c>
      <c r="BU212" s="132"/>
    </row>
    <row r="213" ht="14.25" customHeight="1">
      <c r="A213" s="132"/>
      <c r="B213" s="215">
        <v>46209</v>
      </c>
      <c r="C213" s="136"/>
      <c r="D213" s="136"/>
      <c r="E213" s="135"/>
      <c r="F213" s="135"/>
      <c r="G213" s="147">
        <f t="shared" si="82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03">
        <f t="shared" si="83"/>
        <v>0</v>
      </c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43"/>
      <c r="AH213" s="103">
        <f t="shared" si="84"/>
        <v>0</v>
      </c>
      <c r="AI213" s="136"/>
      <c r="AJ213" s="136"/>
      <c r="AK213" s="136"/>
      <c r="AL213" s="105">
        <f t="shared" si="85"/>
        <v>0</v>
      </c>
      <c r="AM213" s="143"/>
      <c r="AN213" s="143"/>
      <c r="AO213" s="143"/>
      <c r="AP213" s="146"/>
      <c r="AQ213" s="224">
        <f t="shared" si="86"/>
        <v>0</v>
      </c>
      <c r="AR213" s="126"/>
      <c r="AS213" s="274"/>
      <c r="AT213" s="126"/>
      <c r="AU213" s="126"/>
      <c r="AV213" s="126"/>
      <c r="AW213" s="275"/>
      <c r="AX213" s="126"/>
      <c r="AY213" s="274"/>
      <c r="AZ213" s="274"/>
      <c r="BA213" s="274"/>
      <c r="BB213" s="274"/>
      <c r="BC213" s="222">
        <f>SUM(AS213:BB213)-BA213</f>
        <v>0</v>
      </c>
      <c r="BD213" s="140">
        <f t="shared" si="88"/>
        <v>0</v>
      </c>
      <c r="BE213" s="132"/>
      <c r="BF213" s="140">
        <f t="shared" si="89"/>
        <v>0</v>
      </c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30">
        <f t="shared" si="90"/>
        <v>0</v>
      </c>
      <c r="BU213" s="132"/>
    </row>
    <row r="214" ht="14.25" customHeight="1">
      <c r="A214" s="132"/>
      <c r="B214" s="215">
        <v>46210</v>
      </c>
      <c r="C214" s="136"/>
      <c r="D214" s="136"/>
      <c r="E214" s="135"/>
      <c r="F214" s="135"/>
      <c r="G214" s="147">
        <f t="shared" si="82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03">
        <f t="shared" si="83"/>
        <v>0</v>
      </c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43"/>
      <c r="AH214" s="103">
        <f t="shared" si="84"/>
        <v>0</v>
      </c>
      <c r="AI214" s="136"/>
      <c r="AJ214" s="136"/>
      <c r="AK214" s="136"/>
      <c r="AL214" s="105">
        <f t="shared" si="85"/>
        <v>0</v>
      </c>
      <c r="AM214" s="143"/>
      <c r="AN214" s="143"/>
      <c r="AO214" s="143"/>
      <c r="AP214" s="146"/>
      <c r="AQ214" s="224">
        <f t="shared" si="86"/>
        <v>0</v>
      </c>
      <c r="AR214" s="126"/>
      <c r="AS214" s="274"/>
      <c r="AT214" s="126"/>
      <c r="AU214" s="126"/>
      <c r="AV214" s="126"/>
      <c r="AW214" s="275"/>
      <c r="AX214" s="126"/>
      <c r="AY214" s="274"/>
      <c r="AZ214" s="274"/>
      <c r="BA214" s="274"/>
      <c r="BB214" s="274"/>
      <c r="BC214" s="222">
        <f ref="BC214:BC238" t="shared" si="91">SUM(AR214:BB214)-BA214</f>
        <v>0</v>
      </c>
      <c r="BD214" s="140">
        <f t="shared" si="88"/>
        <v>0</v>
      </c>
      <c r="BE214" s="132"/>
      <c r="BF214" s="140">
        <f t="shared" si="89"/>
        <v>0</v>
      </c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30">
        <f t="shared" si="90"/>
        <v>0</v>
      </c>
      <c r="BU214" s="132"/>
    </row>
    <row r="215" ht="14.25" customHeight="1">
      <c r="A215" s="132"/>
      <c r="B215" s="215">
        <v>46211</v>
      </c>
      <c r="C215" s="136"/>
      <c r="D215" s="136"/>
      <c r="E215" s="135"/>
      <c r="F215" s="135"/>
      <c r="G215" s="147">
        <f t="shared" si="82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03">
        <f t="shared" si="83"/>
        <v>0</v>
      </c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43"/>
      <c r="AH215" s="103">
        <f t="shared" si="84"/>
        <v>0</v>
      </c>
      <c r="AI215" s="136"/>
      <c r="AJ215" s="136"/>
      <c r="AK215" s="136"/>
      <c r="AL215" s="105">
        <f t="shared" si="85"/>
        <v>0</v>
      </c>
      <c r="AM215" s="143"/>
      <c r="AN215" s="143"/>
      <c r="AO215" s="143"/>
      <c r="AP215" s="146"/>
      <c r="AQ215" s="224">
        <f t="shared" si="86"/>
        <v>0</v>
      </c>
      <c r="AR215" s="126"/>
      <c r="AS215" s="274"/>
      <c r="AT215" s="126"/>
      <c r="AU215" s="126"/>
      <c r="AV215" s="126"/>
      <c r="AW215" s="275"/>
      <c r="AX215" s="126"/>
      <c r="AY215" s="274"/>
      <c r="AZ215" s="274"/>
      <c r="BA215" s="274"/>
      <c r="BB215" s="274"/>
      <c r="BC215" s="222">
        <f t="shared" si="91"/>
        <v>0</v>
      </c>
      <c r="BD215" s="140">
        <f t="shared" si="88"/>
        <v>0</v>
      </c>
      <c r="BE215" s="132"/>
      <c r="BF215" s="140">
        <f t="shared" si="89"/>
        <v>0</v>
      </c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30">
        <f t="shared" si="90"/>
        <v>0</v>
      </c>
      <c r="BU215" s="132"/>
    </row>
    <row r="216" ht="14.25" customHeight="1">
      <c r="A216" s="132"/>
      <c r="B216" s="215">
        <v>46212</v>
      </c>
      <c r="C216" s="136"/>
      <c r="D216" s="136"/>
      <c r="E216" s="135"/>
      <c r="F216" s="135"/>
      <c r="G216" s="147">
        <f t="shared" si="82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03">
        <f t="shared" si="83"/>
        <v>0</v>
      </c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43"/>
      <c r="AH216" s="103">
        <f t="shared" si="84"/>
        <v>0</v>
      </c>
      <c r="AI216" s="136"/>
      <c r="AJ216" s="136"/>
      <c r="AK216" s="136"/>
      <c r="AL216" s="105">
        <f t="shared" si="85"/>
        <v>0</v>
      </c>
      <c r="AM216" s="143"/>
      <c r="AN216" s="143"/>
      <c r="AO216" s="143"/>
      <c r="AP216" s="146"/>
      <c r="AQ216" s="224">
        <f t="shared" si="86"/>
        <v>0</v>
      </c>
      <c r="AR216" s="126"/>
      <c r="AS216" s="274"/>
      <c r="AT216" s="126"/>
      <c r="AU216" s="126"/>
      <c r="AV216" s="126"/>
      <c r="AW216" s="275"/>
      <c r="AX216" s="126"/>
      <c r="AY216" s="274"/>
      <c r="AZ216" s="274"/>
      <c r="BA216" s="274"/>
      <c r="BB216" s="274"/>
      <c r="BC216" s="222">
        <f t="shared" si="91"/>
        <v>0</v>
      </c>
      <c r="BD216" s="140">
        <f t="shared" si="88"/>
        <v>0</v>
      </c>
      <c r="BE216" s="132"/>
      <c r="BF216" s="140">
        <f t="shared" si="89"/>
        <v>0</v>
      </c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30">
        <f t="shared" si="90"/>
        <v>0</v>
      </c>
      <c r="BU216" s="132"/>
    </row>
    <row r="217" ht="14.25" customHeight="1">
      <c r="A217" s="132"/>
      <c r="B217" s="215">
        <v>46213</v>
      </c>
      <c r="C217" s="136"/>
      <c r="D217" s="136"/>
      <c r="E217" s="135"/>
      <c r="F217" s="135"/>
      <c r="G217" s="147">
        <f t="shared" si="82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03">
        <f t="shared" si="83"/>
        <v>0</v>
      </c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43"/>
      <c r="AH217" s="103">
        <f t="shared" si="84"/>
        <v>0</v>
      </c>
      <c r="AI217" s="136"/>
      <c r="AJ217" s="136"/>
      <c r="AK217" s="136"/>
      <c r="AL217" s="105">
        <f t="shared" si="85"/>
        <v>0</v>
      </c>
      <c r="AM217" s="143"/>
      <c r="AN217" s="143"/>
      <c r="AO217" s="143"/>
      <c r="AP217" s="146"/>
      <c r="AQ217" s="224">
        <f t="shared" si="86"/>
        <v>0</v>
      </c>
      <c r="AR217" s="126"/>
      <c r="AS217" s="274"/>
      <c r="AT217" s="126"/>
      <c r="AU217" s="126"/>
      <c r="AV217" s="126"/>
      <c r="AW217" s="275"/>
      <c r="AX217" s="126"/>
      <c r="AY217" s="274"/>
      <c r="AZ217" s="274"/>
      <c r="BA217" s="274"/>
      <c r="BB217" s="274"/>
      <c r="BC217" s="222">
        <f t="shared" si="91"/>
        <v>0</v>
      </c>
      <c r="BD217" s="140">
        <f t="shared" si="88"/>
        <v>0</v>
      </c>
      <c r="BE217" s="132"/>
      <c r="BF217" s="140">
        <f t="shared" si="89"/>
        <v>0</v>
      </c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30">
        <f t="shared" si="90"/>
        <v>0</v>
      </c>
      <c r="BU217" s="132"/>
    </row>
    <row r="218" ht="14.25" customHeight="1">
      <c r="A218" s="132"/>
      <c r="B218" s="215">
        <v>46214</v>
      </c>
      <c r="C218" s="136"/>
      <c r="D218" s="136"/>
      <c r="E218" s="135"/>
      <c r="F218" s="135"/>
      <c r="G218" s="147">
        <f t="shared" si="82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03">
        <f t="shared" si="83"/>
        <v>0</v>
      </c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43"/>
      <c r="AH218" s="103">
        <f t="shared" si="84"/>
        <v>0</v>
      </c>
      <c r="AI218" s="136"/>
      <c r="AJ218" s="136"/>
      <c r="AK218" s="136"/>
      <c r="AL218" s="105">
        <f t="shared" si="85"/>
        <v>0</v>
      </c>
      <c r="AM218" s="143"/>
      <c r="AN218" s="143"/>
      <c r="AO218" s="143"/>
      <c r="AP218" s="146"/>
      <c r="AQ218" s="224">
        <f t="shared" si="86"/>
        <v>0</v>
      </c>
      <c r="AR218" s="126"/>
      <c r="AS218" s="274"/>
      <c r="AT218" s="126"/>
      <c r="AU218" s="126"/>
      <c r="AV218" s="126"/>
      <c r="AW218" s="275"/>
      <c r="AX218" s="126"/>
      <c r="AY218" s="274"/>
      <c r="AZ218" s="274"/>
      <c r="BA218" s="274"/>
      <c r="BB218" s="274"/>
      <c r="BC218" s="222">
        <f t="shared" si="91"/>
        <v>0</v>
      </c>
      <c r="BD218" s="140">
        <f t="shared" si="88"/>
        <v>0</v>
      </c>
      <c r="BE218" s="132"/>
      <c r="BF218" s="140">
        <f t="shared" si="89"/>
        <v>0</v>
      </c>
      <c r="BG218" s="141"/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30">
        <f t="shared" si="90"/>
        <v>0</v>
      </c>
      <c r="BU218" s="132"/>
    </row>
    <row r="219" ht="14.25" customHeight="1">
      <c r="A219" s="3"/>
      <c r="B219" s="215">
        <v>46215</v>
      </c>
      <c r="C219" s="123"/>
      <c r="D219" s="123"/>
      <c r="E219" s="120"/>
      <c r="F219" s="120"/>
      <c r="G219" s="147">
        <f t="shared" si="82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03">
        <f t="shared" si="83"/>
        <v>0</v>
      </c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43"/>
      <c r="AH219" s="103">
        <f t="shared" si="84"/>
        <v>0</v>
      </c>
      <c r="AI219" s="123"/>
      <c r="AJ219" s="123"/>
      <c r="AK219" s="123"/>
      <c r="AL219" s="105">
        <f t="shared" si="85"/>
        <v>0</v>
      </c>
      <c r="AM219" s="143"/>
      <c r="AN219" s="143"/>
      <c r="AO219" s="143"/>
      <c r="AP219" s="146"/>
      <c r="AQ219" s="224">
        <f t="shared" si="86"/>
        <v>0</v>
      </c>
      <c r="AR219" s="126"/>
      <c r="AS219" s="274"/>
      <c r="AT219" s="126"/>
      <c r="AU219" s="126"/>
      <c r="AV219" s="126"/>
      <c r="AW219" s="275"/>
      <c r="AX219" s="126"/>
      <c r="AY219" s="274"/>
      <c r="AZ219" s="274"/>
      <c r="BA219" s="274"/>
      <c r="BB219" s="274"/>
      <c r="BC219" s="222">
        <f t="shared" si="91"/>
        <v>0</v>
      </c>
      <c r="BD219" s="113">
        <f t="shared" si="88"/>
        <v>0</v>
      </c>
      <c r="BE219" s="3"/>
      <c r="BF219" s="113">
        <f t="shared" si="89"/>
        <v>0</v>
      </c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41"/>
      <c r="BS219" s="129"/>
      <c r="BT219" s="130">
        <f t="shared" si="90"/>
        <v>0</v>
      </c>
      <c r="BU219" s="3"/>
    </row>
    <row r="220" ht="14.25" customHeight="1">
      <c r="A220" s="132"/>
      <c r="B220" s="215">
        <v>46216</v>
      </c>
      <c r="C220" s="136"/>
      <c r="D220" s="136"/>
      <c r="E220" s="135"/>
      <c r="F220" s="135"/>
      <c r="G220" s="147">
        <f t="shared" si="82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03">
        <f t="shared" si="83"/>
        <v>0</v>
      </c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43"/>
      <c r="AH220" s="103">
        <f t="shared" si="84"/>
        <v>0</v>
      </c>
      <c r="AI220" s="136"/>
      <c r="AJ220" s="136"/>
      <c r="AK220" s="136"/>
      <c r="AL220" s="105">
        <f t="shared" si="85"/>
        <v>0</v>
      </c>
      <c r="AM220" s="143"/>
      <c r="AN220" s="143"/>
      <c r="AO220" s="143"/>
      <c r="AP220" s="146"/>
      <c r="AQ220" s="224">
        <f t="shared" si="86"/>
        <v>0</v>
      </c>
      <c r="AR220" s="126"/>
      <c r="AS220" s="274"/>
      <c r="AT220" s="126"/>
      <c r="AU220" s="126"/>
      <c r="AV220" s="126"/>
      <c r="AW220" s="275"/>
      <c r="AX220" s="126"/>
      <c r="AY220" s="274"/>
      <c r="AZ220" s="274"/>
      <c r="BA220" s="274"/>
      <c r="BB220" s="274"/>
      <c r="BC220" s="222">
        <f t="shared" si="91"/>
        <v>0</v>
      </c>
      <c r="BD220" s="140">
        <f t="shared" si="88"/>
        <v>0</v>
      </c>
      <c r="BE220" s="132"/>
      <c r="BF220" s="140">
        <f t="shared" si="89"/>
        <v>0</v>
      </c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30">
        <f t="shared" si="90"/>
        <v>0</v>
      </c>
      <c r="BU220" s="132"/>
    </row>
    <row r="221" ht="14.25" customHeight="1">
      <c r="A221" s="132"/>
      <c r="B221" s="215">
        <v>46217</v>
      </c>
      <c r="C221" s="136"/>
      <c r="D221" s="136"/>
      <c r="E221" s="135"/>
      <c r="F221" s="135"/>
      <c r="G221" s="147">
        <f t="shared" si="82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03">
        <f t="shared" si="83"/>
        <v>0</v>
      </c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43"/>
      <c r="AH221" s="103">
        <f t="shared" si="84"/>
        <v>0</v>
      </c>
      <c r="AI221" s="136"/>
      <c r="AJ221" s="136"/>
      <c r="AK221" s="136"/>
      <c r="AL221" s="105">
        <f t="shared" si="85"/>
        <v>0</v>
      </c>
      <c r="AM221" s="143"/>
      <c r="AN221" s="143"/>
      <c r="AO221" s="143"/>
      <c r="AP221" s="146"/>
      <c r="AQ221" s="224">
        <f t="shared" si="86"/>
        <v>0</v>
      </c>
      <c r="AR221" s="126"/>
      <c r="AS221" s="274"/>
      <c r="AT221" s="126"/>
      <c r="AU221" s="1314"/>
      <c r="AV221" s="126"/>
      <c r="AW221" s="275"/>
      <c r="AX221" s="126"/>
      <c r="AY221" s="274"/>
      <c r="AZ221" s="274"/>
      <c r="BA221" s="274"/>
      <c r="BB221" s="274"/>
      <c r="BC221" s="222">
        <f t="shared" si="91"/>
        <v>0</v>
      </c>
      <c r="BD221" s="140">
        <f t="shared" si="88"/>
        <v>0</v>
      </c>
      <c r="BE221" s="132"/>
      <c r="BF221" s="140">
        <f t="shared" si="89"/>
        <v>0</v>
      </c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30">
        <f t="shared" si="90"/>
        <v>0</v>
      </c>
      <c r="BU221" s="132"/>
    </row>
    <row r="222" ht="14.25" customHeight="1">
      <c r="A222" s="132"/>
      <c r="B222" s="215">
        <v>46218</v>
      </c>
      <c r="C222" s="136"/>
      <c r="D222" s="136"/>
      <c r="E222" s="135"/>
      <c r="F222" s="135"/>
      <c r="G222" s="147">
        <f t="shared" si="82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03">
        <f t="shared" si="83"/>
        <v>0</v>
      </c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43"/>
      <c r="AH222" s="103">
        <f t="shared" si="84"/>
        <v>0</v>
      </c>
      <c r="AI222" s="136"/>
      <c r="AJ222" s="136"/>
      <c r="AK222" s="136"/>
      <c r="AL222" s="105">
        <f t="shared" si="85"/>
        <v>0</v>
      </c>
      <c r="AM222" s="143"/>
      <c r="AN222" s="143"/>
      <c r="AO222" s="143"/>
      <c r="AP222" s="146"/>
      <c r="AQ222" s="224">
        <f t="shared" si="86"/>
        <v>0</v>
      </c>
      <c r="AR222" s="126"/>
      <c r="AS222" s="274"/>
      <c r="AT222" s="126"/>
      <c r="AU222" s="126"/>
      <c r="AV222" s="126"/>
      <c r="AW222" s="275"/>
      <c r="AX222" s="126"/>
      <c r="AY222" s="274"/>
      <c r="AZ222" s="274"/>
      <c r="BA222" s="274"/>
      <c r="BB222" s="274"/>
      <c r="BC222" s="222">
        <f t="shared" si="91"/>
        <v>0</v>
      </c>
      <c r="BD222" s="140">
        <f t="shared" si="88"/>
        <v>0</v>
      </c>
      <c r="BE222" s="132"/>
      <c r="BF222" s="140">
        <f t="shared" si="89"/>
        <v>0</v>
      </c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30">
        <f t="shared" si="90"/>
        <v>0</v>
      </c>
      <c r="BU222" s="132"/>
    </row>
    <row r="223" ht="14.25" customHeight="1">
      <c r="A223" s="132"/>
      <c r="B223" s="215">
        <v>46219</v>
      </c>
      <c r="C223" s="136"/>
      <c r="D223" s="136"/>
      <c r="E223" s="135"/>
      <c r="F223" s="135"/>
      <c r="G223" s="147">
        <f t="shared" si="82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03">
        <f t="shared" si="83"/>
        <v>0</v>
      </c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03">
        <f t="shared" si="84"/>
        <v>0</v>
      </c>
      <c r="AI223" s="136"/>
      <c r="AJ223" s="136"/>
      <c r="AK223" s="136"/>
      <c r="AL223" s="105">
        <f t="shared" si="85"/>
        <v>0</v>
      </c>
      <c r="AM223" s="143"/>
      <c r="AN223" s="143"/>
      <c r="AO223" s="143"/>
      <c r="AP223" s="146"/>
      <c r="AQ223" s="224">
        <f t="shared" si="86"/>
        <v>0</v>
      </c>
      <c r="AR223" s="126"/>
      <c r="AS223" s="274"/>
      <c r="AT223" s="126"/>
      <c r="AU223" s="126"/>
      <c r="AV223" s="126"/>
      <c r="AW223" s="275"/>
      <c r="AX223" s="126"/>
      <c r="AY223" s="274"/>
      <c r="AZ223" s="274"/>
      <c r="BA223" s="274"/>
      <c r="BB223" s="274"/>
      <c r="BC223" s="222">
        <f t="shared" si="91"/>
        <v>0</v>
      </c>
      <c r="BD223" s="140">
        <f t="shared" si="88"/>
        <v>0</v>
      </c>
      <c r="BE223" s="132"/>
      <c r="BF223" s="140">
        <f t="shared" si="89"/>
        <v>0</v>
      </c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30">
        <f t="shared" si="90"/>
        <v>0</v>
      </c>
      <c r="BU223" s="132"/>
    </row>
    <row r="224" ht="14.25" customHeight="1">
      <c r="A224" s="132"/>
      <c r="B224" s="215">
        <v>46220</v>
      </c>
      <c r="C224" s="136"/>
      <c r="D224" s="136"/>
      <c r="E224" s="135"/>
      <c r="F224" s="135"/>
      <c r="G224" s="147">
        <f t="shared" si="82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03">
        <f t="shared" si="83"/>
        <v>0</v>
      </c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43"/>
      <c r="AH224" s="103">
        <f t="shared" si="84"/>
        <v>0</v>
      </c>
      <c r="AI224" s="136"/>
      <c r="AJ224" s="136"/>
      <c r="AK224" s="136"/>
      <c r="AL224" s="105">
        <f t="shared" si="85"/>
        <v>0</v>
      </c>
      <c r="AM224" s="143"/>
      <c r="AN224" s="143"/>
      <c r="AO224" s="143"/>
      <c r="AP224" s="146"/>
      <c r="AQ224" s="224">
        <f t="shared" si="86"/>
        <v>0</v>
      </c>
      <c r="AR224" s="126"/>
      <c r="AS224" s="274"/>
      <c r="AT224" s="126"/>
      <c r="AU224" s="126"/>
      <c r="AV224" s="126"/>
      <c r="AW224" s="275"/>
      <c r="AX224" s="126"/>
      <c r="AY224" s="274"/>
      <c r="AZ224" s="274"/>
      <c r="BA224" s="274"/>
      <c r="BB224" s="274"/>
      <c r="BC224" s="222">
        <f t="shared" si="91"/>
        <v>0</v>
      </c>
      <c r="BD224" s="140">
        <f t="shared" si="88"/>
        <v>0</v>
      </c>
      <c r="BE224" s="132"/>
      <c r="BF224" s="140">
        <f t="shared" si="89"/>
        <v>0</v>
      </c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30">
        <f t="shared" si="90"/>
        <v>0</v>
      </c>
      <c r="BU224" s="132"/>
    </row>
    <row r="225" ht="14.25" customHeight="1">
      <c r="A225" s="132"/>
      <c r="B225" s="215">
        <v>46221</v>
      </c>
      <c r="C225" s="136"/>
      <c r="D225" s="136"/>
      <c r="E225" s="135"/>
      <c r="F225" s="135"/>
      <c r="G225" s="147">
        <f t="shared" si="82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03">
        <f t="shared" si="83"/>
        <v>0</v>
      </c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43"/>
      <c r="AH225" s="103">
        <f t="shared" si="84"/>
        <v>0</v>
      </c>
      <c r="AI225" s="136"/>
      <c r="AJ225" s="136"/>
      <c r="AK225" s="136"/>
      <c r="AL225" s="105">
        <f t="shared" si="85"/>
        <v>0</v>
      </c>
      <c r="AM225" s="143"/>
      <c r="AN225" s="143"/>
      <c r="AO225" s="143"/>
      <c r="AP225" s="146"/>
      <c r="AQ225" s="224">
        <f t="shared" si="86"/>
        <v>0</v>
      </c>
      <c r="AR225" s="126"/>
      <c r="AS225" s="274"/>
      <c r="AT225" s="126"/>
      <c r="AU225" s="126"/>
      <c r="AV225" s="126"/>
      <c r="AW225" s="275"/>
      <c r="AX225" s="126"/>
      <c r="AY225" s="274"/>
      <c r="AZ225" s="274"/>
      <c r="BA225" s="274"/>
      <c r="BB225" s="274"/>
      <c r="BC225" s="222">
        <f t="shared" si="91"/>
        <v>0</v>
      </c>
      <c r="BD225" s="140">
        <f t="shared" si="88"/>
        <v>0</v>
      </c>
      <c r="BE225" s="132"/>
      <c r="BF225" s="140">
        <f t="shared" si="89"/>
        <v>0</v>
      </c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30">
        <f t="shared" si="90"/>
        <v>0</v>
      </c>
      <c r="BU225" s="132"/>
    </row>
    <row r="226" ht="14.25" customHeight="1">
      <c r="A226" s="132"/>
      <c r="B226" s="215">
        <v>46222</v>
      </c>
      <c r="C226" s="136"/>
      <c r="D226" s="136"/>
      <c r="E226" s="135"/>
      <c r="F226" s="135"/>
      <c r="G226" s="147">
        <f t="shared" si="82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03">
        <f t="shared" si="83"/>
        <v>0</v>
      </c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43"/>
      <c r="AH226" s="103">
        <f t="shared" si="84"/>
        <v>0</v>
      </c>
      <c r="AI226" s="136"/>
      <c r="AJ226" s="136"/>
      <c r="AK226" s="136"/>
      <c r="AL226" s="105">
        <f t="shared" si="85"/>
        <v>0</v>
      </c>
      <c r="AM226" s="143"/>
      <c r="AN226" s="143"/>
      <c r="AO226" s="143"/>
      <c r="AP226" s="146"/>
      <c r="AQ226" s="224">
        <f t="shared" si="86"/>
        <v>0</v>
      </c>
      <c r="AR226" s="126"/>
      <c r="AS226" s="274"/>
      <c r="AT226" s="126"/>
      <c r="AU226" s="126"/>
      <c r="AV226" s="126"/>
      <c r="AW226" s="275"/>
      <c r="AX226" s="126"/>
      <c r="AY226" s="274"/>
      <c r="AZ226" s="274"/>
      <c r="BA226" s="274"/>
      <c r="BB226" s="274"/>
      <c r="BC226" s="222">
        <f t="shared" si="91"/>
        <v>0</v>
      </c>
      <c r="BD226" s="140">
        <f t="shared" si="88"/>
        <v>0</v>
      </c>
      <c r="BE226" s="132"/>
      <c r="BF226" s="140">
        <f t="shared" si="89"/>
        <v>0</v>
      </c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30">
        <f t="shared" si="90"/>
        <v>0</v>
      </c>
      <c r="BU226" s="132"/>
    </row>
    <row r="227" ht="14.25" customHeight="1">
      <c r="A227" s="132"/>
      <c r="B227" s="215">
        <v>46223</v>
      </c>
      <c r="C227" s="136"/>
      <c r="D227" s="136"/>
      <c r="E227" s="135"/>
      <c r="F227" s="135"/>
      <c r="G227" s="147">
        <f t="shared" si="82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03">
        <f t="shared" si="83"/>
        <v>0</v>
      </c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43"/>
      <c r="AH227" s="103">
        <f t="shared" si="84"/>
        <v>0</v>
      </c>
      <c r="AI227" s="136"/>
      <c r="AJ227" s="136"/>
      <c r="AK227" s="136"/>
      <c r="AL227" s="105">
        <f t="shared" si="85"/>
        <v>0</v>
      </c>
      <c r="AM227" s="143"/>
      <c r="AN227" s="143"/>
      <c r="AO227" s="143"/>
      <c r="AP227" s="146"/>
      <c r="AQ227" s="224">
        <f t="shared" si="86"/>
        <v>0</v>
      </c>
      <c r="AR227" s="126"/>
      <c r="AS227" s="274"/>
      <c r="AT227" s="126"/>
      <c r="AU227" s="126"/>
      <c r="AV227" s="126"/>
      <c r="AW227" s="275"/>
      <c r="AX227" s="126"/>
      <c r="AY227" s="274"/>
      <c r="AZ227" s="274"/>
      <c r="BA227" s="274"/>
      <c r="BB227" s="274"/>
      <c r="BC227" s="222">
        <f t="shared" si="91"/>
        <v>0</v>
      </c>
      <c r="BD227" s="140">
        <f t="shared" si="88"/>
        <v>0</v>
      </c>
      <c r="BE227" s="132"/>
      <c r="BF227" s="140">
        <f t="shared" si="89"/>
        <v>0</v>
      </c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30">
        <f t="shared" si="90"/>
        <v>0</v>
      </c>
      <c r="BU227" s="132"/>
    </row>
    <row r="228" ht="14.25" customHeight="1">
      <c r="A228" s="132"/>
      <c r="B228" s="215">
        <v>46224</v>
      </c>
      <c r="C228" s="136"/>
      <c r="D228" s="136"/>
      <c r="E228" s="135"/>
      <c r="F228" s="135"/>
      <c r="G228" s="147">
        <f t="shared" si="82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03">
        <f t="shared" si="83"/>
        <v>0</v>
      </c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43"/>
      <c r="AH228" s="103">
        <f t="shared" si="84"/>
        <v>0</v>
      </c>
      <c r="AI228" s="136"/>
      <c r="AJ228" s="136"/>
      <c r="AK228" s="136"/>
      <c r="AL228" s="105">
        <f t="shared" si="85"/>
        <v>0</v>
      </c>
      <c r="AM228" s="143"/>
      <c r="AN228" s="143"/>
      <c r="AO228" s="143"/>
      <c r="AP228" s="146"/>
      <c r="AQ228" s="224">
        <f t="shared" si="86"/>
        <v>0</v>
      </c>
      <c r="AR228" s="126"/>
      <c r="AS228" s="274"/>
      <c r="AT228" s="126"/>
      <c r="AU228" s="126"/>
      <c r="AV228" s="126"/>
      <c r="AW228" s="275"/>
      <c r="AX228" s="126"/>
      <c r="AY228" s="274"/>
      <c r="AZ228" s="274"/>
      <c r="BA228" s="274"/>
      <c r="BB228" s="274"/>
      <c r="BC228" s="222">
        <f t="shared" si="91"/>
        <v>0</v>
      </c>
      <c r="BD228" s="140">
        <f t="shared" si="88"/>
        <v>0</v>
      </c>
      <c r="BE228" s="132"/>
      <c r="BF228" s="140">
        <f t="shared" si="89"/>
        <v>0</v>
      </c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30">
        <f t="shared" si="90"/>
        <v>0</v>
      </c>
      <c r="BU228" s="132"/>
    </row>
    <row r="229" ht="14.25" customHeight="1">
      <c r="A229" s="132"/>
      <c r="B229" s="215">
        <v>46225</v>
      </c>
      <c r="C229" s="136"/>
      <c r="D229" s="136"/>
      <c r="E229" s="135"/>
      <c r="F229" s="135"/>
      <c r="G229" s="147">
        <f t="shared" si="82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03">
        <f t="shared" si="83"/>
        <v>0</v>
      </c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43"/>
      <c r="AH229" s="103">
        <f t="shared" si="84"/>
        <v>0</v>
      </c>
      <c r="AI229" s="136"/>
      <c r="AJ229" s="136"/>
      <c r="AK229" s="136"/>
      <c r="AL229" s="105">
        <f t="shared" si="85"/>
        <v>0</v>
      </c>
      <c r="AM229" s="143"/>
      <c r="AN229" s="143"/>
      <c r="AO229" s="143"/>
      <c r="AP229" s="146"/>
      <c r="AQ229" s="224">
        <f t="shared" si="86"/>
        <v>0</v>
      </c>
      <c r="AR229" s="126"/>
      <c r="AS229" s="274"/>
      <c r="AT229" s="126"/>
      <c r="AU229" s="126"/>
      <c r="AV229" s="126"/>
      <c r="AW229" s="275"/>
      <c r="AX229" s="126"/>
      <c r="AY229" s="274"/>
      <c r="AZ229" s="274"/>
      <c r="BA229" s="274"/>
      <c r="BB229" s="274"/>
      <c r="BC229" s="222">
        <f t="shared" si="91"/>
        <v>0</v>
      </c>
      <c r="BD229" s="140">
        <f t="shared" si="88"/>
        <v>0</v>
      </c>
      <c r="BE229" s="132"/>
      <c r="BF229" s="140">
        <f t="shared" si="89"/>
        <v>0</v>
      </c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30">
        <f t="shared" si="90"/>
        <v>0</v>
      </c>
      <c r="BU229" s="132"/>
    </row>
    <row r="230" ht="14.25" customHeight="1">
      <c r="A230" s="132"/>
      <c r="B230" s="215">
        <v>46226</v>
      </c>
      <c r="C230" s="136"/>
      <c r="D230" s="136"/>
      <c r="E230" s="135"/>
      <c r="F230" s="135"/>
      <c r="G230" s="147">
        <f t="shared" si="82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03">
        <f t="shared" si="83"/>
        <v>0</v>
      </c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43"/>
      <c r="AH230" s="103">
        <f t="shared" si="84"/>
        <v>0</v>
      </c>
      <c r="AI230" s="136"/>
      <c r="AJ230" s="136"/>
      <c r="AK230" s="136"/>
      <c r="AL230" s="105">
        <f t="shared" si="85"/>
        <v>0</v>
      </c>
      <c r="AM230" s="143"/>
      <c r="AN230" s="143"/>
      <c r="AO230" s="143"/>
      <c r="AP230" s="146"/>
      <c r="AQ230" s="224">
        <f t="shared" si="86"/>
        <v>0</v>
      </c>
      <c r="AR230" s="126"/>
      <c r="AS230" s="274"/>
      <c r="AT230" s="126"/>
      <c r="AU230" s="126"/>
      <c r="AV230" s="126"/>
      <c r="AW230" s="275"/>
      <c r="AX230" s="126"/>
      <c r="AY230" s="274"/>
      <c r="AZ230" s="274"/>
      <c r="BA230" s="274"/>
      <c r="BB230" s="274"/>
      <c r="BC230" s="222">
        <f t="shared" si="91"/>
        <v>0</v>
      </c>
      <c r="BD230" s="140">
        <f t="shared" si="88"/>
        <v>0</v>
      </c>
      <c r="BE230" s="132"/>
      <c r="BF230" s="140">
        <f t="shared" si="89"/>
        <v>0</v>
      </c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30">
        <f t="shared" si="90"/>
        <v>0</v>
      </c>
      <c r="BU230" s="132"/>
    </row>
    <row r="231" ht="14.25" customHeight="1">
      <c r="A231" s="132"/>
      <c r="B231" s="215">
        <v>46227</v>
      </c>
      <c r="C231" s="136"/>
      <c r="D231" s="136"/>
      <c r="E231" s="135"/>
      <c r="F231" s="135"/>
      <c r="G231" s="147">
        <f t="shared" si="82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03">
        <f t="shared" si="83"/>
        <v>0</v>
      </c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43"/>
      <c r="AH231" s="103">
        <f t="shared" si="84"/>
        <v>0</v>
      </c>
      <c r="AI231" s="136"/>
      <c r="AJ231" s="136"/>
      <c r="AK231" s="136"/>
      <c r="AL231" s="105">
        <f t="shared" si="85"/>
        <v>0</v>
      </c>
      <c r="AM231" s="143"/>
      <c r="AN231" s="143"/>
      <c r="AO231" s="143"/>
      <c r="AP231" s="146"/>
      <c r="AQ231" s="224">
        <f t="shared" si="86"/>
        <v>0</v>
      </c>
      <c r="AR231" s="126"/>
      <c r="AS231" s="274"/>
      <c r="AT231" s="126"/>
      <c r="AU231" s="126"/>
      <c r="AV231" s="126"/>
      <c r="AW231" s="275"/>
      <c r="AX231" s="126"/>
      <c r="AY231" s="274"/>
      <c r="AZ231" s="274"/>
      <c r="BA231" s="274"/>
      <c r="BB231" s="274"/>
      <c r="BC231" s="222">
        <f t="shared" si="91"/>
        <v>0</v>
      </c>
      <c r="BD231" s="140">
        <f t="shared" si="88"/>
        <v>0</v>
      </c>
      <c r="BE231" s="132"/>
      <c r="BF231" s="140">
        <f t="shared" si="89"/>
        <v>0</v>
      </c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30">
        <f t="shared" si="90"/>
        <v>0</v>
      </c>
      <c r="BU231" s="132"/>
    </row>
    <row r="232" ht="14.25" customHeight="1">
      <c r="A232" s="132"/>
      <c r="B232" s="215">
        <v>46228</v>
      </c>
      <c r="C232" s="136"/>
      <c r="D232" s="136"/>
      <c r="E232" s="135"/>
      <c r="F232" s="135"/>
      <c r="G232" s="147">
        <f t="shared" si="82"/>
        <v>0</v>
      </c>
      <c r="H232" s="144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03">
        <f t="shared" si="83"/>
        <v>0</v>
      </c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43"/>
      <c r="AH232" s="103">
        <f t="shared" si="84"/>
        <v>0</v>
      </c>
      <c r="AI232" s="136"/>
      <c r="AJ232" s="136"/>
      <c r="AK232" s="136"/>
      <c r="AL232" s="105">
        <f t="shared" si="85"/>
        <v>0</v>
      </c>
      <c r="AM232" s="143"/>
      <c r="AN232" s="143"/>
      <c r="AO232" s="143"/>
      <c r="AP232" s="146"/>
      <c r="AQ232" s="224">
        <f t="shared" si="86"/>
        <v>0</v>
      </c>
      <c r="AR232" s="126"/>
      <c r="AS232" s="274"/>
      <c r="AT232" s="126"/>
      <c r="AU232" s="126"/>
      <c r="AV232" s="126"/>
      <c r="AW232" s="275"/>
      <c r="AX232" s="126"/>
      <c r="AY232" s="274"/>
      <c r="AZ232" s="274"/>
      <c r="BA232" s="274"/>
      <c r="BB232" s="274"/>
      <c r="BC232" s="222">
        <f t="shared" si="91"/>
        <v>0</v>
      </c>
      <c r="BD232" s="140">
        <f t="shared" si="88"/>
        <v>0</v>
      </c>
      <c r="BE232" s="132"/>
      <c r="BF232" s="140">
        <f t="shared" si="89"/>
        <v>0</v>
      </c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30">
        <f t="shared" si="90"/>
        <v>0</v>
      </c>
      <c r="BU232" s="132"/>
    </row>
    <row r="233" ht="14.25" customHeight="1">
      <c r="A233" s="132"/>
      <c r="B233" s="215">
        <v>46229</v>
      </c>
      <c r="C233" s="136"/>
      <c r="D233" s="136"/>
      <c r="E233" s="135"/>
      <c r="F233" s="135"/>
      <c r="G233" s="147">
        <f t="shared" si="82"/>
        <v>0</v>
      </c>
      <c r="H233" s="144"/>
      <c r="I233" s="143"/>
      <c r="J233" s="143"/>
      <c r="K233" s="143"/>
      <c r="L233" s="143"/>
      <c r="M233" s="143"/>
      <c r="N233" s="99"/>
      <c r="O233" s="143"/>
      <c r="P233" s="143"/>
      <c r="Q233" s="143"/>
      <c r="R233" s="143"/>
      <c r="S233" s="143"/>
      <c r="T233" s="143"/>
      <c r="U233" s="103">
        <f t="shared" si="83"/>
        <v>0</v>
      </c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43"/>
      <c r="AH233" s="103">
        <f t="shared" si="84"/>
        <v>0</v>
      </c>
      <c r="AI233" s="136"/>
      <c r="AJ233" s="136"/>
      <c r="AK233" s="136"/>
      <c r="AL233" s="105">
        <f t="shared" si="85"/>
        <v>0</v>
      </c>
      <c r="AM233" s="143"/>
      <c r="AN233" s="143"/>
      <c r="AO233" s="143"/>
      <c r="AP233" s="146"/>
      <c r="AQ233" s="224">
        <f t="shared" si="86"/>
        <v>0</v>
      </c>
      <c r="AR233" s="126"/>
      <c r="AS233" s="274"/>
      <c r="AT233" s="126"/>
      <c r="AU233" s="126"/>
      <c r="AV233" s="126"/>
      <c r="AW233" s="275"/>
      <c r="AX233" s="126"/>
      <c r="AY233" s="274"/>
      <c r="AZ233" s="274"/>
      <c r="BA233" s="274"/>
      <c r="BB233" s="274"/>
      <c r="BC233" s="222">
        <f t="shared" si="91"/>
        <v>0</v>
      </c>
      <c r="BD233" s="140">
        <f t="shared" si="88"/>
        <v>0</v>
      </c>
      <c r="BE233" s="132"/>
      <c r="BF233" s="140">
        <f t="shared" si="89"/>
        <v>0</v>
      </c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30">
        <f t="shared" si="90"/>
        <v>0</v>
      </c>
      <c r="BU233" s="132"/>
    </row>
    <row r="234" ht="14.25" customHeight="1">
      <c r="A234" s="132"/>
      <c r="B234" s="215">
        <v>46230</v>
      </c>
      <c r="C234" s="136"/>
      <c r="D234" s="136"/>
      <c r="E234" s="135"/>
      <c r="F234" s="135"/>
      <c r="G234" s="147">
        <f t="shared" si="82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03">
        <f t="shared" si="83"/>
        <v>0</v>
      </c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43"/>
      <c r="AH234" s="103">
        <f t="shared" si="84"/>
        <v>0</v>
      </c>
      <c r="AI234" s="136"/>
      <c r="AJ234" s="136"/>
      <c r="AK234" s="136"/>
      <c r="AL234" s="105">
        <f t="shared" si="85"/>
        <v>0</v>
      </c>
      <c r="AM234" s="143"/>
      <c r="AN234" s="143"/>
      <c r="AO234" s="143"/>
      <c r="AP234" s="146"/>
      <c r="AQ234" s="224">
        <f t="shared" si="86"/>
        <v>0</v>
      </c>
      <c r="AR234" s="126"/>
      <c r="AS234" s="274"/>
      <c r="AT234" s="126"/>
      <c r="AU234" s="126"/>
      <c r="AV234" s="126"/>
      <c r="AW234" s="275"/>
      <c r="AX234" s="126"/>
      <c r="AY234" s="274"/>
      <c r="AZ234" s="274"/>
      <c r="BA234" s="274"/>
      <c r="BB234" s="274"/>
      <c r="BC234" s="222">
        <f t="shared" si="91"/>
        <v>0</v>
      </c>
      <c r="BD234" s="140">
        <f t="shared" si="88"/>
        <v>0</v>
      </c>
      <c r="BE234" s="132"/>
      <c r="BF234" s="140">
        <f t="shared" si="89"/>
        <v>0</v>
      </c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30">
        <f t="shared" si="90"/>
        <v>0</v>
      </c>
      <c r="BU234" s="132"/>
    </row>
    <row r="235" ht="14.25" customHeight="1">
      <c r="A235" s="132"/>
      <c r="B235" s="215">
        <v>46231</v>
      </c>
      <c r="C235" s="136"/>
      <c r="D235" s="136"/>
      <c r="E235" s="135"/>
      <c r="F235" s="135"/>
      <c r="G235" s="147">
        <f t="shared" si="82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03">
        <f t="shared" si="83"/>
        <v>0</v>
      </c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43"/>
      <c r="AH235" s="103">
        <f t="shared" si="84"/>
        <v>0</v>
      </c>
      <c r="AI235" s="136"/>
      <c r="AJ235" s="136"/>
      <c r="AK235" s="136"/>
      <c r="AL235" s="105">
        <f t="shared" si="85"/>
        <v>0</v>
      </c>
      <c r="AM235" s="143"/>
      <c r="AN235" s="143"/>
      <c r="AO235" s="143"/>
      <c r="AP235" s="146"/>
      <c r="AQ235" s="224">
        <f t="shared" si="86"/>
        <v>0</v>
      </c>
      <c r="AR235" s="126"/>
      <c r="AS235" s="274"/>
      <c r="AT235" s="126"/>
      <c r="AU235" s="126"/>
      <c r="AV235" s="126"/>
      <c r="AW235" s="275"/>
      <c r="AX235" s="126"/>
      <c r="AY235" s="274"/>
      <c r="AZ235" s="274"/>
      <c r="BA235" s="274"/>
      <c r="BB235" s="274"/>
      <c r="BC235" s="222">
        <f t="shared" si="91"/>
        <v>0</v>
      </c>
      <c r="BD235" s="140">
        <f t="shared" si="88"/>
        <v>0</v>
      </c>
      <c r="BE235" s="132"/>
      <c r="BF235" s="140">
        <f t="shared" si="89"/>
        <v>0</v>
      </c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30">
        <f t="shared" si="90"/>
        <v>0</v>
      </c>
      <c r="BU235" s="132"/>
    </row>
    <row r="236" ht="14.25" customHeight="1">
      <c r="A236" s="132"/>
      <c r="B236" s="215">
        <v>46232</v>
      </c>
      <c r="C236" s="136"/>
      <c r="D236" s="136"/>
      <c r="E236" s="135"/>
      <c r="F236" s="135"/>
      <c r="G236" s="147">
        <f t="shared" si="82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03">
        <f t="shared" si="83"/>
        <v>0</v>
      </c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43"/>
      <c r="AH236" s="103">
        <f t="shared" si="84"/>
        <v>0</v>
      </c>
      <c r="AI236" s="136"/>
      <c r="AJ236" s="136"/>
      <c r="AK236" s="136"/>
      <c r="AL236" s="105">
        <f t="shared" si="85"/>
        <v>0</v>
      </c>
      <c r="AM236" s="143"/>
      <c r="AN236" s="143"/>
      <c r="AO236" s="143"/>
      <c r="AP236" s="146"/>
      <c r="AQ236" s="224">
        <f t="shared" si="86"/>
        <v>0</v>
      </c>
      <c r="AR236" s="126"/>
      <c r="AS236" s="274"/>
      <c r="AT236" s="126"/>
      <c r="AU236" s="126"/>
      <c r="AV236" s="126"/>
      <c r="AW236" s="275"/>
      <c r="AX236" s="126"/>
      <c r="AY236" s="274"/>
      <c r="AZ236" s="274"/>
      <c r="BA236" s="274"/>
      <c r="BB236" s="274"/>
      <c r="BC236" s="222">
        <f t="shared" si="91"/>
        <v>0</v>
      </c>
      <c r="BD236" s="140">
        <f t="shared" si="88"/>
        <v>0</v>
      </c>
      <c r="BE236" s="132"/>
      <c r="BF236" s="140">
        <f t="shared" si="89"/>
        <v>0</v>
      </c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30">
        <f t="shared" si="90"/>
        <v>0</v>
      </c>
      <c r="BU236" s="132"/>
    </row>
    <row r="237" ht="14.25" customHeight="1">
      <c r="A237" s="132"/>
      <c r="B237" s="215">
        <v>46233</v>
      </c>
      <c r="C237" s="136"/>
      <c r="D237" s="136"/>
      <c r="E237" s="135"/>
      <c r="F237" s="135"/>
      <c r="G237" s="147">
        <f t="shared" si="82"/>
        <v>0</v>
      </c>
      <c r="H237" s="144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03">
        <f t="shared" si="83"/>
        <v>0</v>
      </c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03">
        <f t="shared" si="84"/>
        <v>0</v>
      </c>
      <c r="AI237" s="136"/>
      <c r="AJ237" s="136"/>
      <c r="AK237" s="136"/>
      <c r="AL237" s="105">
        <f t="shared" si="85"/>
        <v>0</v>
      </c>
      <c r="AM237" s="143"/>
      <c r="AN237" s="143"/>
      <c r="AO237" s="143"/>
      <c r="AP237" s="146"/>
      <c r="AQ237" s="224">
        <f t="shared" si="86"/>
        <v>0</v>
      </c>
      <c r="AR237" s="126"/>
      <c r="AS237" s="274"/>
      <c r="AT237" s="126"/>
      <c r="AU237" s="126"/>
      <c r="AV237" s="126"/>
      <c r="AW237" s="275"/>
      <c r="AX237" s="126"/>
      <c r="AY237" s="274"/>
      <c r="AZ237" s="274"/>
      <c r="BA237" s="274"/>
      <c r="BB237" s="274"/>
      <c r="BC237" s="222">
        <f t="shared" si="91"/>
        <v>0</v>
      </c>
      <c r="BD237" s="140">
        <f t="shared" si="88"/>
        <v>0</v>
      </c>
      <c r="BE237" s="132"/>
      <c r="BF237" s="140">
        <f t="shared" si="89"/>
        <v>0</v>
      </c>
      <c r="BG237" s="141"/>
      <c r="BH237" s="141"/>
      <c r="BI237" s="141"/>
      <c r="BJ237" s="141"/>
      <c r="BK237" s="141"/>
      <c r="BL237" s="141"/>
      <c r="BM237" s="141"/>
      <c r="BN237" s="141"/>
      <c r="BO237" s="141"/>
      <c r="BP237" s="141"/>
      <c r="BQ237" s="141"/>
      <c r="BR237" s="141"/>
      <c r="BS237" s="141"/>
      <c r="BT237" s="130">
        <f t="shared" si="90"/>
        <v>0</v>
      </c>
      <c r="BU237" s="132"/>
    </row>
    <row r="238" ht="14.25" customHeight="1">
      <c r="A238" s="132"/>
      <c r="B238" s="93">
        <v>45869</v>
      </c>
      <c r="C238" s="159"/>
      <c r="D238" s="159"/>
      <c r="E238" s="156"/>
      <c r="F238" s="156"/>
      <c r="G238" s="147">
        <f t="shared" si="82"/>
        <v>0</v>
      </c>
      <c r="H238" s="144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03">
        <f t="shared" si="83"/>
        <v>0</v>
      </c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03">
        <f t="shared" si="84"/>
        <v>0</v>
      </c>
      <c r="AI238" s="159"/>
      <c r="AJ238" s="159"/>
      <c r="AK238" s="159"/>
      <c r="AL238" s="105">
        <f t="shared" si="85"/>
        <v>0</v>
      </c>
      <c r="AM238" s="157"/>
      <c r="AN238" s="157"/>
      <c r="AO238" s="157"/>
      <c r="AP238" s="160"/>
      <c r="AQ238" s="224">
        <f t="shared" si="86"/>
        <v>0</v>
      </c>
      <c r="AR238" s="138"/>
      <c r="AS238" s="296"/>
      <c r="AT238" s="138"/>
      <c r="AU238" s="138"/>
      <c r="AV238" s="138"/>
      <c r="AW238" s="297"/>
      <c r="AX238" s="138"/>
      <c r="AY238" s="296"/>
      <c r="AZ238" s="296"/>
      <c r="BA238" s="296"/>
      <c r="BB238" s="296"/>
      <c r="BC238" s="222">
        <f t="shared" si="91"/>
        <v>0</v>
      </c>
      <c r="BD238" s="162">
        <f t="shared" si="88"/>
        <v>0</v>
      </c>
      <c r="BE238" s="132"/>
      <c r="BF238" s="162">
        <f t="shared" si="89"/>
        <v>0</v>
      </c>
      <c r="BG238" s="163"/>
      <c r="BH238" s="163"/>
      <c r="BI238" s="163"/>
      <c r="BJ238" s="163"/>
      <c r="BK238" s="163"/>
      <c r="BL238" s="163"/>
      <c r="BM238" s="163"/>
      <c r="BN238" s="163"/>
      <c r="BO238" s="163"/>
      <c r="BP238" s="141"/>
      <c r="BQ238" s="163"/>
      <c r="BR238" s="163"/>
      <c r="BS238" s="163"/>
      <c r="BT238" s="164">
        <f t="shared" si="90"/>
        <v>0</v>
      </c>
      <c r="BU238" s="132"/>
    </row>
    <row r="239" ht="14.25" customHeight="1">
      <c r="A239" s="3"/>
      <c r="B239" s="2" t="s">
        <v>263</v>
      </c>
      <c r="C239" s="166">
        <f ref="C239:R239" t="shared" si="92">SUM(C208:C238)</f>
        <v>0</v>
      </c>
      <c r="D239" s="166">
        <f t="shared" si="92"/>
        <v>0</v>
      </c>
      <c r="E239" s="166">
        <f t="shared" si="92"/>
        <v>0</v>
      </c>
      <c r="F239" s="166">
        <f t="shared" si="92"/>
        <v>0</v>
      </c>
      <c r="G239" s="166">
        <f t="shared" si="92"/>
        <v>0</v>
      </c>
      <c r="H239" s="166">
        <f t="shared" si="92"/>
        <v>0</v>
      </c>
      <c r="I239" s="166">
        <f t="shared" si="92"/>
        <v>0</v>
      </c>
      <c r="J239" s="166">
        <f t="shared" si="92"/>
        <v>0</v>
      </c>
      <c r="K239" s="166">
        <f t="shared" si="92"/>
        <v>0</v>
      </c>
      <c r="L239" s="166">
        <f t="shared" si="92"/>
        <v>0</v>
      </c>
      <c r="M239" s="166">
        <f t="shared" si="92"/>
        <v>0</v>
      </c>
      <c r="N239" s="166">
        <f t="shared" si="92"/>
        <v>0</v>
      </c>
      <c r="O239" s="166">
        <f t="shared" si="92"/>
        <v>0</v>
      </c>
      <c r="P239" s="166">
        <f t="shared" si="92"/>
        <v>0</v>
      </c>
      <c r="Q239" s="166">
        <f t="shared" si="92"/>
        <v>0</v>
      </c>
      <c r="R239" s="166">
        <f t="shared" si="92"/>
        <v>0</v>
      </c>
      <c r="S239" s="166"/>
      <c r="T239" s="166">
        <f ref="T239:AJ239" t="shared" si="93">SUM(T208:T238)</f>
        <v>0</v>
      </c>
      <c r="U239" s="166">
        <f t="shared" si="93"/>
        <v>0</v>
      </c>
      <c r="V239" s="166">
        <f t="shared" si="93"/>
        <v>0</v>
      </c>
      <c r="W239" s="166">
        <f t="shared" si="93"/>
        <v>0</v>
      </c>
      <c r="X239" s="166">
        <f t="shared" si="93"/>
        <v>0</v>
      </c>
      <c r="Y239" s="166">
        <f t="shared" si="93"/>
        <v>0</v>
      </c>
      <c r="Z239" s="166">
        <f t="shared" si="93"/>
        <v>0</v>
      </c>
      <c r="AA239" s="166">
        <f t="shared" si="93"/>
        <v>0</v>
      </c>
      <c r="AB239" s="166">
        <f t="shared" si="93"/>
        <v>0</v>
      </c>
      <c r="AC239" s="166">
        <f t="shared" si="93"/>
        <v>0</v>
      </c>
      <c r="AD239" s="166">
        <f t="shared" si="93"/>
        <v>0</v>
      </c>
      <c r="AE239" s="166">
        <f t="shared" si="93"/>
        <v>0</v>
      </c>
      <c r="AF239" s="166">
        <f t="shared" si="93"/>
        <v>0</v>
      </c>
      <c r="AG239" s="166">
        <f t="shared" si="93"/>
        <v>0</v>
      </c>
      <c r="AH239" s="166">
        <f t="shared" si="93"/>
        <v>0</v>
      </c>
      <c r="AI239" s="166">
        <f t="shared" si="93"/>
        <v>0</v>
      </c>
      <c r="AJ239" s="166">
        <f t="shared" si="93"/>
        <v>0</v>
      </c>
      <c r="AK239" s="166"/>
      <c r="AL239" s="166">
        <f ref="AL239:AO239" t="shared" si="94">SUM(AL208:AL238)</f>
        <v>0</v>
      </c>
      <c r="AM239" s="166">
        <f t="shared" si="94"/>
        <v>0</v>
      </c>
      <c r="AN239" s="166">
        <f t="shared" si="94"/>
        <v>0</v>
      </c>
      <c r="AO239" s="166">
        <f t="shared" si="94"/>
        <v>0</v>
      </c>
      <c r="AP239" s="166"/>
      <c r="AQ239" s="166">
        <f ref="AQ239:AX239" t="shared" si="95">SUM(AQ208:AQ238)</f>
        <v>0</v>
      </c>
      <c r="AR239" s="165">
        <f t="shared" si="95"/>
        <v>0</v>
      </c>
      <c r="AS239" s="166">
        <f t="shared" si="95"/>
        <v>0</v>
      </c>
      <c r="AT239" s="166">
        <f t="shared" si="95"/>
        <v>0</v>
      </c>
      <c r="AU239" s="166">
        <f t="shared" si="95"/>
        <v>0</v>
      </c>
      <c r="AV239" s="166">
        <f t="shared" si="95"/>
        <v>0</v>
      </c>
      <c r="AW239" s="166">
        <f t="shared" si="95"/>
        <v>0</v>
      </c>
      <c r="AX239" s="165">
        <f t="shared" si="95"/>
        <v>0</v>
      </c>
      <c r="AY239" s="166"/>
      <c r="AZ239" s="166"/>
      <c r="BA239" s="166"/>
      <c r="BB239" s="166"/>
      <c r="BC239" s="166">
        <f ref="BC239:BD239" t="shared" si="96">SUM(BC208:BC238)</f>
        <v>0</v>
      </c>
      <c r="BD239" s="166">
        <f t="shared" si="96"/>
        <v>0</v>
      </c>
      <c r="BE239" s="3"/>
      <c r="BF239" s="172">
        <f>SUM(BF208:BF238)</f>
        <v>0</v>
      </c>
      <c r="BG239" s="165"/>
      <c r="BH239" s="165"/>
      <c r="BI239" s="165"/>
      <c r="BJ239" s="165"/>
      <c r="BK239" s="165"/>
      <c r="BL239" s="165"/>
      <c r="BM239" s="165"/>
      <c r="BN239" s="165"/>
      <c r="BO239" s="165"/>
      <c r="BP239" s="165">
        <f ref="BP239:BR239" t="shared" si="97">SUM(BP208:BP238)</f>
        <v>0</v>
      </c>
      <c r="BQ239" s="165">
        <f t="shared" si="97"/>
        <v>0</v>
      </c>
      <c r="BR239" s="165">
        <f t="shared" si="97"/>
        <v>0</v>
      </c>
      <c r="BS239" s="165"/>
      <c r="BT239" s="165">
        <f>SUM(BT208:BT238)</f>
        <v>0</v>
      </c>
      <c r="BU239" s="3"/>
    </row>
    <row r="240" ht="14.25" customHeight="1">
      <c r="A240" s="1"/>
      <c r="B240" s="2"/>
      <c r="C240" s="3"/>
      <c r="D240" s="3"/>
      <c r="E240" s="3"/>
      <c r="F240" s="3"/>
      <c r="G240" s="133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4"/>
      <c r="AM240" s="3"/>
      <c r="AN240" s="3"/>
      <c r="AO240" s="3"/>
      <c r="AP240" s="3"/>
      <c r="AQ240" s="4"/>
      <c r="AR240" s="132"/>
      <c r="AS240" s="132"/>
      <c r="AT240" s="132"/>
      <c r="AU240" s="3"/>
      <c r="AV240" s="3"/>
      <c r="AW240" s="3"/>
      <c r="AX240" s="132"/>
      <c r="AY240" s="132"/>
      <c r="AZ240" s="132"/>
      <c r="BA240" s="132"/>
      <c r="BB240" s="132"/>
      <c r="BC240" s="4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ht="14.25" customHeight="1">
      <c r="A241" s="1"/>
      <c r="B241" s="2"/>
      <c r="C241" s="3"/>
      <c r="D241" s="3"/>
      <c r="E241" s="3"/>
      <c r="F241" s="3"/>
      <c r="G241" s="133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176"/>
      <c r="AI241" s="3"/>
      <c r="AJ241" s="3"/>
      <c r="AK241" s="3"/>
      <c r="AL241" s="4"/>
      <c r="AM241" s="3"/>
      <c r="AN241" s="3"/>
      <c r="AO241" s="3"/>
      <c r="AP241" s="3"/>
      <c r="AQ241" s="177"/>
      <c r="AR241" s="132"/>
      <c r="AS241" s="132"/>
      <c r="AT241" s="132"/>
      <c r="AU241" s="3"/>
      <c r="AV241" s="3"/>
      <c r="AW241" s="3"/>
      <c r="AX241" s="132"/>
      <c r="AY241" s="132"/>
      <c r="AZ241" s="132"/>
      <c r="BA241" s="132"/>
      <c r="BB241" s="132"/>
      <c r="BC241" s="177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</row>
    <row r="242" ht="14.25" customHeight="1">
      <c r="A242" s="3"/>
      <c r="B242" s="215">
        <v>46235</v>
      </c>
      <c r="C242" s="104"/>
      <c r="D242" s="104"/>
      <c r="E242" s="97"/>
      <c r="F242" s="97"/>
      <c r="G242" s="216">
        <f ref="G242:G272" t="shared" si="98">+C242+D242+E242+F242</f>
        <v>0</v>
      </c>
      <c r="H242" s="187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03">
        <f ref="U242:U272" t="shared" si="99">SUM(H242:T242)</f>
        <v>0</v>
      </c>
      <c r="V242" s="186"/>
      <c r="W242" s="190"/>
      <c r="X242" s="186"/>
      <c r="Y242" s="186"/>
      <c r="Z242" s="186"/>
      <c r="AA242" s="186"/>
      <c r="AB242" s="186"/>
      <c r="AC242" s="186"/>
      <c r="AD242" s="186"/>
      <c r="AE242" s="186"/>
      <c r="AF242" s="186"/>
      <c r="AG242" s="186"/>
      <c r="AH242" s="103">
        <f ref="AH242:AH272" t="shared" si="100">SUM(V242:AG242)</f>
        <v>0</v>
      </c>
      <c r="AI242" s="104"/>
      <c r="AJ242" s="104"/>
      <c r="AK242" s="104"/>
      <c r="AL242" s="191">
        <f ref="AL242:AL272" t="shared" si="101">SUM(AI242:AK242)</f>
        <v>0</v>
      </c>
      <c r="AM242" s="186"/>
      <c r="AN242" s="186"/>
      <c r="AO242" s="186"/>
      <c r="AP242" s="193"/>
      <c r="AQ242" s="219">
        <f ref="AQ242:AQ272" t="shared" si="102">+G242-U242-AH242-AL242-AM242-AN242-AO242-AP242</f>
        <v>0</v>
      </c>
      <c r="AR242" s="109"/>
      <c r="AS242" s="269"/>
      <c r="AT242" s="109"/>
      <c r="AU242" s="109"/>
      <c r="AV242" s="109"/>
      <c r="AW242" s="109"/>
      <c r="AX242" s="109"/>
      <c r="AY242" s="269"/>
      <c r="AZ242" s="269"/>
      <c r="BA242" s="269"/>
      <c r="BB242" s="269"/>
      <c r="BC242" s="222">
        <f ref="BC242:BC272" t="shared" si="103">SUM(AR242:BB242)-BA242</f>
        <v>0</v>
      </c>
      <c r="BD242" s="114">
        <f ref="BD242:BD272" t="shared" si="104">+AQ242-BC242</f>
        <v>0</v>
      </c>
      <c r="BE242" s="3"/>
      <c r="BF242" s="114">
        <f ref="BF242:BF272" t="shared" si="105">SUM(BG242:BS242)</f>
        <v>0</v>
      </c>
      <c r="BG242" s="115"/>
      <c r="BH242" s="115"/>
      <c r="BI242" s="115"/>
      <c r="BJ242" s="115"/>
      <c r="BK242" s="115"/>
      <c r="BL242" s="115"/>
      <c r="BM242" s="115"/>
      <c r="BN242" s="115"/>
      <c r="BO242" s="115"/>
      <c r="BP242" s="115"/>
      <c r="BQ242" s="115"/>
      <c r="BR242" s="196"/>
      <c r="BS242" s="115"/>
      <c r="BT242" s="116">
        <f ref="BT242:BT272" t="shared" si="106">+BD242-BF242</f>
        <v>0</v>
      </c>
      <c r="BU242" s="3"/>
    </row>
    <row r="243" ht="14.25" customHeight="1">
      <c r="A243" s="3"/>
      <c r="B243" s="215">
        <v>46236</v>
      </c>
      <c r="C243" s="123"/>
      <c r="D243" s="123"/>
      <c r="E243" s="120"/>
      <c r="F243" s="120"/>
      <c r="G243" s="147">
        <f t="shared" si="98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03">
        <f t="shared" si="99"/>
        <v>0</v>
      </c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43"/>
      <c r="AH243" s="103">
        <f t="shared" si="100"/>
        <v>0</v>
      </c>
      <c r="AI243" s="123"/>
      <c r="AJ243" s="123"/>
      <c r="AK243" s="123"/>
      <c r="AL243" s="105">
        <f t="shared" si="101"/>
        <v>0</v>
      </c>
      <c r="AM243" s="143"/>
      <c r="AN243" s="143"/>
      <c r="AO243" s="143"/>
      <c r="AP243" s="146"/>
      <c r="AQ243" s="224">
        <f t="shared" si="102"/>
        <v>0</v>
      </c>
      <c r="AR243" s="126"/>
      <c r="AS243" s="274"/>
      <c r="AT243" s="126"/>
      <c r="AU243" s="126"/>
      <c r="AV243" s="126"/>
      <c r="AW243" s="126"/>
      <c r="AX243" s="126"/>
      <c r="AY243" s="274"/>
      <c r="AZ243" s="274"/>
      <c r="BA243" s="274"/>
      <c r="BB243" s="274"/>
      <c r="BC243" s="222">
        <f t="shared" si="103"/>
        <v>0</v>
      </c>
      <c r="BD243" s="113">
        <f t="shared" si="104"/>
        <v>0</v>
      </c>
      <c r="BE243" s="3"/>
      <c r="BF243" s="113">
        <f t="shared" si="105"/>
        <v>0</v>
      </c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452"/>
      <c r="BR243" s="141"/>
      <c r="BS243" s="255"/>
      <c r="BT243" s="130">
        <f t="shared" si="106"/>
        <v>0</v>
      </c>
      <c r="BU243" s="3"/>
    </row>
    <row r="244" ht="14.25" customHeight="1">
      <c r="A244" s="3"/>
      <c r="B244" s="215">
        <v>46237</v>
      </c>
      <c r="C244" s="123"/>
      <c r="D244" s="123"/>
      <c r="E244" s="120"/>
      <c r="F244" s="120"/>
      <c r="G244" s="147">
        <f t="shared" si="98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03">
        <f t="shared" si="99"/>
        <v>0</v>
      </c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43"/>
      <c r="AH244" s="103">
        <f t="shared" si="100"/>
        <v>0</v>
      </c>
      <c r="AI244" s="123"/>
      <c r="AJ244" s="123"/>
      <c r="AK244" s="123"/>
      <c r="AL244" s="105">
        <f t="shared" si="101"/>
        <v>0</v>
      </c>
      <c r="AM244" s="143"/>
      <c r="AN244" s="143"/>
      <c r="AO244" s="143"/>
      <c r="AP244" s="146"/>
      <c r="AQ244" s="224">
        <f t="shared" si="102"/>
        <v>0</v>
      </c>
      <c r="AR244" s="126"/>
      <c r="AS244" s="274"/>
      <c r="AT244" s="274"/>
      <c r="AU244" s="126"/>
      <c r="AV244" s="126"/>
      <c r="AW244" s="126"/>
      <c r="AX244" s="126"/>
      <c r="AY244" s="274"/>
      <c r="AZ244" s="274"/>
      <c r="BA244" s="274"/>
      <c r="BB244" s="274"/>
      <c r="BC244" s="222">
        <f t="shared" si="103"/>
        <v>0</v>
      </c>
      <c r="BD244" s="113">
        <f t="shared" si="104"/>
        <v>0</v>
      </c>
      <c r="BE244" s="3"/>
      <c r="BF244" s="113">
        <f t="shared" si="105"/>
        <v>0</v>
      </c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452"/>
      <c r="BR244" s="141"/>
      <c r="BS244" s="255"/>
      <c r="BT244" s="130">
        <f t="shared" si="106"/>
        <v>0</v>
      </c>
      <c r="BU244" s="3"/>
    </row>
    <row r="245" ht="14.25" customHeight="1">
      <c r="A245" s="3"/>
      <c r="B245" s="215">
        <v>46238</v>
      </c>
      <c r="C245" s="123"/>
      <c r="D245" s="123"/>
      <c r="E245" s="120"/>
      <c r="F245" s="120"/>
      <c r="G245" s="147">
        <f t="shared" si="98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03">
        <f t="shared" si="99"/>
        <v>0</v>
      </c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43"/>
      <c r="AH245" s="103">
        <f t="shared" si="100"/>
        <v>0</v>
      </c>
      <c r="AI245" s="123"/>
      <c r="AJ245" s="123"/>
      <c r="AK245" s="123"/>
      <c r="AL245" s="105">
        <f t="shared" si="101"/>
        <v>0</v>
      </c>
      <c r="AM245" s="143"/>
      <c r="AN245" s="143"/>
      <c r="AO245" s="143"/>
      <c r="AP245" s="146"/>
      <c r="AQ245" s="224">
        <f t="shared" si="102"/>
        <v>0</v>
      </c>
      <c r="AR245" s="126"/>
      <c r="AS245" s="274"/>
      <c r="AT245" s="274"/>
      <c r="AU245" s="126"/>
      <c r="AV245" s="126"/>
      <c r="AW245" s="126"/>
      <c r="AX245" s="126"/>
      <c r="AY245" s="274"/>
      <c r="AZ245" s="274"/>
      <c r="BA245" s="274"/>
      <c r="BB245" s="274"/>
      <c r="BC245" s="222">
        <f t="shared" si="103"/>
        <v>0</v>
      </c>
      <c r="BD245" s="113">
        <f t="shared" si="104"/>
        <v>0</v>
      </c>
      <c r="BE245" s="3"/>
      <c r="BF245" s="113">
        <f t="shared" si="105"/>
        <v>0</v>
      </c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452"/>
      <c r="BR245" s="141"/>
      <c r="BS245" s="255"/>
      <c r="BT245" s="130">
        <f t="shared" si="106"/>
        <v>0</v>
      </c>
      <c r="BU245" s="3"/>
    </row>
    <row r="246" ht="14.25" customHeight="1">
      <c r="A246" s="3"/>
      <c r="B246" s="215">
        <v>46239</v>
      </c>
      <c r="C246" s="123"/>
      <c r="D246" s="123"/>
      <c r="E246" s="120"/>
      <c r="F246" s="120"/>
      <c r="G246" s="147">
        <f t="shared" si="98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03">
        <f t="shared" si="99"/>
        <v>0</v>
      </c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43"/>
      <c r="AH246" s="103">
        <f t="shared" si="100"/>
        <v>0</v>
      </c>
      <c r="AI246" s="123"/>
      <c r="AJ246" s="123"/>
      <c r="AK246" s="123"/>
      <c r="AL246" s="105">
        <f t="shared" si="101"/>
        <v>0</v>
      </c>
      <c r="AM246" s="143"/>
      <c r="AN246" s="143"/>
      <c r="AO246" s="143"/>
      <c r="AP246" s="146"/>
      <c r="AQ246" s="224">
        <f t="shared" si="102"/>
        <v>0</v>
      </c>
      <c r="AR246" s="126"/>
      <c r="AS246" s="274"/>
      <c r="AT246" s="126"/>
      <c r="AU246" s="126"/>
      <c r="AV246" s="126"/>
      <c r="AW246" s="126"/>
      <c r="AX246" s="126"/>
      <c r="AY246" s="274"/>
      <c r="AZ246" s="274"/>
      <c r="BA246" s="274"/>
      <c r="BB246" s="274"/>
      <c r="BC246" s="222">
        <f t="shared" si="103"/>
        <v>0</v>
      </c>
      <c r="BD246" s="113">
        <f t="shared" si="104"/>
        <v>0</v>
      </c>
      <c r="BE246" s="3"/>
      <c r="BF246" s="113">
        <f t="shared" si="105"/>
        <v>0</v>
      </c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452"/>
      <c r="BR246" s="141"/>
      <c r="BS246" s="255"/>
      <c r="BT246" s="130">
        <f t="shared" si="106"/>
        <v>0</v>
      </c>
      <c r="BU246" s="3"/>
    </row>
    <row r="247" ht="14.25" customHeight="1">
      <c r="A247" s="3"/>
      <c r="B247" s="215">
        <v>46240</v>
      </c>
      <c r="C247" s="123"/>
      <c r="D247" s="123"/>
      <c r="E247" s="120"/>
      <c r="F247" s="120"/>
      <c r="G247" s="147">
        <f t="shared" si="98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03">
        <f t="shared" si="99"/>
        <v>0</v>
      </c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43"/>
      <c r="AH247" s="103">
        <f t="shared" si="100"/>
        <v>0</v>
      </c>
      <c r="AI247" s="123"/>
      <c r="AJ247" s="123"/>
      <c r="AK247" s="123"/>
      <c r="AL247" s="105">
        <f t="shared" si="101"/>
        <v>0</v>
      </c>
      <c r="AM247" s="143"/>
      <c r="AN247" s="143"/>
      <c r="AO247" s="143"/>
      <c r="AP247" s="146"/>
      <c r="AQ247" s="224">
        <f t="shared" si="102"/>
        <v>0</v>
      </c>
      <c r="AR247" s="126"/>
      <c r="AS247" s="274"/>
      <c r="AT247" s="126"/>
      <c r="AU247" s="126"/>
      <c r="AV247" s="126"/>
      <c r="AW247" s="126"/>
      <c r="AX247" s="126"/>
      <c r="AY247" s="274"/>
      <c r="AZ247" s="274"/>
      <c r="BA247" s="274"/>
      <c r="BB247" s="274"/>
      <c r="BC247" s="222">
        <f t="shared" si="103"/>
        <v>0</v>
      </c>
      <c r="BD247" s="113">
        <f t="shared" si="104"/>
        <v>0</v>
      </c>
      <c r="BE247" s="3"/>
      <c r="BF247" s="113">
        <f t="shared" si="105"/>
        <v>0</v>
      </c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452"/>
      <c r="BR247" s="129"/>
      <c r="BS247" s="255"/>
      <c r="BT247" s="130">
        <f t="shared" si="106"/>
        <v>0</v>
      </c>
      <c r="BU247" s="3"/>
    </row>
    <row r="248" ht="14.25" customHeight="1">
      <c r="A248" s="3"/>
      <c r="B248" s="215">
        <v>46241</v>
      </c>
      <c r="C248" s="123"/>
      <c r="D248" s="123"/>
      <c r="E248" s="120"/>
      <c r="F248" s="120"/>
      <c r="G248" s="147">
        <f t="shared" si="98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03">
        <f t="shared" si="99"/>
        <v>0</v>
      </c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43"/>
      <c r="AH248" s="103">
        <f t="shared" si="100"/>
        <v>0</v>
      </c>
      <c r="AI248" s="123"/>
      <c r="AJ248" s="123"/>
      <c r="AK248" s="123"/>
      <c r="AL248" s="105">
        <f t="shared" si="101"/>
        <v>0</v>
      </c>
      <c r="AM248" s="143"/>
      <c r="AN248" s="143"/>
      <c r="AO248" s="143"/>
      <c r="AP248" s="146"/>
      <c r="AQ248" s="224">
        <f t="shared" si="102"/>
        <v>0</v>
      </c>
      <c r="AR248" s="126"/>
      <c r="AS248" s="274"/>
      <c r="AT248" s="126"/>
      <c r="AU248" s="126"/>
      <c r="AV248" s="126"/>
      <c r="AW248" s="126"/>
      <c r="AX248" s="126"/>
      <c r="AY248" s="274"/>
      <c r="AZ248" s="274"/>
      <c r="BA248" s="274"/>
      <c r="BB248" s="274"/>
      <c r="BC248" s="222">
        <f t="shared" si="103"/>
        <v>0</v>
      </c>
      <c r="BD248" s="113">
        <f t="shared" si="104"/>
        <v>0</v>
      </c>
      <c r="BE248" s="3"/>
      <c r="BF248" s="113">
        <f t="shared" si="105"/>
        <v>0</v>
      </c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452"/>
      <c r="BR248" s="141"/>
      <c r="BS248" s="255"/>
      <c r="BT248" s="130">
        <f t="shared" si="106"/>
        <v>0</v>
      </c>
      <c r="BU248" s="3"/>
    </row>
    <row r="249" ht="14.25" customHeight="1">
      <c r="A249" s="3"/>
      <c r="B249" s="215">
        <v>46242</v>
      </c>
      <c r="C249" s="123"/>
      <c r="D249" s="123"/>
      <c r="E249" s="120"/>
      <c r="F249" s="120"/>
      <c r="G249" s="147">
        <f t="shared" si="98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03">
        <f t="shared" si="99"/>
        <v>0</v>
      </c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03">
        <f t="shared" si="100"/>
        <v>0</v>
      </c>
      <c r="AI249" s="123"/>
      <c r="AJ249" s="123"/>
      <c r="AK249" s="123"/>
      <c r="AL249" s="105">
        <f t="shared" si="101"/>
        <v>0</v>
      </c>
      <c r="AM249" s="143"/>
      <c r="AN249" s="143"/>
      <c r="AO249" s="143"/>
      <c r="AP249" s="146"/>
      <c r="AQ249" s="224">
        <f t="shared" si="102"/>
        <v>0</v>
      </c>
      <c r="AR249" s="126"/>
      <c r="AS249" s="274"/>
      <c r="AT249" s="126"/>
      <c r="AU249" s="126"/>
      <c r="AV249" s="126"/>
      <c r="AW249" s="126"/>
      <c r="AX249" s="126"/>
      <c r="AY249" s="274"/>
      <c r="AZ249" s="274"/>
      <c r="BA249" s="274"/>
      <c r="BB249" s="274"/>
      <c r="BC249" s="222">
        <f t="shared" si="103"/>
        <v>0</v>
      </c>
      <c r="BD249" s="113">
        <f t="shared" si="104"/>
        <v>0</v>
      </c>
      <c r="BE249" s="3"/>
      <c r="BF249" s="113">
        <f t="shared" si="105"/>
        <v>0</v>
      </c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452"/>
      <c r="BR249" s="141"/>
      <c r="BS249" s="255"/>
      <c r="BT249" s="130">
        <f t="shared" si="106"/>
        <v>0</v>
      </c>
      <c r="BU249" s="3"/>
    </row>
    <row r="250" ht="14.25" customHeight="1">
      <c r="A250" s="3"/>
      <c r="B250" s="215">
        <v>46243</v>
      </c>
      <c r="C250" s="123"/>
      <c r="D250" s="123"/>
      <c r="E250" s="120"/>
      <c r="F250" s="120"/>
      <c r="G250" s="147">
        <f t="shared" si="98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03">
        <f t="shared" si="99"/>
        <v>0</v>
      </c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43"/>
      <c r="AH250" s="103">
        <f t="shared" si="100"/>
        <v>0</v>
      </c>
      <c r="AI250" s="123"/>
      <c r="AJ250" s="123"/>
      <c r="AK250" s="123"/>
      <c r="AL250" s="105">
        <f t="shared" si="101"/>
        <v>0</v>
      </c>
      <c r="AM250" s="143"/>
      <c r="AN250" s="143"/>
      <c r="AO250" s="143"/>
      <c r="AP250" s="146"/>
      <c r="AQ250" s="224">
        <f t="shared" si="102"/>
        <v>0</v>
      </c>
      <c r="AR250" s="126"/>
      <c r="AS250" s="274"/>
      <c r="AT250" s="126"/>
      <c r="AU250" s="126"/>
      <c r="AV250" s="126"/>
      <c r="AW250" s="126"/>
      <c r="AX250" s="126"/>
      <c r="AY250" s="274"/>
      <c r="AZ250" s="274"/>
      <c r="BA250" s="274"/>
      <c r="BB250" s="274"/>
      <c r="BC250" s="222">
        <f t="shared" si="103"/>
        <v>0</v>
      </c>
      <c r="BD250" s="113">
        <f t="shared" si="104"/>
        <v>0</v>
      </c>
      <c r="BE250" s="3"/>
      <c r="BF250" s="113">
        <f t="shared" si="105"/>
        <v>0</v>
      </c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452"/>
      <c r="BR250" s="141"/>
      <c r="BS250" s="255"/>
      <c r="BT250" s="130">
        <f t="shared" si="106"/>
        <v>0</v>
      </c>
      <c r="BU250" s="3"/>
    </row>
    <row r="251" ht="14.25" customHeight="1">
      <c r="A251" s="3"/>
      <c r="B251" s="215">
        <v>46244</v>
      </c>
      <c r="C251" s="123"/>
      <c r="D251" s="123"/>
      <c r="E251" s="120"/>
      <c r="F251" s="120"/>
      <c r="G251" s="147">
        <f t="shared" si="98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03">
        <f t="shared" si="99"/>
        <v>0</v>
      </c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43"/>
      <c r="AH251" s="103">
        <f t="shared" si="100"/>
        <v>0</v>
      </c>
      <c r="AI251" s="123"/>
      <c r="AJ251" s="123"/>
      <c r="AK251" s="123"/>
      <c r="AL251" s="105">
        <f t="shared" si="101"/>
        <v>0</v>
      </c>
      <c r="AM251" s="143"/>
      <c r="AN251" s="143"/>
      <c r="AO251" s="143"/>
      <c r="AP251" s="146"/>
      <c r="AQ251" s="224">
        <f t="shared" si="102"/>
        <v>0</v>
      </c>
      <c r="AR251" s="126"/>
      <c r="AS251" s="274"/>
      <c r="AT251" s="126"/>
      <c r="AU251" s="126"/>
      <c r="AV251" s="126"/>
      <c r="AW251" s="126"/>
      <c r="AX251" s="126"/>
      <c r="AY251" s="274"/>
      <c r="AZ251" s="274"/>
      <c r="BA251" s="274"/>
      <c r="BB251" s="274"/>
      <c r="BC251" s="222">
        <f t="shared" si="103"/>
        <v>0</v>
      </c>
      <c r="BD251" s="113">
        <f t="shared" si="104"/>
        <v>0</v>
      </c>
      <c r="BE251" s="3"/>
      <c r="BF251" s="113">
        <f t="shared" si="105"/>
        <v>0</v>
      </c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452"/>
      <c r="BR251" s="141"/>
      <c r="BS251" s="255"/>
      <c r="BT251" s="130">
        <f t="shared" si="106"/>
        <v>0</v>
      </c>
      <c r="BU251" s="3"/>
    </row>
    <row r="252" ht="14.25" customHeight="1">
      <c r="A252" s="3"/>
      <c r="B252" s="215">
        <v>46245</v>
      </c>
      <c r="C252" s="123"/>
      <c r="D252" s="123"/>
      <c r="E252" s="120"/>
      <c r="F252" s="120"/>
      <c r="G252" s="147">
        <f t="shared" si="98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03">
        <f t="shared" si="99"/>
        <v>0</v>
      </c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43"/>
      <c r="AH252" s="103">
        <f t="shared" si="100"/>
        <v>0</v>
      </c>
      <c r="AI252" s="123"/>
      <c r="AJ252" s="123"/>
      <c r="AK252" s="123"/>
      <c r="AL252" s="105">
        <f t="shared" si="101"/>
        <v>0</v>
      </c>
      <c r="AM252" s="143"/>
      <c r="AN252" s="143"/>
      <c r="AO252" s="143"/>
      <c r="AP252" s="146"/>
      <c r="AQ252" s="224">
        <f t="shared" si="102"/>
        <v>0</v>
      </c>
      <c r="AR252" s="126"/>
      <c r="AS252" s="274"/>
      <c r="AT252" s="126"/>
      <c r="AU252" s="126"/>
      <c r="AV252" s="126"/>
      <c r="AW252" s="126"/>
      <c r="AX252" s="126"/>
      <c r="AY252" s="274"/>
      <c r="AZ252" s="274"/>
      <c r="BA252" s="274"/>
      <c r="BB252" s="274"/>
      <c r="BC252" s="222">
        <f t="shared" si="103"/>
        <v>0</v>
      </c>
      <c r="BD252" s="113">
        <f t="shared" si="104"/>
        <v>0</v>
      </c>
      <c r="BE252" s="3"/>
      <c r="BF252" s="113">
        <f t="shared" si="105"/>
        <v>0</v>
      </c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452"/>
      <c r="BR252" s="141"/>
      <c r="BS252" s="255"/>
      <c r="BT252" s="130">
        <f t="shared" si="106"/>
        <v>0</v>
      </c>
      <c r="BU252" s="3"/>
    </row>
    <row r="253" ht="14.25" customHeight="1">
      <c r="A253" s="3"/>
      <c r="B253" s="215">
        <v>46246</v>
      </c>
      <c r="C253" s="123"/>
      <c r="D253" s="123"/>
      <c r="E253" s="120"/>
      <c r="F253" s="120"/>
      <c r="G253" s="147">
        <f t="shared" si="98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03">
        <f t="shared" si="99"/>
        <v>0</v>
      </c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43"/>
      <c r="AH253" s="103">
        <f t="shared" si="100"/>
        <v>0</v>
      </c>
      <c r="AI253" s="123"/>
      <c r="AJ253" s="123"/>
      <c r="AK253" s="123"/>
      <c r="AL253" s="105">
        <f t="shared" si="101"/>
        <v>0</v>
      </c>
      <c r="AM253" s="143"/>
      <c r="AN253" s="143"/>
      <c r="AO253" s="143"/>
      <c r="AP253" s="146"/>
      <c r="AQ253" s="224">
        <f t="shared" si="102"/>
        <v>0</v>
      </c>
      <c r="AR253" s="126"/>
      <c r="AS253" s="274"/>
      <c r="AT253" s="126"/>
      <c r="AU253" s="126"/>
      <c r="AV253" s="126"/>
      <c r="AW253" s="126"/>
      <c r="AX253" s="126"/>
      <c r="AY253" s="274"/>
      <c r="AZ253" s="274"/>
      <c r="BA253" s="274"/>
      <c r="BB253" s="274"/>
      <c r="BC253" s="222">
        <f t="shared" si="103"/>
        <v>0</v>
      </c>
      <c r="BD253" s="113">
        <f t="shared" si="104"/>
        <v>0</v>
      </c>
      <c r="BE253" s="3"/>
      <c r="BF253" s="113">
        <f t="shared" si="105"/>
        <v>0</v>
      </c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452"/>
      <c r="BR253" s="141"/>
      <c r="BS253" s="255"/>
      <c r="BT253" s="130">
        <f t="shared" si="106"/>
        <v>0</v>
      </c>
      <c r="BU253" s="3"/>
    </row>
    <row r="254" ht="14.25" customHeight="1">
      <c r="A254" s="132"/>
      <c r="B254" s="215">
        <v>46247</v>
      </c>
      <c r="C254" s="136"/>
      <c r="D254" s="136"/>
      <c r="E254" s="135"/>
      <c r="F254" s="135"/>
      <c r="G254" s="147">
        <f t="shared" si="98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03">
        <f t="shared" si="99"/>
        <v>0</v>
      </c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43"/>
      <c r="AH254" s="103">
        <f t="shared" si="100"/>
        <v>0</v>
      </c>
      <c r="AI254" s="136"/>
      <c r="AJ254" s="136"/>
      <c r="AK254" s="136"/>
      <c r="AL254" s="105">
        <f t="shared" si="101"/>
        <v>0</v>
      </c>
      <c r="AM254" s="143"/>
      <c r="AN254" s="143"/>
      <c r="AO254" s="143"/>
      <c r="AP254" s="146"/>
      <c r="AQ254" s="224">
        <f t="shared" si="102"/>
        <v>0</v>
      </c>
      <c r="AR254" s="126"/>
      <c r="AS254" s="274"/>
      <c r="AT254" s="126"/>
      <c r="AU254" s="126"/>
      <c r="AV254" s="126"/>
      <c r="AW254" s="126"/>
      <c r="AX254" s="126"/>
      <c r="AY254" s="274"/>
      <c r="AZ254" s="274"/>
      <c r="BA254" s="274"/>
      <c r="BB254" s="274"/>
      <c r="BC254" s="222">
        <f t="shared" si="103"/>
        <v>0</v>
      </c>
      <c r="BD254" s="140">
        <f t="shared" si="104"/>
        <v>0</v>
      </c>
      <c r="BE254" s="132"/>
      <c r="BF254" s="140">
        <f t="shared" si="105"/>
        <v>0</v>
      </c>
      <c r="BG254" s="141"/>
      <c r="BH254" s="141"/>
      <c r="BI254" s="141"/>
      <c r="BJ254" s="141"/>
      <c r="BK254" s="141"/>
      <c r="BL254" s="141"/>
      <c r="BM254" s="141"/>
      <c r="BN254" s="141"/>
      <c r="BO254" s="141"/>
      <c r="BP254" s="141"/>
      <c r="BQ254" s="309"/>
      <c r="BR254" s="141"/>
      <c r="BS254" s="152"/>
      <c r="BT254" s="130">
        <f t="shared" si="106"/>
        <v>0</v>
      </c>
      <c r="BU254" s="132"/>
    </row>
    <row r="255" ht="14.25" customHeight="1">
      <c r="A255" s="132"/>
      <c r="B255" s="215">
        <v>46248</v>
      </c>
      <c r="C255" s="136"/>
      <c r="D255" s="136"/>
      <c r="E255" s="135"/>
      <c r="F255" s="135"/>
      <c r="G255" s="147">
        <f t="shared" si="98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03">
        <f t="shared" si="99"/>
        <v>0</v>
      </c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43"/>
      <c r="AH255" s="103">
        <f t="shared" si="100"/>
        <v>0</v>
      </c>
      <c r="AI255" s="136"/>
      <c r="AJ255" s="136"/>
      <c r="AK255" s="136"/>
      <c r="AL255" s="105">
        <f t="shared" si="101"/>
        <v>0</v>
      </c>
      <c r="AM255" s="143"/>
      <c r="AN255" s="143"/>
      <c r="AO255" s="143"/>
      <c r="AP255" s="146"/>
      <c r="AQ255" s="224">
        <f t="shared" si="102"/>
        <v>0</v>
      </c>
      <c r="AR255" s="126"/>
      <c r="AS255" s="274"/>
      <c r="AT255" s="126"/>
      <c r="AU255" s="126"/>
      <c r="AV255" s="126"/>
      <c r="AW255" s="126"/>
      <c r="AX255" s="126"/>
      <c r="AY255" s="274"/>
      <c r="AZ255" s="274"/>
      <c r="BA255" s="274"/>
      <c r="BB255" s="274"/>
      <c r="BC255" s="222">
        <f t="shared" si="103"/>
        <v>0</v>
      </c>
      <c r="BD255" s="140">
        <f t="shared" si="104"/>
        <v>0</v>
      </c>
      <c r="BE255" s="132"/>
      <c r="BF255" s="140">
        <f t="shared" si="105"/>
        <v>0</v>
      </c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309"/>
      <c r="BR255" s="141"/>
      <c r="BS255" s="152"/>
      <c r="BT255" s="130">
        <f t="shared" si="106"/>
        <v>0</v>
      </c>
      <c r="BU255" s="132"/>
    </row>
    <row r="256" ht="14.25" customHeight="1">
      <c r="A256" s="132"/>
      <c r="B256" s="215">
        <v>46249</v>
      </c>
      <c r="C256" s="136"/>
      <c r="D256" s="136"/>
      <c r="E256" s="135"/>
      <c r="F256" s="135"/>
      <c r="G256" s="147">
        <f t="shared" si="98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03">
        <f t="shared" si="99"/>
        <v>0</v>
      </c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43"/>
      <c r="AH256" s="103">
        <f t="shared" si="100"/>
        <v>0</v>
      </c>
      <c r="AI256" s="136"/>
      <c r="AJ256" s="136"/>
      <c r="AK256" s="136"/>
      <c r="AL256" s="105">
        <f t="shared" si="101"/>
        <v>0</v>
      </c>
      <c r="AM256" s="143"/>
      <c r="AN256" s="143"/>
      <c r="AO256" s="143"/>
      <c r="AP256" s="146"/>
      <c r="AQ256" s="224">
        <f t="shared" si="102"/>
        <v>0</v>
      </c>
      <c r="AR256" s="126"/>
      <c r="AS256" s="274"/>
      <c r="AT256" s="126"/>
      <c r="AU256" s="126"/>
      <c r="AV256" s="126"/>
      <c r="AW256" s="126"/>
      <c r="AX256" s="126"/>
      <c r="AY256" s="274"/>
      <c r="AZ256" s="274"/>
      <c r="BA256" s="274"/>
      <c r="BB256" s="274"/>
      <c r="BC256" s="222">
        <f t="shared" si="103"/>
        <v>0</v>
      </c>
      <c r="BD256" s="140">
        <f t="shared" si="104"/>
        <v>0</v>
      </c>
      <c r="BE256" s="132"/>
      <c r="BF256" s="140">
        <f t="shared" si="105"/>
        <v>0</v>
      </c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309"/>
      <c r="BR256" s="141"/>
      <c r="BS256" s="152"/>
      <c r="BT256" s="130">
        <f t="shared" si="106"/>
        <v>0</v>
      </c>
      <c r="BU256" s="132"/>
    </row>
    <row r="257" ht="14.25" customHeight="1">
      <c r="A257" s="132"/>
      <c r="B257" s="215">
        <v>46250</v>
      </c>
      <c r="C257" s="136"/>
      <c r="D257" s="136"/>
      <c r="E257" s="135"/>
      <c r="F257" s="135"/>
      <c r="G257" s="147">
        <f t="shared" si="98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03">
        <f t="shared" si="99"/>
        <v>0</v>
      </c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43"/>
      <c r="AH257" s="103">
        <f t="shared" si="100"/>
        <v>0</v>
      </c>
      <c r="AI257" s="136"/>
      <c r="AJ257" s="136"/>
      <c r="AK257" s="136"/>
      <c r="AL257" s="105">
        <f t="shared" si="101"/>
        <v>0</v>
      </c>
      <c r="AM257" s="143"/>
      <c r="AN257" s="143"/>
      <c r="AO257" s="143"/>
      <c r="AP257" s="146"/>
      <c r="AQ257" s="224">
        <f t="shared" si="102"/>
        <v>0</v>
      </c>
      <c r="AR257" s="126"/>
      <c r="AS257" s="274"/>
      <c r="AT257" s="126"/>
      <c r="AU257" s="126"/>
      <c r="AV257" s="126"/>
      <c r="AW257" s="126"/>
      <c r="AX257" s="126"/>
      <c r="AY257" s="274"/>
      <c r="AZ257" s="274"/>
      <c r="BA257" s="274"/>
      <c r="BB257" s="274"/>
      <c r="BC257" s="222">
        <f t="shared" si="103"/>
        <v>0</v>
      </c>
      <c r="BD257" s="140">
        <f t="shared" si="104"/>
        <v>0</v>
      </c>
      <c r="BE257" s="132"/>
      <c r="BF257" s="140">
        <f t="shared" si="105"/>
        <v>0</v>
      </c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522"/>
      <c r="BR257" s="141"/>
      <c r="BS257" s="152"/>
      <c r="BT257" s="130">
        <f t="shared" si="106"/>
        <v>0</v>
      </c>
      <c r="BU257" s="132"/>
    </row>
    <row r="258" ht="14.25" customHeight="1">
      <c r="A258" s="132"/>
      <c r="B258" s="215">
        <v>46251</v>
      </c>
      <c r="C258" s="136"/>
      <c r="D258" s="136"/>
      <c r="E258" s="135"/>
      <c r="F258" s="135"/>
      <c r="G258" s="147">
        <f t="shared" si="98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03">
        <f t="shared" si="99"/>
        <v>0</v>
      </c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43"/>
      <c r="AH258" s="103">
        <f t="shared" si="100"/>
        <v>0</v>
      </c>
      <c r="AI258" s="136"/>
      <c r="AJ258" s="136"/>
      <c r="AK258" s="136"/>
      <c r="AL258" s="105">
        <f t="shared" si="101"/>
        <v>0</v>
      </c>
      <c r="AM258" s="143"/>
      <c r="AN258" s="143"/>
      <c r="AO258" s="143"/>
      <c r="AP258" s="146"/>
      <c r="AQ258" s="224">
        <f t="shared" si="102"/>
        <v>0</v>
      </c>
      <c r="AR258" s="126"/>
      <c r="AS258" s="274"/>
      <c r="AT258" s="126"/>
      <c r="AU258" s="126"/>
      <c r="AV258" s="126"/>
      <c r="AW258" s="126"/>
      <c r="AX258" s="126"/>
      <c r="AY258" s="274"/>
      <c r="AZ258" s="274"/>
      <c r="BA258" s="274"/>
      <c r="BB258" s="274"/>
      <c r="BC258" s="222">
        <f t="shared" si="103"/>
        <v>0</v>
      </c>
      <c r="BD258" s="140">
        <f t="shared" si="104"/>
        <v>0</v>
      </c>
      <c r="BE258" s="132"/>
      <c r="BF258" s="140">
        <f t="shared" si="105"/>
        <v>0</v>
      </c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309"/>
      <c r="BR258" s="141"/>
      <c r="BS258" s="152"/>
      <c r="BT258" s="130">
        <f t="shared" si="106"/>
        <v>0</v>
      </c>
      <c r="BU258" s="132"/>
    </row>
    <row r="259" ht="14.25" customHeight="1">
      <c r="A259" s="132"/>
      <c r="B259" s="215">
        <v>46252</v>
      </c>
      <c r="C259" s="136"/>
      <c r="D259" s="136"/>
      <c r="E259" s="135"/>
      <c r="F259" s="135"/>
      <c r="G259" s="147">
        <f t="shared" si="98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03">
        <f t="shared" si="99"/>
        <v>0</v>
      </c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43"/>
      <c r="AH259" s="103">
        <f t="shared" si="100"/>
        <v>0</v>
      </c>
      <c r="AI259" s="136"/>
      <c r="AJ259" s="136"/>
      <c r="AK259" s="136"/>
      <c r="AL259" s="105">
        <f t="shared" si="101"/>
        <v>0</v>
      </c>
      <c r="AM259" s="143"/>
      <c r="AN259" s="143"/>
      <c r="AO259" s="143"/>
      <c r="AP259" s="146"/>
      <c r="AQ259" s="224">
        <f t="shared" si="102"/>
        <v>0</v>
      </c>
      <c r="AR259" s="126"/>
      <c r="AS259" s="274"/>
      <c r="AT259" s="126"/>
      <c r="AU259" s="126"/>
      <c r="AV259" s="126"/>
      <c r="AW259" s="126"/>
      <c r="AX259" s="126"/>
      <c r="AY259" s="274"/>
      <c r="AZ259" s="274"/>
      <c r="BA259" s="274"/>
      <c r="BB259" s="274"/>
      <c r="BC259" s="222">
        <f t="shared" si="103"/>
        <v>0</v>
      </c>
      <c r="BD259" s="140">
        <f t="shared" si="104"/>
        <v>0</v>
      </c>
      <c r="BE259" s="132"/>
      <c r="BF259" s="140">
        <f t="shared" si="105"/>
        <v>0</v>
      </c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309"/>
      <c r="BR259" s="141"/>
      <c r="BS259" s="152"/>
      <c r="BT259" s="130">
        <f t="shared" si="106"/>
        <v>0</v>
      </c>
      <c r="BU259" s="132"/>
    </row>
    <row r="260" ht="14.25" customHeight="1">
      <c r="A260" s="132"/>
      <c r="B260" s="215">
        <v>46253</v>
      </c>
      <c r="C260" s="136"/>
      <c r="D260" s="136"/>
      <c r="E260" s="135"/>
      <c r="F260" s="135"/>
      <c r="G260" s="147">
        <f t="shared" si="98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03">
        <f t="shared" si="99"/>
        <v>0</v>
      </c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43"/>
      <c r="AH260" s="103">
        <f t="shared" si="100"/>
        <v>0</v>
      </c>
      <c r="AI260" s="136"/>
      <c r="AJ260" s="136"/>
      <c r="AK260" s="136"/>
      <c r="AL260" s="105">
        <f t="shared" si="101"/>
        <v>0</v>
      </c>
      <c r="AM260" s="143"/>
      <c r="AN260" s="143"/>
      <c r="AO260" s="143"/>
      <c r="AP260" s="146"/>
      <c r="AQ260" s="224">
        <f t="shared" si="102"/>
        <v>0</v>
      </c>
      <c r="AR260" s="126"/>
      <c r="AS260" s="274"/>
      <c r="AT260" s="126"/>
      <c r="AU260" s="126"/>
      <c r="AV260" s="126"/>
      <c r="AW260" s="126"/>
      <c r="AX260" s="126"/>
      <c r="AY260" s="274"/>
      <c r="AZ260" s="274"/>
      <c r="BA260" s="274"/>
      <c r="BB260" s="274"/>
      <c r="BC260" s="222">
        <f t="shared" si="103"/>
        <v>0</v>
      </c>
      <c r="BD260" s="140">
        <f t="shared" si="104"/>
        <v>0</v>
      </c>
      <c r="BE260" s="132"/>
      <c r="BF260" s="140">
        <f t="shared" si="105"/>
        <v>0</v>
      </c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309"/>
      <c r="BR260" s="141"/>
      <c r="BS260" s="152"/>
      <c r="BT260" s="130">
        <f t="shared" si="106"/>
        <v>0</v>
      </c>
      <c r="BU260" s="132"/>
    </row>
    <row r="261" ht="14.25" customHeight="1">
      <c r="A261" s="132"/>
      <c r="B261" s="215">
        <v>46254</v>
      </c>
      <c r="C261" s="136"/>
      <c r="D261" s="136"/>
      <c r="E261" s="135"/>
      <c r="F261" s="135"/>
      <c r="G261" s="147">
        <f t="shared" si="98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03">
        <f t="shared" si="99"/>
        <v>0</v>
      </c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03">
        <f t="shared" si="100"/>
        <v>0</v>
      </c>
      <c r="AI261" s="136"/>
      <c r="AJ261" s="136"/>
      <c r="AK261" s="136"/>
      <c r="AL261" s="105">
        <f t="shared" si="101"/>
        <v>0</v>
      </c>
      <c r="AM261" s="143"/>
      <c r="AN261" s="143"/>
      <c r="AO261" s="143"/>
      <c r="AP261" s="146"/>
      <c r="AQ261" s="224">
        <f t="shared" si="102"/>
        <v>0</v>
      </c>
      <c r="AR261" s="126"/>
      <c r="AS261" s="274"/>
      <c r="AT261" s="126"/>
      <c r="AU261" s="126"/>
      <c r="AV261" s="126"/>
      <c r="AW261" s="126"/>
      <c r="AX261" s="126"/>
      <c r="AY261" s="274"/>
      <c r="AZ261" s="274"/>
      <c r="BA261" s="274"/>
      <c r="BB261" s="274"/>
      <c r="BC261" s="222">
        <f t="shared" si="103"/>
        <v>0</v>
      </c>
      <c r="BD261" s="140">
        <f t="shared" si="104"/>
        <v>0</v>
      </c>
      <c r="BE261" s="132"/>
      <c r="BF261" s="140">
        <f t="shared" si="105"/>
        <v>0</v>
      </c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309"/>
      <c r="BR261" s="141"/>
      <c r="BS261" s="152"/>
      <c r="BT261" s="130">
        <f t="shared" si="106"/>
        <v>0</v>
      </c>
      <c r="BU261" s="132"/>
    </row>
    <row r="262" ht="14.25" customHeight="1">
      <c r="A262" s="132"/>
      <c r="B262" s="215">
        <v>46255</v>
      </c>
      <c r="C262" s="136"/>
      <c r="D262" s="136"/>
      <c r="E262" s="135"/>
      <c r="F262" s="135"/>
      <c r="G262" s="147">
        <f t="shared" si="98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03">
        <f t="shared" si="99"/>
        <v>0</v>
      </c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43"/>
      <c r="AH262" s="103">
        <f t="shared" si="100"/>
        <v>0</v>
      </c>
      <c r="AI262" s="136"/>
      <c r="AJ262" s="136"/>
      <c r="AK262" s="136"/>
      <c r="AL262" s="105">
        <f t="shared" si="101"/>
        <v>0</v>
      </c>
      <c r="AM262" s="143"/>
      <c r="AN262" s="143"/>
      <c r="AO262" s="143"/>
      <c r="AP262" s="146"/>
      <c r="AQ262" s="224">
        <f t="shared" si="102"/>
        <v>0</v>
      </c>
      <c r="AR262" s="126"/>
      <c r="AS262" s="274"/>
      <c r="AT262" s="126"/>
      <c r="AU262" s="126"/>
      <c r="AV262" s="126"/>
      <c r="AW262" s="126"/>
      <c r="AX262" s="126"/>
      <c r="AY262" s="274"/>
      <c r="AZ262" s="274"/>
      <c r="BA262" s="274"/>
      <c r="BB262" s="274"/>
      <c r="BC262" s="222">
        <f t="shared" si="103"/>
        <v>0</v>
      </c>
      <c r="BD262" s="140">
        <f t="shared" si="104"/>
        <v>0</v>
      </c>
      <c r="BE262" s="132"/>
      <c r="BF262" s="140">
        <f t="shared" si="105"/>
        <v>0</v>
      </c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309"/>
      <c r="BR262" s="141"/>
      <c r="BS262" s="152"/>
      <c r="BT262" s="130">
        <f t="shared" si="106"/>
        <v>0</v>
      </c>
      <c r="BU262" s="132"/>
    </row>
    <row r="263" ht="14.25" customHeight="1">
      <c r="A263" s="132"/>
      <c r="B263" s="215">
        <v>46256</v>
      </c>
      <c r="C263" s="136"/>
      <c r="D263" s="136"/>
      <c r="E263" s="135"/>
      <c r="F263" s="135"/>
      <c r="G263" s="147">
        <f t="shared" si="98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03">
        <f t="shared" si="99"/>
        <v>0</v>
      </c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43"/>
      <c r="AH263" s="103">
        <f t="shared" si="100"/>
        <v>0</v>
      </c>
      <c r="AI263" s="136"/>
      <c r="AJ263" s="136"/>
      <c r="AK263" s="136"/>
      <c r="AL263" s="105">
        <f t="shared" si="101"/>
        <v>0</v>
      </c>
      <c r="AM263" s="143"/>
      <c r="AN263" s="143"/>
      <c r="AO263" s="143"/>
      <c r="AP263" s="146"/>
      <c r="AQ263" s="224">
        <f t="shared" si="102"/>
        <v>0</v>
      </c>
      <c r="AR263" s="126"/>
      <c r="AS263" s="274"/>
      <c r="AT263" s="126"/>
      <c r="AU263" s="126"/>
      <c r="AV263" s="126"/>
      <c r="AW263" s="126"/>
      <c r="AX263" s="126"/>
      <c r="AY263" s="274"/>
      <c r="AZ263" s="274"/>
      <c r="BA263" s="274"/>
      <c r="BB263" s="274"/>
      <c r="BC263" s="222">
        <f t="shared" si="103"/>
        <v>0</v>
      </c>
      <c r="BD263" s="140">
        <f t="shared" si="104"/>
        <v>0</v>
      </c>
      <c r="BE263" s="132"/>
      <c r="BF263" s="140">
        <f t="shared" si="105"/>
        <v>0</v>
      </c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309"/>
      <c r="BR263" s="141"/>
      <c r="BS263" s="152"/>
      <c r="BT263" s="130">
        <f t="shared" si="106"/>
        <v>0</v>
      </c>
      <c r="BU263" s="132"/>
    </row>
    <row r="264" ht="14.25" customHeight="1">
      <c r="A264" s="132"/>
      <c r="B264" s="215">
        <v>46257</v>
      </c>
      <c r="C264" s="136"/>
      <c r="D264" s="136"/>
      <c r="E264" s="135"/>
      <c r="F264" s="135"/>
      <c r="G264" s="147">
        <f t="shared" si="98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03">
        <f t="shared" si="99"/>
        <v>0</v>
      </c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43"/>
      <c r="AH264" s="103">
        <f t="shared" si="100"/>
        <v>0</v>
      </c>
      <c r="AI264" s="136"/>
      <c r="AJ264" s="136"/>
      <c r="AK264" s="136"/>
      <c r="AL264" s="105">
        <f t="shared" si="101"/>
        <v>0</v>
      </c>
      <c r="AM264" s="143"/>
      <c r="AN264" s="143"/>
      <c r="AO264" s="143"/>
      <c r="AP264" s="146"/>
      <c r="AQ264" s="224">
        <f t="shared" si="102"/>
        <v>0</v>
      </c>
      <c r="AR264" s="126"/>
      <c r="AS264" s="274"/>
      <c r="AT264" s="126"/>
      <c r="AU264" s="126"/>
      <c r="AV264" s="126"/>
      <c r="AW264" s="126"/>
      <c r="AX264" s="126"/>
      <c r="AY264" s="274"/>
      <c r="AZ264" s="274"/>
      <c r="BA264" s="274"/>
      <c r="BB264" s="274"/>
      <c r="BC264" s="222">
        <f t="shared" si="103"/>
        <v>0</v>
      </c>
      <c r="BD264" s="140">
        <f t="shared" si="104"/>
        <v>0</v>
      </c>
      <c r="BE264" s="132"/>
      <c r="BF264" s="140">
        <f t="shared" si="105"/>
        <v>0</v>
      </c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309"/>
      <c r="BR264" s="141"/>
      <c r="BS264" s="152"/>
      <c r="BT264" s="130">
        <f t="shared" si="106"/>
        <v>0</v>
      </c>
      <c r="BU264" s="132"/>
    </row>
    <row r="265" ht="14.25" customHeight="1">
      <c r="A265" s="132"/>
      <c r="B265" s="215">
        <v>46258</v>
      </c>
      <c r="C265" s="136"/>
      <c r="D265" s="136"/>
      <c r="E265" s="135"/>
      <c r="F265" s="135"/>
      <c r="G265" s="147">
        <f t="shared" si="98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03">
        <f t="shared" si="99"/>
        <v>0</v>
      </c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43"/>
      <c r="AH265" s="103">
        <f t="shared" si="100"/>
        <v>0</v>
      </c>
      <c r="AI265" s="136"/>
      <c r="AJ265" s="136"/>
      <c r="AK265" s="136"/>
      <c r="AL265" s="105">
        <f t="shared" si="101"/>
        <v>0</v>
      </c>
      <c r="AM265" s="143"/>
      <c r="AN265" s="143"/>
      <c r="AO265" s="143"/>
      <c r="AP265" s="146"/>
      <c r="AQ265" s="224">
        <f t="shared" si="102"/>
        <v>0</v>
      </c>
      <c r="AR265" s="126"/>
      <c r="AS265" s="274"/>
      <c r="AT265" s="126"/>
      <c r="AU265" s="126"/>
      <c r="AV265" s="126"/>
      <c r="AW265" s="126"/>
      <c r="AX265" s="126"/>
      <c r="AY265" s="274"/>
      <c r="AZ265" s="274"/>
      <c r="BA265" s="274"/>
      <c r="BB265" s="274"/>
      <c r="BC265" s="222">
        <f t="shared" si="103"/>
        <v>0</v>
      </c>
      <c r="BD265" s="140">
        <f t="shared" si="104"/>
        <v>0</v>
      </c>
      <c r="BE265" s="132"/>
      <c r="BF265" s="140">
        <f t="shared" si="105"/>
        <v>0</v>
      </c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309"/>
      <c r="BR265" s="141"/>
      <c r="BS265" s="152"/>
      <c r="BT265" s="130">
        <f t="shared" si="106"/>
        <v>0</v>
      </c>
      <c r="BU265" s="132"/>
    </row>
    <row r="266" ht="14.25" customHeight="1">
      <c r="A266" s="132"/>
      <c r="B266" s="215">
        <v>46259</v>
      </c>
      <c r="C266" s="136"/>
      <c r="D266" s="136"/>
      <c r="E266" s="135"/>
      <c r="F266" s="135"/>
      <c r="G266" s="147">
        <f t="shared" si="98"/>
        <v>0</v>
      </c>
      <c r="H266" s="144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03">
        <f t="shared" si="99"/>
        <v>0</v>
      </c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43"/>
      <c r="AH266" s="103">
        <f t="shared" si="100"/>
        <v>0</v>
      </c>
      <c r="AI266" s="136"/>
      <c r="AJ266" s="136"/>
      <c r="AK266" s="136"/>
      <c r="AL266" s="105">
        <f t="shared" si="101"/>
        <v>0</v>
      </c>
      <c r="AM266" s="143"/>
      <c r="AN266" s="143"/>
      <c r="AO266" s="143"/>
      <c r="AP266" s="146"/>
      <c r="AQ266" s="224">
        <f t="shared" si="102"/>
        <v>0</v>
      </c>
      <c r="AR266" s="126"/>
      <c r="AS266" s="274"/>
      <c r="AT266" s="126"/>
      <c r="AU266" s="126"/>
      <c r="AV266" s="126"/>
      <c r="AW266" s="126"/>
      <c r="AX266" s="126"/>
      <c r="AY266" s="274"/>
      <c r="AZ266" s="274"/>
      <c r="BA266" s="274"/>
      <c r="BB266" s="274"/>
      <c r="BC266" s="222">
        <f t="shared" si="103"/>
        <v>0</v>
      </c>
      <c r="BD266" s="140">
        <f t="shared" si="104"/>
        <v>0</v>
      </c>
      <c r="BE266" s="132"/>
      <c r="BF266" s="140">
        <f t="shared" si="105"/>
        <v>0</v>
      </c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309"/>
      <c r="BR266" s="141"/>
      <c r="BS266" s="152"/>
      <c r="BT266" s="130">
        <f t="shared" si="106"/>
        <v>0</v>
      </c>
      <c r="BU266" s="132"/>
    </row>
    <row r="267" ht="13.5" customHeight="1">
      <c r="A267" s="132"/>
      <c r="B267" s="215">
        <v>46260</v>
      </c>
      <c r="C267" s="136"/>
      <c r="D267" s="136"/>
      <c r="E267" s="135"/>
      <c r="F267" s="135"/>
      <c r="G267" s="147">
        <f t="shared" si="98"/>
        <v>0</v>
      </c>
      <c r="H267" s="144"/>
      <c r="I267" s="143"/>
      <c r="J267" s="143"/>
      <c r="K267" s="143"/>
      <c r="L267" s="143"/>
      <c r="M267" s="143"/>
      <c r="N267" s="99"/>
      <c r="O267" s="143"/>
      <c r="P267" s="143"/>
      <c r="Q267" s="143"/>
      <c r="R267" s="143"/>
      <c r="S267" s="143"/>
      <c r="T267" s="143"/>
      <c r="U267" s="103">
        <f t="shared" si="99"/>
        <v>0</v>
      </c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43"/>
      <c r="AH267" s="103">
        <f t="shared" si="100"/>
        <v>0</v>
      </c>
      <c r="AI267" s="136"/>
      <c r="AJ267" s="136"/>
      <c r="AK267" s="136"/>
      <c r="AL267" s="105">
        <f t="shared" si="101"/>
        <v>0</v>
      </c>
      <c r="AM267" s="143"/>
      <c r="AN267" s="143"/>
      <c r="AO267" s="143"/>
      <c r="AP267" s="146"/>
      <c r="AQ267" s="224">
        <f t="shared" si="102"/>
        <v>0</v>
      </c>
      <c r="AR267" s="126"/>
      <c r="AS267" s="274"/>
      <c r="AT267" s="126"/>
      <c r="AU267" s="126"/>
      <c r="AV267" s="126"/>
      <c r="AW267" s="126"/>
      <c r="AX267" s="126"/>
      <c r="AY267" s="274"/>
      <c r="AZ267" s="274"/>
      <c r="BA267" s="274"/>
      <c r="BB267" s="274"/>
      <c r="BC267" s="222">
        <f t="shared" si="103"/>
        <v>0</v>
      </c>
      <c r="BD267" s="140">
        <f t="shared" si="104"/>
        <v>0</v>
      </c>
      <c r="BE267" s="132"/>
      <c r="BF267" s="140">
        <f t="shared" si="105"/>
        <v>0</v>
      </c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309"/>
      <c r="BR267" s="141"/>
      <c r="BS267" s="152"/>
      <c r="BT267" s="130">
        <f t="shared" si="106"/>
        <v>0</v>
      </c>
      <c r="BU267" s="132"/>
    </row>
    <row r="268" ht="14.25" customHeight="1">
      <c r="A268" s="132"/>
      <c r="B268" s="215">
        <v>46261</v>
      </c>
      <c r="C268" s="136"/>
      <c r="D268" s="136"/>
      <c r="E268" s="135"/>
      <c r="F268" s="135"/>
      <c r="G268" s="147">
        <f t="shared" si="98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03">
        <f t="shared" si="99"/>
        <v>0</v>
      </c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43"/>
      <c r="AH268" s="103">
        <f t="shared" si="100"/>
        <v>0</v>
      </c>
      <c r="AI268" s="136"/>
      <c r="AJ268" s="136"/>
      <c r="AK268" s="136"/>
      <c r="AL268" s="105">
        <f t="shared" si="101"/>
        <v>0</v>
      </c>
      <c r="AM268" s="143"/>
      <c r="AN268" s="143"/>
      <c r="AO268" s="143"/>
      <c r="AP268" s="146"/>
      <c r="AQ268" s="224">
        <f t="shared" si="102"/>
        <v>0</v>
      </c>
      <c r="AR268" s="126"/>
      <c r="AS268" s="274"/>
      <c r="AT268" s="126"/>
      <c r="AU268" s="126"/>
      <c r="AV268" s="126"/>
      <c r="AW268" s="126"/>
      <c r="AX268" s="126"/>
      <c r="AY268" s="274"/>
      <c r="AZ268" s="274"/>
      <c r="BA268" s="274"/>
      <c r="BB268" s="274"/>
      <c r="BC268" s="222">
        <f t="shared" si="103"/>
        <v>0</v>
      </c>
      <c r="BD268" s="140">
        <f t="shared" si="104"/>
        <v>0</v>
      </c>
      <c r="BE268" s="132"/>
      <c r="BF268" s="140">
        <f t="shared" si="105"/>
        <v>0</v>
      </c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309"/>
      <c r="BR268" s="141"/>
      <c r="BS268" s="152"/>
      <c r="BT268" s="130">
        <f t="shared" si="106"/>
        <v>0</v>
      </c>
      <c r="BU268" s="132"/>
    </row>
    <row r="269" ht="14.25" customHeight="1">
      <c r="A269" s="132"/>
      <c r="B269" s="215">
        <v>46262</v>
      </c>
      <c r="C269" s="136"/>
      <c r="D269" s="136"/>
      <c r="E269" s="135"/>
      <c r="F269" s="135"/>
      <c r="G269" s="147">
        <f t="shared" si="98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03">
        <f t="shared" si="99"/>
        <v>0</v>
      </c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43"/>
      <c r="AH269" s="103">
        <f t="shared" si="100"/>
        <v>0</v>
      </c>
      <c r="AI269" s="136"/>
      <c r="AJ269" s="136"/>
      <c r="AK269" s="136"/>
      <c r="AL269" s="105">
        <f t="shared" si="101"/>
        <v>0</v>
      </c>
      <c r="AM269" s="143"/>
      <c r="AN269" s="143"/>
      <c r="AO269" s="143"/>
      <c r="AP269" s="146"/>
      <c r="AQ269" s="224">
        <f t="shared" si="102"/>
        <v>0</v>
      </c>
      <c r="AR269" s="126"/>
      <c r="AS269" s="274"/>
      <c r="AT269" s="126"/>
      <c r="AU269" s="126"/>
      <c r="AV269" s="126"/>
      <c r="AW269" s="126"/>
      <c r="AX269" s="126"/>
      <c r="AY269" s="274"/>
      <c r="AZ269" s="274"/>
      <c r="BA269" s="274"/>
      <c r="BB269" s="274"/>
      <c r="BC269" s="222">
        <f t="shared" si="103"/>
        <v>0</v>
      </c>
      <c r="BD269" s="140">
        <f t="shared" si="104"/>
        <v>0</v>
      </c>
      <c r="BE269" s="132"/>
      <c r="BF269" s="140">
        <f t="shared" si="105"/>
        <v>0</v>
      </c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309"/>
      <c r="BR269" s="141"/>
      <c r="BS269" s="152"/>
      <c r="BT269" s="130">
        <f t="shared" si="106"/>
        <v>0</v>
      </c>
      <c r="BU269" s="132"/>
    </row>
    <row r="270" ht="14.25" customHeight="1">
      <c r="A270" s="132"/>
      <c r="B270" s="215">
        <v>46263</v>
      </c>
      <c r="C270" s="136"/>
      <c r="D270" s="136"/>
      <c r="E270" s="135"/>
      <c r="F270" s="135"/>
      <c r="G270" s="147">
        <f t="shared" si="98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03">
        <f t="shared" si="99"/>
        <v>0</v>
      </c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43"/>
      <c r="AH270" s="103">
        <f t="shared" si="100"/>
        <v>0</v>
      </c>
      <c r="AI270" s="136"/>
      <c r="AJ270" s="136"/>
      <c r="AK270" s="136"/>
      <c r="AL270" s="105">
        <f t="shared" si="101"/>
        <v>0</v>
      </c>
      <c r="AM270" s="143"/>
      <c r="AN270" s="143"/>
      <c r="AO270" s="143"/>
      <c r="AP270" s="146"/>
      <c r="AQ270" s="224">
        <f t="shared" si="102"/>
        <v>0</v>
      </c>
      <c r="AR270" s="126"/>
      <c r="AS270" s="274"/>
      <c r="AT270" s="126"/>
      <c r="AU270" s="126"/>
      <c r="AV270" s="126"/>
      <c r="AW270" s="126"/>
      <c r="AX270" s="126"/>
      <c r="AY270" s="274"/>
      <c r="AZ270" s="274"/>
      <c r="BA270" s="274"/>
      <c r="BB270" s="274"/>
      <c r="BC270" s="222">
        <f t="shared" si="103"/>
        <v>0</v>
      </c>
      <c r="BD270" s="140">
        <f t="shared" si="104"/>
        <v>0</v>
      </c>
      <c r="BE270" s="132"/>
      <c r="BF270" s="140">
        <f t="shared" si="105"/>
        <v>0</v>
      </c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309"/>
      <c r="BR270" s="141"/>
      <c r="BS270" s="152"/>
      <c r="BT270" s="130">
        <f t="shared" si="106"/>
        <v>0</v>
      </c>
      <c r="BU270" s="132"/>
    </row>
    <row r="271" ht="14.25" customHeight="1">
      <c r="A271" s="132"/>
      <c r="B271" s="215">
        <v>46264</v>
      </c>
      <c r="C271" s="136"/>
      <c r="D271" s="136"/>
      <c r="E271" s="135"/>
      <c r="F271" s="135"/>
      <c r="G271" s="147">
        <f t="shared" si="98"/>
        <v>0</v>
      </c>
      <c r="H271" s="144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03">
        <f t="shared" si="99"/>
        <v>0</v>
      </c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  <c r="AF271" s="143"/>
      <c r="AG271" s="143"/>
      <c r="AH271" s="103">
        <f t="shared" si="100"/>
        <v>0</v>
      </c>
      <c r="AI271" s="136"/>
      <c r="AJ271" s="136"/>
      <c r="AK271" s="136"/>
      <c r="AL271" s="105">
        <f t="shared" si="101"/>
        <v>0</v>
      </c>
      <c r="AM271" s="143"/>
      <c r="AN271" s="143"/>
      <c r="AO271" s="143"/>
      <c r="AP271" s="146"/>
      <c r="AQ271" s="224">
        <f t="shared" si="102"/>
        <v>0</v>
      </c>
      <c r="AR271" s="126"/>
      <c r="AS271" s="274"/>
      <c r="AT271" s="126"/>
      <c r="AU271" s="126"/>
      <c r="AV271" s="126"/>
      <c r="AW271" s="126"/>
      <c r="AX271" s="126"/>
      <c r="AY271" s="274"/>
      <c r="AZ271" s="274"/>
      <c r="BA271" s="274"/>
      <c r="BB271" s="274"/>
      <c r="BC271" s="222">
        <f t="shared" si="103"/>
        <v>0</v>
      </c>
      <c r="BD271" s="140">
        <f t="shared" si="104"/>
        <v>0</v>
      </c>
      <c r="BE271" s="132"/>
      <c r="BF271" s="140">
        <f t="shared" si="105"/>
        <v>0</v>
      </c>
      <c r="BG271" s="141"/>
      <c r="BH271" s="141"/>
      <c r="BI271" s="141"/>
      <c r="BJ271" s="141"/>
      <c r="BK271" s="141"/>
      <c r="BL271" s="141"/>
      <c r="BM271" s="141"/>
      <c r="BN271" s="141"/>
      <c r="BO271" s="141"/>
      <c r="BP271" s="141"/>
      <c r="BQ271" s="309"/>
      <c r="BR271" s="141"/>
      <c r="BS271" s="152"/>
      <c r="BT271" s="130">
        <f t="shared" si="106"/>
        <v>0</v>
      </c>
      <c r="BU271" s="132"/>
    </row>
    <row r="272" ht="14.25" customHeight="1">
      <c r="A272" s="132"/>
      <c r="B272" s="215">
        <v>46265</v>
      </c>
      <c r="C272" s="159"/>
      <c r="D272" s="159"/>
      <c r="E272" s="156"/>
      <c r="F272" s="156"/>
      <c r="G272" s="147">
        <f t="shared" si="98"/>
        <v>0</v>
      </c>
      <c r="H272" s="612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03">
        <f t="shared" si="99"/>
        <v>0</v>
      </c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03">
        <f t="shared" si="100"/>
        <v>0</v>
      </c>
      <c r="AI272" s="159"/>
      <c r="AJ272" s="159"/>
      <c r="AK272" s="159"/>
      <c r="AL272" s="105">
        <f t="shared" si="101"/>
        <v>0</v>
      </c>
      <c r="AM272" s="157"/>
      <c r="AN272" s="157"/>
      <c r="AO272" s="157"/>
      <c r="AP272" s="160"/>
      <c r="AQ272" s="232">
        <f t="shared" si="102"/>
        <v>0</v>
      </c>
      <c r="AR272" s="138"/>
      <c r="AS272" s="296"/>
      <c r="AT272" s="138"/>
      <c r="AU272" s="138"/>
      <c r="AV272" s="138"/>
      <c r="AW272" s="138"/>
      <c r="AX272" s="138"/>
      <c r="AY272" s="296"/>
      <c r="AZ272" s="296"/>
      <c r="BA272" s="296"/>
      <c r="BB272" s="296"/>
      <c r="BC272" s="222">
        <f t="shared" si="103"/>
        <v>0</v>
      </c>
      <c r="BD272" s="162">
        <f t="shared" si="104"/>
        <v>0</v>
      </c>
      <c r="BE272" s="132"/>
      <c r="BF272" s="162">
        <f t="shared" si="105"/>
        <v>0</v>
      </c>
      <c r="BG272" s="163"/>
      <c r="BH272" s="163"/>
      <c r="BI272" s="163"/>
      <c r="BJ272" s="163"/>
      <c r="BK272" s="163"/>
      <c r="BL272" s="163"/>
      <c r="BM272" s="163"/>
      <c r="BN272" s="163"/>
      <c r="BO272" s="163"/>
      <c r="BP272" s="141"/>
      <c r="BQ272" s="506"/>
      <c r="BR272" s="163"/>
      <c r="BS272" s="879"/>
      <c r="BT272" s="164">
        <f t="shared" si="106"/>
        <v>0</v>
      </c>
      <c r="BU272" s="132"/>
    </row>
    <row r="273" ht="14.25" customHeight="1">
      <c r="A273" s="16"/>
      <c r="B273" s="2" t="s">
        <v>264</v>
      </c>
      <c r="C273" s="1386">
        <f ref="C273:J273" t="shared" si="107">SUM(C242:C272)</f>
        <v>0</v>
      </c>
      <c r="D273" s="1386">
        <f t="shared" si="107"/>
        <v>0</v>
      </c>
      <c r="E273" s="1386">
        <f t="shared" si="107"/>
        <v>0</v>
      </c>
      <c r="F273" s="1386">
        <f t="shared" si="107"/>
        <v>0</v>
      </c>
      <c r="G273" s="1386">
        <f t="shared" si="107"/>
        <v>0</v>
      </c>
      <c r="H273" s="1386">
        <f t="shared" si="107"/>
        <v>0</v>
      </c>
      <c r="I273" s="1386">
        <f t="shared" si="107"/>
        <v>0</v>
      </c>
      <c r="J273" s="1386">
        <f t="shared" si="107"/>
        <v>0</v>
      </c>
      <c r="K273" s="1386"/>
      <c r="L273" s="1386">
        <f ref="L273:R273" t="shared" si="108">SUM(L242:L272)</f>
        <v>0</v>
      </c>
      <c r="M273" s="1386">
        <f t="shared" si="108"/>
        <v>0</v>
      </c>
      <c r="N273" s="1386">
        <f t="shared" si="108"/>
        <v>0</v>
      </c>
      <c r="O273" s="1386">
        <f t="shared" si="108"/>
        <v>0</v>
      </c>
      <c r="P273" s="1386">
        <f t="shared" si="108"/>
        <v>0</v>
      </c>
      <c r="Q273" s="1386">
        <f t="shared" si="108"/>
        <v>0</v>
      </c>
      <c r="R273" s="1386">
        <f t="shared" si="108"/>
        <v>0</v>
      </c>
      <c r="S273" s="1386"/>
      <c r="T273" s="1386">
        <f ref="T273:U273" t="shared" si="109">SUM(T242:T272)</f>
        <v>0</v>
      </c>
      <c r="U273" s="1386">
        <f t="shared" si="109"/>
        <v>0</v>
      </c>
      <c r="V273" s="1386"/>
      <c r="W273" s="1386"/>
      <c r="X273" s="1386">
        <f ref="X273:AO273" t="shared" si="110">SUM(X242:X272)</f>
        <v>0</v>
      </c>
      <c r="Y273" s="1386">
        <f t="shared" si="110"/>
        <v>0</v>
      </c>
      <c r="Z273" s="1386">
        <f t="shared" si="110"/>
        <v>0</v>
      </c>
      <c r="AA273" s="1386">
        <f t="shared" si="110"/>
        <v>0</v>
      </c>
      <c r="AB273" s="1386">
        <f t="shared" si="110"/>
        <v>0</v>
      </c>
      <c r="AC273" s="1386">
        <f t="shared" si="110"/>
        <v>0</v>
      </c>
      <c r="AD273" s="1386">
        <f t="shared" si="110"/>
        <v>0</v>
      </c>
      <c r="AE273" s="1386">
        <f t="shared" si="110"/>
        <v>0</v>
      </c>
      <c r="AF273" s="1386">
        <f t="shared" si="110"/>
        <v>0</v>
      </c>
      <c r="AG273" s="1386">
        <f t="shared" si="110"/>
        <v>0</v>
      </c>
      <c r="AH273" s="1386">
        <f t="shared" si="110"/>
        <v>0</v>
      </c>
      <c r="AI273" s="1386">
        <f t="shared" si="110"/>
        <v>0</v>
      </c>
      <c r="AJ273" s="1386">
        <f t="shared" si="110"/>
        <v>0</v>
      </c>
      <c r="AK273" s="1386">
        <f t="shared" si="110"/>
        <v>0</v>
      </c>
      <c r="AL273" s="1386">
        <f t="shared" si="110"/>
        <v>0</v>
      </c>
      <c r="AM273" s="1386">
        <f t="shared" si="110"/>
        <v>0</v>
      </c>
      <c r="AN273" s="1386">
        <f t="shared" si="110"/>
        <v>0</v>
      </c>
      <c r="AO273" s="1386">
        <f t="shared" si="110"/>
        <v>0</v>
      </c>
      <c r="AP273" s="1386"/>
      <c r="AQ273" s="1386">
        <f ref="AQ273:BD273" t="shared" si="111">SUM(AQ242:AQ272)</f>
        <v>0</v>
      </c>
      <c r="AR273" s="1387">
        <f t="shared" si="111"/>
        <v>0</v>
      </c>
      <c r="AS273" s="1386">
        <f t="shared" si="111"/>
        <v>0</v>
      </c>
      <c r="AT273" s="1386">
        <f t="shared" si="111"/>
        <v>0</v>
      </c>
      <c r="AU273" s="1386">
        <f t="shared" si="111"/>
        <v>0</v>
      </c>
      <c r="AV273" s="1386">
        <f t="shared" si="111"/>
        <v>0</v>
      </c>
      <c r="AW273" s="1386">
        <f t="shared" si="111"/>
        <v>0</v>
      </c>
      <c r="AX273" s="1386">
        <f t="shared" si="111"/>
        <v>0</v>
      </c>
      <c r="AY273" s="1386">
        <f t="shared" si="111"/>
        <v>0</v>
      </c>
      <c r="AZ273" s="1386">
        <f t="shared" si="111"/>
        <v>0</v>
      </c>
      <c r="BA273" s="1386">
        <f t="shared" si="111"/>
        <v>0</v>
      </c>
      <c r="BB273" s="1386">
        <f t="shared" si="111"/>
        <v>0</v>
      </c>
      <c r="BC273" s="1386">
        <f t="shared" si="111"/>
        <v>0</v>
      </c>
      <c r="BD273" s="1386">
        <f t="shared" si="111"/>
        <v>0</v>
      </c>
      <c r="BE273" s="16"/>
      <c r="BF273" s="1388">
        <f>SUM(BF242:BF272)</f>
        <v>0</v>
      </c>
      <c r="BG273" s="1387"/>
      <c r="BH273" s="1387"/>
      <c r="BI273" s="1387"/>
      <c r="BJ273" s="1387"/>
      <c r="BK273" s="1387"/>
      <c r="BL273" s="1387"/>
      <c r="BM273" s="1387"/>
      <c r="BN273" s="1387"/>
      <c r="BO273" s="1387"/>
      <c r="BP273" s="1387">
        <f ref="BP273:BR273" t="shared" si="112">SUM(BP242:BP272)</f>
        <v>0</v>
      </c>
      <c r="BQ273" s="1387">
        <f t="shared" si="112"/>
        <v>0</v>
      </c>
      <c r="BR273" s="1387">
        <f t="shared" si="112"/>
        <v>0</v>
      </c>
      <c r="BS273" s="1387"/>
      <c r="BT273" s="1387">
        <f>SUM(BT242:BT272)</f>
        <v>0</v>
      </c>
      <c r="BU273" s="16"/>
    </row>
    <row r="274" ht="14.25" customHeight="1">
      <c r="A274" s="1"/>
      <c r="B274" s="2"/>
      <c r="C274" s="3"/>
      <c r="D274" s="3"/>
      <c r="E274" s="3"/>
      <c r="F274" s="3"/>
      <c r="G274" s="133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4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132"/>
      <c r="BC274" s="4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ht="14.25" customHeight="1">
      <c r="A275" s="1"/>
      <c r="B275" s="2"/>
      <c r="C275" s="3"/>
      <c r="D275" s="3"/>
      <c r="E275" s="3"/>
      <c r="F275" s="3"/>
      <c r="G275" s="133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176"/>
      <c r="AI275" s="3"/>
      <c r="AJ275" s="3"/>
      <c r="AK275" s="3"/>
      <c r="AL275" s="4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132"/>
      <c r="BC275" s="177"/>
      <c r="BD275" s="3"/>
      <c r="BE275" s="3"/>
      <c r="BF275" s="3"/>
      <c r="BG275" s="3"/>
      <c r="BH275" s="3"/>
      <c r="BI275" s="3"/>
      <c r="BJ275" s="176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</row>
    <row r="276" ht="14.25" customHeight="1">
      <c r="A276" s="3"/>
      <c r="B276" s="215">
        <v>46266</v>
      </c>
      <c r="C276" s="104"/>
      <c r="D276" s="104"/>
      <c r="E276" s="97"/>
      <c r="F276" s="97"/>
      <c r="G276" s="265">
        <f ref="G276:G305" t="shared" si="113">+C276+D276+E276+F276</f>
        <v>0</v>
      </c>
      <c r="H276" s="187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03">
        <f ref="U276:U305" t="shared" si="114">SUM(H276:T276)</f>
        <v>0</v>
      </c>
      <c r="V276" s="186"/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03">
        <f ref="AH276:AH305" t="shared" si="115">SUM(V276:AG276)</f>
        <v>0</v>
      </c>
      <c r="AI276" s="104"/>
      <c r="AJ276" s="104"/>
      <c r="AK276" s="104"/>
      <c r="AL276" s="191">
        <f ref="AL276:AL305" t="shared" si="116">SUM(AI276:AK276)</f>
        <v>0</v>
      </c>
      <c r="AM276" s="186"/>
      <c r="AN276" s="186"/>
      <c r="AO276" s="186"/>
      <c r="AP276" s="193"/>
      <c r="AQ276" s="266">
        <f ref="AQ276:AQ305" t="shared" si="117">+G276-U276-AH276-AL276-AM276-AN276-AO276-AP276</f>
        <v>0</v>
      </c>
      <c r="AR276" s="109"/>
      <c r="AS276" s="269"/>
      <c r="AT276" s="109"/>
      <c r="AU276" s="109"/>
      <c r="AV276" s="109"/>
      <c r="AW276" s="109"/>
      <c r="AX276" s="109"/>
      <c r="AY276" s="269"/>
      <c r="AZ276" s="269"/>
      <c r="BA276" s="269"/>
      <c r="BB276" s="269"/>
      <c r="BC276" s="222">
        <f ref="BC276:BC305" t="shared" si="118">SUM(AR276:BB276)-BA276</f>
        <v>0</v>
      </c>
      <c r="BD276" s="114">
        <f ref="BD276:BD305" t="shared" si="119">+AQ276-BC276</f>
        <v>0</v>
      </c>
      <c r="BE276" s="3"/>
      <c r="BF276" s="114">
        <f ref="BF276:BF305" t="shared" si="120">SUM(BG276:BS276)</f>
        <v>0</v>
      </c>
      <c r="BG276" s="115"/>
      <c r="BH276" s="115"/>
      <c r="BI276" s="115"/>
      <c r="BJ276" s="115"/>
      <c r="BK276" s="115"/>
      <c r="BL276" s="115"/>
      <c r="BM276" s="115"/>
      <c r="BN276" s="115"/>
      <c r="BO276" s="115"/>
      <c r="BP276" s="115"/>
      <c r="BQ276" s="115"/>
      <c r="BR276" s="196"/>
      <c r="BS276" s="115"/>
      <c r="BT276" s="116">
        <f ref="BT276:BT305" t="shared" si="121">+BD276-BF276</f>
        <v>0</v>
      </c>
      <c r="BU276" s="3"/>
    </row>
    <row r="277" ht="14.25" customHeight="1">
      <c r="A277" s="3"/>
      <c r="B277" s="215">
        <v>46267</v>
      </c>
      <c r="C277" s="123"/>
      <c r="D277" s="123"/>
      <c r="E277" s="120"/>
      <c r="F277" s="120"/>
      <c r="G277" s="147">
        <f t="shared" si="113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03">
        <f t="shared" si="114"/>
        <v>0</v>
      </c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43"/>
      <c r="AH277" s="103">
        <f t="shared" si="115"/>
        <v>0</v>
      </c>
      <c r="AI277" s="123"/>
      <c r="AJ277" s="123"/>
      <c r="AK277" s="123"/>
      <c r="AL277" s="105">
        <f t="shared" si="116"/>
        <v>0</v>
      </c>
      <c r="AM277" s="143"/>
      <c r="AN277" s="143"/>
      <c r="AO277" s="143"/>
      <c r="AP277" s="146"/>
      <c r="AQ277" s="224">
        <f t="shared" si="117"/>
        <v>0</v>
      </c>
      <c r="AR277" s="126"/>
      <c r="AS277" s="274"/>
      <c r="AT277" s="126"/>
      <c r="AU277" s="126"/>
      <c r="AV277" s="126"/>
      <c r="AW277" s="126"/>
      <c r="AX277" s="126"/>
      <c r="AY277" s="274"/>
      <c r="AZ277" s="274"/>
      <c r="BA277" s="274"/>
      <c r="BB277" s="274"/>
      <c r="BC277" s="222">
        <f t="shared" si="118"/>
        <v>0</v>
      </c>
      <c r="BD277" s="113">
        <f t="shared" si="119"/>
        <v>0</v>
      </c>
      <c r="BE277" s="3"/>
      <c r="BF277" s="113">
        <f t="shared" si="120"/>
        <v>0</v>
      </c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41"/>
      <c r="BS277" s="129"/>
      <c r="BT277" s="130">
        <f t="shared" si="121"/>
        <v>0</v>
      </c>
      <c r="BU277" s="3"/>
    </row>
    <row r="278" ht="14.25" customHeight="1">
      <c r="A278" s="3"/>
      <c r="B278" s="215">
        <v>46268</v>
      </c>
      <c r="C278" s="123"/>
      <c r="D278" s="123"/>
      <c r="E278" s="120"/>
      <c r="F278" s="120"/>
      <c r="G278" s="147">
        <f t="shared" si="113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03">
        <f t="shared" si="114"/>
        <v>0</v>
      </c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03">
        <f t="shared" si="115"/>
        <v>0</v>
      </c>
      <c r="AI278" s="123"/>
      <c r="AJ278" s="123"/>
      <c r="AK278" s="123"/>
      <c r="AL278" s="105">
        <f t="shared" si="116"/>
        <v>0</v>
      </c>
      <c r="AM278" s="143"/>
      <c r="AN278" s="143"/>
      <c r="AO278" s="143"/>
      <c r="AP278" s="146"/>
      <c r="AQ278" s="224">
        <f t="shared" si="117"/>
        <v>0</v>
      </c>
      <c r="AR278" s="126"/>
      <c r="AS278" s="274"/>
      <c r="AT278" s="126"/>
      <c r="AU278" s="126"/>
      <c r="AV278" s="126"/>
      <c r="AW278" s="126"/>
      <c r="AX278" s="126"/>
      <c r="AY278" s="274"/>
      <c r="AZ278" s="274"/>
      <c r="BA278" s="274"/>
      <c r="BB278" s="274"/>
      <c r="BC278" s="222">
        <f t="shared" si="118"/>
        <v>0</v>
      </c>
      <c r="BD278" s="113">
        <f t="shared" si="119"/>
        <v>0</v>
      </c>
      <c r="BE278" s="3"/>
      <c r="BF278" s="113">
        <f t="shared" si="120"/>
        <v>0</v>
      </c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21"/>
        <v>0</v>
      </c>
      <c r="BU278" s="3"/>
    </row>
    <row r="279" ht="14.25" customHeight="1">
      <c r="A279" s="3"/>
      <c r="B279" s="215">
        <v>46269</v>
      </c>
      <c r="C279" s="123"/>
      <c r="D279" s="123"/>
      <c r="E279" s="120"/>
      <c r="F279" s="120"/>
      <c r="G279" s="147">
        <f t="shared" si="113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03">
        <f t="shared" si="114"/>
        <v>0</v>
      </c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03">
        <f t="shared" si="115"/>
        <v>0</v>
      </c>
      <c r="AI279" s="123"/>
      <c r="AJ279" s="123"/>
      <c r="AK279" s="123"/>
      <c r="AL279" s="105">
        <f t="shared" si="116"/>
        <v>0</v>
      </c>
      <c r="AM279" s="143"/>
      <c r="AN279" s="143"/>
      <c r="AO279" s="143"/>
      <c r="AP279" s="146"/>
      <c r="AQ279" s="224">
        <f t="shared" si="117"/>
        <v>0</v>
      </c>
      <c r="AR279" s="126"/>
      <c r="AS279" s="274"/>
      <c r="AT279" s="126"/>
      <c r="AU279" s="126"/>
      <c r="AV279" s="126"/>
      <c r="AW279" s="126"/>
      <c r="AX279" s="126"/>
      <c r="AY279" s="274"/>
      <c r="AZ279" s="274"/>
      <c r="BA279" s="274"/>
      <c r="BB279" s="274"/>
      <c r="BC279" s="222">
        <f t="shared" si="118"/>
        <v>0</v>
      </c>
      <c r="BD279" s="113">
        <f t="shared" si="119"/>
        <v>0</v>
      </c>
      <c r="BE279" s="3"/>
      <c r="BF279" s="113">
        <f t="shared" si="120"/>
        <v>0</v>
      </c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41"/>
      <c r="BS279" s="129"/>
      <c r="BT279" s="130">
        <f t="shared" si="121"/>
        <v>0</v>
      </c>
      <c r="BU279" s="3"/>
    </row>
    <row r="280" ht="14.25" customHeight="1">
      <c r="A280" s="3"/>
      <c r="B280" s="215">
        <v>46270</v>
      </c>
      <c r="C280" s="123"/>
      <c r="D280" s="123"/>
      <c r="E280" s="120"/>
      <c r="F280" s="120"/>
      <c r="G280" s="147">
        <f t="shared" si="113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03">
        <f t="shared" si="114"/>
        <v>0</v>
      </c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43"/>
      <c r="AH280" s="103">
        <f t="shared" si="115"/>
        <v>0</v>
      </c>
      <c r="AI280" s="123"/>
      <c r="AJ280" s="123"/>
      <c r="AK280" s="123"/>
      <c r="AL280" s="105">
        <f t="shared" si="116"/>
        <v>0</v>
      </c>
      <c r="AM280" s="143"/>
      <c r="AN280" s="143"/>
      <c r="AO280" s="143"/>
      <c r="AP280" s="146"/>
      <c r="AQ280" s="224">
        <f t="shared" si="117"/>
        <v>0</v>
      </c>
      <c r="AR280" s="126"/>
      <c r="AS280" s="274"/>
      <c r="AT280" s="126"/>
      <c r="AU280" s="126"/>
      <c r="AV280" s="126"/>
      <c r="AW280" s="126"/>
      <c r="AX280" s="126"/>
      <c r="AY280" s="274"/>
      <c r="AZ280" s="274"/>
      <c r="BA280" s="274"/>
      <c r="BB280" s="274"/>
      <c r="BC280" s="222">
        <f t="shared" si="118"/>
        <v>0</v>
      </c>
      <c r="BD280" s="113">
        <f t="shared" si="119"/>
        <v>0</v>
      </c>
      <c r="BE280" s="3"/>
      <c r="BF280" s="113">
        <f t="shared" si="120"/>
        <v>0</v>
      </c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41"/>
      <c r="BS280" s="129"/>
      <c r="BT280" s="130">
        <f t="shared" si="121"/>
        <v>0</v>
      </c>
      <c r="BU280" s="3"/>
    </row>
    <row r="281" ht="14.25" customHeight="1">
      <c r="A281" s="3"/>
      <c r="B281" s="215">
        <v>46271</v>
      </c>
      <c r="C281" s="123"/>
      <c r="D281" s="123"/>
      <c r="E281" s="120"/>
      <c r="F281" s="120"/>
      <c r="G281" s="147">
        <f t="shared" si="113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03">
        <f t="shared" si="114"/>
        <v>0</v>
      </c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43"/>
      <c r="AH281" s="103">
        <f t="shared" si="115"/>
        <v>0</v>
      </c>
      <c r="AI281" s="123"/>
      <c r="AJ281" s="123"/>
      <c r="AK281" s="123"/>
      <c r="AL281" s="105">
        <f t="shared" si="116"/>
        <v>0</v>
      </c>
      <c r="AM281" s="143"/>
      <c r="AN281" s="143"/>
      <c r="AO281" s="143"/>
      <c r="AP281" s="146"/>
      <c r="AQ281" s="224">
        <f t="shared" si="117"/>
        <v>0</v>
      </c>
      <c r="AR281" s="126"/>
      <c r="AS281" s="274"/>
      <c r="AT281" s="126"/>
      <c r="AU281" s="126"/>
      <c r="AV281" s="126"/>
      <c r="AW281" s="126"/>
      <c r="AX281" s="126"/>
      <c r="AY281" s="274"/>
      <c r="AZ281" s="274"/>
      <c r="BA281" s="274"/>
      <c r="BB281" s="274"/>
      <c r="BC281" s="222">
        <f t="shared" si="118"/>
        <v>0</v>
      </c>
      <c r="BD281" s="113">
        <f t="shared" si="119"/>
        <v>0</v>
      </c>
      <c r="BE281" s="3"/>
      <c r="BF281" s="113">
        <f t="shared" si="120"/>
        <v>0</v>
      </c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41"/>
      <c r="BS281" s="129"/>
      <c r="BT281" s="130">
        <f t="shared" si="121"/>
        <v>0</v>
      </c>
      <c r="BU281" s="3"/>
    </row>
    <row r="282" ht="14.25" customHeight="1">
      <c r="A282" s="3"/>
      <c r="B282" s="215">
        <v>46272</v>
      </c>
      <c r="C282" s="123"/>
      <c r="D282" s="123"/>
      <c r="E282" s="120"/>
      <c r="F282" s="120"/>
      <c r="G282" s="147">
        <f t="shared" si="113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03">
        <f t="shared" si="114"/>
        <v>0</v>
      </c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43"/>
      <c r="AH282" s="103">
        <f t="shared" si="115"/>
        <v>0</v>
      </c>
      <c r="AI282" s="123"/>
      <c r="AJ282" s="123"/>
      <c r="AK282" s="123"/>
      <c r="AL282" s="105">
        <f t="shared" si="116"/>
        <v>0</v>
      </c>
      <c r="AM282" s="143"/>
      <c r="AN282" s="143"/>
      <c r="AO282" s="143"/>
      <c r="AP282" s="146"/>
      <c r="AQ282" s="224">
        <f t="shared" si="117"/>
        <v>0</v>
      </c>
      <c r="AR282" s="126"/>
      <c r="AS282" s="274"/>
      <c r="AT282" s="126"/>
      <c r="AU282" s="126"/>
      <c r="AV282" s="126"/>
      <c r="AW282" s="126"/>
      <c r="AX282" s="126"/>
      <c r="AY282" s="274"/>
      <c r="AZ282" s="274"/>
      <c r="BA282" s="274"/>
      <c r="BB282" s="274"/>
      <c r="BC282" s="222">
        <f t="shared" si="118"/>
        <v>0</v>
      </c>
      <c r="BD282" s="113">
        <f t="shared" si="119"/>
        <v>0</v>
      </c>
      <c r="BE282" s="3"/>
      <c r="BF282" s="113">
        <f t="shared" si="120"/>
        <v>0</v>
      </c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41"/>
      <c r="BS282" s="129"/>
      <c r="BT282" s="130">
        <f t="shared" si="121"/>
        <v>0</v>
      </c>
      <c r="BU282" s="3"/>
    </row>
    <row r="283" ht="12.75" customHeight="1">
      <c r="A283" s="3"/>
      <c r="B283" s="215">
        <v>46273</v>
      </c>
      <c r="C283" s="123"/>
      <c r="D283" s="123"/>
      <c r="E283" s="120"/>
      <c r="F283" s="120"/>
      <c r="G283" s="147">
        <f t="shared" si="113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03">
        <f t="shared" si="114"/>
        <v>0</v>
      </c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03">
        <f t="shared" si="115"/>
        <v>0</v>
      </c>
      <c r="AI283" s="123"/>
      <c r="AJ283" s="123"/>
      <c r="AK283" s="123"/>
      <c r="AL283" s="105">
        <f t="shared" si="116"/>
        <v>0</v>
      </c>
      <c r="AM283" s="143"/>
      <c r="AN283" s="143"/>
      <c r="AO283" s="143"/>
      <c r="AP283" s="146"/>
      <c r="AQ283" s="224">
        <f t="shared" si="117"/>
        <v>0</v>
      </c>
      <c r="AR283" s="126"/>
      <c r="AS283" s="274"/>
      <c r="AT283" s="126"/>
      <c r="AU283" s="126"/>
      <c r="AV283" s="126"/>
      <c r="AW283" s="126"/>
      <c r="AX283" s="126"/>
      <c r="AY283" s="274"/>
      <c r="AZ283" s="274"/>
      <c r="BA283" s="274"/>
      <c r="BB283" s="274"/>
      <c r="BC283" s="222">
        <f t="shared" si="118"/>
        <v>0</v>
      </c>
      <c r="BD283" s="113">
        <f t="shared" si="119"/>
        <v>0</v>
      </c>
      <c r="BE283" s="3"/>
      <c r="BF283" s="113">
        <f t="shared" si="120"/>
        <v>0</v>
      </c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41"/>
      <c r="BS283" s="129"/>
      <c r="BT283" s="130">
        <f t="shared" si="121"/>
        <v>0</v>
      </c>
      <c r="BU283" s="3"/>
    </row>
    <row r="284" ht="14.25" customHeight="1">
      <c r="A284" s="132"/>
      <c r="B284" s="215">
        <v>46274</v>
      </c>
      <c r="C284" s="136"/>
      <c r="D284" s="136"/>
      <c r="E284" s="135"/>
      <c r="F284" s="135"/>
      <c r="G284" s="147">
        <f t="shared" si="113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03">
        <f t="shared" si="114"/>
        <v>0</v>
      </c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43"/>
      <c r="AH284" s="103">
        <f t="shared" si="115"/>
        <v>0</v>
      </c>
      <c r="AI284" s="136"/>
      <c r="AJ284" s="136"/>
      <c r="AK284" s="136"/>
      <c r="AL284" s="105">
        <f t="shared" si="116"/>
        <v>0</v>
      </c>
      <c r="AM284" s="143"/>
      <c r="AN284" s="143"/>
      <c r="AO284" s="143"/>
      <c r="AP284" s="146"/>
      <c r="AQ284" s="224">
        <f t="shared" si="117"/>
        <v>0</v>
      </c>
      <c r="AR284" s="126"/>
      <c r="AS284" s="274"/>
      <c r="AT284" s="126"/>
      <c r="AU284" s="126"/>
      <c r="AV284" s="126"/>
      <c r="AW284" s="126"/>
      <c r="AX284" s="126"/>
      <c r="AY284" s="274"/>
      <c r="AZ284" s="274"/>
      <c r="BA284" s="274"/>
      <c r="BB284" s="274"/>
      <c r="BC284" s="222">
        <f t="shared" si="118"/>
        <v>0</v>
      </c>
      <c r="BD284" s="140">
        <f t="shared" si="119"/>
        <v>0</v>
      </c>
      <c r="BE284" s="132"/>
      <c r="BF284" s="140">
        <f t="shared" si="120"/>
        <v>0</v>
      </c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30">
        <f t="shared" si="121"/>
        <v>0</v>
      </c>
      <c r="BU284" s="132"/>
    </row>
    <row r="285" ht="14.25" customHeight="1">
      <c r="A285" s="132"/>
      <c r="B285" s="215">
        <v>46275</v>
      </c>
      <c r="C285" s="136"/>
      <c r="D285" s="136"/>
      <c r="E285" s="135"/>
      <c r="F285" s="135"/>
      <c r="G285" s="147">
        <f t="shared" si="113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03">
        <f t="shared" si="114"/>
        <v>0</v>
      </c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43"/>
      <c r="AH285" s="103">
        <f t="shared" si="115"/>
        <v>0</v>
      </c>
      <c r="AI285" s="136"/>
      <c r="AJ285" s="136"/>
      <c r="AK285" s="136"/>
      <c r="AL285" s="105">
        <f t="shared" si="116"/>
        <v>0</v>
      </c>
      <c r="AM285" s="143"/>
      <c r="AN285" s="143"/>
      <c r="AO285" s="143"/>
      <c r="AP285" s="146"/>
      <c r="AQ285" s="224">
        <f t="shared" si="117"/>
        <v>0</v>
      </c>
      <c r="AR285" s="126"/>
      <c r="AS285" s="274"/>
      <c r="AT285" s="126"/>
      <c r="AU285" s="126"/>
      <c r="AV285" s="126"/>
      <c r="AW285" s="126"/>
      <c r="AX285" s="126"/>
      <c r="AY285" s="274"/>
      <c r="AZ285" s="274"/>
      <c r="BA285" s="274"/>
      <c r="BB285" s="274"/>
      <c r="BC285" s="222">
        <f t="shared" si="118"/>
        <v>0</v>
      </c>
      <c r="BD285" s="140">
        <f t="shared" si="119"/>
        <v>0</v>
      </c>
      <c r="BE285" s="132"/>
      <c r="BF285" s="140">
        <f t="shared" si="120"/>
        <v>0</v>
      </c>
      <c r="BG285" s="141"/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30">
        <f t="shared" si="121"/>
        <v>0</v>
      </c>
      <c r="BU285" s="132"/>
    </row>
    <row r="286" ht="14.25" customHeight="1">
      <c r="A286" s="132"/>
      <c r="B286" s="215">
        <v>46276</v>
      </c>
      <c r="C286" s="136"/>
      <c r="D286" s="136"/>
      <c r="E286" s="135"/>
      <c r="F286" s="135"/>
      <c r="G286" s="147">
        <f t="shared" si="113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03">
        <f t="shared" si="114"/>
        <v>0</v>
      </c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43"/>
      <c r="AH286" s="103">
        <f t="shared" si="115"/>
        <v>0</v>
      </c>
      <c r="AI286" s="136"/>
      <c r="AJ286" s="136"/>
      <c r="AK286" s="136"/>
      <c r="AL286" s="105">
        <f t="shared" si="116"/>
        <v>0</v>
      </c>
      <c r="AM286" s="143"/>
      <c r="AN286" s="143"/>
      <c r="AO286" s="143"/>
      <c r="AP286" s="146"/>
      <c r="AQ286" s="224">
        <f t="shared" si="117"/>
        <v>0</v>
      </c>
      <c r="AR286" s="126"/>
      <c r="AS286" s="274"/>
      <c r="AT286" s="126"/>
      <c r="AU286" s="126"/>
      <c r="AV286" s="126"/>
      <c r="AW286" s="126"/>
      <c r="AX286" s="126"/>
      <c r="AY286" s="274"/>
      <c r="AZ286" s="274"/>
      <c r="BA286" s="274"/>
      <c r="BB286" s="274"/>
      <c r="BC286" s="222">
        <f t="shared" si="118"/>
        <v>0</v>
      </c>
      <c r="BD286" s="140">
        <f t="shared" si="119"/>
        <v>0</v>
      </c>
      <c r="BE286" s="132"/>
      <c r="BF286" s="140">
        <f t="shared" si="120"/>
        <v>0</v>
      </c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30">
        <f t="shared" si="121"/>
        <v>0</v>
      </c>
      <c r="BU286" s="132"/>
    </row>
    <row r="287" ht="14.25" customHeight="1">
      <c r="A287" s="132"/>
      <c r="B287" s="215">
        <v>46277</v>
      </c>
      <c r="C287" s="136"/>
      <c r="D287" s="136"/>
      <c r="E287" s="135"/>
      <c r="F287" s="135"/>
      <c r="G287" s="147">
        <f t="shared" si="113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03">
        <f t="shared" si="114"/>
        <v>0</v>
      </c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43"/>
      <c r="AH287" s="103">
        <f t="shared" si="115"/>
        <v>0</v>
      </c>
      <c r="AI287" s="136"/>
      <c r="AJ287" s="136"/>
      <c r="AK287" s="136"/>
      <c r="AL287" s="105">
        <f t="shared" si="116"/>
        <v>0</v>
      </c>
      <c r="AM287" s="143"/>
      <c r="AN287" s="143"/>
      <c r="AO287" s="143"/>
      <c r="AP287" s="146"/>
      <c r="AQ287" s="224">
        <f t="shared" si="117"/>
        <v>0</v>
      </c>
      <c r="AR287" s="126"/>
      <c r="AS287" s="274"/>
      <c r="AT287" s="126"/>
      <c r="AU287" s="126"/>
      <c r="AV287" s="126"/>
      <c r="AW287" s="126"/>
      <c r="AX287" s="126"/>
      <c r="AY287" s="274"/>
      <c r="AZ287" s="274"/>
      <c r="BA287" s="274"/>
      <c r="BB287" s="274"/>
      <c r="BC287" s="222">
        <f t="shared" si="118"/>
        <v>0</v>
      </c>
      <c r="BD287" s="140">
        <f t="shared" si="119"/>
        <v>0</v>
      </c>
      <c r="BE287" s="132"/>
      <c r="BF287" s="140">
        <f t="shared" si="120"/>
        <v>0</v>
      </c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21"/>
        <v>0</v>
      </c>
      <c r="BU287" s="132"/>
    </row>
    <row r="288" ht="14.25" customHeight="1">
      <c r="A288" s="132"/>
      <c r="B288" s="215">
        <v>46278</v>
      </c>
      <c r="C288" s="136"/>
      <c r="D288" s="136"/>
      <c r="E288" s="135"/>
      <c r="F288" s="135"/>
      <c r="G288" s="147">
        <f t="shared" si="113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03">
        <f t="shared" si="114"/>
        <v>0</v>
      </c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43"/>
      <c r="AH288" s="103">
        <f t="shared" si="115"/>
        <v>0</v>
      </c>
      <c r="AI288" s="136"/>
      <c r="AJ288" s="136"/>
      <c r="AK288" s="136"/>
      <c r="AL288" s="105">
        <f t="shared" si="116"/>
        <v>0</v>
      </c>
      <c r="AM288" s="143"/>
      <c r="AN288" s="143"/>
      <c r="AO288" s="143"/>
      <c r="AP288" s="146"/>
      <c r="AQ288" s="224">
        <f t="shared" si="117"/>
        <v>0</v>
      </c>
      <c r="AR288" s="126"/>
      <c r="AS288" s="274"/>
      <c r="AT288" s="126"/>
      <c r="AU288" s="126"/>
      <c r="AV288" s="126"/>
      <c r="AW288" s="126"/>
      <c r="AX288" s="126"/>
      <c r="AY288" s="274"/>
      <c r="AZ288" s="274"/>
      <c r="BA288" s="274"/>
      <c r="BB288" s="274"/>
      <c r="BC288" s="222">
        <f t="shared" si="118"/>
        <v>0</v>
      </c>
      <c r="BD288" s="140">
        <f t="shared" si="119"/>
        <v>0</v>
      </c>
      <c r="BE288" s="132"/>
      <c r="BF288" s="140">
        <f t="shared" si="120"/>
        <v>0</v>
      </c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21"/>
        <v>0</v>
      </c>
      <c r="BU288" s="132"/>
    </row>
    <row r="289" ht="14.25" customHeight="1">
      <c r="A289" s="132"/>
      <c r="B289" s="215">
        <v>46279</v>
      </c>
      <c r="C289" s="136"/>
      <c r="D289" s="136"/>
      <c r="E289" s="135"/>
      <c r="F289" s="135"/>
      <c r="G289" s="147">
        <f t="shared" si="113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03">
        <f t="shared" si="114"/>
        <v>0</v>
      </c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43"/>
      <c r="AH289" s="103">
        <f t="shared" si="115"/>
        <v>0</v>
      </c>
      <c r="AI289" s="136"/>
      <c r="AJ289" s="136"/>
      <c r="AK289" s="136"/>
      <c r="AL289" s="105">
        <f t="shared" si="116"/>
        <v>0</v>
      </c>
      <c r="AM289" s="143"/>
      <c r="AN289" s="143"/>
      <c r="AO289" s="143"/>
      <c r="AP289" s="146"/>
      <c r="AQ289" s="224">
        <f t="shared" si="117"/>
        <v>0</v>
      </c>
      <c r="AR289" s="126"/>
      <c r="AS289" s="274"/>
      <c r="AT289" s="126"/>
      <c r="AU289" s="126"/>
      <c r="AV289" s="126"/>
      <c r="AW289" s="126"/>
      <c r="AX289" s="126"/>
      <c r="AY289" s="274"/>
      <c r="AZ289" s="274"/>
      <c r="BA289" s="274"/>
      <c r="BB289" s="274"/>
      <c r="BC289" s="222">
        <f t="shared" si="118"/>
        <v>0</v>
      </c>
      <c r="BD289" s="140">
        <f t="shared" si="119"/>
        <v>0</v>
      </c>
      <c r="BE289" s="132"/>
      <c r="BF289" s="140">
        <f t="shared" si="120"/>
        <v>0</v>
      </c>
      <c r="BG289" s="141"/>
      <c r="BH289" s="129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21"/>
        <v>0</v>
      </c>
      <c r="BU289" s="132"/>
    </row>
    <row r="290" ht="14.25" customHeight="1">
      <c r="A290" s="132"/>
      <c r="B290" s="215">
        <v>46280</v>
      </c>
      <c r="C290" s="136"/>
      <c r="D290" s="136"/>
      <c r="E290" s="135"/>
      <c r="F290" s="135"/>
      <c r="G290" s="147">
        <f t="shared" si="113"/>
        <v>0</v>
      </c>
      <c r="H290" s="144"/>
      <c r="I290" s="144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03">
        <f t="shared" si="114"/>
        <v>0</v>
      </c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43"/>
      <c r="AH290" s="103">
        <f t="shared" si="115"/>
        <v>0</v>
      </c>
      <c r="AI290" s="136"/>
      <c r="AJ290" s="136"/>
      <c r="AK290" s="136"/>
      <c r="AL290" s="105">
        <f t="shared" si="116"/>
        <v>0</v>
      </c>
      <c r="AM290" s="143"/>
      <c r="AN290" s="143"/>
      <c r="AO290" s="143"/>
      <c r="AP290" s="146"/>
      <c r="AQ290" s="224">
        <f t="shared" si="117"/>
        <v>0</v>
      </c>
      <c r="AR290" s="126"/>
      <c r="AS290" s="274"/>
      <c r="AT290" s="126"/>
      <c r="AU290" s="126"/>
      <c r="AV290" s="126"/>
      <c r="AW290" s="126"/>
      <c r="AX290" s="126"/>
      <c r="AY290" s="274"/>
      <c r="AZ290" s="274"/>
      <c r="BA290" s="274"/>
      <c r="BB290" s="274"/>
      <c r="BC290" s="222">
        <f t="shared" si="118"/>
        <v>0</v>
      </c>
      <c r="BD290" s="140">
        <f t="shared" si="119"/>
        <v>0</v>
      </c>
      <c r="BE290" s="132"/>
      <c r="BF290" s="140">
        <f t="shared" si="120"/>
        <v>0</v>
      </c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21"/>
        <v>0</v>
      </c>
      <c r="BU290" s="132"/>
    </row>
    <row r="291" ht="14.25" customHeight="1">
      <c r="A291" s="132"/>
      <c r="B291" s="215">
        <v>46281</v>
      </c>
      <c r="C291" s="136"/>
      <c r="D291" s="136"/>
      <c r="E291" s="135"/>
      <c r="F291" s="135"/>
      <c r="G291" s="147">
        <f t="shared" si="113"/>
        <v>0</v>
      </c>
      <c r="H291" s="144"/>
      <c r="I291" s="132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03">
        <f t="shared" si="114"/>
        <v>0</v>
      </c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43"/>
      <c r="AH291" s="103">
        <f t="shared" si="115"/>
        <v>0</v>
      </c>
      <c r="AI291" s="136"/>
      <c r="AJ291" s="136"/>
      <c r="AK291" s="136"/>
      <c r="AL291" s="105">
        <f t="shared" si="116"/>
        <v>0</v>
      </c>
      <c r="AM291" s="143"/>
      <c r="AN291" s="143"/>
      <c r="AO291" s="143"/>
      <c r="AP291" s="146"/>
      <c r="AQ291" s="224">
        <f t="shared" si="117"/>
        <v>0</v>
      </c>
      <c r="AR291" s="126"/>
      <c r="AS291" s="274"/>
      <c r="AT291" s="126"/>
      <c r="AU291" s="126"/>
      <c r="AV291" s="126"/>
      <c r="AW291" s="126"/>
      <c r="AX291" s="126"/>
      <c r="AY291" s="274"/>
      <c r="AZ291" s="274"/>
      <c r="BA291" s="274"/>
      <c r="BB291" s="274"/>
      <c r="BC291" s="222">
        <f t="shared" si="118"/>
        <v>0</v>
      </c>
      <c r="BD291" s="140">
        <f t="shared" si="119"/>
        <v>0</v>
      </c>
      <c r="BE291" s="132"/>
      <c r="BF291" s="140">
        <f t="shared" si="120"/>
        <v>0</v>
      </c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21"/>
        <v>0</v>
      </c>
      <c r="BU291" s="132"/>
    </row>
    <row r="292" ht="15" customHeight="1">
      <c r="A292" s="132"/>
      <c r="B292" s="215">
        <v>46282</v>
      </c>
      <c r="C292" s="136"/>
      <c r="D292" s="136"/>
      <c r="E292" s="135"/>
      <c r="F292" s="135"/>
      <c r="G292" s="147">
        <f t="shared" si="113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03">
        <f t="shared" si="114"/>
        <v>0</v>
      </c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43"/>
      <c r="AH292" s="103">
        <f t="shared" si="115"/>
        <v>0</v>
      </c>
      <c r="AI292" s="136"/>
      <c r="AJ292" s="136"/>
      <c r="AK292" s="136"/>
      <c r="AL292" s="105">
        <f t="shared" si="116"/>
        <v>0</v>
      </c>
      <c r="AM292" s="143"/>
      <c r="AN292" s="143"/>
      <c r="AO292" s="143"/>
      <c r="AP292" s="146"/>
      <c r="AQ292" s="224">
        <f t="shared" si="117"/>
        <v>0</v>
      </c>
      <c r="AR292" s="126"/>
      <c r="AS292" s="274"/>
      <c r="AT292" s="126"/>
      <c r="AU292" s="126"/>
      <c r="AV292" s="126"/>
      <c r="AW292" s="126"/>
      <c r="AX292" s="126"/>
      <c r="AY292" s="274"/>
      <c r="AZ292" s="274"/>
      <c r="BA292" s="274"/>
      <c r="BB292" s="274"/>
      <c r="BC292" s="222">
        <f t="shared" si="118"/>
        <v>0</v>
      </c>
      <c r="BD292" s="140">
        <f t="shared" si="119"/>
        <v>0</v>
      </c>
      <c r="BE292" s="132"/>
      <c r="BF292" s="140">
        <f t="shared" si="120"/>
        <v>0</v>
      </c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21"/>
        <v>0</v>
      </c>
      <c r="BU292" s="132"/>
    </row>
    <row r="293" ht="14.25" customHeight="1">
      <c r="A293" s="132"/>
      <c r="B293" s="215">
        <v>46283</v>
      </c>
      <c r="C293" s="136"/>
      <c r="D293" s="136"/>
      <c r="E293" s="135"/>
      <c r="F293" s="135"/>
      <c r="G293" s="147">
        <f t="shared" si="113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03">
        <f t="shared" si="114"/>
        <v>0</v>
      </c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43"/>
      <c r="AH293" s="103">
        <f t="shared" si="115"/>
        <v>0</v>
      </c>
      <c r="AI293" s="136"/>
      <c r="AJ293" s="136"/>
      <c r="AK293" s="136"/>
      <c r="AL293" s="105">
        <f t="shared" si="116"/>
        <v>0</v>
      </c>
      <c r="AM293" s="143"/>
      <c r="AN293" s="143"/>
      <c r="AO293" s="143"/>
      <c r="AP293" s="146"/>
      <c r="AQ293" s="224">
        <f t="shared" si="117"/>
        <v>0</v>
      </c>
      <c r="AR293" s="126"/>
      <c r="AS293" s="274"/>
      <c r="AT293" s="126"/>
      <c r="AU293" s="126"/>
      <c r="AV293" s="126"/>
      <c r="AW293" s="126"/>
      <c r="AX293" s="126"/>
      <c r="AY293" s="274"/>
      <c r="AZ293" s="274"/>
      <c r="BA293" s="274"/>
      <c r="BB293" s="274"/>
      <c r="BC293" s="222">
        <f t="shared" si="118"/>
        <v>0</v>
      </c>
      <c r="BD293" s="140">
        <f t="shared" si="119"/>
        <v>0</v>
      </c>
      <c r="BE293" s="132"/>
      <c r="BF293" s="140">
        <f t="shared" si="120"/>
        <v>0</v>
      </c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21"/>
        <v>0</v>
      </c>
      <c r="BU293" s="132"/>
    </row>
    <row r="294" ht="14.25" customHeight="1">
      <c r="A294" s="132"/>
      <c r="B294" s="215">
        <v>46284</v>
      </c>
      <c r="C294" s="136"/>
      <c r="D294" s="136"/>
      <c r="E294" s="135"/>
      <c r="F294" s="135"/>
      <c r="G294" s="147">
        <f t="shared" si="113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03">
        <f t="shared" si="114"/>
        <v>0</v>
      </c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103">
        <f t="shared" si="115"/>
        <v>0</v>
      </c>
      <c r="AI294" s="136"/>
      <c r="AJ294" s="136"/>
      <c r="AK294" s="136"/>
      <c r="AL294" s="105">
        <f t="shared" si="116"/>
        <v>0</v>
      </c>
      <c r="AM294" s="143"/>
      <c r="AN294" s="143"/>
      <c r="AO294" s="143"/>
      <c r="AP294" s="146"/>
      <c r="AQ294" s="224">
        <f t="shared" si="117"/>
        <v>0</v>
      </c>
      <c r="AR294" s="126"/>
      <c r="AS294" s="274"/>
      <c r="AT294" s="126"/>
      <c r="AU294" s="126"/>
      <c r="AV294" s="126"/>
      <c r="AW294" s="126"/>
      <c r="AX294" s="126"/>
      <c r="AY294" s="274"/>
      <c r="AZ294" s="274"/>
      <c r="BA294" s="274"/>
      <c r="BB294" s="274"/>
      <c r="BC294" s="222">
        <f t="shared" si="118"/>
        <v>0</v>
      </c>
      <c r="BD294" s="140">
        <f t="shared" si="119"/>
        <v>0</v>
      </c>
      <c r="BE294" s="132"/>
      <c r="BF294" s="140">
        <f t="shared" si="120"/>
        <v>0</v>
      </c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21"/>
        <v>0</v>
      </c>
      <c r="BU294" s="132"/>
    </row>
    <row r="295" ht="14.25" customHeight="1">
      <c r="A295" s="132"/>
      <c r="B295" s="215">
        <v>46285</v>
      </c>
      <c r="C295" s="136"/>
      <c r="D295" s="136"/>
      <c r="E295" s="135"/>
      <c r="F295" s="135"/>
      <c r="G295" s="147">
        <f t="shared" si="113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03">
        <f t="shared" si="114"/>
        <v>0</v>
      </c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103">
        <f t="shared" si="115"/>
        <v>0</v>
      </c>
      <c r="AI295" s="136"/>
      <c r="AJ295" s="136"/>
      <c r="AK295" s="136"/>
      <c r="AL295" s="105">
        <f t="shared" si="116"/>
        <v>0</v>
      </c>
      <c r="AM295" s="143"/>
      <c r="AN295" s="143"/>
      <c r="AO295" s="143"/>
      <c r="AP295" s="146"/>
      <c r="AQ295" s="224">
        <f t="shared" si="117"/>
        <v>0</v>
      </c>
      <c r="AR295" s="126"/>
      <c r="AS295" s="274"/>
      <c r="AT295" s="126"/>
      <c r="AU295" s="126"/>
      <c r="AV295" s="126"/>
      <c r="AW295" s="126"/>
      <c r="AX295" s="126"/>
      <c r="AY295" s="274"/>
      <c r="AZ295" s="274"/>
      <c r="BA295" s="274"/>
      <c r="BB295" s="274"/>
      <c r="BC295" s="222">
        <f t="shared" si="118"/>
        <v>0</v>
      </c>
      <c r="BD295" s="140">
        <f t="shared" si="119"/>
        <v>0</v>
      </c>
      <c r="BE295" s="132"/>
      <c r="BF295" s="140">
        <f t="shared" si="120"/>
        <v>0</v>
      </c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21"/>
        <v>0</v>
      </c>
      <c r="BU295" s="132"/>
    </row>
    <row r="296" ht="14.25" customHeight="1">
      <c r="A296" s="132"/>
      <c r="B296" s="215">
        <v>46286</v>
      </c>
      <c r="C296" s="136"/>
      <c r="D296" s="136"/>
      <c r="E296" s="135"/>
      <c r="F296" s="135"/>
      <c r="G296" s="147">
        <f t="shared" si="113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03">
        <f t="shared" si="114"/>
        <v>0</v>
      </c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103">
        <f t="shared" si="115"/>
        <v>0</v>
      </c>
      <c r="AI296" s="136"/>
      <c r="AJ296" s="136"/>
      <c r="AK296" s="136"/>
      <c r="AL296" s="105">
        <f t="shared" si="116"/>
        <v>0</v>
      </c>
      <c r="AM296" s="143"/>
      <c r="AN296" s="143"/>
      <c r="AO296" s="143"/>
      <c r="AP296" s="146"/>
      <c r="AQ296" s="224">
        <f t="shared" si="117"/>
        <v>0</v>
      </c>
      <c r="AR296" s="126"/>
      <c r="AS296" s="274"/>
      <c r="AT296" s="126"/>
      <c r="AU296" s="126"/>
      <c r="AV296" s="126"/>
      <c r="AW296" s="126"/>
      <c r="AX296" s="126"/>
      <c r="AY296" s="274"/>
      <c r="AZ296" s="274"/>
      <c r="BA296" s="274"/>
      <c r="BB296" s="274"/>
      <c r="BC296" s="222">
        <f t="shared" si="118"/>
        <v>0</v>
      </c>
      <c r="BD296" s="140">
        <f t="shared" si="119"/>
        <v>0</v>
      </c>
      <c r="BE296" s="132"/>
      <c r="BF296" s="140">
        <f t="shared" si="120"/>
        <v>0</v>
      </c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21"/>
        <v>0</v>
      </c>
      <c r="BU296" s="132"/>
    </row>
    <row r="297" ht="14.25" customHeight="1">
      <c r="A297" s="132"/>
      <c r="B297" s="215">
        <v>46287</v>
      </c>
      <c r="C297" s="136"/>
      <c r="D297" s="136"/>
      <c r="E297" s="135"/>
      <c r="F297" s="135"/>
      <c r="G297" s="147">
        <f t="shared" si="113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03">
        <f t="shared" si="114"/>
        <v>0</v>
      </c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103">
        <f t="shared" si="115"/>
        <v>0</v>
      </c>
      <c r="AI297" s="136"/>
      <c r="AJ297" s="136"/>
      <c r="AK297" s="136"/>
      <c r="AL297" s="105">
        <f t="shared" si="116"/>
        <v>0</v>
      </c>
      <c r="AM297" s="143"/>
      <c r="AN297" s="143"/>
      <c r="AO297" s="143"/>
      <c r="AP297" s="146"/>
      <c r="AQ297" s="224">
        <f t="shared" si="117"/>
        <v>0</v>
      </c>
      <c r="AR297" s="126"/>
      <c r="AS297" s="274"/>
      <c r="AT297" s="126"/>
      <c r="AU297" s="126"/>
      <c r="AV297" s="126"/>
      <c r="AW297" s="126"/>
      <c r="AX297" s="126"/>
      <c r="AY297" s="274"/>
      <c r="AZ297" s="274"/>
      <c r="BA297" s="274"/>
      <c r="BB297" s="274"/>
      <c r="BC297" s="222">
        <f t="shared" si="118"/>
        <v>0</v>
      </c>
      <c r="BD297" s="140">
        <f t="shared" si="119"/>
        <v>0</v>
      </c>
      <c r="BE297" s="132"/>
      <c r="BF297" s="140">
        <f t="shared" si="120"/>
        <v>0</v>
      </c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21"/>
        <v>0</v>
      </c>
      <c r="BU297" s="132"/>
    </row>
    <row r="298" ht="14.25" customHeight="1">
      <c r="A298" s="132"/>
      <c r="B298" s="215">
        <v>46288</v>
      </c>
      <c r="C298" s="136"/>
      <c r="D298" s="136"/>
      <c r="E298" s="135"/>
      <c r="F298" s="135"/>
      <c r="G298" s="147">
        <f t="shared" si="113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03">
        <f t="shared" si="114"/>
        <v>0</v>
      </c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103">
        <f t="shared" si="115"/>
        <v>0</v>
      </c>
      <c r="AI298" s="136"/>
      <c r="AJ298" s="136"/>
      <c r="AK298" s="136"/>
      <c r="AL298" s="105">
        <f t="shared" si="116"/>
        <v>0</v>
      </c>
      <c r="AM298" s="143"/>
      <c r="AN298" s="143"/>
      <c r="AO298" s="143"/>
      <c r="AP298" s="146"/>
      <c r="AQ298" s="224">
        <f t="shared" si="117"/>
        <v>0</v>
      </c>
      <c r="AR298" s="126"/>
      <c r="AS298" s="274"/>
      <c r="AT298" s="126"/>
      <c r="AU298" s="126"/>
      <c r="AV298" s="126"/>
      <c r="AW298" s="126"/>
      <c r="AX298" s="126"/>
      <c r="AY298" s="274"/>
      <c r="AZ298" s="274"/>
      <c r="BA298" s="274"/>
      <c r="BB298" s="274"/>
      <c r="BC298" s="222">
        <f t="shared" si="118"/>
        <v>0</v>
      </c>
      <c r="BD298" s="140">
        <f t="shared" si="119"/>
        <v>0</v>
      </c>
      <c r="BE298" s="132"/>
      <c r="BF298" s="140">
        <f t="shared" si="120"/>
        <v>0</v>
      </c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21"/>
        <v>0</v>
      </c>
      <c r="BU298" s="132"/>
    </row>
    <row r="299" ht="14.25" customHeight="1">
      <c r="A299" s="132"/>
      <c r="B299" s="215">
        <v>46289</v>
      </c>
      <c r="C299" s="136"/>
      <c r="D299" s="136"/>
      <c r="E299" s="135"/>
      <c r="F299" s="135"/>
      <c r="G299" s="147">
        <f t="shared" si="113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03">
        <f t="shared" si="114"/>
        <v>0</v>
      </c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103">
        <f t="shared" si="115"/>
        <v>0</v>
      </c>
      <c r="AI299" s="136"/>
      <c r="AJ299" s="136"/>
      <c r="AK299" s="136"/>
      <c r="AL299" s="105">
        <f t="shared" si="116"/>
        <v>0</v>
      </c>
      <c r="AM299" s="143"/>
      <c r="AN299" s="143"/>
      <c r="AO299" s="143"/>
      <c r="AP299" s="146"/>
      <c r="AQ299" s="224">
        <f t="shared" si="117"/>
        <v>0</v>
      </c>
      <c r="AR299" s="126"/>
      <c r="AS299" s="274"/>
      <c r="AT299" s="126"/>
      <c r="AU299" s="126"/>
      <c r="AV299" s="126"/>
      <c r="AW299" s="126"/>
      <c r="AX299" s="126"/>
      <c r="AY299" s="274"/>
      <c r="AZ299" s="274"/>
      <c r="BA299" s="274"/>
      <c r="BB299" s="274"/>
      <c r="BC299" s="222">
        <f t="shared" si="118"/>
        <v>0</v>
      </c>
      <c r="BD299" s="140">
        <f t="shared" si="119"/>
        <v>0</v>
      </c>
      <c r="BE299" s="132"/>
      <c r="BF299" s="140">
        <f t="shared" si="120"/>
        <v>0</v>
      </c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21"/>
        <v>0</v>
      </c>
      <c r="BU299" s="132"/>
    </row>
    <row r="300" ht="14.25" customHeight="1">
      <c r="A300" s="132"/>
      <c r="B300" s="215">
        <v>46290</v>
      </c>
      <c r="C300" s="136"/>
      <c r="D300" s="136"/>
      <c r="E300" s="135"/>
      <c r="F300" s="135"/>
      <c r="G300" s="147">
        <f t="shared" si="113"/>
        <v>0</v>
      </c>
      <c r="H300" s="144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03">
        <f t="shared" si="114"/>
        <v>0</v>
      </c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103">
        <f t="shared" si="115"/>
        <v>0</v>
      </c>
      <c r="AI300" s="136"/>
      <c r="AJ300" s="136"/>
      <c r="AK300" s="136"/>
      <c r="AL300" s="105">
        <f t="shared" si="116"/>
        <v>0</v>
      </c>
      <c r="AM300" s="143"/>
      <c r="AN300" s="143"/>
      <c r="AO300" s="143"/>
      <c r="AP300" s="146"/>
      <c r="AQ300" s="224">
        <f t="shared" si="117"/>
        <v>0</v>
      </c>
      <c r="AR300" s="126"/>
      <c r="AS300" s="274"/>
      <c r="AT300" s="126"/>
      <c r="AU300" s="126"/>
      <c r="AV300" s="126"/>
      <c r="AW300" s="126"/>
      <c r="AX300" s="126"/>
      <c r="AY300" s="274"/>
      <c r="AZ300" s="274"/>
      <c r="BA300" s="274"/>
      <c r="BB300" s="274"/>
      <c r="BC300" s="222">
        <f t="shared" si="118"/>
        <v>0</v>
      </c>
      <c r="BD300" s="140">
        <f t="shared" si="119"/>
        <v>0</v>
      </c>
      <c r="BE300" s="132"/>
      <c r="BF300" s="140">
        <f t="shared" si="120"/>
        <v>0</v>
      </c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21"/>
        <v>0</v>
      </c>
      <c r="BU300" s="132"/>
    </row>
    <row r="301" ht="14.25" customHeight="1">
      <c r="A301" s="132"/>
      <c r="B301" s="215">
        <v>46291</v>
      </c>
      <c r="C301" s="136"/>
      <c r="D301" s="136"/>
      <c r="E301" s="135"/>
      <c r="F301" s="135"/>
      <c r="G301" s="147">
        <f t="shared" si="113"/>
        <v>0</v>
      </c>
      <c r="H301" s="144"/>
      <c r="I301" s="143"/>
      <c r="J301" s="143"/>
      <c r="K301" s="143"/>
      <c r="L301" s="143"/>
      <c r="M301" s="143"/>
      <c r="N301" s="99"/>
      <c r="O301" s="143"/>
      <c r="P301" s="143"/>
      <c r="Q301" s="143"/>
      <c r="R301" s="143"/>
      <c r="S301" s="143"/>
      <c r="T301" s="143"/>
      <c r="U301" s="103">
        <f t="shared" si="114"/>
        <v>0</v>
      </c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103">
        <f t="shared" si="115"/>
        <v>0</v>
      </c>
      <c r="AI301" s="136"/>
      <c r="AJ301" s="136"/>
      <c r="AK301" s="136"/>
      <c r="AL301" s="105">
        <f t="shared" si="116"/>
        <v>0</v>
      </c>
      <c r="AM301" s="143"/>
      <c r="AN301" s="143"/>
      <c r="AO301" s="143"/>
      <c r="AP301" s="146"/>
      <c r="AQ301" s="224">
        <f t="shared" si="117"/>
        <v>0</v>
      </c>
      <c r="AR301" s="126"/>
      <c r="AS301" s="274"/>
      <c r="AT301" s="126"/>
      <c r="AU301" s="126"/>
      <c r="AV301" s="126"/>
      <c r="AW301" s="126"/>
      <c r="AX301" s="126"/>
      <c r="AY301" s="274"/>
      <c r="AZ301" s="274"/>
      <c r="BA301" s="274"/>
      <c r="BB301" s="274"/>
      <c r="BC301" s="222">
        <f t="shared" si="118"/>
        <v>0</v>
      </c>
      <c r="BD301" s="140">
        <f t="shared" si="119"/>
        <v>0</v>
      </c>
      <c r="BE301" s="132"/>
      <c r="BF301" s="140">
        <f t="shared" si="120"/>
        <v>0</v>
      </c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21"/>
        <v>0</v>
      </c>
      <c r="BU301" s="132"/>
    </row>
    <row r="302" ht="14.25" customHeight="1">
      <c r="A302" s="132"/>
      <c r="B302" s="215">
        <v>46292</v>
      </c>
      <c r="C302" s="136"/>
      <c r="D302" s="136"/>
      <c r="E302" s="135"/>
      <c r="F302" s="135"/>
      <c r="G302" s="147">
        <f t="shared" si="113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03">
        <f t="shared" si="114"/>
        <v>0</v>
      </c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03">
        <f t="shared" si="115"/>
        <v>0</v>
      </c>
      <c r="AI302" s="136"/>
      <c r="AJ302" s="136"/>
      <c r="AK302" s="136"/>
      <c r="AL302" s="105">
        <f t="shared" si="116"/>
        <v>0</v>
      </c>
      <c r="AM302" s="143"/>
      <c r="AN302" s="143"/>
      <c r="AO302" s="143"/>
      <c r="AP302" s="146"/>
      <c r="AQ302" s="224">
        <f t="shared" si="117"/>
        <v>0</v>
      </c>
      <c r="AR302" s="126"/>
      <c r="AS302" s="274"/>
      <c r="AT302" s="126"/>
      <c r="AU302" s="126"/>
      <c r="AV302" s="126"/>
      <c r="AW302" s="126"/>
      <c r="AX302" s="126"/>
      <c r="AY302" s="274"/>
      <c r="AZ302" s="274"/>
      <c r="BA302" s="274"/>
      <c r="BB302" s="274"/>
      <c r="BC302" s="222">
        <f t="shared" si="118"/>
        <v>0</v>
      </c>
      <c r="BD302" s="140">
        <f t="shared" si="119"/>
        <v>0</v>
      </c>
      <c r="BE302" s="132"/>
      <c r="BF302" s="140">
        <f t="shared" si="120"/>
        <v>0</v>
      </c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21"/>
        <v>0</v>
      </c>
      <c r="BU302" s="132"/>
    </row>
    <row r="303" ht="14.25" customHeight="1">
      <c r="A303" s="132"/>
      <c r="B303" s="215">
        <v>46293</v>
      </c>
      <c r="C303" s="136"/>
      <c r="D303" s="136"/>
      <c r="E303" s="135"/>
      <c r="F303" s="135"/>
      <c r="G303" s="147">
        <f t="shared" si="113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03">
        <f t="shared" si="114"/>
        <v>0</v>
      </c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103">
        <f t="shared" si="115"/>
        <v>0</v>
      </c>
      <c r="AI303" s="136"/>
      <c r="AJ303" s="136"/>
      <c r="AK303" s="136"/>
      <c r="AL303" s="105">
        <f t="shared" si="116"/>
        <v>0</v>
      </c>
      <c r="AM303" s="143"/>
      <c r="AN303" s="143"/>
      <c r="AO303" s="143"/>
      <c r="AP303" s="146"/>
      <c r="AQ303" s="224">
        <f t="shared" si="117"/>
        <v>0</v>
      </c>
      <c r="AR303" s="126"/>
      <c r="AS303" s="274"/>
      <c r="AT303" s="126"/>
      <c r="AU303" s="126"/>
      <c r="AV303" s="126"/>
      <c r="AW303" s="126"/>
      <c r="AX303" s="126"/>
      <c r="AY303" s="274"/>
      <c r="AZ303" s="274"/>
      <c r="BA303" s="274"/>
      <c r="BB303" s="274"/>
      <c r="BC303" s="222">
        <f t="shared" si="118"/>
        <v>0</v>
      </c>
      <c r="BD303" s="140">
        <f t="shared" si="119"/>
        <v>0</v>
      </c>
      <c r="BE303" s="132"/>
      <c r="BF303" s="140">
        <f t="shared" si="120"/>
        <v>0</v>
      </c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21"/>
        <v>0</v>
      </c>
      <c r="BU303" s="132"/>
    </row>
    <row r="304" ht="14.25" customHeight="1">
      <c r="A304" s="132"/>
      <c r="B304" s="215">
        <v>46294</v>
      </c>
      <c r="C304" s="136"/>
      <c r="D304" s="136"/>
      <c r="E304" s="135"/>
      <c r="F304" s="135"/>
      <c r="G304" s="147">
        <f t="shared" si="113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03">
        <f t="shared" si="114"/>
        <v>0</v>
      </c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43"/>
      <c r="AH304" s="103">
        <f t="shared" si="115"/>
        <v>0</v>
      </c>
      <c r="AI304" s="136"/>
      <c r="AJ304" s="136"/>
      <c r="AK304" s="136"/>
      <c r="AL304" s="105">
        <f t="shared" si="116"/>
        <v>0</v>
      </c>
      <c r="AM304" s="143"/>
      <c r="AN304" s="143"/>
      <c r="AO304" s="143"/>
      <c r="AP304" s="146"/>
      <c r="AQ304" s="224">
        <f t="shared" si="117"/>
        <v>0</v>
      </c>
      <c r="AR304" s="126"/>
      <c r="AS304" s="274"/>
      <c r="AT304" s="126"/>
      <c r="AU304" s="126"/>
      <c r="AV304" s="126"/>
      <c r="AW304" s="126"/>
      <c r="AX304" s="126"/>
      <c r="AY304" s="274"/>
      <c r="AZ304" s="274"/>
      <c r="BA304" s="274"/>
      <c r="BB304" s="274"/>
      <c r="BC304" s="222">
        <f t="shared" si="118"/>
        <v>0</v>
      </c>
      <c r="BD304" s="140">
        <f t="shared" si="119"/>
        <v>0</v>
      </c>
      <c r="BE304" s="132"/>
      <c r="BF304" s="140">
        <f t="shared" si="120"/>
        <v>0</v>
      </c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21"/>
        <v>0</v>
      </c>
      <c r="BU304" s="132"/>
    </row>
    <row r="305" ht="14.25" customHeight="1">
      <c r="A305" s="132"/>
      <c r="B305" s="215">
        <v>46295</v>
      </c>
      <c r="C305" s="136"/>
      <c r="D305" s="136"/>
      <c r="E305" s="135"/>
      <c r="F305" s="135"/>
      <c r="G305" s="147">
        <f t="shared" si="113"/>
        <v>0</v>
      </c>
      <c r="H305" s="144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03">
        <f t="shared" si="114"/>
        <v>0</v>
      </c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  <c r="AF305" s="143"/>
      <c r="AG305" s="143"/>
      <c r="AH305" s="103">
        <f t="shared" si="115"/>
        <v>0</v>
      </c>
      <c r="AI305" s="136"/>
      <c r="AJ305" s="136"/>
      <c r="AK305" s="136"/>
      <c r="AL305" s="105">
        <f t="shared" si="116"/>
        <v>0</v>
      </c>
      <c r="AM305" s="143"/>
      <c r="AN305" s="143"/>
      <c r="AO305" s="143"/>
      <c r="AP305" s="146"/>
      <c r="AQ305" s="224">
        <f t="shared" si="117"/>
        <v>0</v>
      </c>
      <c r="AR305" s="138"/>
      <c r="AS305" s="274"/>
      <c r="AT305" s="126"/>
      <c r="AU305" s="126"/>
      <c r="AV305" s="138"/>
      <c r="AW305" s="138"/>
      <c r="AX305" s="126"/>
      <c r="AY305" s="274"/>
      <c r="AZ305" s="274"/>
      <c r="BA305" s="274"/>
      <c r="BB305" s="274"/>
      <c r="BC305" s="222">
        <f t="shared" si="118"/>
        <v>0</v>
      </c>
      <c r="BD305" s="140">
        <f t="shared" si="119"/>
        <v>0</v>
      </c>
      <c r="BE305" s="132"/>
      <c r="BF305" s="140">
        <f t="shared" si="120"/>
        <v>0</v>
      </c>
      <c r="BG305" s="141"/>
      <c r="BH305" s="141"/>
      <c r="BI305" s="141"/>
      <c r="BJ305" s="141"/>
      <c r="BK305" s="141"/>
      <c r="BL305" s="141"/>
      <c r="BM305" s="141"/>
      <c r="BN305" s="141"/>
      <c r="BO305" s="141"/>
      <c r="BP305" s="141"/>
      <c r="BQ305" s="141"/>
      <c r="BR305" s="141"/>
      <c r="BS305" s="141"/>
      <c r="BT305" s="130">
        <f t="shared" si="121"/>
        <v>0</v>
      </c>
      <c r="BU305" s="132"/>
    </row>
    <row r="306" ht="14.25" customHeight="1">
      <c r="A306" s="3"/>
      <c r="B306" s="2" t="s">
        <v>265</v>
      </c>
      <c r="C306" s="166">
        <f ref="C306:AJ306" t="shared" si="122">SUM(C276:C305)</f>
        <v>0</v>
      </c>
      <c r="D306" s="166">
        <f t="shared" si="122"/>
        <v>0</v>
      </c>
      <c r="E306" s="166">
        <f t="shared" si="122"/>
        <v>0</v>
      </c>
      <c r="F306" s="166">
        <f t="shared" si="122"/>
        <v>0</v>
      </c>
      <c r="G306" s="166">
        <f t="shared" si="122"/>
        <v>0</v>
      </c>
      <c r="H306" s="166">
        <f t="shared" si="122"/>
        <v>0</v>
      </c>
      <c r="I306" s="166">
        <f t="shared" si="122"/>
        <v>0</v>
      </c>
      <c r="J306" s="166">
        <f t="shared" si="122"/>
        <v>0</v>
      </c>
      <c r="K306" s="166">
        <f t="shared" si="122"/>
        <v>0</v>
      </c>
      <c r="L306" s="166">
        <f t="shared" si="122"/>
        <v>0</v>
      </c>
      <c r="M306" s="166">
        <f t="shared" si="122"/>
        <v>0</v>
      </c>
      <c r="N306" s="166">
        <f t="shared" si="122"/>
        <v>0</v>
      </c>
      <c r="O306" s="166">
        <f t="shared" si="122"/>
        <v>0</v>
      </c>
      <c r="P306" s="166">
        <f t="shared" si="122"/>
        <v>0</v>
      </c>
      <c r="Q306" s="166">
        <f t="shared" si="122"/>
        <v>0</v>
      </c>
      <c r="R306" s="166">
        <f t="shared" si="122"/>
        <v>0</v>
      </c>
      <c r="S306" s="166">
        <f t="shared" si="122"/>
        <v>0</v>
      </c>
      <c r="T306" s="166">
        <f t="shared" si="122"/>
        <v>0</v>
      </c>
      <c r="U306" s="166">
        <f t="shared" si="122"/>
        <v>0</v>
      </c>
      <c r="V306" s="166">
        <f t="shared" si="122"/>
        <v>0</v>
      </c>
      <c r="W306" s="166">
        <f t="shared" si="122"/>
        <v>0</v>
      </c>
      <c r="X306" s="166">
        <f t="shared" si="122"/>
        <v>0</v>
      </c>
      <c r="Y306" s="166">
        <f t="shared" si="122"/>
        <v>0</v>
      </c>
      <c r="Z306" s="166">
        <f t="shared" si="122"/>
        <v>0</v>
      </c>
      <c r="AA306" s="166">
        <f t="shared" si="122"/>
        <v>0</v>
      </c>
      <c r="AB306" s="166">
        <f t="shared" si="122"/>
        <v>0</v>
      </c>
      <c r="AC306" s="166">
        <f t="shared" si="122"/>
        <v>0</v>
      </c>
      <c r="AD306" s="166">
        <f t="shared" si="122"/>
        <v>0</v>
      </c>
      <c r="AE306" s="166">
        <f t="shared" si="122"/>
        <v>0</v>
      </c>
      <c r="AF306" s="166">
        <f t="shared" si="122"/>
        <v>0</v>
      </c>
      <c r="AG306" s="166">
        <f t="shared" si="122"/>
        <v>0</v>
      </c>
      <c r="AH306" s="166">
        <f t="shared" si="122"/>
        <v>0</v>
      </c>
      <c r="AI306" s="166">
        <f t="shared" si="122"/>
        <v>0</v>
      </c>
      <c r="AJ306" s="166">
        <f t="shared" si="122"/>
        <v>0</v>
      </c>
      <c r="AK306" s="166"/>
      <c r="AL306" s="166">
        <f ref="AL306:AO306" t="shared" si="123">SUM(AL276:AL305)</f>
        <v>0</v>
      </c>
      <c r="AM306" s="166">
        <f t="shared" si="123"/>
        <v>0</v>
      </c>
      <c r="AN306" s="166">
        <f t="shared" si="123"/>
        <v>0</v>
      </c>
      <c r="AO306" s="166">
        <f t="shared" si="123"/>
        <v>0</v>
      </c>
      <c r="AP306" s="166"/>
      <c r="AQ306" s="166">
        <f ref="AQ306:BD306" t="shared" si="124">SUM(AQ276:AQ305)</f>
        <v>0</v>
      </c>
      <c r="AR306" s="165">
        <f t="shared" si="124"/>
        <v>0</v>
      </c>
      <c r="AS306" s="166">
        <f t="shared" si="124"/>
        <v>0</v>
      </c>
      <c r="AT306" s="166">
        <f t="shared" si="124"/>
        <v>0</v>
      </c>
      <c r="AU306" s="166">
        <f t="shared" si="124"/>
        <v>0</v>
      </c>
      <c r="AV306" s="166">
        <f t="shared" si="124"/>
        <v>0</v>
      </c>
      <c r="AW306" s="166">
        <f t="shared" si="124"/>
        <v>0</v>
      </c>
      <c r="AX306" s="166">
        <f t="shared" si="124"/>
        <v>0</v>
      </c>
      <c r="AY306" s="166">
        <f t="shared" si="124"/>
        <v>0</v>
      </c>
      <c r="AZ306" s="166">
        <f t="shared" si="124"/>
        <v>0</v>
      </c>
      <c r="BA306" s="166">
        <f t="shared" si="124"/>
        <v>0</v>
      </c>
      <c r="BB306" s="166">
        <f t="shared" si="124"/>
        <v>0</v>
      </c>
      <c r="BC306" s="166">
        <f t="shared" si="124"/>
        <v>0</v>
      </c>
      <c r="BD306" s="166">
        <f t="shared" si="124"/>
        <v>0</v>
      </c>
      <c r="BE306" s="132"/>
      <c r="BF306" s="166">
        <f>SUM(BF276:BF305)</f>
        <v>0</v>
      </c>
      <c r="BG306" s="166"/>
      <c r="BH306" s="166"/>
      <c r="BI306" s="166"/>
      <c r="BJ306" s="166"/>
      <c r="BK306" s="166"/>
      <c r="BL306" s="166"/>
      <c r="BM306" s="166"/>
      <c r="BN306" s="166"/>
      <c r="BO306" s="166"/>
      <c r="BP306" s="166">
        <f ref="BP306:BT306" t="shared" si="125">SUM(BP276:BP305)</f>
        <v>0</v>
      </c>
      <c r="BQ306" s="166">
        <f t="shared" si="125"/>
        <v>0</v>
      </c>
      <c r="BR306" s="166">
        <f t="shared" si="125"/>
        <v>0</v>
      </c>
      <c r="BS306" s="166">
        <f t="shared" si="125"/>
        <v>0</v>
      </c>
      <c r="BT306" s="166">
        <f t="shared" si="125"/>
        <v>0</v>
      </c>
      <c r="BU306" s="3"/>
    </row>
    <row r="307" ht="14.25" customHeight="1">
      <c r="A307" s="1"/>
      <c r="B307" s="2"/>
      <c r="C307" s="3"/>
      <c r="D307" s="3"/>
      <c r="E307" s="3"/>
      <c r="F307" s="3"/>
      <c r="G307" s="133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96"/>
      <c r="AI307" s="96"/>
      <c r="AJ307" s="3"/>
      <c r="AK307" s="3"/>
      <c r="AL307" s="4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ht="14.25" customHeight="1">
      <c r="A308" s="1"/>
      <c r="B308" s="2"/>
      <c r="C308" s="3"/>
      <c r="D308" s="3"/>
      <c r="E308" s="3"/>
      <c r="F308" s="3"/>
      <c r="G308" s="133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176"/>
      <c r="AI308" s="176"/>
      <c r="AJ308" s="3"/>
      <c r="AK308" s="3"/>
      <c r="AL308" s="4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176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</row>
    <row r="309" ht="14.25" customHeight="1">
      <c r="A309" s="3"/>
      <c r="B309" s="215">
        <v>46296</v>
      </c>
      <c r="C309" s="104"/>
      <c r="D309" s="104"/>
      <c r="E309" s="97"/>
      <c r="F309" s="97"/>
      <c r="G309" s="265">
        <f ref="G309:G339" t="shared" si="126">+C309+D309+E309+F309</f>
        <v>0</v>
      </c>
      <c r="H309" s="187"/>
      <c r="I309" s="186"/>
      <c r="J309" s="186"/>
      <c r="K309" s="186"/>
      <c r="L309" s="186"/>
      <c r="M309" s="186"/>
      <c r="N309" s="186"/>
      <c r="O309" s="186"/>
      <c r="P309" s="186"/>
      <c r="Q309" s="186"/>
      <c r="R309" s="186"/>
      <c r="S309" s="186"/>
      <c r="T309" s="186"/>
      <c r="U309" s="103">
        <f ref="U309:U339" t="shared" si="127">SUM(H309:T309)</f>
        <v>0</v>
      </c>
      <c r="V309" s="186"/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03">
        <f ref="AH309:AH339" t="shared" si="128">SUM(V309:AG309)</f>
        <v>0</v>
      </c>
      <c r="AI309" s="104"/>
      <c r="AJ309" s="104"/>
      <c r="AK309" s="104"/>
      <c r="AL309" s="191">
        <f ref="AL309:AL339" t="shared" si="129">SUM(AI309:AK309)</f>
        <v>0</v>
      </c>
      <c r="AM309" s="186"/>
      <c r="AN309" s="186"/>
      <c r="AO309" s="186"/>
      <c r="AP309" s="193"/>
      <c r="AQ309" s="219">
        <f ref="AQ309:AQ339" t="shared" si="130">+G309-U309-AH309-AL309-AM309-AN309-AO309-AP309</f>
        <v>0</v>
      </c>
      <c r="AR309" s="109"/>
      <c r="AS309" s="269"/>
      <c r="AT309" s="109"/>
      <c r="AU309" s="109"/>
      <c r="AV309" s="109"/>
      <c r="AW309" s="109"/>
      <c r="AX309" s="109"/>
      <c r="AY309" s="269"/>
      <c r="AZ309" s="269"/>
      <c r="BA309" s="269"/>
      <c r="BB309" s="269"/>
      <c r="BC309" s="222">
        <f ref="BC309:BC339" t="shared" si="131">SUM(AR309:BB309)-BA309</f>
        <v>0</v>
      </c>
      <c r="BD309" s="114">
        <f ref="BD309:BD339" t="shared" si="132">+AQ309-BC309</f>
        <v>0</v>
      </c>
      <c r="BE309" s="3"/>
      <c r="BF309" s="114">
        <f ref="BF309:BF339" t="shared" si="133">SUM(BG309:BS309)</f>
        <v>0</v>
      </c>
      <c r="BG309" s="115"/>
      <c r="BH309" s="115"/>
      <c r="BI309" s="115"/>
      <c r="BJ309" s="115"/>
      <c r="BK309" s="115"/>
      <c r="BL309" s="115"/>
      <c r="BM309" s="115"/>
      <c r="BN309" s="115"/>
      <c r="BO309" s="115"/>
      <c r="BP309" s="115"/>
      <c r="BQ309" s="115"/>
      <c r="BR309" s="115"/>
      <c r="BS309" s="115"/>
      <c r="BT309" s="116">
        <f ref="BT309:BT339" t="shared" si="134">+BD309-BF309</f>
        <v>0</v>
      </c>
      <c r="BU309" s="3"/>
    </row>
    <row r="310" ht="14.25" customHeight="1">
      <c r="A310" s="3"/>
      <c r="B310" s="215">
        <v>46297</v>
      </c>
      <c r="C310" s="123"/>
      <c r="D310" s="123"/>
      <c r="E310" s="120"/>
      <c r="F310" s="120"/>
      <c r="G310" s="147">
        <f t="shared" si="126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03">
        <f t="shared" si="127"/>
        <v>0</v>
      </c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43"/>
      <c r="AH310" s="103">
        <f t="shared" si="128"/>
        <v>0</v>
      </c>
      <c r="AI310" s="123"/>
      <c r="AJ310" s="123"/>
      <c r="AK310" s="123"/>
      <c r="AL310" s="105">
        <f t="shared" si="129"/>
        <v>0</v>
      </c>
      <c r="AM310" s="143"/>
      <c r="AN310" s="143"/>
      <c r="AO310" s="143"/>
      <c r="AP310" s="146"/>
      <c r="AQ310" s="224">
        <f t="shared" si="130"/>
        <v>0</v>
      </c>
      <c r="AR310" s="126"/>
      <c r="AS310" s="274"/>
      <c r="AT310" s="126"/>
      <c r="AU310" s="126"/>
      <c r="AV310" s="126"/>
      <c r="AW310" s="126"/>
      <c r="AX310" s="126"/>
      <c r="AY310" s="274"/>
      <c r="AZ310" s="274"/>
      <c r="BA310" s="274"/>
      <c r="BB310" s="274"/>
      <c r="BC310" s="222">
        <f t="shared" si="131"/>
        <v>0</v>
      </c>
      <c r="BD310" s="113">
        <f t="shared" si="132"/>
        <v>0</v>
      </c>
      <c r="BE310" s="3"/>
      <c r="BF310" s="113">
        <f t="shared" si="133"/>
        <v>0</v>
      </c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41"/>
      <c r="BR310" s="141"/>
      <c r="BS310" s="129"/>
      <c r="BT310" s="130">
        <f t="shared" si="134"/>
        <v>0</v>
      </c>
      <c r="BU310" s="3"/>
    </row>
    <row r="311" ht="14.25" customHeight="1">
      <c r="A311" s="3"/>
      <c r="B311" s="215">
        <v>46298</v>
      </c>
      <c r="C311" s="123"/>
      <c r="D311" s="123"/>
      <c r="E311" s="120"/>
      <c r="F311" s="120"/>
      <c r="G311" s="147">
        <f t="shared" si="126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03">
        <f t="shared" si="127"/>
        <v>0</v>
      </c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43"/>
      <c r="AH311" s="103">
        <f t="shared" si="128"/>
        <v>0</v>
      </c>
      <c r="AI311" s="123"/>
      <c r="AJ311" s="123"/>
      <c r="AK311" s="123"/>
      <c r="AL311" s="105">
        <f t="shared" si="129"/>
        <v>0</v>
      </c>
      <c r="AM311" s="143"/>
      <c r="AN311" s="143"/>
      <c r="AO311" s="143"/>
      <c r="AP311" s="146"/>
      <c r="AQ311" s="224">
        <f t="shared" si="130"/>
        <v>0</v>
      </c>
      <c r="AR311" s="126"/>
      <c r="AS311" s="274"/>
      <c r="AT311" s="126"/>
      <c r="AU311" s="126"/>
      <c r="AV311" s="126"/>
      <c r="AW311" s="126"/>
      <c r="AX311" s="126"/>
      <c r="AY311" s="274"/>
      <c r="AZ311" s="274"/>
      <c r="BA311" s="274"/>
      <c r="BB311" s="274"/>
      <c r="BC311" s="222">
        <f t="shared" si="131"/>
        <v>0</v>
      </c>
      <c r="BD311" s="113">
        <f t="shared" si="132"/>
        <v>0</v>
      </c>
      <c r="BE311" s="3"/>
      <c r="BF311" s="113">
        <f t="shared" si="133"/>
        <v>0</v>
      </c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41"/>
      <c r="BR311" s="141"/>
      <c r="BS311" s="129"/>
      <c r="BT311" s="130">
        <f t="shared" si="134"/>
        <v>0</v>
      </c>
      <c r="BU311" s="3"/>
    </row>
    <row r="312" ht="14.25" customHeight="1">
      <c r="A312" s="3"/>
      <c r="B312" s="215">
        <v>46299</v>
      </c>
      <c r="C312" s="123"/>
      <c r="D312" s="123"/>
      <c r="E312" s="120"/>
      <c r="F312" s="120"/>
      <c r="G312" s="147">
        <f t="shared" si="126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03">
        <f t="shared" si="127"/>
        <v>0</v>
      </c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43"/>
      <c r="AH312" s="103">
        <f t="shared" si="128"/>
        <v>0</v>
      </c>
      <c r="AI312" s="123"/>
      <c r="AJ312" s="123"/>
      <c r="AK312" s="123"/>
      <c r="AL312" s="105">
        <f t="shared" si="129"/>
        <v>0</v>
      </c>
      <c r="AM312" s="143"/>
      <c r="AN312" s="143"/>
      <c r="AO312" s="143"/>
      <c r="AP312" s="146"/>
      <c r="AQ312" s="224">
        <f t="shared" si="130"/>
        <v>0</v>
      </c>
      <c r="AR312" s="126"/>
      <c r="AS312" s="274"/>
      <c r="AT312" s="126"/>
      <c r="AU312" s="126"/>
      <c r="AV312" s="126"/>
      <c r="AW312" s="126"/>
      <c r="AX312" s="126"/>
      <c r="AY312" s="274"/>
      <c r="AZ312" s="274"/>
      <c r="BA312" s="274"/>
      <c r="BB312" s="274"/>
      <c r="BC312" s="222">
        <f t="shared" si="131"/>
        <v>0</v>
      </c>
      <c r="BD312" s="113">
        <f t="shared" si="132"/>
        <v>0</v>
      </c>
      <c r="BE312" s="3"/>
      <c r="BF312" s="113">
        <f t="shared" si="133"/>
        <v>0</v>
      </c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41"/>
      <c r="BR312" s="141"/>
      <c r="BS312" s="129"/>
      <c r="BT312" s="130">
        <f t="shared" si="134"/>
        <v>0</v>
      </c>
      <c r="BU312" s="3"/>
    </row>
    <row r="313" ht="14.25" customHeight="1">
      <c r="A313" s="3"/>
      <c r="B313" s="215">
        <v>46300</v>
      </c>
      <c r="C313" s="123"/>
      <c r="D313" s="123"/>
      <c r="E313" s="120"/>
      <c r="F313" s="120"/>
      <c r="G313" s="147">
        <f t="shared" si="126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03">
        <f t="shared" si="127"/>
        <v>0</v>
      </c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43"/>
      <c r="AH313" s="103">
        <f t="shared" si="128"/>
        <v>0</v>
      </c>
      <c r="AI313" s="123"/>
      <c r="AJ313" s="123"/>
      <c r="AK313" s="123"/>
      <c r="AL313" s="105">
        <f t="shared" si="129"/>
        <v>0</v>
      </c>
      <c r="AM313" s="143"/>
      <c r="AN313" s="143"/>
      <c r="AO313" s="143"/>
      <c r="AP313" s="146"/>
      <c r="AQ313" s="224">
        <f t="shared" si="130"/>
        <v>0</v>
      </c>
      <c r="AR313" s="126"/>
      <c r="AS313" s="274"/>
      <c r="AT313" s="126"/>
      <c r="AU313" s="126"/>
      <c r="AV313" s="126"/>
      <c r="AW313" s="126"/>
      <c r="AX313" s="126"/>
      <c r="AY313" s="274"/>
      <c r="AZ313" s="274"/>
      <c r="BA313" s="274"/>
      <c r="BB313" s="274"/>
      <c r="BC313" s="222">
        <f t="shared" si="131"/>
        <v>0</v>
      </c>
      <c r="BD313" s="113">
        <f t="shared" si="132"/>
        <v>0</v>
      </c>
      <c r="BE313" s="3"/>
      <c r="BF313" s="113">
        <f t="shared" si="133"/>
        <v>0</v>
      </c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41"/>
      <c r="BR313" s="141"/>
      <c r="BS313" s="129"/>
      <c r="BT313" s="130">
        <f t="shared" si="134"/>
        <v>0</v>
      </c>
      <c r="BU313" s="3"/>
    </row>
    <row r="314" ht="14.25" customHeight="1">
      <c r="A314" s="3"/>
      <c r="B314" s="215">
        <v>46301</v>
      </c>
      <c r="C314" s="123"/>
      <c r="D314" s="123"/>
      <c r="E314" s="120"/>
      <c r="F314" s="120"/>
      <c r="G314" s="147">
        <f t="shared" si="126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03">
        <f t="shared" si="127"/>
        <v>0</v>
      </c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43"/>
      <c r="AH314" s="103">
        <f t="shared" si="128"/>
        <v>0</v>
      </c>
      <c r="AI314" s="123"/>
      <c r="AJ314" s="123"/>
      <c r="AK314" s="123"/>
      <c r="AL314" s="105">
        <f t="shared" si="129"/>
        <v>0</v>
      </c>
      <c r="AM314" s="143"/>
      <c r="AN314" s="143"/>
      <c r="AO314" s="143"/>
      <c r="AP314" s="146"/>
      <c r="AQ314" s="224">
        <f t="shared" si="130"/>
        <v>0</v>
      </c>
      <c r="AR314" s="126"/>
      <c r="AS314" s="274"/>
      <c r="AT314" s="126"/>
      <c r="AU314" s="126"/>
      <c r="AV314" s="126"/>
      <c r="AW314" s="126"/>
      <c r="AX314" s="126"/>
      <c r="AY314" s="274"/>
      <c r="AZ314" s="274"/>
      <c r="BA314" s="274"/>
      <c r="BB314" s="274"/>
      <c r="BC314" s="222">
        <f t="shared" si="131"/>
        <v>0</v>
      </c>
      <c r="BD314" s="113">
        <f t="shared" si="132"/>
        <v>0</v>
      </c>
      <c r="BE314" s="3"/>
      <c r="BF314" s="113">
        <f t="shared" si="133"/>
        <v>0</v>
      </c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41"/>
      <c r="BR314" s="141"/>
      <c r="BS314" s="129"/>
      <c r="BT314" s="130">
        <f t="shared" si="134"/>
        <v>0</v>
      </c>
      <c r="BU314" s="3"/>
    </row>
    <row r="315" ht="14.25" customHeight="1">
      <c r="A315" s="3"/>
      <c r="B315" s="215">
        <v>46302</v>
      </c>
      <c r="C315" s="123"/>
      <c r="D315" s="123"/>
      <c r="E315" s="120"/>
      <c r="F315" s="120"/>
      <c r="G315" s="147">
        <f t="shared" si="126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03">
        <f t="shared" si="127"/>
        <v>0</v>
      </c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43"/>
      <c r="AH315" s="103">
        <f t="shared" si="128"/>
        <v>0</v>
      </c>
      <c r="AI315" s="123"/>
      <c r="AJ315" s="123"/>
      <c r="AK315" s="123"/>
      <c r="AL315" s="105">
        <f t="shared" si="129"/>
        <v>0</v>
      </c>
      <c r="AM315" s="143"/>
      <c r="AN315" s="143"/>
      <c r="AO315" s="143"/>
      <c r="AP315" s="146"/>
      <c r="AQ315" s="224">
        <f t="shared" si="130"/>
        <v>0</v>
      </c>
      <c r="AR315" s="126"/>
      <c r="AS315" s="274"/>
      <c r="AT315" s="126"/>
      <c r="AU315" s="126"/>
      <c r="AV315" s="126"/>
      <c r="AW315" s="126"/>
      <c r="AX315" s="126"/>
      <c r="AY315" s="274"/>
      <c r="AZ315" s="274"/>
      <c r="BA315" s="274"/>
      <c r="BB315" s="274"/>
      <c r="BC315" s="222">
        <f t="shared" si="131"/>
        <v>0</v>
      </c>
      <c r="BD315" s="113">
        <f t="shared" si="132"/>
        <v>0</v>
      </c>
      <c r="BE315" s="3"/>
      <c r="BF315" s="113">
        <f t="shared" si="133"/>
        <v>0</v>
      </c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41"/>
      <c r="BR315" s="141"/>
      <c r="BS315" s="129"/>
      <c r="BT315" s="130">
        <f t="shared" si="134"/>
        <v>0</v>
      </c>
      <c r="BU315" s="3"/>
    </row>
    <row r="316" ht="14.25" customHeight="1">
      <c r="A316" s="3"/>
      <c r="B316" s="215">
        <v>46303</v>
      </c>
      <c r="C316" s="123"/>
      <c r="D316" s="123"/>
      <c r="E316" s="120"/>
      <c r="F316" s="120"/>
      <c r="G316" s="147">
        <f t="shared" si="126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03">
        <f t="shared" si="127"/>
        <v>0</v>
      </c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43"/>
      <c r="AH316" s="103">
        <f t="shared" si="128"/>
        <v>0</v>
      </c>
      <c r="AI316" s="123"/>
      <c r="AJ316" s="123"/>
      <c r="AK316" s="123"/>
      <c r="AL316" s="105">
        <f t="shared" si="129"/>
        <v>0</v>
      </c>
      <c r="AM316" s="143"/>
      <c r="AN316" s="143"/>
      <c r="AO316" s="143"/>
      <c r="AP316" s="146"/>
      <c r="AQ316" s="224">
        <f t="shared" si="130"/>
        <v>0</v>
      </c>
      <c r="AR316" s="126"/>
      <c r="AS316" s="274"/>
      <c r="AT316" s="126"/>
      <c r="AU316" s="126"/>
      <c r="AV316" s="126"/>
      <c r="AW316" s="126"/>
      <c r="AX316" s="126"/>
      <c r="AY316" s="274"/>
      <c r="AZ316" s="274"/>
      <c r="BA316" s="274"/>
      <c r="BB316" s="274"/>
      <c r="BC316" s="222">
        <f t="shared" si="131"/>
        <v>0</v>
      </c>
      <c r="BD316" s="113">
        <f t="shared" si="132"/>
        <v>0</v>
      </c>
      <c r="BE316" s="3"/>
      <c r="BF316" s="113">
        <f t="shared" si="133"/>
        <v>0</v>
      </c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30">
        <f t="shared" si="134"/>
        <v>0</v>
      </c>
      <c r="BU316" s="3"/>
    </row>
    <row r="317" ht="14.25" customHeight="1">
      <c r="A317" s="3"/>
      <c r="B317" s="215">
        <v>46304</v>
      </c>
      <c r="C317" s="123"/>
      <c r="D317" s="123"/>
      <c r="E317" s="120"/>
      <c r="F317" s="120"/>
      <c r="G317" s="147">
        <f t="shared" si="126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03">
        <f t="shared" si="127"/>
        <v>0</v>
      </c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43"/>
      <c r="AH317" s="103">
        <f t="shared" si="128"/>
        <v>0</v>
      </c>
      <c r="AI317" s="123"/>
      <c r="AJ317" s="123"/>
      <c r="AK317" s="123"/>
      <c r="AL317" s="105">
        <f t="shared" si="129"/>
        <v>0</v>
      </c>
      <c r="AM317" s="143"/>
      <c r="AN317" s="143"/>
      <c r="AO317" s="143"/>
      <c r="AP317" s="146"/>
      <c r="AQ317" s="224">
        <f t="shared" si="130"/>
        <v>0</v>
      </c>
      <c r="AR317" s="126"/>
      <c r="AS317" s="274"/>
      <c r="AT317" s="126"/>
      <c r="AU317" s="126"/>
      <c r="AV317" s="126"/>
      <c r="AW317" s="126"/>
      <c r="AX317" s="126"/>
      <c r="AY317" s="274"/>
      <c r="AZ317" s="274"/>
      <c r="BA317" s="274"/>
      <c r="BB317" s="274"/>
      <c r="BC317" s="222">
        <f t="shared" si="131"/>
        <v>0</v>
      </c>
      <c r="BD317" s="113">
        <f t="shared" si="132"/>
        <v>0</v>
      </c>
      <c r="BE317" s="3"/>
      <c r="BF317" s="113">
        <f t="shared" si="133"/>
        <v>0</v>
      </c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41"/>
      <c r="BR317" s="141"/>
      <c r="BS317" s="129"/>
      <c r="BT317" s="130">
        <f t="shared" si="134"/>
        <v>0</v>
      </c>
      <c r="BU317" s="3"/>
    </row>
    <row r="318" ht="14.25" customHeight="1">
      <c r="A318" s="132"/>
      <c r="B318" s="215">
        <v>46305</v>
      </c>
      <c r="C318" s="136"/>
      <c r="D318" s="136"/>
      <c r="E318" s="135"/>
      <c r="F318" s="135"/>
      <c r="G318" s="147">
        <f t="shared" si="126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03">
        <f t="shared" si="127"/>
        <v>0</v>
      </c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43"/>
      <c r="AH318" s="103">
        <f t="shared" si="128"/>
        <v>0</v>
      </c>
      <c r="AI318" s="136"/>
      <c r="AJ318" s="136"/>
      <c r="AK318" s="136"/>
      <c r="AL318" s="105">
        <f t="shared" si="129"/>
        <v>0</v>
      </c>
      <c r="AM318" s="143"/>
      <c r="AN318" s="143"/>
      <c r="AO318" s="143"/>
      <c r="AP318" s="146"/>
      <c r="AQ318" s="224">
        <f t="shared" si="130"/>
        <v>0</v>
      </c>
      <c r="AR318" s="126"/>
      <c r="AS318" s="274"/>
      <c r="AT318" s="126"/>
      <c r="AU318" s="126"/>
      <c r="AV318" s="126"/>
      <c r="AW318" s="126"/>
      <c r="AX318" s="126"/>
      <c r="AY318" s="274"/>
      <c r="AZ318" s="274"/>
      <c r="BA318" s="274"/>
      <c r="BB318" s="274"/>
      <c r="BC318" s="222">
        <f t="shared" si="131"/>
        <v>0</v>
      </c>
      <c r="BD318" s="140">
        <f t="shared" si="132"/>
        <v>0</v>
      </c>
      <c r="BE318" s="132"/>
      <c r="BF318" s="140">
        <f t="shared" si="133"/>
        <v>0</v>
      </c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30">
        <f t="shared" si="134"/>
        <v>0</v>
      </c>
      <c r="BU318" s="132"/>
    </row>
    <row r="319" ht="14.25" customHeight="1">
      <c r="A319" s="132"/>
      <c r="B319" s="215">
        <v>46306</v>
      </c>
      <c r="C319" s="136"/>
      <c r="D319" s="136"/>
      <c r="E319" s="135"/>
      <c r="F319" s="135"/>
      <c r="G319" s="147">
        <f t="shared" si="126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03">
        <f t="shared" si="127"/>
        <v>0</v>
      </c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43"/>
      <c r="AH319" s="103">
        <f t="shared" si="128"/>
        <v>0</v>
      </c>
      <c r="AI319" s="136"/>
      <c r="AJ319" s="136"/>
      <c r="AK319" s="136"/>
      <c r="AL319" s="105">
        <f t="shared" si="129"/>
        <v>0</v>
      </c>
      <c r="AM319" s="143"/>
      <c r="AN319" s="143"/>
      <c r="AO319" s="143"/>
      <c r="AP319" s="146"/>
      <c r="AQ319" s="224">
        <f t="shared" si="130"/>
        <v>0</v>
      </c>
      <c r="AR319" s="126"/>
      <c r="AS319" s="274"/>
      <c r="AT319" s="126"/>
      <c r="AU319" s="126"/>
      <c r="AV319" s="126"/>
      <c r="AW319" s="126"/>
      <c r="AX319" s="126"/>
      <c r="AY319" s="274"/>
      <c r="AZ319" s="274"/>
      <c r="BA319" s="274"/>
      <c r="BB319" s="274"/>
      <c r="BC319" s="222">
        <f t="shared" si="131"/>
        <v>0</v>
      </c>
      <c r="BD319" s="140">
        <f t="shared" si="132"/>
        <v>0</v>
      </c>
      <c r="BE319" s="132"/>
      <c r="BF319" s="140">
        <f t="shared" si="133"/>
        <v>0</v>
      </c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30">
        <f t="shared" si="134"/>
        <v>0</v>
      </c>
      <c r="BU319" s="132"/>
    </row>
    <row r="320" ht="14.25" customHeight="1">
      <c r="A320" s="132"/>
      <c r="B320" s="215">
        <v>46307</v>
      </c>
      <c r="C320" s="136"/>
      <c r="D320" s="136"/>
      <c r="E320" s="135"/>
      <c r="F320" s="135"/>
      <c r="G320" s="147">
        <f t="shared" si="126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03">
        <f t="shared" si="127"/>
        <v>0</v>
      </c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43"/>
      <c r="AH320" s="103">
        <f t="shared" si="128"/>
        <v>0</v>
      </c>
      <c r="AI320" s="136"/>
      <c r="AJ320" s="136"/>
      <c r="AK320" s="136"/>
      <c r="AL320" s="105">
        <f t="shared" si="129"/>
        <v>0</v>
      </c>
      <c r="AM320" s="143"/>
      <c r="AN320" s="143"/>
      <c r="AO320" s="143"/>
      <c r="AP320" s="146"/>
      <c r="AQ320" s="224">
        <f t="shared" si="130"/>
        <v>0</v>
      </c>
      <c r="AR320" s="126"/>
      <c r="AS320" s="274"/>
      <c r="AT320" s="126"/>
      <c r="AU320" s="126"/>
      <c r="AV320" s="126"/>
      <c r="AW320" s="126"/>
      <c r="AX320" s="126"/>
      <c r="AY320" s="274"/>
      <c r="AZ320" s="274"/>
      <c r="BA320" s="274"/>
      <c r="BB320" s="274"/>
      <c r="BC320" s="222">
        <f t="shared" si="131"/>
        <v>0</v>
      </c>
      <c r="BD320" s="140">
        <f t="shared" si="132"/>
        <v>0</v>
      </c>
      <c r="BE320" s="132"/>
      <c r="BF320" s="140">
        <f t="shared" si="133"/>
        <v>0</v>
      </c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30">
        <f t="shared" si="134"/>
        <v>0</v>
      </c>
      <c r="BU320" s="132"/>
    </row>
    <row r="321" ht="14.25" customHeight="1">
      <c r="A321" s="132"/>
      <c r="B321" s="215">
        <v>46308</v>
      </c>
      <c r="C321" s="136"/>
      <c r="D321" s="136"/>
      <c r="E321" s="135"/>
      <c r="F321" s="135"/>
      <c r="G321" s="147">
        <f t="shared" si="126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03">
        <f t="shared" si="127"/>
        <v>0</v>
      </c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43"/>
      <c r="AH321" s="103">
        <f t="shared" si="128"/>
        <v>0</v>
      </c>
      <c r="AI321" s="136"/>
      <c r="AJ321" s="136"/>
      <c r="AK321" s="136"/>
      <c r="AL321" s="105">
        <f t="shared" si="129"/>
        <v>0</v>
      </c>
      <c r="AM321" s="143"/>
      <c r="AN321" s="143"/>
      <c r="AO321" s="143"/>
      <c r="AP321" s="146"/>
      <c r="AQ321" s="224">
        <f t="shared" si="130"/>
        <v>0</v>
      </c>
      <c r="AR321" s="126"/>
      <c r="AS321" s="274"/>
      <c r="AT321" s="126"/>
      <c r="AU321" s="126"/>
      <c r="AV321" s="126"/>
      <c r="AW321" s="126"/>
      <c r="AX321" s="126"/>
      <c r="AY321" s="274"/>
      <c r="AZ321" s="274"/>
      <c r="BA321" s="274"/>
      <c r="BB321" s="274"/>
      <c r="BC321" s="222">
        <f t="shared" si="131"/>
        <v>0</v>
      </c>
      <c r="BD321" s="140">
        <f t="shared" si="132"/>
        <v>0</v>
      </c>
      <c r="BE321" s="132"/>
      <c r="BF321" s="140">
        <f t="shared" si="133"/>
        <v>0</v>
      </c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30">
        <f t="shared" si="134"/>
        <v>0</v>
      </c>
      <c r="BU321" s="132"/>
    </row>
    <row r="322" ht="14.25" customHeight="1">
      <c r="A322" s="132"/>
      <c r="B322" s="215">
        <v>46309</v>
      </c>
      <c r="C322" s="136"/>
      <c r="D322" s="136"/>
      <c r="E322" s="135"/>
      <c r="F322" s="135"/>
      <c r="G322" s="147">
        <f t="shared" si="126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03">
        <f t="shared" si="127"/>
        <v>0</v>
      </c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43"/>
      <c r="AH322" s="103">
        <f t="shared" si="128"/>
        <v>0</v>
      </c>
      <c r="AI322" s="136"/>
      <c r="AJ322" s="136"/>
      <c r="AK322" s="136"/>
      <c r="AL322" s="105">
        <f t="shared" si="129"/>
        <v>0</v>
      </c>
      <c r="AM322" s="143"/>
      <c r="AN322" s="143"/>
      <c r="AO322" s="143"/>
      <c r="AP322" s="146"/>
      <c r="AQ322" s="224">
        <f t="shared" si="130"/>
        <v>0</v>
      </c>
      <c r="AR322" s="126"/>
      <c r="AS322" s="274"/>
      <c r="AT322" s="126"/>
      <c r="AU322" s="126"/>
      <c r="AV322" s="126"/>
      <c r="AW322" s="126"/>
      <c r="AX322" s="126"/>
      <c r="AY322" s="274"/>
      <c r="AZ322" s="274"/>
      <c r="BA322" s="274"/>
      <c r="BB322" s="274"/>
      <c r="BC322" s="222">
        <f t="shared" si="131"/>
        <v>0</v>
      </c>
      <c r="BD322" s="140">
        <f t="shared" si="132"/>
        <v>0</v>
      </c>
      <c r="BE322" s="132"/>
      <c r="BF322" s="140">
        <f t="shared" si="133"/>
        <v>0</v>
      </c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30">
        <f t="shared" si="134"/>
        <v>0</v>
      </c>
      <c r="BU322" s="132"/>
    </row>
    <row r="323" ht="14.25" customHeight="1">
      <c r="A323" s="132"/>
      <c r="B323" s="215">
        <v>46310</v>
      </c>
      <c r="C323" s="136"/>
      <c r="D323" s="136"/>
      <c r="E323" s="135"/>
      <c r="F323" s="135"/>
      <c r="G323" s="147">
        <f t="shared" si="126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03">
        <f t="shared" si="127"/>
        <v>0</v>
      </c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43"/>
      <c r="AH323" s="103">
        <f t="shared" si="128"/>
        <v>0</v>
      </c>
      <c r="AI323" s="136"/>
      <c r="AJ323" s="136"/>
      <c r="AK323" s="136"/>
      <c r="AL323" s="105">
        <f t="shared" si="129"/>
        <v>0</v>
      </c>
      <c r="AM323" s="143"/>
      <c r="AN323" s="143"/>
      <c r="AO323" s="143"/>
      <c r="AP323" s="146"/>
      <c r="AQ323" s="224">
        <f t="shared" si="130"/>
        <v>0</v>
      </c>
      <c r="AR323" s="126"/>
      <c r="AS323" s="274"/>
      <c r="AT323" s="126"/>
      <c r="AU323" s="126"/>
      <c r="AV323" s="126"/>
      <c r="AW323" s="126"/>
      <c r="AX323" s="126"/>
      <c r="AY323" s="274"/>
      <c r="AZ323" s="274"/>
      <c r="BA323" s="274"/>
      <c r="BB323" s="274"/>
      <c r="BC323" s="222">
        <f t="shared" si="131"/>
        <v>0</v>
      </c>
      <c r="BD323" s="140">
        <f t="shared" si="132"/>
        <v>0</v>
      </c>
      <c r="BE323" s="132"/>
      <c r="BF323" s="140">
        <f t="shared" si="133"/>
        <v>0</v>
      </c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30">
        <f t="shared" si="134"/>
        <v>0</v>
      </c>
      <c r="BU323" s="132"/>
    </row>
    <row r="324" ht="14.25" customHeight="1">
      <c r="A324" s="132"/>
      <c r="B324" s="215">
        <v>46311</v>
      </c>
      <c r="C324" s="136"/>
      <c r="D324" s="136"/>
      <c r="E324" s="135"/>
      <c r="F324" s="135"/>
      <c r="G324" s="147">
        <f t="shared" si="126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03">
        <f t="shared" si="127"/>
        <v>0</v>
      </c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43"/>
      <c r="AH324" s="103">
        <f t="shared" si="128"/>
        <v>0</v>
      </c>
      <c r="AI324" s="136"/>
      <c r="AJ324" s="136"/>
      <c r="AK324" s="136"/>
      <c r="AL324" s="105">
        <f t="shared" si="129"/>
        <v>0</v>
      </c>
      <c r="AM324" s="143"/>
      <c r="AN324" s="143"/>
      <c r="AO324" s="143"/>
      <c r="AP324" s="146"/>
      <c r="AQ324" s="224">
        <f t="shared" si="130"/>
        <v>0</v>
      </c>
      <c r="AR324" s="126"/>
      <c r="AS324" s="274"/>
      <c r="AT324" s="126"/>
      <c r="AU324" s="126"/>
      <c r="AV324" s="126"/>
      <c r="AW324" s="126"/>
      <c r="AX324" s="126"/>
      <c r="AY324" s="274"/>
      <c r="AZ324" s="274"/>
      <c r="BA324" s="274"/>
      <c r="BB324" s="274"/>
      <c r="BC324" s="222">
        <f t="shared" si="131"/>
        <v>0</v>
      </c>
      <c r="BD324" s="140">
        <f t="shared" si="132"/>
        <v>0</v>
      </c>
      <c r="BE324" s="132"/>
      <c r="BF324" s="140">
        <f t="shared" si="133"/>
        <v>0</v>
      </c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30">
        <f t="shared" si="134"/>
        <v>0</v>
      </c>
      <c r="BU324" s="132"/>
    </row>
    <row r="325" ht="14.25" customHeight="1">
      <c r="A325" s="132"/>
      <c r="B325" s="215">
        <v>46312</v>
      </c>
      <c r="C325" s="136"/>
      <c r="D325" s="136"/>
      <c r="E325" s="135"/>
      <c r="F325" s="135"/>
      <c r="G325" s="147">
        <f t="shared" si="126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03">
        <f t="shared" si="127"/>
        <v>0</v>
      </c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43"/>
      <c r="AH325" s="103">
        <f t="shared" si="128"/>
        <v>0</v>
      </c>
      <c r="AI325" s="136"/>
      <c r="AJ325" s="136"/>
      <c r="AK325" s="136"/>
      <c r="AL325" s="105">
        <f t="shared" si="129"/>
        <v>0</v>
      </c>
      <c r="AM325" s="143"/>
      <c r="AN325" s="143"/>
      <c r="AO325" s="143"/>
      <c r="AP325" s="146"/>
      <c r="AQ325" s="224">
        <f t="shared" si="130"/>
        <v>0</v>
      </c>
      <c r="AR325" s="126"/>
      <c r="AS325" s="274"/>
      <c r="AT325" s="126"/>
      <c r="AU325" s="126"/>
      <c r="AV325" s="126"/>
      <c r="AW325" s="126"/>
      <c r="AX325" s="126"/>
      <c r="AY325" s="274"/>
      <c r="AZ325" s="274"/>
      <c r="BA325" s="274"/>
      <c r="BB325" s="274"/>
      <c r="BC325" s="222">
        <f t="shared" si="131"/>
        <v>0</v>
      </c>
      <c r="BD325" s="140">
        <f t="shared" si="132"/>
        <v>0</v>
      </c>
      <c r="BE325" s="132"/>
      <c r="BF325" s="140">
        <f t="shared" si="133"/>
        <v>0</v>
      </c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30">
        <f t="shared" si="134"/>
        <v>0</v>
      </c>
      <c r="BU325" s="132"/>
    </row>
    <row r="326" ht="14.25" customHeight="1">
      <c r="A326" s="132"/>
      <c r="B326" s="215">
        <v>46313</v>
      </c>
      <c r="C326" s="136"/>
      <c r="D326" s="136"/>
      <c r="E326" s="135"/>
      <c r="F326" s="135"/>
      <c r="G326" s="147">
        <f t="shared" si="126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03">
        <f t="shared" si="127"/>
        <v>0</v>
      </c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43"/>
      <c r="AH326" s="103">
        <f t="shared" si="128"/>
        <v>0</v>
      </c>
      <c r="AI326" s="136"/>
      <c r="AJ326" s="136"/>
      <c r="AK326" s="136"/>
      <c r="AL326" s="105">
        <f t="shared" si="129"/>
        <v>0</v>
      </c>
      <c r="AM326" s="143"/>
      <c r="AN326" s="143"/>
      <c r="AO326" s="143"/>
      <c r="AP326" s="146"/>
      <c r="AQ326" s="224">
        <f t="shared" si="130"/>
        <v>0</v>
      </c>
      <c r="AR326" s="126"/>
      <c r="AS326" s="274"/>
      <c r="AT326" s="126"/>
      <c r="AU326" s="126"/>
      <c r="AV326" s="126"/>
      <c r="AW326" s="126"/>
      <c r="AX326" s="126"/>
      <c r="AY326" s="274"/>
      <c r="AZ326" s="274"/>
      <c r="BA326" s="274"/>
      <c r="BB326" s="274"/>
      <c r="BC326" s="222">
        <f t="shared" si="131"/>
        <v>0</v>
      </c>
      <c r="BD326" s="140">
        <f t="shared" si="132"/>
        <v>0</v>
      </c>
      <c r="BE326" s="132"/>
      <c r="BF326" s="140">
        <f t="shared" si="133"/>
        <v>0</v>
      </c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30">
        <f t="shared" si="134"/>
        <v>0</v>
      </c>
      <c r="BU326" s="132"/>
    </row>
    <row r="327" ht="14.25" customHeight="1">
      <c r="A327" s="132"/>
      <c r="B327" s="215">
        <v>46314</v>
      </c>
      <c r="C327" s="136"/>
      <c r="D327" s="136"/>
      <c r="E327" s="135"/>
      <c r="F327" s="135"/>
      <c r="G327" s="147">
        <f t="shared" si="126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03">
        <f t="shared" si="127"/>
        <v>0</v>
      </c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103">
        <f t="shared" si="128"/>
        <v>0</v>
      </c>
      <c r="AI327" s="136"/>
      <c r="AJ327" s="136"/>
      <c r="AK327" s="136"/>
      <c r="AL327" s="105">
        <f t="shared" si="129"/>
        <v>0</v>
      </c>
      <c r="AM327" s="143"/>
      <c r="AN327" s="143"/>
      <c r="AO327" s="143"/>
      <c r="AP327" s="146"/>
      <c r="AQ327" s="224">
        <f t="shared" si="130"/>
        <v>0</v>
      </c>
      <c r="AR327" s="126"/>
      <c r="AS327" s="274"/>
      <c r="AT327" s="126"/>
      <c r="AU327" s="126"/>
      <c r="AV327" s="126"/>
      <c r="AW327" s="126"/>
      <c r="AX327" s="126"/>
      <c r="AY327" s="274"/>
      <c r="AZ327" s="274"/>
      <c r="BA327" s="274"/>
      <c r="BB327" s="274"/>
      <c r="BC327" s="222">
        <f t="shared" si="131"/>
        <v>0</v>
      </c>
      <c r="BD327" s="140">
        <f t="shared" si="132"/>
        <v>0</v>
      </c>
      <c r="BE327" s="132"/>
      <c r="BF327" s="140">
        <f t="shared" si="133"/>
        <v>0</v>
      </c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30">
        <f t="shared" si="134"/>
        <v>0</v>
      </c>
      <c r="BU327" s="132"/>
    </row>
    <row r="328" ht="14.25" customHeight="1">
      <c r="A328" s="132"/>
      <c r="B328" s="215">
        <v>46315</v>
      </c>
      <c r="C328" s="136"/>
      <c r="D328" s="136"/>
      <c r="E328" s="135"/>
      <c r="F328" s="135"/>
      <c r="G328" s="147">
        <f t="shared" si="126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03">
        <f t="shared" si="127"/>
        <v>0</v>
      </c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103">
        <f t="shared" si="128"/>
        <v>0</v>
      </c>
      <c r="AI328" s="136"/>
      <c r="AJ328" s="136"/>
      <c r="AK328" s="136"/>
      <c r="AL328" s="105">
        <f t="shared" si="129"/>
        <v>0</v>
      </c>
      <c r="AM328" s="143"/>
      <c r="AN328" s="143"/>
      <c r="AO328" s="143"/>
      <c r="AP328" s="146"/>
      <c r="AQ328" s="224">
        <f t="shared" si="130"/>
        <v>0</v>
      </c>
      <c r="AR328" s="126"/>
      <c r="AS328" s="274"/>
      <c r="AT328" s="126"/>
      <c r="AU328" s="126"/>
      <c r="AV328" s="126"/>
      <c r="AW328" s="126"/>
      <c r="AX328" s="126"/>
      <c r="AY328" s="274"/>
      <c r="AZ328" s="274"/>
      <c r="BA328" s="274"/>
      <c r="BB328" s="274"/>
      <c r="BC328" s="222">
        <f t="shared" si="131"/>
        <v>0</v>
      </c>
      <c r="BD328" s="140">
        <f t="shared" si="132"/>
        <v>0</v>
      </c>
      <c r="BE328" s="132"/>
      <c r="BF328" s="140">
        <f t="shared" si="133"/>
        <v>0</v>
      </c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30">
        <f t="shared" si="134"/>
        <v>0</v>
      </c>
      <c r="BU328" s="132"/>
    </row>
    <row r="329" ht="14.25" customHeight="1">
      <c r="A329" s="132"/>
      <c r="B329" s="215">
        <v>46316</v>
      </c>
      <c r="C329" s="136"/>
      <c r="D329" s="136"/>
      <c r="E329" s="135"/>
      <c r="F329" s="135"/>
      <c r="G329" s="147">
        <f t="shared" si="126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03">
        <f t="shared" si="127"/>
        <v>0</v>
      </c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103">
        <f t="shared" si="128"/>
        <v>0</v>
      </c>
      <c r="AI329" s="136"/>
      <c r="AJ329" s="136"/>
      <c r="AK329" s="136"/>
      <c r="AL329" s="105">
        <f t="shared" si="129"/>
        <v>0</v>
      </c>
      <c r="AM329" s="143"/>
      <c r="AN329" s="143"/>
      <c r="AO329" s="143"/>
      <c r="AP329" s="146"/>
      <c r="AQ329" s="224">
        <f t="shared" si="130"/>
        <v>0</v>
      </c>
      <c r="AR329" s="126"/>
      <c r="AS329" s="274"/>
      <c r="AT329" s="126"/>
      <c r="AU329" s="126"/>
      <c r="AV329" s="126"/>
      <c r="AW329" s="126"/>
      <c r="AX329" s="126"/>
      <c r="AY329" s="274"/>
      <c r="AZ329" s="274"/>
      <c r="BA329" s="274"/>
      <c r="BB329" s="274"/>
      <c r="BC329" s="222">
        <f t="shared" si="131"/>
        <v>0</v>
      </c>
      <c r="BD329" s="140">
        <f t="shared" si="132"/>
        <v>0</v>
      </c>
      <c r="BE329" s="132"/>
      <c r="BF329" s="140">
        <f t="shared" si="133"/>
        <v>0</v>
      </c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30">
        <f t="shared" si="134"/>
        <v>0</v>
      </c>
      <c r="BU329" s="132"/>
    </row>
    <row r="330" ht="14.25" customHeight="1">
      <c r="A330" s="132"/>
      <c r="B330" s="215">
        <v>46317</v>
      </c>
      <c r="C330" s="136"/>
      <c r="D330" s="136"/>
      <c r="E330" s="135"/>
      <c r="F330" s="135"/>
      <c r="G330" s="147">
        <f t="shared" si="126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03">
        <f t="shared" si="127"/>
        <v>0</v>
      </c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103">
        <f t="shared" si="128"/>
        <v>0</v>
      </c>
      <c r="AI330" s="136"/>
      <c r="AJ330" s="136"/>
      <c r="AK330" s="136"/>
      <c r="AL330" s="105">
        <f t="shared" si="129"/>
        <v>0</v>
      </c>
      <c r="AM330" s="143"/>
      <c r="AN330" s="143"/>
      <c r="AO330" s="143"/>
      <c r="AP330" s="146"/>
      <c r="AQ330" s="224">
        <f t="shared" si="130"/>
        <v>0</v>
      </c>
      <c r="AR330" s="126"/>
      <c r="AS330" s="274"/>
      <c r="AT330" s="126"/>
      <c r="AU330" s="126"/>
      <c r="AV330" s="126"/>
      <c r="AW330" s="126"/>
      <c r="AX330" s="126"/>
      <c r="AY330" s="274"/>
      <c r="AZ330" s="274"/>
      <c r="BA330" s="274"/>
      <c r="BB330" s="274"/>
      <c r="BC330" s="222">
        <f t="shared" si="131"/>
        <v>0</v>
      </c>
      <c r="BD330" s="140">
        <f t="shared" si="132"/>
        <v>0</v>
      </c>
      <c r="BE330" s="132"/>
      <c r="BF330" s="140">
        <f t="shared" si="133"/>
        <v>0</v>
      </c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30">
        <f t="shared" si="134"/>
        <v>0</v>
      </c>
      <c r="BU330" s="132"/>
    </row>
    <row r="331" ht="14.25" customHeight="1">
      <c r="A331" s="132"/>
      <c r="B331" s="215">
        <v>46318</v>
      </c>
      <c r="C331" s="136"/>
      <c r="D331" s="136"/>
      <c r="E331" s="135"/>
      <c r="F331" s="135"/>
      <c r="G331" s="147">
        <f t="shared" si="126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03">
        <f t="shared" si="127"/>
        <v>0</v>
      </c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103">
        <f t="shared" si="128"/>
        <v>0</v>
      </c>
      <c r="AI331" s="136"/>
      <c r="AJ331" s="136"/>
      <c r="AK331" s="136"/>
      <c r="AL331" s="105">
        <f t="shared" si="129"/>
        <v>0</v>
      </c>
      <c r="AM331" s="143"/>
      <c r="AN331" s="143"/>
      <c r="AO331" s="143"/>
      <c r="AP331" s="146"/>
      <c r="AQ331" s="224">
        <f t="shared" si="130"/>
        <v>0</v>
      </c>
      <c r="AR331" s="126"/>
      <c r="AS331" s="274"/>
      <c r="AT331" s="126"/>
      <c r="AU331" s="126"/>
      <c r="AV331" s="126"/>
      <c r="AW331" s="126"/>
      <c r="AX331" s="126"/>
      <c r="AY331" s="274"/>
      <c r="AZ331" s="274"/>
      <c r="BA331" s="274"/>
      <c r="BB331" s="274"/>
      <c r="BC331" s="222">
        <f t="shared" si="131"/>
        <v>0</v>
      </c>
      <c r="BD331" s="140">
        <f t="shared" si="132"/>
        <v>0</v>
      </c>
      <c r="BE331" s="132"/>
      <c r="BF331" s="140">
        <f t="shared" si="133"/>
        <v>0</v>
      </c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30">
        <f t="shared" si="134"/>
        <v>0</v>
      </c>
      <c r="BU331" s="132"/>
    </row>
    <row r="332" ht="14.25" customHeight="1">
      <c r="A332" s="132"/>
      <c r="B332" s="215">
        <v>46319</v>
      </c>
      <c r="C332" s="136"/>
      <c r="D332" s="136"/>
      <c r="E332" s="135"/>
      <c r="F332" s="135"/>
      <c r="G332" s="147">
        <f t="shared" si="126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03">
        <f t="shared" si="127"/>
        <v>0</v>
      </c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43"/>
      <c r="AH332" s="103">
        <f t="shared" si="128"/>
        <v>0</v>
      </c>
      <c r="AI332" s="136"/>
      <c r="AJ332" s="136"/>
      <c r="AK332" s="136"/>
      <c r="AL332" s="105">
        <f t="shared" si="129"/>
        <v>0</v>
      </c>
      <c r="AM332" s="143"/>
      <c r="AN332" s="143"/>
      <c r="AO332" s="143"/>
      <c r="AP332" s="146"/>
      <c r="AQ332" s="224">
        <f t="shared" si="130"/>
        <v>0</v>
      </c>
      <c r="AR332" s="126"/>
      <c r="AS332" s="274"/>
      <c r="AT332" s="126"/>
      <c r="AU332" s="126"/>
      <c r="AV332" s="126"/>
      <c r="AW332" s="126"/>
      <c r="AX332" s="126"/>
      <c r="AY332" s="274"/>
      <c r="AZ332" s="274"/>
      <c r="BA332" s="274"/>
      <c r="BB332" s="274"/>
      <c r="BC332" s="222">
        <f t="shared" si="131"/>
        <v>0</v>
      </c>
      <c r="BD332" s="140">
        <f t="shared" si="132"/>
        <v>0</v>
      </c>
      <c r="BE332" s="132"/>
      <c r="BF332" s="140">
        <f t="shared" si="133"/>
        <v>0</v>
      </c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30">
        <f t="shared" si="134"/>
        <v>0</v>
      </c>
      <c r="BU332" s="132"/>
    </row>
    <row r="333" ht="14.25" customHeight="1">
      <c r="A333" s="132"/>
      <c r="B333" s="215">
        <v>46320</v>
      </c>
      <c r="C333" s="136"/>
      <c r="D333" s="136"/>
      <c r="E333" s="135"/>
      <c r="F333" s="135"/>
      <c r="G333" s="147">
        <f t="shared" si="126"/>
        <v>0</v>
      </c>
      <c r="H333" s="144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03">
        <f t="shared" si="127"/>
        <v>0</v>
      </c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103">
        <f t="shared" si="128"/>
        <v>0</v>
      </c>
      <c r="AI333" s="136"/>
      <c r="AJ333" s="136"/>
      <c r="AK333" s="136"/>
      <c r="AL333" s="105">
        <f t="shared" si="129"/>
        <v>0</v>
      </c>
      <c r="AM333" s="143"/>
      <c r="AN333" s="143"/>
      <c r="AO333" s="143"/>
      <c r="AP333" s="146"/>
      <c r="AQ333" s="224">
        <f t="shared" si="130"/>
        <v>0</v>
      </c>
      <c r="AR333" s="126"/>
      <c r="AS333" s="274"/>
      <c r="AT333" s="126"/>
      <c r="AU333" s="126"/>
      <c r="AV333" s="126"/>
      <c r="AW333" s="126"/>
      <c r="AX333" s="126"/>
      <c r="AY333" s="274"/>
      <c r="AZ333" s="274"/>
      <c r="BA333" s="274"/>
      <c r="BB333" s="274"/>
      <c r="BC333" s="222">
        <f t="shared" si="131"/>
        <v>0</v>
      </c>
      <c r="BD333" s="140">
        <f t="shared" si="132"/>
        <v>0</v>
      </c>
      <c r="BE333" s="132"/>
      <c r="BF333" s="140">
        <f t="shared" si="133"/>
        <v>0</v>
      </c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30">
        <f t="shared" si="134"/>
        <v>0</v>
      </c>
      <c r="BU333" s="132"/>
    </row>
    <row r="334" ht="14.25" customHeight="1">
      <c r="A334" s="132"/>
      <c r="B334" s="215">
        <v>46321</v>
      </c>
      <c r="C334" s="136"/>
      <c r="D334" s="136"/>
      <c r="E334" s="135"/>
      <c r="F334" s="135"/>
      <c r="G334" s="147">
        <f t="shared" si="126"/>
        <v>0</v>
      </c>
      <c r="H334" s="144"/>
      <c r="I334" s="143"/>
      <c r="J334" s="144"/>
      <c r="K334" s="143"/>
      <c r="L334" s="143"/>
      <c r="M334" s="143"/>
      <c r="N334" s="99"/>
      <c r="O334" s="143"/>
      <c r="P334" s="143"/>
      <c r="Q334" s="143"/>
      <c r="R334" s="143"/>
      <c r="S334" s="143"/>
      <c r="T334" s="143"/>
      <c r="U334" s="103">
        <f t="shared" si="127"/>
        <v>0</v>
      </c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103">
        <f t="shared" si="128"/>
        <v>0</v>
      </c>
      <c r="AI334" s="136"/>
      <c r="AJ334" s="136"/>
      <c r="AK334" s="136"/>
      <c r="AL334" s="105">
        <f t="shared" si="129"/>
        <v>0</v>
      </c>
      <c r="AM334" s="143"/>
      <c r="AN334" s="143"/>
      <c r="AO334" s="143"/>
      <c r="AP334" s="146"/>
      <c r="AQ334" s="224">
        <f t="shared" si="130"/>
        <v>0</v>
      </c>
      <c r="AR334" s="126"/>
      <c r="AS334" s="274"/>
      <c r="AT334" s="126"/>
      <c r="AU334" s="126"/>
      <c r="AV334" s="126"/>
      <c r="AW334" s="126"/>
      <c r="AX334" s="126"/>
      <c r="AY334" s="274"/>
      <c r="AZ334" s="274"/>
      <c r="BA334" s="274"/>
      <c r="BB334" s="274"/>
      <c r="BC334" s="222">
        <f t="shared" si="131"/>
        <v>0</v>
      </c>
      <c r="BD334" s="140">
        <f t="shared" si="132"/>
        <v>0</v>
      </c>
      <c r="BE334" s="132"/>
      <c r="BF334" s="140">
        <f t="shared" si="133"/>
        <v>0</v>
      </c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30">
        <f t="shared" si="134"/>
        <v>0</v>
      </c>
      <c r="BU334" s="132"/>
    </row>
    <row r="335" ht="14.25" customHeight="1">
      <c r="A335" s="132"/>
      <c r="B335" s="215">
        <v>46322</v>
      </c>
      <c r="C335" s="136"/>
      <c r="D335" s="136"/>
      <c r="E335" s="135"/>
      <c r="F335" s="135"/>
      <c r="G335" s="147">
        <f t="shared" si="126"/>
        <v>0</v>
      </c>
      <c r="H335" s="143"/>
      <c r="I335" s="143"/>
      <c r="J335" s="144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03">
        <f t="shared" si="127"/>
        <v>0</v>
      </c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43"/>
      <c r="AH335" s="103">
        <f t="shared" si="128"/>
        <v>0</v>
      </c>
      <c r="AI335" s="136"/>
      <c r="AJ335" s="136"/>
      <c r="AK335" s="136"/>
      <c r="AL335" s="105">
        <f t="shared" si="129"/>
        <v>0</v>
      </c>
      <c r="AM335" s="143"/>
      <c r="AN335" s="143"/>
      <c r="AO335" s="143"/>
      <c r="AP335" s="146"/>
      <c r="AQ335" s="224">
        <f t="shared" si="130"/>
        <v>0</v>
      </c>
      <c r="AR335" s="126"/>
      <c r="AS335" s="274"/>
      <c r="AT335" s="126"/>
      <c r="AU335" s="126"/>
      <c r="AV335" s="126"/>
      <c r="AW335" s="126"/>
      <c r="AX335" s="126"/>
      <c r="AY335" s="274"/>
      <c r="AZ335" s="274"/>
      <c r="BA335" s="274"/>
      <c r="BB335" s="274"/>
      <c r="BC335" s="222">
        <f t="shared" si="131"/>
        <v>0</v>
      </c>
      <c r="BD335" s="140">
        <f t="shared" si="132"/>
        <v>0</v>
      </c>
      <c r="BE335" s="132"/>
      <c r="BF335" s="140">
        <f t="shared" si="133"/>
        <v>0</v>
      </c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30">
        <f t="shared" si="134"/>
        <v>0</v>
      </c>
      <c r="BU335" s="132"/>
    </row>
    <row r="336" ht="14.25" customHeight="1">
      <c r="A336" s="132"/>
      <c r="B336" s="215">
        <v>46323</v>
      </c>
      <c r="C336" s="136"/>
      <c r="D336" s="136"/>
      <c r="E336" s="135"/>
      <c r="F336" s="135"/>
      <c r="G336" s="147">
        <f t="shared" si="126"/>
        <v>0</v>
      </c>
      <c r="H336" s="143"/>
      <c r="I336" s="143"/>
      <c r="J336" s="144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03">
        <f t="shared" si="127"/>
        <v>0</v>
      </c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103">
        <f t="shared" si="128"/>
        <v>0</v>
      </c>
      <c r="AI336" s="136"/>
      <c r="AJ336" s="136"/>
      <c r="AK336" s="136"/>
      <c r="AL336" s="105">
        <f t="shared" si="129"/>
        <v>0</v>
      </c>
      <c r="AM336" s="143"/>
      <c r="AN336" s="143"/>
      <c r="AO336" s="143"/>
      <c r="AP336" s="146"/>
      <c r="AQ336" s="224">
        <f t="shared" si="130"/>
        <v>0</v>
      </c>
      <c r="AR336" s="126"/>
      <c r="AS336" s="274"/>
      <c r="AT336" s="126"/>
      <c r="AU336" s="126"/>
      <c r="AV336" s="126"/>
      <c r="AW336" s="126"/>
      <c r="AX336" s="126"/>
      <c r="AY336" s="274"/>
      <c r="AZ336" s="274"/>
      <c r="BA336" s="274"/>
      <c r="BB336" s="274"/>
      <c r="BC336" s="222">
        <f t="shared" si="131"/>
        <v>0</v>
      </c>
      <c r="BD336" s="140">
        <f t="shared" si="132"/>
        <v>0</v>
      </c>
      <c r="BE336" s="132"/>
      <c r="BF336" s="140">
        <f t="shared" si="133"/>
        <v>0</v>
      </c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30">
        <f t="shared" si="134"/>
        <v>0</v>
      </c>
      <c r="BU336" s="132"/>
    </row>
    <row r="337" ht="14.25" customHeight="1">
      <c r="A337" s="132"/>
      <c r="B337" s="215">
        <v>46324</v>
      </c>
      <c r="C337" s="136"/>
      <c r="D337" s="136"/>
      <c r="E337" s="135"/>
      <c r="F337" s="135"/>
      <c r="G337" s="147">
        <f t="shared" si="126"/>
        <v>0</v>
      </c>
      <c r="H337" s="143"/>
      <c r="I337" s="143"/>
      <c r="J337" s="144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03">
        <f t="shared" si="127"/>
        <v>0</v>
      </c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103">
        <f t="shared" si="128"/>
        <v>0</v>
      </c>
      <c r="AI337" s="136"/>
      <c r="AJ337" s="136"/>
      <c r="AK337" s="136"/>
      <c r="AL337" s="105">
        <f t="shared" si="129"/>
        <v>0</v>
      </c>
      <c r="AM337" s="143"/>
      <c r="AN337" s="143"/>
      <c r="AO337" s="143"/>
      <c r="AP337" s="146"/>
      <c r="AQ337" s="224">
        <f t="shared" si="130"/>
        <v>0</v>
      </c>
      <c r="AR337" s="126"/>
      <c r="AS337" s="274"/>
      <c r="AT337" s="126"/>
      <c r="AU337" s="126"/>
      <c r="AV337" s="126"/>
      <c r="AW337" s="126"/>
      <c r="AX337" s="126"/>
      <c r="AY337" s="274"/>
      <c r="AZ337" s="274"/>
      <c r="BA337" s="274"/>
      <c r="BB337" s="274"/>
      <c r="BC337" s="222">
        <f t="shared" si="131"/>
        <v>0</v>
      </c>
      <c r="BD337" s="140">
        <f t="shared" si="132"/>
        <v>0</v>
      </c>
      <c r="BE337" s="132"/>
      <c r="BF337" s="140">
        <f t="shared" si="133"/>
        <v>0</v>
      </c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41"/>
      <c r="BT337" s="130">
        <f t="shared" si="134"/>
        <v>0</v>
      </c>
      <c r="BU337" s="132"/>
    </row>
    <row r="338" ht="14.25" customHeight="1">
      <c r="A338" s="132"/>
      <c r="B338" s="215">
        <v>46325</v>
      </c>
      <c r="C338" s="136"/>
      <c r="D338" s="136"/>
      <c r="E338" s="135"/>
      <c r="F338" s="135"/>
      <c r="G338" s="147">
        <f t="shared" si="126"/>
        <v>0</v>
      </c>
      <c r="H338" s="144"/>
      <c r="I338" s="143"/>
      <c r="J338" s="144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03">
        <f t="shared" si="127"/>
        <v>0</v>
      </c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103">
        <f t="shared" si="128"/>
        <v>0</v>
      </c>
      <c r="AI338" s="136"/>
      <c r="AJ338" s="136"/>
      <c r="AK338" s="136"/>
      <c r="AL338" s="105">
        <f t="shared" si="129"/>
        <v>0</v>
      </c>
      <c r="AM338" s="143"/>
      <c r="AN338" s="143"/>
      <c r="AO338" s="143"/>
      <c r="AP338" s="146"/>
      <c r="AQ338" s="224">
        <f t="shared" si="130"/>
        <v>0</v>
      </c>
      <c r="AR338" s="126"/>
      <c r="AS338" s="274"/>
      <c r="AT338" s="126"/>
      <c r="AU338" s="126"/>
      <c r="AV338" s="126"/>
      <c r="AW338" s="126"/>
      <c r="AX338" s="126"/>
      <c r="AY338" s="274"/>
      <c r="AZ338" s="274"/>
      <c r="BA338" s="274"/>
      <c r="BB338" s="274"/>
      <c r="BC338" s="222">
        <f t="shared" si="131"/>
        <v>0</v>
      </c>
      <c r="BD338" s="140">
        <f t="shared" si="132"/>
        <v>0</v>
      </c>
      <c r="BE338" s="132"/>
      <c r="BF338" s="140">
        <f t="shared" si="133"/>
        <v>0</v>
      </c>
      <c r="BG338" s="141"/>
      <c r="BH338" s="141"/>
      <c r="BI338" s="141"/>
      <c r="BJ338" s="141"/>
      <c r="BK338" s="141"/>
      <c r="BL338" s="141"/>
      <c r="BM338" s="141"/>
      <c r="BN338" s="141"/>
      <c r="BO338" s="141"/>
      <c r="BP338" s="141"/>
      <c r="BQ338" s="141"/>
      <c r="BR338" s="141"/>
      <c r="BS338" s="141"/>
      <c r="BT338" s="130">
        <f t="shared" si="134"/>
        <v>0</v>
      </c>
      <c r="BU338" s="132"/>
    </row>
    <row r="339" ht="14.25" customHeight="1">
      <c r="A339" s="132"/>
      <c r="B339" s="215">
        <v>46326</v>
      </c>
      <c r="C339" s="159"/>
      <c r="D339" s="159"/>
      <c r="E339" s="156"/>
      <c r="F339" s="156"/>
      <c r="G339" s="147">
        <f t="shared" si="126"/>
        <v>0</v>
      </c>
      <c r="H339" s="612"/>
      <c r="I339" s="157"/>
      <c r="J339" s="612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03">
        <f t="shared" si="127"/>
        <v>0</v>
      </c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03">
        <f t="shared" si="128"/>
        <v>0</v>
      </c>
      <c r="AI339" s="159"/>
      <c r="AJ339" s="159"/>
      <c r="AK339" s="159"/>
      <c r="AL339" s="105">
        <f t="shared" si="129"/>
        <v>0</v>
      </c>
      <c r="AM339" s="157"/>
      <c r="AN339" s="157"/>
      <c r="AO339" s="157"/>
      <c r="AP339" s="160"/>
      <c r="AQ339" s="224">
        <f t="shared" si="130"/>
        <v>0</v>
      </c>
      <c r="AR339" s="138"/>
      <c r="AS339" s="296"/>
      <c r="AT339" s="126"/>
      <c r="AU339" s="138"/>
      <c r="AV339" s="138"/>
      <c r="AW339" s="138"/>
      <c r="AX339" s="138"/>
      <c r="AY339" s="296"/>
      <c r="AZ339" s="296"/>
      <c r="BA339" s="296"/>
      <c r="BB339" s="296"/>
      <c r="BC339" s="222">
        <f t="shared" si="131"/>
        <v>0</v>
      </c>
      <c r="BD339" s="162">
        <f t="shared" si="132"/>
        <v>0</v>
      </c>
      <c r="BE339" s="132"/>
      <c r="BF339" s="162">
        <f t="shared" si="133"/>
        <v>0</v>
      </c>
      <c r="BG339" s="163"/>
      <c r="BH339" s="163"/>
      <c r="BI339" s="163"/>
      <c r="BJ339" s="163"/>
      <c r="BK339" s="163"/>
      <c r="BL339" s="163"/>
      <c r="BM339" s="163"/>
      <c r="BN339" s="163"/>
      <c r="BO339" s="163"/>
      <c r="BP339" s="141"/>
      <c r="BQ339" s="163"/>
      <c r="BR339" s="163"/>
      <c r="BS339" s="163"/>
      <c r="BT339" s="164">
        <f t="shared" si="134"/>
        <v>0</v>
      </c>
      <c r="BU339" s="132"/>
    </row>
    <row r="340" ht="14.25" customHeight="1">
      <c r="A340" s="3"/>
      <c r="B340" s="2" t="s">
        <v>84</v>
      </c>
      <c r="C340" s="166">
        <f ref="C340:X340" t="shared" si="135">SUM(C309:C339)</f>
        <v>0</v>
      </c>
      <c r="D340" s="166">
        <f t="shared" si="135"/>
        <v>0</v>
      </c>
      <c r="E340" s="167">
        <f t="shared" si="135"/>
        <v>0</v>
      </c>
      <c r="F340" s="167">
        <f t="shared" si="135"/>
        <v>0</v>
      </c>
      <c r="G340" s="167">
        <f t="shared" si="135"/>
        <v>0</v>
      </c>
      <c r="H340" s="167">
        <f t="shared" si="135"/>
        <v>0</v>
      </c>
      <c r="I340" s="167">
        <f t="shared" si="135"/>
        <v>0</v>
      </c>
      <c r="J340" s="167">
        <f t="shared" si="135"/>
        <v>0</v>
      </c>
      <c r="K340" s="167">
        <f t="shared" si="135"/>
        <v>0</v>
      </c>
      <c r="L340" s="166">
        <f t="shared" si="135"/>
        <v>0</v>
      </c>
      <c r="M340" s="166">
        <f t="shared" si="135"/>
        <v>0</v>
      </c>
      <c r="N340" s="166">
        <f t="shared" si="135"/>
        <v>0</v>
      </c>
      <c r="O340" s="166">
        <f t="shared" si="135"/>
        <v>0</v>
      </c>
      <c r="P340" s="166">
        <f t="shared" si="135"/>
        <v>0</v>
      </c>
      <c r="Q340" s="166">
        <f t="shared" si="135"/>
        <v>0</v>
      </c>
      <c r="R340" s="166">
        <f t="shared" si="135"/>
        <v>0</v>
      </c>
      <c r="S340" s="166">
        <f t="shared" si="135"/>
        <v>0</v>
      </c>
      <c r="T340" s="166">
        <f t="shared" si="135"/>
        <v>0</v>
      </c>
      <c r="U340" s="166">
        <f t="shared" si="135"/>
        <v>0</v>
      </c>
      <c r="V340" s="166">
        <f t="shared" si="135"/>
        <v>0</v>
      </c>
      <c r="W340" s="166">
        <f t="shared" si="135"/>
        <v>0</v>
      </c>
      <c r="X340" s="166">
        <f t="shared" si="135"/>
        <v>0</v>
      </c>
      <c r="Y340" s="166"/>
      <c r="Z340" s="166">
        <f ref="Z340:AJ340" t="shared" si="136">SUM(Z309:Z339)</f>
        <v>0</v>
      </c>
      <c r="AA340" s="166">
        <f t="shared" si="136"/>
        <v>0</v>
      </c>
      <c r="AB340" s="166">
        <f t="shared" si="136"/>
        <v>0</v>
      </c>
      <c r="AC340" s="166">
        <f t="shared" si="136"/>
        <v>0</v>
      </c>
      <c r="AD340" s="166">
        <f t="shared" si="136"/>
        <v>0</v>
      </c>
      <c r="AE340" s="166">
        <f t="shared" si="136"/>
        <v>0</v>
      </c>
      <c r="AF340" s="166">
        <f t="shared" si="136"/>
        <v>0</v>
      </c>
      <c r="AG340" s="166">
        <f t="shared" si="136"/>
        <v>0</v>
      </c>
      <c r="AH340" s="166">
        <f t="shared" si="136"/>
        <v>0</v>
      </c>
      <c r="AI340" s="166">
        <f t="shared" si="136"/>
        <v>0</v>
      </c>
      <c r="AJ340" s="166">
        <f t="shared" si="136"/>
        <v>0</v>
      </c>
      <c r="AK340" s="166"/>
      <c r="AL340" s="166">
        <f ref="AL340:AO340" t="shared" si="137">SUM(AL309:AL339)</f>
        <v>0</v>
      </c>
      <c r="AM340" s="166">
        <f t="shared" si="137"/>
        <v>0</v>
      </c>
      <c r="AN340" s="166">
        <f t="shared" si="137"/>
        <v>0</v>
      </c>
      <c r="AO340" s="166">
        <f t="shared" si="137"/>
        <v>0</v>
      </c>
      <c r="AP340" s="167"/>
      <c r="AQ340" s="771">
        <f ref="AQ340:AX340" t="shared" si="138">SUM(AQ309:AQ339)</f>
        <v>0</v>
      </c>
      <c r="AR340" s="1390">
        <f t="shared" si="138"/>
        <v>0</v>
      </c>
      <c r="AS340" s="771">
        <f t="shared" si="138"/>
        <v>0</v>
      </c>
      <c r="AT340" s="771">
        <f t="shared" si="138"/>
        <v>0</v>
      </c>
      <c r="AU340" s="771">
        <f t="shared" si="138"/>
        <v>0</v>
      </c>
      <c r="AV340" s="771">
        <f t="shared" si="138"/>
        <v>0</v>
      </c>
      <c r="AW340" s="771">
        <f t="shared" si="138"/>
        <v>0</v>
      </c>
      <c r="AX340" s="771">
        <f t="shared" si="138"/>
        <v>0</v>
      </c>
      <c r="AY340" s="167"/>
      <c r="AZ340" s="167"/>
      <c r="BA340" s="167"/>
      <c r="BB340" s="167"/>
      <c r="BC340" s="166">
        <f ref="BC340:BD340" t="shared" si="139">SUM(BC309:BC339)</f>
        <v>0</v>
      </c>
      <c r="BD340" s="166">
        <f t="shared" si="139"/>
        <v>0</v>
      </c>
      <c r="BE340" s="3"/>
      <c r="BF340" s="172">
        <f>SUM(BF309:BF339)</f>
        <v>0</v>
      </c>
      <c r="BG340" s="165"/>
      <c r="BH340" s="165"/>
      <c r="BI340" s="165"/>
      <c r="BJ340" s="165"/>
      <c r="BK340" s="165"/>
      <c r="BL340" s="165"/>
      <c r="BM340" s="165"/>
      <c r="BN340" s="165"/>
      <c r="BO340" s="165"/>
      <c r="BP340" s="165">
        <f ref="BP340:BQ340" t="shared" si="140">SUM(BP309:BP339)</f>
        <v>0</v>
      </c>
      <c r="BQ340" s="165">
        <f t="shared" si="140"/>
        <v>0</v>
      </c>
      <c r="BR340" s="165"/>
      <c r="BS340" s="165"/>
      <c r="BT340" s="165">
        <f>SUM(BT309:BT339)</f>
        <v>0</v>
      </c>
      <c r="BU340" s="3"/>
    </row>
    <row r="341" ht="14.25" customHeight="1">
      <c r="A341" s="1"/>
      <c r="B341" s="2"/>
      <c r="C341" s="3"/>
      <c r="D341" s="3"/>
      <c r="E341" s="3"/>
      <c r="F341" s="3"/>
      <c r="G341" s="133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4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4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ht="14.25" customHeight="1">
      <c r="A342" s="1"/>
      <c r="B342" s="2"/>
      <c r="C342" s="3"/>
      <c r="D342" s="3"/>
      <c r="E342" s="3"/>
      <c r="F342" s="3"/>
      <c r="G342" s="133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176"/>
      <c r="AI342" s="3"/>
      <c r="AJ342" s="3"/>
      <c r="AK342" s="3"/>
      <c r="AL342" s="4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05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</row>
    <row r="343" ht="14.25" customHeight="1">
      <c r="A343" s="3"/>
      <c r="B343" s="215">
        <v>46327</v>
      </c>
      <c r="C343" s="104"/>
      <c r="D343" s="104"/>
      <c r="E343" s="97"/>
      <c r="F343" s="97"/>
      <c r="G343" s="265">
        <f ref="G343:G372" t="shared" si="141">+C343+D343+E343+F343</f>
        <v>0</v>
      </c>
      <c r="H343" s="187"/>
      <c r="I343" s="186"/>
      <c r="J343" s="186"/>
      <c r="K343" s="186"/>
      <c r="L343" s="186"/>
      <c r="M343" s="186"/>
      <c r="N343" s="186"/>
      <c r="O343" s="186"/>
      <c r="P343" s="186"/>
      <c r="Q343" s="186"/>
      <c r="R343" s="186"/>
      <c r="S343" s="186"/>
      <c r="T343" s="186"/>
      <c r="U343" s="189">
        <f ref="U343:U372" t="shared" si="142">SUM(H343:T343)</f>
        <v>0</v>
      </c>
      <c r="V343" s="186"/>
      <c r="W343" s="186"/>
      <c r="X343" s="186"/>
      <c r="Y343" s="186"/>
      <c r="Z343" s="186"/>
      <c r="AA343" s="186"/>
      <c r="AB343" s="186"/>
      <c r="AC343" s="186"/>
      <c r="AD343" s="186"/>
      <c r="AE343" s="186"/>
      <c r="AF343" s="186"/>
      <c r="AG343" s="186"/>
      <c r="AH343" s="103">
        <f ref="AH343:AH372" t="shared" si="143">SUM(V343:AG343)</f>
        <v>0</v>
      </c>
      <c r="AI343" s="104"/>
      <c r="AJ343" s="104"/>
      <c r="AK343" s="104"/>
      <c r="AL343" s="191">
        <f ref="AL343:AL372" t="shared" si="144">SUM(AI343:AK343)</f>
        <v>0</v>
      </c>
      <c r="AM343" s="186"/>
      <c r="AN343" s="186"/>
      <c r="AO343" s="186"/>
      <c r="AP343" s="193"/>
      <c r="AQ343" s="266">
        <f ref="AQ343:AQ372" t="shared" si="145">+G343-U343-AH343-AL343-AM343-AN343-AO343-AP343</f>
        <v>0</v>
      </c>
      <c r="AR343" s="109"/>
      <c r="AS343" s="269"/>
      <c r="AT343" s="109"/>
      <c r="AU343" s="109"/>
      <c r="AV343" s="109"/>
      <c r="AW343" s="109"/>
      <c r="AX343" s="109"/>
      <c r="AY343" s="269"/>
      <c r="AZ343" s="269"/>
      <c r="BA343" s="269"/>
      <c r="BB343" s="269"/>
      <c r="BC343" s="222">
        <f ref="BC343:BC372" t="shared" si="146">SUM(AR343:BB343)-BA343</f>
        <v>0</v>
      </c>
      <c r="BD343" s="114">
        <f ref="BD343:BD372" t="shared" si="147">+AQ343-BC343</f>
        <v>0</v>
      </c>
      <c r="BE343" s="3"/>
      <c r="BF343" s="114">
        <f ref="BF343:BF372" t="shared" si="148">SUM(BG343:BS343)</f>
        <v>0</v>
      </c>
      <c r="BG343" s="115"/>
      <c r="BH343" s="115"/>
      <c r="BI343" s="115"/>
      <c r="BJ343" s="115"/>
      <c r="BK343" s="115"/>
      <c r="BL343" s="115"/>
      <c r="BM343" s="115"/>
      <c r="BN343" s="115"/>
      <c r="BO343" s="115"/>
      <c r="BP343" s="115"/>
      <c r="BQ343" s="115"/>
      <c r="BR343" s="115"/>
      <c r="BS343" s="115"/>
      <c r="BT343" s="116">
        <f ref="BT343:BT372" t="shared" si="149">+BD343-BF343</f>
        <v>0</v>
      </c>
      <c r="BU343" s="3"/>
    </row>
    <row r="344" ht="14.25" customHeight="1">
      <c r="A344" s="3"/>
      <c r="B344" s="215">
        <v>46328</v>
      </c>
      <c r="C344" s="123"/>
      <c r="D344" s="123"/>
      <c r="E344" s="120"/>
      <c r="F344" s="120"/>
      <c r="G344" s="147">
        <f t="shared" si="141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03">
        <f t="shared" si="142"/>
        <v>0</v>
      </c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43"/>
      <c r="AH344" s="103">
        <f t="shared" si="143"/>
        <v>0</v>
      </c>
      <c r="AI344" s="123"/>
      <c r="AJ344" s="123"/>
      <c r="AK344" s="123"/>
      <c r="AL344" s="105">
        <f t="shared" si="144"/>
        <v>0</v>
      </c>
      <c r="AM344" s="143"/>
      <c r="AN344" s="143"/>
      <c r="AO344" s="143"/>
      <c r="AP344" s="146"/>
      <c r="AQ344" s="224">
        <f t="shared" si="145"/>
        <v>0</v>
      </c>
      <c r="AR344" s="126"/>
      <c r="AS344" s="274"/>
      <c r="AT344" s="126"/>
      <c r="AU344" s="126"/>
      <c r="AV344" s="126"/>
      <c r="AW344" s="126"/>
      <c r="AX344" s="126"/>
      <c r="AY344" s="274"/>
      <c r="AZ344" s="274"/>
      <c r="BA344" s="274"/>
      <c r="BB344" s="274"/>
      <c r="BC344" s="222">
        <f t="shared" si="146"/>
        <v>0</v>
      </c>
      <c r="BD344" s="113">
        <f t="shared" si="147"/>
        <v>0</v>
      </c>
      <c r="BE344" s="3"/>
      <c r="BF344" s="113">
        <f t="shared" si="148"/>
        <v>0</v>
      </c>
      <c r="BG344" s="129"/>
      <c r="BH344" s="129"/>
      <c r="BI344" s="129"/>
      <c r="BJ344" s="129"/>
      <c r="BK344" s="129"/>
      <c r="BL344" s="129"/>
      <c r="BM344" s="129"/>
      <c r="BN344" s="129"/>
      <c r="BO344" s="129"/>
      <c r="BP344" s="129"/>
      <c r="BQ344" s="129"/>
      <c r="BR344" s="141"/>
      <c r="BS344" s="129"/>
      <c r="BT344" s="130">
        <f t="shared" si="149"/>
        <v>0</v>
      </c>
      <c r="BU344" s="3"/>
    </row>
    <row r="345" ht="14.25" customHeight="1">
      <c r="A345" s="132"/>
      <c r="B345" s="215">
        <v>46329</v>
      </c>
      <c r="C345" s="136"/>
      <c r="D345" s="136"/>
      <c r="E345" s="135"/>
      <c r="F345" s="135"/>
      <c r="G345" s="147">
        <f t="shared" si="141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03">
        <f t="shared" si="142"/>
        <v>0</v>
      </c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43"/>
      <c r="AH345" s="103">
        <f t="shared" si="143"/>
        <v>0</v>
      </c>
      <c r="AI345" s="136"/>
      <c r="AJ345" s="136"/>
      <c r="AK345" s="136"/>
      <c r="AL345" s="105">
        <f t="shared" si="144"/>
        <v>0</v>
      </c>
      <c r="AM345" s="143"/>
      <c r="AN345" s="143"/>
      <c r="AO345" s="143"/>
      <c r="AP345" s="146"/>
      <c r="AQ345" s="224">
        <f t="shared" si="145"/>
        <v>0</v>
      </c>
      <c r="AR345" s="126"/>
      <c r="AS345" s="274"/>
      <c r="AT345" s="126"/>
      <c r="AU345" s="126"/>
      <c r="AV345" s="126"/>
      <c r="AW345" s="126"/>
      <c r="AX345" s="126"/>
      <c r="AY345" s="274"/>
      <c r="AZ345" s="274"/>
      <c r="BA345" s="274"/>
      <c r="BB345" s="274"/>
      <c r="BC345" s="222">
        <f t="shared" si="146"/>
        <v>0</v>
      </c>
      <c r="BD345" s="140">
        <f t="shared" si="147"/>
        <v>0</v>
      </c>
      <c r="BE345" s="132"/>
      <c r="BF345" s="140">
        <f t="shared" si="148"/>
        <v>0</v>
      </c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30">
        <f t="shared" si="149"/>
        <v>0</v>
      </c>
      <c r="BU345" s="132"/>
    </row>
    <row r="346" ht="14.25" customHeight="1">
      <c r="A346" s="132"/>
      <c r="B346" s="215">
        <v>46330</v>
      </c>
      <c r="C346" s="136"/>
      <c r="D346" s="136"/>
      <c r="E346" s="135"/>
      <c r="F346" s="135"/>
      <c r="G346" s="147">
        <f t="shared" si="141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03">
        <f t="shared" si="142"/>
        <v>0</v>
      </c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43"/>
      <c r="AH346" s="103">
        <f t="shared" si="143"/>
        <v>0</v>
      </c>
      <c r="AI346" s="136"/>
      <c r="AJ346" s="136"/>
      <c r="AK346" s="136"/>
      <c r="AL346" s="105">
        <f t="shared" si="144"/>
        <v>0</v>
      </c>
      <c r="AM346" s="143"/>
      <c r="AN346" s="143"/>
      <c r="AO346" s="143"/>
      <c r="AP346" s="146"/>
      <c r="AQ346" s="224">
        <f t="shared" si="145"/>
        <v>0</v>
      </c>
      <c r="AR346" s="126"/>
      <c r="AS346" s="274"/>
      <c r="AT346" s="126"/>
      <c r="AU346" s="126"/>
      <c r="AV346" s="126"/>
      <c r="AW346" s="126"/>
      <c r="AX346" s="126"/>
      <c r="AY346" s="274"/>
      <c r="AZ346" s="274"/>
      <c r="BA346" s="274"/>
      <c r="BB346" s="274"/>
      <c r="BC346" s="222">
        <f t="shared" si="146"/>
        <v>0</v>
      </c>
      <c r="BD346" s="140">
        <f t="shared" si="147"/>
        <v>0</v>
      </c>
      <c r="BE346" s="132"/>
      <c r="BF346" s="140">
        <f t="shared" si="148"/>
        <v>0</v>
      </c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30">
        <f t="shared" si="149"/>
        <v>0</v>
      </c>
      <c r="BU346" s="132"/>
    </row>
    <row r="347" ht="14.25" customHeight="1">
      <c r="A347" s="132"/>
      <c r="B347" s="215">
        <v>46331</v>
      </c>
      <c r="C347" s="136"/>
      <c r="D347" s="136"/>
      <c r="E347" s="135"/>
      <c r="F347" s="135"/>
      <c r="G347" s="147">
        <f t="shared" si="141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03">
        <f t="shared" si="142"/>
        <v>0</v>
      </c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43"/>
      <c r="AH347" s="103">
        <f t="shared" si="143"/>
        <v>0</v>
      </c>
      <c r="AI347" s="136"/>
      <c r="AJ347" s="136"/>
      <c r="AK347" s="136"/>
      <c r="AL347" s="105">
        <f t="shared" si="144"/>
        <v>0</v>
      </c>
      <c r="AM347" s="143"/>
      <c r="AN347" s="143"/>
      <c r="AO347" s="143"/>
      <c r="AP347" s="146"/>
      <c r="AQ347" s="224">
        <f t="shared" si="145"/>
        <v>0</v>
      </c>
      <c r="AR347" s="126"/>
      <c r="AS347" s="274"/>
      <c r="AT347" s="126"/>
      <c r="AU347" s="126"/>
      <c r="AV347" s="126"/>
      <c r="AW347" s="126"/>
      <c r="AX347" s="126"/>
      <c r="AY347" s="274"/>
      <c r="AZ347" s="274"/>
      <c r="BA347" s="274"/>
      <c r="BB347" s="274"/>
      <c r="BC347" s="222">
        <f t="shared" si="146"/>
        <v>0</v>
      </c>
      <c r="BD347" s="140">
        <f t="shared" si="147"/>
        <v>0</v>
      </c>
      <c r="BE347" s="132"/>
      <c r="BF347" s="140">
        <f t="shared" si="148"/>
        <v>0</v>
      </c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30">
        <f t="shared" si="149"/>
        <v>0</v>
      </c>
      <c r="BU347" s="132"/>
    </row>
    <row r="348" ht="14.25" customHeight="1">
      <c r="A348" s="132"/>
      <c r="B348" s="215">
        <v>46332</v>
      </c>
      <c r="C348" s="136"/>
      <c r="D348" s="136"/>
      <c r="E348" s="135"/>
      <c r="F348" s="135"/>
      <c r="G348" s="147">
        <f t="shared" si="141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03">
        <f t="shared" si="142"/>
        <v>0</v>
      </c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43"/>
      <c r="AH348" s="103">
        <f t="shared" si="143"/>
        <v>0</v>
      </c>
      <c r="AI348" s="136"/>
      <c r="AJ348" s="136"/>
      <c r="AK348" s="136"/>
      <c r="AL348" s="105">
        <f t="shared" si="144"/>
        <v>0</v>
      </c>
      <c r="AM348" s="143"/>
      <c r="AN348" s="143"/>
      <c r="AO348" s="143"/>
      <c r="AP348" s="146"/>
      <c r="AQ348" s="224">
        <f t="shared" si="145"/>
        <v>0</v>
      </c>
      <c r="AR348" s="126"/>
      <c r="AS348" s="274"/>
      <c r="AT348" s="126"/>
      <c r="AU348" s="126"/>
      <c r="AV348" s="126"/>
      <c r="AW348" s="126"/>
      <c r="AX348" s="126"/>
      <c r="AY348" s="274"/>
      <c r="AZ348" s="274"/>
      <c r="BA348" s="274"/>
      <c r="BB348" s="274"/>
      <c r="BC348" s="222">
        <f t="shared" si="146"/>
        <v>0</v>
      </c>
      <c r="BD348" s="140">
        <f t="shared" si="147"/>
        <v>0</v>
      </c>
      <c r="BE348" s="132"/>
      <c r="BF348" s="140">
        <f t="shared" si="148"/>
        <v>0</v>
      </c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30">
        <f t="shared" si="149"/>
        <v>0</v>
      </c>
      <c r="BU348" s="132"/>
    </row>
    <row r="349" ht="14.25" customHeight="1">
      <c r="A349" s="132"/>
      <c r="B349" s="215">
        <v>46333</v>
      </c>
      <c r="C349" s="136"/>
      <c r="D349" s="136"/>
      <c r="E349" s="135"/>
      <c r="F349" s="135"/>
      <c r="G349" s="147">
        <f t="shared" si="141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03">
        <f t="shared" si="142"/>
        <v>0</v>
      </c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43"/>
      <c r="AH349" s="103">
        <f t="shared" si="143"/>
        <v>0</v>
      </c>
      <c r="AI349" s="136"/>
      <c r="AJ349" s="136"/>
      <c r="AK349" s="136"/>
      <c r="AL349" s="105">
        <f t="shared" si="144"/>
        <v>0</v>
      </c>
      <c r="AM349" s="143"/>
      <c r="AN349" s="143"/>
      <c r="AO349" s="143"/>
      <c r="AP349" s="146"/>
      <c r="AQ349" s="224">
        <f t="shared" si="145"/>
        <v>0</v>
      </c>
      <c r="AR349" s="126"/>
      <c r="AS349" s="274"/>
      <c r="AT349" s="126"/>
      <c r="AU349" s="126"/>
      <c r="AV349" s="126"/>
      <c r="AW349" s="126"/>
      <c r="AX349" s="126"/>
      <c r="AY349" s="274"/>
      <c r="AZ349" s="274"/>
      <c r="BA349" s="274"/>
      <c r="BB349" s="274"/>
      <c r="BC349" s="222">
        <f t="shared" si="146"/>
        <v>0</v>
      </c>
      <c r="BD349" s="140">
        <f t="shared" si="147"/>
        <v>0</v>
      </c>
      <c r="BE349" s="132"/>
      <c r="BF349" s="140">
        <f t="shared" si="148"/>
        <v>0</v>
      </c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30">
        <f t="shared" si="149"/>
        <v>0</v>
      </c>
      <c r="BU349" s="132"/>
    </row>
    <row r="350" ht="14.25" customHeight="1">
      <c r="A350" s="132"/>
      <c r="B350" s="215">
        <v>46334</v>
      </c>
      <c r="C350" s="136"/>
      <c r="D350" s="136"/>
      <c r="E350" s="135"/>
      <c r="F350" s="135"/>
      <c r="G350" s="147">
        <f t="shared" si="141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03">
        <f t="shared" si="142"/>
        <v>0</v>
      </c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43"/>
      <c r="AH350" s="103">
        <f t="shared" si="143"/>
        <v>0</v>
      </c>
      <c r="AI350" s="136"/>
      <c r="AJ350" s="136"/>
      <c r="AK350" s="136"/>
      <c r="AL350" s="105">
        <f t="shared" si="144"/>
        <v>0</v>
      </c>
      <c r="AM350" s="143"/>
      <c r="AN350" s="143"/>
      <c r="AO350" s="143"/>
      <c r="AP350" s="146"/>
      <c r="AQ350" s="224">
        <f t="shared" si="145"/>
        <v>0</v>
      </c>
      <c r="AR350" s="126"/>
      <c r="AS350" s="274"/>
      <c r="AT350" s="126"/>
      <c r="AU350" s="126"/>
      <c r="AV350" s="126"/>
      <c r="AW350" s="126"/>
      <c r="AX350" s="126"/>
      <c r="AY350" s="274"/>
      <c r="AZ350" s="274"/>
      <c r="BA350" s="274"/>
      <c r="BB350" s="274"/>
      <c r="BC350" s="222">
        <f t="shared" si="146"/>
        <v>0</v>
      </c>
      <c r="BD350" s="140">
        <f t="shared" si="147"/>
        <v>0</v>
      </c>
      <c r="BE350" s="132"/>
      <c r="BF350" s="140">
        <f t="shared" si="148"/>
        <v>0</v>
      </c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30">
        <f t="shared" si="149"/>
        <v>0</v>
      </c>
      <c r="BU350" s="132"/>
    </row>
    <row r="351" ht="14.25" customHeight="1">
      <c r="A351" s="132"/>
      <c r="B351" s="215">
        <v>46335</v>
      </c>
      <c r="C351" s="136"/>
      <c r="D351" s="136"/>
      <c r="E351" s="135"/>
      <c r="F351" s="135"/>
      <c r="G351" s="147">
        <f t="shared" si="141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03">
        <f t="shared" si="142"/>
        <v>0</v>
      </c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43"/>
      <c r="AH351" s="103">
        <f t="shared" si="143"/>
        <v>0</v>
      </c>
      <c r="AI351" s="136"/>
      <c r="AJ351" s="136"/>
      <c r="AK351" s="136"/>
      <c r="AL351" s="105">
        <f t="shared" si="144"/>
        <v>0</v>
      </c>
      <c r="AM351" s="143"/>
      <c r="AN351" s="143"/>
      <c r="AO351" s="143"/>
      <c r="AP351" s="146"/>
      <c r="AQ351" s="224">
        <f t="shared" si="145"/>
        <v>0</v>
      </c>
      <c r="AR351" s="126"/>
      <c r="AS351" s="274"/>
      <c r="AT351" s="126"/>
      <c r="AU351" s="126"/>
      <c r="AV351" s="126"/>
      <c r="AW351" s="126"/>
      <c r="AX351" s="126"/>
      <c r="AY351" s="274"/>
      <c r="AZ351" s="274"/>
      <c r="BA351" s="274"/>
      <c r="BB351" s="274"/>
      <c r="BC351" s="222">
        <f t="shared" si="146"/>
        <v>0</v>
      </c>
      <c r="BD351" s="140">
        <f t="shared" si="147"/>
        <v>0</v>
      </c>
      <c r="BE351" s="132"/>
      <c r="BF351" s="140">
        <f t="shared" si="148"/>
        <v>0</v>
      </c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30">
        <f t="shared" si="149"/>
        <v>0</v>
      </c>
      <c r="BU351" s="132"/>
    </row>
    <row r="352" ht="14.25" customHeight="1">
      <c r="A352" s="132"/>
      <c r="B352" s="215">
        <v>46336</v>
      </c>
      <c r="C352" s="136"/>
      <c r="D352" s="136"/>
      <c r="E352" s="135"/>
      <c r="F352" s="135"/>
      <c r="G352" s="147">
        <f t="shared" si="141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03">
        <f t="shared" si="142"/>
        <v>0</v>
      </c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43"/>
      <c r="AH352" s="103">
        <f t="shared" si="143"/>
        <v>0</v>
      </c>
      <c r="AI352" s="136"/>
      <c r="AJ352" s="136"/>
      <c r="AK352" s="136"/>
      <c r="AL352" s="105">
        <f t="shared" si="144"/>
        <v>0</v>
      </c>
      <c r="AM352" s="143"/>
      <c r="AN352" s="143"/>
      <c r="AO352" s="143"/>
      <c r="AP352" s="146"/>
      <c r="AQ352" s="224">
        <f t="shared" si="145"/>
        <v>0</v>
      </c>
      <c r="AR352" s="126"/>
      <c r="AS352" s="274"/>
      <c r="AT352" s="126"/>
      <c r="AU352" s="126"/>
      <c r="AV352" s="126"/>
      <c r="AW352" s="126"/>
      <c r="AX352" s="126"/>
      <c r="AY352" s="274"/>
      <c r="AZ352" s="274"/>
      <c r="BA352" s="274"/>
      <c r="BB352" s="274"/>
      <c r="BC352" s="222">
        <f t="shared" si="146"/>
        <v>0</v>
      </c>
      <c r="BD352" s="140">
        <f t="shared" si="147"/>
        <v>0</v>
      </c>
      <c r="BE352" s="132"/>
      <c r="BF352" s="140">
        <f t="shared" si="148"/>
        <v>0</v>
      </c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30">
        <f t="shared" si="149"/>
        <v>0</v>
      </c>
      <c r="BU352" s="132"/>
    </row>
    <row r="353" ht="14.25" customHeight="1">
      <c r="A353" s="132"/>
      <c r="B353" s="215">
        <v>46337</v>
      </c>
      <c r="C353" s="136"/>
      <c r="D353" s="136"/>
      <c r="E353" s="135"/>
      <c r="F353" s="135"/>
      <c r="G353" s="147">
        <f t="shared" si="141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03">
        <f t="shared" si="142"/>
        <v>0</v>
      </c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43"/>
      <c r="AH353" s="103">
        <f t="shared" si="143"/>
        <v>0</v>
      </c>
      <c r="AI353" s="136"/>
      <c r="AJ353" s="136"/>
      <c r="AK353" s="136"/>
      <c r="AL353" s="105">
        <f t="shared" si="144"/>
        <v>0</v>
      </c>
      <c r="AM353" s="143"/>
      <c r="AN353" s="143"/>
      <c r="AO353" s="143"/>
      <c r="AP353" s="146"/>
      <c r="AQ353" s="224">
        <f t="shared" si="145"/>
        <v>0</v>
      </c>
      <c r="AR353" s="126"/>
      <c r="AS353" s="274"/>
      <c r="AT353" s="126"/>
      <c r="AU353" s="126"/>
      <c r="AV353" s="126"/>
      <c r="AW353" s="126"/>
      <c r="AX353" s="126"/>
      <c r="AY353" s="274"/>
      <c r="AZ353" s="274"/>
      <c r="BA353" s="274"/>
      <c r="BB353" s="274"/>
      <c r="BC353" s="222">
        <f t="shared" si="146"/>
        <v>0</v>
      </c>
      <c r="BD353" s="140">
        <f t="shared" si="147"/>
        <v>0</v>
      </c>
      <c r="BE353" s="132"/>
      <c r="BF353" s="140">
        <f t="shared" si="148"/>
        <v>0</v>
      </c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30">
        <f t="shared" si="149"/>
        <v>0</v>
      </c>
      <c r="BU353" s="132"/>
    </row>
    <row r="354" ht="14.25" customHeight="1">
      <c r="A354" s="132"/>
      <c r="B354" s="215">
        <v>46338</v>
      </c>
      <c r="C354" s="136"/>
      <c r="D354" s="136"/>
      <c r="E354" s="135"/>
      <c r="F354" s="135"/>
      <c r="G354" s="147">
        <f t="shared" si="141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03">
        <f t="shared" si="142"/>
        <v>0</v>
      </c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43"/>
      <c r="AH354" s="103">
        <f t="shared" si="143"/>
        <v>0</v>
      </c>
      <c r="AI354" s="136"/>
      <c r="AJ354" s="136"/>
      <c r="AK354" s="136"/>
      <c r="AL354" s="105">
        <f t="shared" si="144"/>
        <v>0</v>
      </c>
      <c r="AM354" s="143"/>
      <c r="AN354" s="143"/>
      <c r="AO354" s="143"/>
      <c r="AP354" s="146"/>
      <c r="AQ354" s="224">
        <f t="shared" si="145"/>
        <v>0</v>
      </c>
      <c r="AR354" s="126"/>
      <c r="AS354" s="274"/>
      <c r="AT354" s="126"/>
      <c r="AU354" s="126"/>
      <c r="AV354" s="126"/>
      <c r="AW354" s="126"/>
      <c r="AX354" s="126"/>
      <c r="AY354" s="274"/>
      <c r="AZ354" s="274"/>
      <c r="BA354" s="274"/>
      <c r="BB354" s="274"/>
      <c r="BC354" s="222">
        <f t="shared" si="146"/>
        <v>0</v>
      </c>
      <c r="BD354" s="140">
        <f t="shared" si="147"/>
        <v>0</v>
      </c>
      <c r="BE354" s="132"/>
      <c r="BF354" s="140">
        <f t="shared" si="148"/>
        <v>0</v>
      </c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30">
        <f t="shared" si="149"/>
        <v>0</v>
      </c>
      <c r="BU354" s="132"/>
    </row>
    <row r="355" ht="14.25" customHeight="1">
      <c r="A355" s="132"/>
      <c r="B355" s="215">
        <v>46339</v>
      </c>
      <c r="C355" s="136"/>
      <c r="D355" s="136"/>
      <c r="E355" s="135"/>
      <c r="F355" s="135"/>
      <c r="G355" s="147">
        <f t="shared" si="141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03">
        <f t="shared" si="142"/>
        <v>0</v>
      </c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43"/>
      <c r="AH355" s="103">
        <f t="shared" si="143"/>
        <v>0</v>
      </c>
      <c r="AI355" s="136"/>
      <c r="AJ355" s="136"/>
      <c r="AK355" s="136"/>
      <c r="AL355" s="105">
        <f t="shared" si="144"/>
        <v>0</v>
      </c>
      <c r="AM355" s="143"/>
      <c r="AN355" s="143"/>
      <c r="AO355" s="143"/>
      <c r="AP355" s="146"/>
      <c r="AQ355" s="224">
        <f t="shared" si="145"/>
        <v>0</v>
      </c>
      <c r="AR355" s="126"/>
      <c r="AS355" s="274"/>
      <c r="AT355" s="126"/>
      <c r="AU355" s="126"/>
      <c r="AV355" s="126"/>
      <c r="AW355" s="126"/>
      <c r="AX355" s="126"/>
      <c r="AY355" s="274"/>
      <c r="AZ355" s="274"/>
      <c r="BA355" s="274"/>
      <c r="BB355" s="274"/>
      <c r="BC355" s="222">
        <f t="shared" si="146"/>
        <v>0</v>
      </c>
      <c r="BD355" s="140">
        <f t="shared" si="147"/>
        <v>0</v>
      </c>
      <c r="BE355" s="132"/>
      <c r="BF355" s="140">
        <f t="shared" si="148"/>
        <v>0</v>
      </c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30">
        <f t="shared" si="149"/>
        <v>0</v>
      </c>
      <c r="BU355" s="132"/>
    </row>
    <row r="356" ht="14.25" customHeight="1">
      <c r="A356" s="132"/>
      <c r="B356" s="215">
        <v>46340</v>
      </c>
      <c r="C356" s="136"/>
      <c r="D356" s="136"/>
      <c r="E356" s="135"/>
      <c r="F356" s="135"/>
      <c r="G356" s="147">
        <f t="shared" si="141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03">
        <f t="shared" si="142"/>
        <v>0</v>
      </c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43"/>
      <c r="AH356" s="103">
        <f t="shared" si="143"/>
        <v>0</v>
      </c>
      <c r="AI356" s="136"/>
      <c r="AJ356" s="136"/>
      <c r="AK356" s="136"/>
      <c r="AL356" s="105">
        <f t="shared" si="144"/>
        <v>0</v>
      </c>
      <c r="AM356" s="143"/>
      <c r="AN356" s="143"/>
      <c r="AO356" s="143"/>
      <c r="AP356" s="146"/>
      <c r="AQ356" s="224">
        <f t="shared" si="145"/>
        <v>0</v>
      </c>
      <c r="AR356" s="126"/>
      <c r="AS356" s="274"/>
      <c r="AT356" s="126"/>
      <c r="AU356" s="126"/>
      <c r="AV356" s="126"/>
      <c r="AW356" s="126"/>
      <c r="AX356" s="126"/>
      <c r="AY356" s="274"/>
      <c r="AZ356" s="274"/>
      <c r="BA356" s="274"/>
      <c r="BB356" s="274"/>
      <c r="BC356" s="222">
        <f t="shared" si="146"/>
        <v>0</v>
      </c>
      <c r="BD356" s="140">
        <f t="shared" si="147"/>
        <v>0</v>
      </c>
      <c r="BE356" s="132"/>
      <c r="BF356" s="140">
        <f t="shared" si="148"/>
        <v>0</v>
      </c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30">
        <f t="shared" si="149"/>
        <v>0</v>
      </c>
      <c r="BU356" s="132"/>
    </row>
    <row r="357" ht="14.25" customHeight="1">
      <c r="A357" s="132"/>
      <c r="B357" s="215">
        <v>46341</v>
      </c>
      <c r="C357" s="136"/>
      <c r="D357" s="136"/>
      <c r="E357" s="135"/>
      <c r="F357" s="135"/>
      <c r="G357" s="147">
        <f t="shared" si="141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03">
        <f t="shared" si="142"/>
        <v>0</v>
      </c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43"/>
      <c r="AH357" s="103">
        <f t="shared" si="143"/>
        <v>0</v>
      </c>
      <c r="AI357" s="136"/>
      <c r="AJ357" s="136"/>
      <c r="AK357" s="136"/>
      <c r="AL357" s="105">
        <f t="shared" si="144"/>
        <v>0</v>
      </c>
      <c r="AM357" s="143"/>
      <c r="AN357" s="143"/>
      <c r="AO357" s="143"/>
      <c r="AP357" s="146"/>
      <c r="AQ357" s="224">
        <f t="shared" si="145"/>
        <v>0</v>
      </c>
      <c r="AR357" s="126"/>
      <c r="AS357" s="274"/>
      <c r="AT357" s="126"/>
      <c r="AU357" s="126"/>
      <c r="AV357" s="126"/>
      <c r="AW357" s="126"/>
      <c r="AX357" s="126"/>
      <c r="AY357" s="274"/>
      <c r="AZ357" s="274"/>
      <c r="BA357" s="274"/>
      <c r="BB357" s="274"/>
      <c r="BC357" s="222">
        <f t="shared" si="146"/>
        <v>0</v>
      </c>
      <c r="BD357" s="140">
        <f t="shared" si="147"/>
        <v>0</v>
      </c>
      <c r="BE357" s="132"/>
      <c r="BF357" s="140">
        <f t="shared" si="148"/>
        <v>0</v>
      </c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30">
        <f t="shared" si="149"/>
        <v>0</v>
      </c>
      <c r="BU357" s="132"/>
    </row>
    <row r="358" ht="14.25" customHeight="1">
      <c r="A358" s="132"/>
      <c r="B358" s="215">
        <v>46342</v>
      </c>
      <c r="C358" s="136"/>
      <c r="D358" s="136"/>
      <c r="E358" s="135"/>
      <c r="F358" s="135"/>
      <c r="G358" s="147">
        <f t="shared" si="141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03">
        <f t="shared" si="142"/>
        <v>0</v>
      </c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43"/>
      <c r="AH358" s="103">
        <f t="shared" si="143"/>
        <v>0</v>
      </c>
      <c r="AI358" s="136"/>
      <c r="AJ358" s="136"/>
      <c r="AK358" s="136"/>
      <c r="AL358" s="105">
        <f t="shared" si="144"/>
        <v>0</v>
      </c>
      <c r="AM358" s="143"/>
      <c r="AN358" s="143"/>
      <c r="AO358" s="143"/>
      <c r="AP358" s="146"/>
      <c r="AQ358" s="224">
        <f t="shared" si="145"/>
        <v>0</v>
      </c>
      <c r="AR358" s="126"/>
      <c r="AS358" s="274"/>
      <c r="AT358" s="126"/>
      <c r="AU358" s="126"/>
      <c r="AV358" s="126"/>
      <c r="AW358" s="126"/>
      <c r="AX358" s="126"/>
      <c r="AY358" s="274"/>
      <c r="AZ358" s="274"/>
      <c r="BA358" s="274"/>
      <c r="BB358" s="274"/>
      <c r="BC358" s="222">
        <f t="shared" si="146"/>
        <v>0</v>
      </c>
      <c r="BD358" s="140">
        <f t="shared" si="147"/>
        <v>0</v>
      </c>
      <c r="BE358" s="132"/>
      <c r="BF358" s="140">
        <f t="shared" si="148"/>
        <v>0</v>
      </c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30">
        <f t="shared" si="149"/>
        <v>0</v>
      </c>
      <c r="BU358" s="132"/>
    </row>
    <row r="359" ht="14.25" customHeight="1">
      <c r="A359" s="132"/>
      <c r="B359" s="215">
        <v>46343</v>
      </c>
      <c r="C359" s="136"/>
      <c r="D359" s="136"/>
      <c r="E359" s="135"/>
      <c r="F359" s="135"/>
      <c r="G359" s="147">
        <f t="shared" si="141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03">
        <f t="shared" si="142"/>
        <v>0</v>
      </c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43"/>
      <c r="AH359" s="103">
        <f t="shared" si="143"/>
        <v>0</v>
      </c>
      <c r="AI359" s="136"/>
      <c r="AJ359" s="136"/>
      <c r="AK359" s="136"/>
      <c r="AL359" s="105">
        <f t="shared" si="144"/>
        <v>0</v>
      </c>
      <c r="AM359" s="143"/>
      <c r="AN359" s="143"/>
      <c r="AO359" s="143"/>
      <c r="AP359" s="146"/>
      <c r="AQ359" s="224">
        <f t="shared" si="145"/>
        <v>0</v>
      </c>
      <c r="AR359" s="126"/>
      <c r="AS359" s="274"/>
      <c r="AT359" s="126"/>
      <c r="AU359" s="126"/>
      <c r="AV359" s="126"/>
      <c r="AW359" s="126"/>
      <c r="AX359" s="126"/>
      <c r="AY359" s="274"/>
      <c r="AZ359" s="274"/>
      <c r="BA359" s="274"/>
      <c r="BB359" s="274"/>
      <c r="BC359" s="222">
        <f t="shared" si="146"/>
        <v>0</v>
      </c>
      <c r="BD359" s="140">
        <f t="shared" si="147"/>
        <v>0</v>
      </c>
      <c r="BE359" s="132"/>
      <c r="BF359" s="140">
        <f t="shared" si="148"/>
        <v>0</v>
      </c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30">
        <f t="shared" si="149"/>
        <v>0</v>
      </c>
      <c r="BU359" s="132"/>
    </row>
    <row r="360" ht="14.25" customHeight="1">
      <c r="A360" s="132"/>
      <c r="B360" s="215">
        <v>46344</v>
      </c>
      <c r="C360" s="136"/>
      <c r="D360" s="136"/>
      <c r="E360" s="135"/>
      <c r="F360" s="135"/>
      <c r="G360" s="147">
        <f t="shared" si="141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03">
        <f t="shared" si="142"/>
        <v>0</v>
      </c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43"/>
      <c r="AH360" s="103">
        <f t="shared" si="143"/>
        <v>0</v>
      </c>
      <c r="AI360" s="136"/>
      <c r="AJ360" s="136"/>
      <c r="AK360" s="136"/>
      <c r="AL360" s="105">
        <f t="shared" si="144"/>
        <v>0</v>
      </c>
      <c r="AM360" s="143"/>
      <c r="AN360" s="143"/>
      <c r="AO360" s="143"/>
      <c r="AP360" s="146"/>
      <c r="AQ360" s="224">
        <f t="shared" si="145"/>
        <v>0</v>
      </c>
      <c r="AR360" s="126"/>
      <c r="AS360" s="274"/>
      <c r="AT360" s="126"/>
      <c r="AU360" s="126"/>
      <c r="AV360" s="126"/>
      <c r="AW360" s="126"/>
      <c r="AX360" s="126"/>
      <c r="AY360" s="274"/>
      <c r="AZ360" s="274"/>
      <c r="BA360" s="274"/>
      <c r="BB360" s="274"/>
      <c r="BC360" s="222">
        <f t="shared" si="146"/>
        <v>0</v>
      </c>
      <c r="BD360" s="140">
        <f t="shared" si="147"/>
        <v>0</v>
      </c>
      <c r="BE360" s="132"/>
      <c r="BF360" s="140">
        <f t="shared" si="148"/>
        <v>0</v>
      </c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30">
        <f t="shared" si="149"/>
        <v>0</v>
      </c>
      <c r="BU360" s="132"/>
    </row>
    <row r="361" ht="14.25" customHeight="1">
      <c r="A361" s="132"/>
      <c r="B361" s="215">
        <v>46345</v>
      </c>
      <c r="C361" s="136"/>
      <c r="D361" s="136"/>
      <c r="E361" s="135"/>
      <c r="F361" s="135"/>
      <c r="G361" s="147">
        <f t="shared" si="141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03">
        <f t="shared" si="142"/>
        <v>0</v>
      </c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43"/>
      <c r="AH361" s="103">
        <f t="shared" si="143"/>
        <v>0</v>
      </c>
      <c r="AI361" s="136"/>
      <c r="AJ361" s="136"/>
      <c r="AK361" s="136"/>
      <c r="AL361" s="105">
        <f t="shared" si="144"/>
        <v>0</v>
      </c>
      <c r="AM361" s="143"/>
      <c r="AN361" s="143"/>
      <c r="AO361" s="143"/>
      <c r="AP361" s="146"/>
      <c r="AQ361" s="224">
        <f t="shared" si="145"/>
        <v>0</v>
      </c>
      <c r="AR361" s="126"/>
      <c r="AS361" s="274"/>
      <c r="AT361" s="126"/>
      <c r="AU361" s="126"/>
      <c r="AV361" s="126"/>
      <c r="AW361" s="126"/>
      <c r="AX361" s="126"/>
      <c r="AY361" s="274"/>
      <c r="AZ361" s="274"/>
      <c r="BA361" s="274"/>
      <c r="BB361" s="274"/>
      <c r="BC361" s="222">
        <f t="shared" si="146"/>
        <v>0</v>
      </c>
      <c r="BD361" s="140">
        <f t="shared" si="147"/>
        <v>0</v>
      </c>
      <c r="BE361" s="132"/>
      <c r="BF361" s="140">
        <f t="shared" si="148"/>
        <v>0</v>
      </c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30">
        <f t="shared" si="149"/>
        <v>0</v>
      </c>
      <c r="BU361" s="132"/>
    </row>
    <row r="362" ht="14.25" customHeight="1">
      <c r="A362" s="132"/>
      <c r="B362" s="215">
        <v>46346</v>
      </c>
      <c r="C362" s="136"/>
      <c r="D362" s="136"/>
      <c r="E362" s="135"/>
      <c r="F362" s="135"/>
      <c r="G362" s="147">
        <f t="shared" si="141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03">
        <f t="shared" si="142"/>
        <v>0</v>
      </c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43"/>
      <c r="AH362" s="103">
        <f t="shared" si="143"/>
        <v>0</v>
      </c>
      <c r="AI362" s="136"/>
      <c r="AJ362" s="136"/>
      <c r="AK362" s="136"/>
      <c r="AL362" s="105">
        <f t="shared" si="144"/>
        <v>0</v>
      </c>
      <c r="AM362" s="143"/>
      <c r="AN362" s="143"/>
      <c r="AO362" s="143"/>
      <c r="AP362" s="146"/>
      <c r="AQ362" s="224">
        <f t="shared" si="145"/>
        <v>0</v>
      </c>
      <c r="AR362" s="126"/>
      <c r="AS362" s="274"/>
      <c r="AT362" s="126"/>
      <c r="AU362" s="126"/>
      <c r="AV362" s="126"/>
      <c r="AW362" s="126"/>
      <c r="AX362" s="126"/>
      <c r="AY362" s="274"/>
      <c r="AZ362" s="274"/>
      <c r="BA362" s="274"/>
      <c r="BB362" s="274"/>
      <c r="BC362" s="222">
        <f t="shared" si="146"/>
        <v>0</v>
      </c>
      <c r="BD362" s="140">
        <f t="shared" si="147"/>
        <v>0</v>
      </c>
      <c r="BE362" s="132"/>
      <c r="BF362" s="140">
        <f t="shared" si="148"/>
        <v>0</v>
      </c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30">
        <f t="shared" si="149"/>
        <v>0</v>
      </c>
      <c r="BU362" s="132"/>
    </row>
    <row r="363" ht="14.25" customHeight="1">
      <c r="A363" s="132"/>
      <c r="B363" s="215">
        <v>46347</v>
      </c>
      <c r="C363" s="136"/>
      <c r="D363" s="136"/>
      <c r="E363" s="135"/>
      <c r="F363" s="135"/>
      <c r="G363" s="147">
        <f t="shared" si="141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03">
        <f t="shared" si="142"/>
        <v>0</v>
      </c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43"/>
      <c r="AH363" s="103">
        <f t="shared" si="143"/>
        <v>0</v>
      </c>
      <c r="AI363" s="136"/>
      <c r="AJ363" s="136"/>
      <c r="AK363" s="136"/>
      <c r="AL363" s="105">
        <f t="shared" si="144"/>
        <v>0</v>
      </c>
      <c r="AM363" s="143"/>
      <c r="AN363" s="143"/>
      <c r="AO363" s="143"/>
      <c r="AP363" s="146"/>
      <c r="AQ363" s="224">
        <f t="shared" si="145"/>
        <v>0</v>
      </c>
      <c r="AR363" s="126"/>
      <c r="AS363" s="274"/>
      <c r="AT363" s="126"/>
      <c r="AU363" s="126"/>
      <c r="AV363" s="126"/>
      <c r="AW363" s="126"/>
      <c r="AX363" s="126"/>
      <c r="AY363" s="274"/>
      <c r="AZ363" s="274"/>
      <c r="BA363" s="274"/>
      <c r="BB363" s="274"/>
      <c r="BC363" s="222">
        <f t="shared" si="146"/>
        <v>0</v>
      </c>
      <c r="BD363" s="140">
        <f t="shared" si="147"/>
        <v>0</v>
      </c>
      <c r="BE363" s="132"/>
      <c r="BF363" s="140">
        <f t="shared" si="148"/>
        <v>0</v>
      </c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30">
        <f t="shared" si="149"/>
        <v>0</v>
      </c>
      <c r="BU363" s="132"/>
    </row>
    <row r="364" ht="14.25" customHeight="1">
      <c r="A364" s="132"/>
      <c r="B364" s="215">
        <v>46348</v>
      </c>
      <c r="C364" s="136"/>
      <c r="D364" s="136"/>
      <c r="E364" s="135"/>
      <c r="F364" s="135"/>
      <c r="G364" s="147">
        <f t="shared" si="141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03">
        <f t="shared" si="142"/>
        <v>0</v>
      </c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43"/>
      <c r="AH364" s="103">
        <f t="shared" si="143"/>
        <v>0</v>
      </c>
      <c r="AI364" s="136"/>
      <c r="AJ364" s="136"/>
      <c r="AK364" s="136"/>
      <c r="AL364" s="105">
        <f t="shared" si="144"/>
        <v>0</v>
      </c>
      <c r="AM364" s="143"/>
      <c r="AN364" s="143"/>
      <c r="AO364" s="143"/>
      <c r="AP364" s="146"/>
      <c r="AQ364" s="224">
        <f t="shared" si="145"/>
        <v>0</v>
      </c>
      <c r="AR364" s="126"/>
      <c r="AS364" s="274"/>
      <c r="AT364" s="126"/>
      <c r="AU364" s="126"/>
      <c r="AV364" s="126"/>
      <c r="AW364" s="126"/>
      <c r="AX364" s="126"/>
      <c r="AY364" s="274"/>
      <c r="AZ364" s="274"/>
      <c r="BA364" s="274"/>
      <c r="BB364" s="274"/>
      <c r="BC364" s="222">
        <f t="shared" si="146"/>
        <v>0</v>
      </c>
      <c r="BD364" s="140">
        <f t="shared" si="147"/>
        <v>0</v>
      </c>
      <c r="BE364" s="132"/>
      <c r="BF364" s="140">
        <f t="shared" si="148"/>
        <v>0</v>
      </c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30">
        <f t="shared" si="149"/>
        <v>0</v>
      </c>
      <c r="BU364" s="132"/>
    </row>
    <row r="365" ht="14.25" customHeight="1">
      <c r="A365" s="132"/>
      <c r="B365" s="215">
        <v>46349</v>
      </c>
      <c r="C365" s="136"/>
      <c r="D365" s="136"/>
      <c r="E365" s="135"/>
      <c r="F365" s="135"/>
      <c r="G365" s="147">
        <f t="shared" si="141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03">
        <f t="shared" si="142"/>
        <v>0</v>
      </c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43"/>
      <c r="AH365" s="103">
        <f t="shared" si="143"/>
        <v>0</v>
      </c>
      <c r="AI365" s="136"/>
      <c r="AJ365" s="136"/>
      <c r="AK365" s="136"/>
      <c r="AL365" s="105">
        <f t="shared" si="144"/>
        <v>0</v>
      </c>
      <c r="AM365" s="143"/>
      <c r="AN365" s="143"/>
      <c r="AO365" s="143"/>
      <c r="AP365" s="146"/>
      <c r="AQ365" s="224">
        <f t="shared" si="145"/>
        <v>0</v>
      </c>
      <c r="AR365" s="126"/>
      <c r="AS365" s="274"/>
      <c r="AT365" s="126"/>
      <c r="AU365" s="126"/>
      <c r="AV365" s="126"/>
      <c r="AW365" s="126"/>
      <c r="AX365" s="126"/>
      <c r="AY365" s="274"/>
      <c r="AZ365" s="274"/>
      <c r="BA365" s="274"/>
      <c r="BB365" s="274"/>
      <c r="BC365" s="222">
        <f t="shared" si="146"/>
        <v>0</v>
      </c>
      <c r="BD365" s="140">
        <f t="shared" si="147"/>
        <v>0</v>
      </c>
      <c r="BE365" s="132"/>
      <c r="BF365" s="140">
        <f t="shared" si="148"/>
        <v>0</v>
      </c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30">
        <f t="shared" si="149"/>
        <v>0</v>
      </c>
      <c r="BU365" s="132"/>
    </row>
    <row r="366" ht="14.25" customHeight="1">
      <c r="A366" s="132"/>
      <c r="B366" s="215">
        <v>46350</v>
      </c>
      <c r="C366" s="136"/>
      <c r="D366" s="136"/>
      <c r="E366" s="135"/>
      <c r="F366" s="135"/>
      <c r="G366" s="147">
        <f t="shared" si="141"/>
        <v>0</v>
      </c>
      <c r="H366" s="144"/>
      <c r="I366" s="143"/>
      <c r="J366" s="144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03">
        <f t="shared" si="142"/>
        <v>0</v>
      </c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43"/>
      <c r="AH366" s="103">
        <f t="shared" si="143"/>
        <v>0</v>
      </c>
      <c r="AI366" s="136"/>
      <c r="AJ366" s="136"/>
      <c r="AK366" s="136"/>
      <c r="AL366" s="105">
        <f t="shared" si="144"/>
        <v>0</v>
      </c>
      <c r="AM366" s="143"/>
      <c r="AN366" s="143"/>
      <c r="AO366" s="143"/>
      <c r="AP366" s="146"/>
      <c r="AQ366" s="224">
        <f t="shared" si="145"/>
        <v>0</v>
      </c>
      <c r="AR366" s="126"/>
      <c r="AS366" s="274"/>
      <c r="AT366" s="126"/>
      <c r="AU366" s="126"/>
      <c r="AV366" s="126"/>
      <c r="AW366" s="126"/>
      <c r="AX366" s="126"/>
      <c r="AY366" s="274"/>
      <c r="AZ366" s="274"/>
      <c r="BA366" s="274"/>
      <c r="BB366" s="274"/>
      <c r="BC366" s="222">
        <f t="shared" si="146"/>
        <v>0</v>
      </c>
      <c r="BD366" s="140">
        <f t="shared" si="147"/>
        <v>0</v>
      </c>
      <c r="BE366" s="132"/>
      <c r="BF366" s="140">
        <f t="shared" si="148"/>
        <v>0</v>
      </c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30">
        <f t="shared" si="149"/>
        <v>0</v>
      </c>
      <c r="BU366" s="132"/>
    </row>
    <row r="367" ht="14.25" customHeight="1">
      <c r="A367" s="132"/>
      <c r="B367" s="215">
        <v>46351</v>
      </c>
      <c r="C367" s="136"/>
      <c r="D367" s="136"/>
      <c r="E367" s="135"/>
      <c r="F367" s="135"/>
      <c r="G367" s="147">
        <f t="shared" si="141"/>
        <v>0</v>
      </c>
      <c r="H367" s="144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03">
        <f t="shared" si="142"/>
        <v>0</v>
      </c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43"/>
      <c r="AH367" s="103">
        <f t="shared" si="143"/>
        <v>0</v>
      </c>
      <c r="AI367" s="136"/>
      <c r="AJ367" s="136"/>
      <c r="AK367" s="136"/>
      <c r="AL367" s="105">
        <f t="shared" si="144"/>
        <v>0</v>
      </c>
      <c r="AM367" s="143"/>
      <c r="AN367" s="143"/>
      <c r="AO367" s="143"/>
      <c r="AP367" s="146"/>
      <c r="AQ367" s="224">
        <f t="shared" si="145"/>
        <v>0</v>
      </c>
      <c r="AR367" s="126"/>
      <c r="AS367" s="274"/>
      <c r="AT367" s="126"/>
      <c r="AU367" s="126"/>
      <c r="AV367" s="126"/>
      <c r="AW367" s="126"/>
      <c r="AX367" s="126"/>
      <c r="AY367" s="274"/>
      <c r="AZ367" s="274"/>
      <c r="BA367" s="274"/>
      <c r="BB367" s="274"/>
      <c r="BC367" s="222">
        <f t="shared" si="146"/>
        <v>0</v>
      </c>
      <c r="BD367" s="140">
        <f t="shared" si="147"/>
        <v>0</v>
      </c>
      <c r="BE367" s="132"/>
      <c r="BF367" s="140">
        <f t="shared" si="148"/>
        <v>0</v>
      </c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30">
        <f t="shared" si="149"/>
        <v>0</v>
      </c>
      <c r="BU367" s="132"/>
    </row>
    <row r="368" ht="14.25" customHeight="1">
      <c r="A368" s="132"/>
      <c r="B368" s="215">
        <v>46352</v>
      </c>
      <c r="C368" s="136"/>
      <c r="D368" s="136"/>
      <c r="E368" s="135"/>
      <c r="F368" s="135"/>
      <c r="G368" s="147">
        <f t="shared" si="141"/>
        <v>0</v>
      </c>
      <c r="H368" s="144"/>
      <c r="I368" s="143"/>
      <c r="J368" s="143"/>
      <c r="K368" s="143"/>
      <c r="L368" s="143"/>
      <c r="M368" s="143"/>
      <c r="N368" s="99"/>
      <c r="O368" s="143"/>
      <c r="P368" s="143"/>
      <c r="Q368" s="143"/>
      <c r="R368" s="143"/>
      <c r="S368" s="143"/>
      <c r="T368" s="143"/>
      <c r="U368" s="103">
        <f t="shared" si="142"/>
        <v>0</v>
      </c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43"/>
      <c r="AH368" s="103">
        <f t="shared" si="143"/>
        <v>0</v>
      </c>
      <c r="AI368" s="136"/>
      <c r="AJ368" s="136"/>
      <c r="AK368" s="136"/>
      <c r="AL368" s="105">
        <f t="shared" si="144"/>
        <v>0</v>
      </c>
      <c r="AM368" s="143"/>
      <c r="AN368" s="143"/>
      <c r="AO368" s="143"/>
      <c r="AP368" s="146"/>
      <c r="AQ368" s="224">
        <f t="shared" si="145"/>
        <v>0</v>
      </c>
      <c r="AR368" s="126"/>
      <c r="AS368" s="274"/>
      <c r="AT368" s="126"/>
      <c r="AU368" s="126"/>
      <c r="AV368" s="126"/>
      <c r="AW368" s="126"/>
      <c r="AX368" s="126"/>
      <c r="AY368" s="274"/>
      <c r="AZ368" s="274"/>
      <c r="BA368" s="274"/>
      <c r="BB368" s="274"/>
      <c r="BC368" s="222">
        <f t="shared" si="146"/>
        <v>0</v>
      </c>
      <c r="BD368" s="140">
        <f t="shared" si="147"/>
        <v>0</v>
      </c>
      <c r="BE368" s="132"/>
      <c r="BF368" s="140">
        <f t="shared" si="148"/>
        <v>0</v>
      </c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30">
        <f t="shared" si="149"/>
        <v>0</v>
      </c>
      <c r="BU368" s="132"/>
    </row>
    <row r="369" ht="14.25" customHeight="1">
      <c r="A369" s="132"/>
      <c r="B369" s="215">
        <v>46353</v>
      </c>
      <c r="C369" s="136"/>
      <c r="D369" s="136"/>
      <c r="E369" s="135"/>
      <c r="F369" s="135"/>
      <c r="G369" s="147">
        <f t="shared" si="141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03">
        <f t="shared" si="142"/>
        <v>0</v>
      </c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43"/>
      <c r="AH369" s="103">
        <f t="shared" si="143"/>
        <v>0</v>
      </c>
      <c r="AI369" s="136"/>
      <c r="AJ369" s="136"/>
      <c r="AK369" s="136"/>
      <c r="AL369" s="105">
        <f t="shared" si="144"/>
        <v>0</v>
      </c>
      <c r="AM369" s="143"/>
      <c r="AN369" s="143"/>
      <c r="AO369" s="143"/>
      <c r="AP369" s="146"/>
      <c r="AQ369" s="224">
        <f t="shared" si="145"/>
        <v>0</v>
      </c>
      <c r="AR369" s="126"/>
      <c r="AS369" s="274"/>
      <c r="AT369" s="126"/>
      <c r="AU369" s="126"/>
      <c r="AV369" s="126"/>
      <c r="AW369" s="126"/>
      <c r="AX369" s="126"/>
      <c r="AY369" s="274"/>
      <c r="AZ369" s="274"/>
      <c r="BA369" s="274"/>
      <c r="BB369" s="274"/>
      <c r="BC369" s="222">
        <f t="shared" si="146"/>
        <v>0</v>
      </c>
      <c r="BD369" s="140">
        <f t="shared" si="147"/>
        <v>0</v>
      </c>
      <c r="BE369" s="132"/>
      <c r="BF369" s="140">
        <f t="shared" si="148"/>
        <v>0</v>
      </c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30">
        <f t="shared" si="149"/>
        <v>0</v>
      </c>
      <c r="BU369" s="132"/>
    </row>
    <row r="370" ht="14.25" customHeight="1">
      <c r="A370" s="132"/>
      <c r="B370" s="215">
        <v>46354</v>
      </c>
      <c r="C370" s="136"/>
      <c r="D370" s="136"/>
      <c r="E370" s="135"/>
      <c r="F370" s="135"/>
      <c r="G370" s="147">
        <f t="shared" si="141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03">
        <f t="shared" si="142"/>
        <v>0</v>
      </c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43"/>
      <c r="AH370" s="103">
        <f t="shared" si="143"/>
        <v>0</v>
      </c>
      <c r="AI370" s="136"/>
      <c r="AJ370" s="136"/>
      <c r="AK370" s="136"/>
      <c r="AL370" s="105">
        <f t="shared" si="144"/>
        <v>0</v>
      </c>
      <c r="AM370" s="143"/>
      <c r="AN370" s="143"/>
      <c r="AO370" s="143"/>
      <c r="AP370" s="146"/>
      <c r="AQ370" s="224">
        <f t="shared" si="145"/>
        <v>0</v>
      </c>
      <c r="AR370" s="126"/>
      <c r="AS370" s="274"/>
      <c r="AT370" s="126"/>
      <c r="AU370" s="126"/>
      <c r="AV370" s="126"/>
      <c r="AW370" s="126"/>
      <c r="AX370" s="126"/>
      <c r="AY370" s="274"/>
      <c r="AZ370" s="274"/>
      <c r="BA370" s="274"/>
      <c r="BB370" s="274"/>
      <c r="BC370" s="222">
        <f t="shared" si="146"/>
        <v>0</v>
      </c>
      <c r="BD370" s="140">
        <f t="shared" si="147"/>
        <v>0</v>
      </c>
      <c r="BE370" s="132"/>
      <c r="BF370" s="140">
        <f t="shared" si="148"/>
        <v>0</v>
      </c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30">
        <f t="shared" si="149"/>
        <v>0</v>
      </c>
      <c r="BU370" s="132"/>
    </row>
    <row r="371" ht="14.25" customHeight="1">
      <c r="A371" s="132"/>
      <c r="B371" s="215">
        <v>46355</v>
      </c>
      <c r="C371" s="136"/>
      <c r="D371" s="136"/>
      <c r="E371" s="135"/>
      <c r="F371" s="135"/>
      <c r="G371" s="147">
        <f t="shared" si="141"/>
        <v>0</v>
      </c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03">
        <f t="shared" si="142"/>
        <v>0</v>
      </c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43"/>
      <c r="AH371" s="103">
        <f t="shared" si="143"/>
        <v>0</v>
      </c>
      <c r="AI371" s="136"/>
      <c r="AJ371" s="136"/>
      <c r="AK371" s="136"/>
      <c r="AL371" s="105">
        <f t="shared" si="144"/>
        <v>0</v>
      </c>
      <c r="AM371" s="143"/>
      <c r="AN371" s="143"/>
      <c r="AO371" s="143"/>
      <c r="AP371" s="146"/>
      <c r="AQ371" s="224">
        <f t="shared" si="145"/>
        <v>0</v>
      </c>
      <c r="AR371" s="126"/>
      <c r="AS371" s="274"/>
      <c r="AT371" s="126"/>
      <c r="AU371" s="126"/>
      <c r="AV371" s="126"/>
      <c r="AW371" s="126"/>
      <c r="AX371" s="126"/>
      <c r="AY371" s="274"/>
      <c r="AZ371" s="274"/>
      <c r="BA371" s="274"/>
      <c r="BB371" s="274"/>
      <c r="BC371" s="222">
        <f t="shared" si="146"/>
        <v>0</v>
      </c>
      <c r="BD371" s="140">
        <f t="shared" si="147"/>
        <v>0</v>
      </c>
      <c r="BE371" s="132"/>
      <c r="BF371" s="140">
        <f t="shared" si="148"/>
        <v>0</v>
      </c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41"/>
      <c r="BT371" s="130">
        <f t="shared" si="149"/>
        <v>0</v>
      </c>
      <c r="BU371" s="132"/>
    </row>
    <row r="372" ht="14.25" customHeight="1">
      <c r="A372" s="132"/>
      <c r="B372" s="215">
        <v>46356</v>
      </c>
      <c r="C372" s="136"/>
      <c r="D372" s="136"/>
      <c r="E372" s="135"/>
      <c r="F372" s="135"/>
      <c r="G372" s="147">
        <f t="shared" si="141"/>
        <v>0</v>
      </c>
      <c r="H372" s="144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03">
        <f t="shared" si="142"/>
        <v>0</v>
      </c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  <c r="AF372" s="143"/>
      <c r="AG372" s="143"/>
      <c r="AH372" s="103">
        <f t="shared" si="143"/>
        <v>0</v>
      </c>
      <c r="AI372" s="136"/>
      <c r="AJ372" s="136"/>
      <c r="AK372" s="136"/>
      <c r="AL372" s="105">
        <f t="shared" si="144"/>
        <v>0</v>
      </c>
      <c r="AM372" s="143"/>
      <c r="AN372" s="143"/>
      <c r="AO372" s="143"/>
      <c r="AP372" s="146"/>
      <c r="AQ372" s="224">
        <f t="shared" si="145"/>
        <v>0</v>
      </c>
      <c r="AR372" s="138"/>
      <c r="AS372" s="274"/>
      <c r="AT372" s="126"/>
      <c r="AU372" s="126"/>
      <c r="AV372" s="138"/>
      <c r="AW372" s="138"/>
      <c r="AX372" s="126"/>
      <c r="AY372" s="274"/>
      <c r="AZ372" s="274"/>
      <c r="BA372" s="274"/>
      <c r="BB372" s="274"/>
      <c r="BC372" s="222">
        <f t="shared" si="146"/>
        <v>0</v>
      </c>
      <c r="BD372" s="140">
        <f t="shared" si="147"/>
        <v>0</v>
      </c>
      <c r="BE372" s="132"/>
      <c r="BF372" s="140">
        <f t="shared" si="148"/>
        <v>0</v>
      </c>
      <c r="BG372" s="141"/>
      <c r="BH372" s="141"/>
      <c r="BI372" s="141"/>
      <c r="BJ372" s="141"/>
      <c r="BK372" s="141"/>
      <c r="BL372" s="141"/>
      <c r="BM372" s="141"/>
      <c r="BN372" s="141"/>
      <c r="BO372" s="141"/>
      <c r="BP372" s="141"/>
      <c r="BQ372" s="141"/>
      <c r="BR372" s="141"/>
      <c r="BS372" s="141"/>
      <c r="BT372" s="130">
        <f t="shared" si="149"/>
        <v>0</v>
      </c>
      <c r="BU372" s="132"/>
    </row>
    <row r="373" ht="18.75" customHeight="1">
      <c r="A373" s="3"/>
      <c r="B373" s="2" t="s">
        <v>85</v>
      </c>
      <c r="C373" s="166">
        <f ref="C373:J373" t="shared" si="150">SUM(C343:C372)</f>
        <v>0</v>
      </c>
      <c r="D373" s="166">
        <f t="shared" si="150"/>
        <v>0</v>
      </c>
      <c r="E373" s="166">
        <f t="shared" si="150"/>
        <v>0</v>
      </c>
      <c r="F373" s="166">
        <f t="shared" si="150"/>
        <v>0</v>
      </c>
      <c r="G373" s="166">
        <f t="shared" si="150"/>
        <v>0</v>
      </c>
      <c r="H373" s="166">
        <f t="shared" si="150"/>
        <v>0</v>
      </c>
      <c r="I373" s="166">
        <f t="shared" si="150"/>
        <v>0</v>
      </c>
      <c r="J373" s="166">
        <f t="shared" si="150"/>
        <v>0</v>
      </c>
      <c r="K373" s="166"/>
      <c r="L373" s="166">
        <f ref="L373:R373" t="shared" si="151">SUM(L343:L372)</f>
        <v>0</v>
      </c>
      <c r="M373" s="166">
        <f t="shared" si="151"/>
        <v>0</v>
      </c>
      <c r="N373" s="166">
        <f t="shared" si="151"/>
        <v>0</v>
      </c>
      <c r="O373" s="166">
        <f t="shared" si="151"/>
        <v>0</v>
      </c>
      <c r="P373" s="166">
        <f t="shared" si="151"/>
        <v>0</v>
      </c>
      <c r="Q373" s="166">
        <f t="shared" si="151"/>
        <v>0</v>
      </c>
      <c r="R373" s="166">
        <f t="shared" si="151"/>
        <v>0</v>
      </c>
      <c r="S373" s="166"/>
      <c r="T373" s="166">
        <f ref="T373:AJ373" t="shared" si="152">SUM(T343:T372)</f>
        <v>0</v>
      </c>
      <c r="U373" s="166">
        <f t="shared" si="152"/>
        <v>0</v>
      </c>
      <c r="V373" s="166">
        <f t="shared" si="152"/>
        <v>0</v>
      </c>
      <c r="W373" s="166">
        <f t="shared" si="152"/>
        <v>0</v>
      </c>
      <c r="X373" s="166">
        <f t="shared" si="152"/>
        <v>0</v>
      </c>
      <c r="Y373" s="166">
        <f t="shared" si="152"/>
        <v>0</v>
      </c>
      <c r="Z373" s="166">
        <f t="shared" si="152"/>
        <v>0</v>
      </c>
      <c r="AA373" s="166">
        <f t="shared" si="152"/>
        <v>0</v>
      </c>
      <c r="AB373" s="166">
        <f t="shared" si="152"/>
        <v>0</v>
      </c>
      <c r="AC373" s="166">
        <f t="shared" si="152"/>
        <v>0</v>
      </c>
      <c r="AD373" s="166">
        <f t="shared" si="152"/>
        <v>0</v>
      </c>
      <c r="AE373" s="166">
        <f t="shared" si="152"/>
        <v>0</v>
      </c>
      <c r="AF373" s="166">
        <f t="shared" si="152"/>
        <v>0</v>
      </c>
      <c r="AG373" s="166">
        <f t="shared" si="152"/>
        <v>0</v>
      </c>
      <c r="AH373" s="166">
        <f t="shared" si="152"/>
        <v>0</v>
      </c>
      <c r="AI373" s="166">
        <f t="shared" si="152"/>
        <v>0</v>
      </c>
      <c r="AJ373" s="166">
        <f t="shared" si="152"/>
        <v>0</v>
      </c>
      <c r="AK373" s="166"/>
      <c r="AL373" s="166">
        <f ref="AL373:AO373" t="shared" si="153">SUM(AL343:AL372)</f>
        <v>0</v>
      </c>
      <c r="AM373" s="166">
        <f t="shared" si="153"/>
        <v>0</v>
      </c>
      <c r="AN373" s="166">
        <f t="shared" si="153"/>
        <v>0</v>
      </c>
      <c r="AO373" s="166">
        <f t="shared" si="153"/>
        <v>0</v>
      </c>
      <c r="AP373" s="166"/>
      <c r="AQ373" s="166">
        <f ref="AQ373:BF373" t="shared" si="154">SUM(AQ343:AQ372)</f>
        <v>0</v>
      </c>
      <c r="AR373" s="165">
        <f t="shared" si="154"/>
        <v>0</v>
      </c>
      <c r="AS373" s="166">
        <f t="shared" si="154"/>
        <v>0</v>
      </c>
      <c r="AT373" s="166">
        <f t="shared" si="154"/>
        <v>0</v>
      </c>
      <c r="AU373" s="166">
        <f t="shared" si="154"/>
        <v>0</v>
      </c>
      <c r="AV373" s="166">
        <f t="shared" si="154"/>
        <v>0</v>
      </c>
      <c r="AW373" s="166">
        <f t="shared" si="154"/>
        <v>0</v>
      </c>
      <c r="AX373" s="166">
        <f t="shared" si="154"/>
        <v>0</v>
      </c>
      <c r="AY373" s="166">
        <f t="shared" si="154"/>
        <v>0</v>
      </c>
      <c r="AZ373" s="166">
        <f t="shared" si="154"/>
        <v>0</v>
      </c>
      <c r="BA373" s="166">
        <f t="shared" si="154"/>
        <v>0</v>
      </c>
      <c r="BB373" s="166">
        <f t="shared" si="154"/>
        <v>0</v>
      </c>
      <c r="BC373" s="166">
        <f t="shared" si="154"/>
        <v>0</v>
      </c>
      <c r="BD373" s="166">
        <f t="shared" si="154"/>
        <v>0</v>
      </c>
      <c r="BE373" s="166">
        <f t="shared" si="154"/>
        <v>0</v>
      </c>
      <c r="BF373" s="166">
        <f t="shared" si="154"/>
        <v>0</v>
      </c>
      <c r="BG373" s="166"/>
      <c r="BH373" s="166"/>
      <c r="BI373" s="166"/>
      <c r="BJ373" s="166"/>
      <c r="BK373" s="166"/>
      <c r="BL373" s="166"/>
      <c r="BM373" s="166"/>
      <c r="BN373" s="166"/>
      <c r="BO373" s="166"/>
      <c r="BP373" s="166">
        <f ref="BP373:BU373" t="shared" si="155">SUM(BP343:BP372)</f>
        <v>0</v>
      </c>
      <c r="BQ373" s="166">
        <f t="shared" si="155"/>
        <v>0</v>
      </c>
      <c r="BR373" s="166">
        <f t="shared" si="155"/>
        <v>0</v>
      </c>
      <c r="BS373" s="166">
        <f t="shared" si="155"/>
        <v>0</v>
      </c>
      <c r="BT373" s="166">
        <f t="shared" si="155"/>
        <v>0</v>
      </c>
      <c r="BU373" s="166">
        <f t="shared" si="155"/>
        <v>0</v>
      </c>
    </row>
    <row r="374" ht="14.25" customHeight="1">
      <c r="A374" s="1"/>
      <c r="B374" s="2"/>
      <c r="C374" s="3"/>
      <c r="D374" s="3"/>
      <c r="E374" s="3"/>
      <c r="F374" s="3"/>
      <c r="G374" s="133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4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132"/>
      <c r="BC374" s="4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ht="14.25" customHeight="1">
      <c r="A375" s="1189"/>
      <c r="B375" s="2"/>
      <c r="C375" s="176"/>
      <c r="D375" s="176"/>
      <c r="E375" s="176"/>
      <c r="F375" s="176"/>
      <c r="G375" s="1391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  <c r="AF375" s="176"/>
      <c r="AG375" s="176"/>
      <c r="AH375" s="176"/>
      <c r="AI375" s="176"/>
      <c r="AJ375" s="176"/>
      <c r="AK375" s="176"/>
      <c r="AL375" s="305"/>
      <c r="AM375" s="176"/>
      <c r="AN375" s="176"/>
      <c r="AO375" s="176"/>
      <c r="AP375" s="176"/>
      <c r="AQ375" s="176"/>
      <c r="AR375" s="3"/>
      <c r="AS375" s="176"/>
      <c r="AT375" s="176"/>
      <c r="AU375" s="176"/>
      <c r="AV375" s="176"/>
      <c r="AW375" s="176"/>
      <c r="AX375" s="176"/>
      <c r="AY375" s="176"/>
      <c r="AZ375" s="176"/>
      <c r="BA375" s="176"/>
      <c r="BB375" s="155"/>
      <c r="BC375" s="305"/>
      <c r="BD375" s="176"/>
      <c r="BE375" s="176"/>
      <c r="BF375" s="176"/>
      <c r="BG375" s="176"/>
      <c r="BH375" s="176"/>
      <c r="BI375" s="176"/>
      <c r="BJ375" s="176"/>
      <c r="BK375" s="176"/>
      <c r="BL375" s="176"/>
      <c r="BM375" s="176"/>
      <c r="BN375" s="176"/>
      <c r="BO375" s="176"/>
      <c r="BP375" s="176"/>
      <c r="BQ375" s="176"/>
      <c r="BR375" s="176"/>
      <c r="BS375" s="176"/>
      <c r="BT375" s="176"/>
      <c r="BU375" s="176"/>
    </row>
    <row r="376" ht="14.25" customHeight="1">
      <c r="A376" s="3"/>
      <c r="B376" s="215">
        <v>46357</v>
      </c>
      <c r="C376" s="123"/>
      <c r="D376" s="123"/>
      <c r="E376" s="120"/>
      <c r="F376" s="120"/>
      <c r="G376" s="147">
        <f ref="G376:G406" t="shared" si="156">+C376+D376+E376+F376</f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03">
        <f ref="U376:U406" t="shared" si="157">SUM(H376:T376)</f>
        <v>0</v>
      </c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43"/>
      <c r="AH376" s="103">
        <f ref="AH376:AH406" t="shared" si="158">SUM(V376:AG376)</f>
        <v>0</v>
      </c>
      <c r="AI376" s="123"/>
      <c r="AJ376" s="123"/>
      <c r="AK376" s="123"/>
      <c r="AL376" s="105">
        <f ref="AL376:AL406" t="shared" si="159">SUM(AI376:AK376)</f>
        <v>0</v>
      </c>
      <c r="AM376" s="143"/>
      <c r="AN376" s="143"/>
      <c r="AO376" s="143"/>
      <c r="AP376" s="146"/>
      <c r="AQ376" s="224">
        <f ref="AQ376:AQ406" t="shared" si="160">+G376-U376-AH376-AL376-AM376-AN376-AO376-AP376</f>
        <v>0</v>
      </c>
      <c r="AR376" s="109"/>
      <c r="AS376" s="274"/>
      <c r="AT376" s="126"/>
      <c r="AU376" s="126"/>
      <c r="AV376" s="126"/>
      <c r="AW376" s="126"/>
      <c r="AX376" s="126"/>
      <c r="AY376" s="274"/>
      <c r="AZ376" s="274"/>
      <c r="BA376" s="274"/>
      <c r="BB376" s="274"/>
      <c r="BC376" s="222">
        <f ref="BC376:BC406" t="shared" si="161">SUM(AR376:BB376)-BA376</f>
        <v>0</v>
      </c>
      <c r="BD376" s="113">
        <f ref="BD376:BD406" t="shared" si="162">+AQ376-BC376</f>
        <v>0</v>
      </c>
      <c r="BE376" s="3"/>
      <c r="BF376" s="113">
        <f ref="BF376:BF406" t="shared" si="163">SUM(BG376:BS376)</f>
        <v>0</v>
      </c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41"/>
      <c r="BS376" s="129"/>
      <c r="BT376" s="130">
        <f ref="BT376:BT406" t="shared" si="164">+BD376-BF376</f>
        <v>0</v>
      </c>
      <c r="BU376" s="3"/>
    </row>
    <row r="377" ht="14.25" customHeight="1">
      <c r="A377" s="3"/>
      <c r="B377" s="215">
        <v>46358</v>
      </c>
      <c r="C377" s="123"/>
      <c r="D377" s="123"/>
      <c r="E377" s="120"/>
      <c r="F377" s="120"/>
      <c r="G377" s="147">
        <f t="shared" si="156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03">
        <f t="shared" si="157"/>
        <v>0</v>
      </c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43"/>
      <c r="AH377" s="103">
        <f t="shared" si="158"/>
        <v>0</v>
      </c>
      <c r="AI377" s="123"/>
      <c r="AJ377" s="123"/>
      <c r="AK377" s="123"/>
      <c r="AL377" s="105">
        <f t="shared" si="159"/>
        <v>0</v>
      </c>
      <c r="AM377" s="143"/>
      <c r="AN377" s="143"/>
      <c r="AO377" s="143"/>
      <c r="AP377" s="146"/>
      <c r="AQ377" s="224">
        <f t="shared" si="160"/>
        <v>0</v>
      </c>
      <c r="AR377" s="126"/>
      <c r="AS377" s="274"/>
      <c r="AT377" s="126"/>
      <c r="AU377" s="126"/>
      <c r="AV377" s="126"/>
      <c r="AW377" s="126"/>
      <c r="AX377" s="126"/>
      <c r="AY377" s="274"/>
      <c r="AZ377" s="274"/>
      <c r="BA377" s="274"/>
      <c r="BB377" s="274"/>
      <c r="BC377" s="222">
        <f t="shared" si="161"/>
        <v>0</v>
      </c>
      <c r="BD377" s="113">
        <f t="shared" si="162"/>
        <v>0</v>
      </c>
      <c r="BE377" s="3"/>
      <c r="BF377" s="113">
        <f t="shared" si="163"/>
        <v>0</v>
      </c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41"/>
      <c r="BS377" s="129"/>
      <c r="BT377" s="130">
        <f t="shared" si="164"/>
        <v>0</v>
      </c>
      <c r="BU377" s="3"/>
    </row>
    <row r="378" ht="14.25" customHeight="1">
      <c r="A378" s="3"/>
      <c r="B378" s="215">
        <v>46359</v>
      </c>
      <c r="C378" s="123"/>
      <c r="D378" s="123"/>
      <c r="E378" s="120"/>
      <c r="F378" s="120"/>
      <c r="G378" s="147">
        <f t="shared" si="156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03">
        <f t="shared" si="157"/>
        <v>0</v>
      </c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43"/>
      <c r="AH378" s="103">
        <f t="shared" si="158"/>
        <v>0</v>
      </c>
      <c r="AI378" s="123"/>
      <c r="AJ378" s="123"/>
      <c r="AK378" s="123"/>
      <c r="AL378" s="105">
        <f t="shared" si="159"/>
        <v>0</v>
      </c>
      <c r="AM378" s="143"/>
      <c r="AN378" s="143"/>
      <c r="AO378" s="143"/>
      <c r="AP378" s="146"/>
      <c r="AQ378" s="224">
        <f t="shared" si="160"/>
        <v>0</v>
      </c>
      <c r="AR378" s="126"/>
      <c r="AS378" s="274"/>
      <c r="AT378" s="274"/>
      <c r="AU378" s="126"/>
      <c r="AV378" s="126"/>
      <c r="AW378" s="126"/>
      <c r="AX378" s="126"/>
      <c r="AY378" s="274"/>
      <c r="AZ378" s="274"/>
      <c r="BA378" s="274"/>
      <c r="BB378" s="274"/>
      <c r="BC378" s="222">
        <f t="shared" si="161"/>
        <v>0</v>
      </c>
      <c r="BD378" s="113">
        <f t="shared" si="162"/>
        <v>0</v>
      </c>
      <c r="BE378" s="3"/>
      <c r="BF378" s="113">
        <f t="shared" si="163"/>
        <v>0</v>
      </c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64"/>
        <v>0</v>
      </c>
      <c r="BU378" s="3"/>
    </row>
    <row r="379" ht="14.25" customHeight="1">
      <c r="A379" s="3"/>
      <c r="B379" s="215">
        <v>46360</v>
      </c>
      <c r="C379" s="123"/>
      <c r="D379" s="123"/>
      <c r="E379" s="120"/>
      <c r="F379" s="120"/>
      <c r="G379" s="147">
        <f t="shared" si="156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03">
        <f t="shared" si="157"/>
        <v>0</v>
      </c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43"/>
      <c r="AH379" s="103">
        <f t="shared" si="158"/>
        <v>0</v>
      </c>
      <c r="AI379" s="123"/>
      <c r="AJ379" s="123"/>
      <c r="AK379" s="123"/>
      <c r="AL379" s="105">
        <f t="shared" si="159"/>
        <v>0</v>
      </c>
      <c r="AM379" s="143"/>
      <c r="AN379" s="143"/>
      <c r="AO379" s="143"/>
      <c r="AP379" s="146"/>
      <c r="AQ379" s="224">
        <f t="shared" si="160"/>
        <v>0</v>
      </c>
      <c r="AR379" s="126"/>
      <c r="AS379" s="274"/>
      <c r="AT379" s="274"/>
      <c r="AU379" s="126"/>
      <c r="AV379" s="126"/>
      <c r="AW379" s="126"/>
      <c r="AX379" s="126"/>
      <c r="AY379" s="274"/>
      <c r="AZ379" s="274"/>
      <c r="BA379" s="274"/>
      <c r="BB379" s="274"/>
      <c r="BC379" s="222">
        <f t="shared" si="161"/>
        <v>0</v>
      </c>
      <c r="BD379" s="113">
        <f t="shared" si="162"/>
        <v>0</v>
      </c>
      <c r="BE379" s="3"/>
      <c r="BF379" s="113">
        <f t="shared" si="163"/>
        <v>0</v>
      </c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41"/>
      <c r="BS379" s="129"/>
      <c r="BT379" s="130">
        <f t="shared" si="164"/>
        <v>0</v>
      </c>
      <c r="BU379" s="3"/>
    </row>
    <row r="380" ht="14.25" customHeight="1">
      <c r="A380" s="3"/>
      <c r="B380" s="215">
        <v>46361</v>
      </c>
      <c r="C380" s="123"/>
      <c r="D380" s="123"/>
      <c r="E380" s="120"/>
      <c r="F380" s="120"/>
      <c r="G380" s="147">
        <f t="shared" si="156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03">
        <f t="shared" si="157"/>
        <v>0</v>
      </c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43"/>
      <c r="AH380" s="103">
        <f t="shared" si="158"/>
        <v>0</v>
      </c>
      <c r="AI380" s="123"/>
      <c r="AJ380" s="123"/>
      <c r="AK380" s="123"/>
      <c r="AL380" s="105">
        <f t="shared" si="159"/>
        <v>0</v>
      </c>
      <c r="AM380" s="143"/>
      <c r="AN380" s="143"/>
      <c r="AO380" s="143"/>
      <c r="AP380" s="146"/>
      <c r="AQ380" s="224">
        <f t="shared" si="160"/>
        <v>0</v>
      </c>
      <c r="AR380" s="126"/>
      <c r="AS380" s="274"/>
      <c r="AT380" s="126"/>
      <c r="AU380" s="126"/>
      <c r="AV380" s="126"/>
      <c r="AW380" s="126"/>
      <c r="AX380" s="126"/>
      <c r="AY380" s="274"/>
      <c r="AZ380" s="274"/>
      <c r="BA380" s="274"/>
      <c r="BB380" s="274"/>
      <c r="BC380" s="222">
        <f t="shared" si="161"/>
        <v>0</v>
      </c>
      <c r="BD380" s="113">
        <f t="shared" si="162"/>
        <v>0</v>
      </c>
      <c r="BE380" s="3"/>
      <c r="BF380" s="113">
        <f t="shared" si="163"/>
        <v>0</v>
      </c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41"/>
      <c r="BS380" s="129"/>
      <c r="BT380" s="130">
        <f t="shared" si="164"/>
        <v>0</v>
      </c>
      <c r="BU380" s="3"/>
    </row>
    <row r="381" ht="14.25" customHeight="1">
      <c r="A381" s="3"/>
      <c r="B381" s="215">
        <v>46362</v>
      </c>
      <c r="C381" s="123"/>
      <c r="D381" s="123"/>
      <c r="E381" s="120"/>
      <c r="F381" s="120"/>
      <c r="G381" s="147">
        <f t="shared" si="156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03">
        <f t="shared" si="157"/>
        <v>0</v>
      </c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43"/>
      <c r="AH381" s="103">
        <f t="shared" si="158"/>
        <v>0</v>
      </c>
      <c r="AI381" s="123"/>
      <c r="AJ381" s="123"/>
      <c r="AK381" s="123"/>
      <c r="AL381" s="105">
        <f t="shared" si="159"/>
        <v>0</v>
      </c>
      <c r="AM381" s="143"/>
      <c r="AN381" s="143"/>
      <c r="AO381" s="143"/>
      <c r="AP381" s="146"/>
      <c r="AQ381" s="224">
        <f t="shared" si="160"/>
        <v>0</v>
      </c>
      <c r="AR381" s="126"/>
      <c r="AS381" s="274"/>
      <c r="AT381" s="126"/>
      <c r="AU381" s="126"/>
      <c r="AV381" s="126"/>
      <c r="AW381" s="126"/>
      <c r="AX381" s="126"/>
      <c r="AY381" s="274"/>
      <c r="AZ381" s="274"/>
      <c r="BA381" s="274"/>
      <c r="BB381" s="274"/>
      <c r="BC381" s="222">
        <f t="shared" si="161"/>
        <v>0</v>
      </c>
      <c r="BD381" s="113">
        <f t="shared" si="162"/>
        <v>0</v>
      </c>
      <c r="BE381" s="3"/>
      <c r="BF381" s="113">
        <f t="shared" si="163"/>
        <v>0</v>
      </c>
      <c r="BG381" s="129"/>
      <c r="BH381" s="129"/>
      <c r="BI381" s="129"/>
      <c r="BJ381" s="129"/>
      <c r="BK381" s="129"/>
      <c r="BL381" s="129"/>
      <c r="BM381" s="129"/>
      <c r="BN381" s="129"/>
      <c r="BO381" s="129"/>
      <c r="BP381" s="129"/>
      <c r="BQ381" s="129"/>
      <c r="BR381" s="141"/>
      <c r="BS381" s="129"/>
      <c r="BT381" s="130">
        <f t="shared" si="164"/>
        <v>0</v>
      </c>
      <c r="BU381" s="3"/>
    </row>
    <row r="382" ht="14.25" customHeight="1">
      <c r="A382" s="132"/>
      <c r="B382" s="215">
        <v>46363</v>
      </c>
      <c r="C382" s="136"/>
      <c r="D382" s="136"/>
      <c r="E382" s="135"/>
      <c r="F382" s="135"/>
      <c r="G382" s="147">
        <f t="shared" si="156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03">
        <f t="shared" si="157"/>
        <v>0</v>
      </c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43"/>
      <c r="AH382" s="103">
        <f t="shared" si="158"/>
        <v>0</v>
      </c>
      <c r="AI382" s="136"/>
      <c r="AJ382" s="136"/>
      <c r="AK382" s="136"/>
      <c r="AL382" s="105">
        <f t="shared" si="159"/>
        <v>0</v>
      </c>
      <c r="AM382" s="143"/>
      <c r="AN382" s="143"/>
      <c r="AO382" s="143"/>
      <c r="AP382" s="146"/>
      <c r="AQ382" s="224">
        <f t="shared" si="160"/>
        <v>0</v>
      </c>
      <c r="AR382" s="126"/>
      <c r="AS382" s="274"/>
      <c r="AT382" s="126"/>
      <c r="AU382" s="126"/>
      <c r="AV382" s="126"/>
      <c r="AW382" s="126"/>
      <c r="AX382" s="126"/>
      <c r="AY382" s="274"/>
      <c r="AZ382" s="274"/>
      <c r="BA382" s="274"/>
      <c r="BB382" s="274"/>
      <c r="BC382" s="222">
        <f t="shared" si="161"/>
        <v>0</v>
      </c>
      <c r="BD382" s="140">
        <f t="shared" si="162"/>
        <v>0</v>
      </c>
      <c r="BE382" s="132"/>
      <c r="BF382" s="140">
        <f t="shared" si="163"/>
        <v>0</v>
      </c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64"/>
        <v>0</v>
      </c>
      <c r="BU382" s="132"/>
    </row>
    <row r="383" ht="14.25" customHeight="1">
      <c r="A383" s="132"/>
      <c r="B383" s="215">
        <v>46364</v>
      </c>
      <c r="C383" s="136"/>
      <c r="D383" s="136"/>
      <c r="E383" s="135"/>
      <c r="F383" s="135"/>
      <c r="G383" s="147">
        <f t="shared" si="156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03">
        <f t="shared" si="157"/>
        <v>0</v>
      </c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43"/>
      <c r="AH383" s="103">
        <f t="shared" si="158"/>
        <v>0</v>
      </c>
      <c r="AI383" s="136"/>
      <c r="AJ383" s="136"/>
      <c r="AK383" s="136"/>
      <c r="AL383" s="105">
        <f t="shared" si="159"/>
        <v>0</v>
      </c>
      <c r="AM383" s="143"/>
      <c r="AN383" s="143"/>
      <c r="AO383" s="143"/>
      <c r="AP383" s="146"/>
      <c r="AQ383" s="224">
        <f t="shared" si="160"/>
        <v>0</v>
      </c>
      <c r="AR383" s="126"/>
      <c r="AS383" s="274"/>
      <c r="AT383" s="126"/>
      <c r="AU383" s="126"/>
      <c r="AV383" s="126"/>
      <c r="AW383" s="126"/>
      <c r="AX383" s="126"/>
      <c r="AY383" s="274"/>
      <c r="AZ383" s="274"/>
      <c r="BA383" s="274"/>
      <c r="BB383" s="274"/>
      <c r="BC383" s="222">
        <f t="shared" si="161"/>
        <v>0</v>
      </c>
      <c r="BD383" s="140">
        <f t="shared" si="162"/>
        <v>0</v>
      </c>
      <c r="BE383" s="132"/>
      <c r="BF383" s="140">
        <f t="shared" si="163"/>
        <v>0</v>
      </c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64"/>
        <v>0</v>
      </c>
      <c r="BU383" s="132"/>
    </row>
    <row r="384" ht="14.25" customHeight="1">
      <c r="A384" s="132"/>
      <c r="B384" s="215">
        <v>46365</v>
      </c>
      <c r="C384" s="136"/>
      <c r="D384" s="136"/>
      <c r="E384" s="135"/>
      <c r="F384" s="135"/>
      <c r="G384" s="147">
        <f t="shared" si="156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03">
        <f t="shared" si="157"/>
        <v>0</v>
      </c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43"/>
      <c r="AH384" s="103">
        <f t="shared" si="158"/>
        <v>0</v>
      </c>
      <c r="AI384" s="136"/>
      <c r="AJ384" s="136"/>
      <c r="AK384" s="136"/>
      <c r="AL384" s="105">
        <f t="shared" si="159"/>
        <v>0</v>
      </c>
      <c r="AM384" s="143"/>
      <c r="AN384" s="143"/>
      <c r="AO384" s="143"/>
      <c r="AP384" s="146"/>
      <c r="AQ384" s="224">
        <f t="shared" si="160"/>
        <v>0</v>
      </c>
      <c r="AR384" s="126"/>
      <c r="AS384" s="274"/>
      <c r="AT384" s="126"/>
      <c r="AU384" s="126"/>
      <c r="AV384" s="126"/>
      <c r="AW384" s="126"/>
      <c r="AX384" s="126"/>
      <c r="AY384" s="274"/>
      <c r="AZ384" s="274"/>
      <c r="BA384" s="274"/>
      <c r="BB384" s="274"/>
      <c r="BC384" s="222">
        <f t="shared" si="161"/>
        <v>0</v>
      </c>
      <c r="BD384" s="140">
        <f t="shared" si="162"/>
        <v>0</v>
      </c>
      <c r="BE384" s="132"/>
      <c r="BF384" s="140">
        <f t="shared" si="163"/>
        <v>0</v>
      </c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64"/>
        <v>0</v>
      </c>
      <c r="BU384" s="132"/>
    </row>
    <row r="385" ht="14.25" customHeight="1">
      <c r="A385" s="132"/>
      <c r="B385" s="215">
        <v>46366</v>
      </c>
      <c r="C385" s="136"/>
      <c r="D385" s="136"/>
      <c r="E385" s="135"/>
      <c r="F385" s="135"/>
      <c r="G385" s="147">
        <f t="shared" si="156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03">
        <f t="shared" si="157"/>
        <v>0</v>
      </c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43"/>
      <c r="AH385" s="103">
        <f t="shared" si="158"/>
        <v>0</v>
      </c>
      <c r="AI385" s="136"/>
      <c r="AJ385" s="136"/>
      <c r="AK385" s="136"/>
      <c r="AL385" s="105">
        <f t="shared" si="159"/>
        <v>0</v>
      </c>
      <c r="AM385" s="143"/>
      <c r="AN385" s="143"/>
      <c r="AO385" s="143"/>
      <c r="AP385" s="146"/>
      <c r="AQ385" s="224">
        <f t="shared" si="160"/>
        <v>0</v>
      </c>
      <c r="AR385" s="126"/>
      <c r="AS385" s="274"/>
      <c r="AT385" s="126"/>
      <c r="AU385" s="126"/>
      <c r="AV385" s="126"/>
      <c r="AW385" s="126"/>
      <c r="AX385" s="126"/>
      <c r="AY385" s="274"/>
      <c r="AZ385" s="274"/>
      <c r="BA385" s="274"/>
      <c r="BB385" s="274"/>
      <c r="BC385" s="222">
        <f t="shared" si="161"/>
        <v>0</v>
      </c>
      <c r="BD385" s="140">
        <f t="shared" si="162"/>
        <v>0</v>
      </c>
      <c r="BE385" s="132"/>
      <c r="BF385" s="140">
        <f t="shared" si="163"/>
        <v>0</v>
      </c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64"/>
        <v>0</v>
      </c>
      <c r="BU385" s="132"/>
    </row>
    <row r="386" ht="14.25" customHeight="1">
      <c r="A386" s="132"/>
      <c r="B386" s="215">
        <v>46367</v>
      </c>
      <c r="C386" s="136"/>
      <c r="D386" s="136"/>
      <c r="E386" s="135"/>
      <c r="F386" s="135"/>
      <c r="G386" s="147">
        <f t="shared" si="156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03">
        <f t="shared" si="157"/>
        <v>0</v>
      </c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43"/>
      <c r="AH386" s="103">
        <f t="shared" si="158"/>
        <v>0</v>
      </c>
      <c r="AI386" s="136"/>
      <c r="AJ386" s="136"/>
      <c r="AK386" s="136"/>
      <c r="AL386" s="105">
        <f t="shared" si="159"/>
        <v>0</v>
      </c>
      <c r="AM386" s="143"/>
      <c r="AN386" s="143"/>
      <c r="AO386" s="143"/>
      <c r="AP386" s="146"/>
      <c r="AQ386" s="224">
        <f t="shared" si="160"/>
        <v>0</v>
      </c>
      <c r="AR386" s="126"/>
      <c r="AS386" s="274"/>
      <c r="AT386" s="126"/>
      <c r="AU386" s="126"/>
      <c r="AV386" s="126"/>
      <c r="AW386" s="126"/>
      <c r="AX386" s="126"/>
      <c r="AY386" s="274"/>
      <c r="AZ386" s="274"/>
      <c r="BA386" s="274"/>
      <c r="BB386" s="274"/>
      <c r="BC386" s="222">
        <f t="shared" si="161"/>
        <v>0</v>
      </c>
      <c r="BD386" s="140">
        <f t="shared" si="162"/>
        <v>0</v>
      </c>
      <c r="BE386" s="132"/>
      <c r="BF386" s="140">
        <f t="shared" si="163"/>
        <v>0</v>
      </c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64"/>
        <v>0</v>
      </c>
      <c r="BU386" s="132"/>
    </row>
    <row r="387" ht="14.25" customHeight="1">
      <c r="A387" s="132"/>
      <c r="B387" s="215">
        <v>46368</v>
      </c>
      <c r="C387" s="136"/>
      <c r="D387" s="136"/>
      <c r="E387" s="135"/>
      <c r="F387" s="135"/>
      <c r="G387" s="147">
        <f t="shared" si="156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03">
        <f t="shared" si="157"/>
        <v>0</v>
      </c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43"/>
      <c r="AH387" s="103">
        <f t="shared" si="158"/>
        <v>0</v>
      </c>
      <c r="AI387" s="136"/>
      <c r="AJ387" s="136"/>
      <c r="AK387" s="136"/>
      <c r="AL387" s="105">
        <f t="shared" si="159"/>
        <v>0</v>
      </c>
      <c r="AM387" s="143"/>
      <c r="AN387" s="143"/>
      <c r="AO387" s="143"/>
      <c r="AP387" s="146"/>
      <c r="AQ387" s="224">
        <f t="shared" si="160"/>
        <v>0</v>
      </c>
      <c r="AR387" s="126"/>
      <c r="AS387" s="274"/>
      <c r="AT387" s="126"/>
      <c r="AU387" s="126"/>
      <c r="AV387" s="126"/>
      <c r="AW387" s="126"/>
      <c r="AX387" s="126"/>
      <c r="AY387" s="274"/>
      <c r="AZ387" s="274"/>
      <c r="BA387" s="274"/>
      <c r="BB387" s="274"/>
      <c r="BC387" s="222">
        <f t="shared" si="161"/>
        <v>0</v>
      </c>
      <c r="BD387" s="140">
        <f t="shared" si="162"/>
        <v>0</v>
      </c>
      <c r="BE387" s="132"/>
      <c r="BF387" s="140">
        <f t="shared" si="163"/>
        <v>0</v>
      </c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64"/>
        <v>0</v>
      </c>
      <c r="BU387" s="132"/>
    </row>
    <row r="388" ht="14.25" customHeight="1">
      <c r="A388" s="132"/>
      <c r="B388" s="215">
        <v>46369</v>
      </c>
      <c r="C388" s="136"/>
      <c r="D388" s="136"/>
      <c r="E388" s="135"/>
      <c r="F388" s="135"/>
      <c r="G388" s="147">
        <f t="shared" si="156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03">
        <f t="shared" si="157"/>
        <v>0</v>
      </c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43"/>
      <c r="AH388" s="103">
        <f t="shared" si="158"/>
        <v>0</v>
      </c>
      <c r="AI388" s="136"/>
      <c r="AJ388" s="136"/>
      <c r="AK388" s="136"/>
      <c r="AL388" s="105">
        <f t="shared" si="159"/>
        <v>0</v>
      </c>
      <c r="AM388" s="143"/>
      <c r="AN388" s="143"/>
      <c r="AO388" s="143"/>
      <c r="AP388" s="146"/>
      <c r="AQ388" s="224">
        <f t="shared" si="160"/>
        <v>0</v>
      </c>
      <c r="AR388" s="126"/>
      <c r="AS388" s="274"/>
      <c r="AT388" s="126"/>
      <c r="AU388" s="126"/>
      <c r="AV388" s="126"/>
      <c r="AW388" s="126"/>
      <c r="AX388" s="126"/>
      <c r="AY388" s="274"/>
      <c r="AZ388" s="274"/>
      <c r="BA388" s="274"/>
      <c r="BB388" s="274"/>
      <c r="BC388" s="222">
        <f t="shared" si="161"/>
        <v>0</v>
      </c>
      <c r="BD388" s="140">
        <f t="shared" si="162"/>
        <v>0</v>
      </c>
      <c r="BE388" s="132"/>
      <c r="BF388" s="140">
        <f t="shared" si="163"/>
        <v>0</v>
      </c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64"/>
        <v>0</v>
      </c>
      <c r="BU388" s="132"/>
    </row>
    <row r="389" ht="14.25" customHeight="1">
      <c r="A389" s="132"/>
      <c r="B389" s="215">
        <v>46370</v>
      </c>
      <c r="C389" s="136"/>
      <c r="D389" s="136"/>
      <c r="E389" s="135"/>
      <c r="F389" s="135"/>
      <c r="G389" s="147">
        <f t="shared" si="156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03">
        <f t="shared" si="157"/>
        <v>0</v>
      </c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43"/>
      <c r="AH389" s="103">
        <f t="shared" si="158"/>
        <v>0</v>
      </c>
      <c r="AI389" s="136"/>
      <c r="AJ389" s="136"/>
      <c r="AK389" s="136"/>
      <c r="AL389" s="105">
        <f t="shared" si="159"/>
        <v>0</v>
      </c>
      <c r="AM389" s="143"/>
      <c r="AN389" s="143"/>
      <c r="AO389" s="143"/>
      <c r="AP389" s="146"/>
      <c r="AQ389" s="224">
        <f t="shared" si="160"/>
        <v>0</v>
      </c>
      <c r="AR389" s="126"/>
      <c r="AS389" s="274"/>
      <c r="AT389" s="126"/>
      <c r="AU389" s="126"/>
      <c r="AV389" s="126"/>
      <c r="AW389" s="126"/>
      <c r="AX389" s="126"/>
      <c r="AY389" s="274"/>
      <c r="AZ389" s="274"/>
      <c r="BA389" s="274"/>
      <c r="BB389" s="274"/>
      <c r="BC389" s="222">
        <f t="shared" si="161"/>
        <v>0</v>
      </c>
      <c r="BD389" s="140">
        <f t="shared" si="162"/>
        <v>0</v>
      </c>
      <c r="BE389" s="132"/>
      <c r="BF389" s="140">
        <f t="shared" si="163"/>
        <v>0</v>
      </c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64"/>
        <v>0</v>
      </c>
      <c r="BU389" s="132"/>
    </row>
    <row r="390" ht="14.25" customHeight="1">
      <c r="A390" s="132"/>
      <c r="B390" s="215">
        <v>46371</v>
      </c>
      <c r="C390" s="136"/>
      <c r="D390" s="136"/>
      <c r="E390" s="135"/>
      <c r="F390" s="135"/>
      <c r="G390" s="147">
        <f t="shared" si="156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03">
        <f t="shared" si="157"/>
        <v>0</v>
      </c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43"/>
      <c r="AH390" s="103">
        <f t="shared" si="158"/>
        <v>0</v>
      </c>
      <c r="AI390" s="136"/>
      <c r="AJ390" s="136"/>
      <c r="AK390" s="136"/>
      <c r="AL390" s="105">
        <f t="shared" si="159"/>
        <v>0</v>
      </c>
      <c r="AM390" s="143"/>
      <c r="AN390" s="143"/>
      <c r="AO390" s="143"/>
      <c r="AP390" s="146"/>
      <c r="AQ390" s="224">
        <f t="shared" si="160"/>
        <v>0</v>
      </c>
      <c r="AR390" s="126"/>
      <c r="AS390" s="274"/>
      <c r="AT390" s="126"/>
      <c r="AU390" s="126"/>
      <c r="AV390" s="126"/>
      <c r="AW390" s="126"/>
      <c r="AX390" s="126"/>
      <c r="AY390" s="274"/>
      <c r="AZ390" s="274"/>
      <c r="BA390" s="274"/>
      <c r="BB390" s="274"/>
      <c r="BC390" s="222">
        <f t="shared" si="161"/>
        <v>0</v>
      </c>
      <c r="BD390" s="140">
        <f t="shared" si="162"/>
        <v>0</v>
      </c>
      <c r="BE390" s="132"/>
      <c r="BF390" s="140">
        <f t="shared" si="163"/>
        <v>0</v>
      </c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64"/>
        <v>0</v>
      </c>
      <c r="BU390" s="132"/>
    </row>
    <row r="391" ht="14.25" customHeight="1">
      <c r="A391" s="132"/>
      <c r="B391" s="215">
        <v>46372</v>
      </c>
      <c r="C391" s="136"/>
      <c r="D391" s="136"/>
      <c r="E391" s="135"/>
      <c r="F391" s="135"/>
      <c r="G391" s="147">
        <f t="shared" si="156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03">
        <f t="shared" si="157"/>
        <v>0</v>
      </c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43"/>
      <c r="AH391" s="103">
        <f t="shared" si="158"/>
        <v>0</v>
      </c>
      <c r="AI391" s="136"/>
      <c r="AJ391" s="136"/>
      <c r="AK391" s="136"/>
      <c r="AL391" s="105">
        <f t="shared" si="159"/>
        <v>0</v>
      </c>
      <c r="AM391" s="143"/>
      <c r="AN391" s="143"/>
      <c r="AO391" s="143"/>
      <c r="AP391" s="146"/>
      <c r="AQ391" s="224">
        <f t="shared" si="160"/>
        <v>0</v>
      </c>
      <c r="AR391" s="126"/>
      <c r="AS391" s="274"/>
      <c r="AT391" s="126"/>
      <c r="AU391" s="126"/>
      <c r="AV391" s="126"/>
      <c r="AW391" s="126"/>
      <c r="AX391" s="126"/>
      <c r="AY391" s="274"/>
      <c r="AZ391" s="274"/>
      <c r="BA391" s="274"/>
      <c r="BB391" s="274"/>
      <c r="BC391" s="222">
        <f t="shared" si="161"/>
        <v>0</v>
      </c>
      <c r="BD391" s="140">
        <f t="shared" si="162"/>
        <v>0</v>
      </c>
      <c r="BE391" s="132"/>
      <c r="BF391" s="140">
        <f t="shared" si="163"/>
        <v>0</v>
      </c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64"/>
        <v>0</v>
      </c>
      <c r="BU391" s="132"/>
    </row>
    <row r="392" ht="14.25" customHeight="1">
      <c r="A392" s="132"/>
      <c r="B392" s="215">
        <v>46373</v>
      </c>
      <c r="C392" s="136"/>
      <c r="D392" s="136"/>
      <c r="E392" s="135"/>
      <c r="F392" s="135"/>
      <c r="G392" s="147">
        <f t="shared" si="156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03">
        <f t="shared" si="157"/>
        <v>0</v>
      </c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43"/>
      <c r="AH392" s="103">
        <f t="shared" si="158"/>
        <v>0</v>
      </c>
      <c r="AI392" s="136"/>
      <c r="AJ392" s="136"/>
      <c r="AK392" s="136"/>
      <c r="AL392" s="105">
        <f t="shared" si="159"/>
        <v>0</v>
      </c>
      <c r="AM392" s="143"/>
      <c r="AN392" s="143"/>
      <c r="AO392" s="143"/>
      <c r="AP392" s="146"/>
      <c r="AQ392" s="224">
        <f t="shared" si="160"/>
        <v>0</v>
      </c>
      <c r="AR392" s="126"/>
      <c r="AS392" s="274"/>
      <c r="AT392" s="126"/>
      <c r="AU392" s="126"/>
      <c r="AV392" s="126"/>
      <c r="AW392" s="126"/>
      <c r="AX392" s="126"/>
      <c r="AY392" s="274"/>
      <c r="AZ392" s="274"/>
      <c r="BA392" s="274"/>
      <c r="BB392" s="274"/>
      <c r="BC392" s="222">
        <f t="shared" si="161"/>
        <v>0</v>
      </c>
      <c r="BD392" s="140">
        <f t="shared" si="162"/>
        <v>0</v>
      </c>
      <c r="BE392" s="132"/>
      <c r="BF392" s="140">
        <f t="shared" si="163"/>
        <v>0</v>
      </c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64"/>
        <v>0</v>
      </c>
      <c r="BU392" s="132"/>
    </row>
    <row r="393" ht="14.25" customHeight="1">
      <c r="A393" s="132"/>
      <c r="B393" s="215">
        <v>46374</v>
      </c>
      <c r="C393" s="136"/>
      <c r="D393" s="136"/>
      <c r="E393" s="135"/>
      <c r="F393" s="135"/>
      <c r="G393" s="147">
        <f t="shared" si="156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03">
        <f t="shared" si="157"/>
        <v>0</v>
      </c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43"/>
      <c r="AH393" s="103">
        <f t="shared" si="158"/>
        <v>0</v>
      </c>
      <c r="AI393" s="136"/>
      <c r="AJ393" s="136"/>
      <c r="AK393" s="136"/>
      <c r="AL393" s="105">
        <f t="shared" si="159"/>
        <v>0</v>
      </c>
      <c r="AM393" s="143"/>
      <c r="AN393" s="143"/>
      <c r="AO393" s="143"/>
      <c r="AP393" s="146"/>
      <c r="AQ393" s="224">
        <f t="shared" si="160"/>
        <v>0</v>
      </c>
      <c r="AR393" s="126"/>
      <c r="AS393" s="274"/>
      <c r="AT393" s="126"/>
      <c r="AU393" s="126"/>
      <c r="AV393" s="126"/>
      <c r="AW393" s="126"/>
      <c r="AX393" s="126"/>
      <c r="AY393" s="274"/>
      <c r="AZ393" s="274"/>
      <c r="BA393" s="274"/>
      <c r="BB393" s="274"/>
      <c r="BC393" s="222">
        <f t="shared" si="161"/>
        <v>0</v>
      </c>
      <c r="BD393" s="140">
        <f t="shared" si="162"/>
        <v>0</v>
      </c>
      <c r="BE393" s="132"/>
      <c r="BF393" s="140">
        <f t="shared" si="163"/>
        <v>0</v>
      </c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64"/>
        <v>0</v>
      </c>
      <c r="BU393" s="132"/>
    </row>
    <row r="394" ht="14.25" customHeight="1">
      <c r="A394" s="132"/>
      <c r="B394" s="215">
        <v>46375</v>
      </c>
      <c r="C394" s="136"/>
      <c r="D394" s="136"/>
      <c r="E394" s="135"/>
      <c r="F394" s="135"/>
      <c r="G394" s="147">
        <f t="shared" si="156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03">
        <f t="shared" si="157"/>
        <v>0</v>
      </c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43"/>
      <c r="AH394" s="103">
        <f t="shared" si="158"/>
        <v>0</v>
      </c>
      <c r="AI394" s="136"/>
      <c r="AJ394" s="136"/>
      <c r="AK394" s="136"/>
      <c r="AL394" s="105">
        <f t="shared" si="159"/>
        <v>0</v>
      </c>
      <c r="AM394" s="143"/>
      <c r="AN394" s="143"/>
      <c r="AO394" s="143"/>
      <c r="AP394" s="146"/>
      <c r="AQ394" s="224">
        <f t="shared" si="160"/>
        <v>0</v>
      </c>
      <c r="AR394" s="126"/>
      <c r="AS394" s="274"/>
      <c r="AT394" s="126"/>
      <c r="AU394" s="126"/>
      <c r="AV394" s="126"/>
      <c r="AW394" s="126"/>
      <c r="AX394" s="126"/>
      <c r="AY394" s="274"/>
      <c r="AZ394" s="274"/>
      <c r="BA394" s="274"/>
      <c r="BB394" s="274"/>
      <c r="BC394" s="222">
        <f t="shared" si="161"/>
        <v>0</v>
      </c>
      <c r="BD394" s="140">
        <f t="shared" si="162"/>
        <v>0</v>
      </c>
      <c r="BE394" s="132"/>
      <c r="BF394" s="140">
        <f t="shared" si="163"/>
        <v>0</v>
      </c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64"/>
        <v>0</v>
      </c>
      <c r="BU394" s="132"/>
    </row>
    <row r="395" ht="14.25" customHeight="1">
      <c r="A395" s="132"/>
      <c r="B395" s="215">
        <v>46376</v>
      </c>
      <c r="C395" s="136"/>
      <c r="D395" s="136"/>
      <c r="E395" s="135"/>
      <c r="F395" s="135"/>
      <c r="G395" s="147">
        <f t="shared" si="156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03">
        <f t="shared" si="157"/>
        <v>0</v>
      </c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43"/>
      <c r="AH395" s="103">
        <f t="shared" si="158"/>
        <v>0</v>
      </c>
      <c r="AI395" s="136"/>
      <c r="AJ395" s="136"/>
      <c r="AK395" s="136"/>
      <c r="AL395" s="105">
        <f t="shared" si="159"/>
        <v>0</v>
      </c>
      <c r="AM395" s="143"/>
      <c r="AN395" s="143"/>
      <c r="AO395" s="143"/>
      <c r="AP395" s="146"/>
      <c r="AQ395" s="224">
        <f t="shared" si="160"/>
        <v>0</v>
      </c>
      <c r="AR395" s="126"/>
      <c r="AS395" s="274"/>
      <c r="AT395" s="126"/>
      <c r="AU395" s="126"/>
      <c r="AV395" s="126"/>
      <c r="AW395" s="126"/>
      <c r="AX395" s="126"/>
      <c r="AY395" s="274"/>
      <c r="AZ395" s="274"/>
      <c r="BA395" s="274"/>
      <c r="BB395" s="274"/>
      <c r="BC395" s="222">
        <f t="shared" si="161"/>
        <v>0</v>
      </c>
      <c r="BD395" s="140">
        <f t="shared" si="162"/>
        <v>0</v>
      </c>
      <c r="BE395" s="132"/>
      <c r="BF395" s="140">
        <f t="shared" si="163"/>
        <v>0</v>
      </c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64"/>
        <v>0</v>
      </c>
      <c r="BU395" s="132"/>
    </row>
    <row r="396" ht="14.25" customHeight="1">
      <c r="A396" s="132"/>
      <c r="B396" s="215">
        <v>46377</v>
      </c>
      <c r="C396" s="136"/>
      <c r="D396" s="136"/>
      <c r="E396" s="135"/>
      <c r="F396" s="135"/>
      <c r="G396" s="147">
        <f t="shared" si="156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03">
        <f t="shared" si="157"/>
        <v>0</v>
      </c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43"/>
      <c r="AH396" s="103">
        <f t="shared" si="158"/>
        <v>0</v>
      </c>
      <c r="AI396" s="136"/>
      <c r="AJ396" s="136"/>
      <c r="AK396" s="136"/>
      <c r="AL396" s="105">
        <f t="shared" si="159"/>
        <v>0</v>
      </c>
      <c r="AM396" s="143"/>
      <c r="AN396" s="143"/>
      <c r="AO396" s="143"/>
      <c r="AP396" s="146"/>
      <c r="AQ396" s="224">
        <f t="shared" si="160"/>
        <v>0</v>
      </c>
      <c r="AR396" s="126"/>
      <c r="AS396" s="274"/>
      <c r="AT396" s="126"/>
      <c r="AU396" s="126"/>
      <c r="AV396" s="126"/>
      <c r="AW396" s="126"/>
      <c r="AX396" s="126"/>
      <c r="AY396" s="274"/>
      <c r="AZ396" s="274"/>
      <c r="BA396" s="274"/>
      <c r="BB396" s="274"/>
      <c r="BC396" s="222">
        <f t="shared" si="161"/>
        <v>0</v>
      </c>
      <c r="BD396" s="140">
        <f t="shared" si="162"/>
        <v>0</v>
      </c>
      <c r="BE396" s="132"/>
      <c r="BF396" s="140">
        <f t="shared" si="163"/>
        <v>0</v>
      </c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64"/>
        <v>0</v>
      </c>
      <c r="BU396" s="132"/>
    </row>
    <row r="397" ht="14.25" customHeight="1">
      <c r="A397" s="132"/>
      <c r="B397" s="215">
        <v>46378</v>
      </c>
      <c r="C397" s="136"/>
      <c r="D397" s="136"/>
      <c r="E397" s="135"/>
      <c r="F397" s="135"/>
      <c r="G397" s="147">
        <f t="shared" si="156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03">
        <f t="shared" si="157"/>
        <v>0</v>
      </c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43"/>
      <c r="AH397" s="103">
        <f t="shared" si="158"/>
        <v>0</v>
      </c>
      <c r="AI397" s="136"/>
      <c r="AJ397" s="136"/>
      <c r="AK397" s="136"/>
      <c r="AL397" s="105">
        <f t="shared" si="159"/>
        <v>0</v>
      </c>
      <c r="AM397" s="143"/>
      <c r="AN397" s="143"/>
      <c r="AO397" s="143"/>
      <c r="AP397" s="146"/>
      <c r="AQ397" s="224">
        <f t="shared" si="160"/>
        <v>0</v>
      </c>
      <c r="AR397" s="126"/>
      <c r="AS397" s="274"/>
      <c r="AT397" s="126"/>
      <c r="AU397" s="126"/>
      <c r="AV397" s="126"/>
      <c r="AW397" s="126"/>
      <c r="AX397" s="126"/>
      <c r="AY397" s="274"/>
      <c r="AZ397" s="274"/>
      <c r="BA397" s="274"/>
      <c r="BB397" s="274"/>
      <c r="BC397" s="222">
        <f t="shared" si="161"/>
        <v>0</v>
      </c>
      <c r="BD397" s="140">
        <f t="shared" si="162"/>
        <v>0</v>
      </c>
      <c r="BE397" s="132"/>
      <c r="BF397" s="140">
        <f t="shared" si="163"/>
        <v>0</v>
      </c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64"/>
        <v>0</v>
      </c>
      <c r="BU397" s="132"/>
    </row>
    <row r="398" ht="14.25" customHeight="1">
      <c r="A398" s="132"/>
      <c r="B398" s="215">
        <v>46379</v>
      </c>
      <c r="C398" s="136"/>
      <c r="D398" s="136"/>
      <c r="E398" s="135"/>
      <c r="F398" s="135"/>
      <c r="G398" s="147">
        <f t="shared" si="156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03">
        <f t="shared" si="157"/>
        <v>0</v>
      </c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43"/>
      <c r="AH398" s="103">
        <f t="shared" si="158"/>
        <v>0</v>
      </c>
      <c r="AI398" s="136"/>
      <c r="AJ398" s="136"/>
      <c r="AK398" s="136"/>
      <c r="AL398" s="105">
        <f t="shared" si="159"/>
        <v>0</v>
      </c>
      <c r="AM398" s="143"/>
      <c r="AN398" s="143"/>
      <c r="AO398" s="143"/>
      <c r="AP398" s="146"/>
      <c r="AQ398" s="224">
        <f t="shared" si="160"/>
        <v>0</v>
      </c>
      <c r="AR398" s="126"/>
      <c r="AS398" s="274"/>
      <c r="AT398" s="126"/>
      <c r="AU398" s="126"/>
      <c r="AV398" s="126"/>
      <c r="AW398" s="126"/>
      <c r="AX398" s="126"/>
      <c r="AY398" s="274"/>
      <c r="AZ398" s="274"/>
      <c r="BA398" s="274"/>
      <c r="BB398" s="274"/>
      <c r="BC398" s="222">
        <f t="shared" si="161"/>
        <v>0</v>
      </c>
      <c r="BD398" s="140">
        <f t="shared" si="162"/>
        <v>0</v>
      </c>
      <c r="BE398" s="132"/>
      <c r="BF398" s="140">
        <f t="shared" si="163"/>
        <v>0</v>
      </c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64"/>
        <v>0</v>
      </c>
      <c r="BU398" s="132"/>
    </row>
    <row r="399" ht="14.25" customHeight="1">
      <c r="A399" s="132"/>
      <c r="B399" s="215">
        <v>46380</v>
      </c>
      <c r="C399" s="136"/>
      <c r="D399" s="136"/>
      <c r="E399" s="135"/>
      <c r="F399" s="135"/>
      <c r="G399" s="147">
        <f t="shared" si="156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03">
        <f t="shared" si="157"/>
        <v>0</v>
      </c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43"/>
      <c r="AH399" s="103">
        <f t="shared" si="158"/>
        <v>0</v>
      </c>
      <c r="AI399" s="136"/>
      <c r="AJ399" s="136"/>
      <c r="AK399" s="136"/>
      <c r="AL399" s="105">
        <f t="shared" si="159"/>
        <v>0</v>
      </c>
      <c r="AM399" s="143"/>
      <c r="AN399" s="143"/>
      <c r="AO399" s="143"/>
      <c r="AP399" s="146"/>
      <c r="AQ399" s="224">
        <f t="shared" si="160"/>
        <v>0</v>
      </c>
      <c r="AR399" s="126"/>
      <c r="AS399" s="274"/>
      <c r="AT399" s="126"/>
      <c r="AU399" s="126"/>
      <c r="AV399" s="126"/>
      <c r="AW399" s="126"/>
      <c r="AX399" s="126"/>
      <c r="AY399" s="274"/>
      <c r="AZ399" s="274"/>
      <c r="BA399" s="274"/>
      <c r="BB399" s="274"/>
      <c r="BC399" s="222">
        <f t="shared" si="161"/>
        <v>0</v>
      </c>
      <c r="BD399" s="140">
        <f t="shared" si="162"/>
        <v>0</v>
      </c>
      <c r="BE399" s="132"/>
      <c r="BF399" s="140">
        <f t="shared" si="163"/>
        <v>0</v>
      </c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64"/>
        <v>0</v>
      </c>
      <c r="BU399" s="132"/>
    </row>
    <row r="400" ht="14.25" customHeight="1">
      <c r="A400" s="132"/>
      <c r="B400" s="215">
        <v>46381</v>
      </c>
      <c r="C400" s="136"/>
      <c r="D400" s="136"/>
      <c r="E400" s="135"/>
      <c r="F400" s="135"/>
      <c r="G400" s="147">
        <f t="shared" si="156"/>
        <v>0</v>
      </c>
      <c r="H400" s="144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03">
        <f t="shared" si="157"/>
        <v>0</v>
      </c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43"/>
      <c r="AH400" s="103">
        <f t="shared" si="158"/>
        <v>0</v>
      </c>
      <c r="AI400" s="136"/>
      <c r="AJ400" s="136"/>
      <c r="AK400" s="136"/>
      <c r="AL400" s="105">
        <f t="shared" si="159"/>
        <v>0</v>
      </c>
      <c r="AM400" s="143"/>
      <c r="AN400" s="143"/>
      <c r="AO400" s="143"/>
      <c r="AP400" s="146"/>
      <c r="AQ400" s="224">
        <f t="shared" si="160"/>
        <v>0</v>
      </c>
      <c r="AR400" s="126"/>
      <c r="AS400" s="274"/>
      <c r="AT400" s="126"/>
      <c r="AU400" s="126"/>
      <c r="AV400" s="126"/>
      <c r="AW400" s="126"/>
      <c r="AX400" s="126"/>
      <c r="AY400" s="274"/>
      <c r="AZ400" s="274"/>
      <c r="BA400" s="274"/>
      <c r="BB400" s="274"/>
      <c r="BC400" s="222">
        <f t="shared" si="161"/>
        <v>0</v>
      </c>
      <c r="BD400" s="140">
        <f t="shared" si="162"/>
        <v>0</v>
      </c>
      <c r="BE400" s="132"/>
      <c r="BF400" s="140">
        <f t="shared" si="163"/>
        <v>0</v>
      </c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64"/>
        <v>0</v>
      </c>
      <c r="BU400" s="132"/>
    </row>
    <row r="401" ht="14.25" customHeight="1">
      <c r="A401" s="132"/>
      <c r="B401" s="215">
        <v>46382</v>
      </c>
      <c r="C401" s="136"/>
      <c r="D401" s="136"/>
      <c r="E401" s="135"/>
      <c r="F401" s="135"/>
      <c r="G401" s="147">
        <f t="shared" si="156"/>
        <v>0</v>
      </c>
      <c r="H401" s="144"/>
      <c r="I401" s="143"/>
      <c r="J401" s="143"/>
      <c r="K401" s="143"/>
      <c r="L401" s="143"/>
      <c r="M401" s="143"/>
      <c r="N401" s="99"/>
      <c r="O401" s="143"/>
      <c r="P401" s="143"/>
      <c r="Q401" s="143"/>
      <c r="R401" s="143"/>
      <c r="S401" s="143"/>
      <c r="T401" s="143"/>
      <c r="U401" s="103">
        <f t="shared" si="157"/>
        <v>0</v>
      </c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43"/>
      <c r="AH401" s="103">
        <f t="shared" si="158"/>
        <v>0</v>
      </c>
      <c r="AI401" s="136"/>
      <c r="AJ401" s="136"/>
      <c r="AK401" s="136"/>
      <c r="AL401" s="105">
        <f t="shared" si="159"/>
        <v>0</v>
      </c>
      <c r="AM401" s="143"/>
      <c r="AN401" s="143"/>
      <c r="AO401" s="143"/>
      <c r="AP401" s="146"/>
      <c r="AQ401" s="224">
        <f t="shared" si="160"/>
        <v>0</v>
      </c>
      <c r="AR401" s="126"/>
      <c r="AS401" s="274"/>
      <c r="AT401" s="126"/>
      <c r="AU401" s="126"/>
      <c r="AV401" s="126"/>
      <c r="AW401" s="126"/>
      <c r="AX401" s="126"/>
      <c r="AY401" s="274"/>
      <c r="AZ401" s="274"/>
      <c r="BA401" s="274"/>
      <c r="BB401" s="274"/>
      <c r="BC401" s="222">
        <f t="shared" si="161"/>
        <v>0</v>
      </c>
      <c r="BD401" s="140">
        <f t="shared" si="162"/>
        <v>0</v>
      </c>
      <c r="BE401" s="132"/>
      <c r="BF401" s="140">
        <f t="shared" si="163"/>
        <v>0</v>
      </c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64"/>
        <v>0</v>
      </c>
      <c r="BU401" s="132"/>
    </row>
    <row r="402" ht="14.25" customHeight="1">
      <c r="A402" s="132"/>
      <c r="B402" s="215">
        <v>46383</v>
      </c>
      <c r="C402" s="136"/>
      <c r="D402" s="136"/>
      <c r="E402" s="135"/>
      <c r="F402" s="135"/>
      <c r="G402" s="147">
        <f t="shared" si="156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03">
        <f t="shared" si="157"/>
        <v>0</v>
      </c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43"/>
      <c r="AH402" s="103">
        <f t="shared" si="158"/>
        <v>0</v>
      </c>
      <c r="AI402" s="136"/>
      <c r="AJ402" s="136"/>
      <c r="AK402" s="136"/>
      <c r="AL402" s="105">
        <f t="shared" si="159"/>
        <v>0</v>
      </c>
      <c r="AM402" s="143"/>
      <c r="AN402" s="143"/>
      <c r="AO402" s="143"/>
      <c r="AP402" s="146"/>
      <c r="AQ402" s="224">
        <f t="shared" si="160"/>
        <v>0</v>
      </c>
      <c r="AR402" s="126"/>
      <c r="AS402" s="274"/>
      <c r="AT402" s="126"/>
      <c r="AU402" s="126"/>
      <c r="AV402" s="126"/>
      <c r="AW402" s="126"/>
      <c r="AX402" s="126"/>
      <c r="AY402" s="274"/>
      <c r="AZ402" s="274"/>
      <c r="BA402" s="274"/>
      <c r="BB402" s="274"/>
      <c r="BC402" s="222">
        <f t="shared" si="161"/>
        <v>0</v>
      </c>
      <c r="BD402" s="140">
        <f t="shared" si="162"/>
        <v>0</v>
      </c>
      <c r="BE402" s="132"/>
      <c r="BF402" s="140">
        <f t="shared" si="163"/>
        <v>0</v>
      </c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64"/>
        <v>0</v>
      </c>
      <c r="BU402" s="132"/>
    </row>
    <row r="403" ht="14.25" customHeight="1">
      <c r="A403" s="132"/>
      <c r="B403" s="215">
        <v>46384</v>
      </c>
      <c r="C403" s="136"/>
      <c r="D403" s="136"/>
      <c r="E403" s="135"/>
      <c r="F403" s="135"/>
      <c r="G403" s="147">
        <f t="shared" si="156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03">
        <f t="shared" si="157"/>
        <v>0</v>
      </c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43"/>
      <c r="AH403" s="103">
        <f t="shared" si="158"/>
        <v>0</v>
      </c>
      <c r="AI403" s="136"/>
      <c r="AJ403" s="136"/>
      <c r="AK403" s="136"/>
      <c r="AL403" s="105">
        <f t="shared" si="159"/>
        <v>0</v>
      </c>
      <c r="AM403" s="143"/>
      <c r="AN403" s="143"/>
      <c r="AO403" s="143"/>
      <c r="AP403" s="146"/>
      <c r="AQ403" s="224">
        <f t="shared" si="160"/>
        <v>0</v>
      </c>
      <c r="AR403" s="126"/>
      <c r="AS403" s="274"/>
      <c r="AT403" s="126"/>
      <c r="AU403" s="126"/>
      <c r="AV403" s="126"/>
      <c r="AW403" s="126"/>
      <c r="AX403" s="126"/>
      <c r="AY403" s="274"/>
      <c r="AZ403" s="274"/>
      <c r="BA403" s="274"/>
      <c r="BB403" s="274"/>
      <c r="BC403" s="222">
        <f t="shared" si="161"/>
        <v>0</v>
      </c>
      <c r="BD403" s="140">
        <f t="shared" si="162"/>
        <v>0</v>
      </c>
      <c r="BE403" s="132"/>
      <c r="BF403" s="140">
        <f t="shared" si="163"/>
        <v>0</v>
      </c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64"/>
        <v>0</v>
      </c>
      <c r="BU403" s="132"/>
    </row>
    <row r="404" ht="14.25" customHeight="1">
      <c r="A404" s="132"/>
      <c r="B404" s="215">
        <v>46385</v>
      </c>
      <c r="C404" s="136"/>
      <c r="D404" s="136"/>
      <c r="E404" s="135"/>
      <c r="F404" s="135"/>
      <c r="G404" s="147">
        <f t="shared" si="156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03">
        <f t="shared" si="157"/>
        <v>0</v>
      </c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43"/>
      <c r="AH404" s="103">
        <f t="shared" si="158"/>
        <v>0</v>
      </c>
      <c r="AI404" s="136"/>
      <c r="AJ404" s="136"/>
      <c r="AK404" s="136"/>
      <c r="AL404" s="105">
        <f t="shared" si="159"/>
        <v>0</v>
      </c>
      <c r="AM404" s="143"/>
      <c r="AN404" s="143"/>
      <c r="AO404" s="143"/>
      <c r="AP404" s="146"/>
      <c r="AQ404" s="224">
        <f t="shared" si="160"/>
        <v>0</v>
      </c>
      <c r="AR404" s="126"/>
      <c r="AS404" s="274"/>
      <c r="AT404" s="126"/>
      <c r="AU404" s="126"/>
      <c r="AV404" s="126"/>
      <c r="AW404" s="126"/>
      <c r="AX404" s="126"/>
      <c r="AY404" s="274"/>
      <c r="AZ404" s="274"/>
      <c r="BA404" s="274"/>
      <c r="BB404" s="274"/>
      <c r="BC404" s="222">
        <f t="shared" si="161"/>
        <v>0</v>
      </c>
      <c r="BD404" s="140">
        <f t="shared" si="162"/>
        <v>0</v>
      </c>
      <c r="BE404" s="132"/>
      <c r="BF404" s="140">
        <f t="shared" si="163"/>
        <v>0</v>
      </c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64"/>
        <v>0</v>
      </c>
      <c r="BU404" s="132"/>
    </row>
    <row r="405" ht="14.25" customHeight="1">
      <c r="A405" s="132"/>
      <c r="B405" s="215">
        <v>46386</v>
      </c>
      <c r="C405" s="136"/>
      <c r="D405" s="136"/>
      <c r="E405" s="135"/>
      <c r="F405" s="135"/>
      <c r="G405" s="147">
        <f t="shared" si="156"/>
        <v>0</v>
      </c>
      <c r="H405" s="144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03">
        <f t="shared" si="157"/>
        <v>0</v>
      </c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  <c r="AF405" s="143"/>
      <c r="AG405" s="143"/>
      <c r="AH405" s="103">
        <f t="shared" si="158"/>
        <v>0</v>
      </c>
      <c r="AI405" s="136"/>
      <c r="AJ405" s="136"/>
      <c r="AK405" s="136"/>
      <c r="AL405" s="105">
        <f t="shared" si="159"/>
        <v>0</v>
      </c>
      <c r="AM405" s="143"/>
      <c r="AN405" s="143"/>
      <c r="AO405" s="143"/>
      <c r="AP405" s="146"/>
      <c r="AQ405" s="224">
        <f t="shared" si="160"/>
        <v>0</v>
      </c>
      <c r="AR405" s="126"/>
      <c r="AS405" s="274"/>
      <c r="AT405" s="126"/>
      <c r="AU405" s="126"/>
      <c r="AV405" s="126"/>
      <c r="AW405" s="126"/>
      <c r="AX405" s="126"/>
      <c r="AY405" s="274"/>
      <c r="AZ405" s="274"/>
      <c r="BA405" s="274"/>
      <c r="BB405" s="274"/>
      <c r="BC405" s="222">
        <f t="shared" si="161"/>
        <v>0</v>
      </c>
      <c r="BD405" s="140">
        <f t="shared" si="162"/>
        <v>0</v>
      </c>
      <c r="BE405" s="132"/>
      <c r="BF405" s="140">
        <f t="shared" si="163"/>
        <v>0</v>
      </c>
      <c r="BG405" s="141"/>
      <c r="BH405" s="141"/>
      <c r="BI405" s="141"/>
      <c r="BJ405" s="141"/>
      <c r="BK405" s="141"/>
      <c r="BL405" s="141"/>
      <c r="BM405" s="141"/>
      <c r="BN405" s="141"/>
      <c r="BO405" s="141"/>
      <c r="BP405" s="141"/>
      <c r="BQ405" s="141"/>
      <c r="BR405" s="141"/>
      <c r="BS405" s="141"/>
      <c r="BT405" s="130">
        <f t="shared" si="164"/>
        <v>0</v>
      </c>
      <c r="BU405" s="132"/>
    </row>
    <row r="406" ht="14.25" customHeight="1">
      <c r="A406" s="132"/>
      <c r="B406" s="215">
        <v>46387</v>
      </c>
      <c r="C406" s="159"/>
      <c r="D406" s="159"/>
      <c r="E406" s="156"/>
      <c r="F406" s="156"/>
      <c r="G406" s="147">
        <f t="shared" si="156"/>
        <v>0</v>
      </c>
      <c r="H406" s="612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03">
        <f t="shared" si="157"/>
        <v>0</v>
      </c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03">
        <f t="shared" si="158"/>
        <v>0</v>
      </c>
      <c r="AI406" s="159"/>
      <c r="AJ406" s="159"/>
      <c r="AK406" s="159"/>
      <c r="AL406" s="105">
        <f t="shared" si="159"/>
        <v>0</v>
      </c>
      <c r="AM406" s="157"/>
      <c r="AN406" s="157"/>
      <c r="AO406" s="157"/>
      <c r="AP406" s="160"/>
      <c r="AQ406" s="224">
        <f t="shared" si="160"/>
        <v>0</v>
      </c>
      <c r="AR406" s="138"/>
      <c r="AS406" s="296"/>
      <c r="AT406" s="138"/>
      <c r="AU406" s="138"/>
      <c r="AV406" s="138"/>
      <c r="AW406" s="138"/>
      <c r="AX406" s="138"/>
      <c r="AY406" s="296"/>
      <c r="AZ406" s="296"/>
      <c r="BA406" s="296"/>
      <c r="BB406" s="296"/>
      <c r="BC406" s="222">
        <f t="shared" si="161"/>
        <v>0</v>
      </c>
      <c r="BD406" s="162">
        <f t="shared" si="162"/>
        <v>0</v>
      </c>
      <c r="BE406" s="132"/>
      <c r="BF406" s="162">
        <f t="shared" si="163"/>
        <v>0</v>
      </c>
      <c r="BG406" s="163"/>
      <c r="BH406" s="163"/>
      <c r="BI406" s="163"/>
      <c r="BJ406" s="163"/>
      <c r="BK406" s="163"/>
      <c r="BL406" s="163"/>
      <c r="BM406" s="163"/>
      <c r="BN406" s="163"/>
      <c r="BO406" s="163"/>
      <c r="BP406" s="141"/>
      <c r="BQ406" s="163"/>
      <c r="BR406" s="163"/>
      <c r="BS406" s="163"/>
      <c r="BT406" s="164">
        <f t="shared" si="164"/>
        <v>0</v>
      </c>
      <c r="BU406" s="132"/>
    </row>
    <row r="407" ht="14.25" customHeight="1">
      <c r="A407" s="3"/>
      <c r="B407" s="2" t="s">
        <v>86</v>
      </c>
      <c r="C407" s="166">
        <f ref="C407:R407" t="shared" si="165">SUM(C376:C406)</f>
        <v>0</v>
      </c>
      <c r="D407" s="166">
        <f t="shared" si="165"/>
        <v>0</v>
      </c>
      <c r="E407" s="167">
        <f t="shared" si="165"/>
        <v>0</v>
      </c>
      <c r="F407" s="167">
        <f t="shared" si="165"/>
        <v>0</v>
      </c>
      <c r="G407" s="167">
        <f t="shared" si="165"/>
        <v>0</v>
      </c>
      <c r="H407" s="167">
        <f t="shared" si="165"/>
        <v>0</v>
      </c>
      <c r="I407" s="167">
        <f t="shared" si="165"/>
        <v>0</v>
      </c>
      <c r="J407" s="166">
        <f t="shared" si="165"/>
        <v>0</v>
      </c>
      <c r="K407" s="166">
        <f t="shared" si="165"/>
        <v>0</v>
      </c>
      <c r="L407" s="166">
        <f t="shared" si="165"/>
        <v>0</v>
      </c>
      <c r="M407" s="166">
        <f t="shared" si="165"/>
        <v>0</v>
      </c>
      <c r="N407" s="166">
        <f t="shared" si="165"/>
        <v>0</v>
      </c>
      <c r="O407" s="166">
        <f t="shared" si="165"/>
        <v>0</v>
      </c>
      <c r="P407" s="166">
        <f t="shared" si="165"/>
        <v>0</v>
      </c>
      <c r="Q407" s="166">
        <f t="shared" si="165"/>
        <v>0</v>
      </c>
      <c r="R407" s="166">
        <f t="shared" si="165"/>
        <v>0</v>
      </c>
      <c r="S407" s="166"/>
      <c r="T407" s="166">
        <f ref="T407:AJ407" t="shared" si="166">SUM(T376:T406)</f>
        <v>0</v>
      </c>
      <c r="U407" s="166">
        <f t="shared" si="166"/>
        <v>0</v>
      </c>
      <c r="V407" s="166">
        <f t="shared" si="166"/>
        <v>0</v>
      </c>
      <c r="W407" s="166">
        <f t="shared" si="166"/>
        <v>0</v>
      </c>
      <c r="X407" s="166">
        <f t="shared" si="166"/>
        <v>0</v>
      </c>
      <c r="Y407" s="166">
        <f t="shared" si="166"/>
        <v>0</v>
      </c>
      <c r="Z407" s="166">
        <f t="shared" si="166"/>
        <v>0</v>
      </c>
      <c r="AA407" s="166">
        <f t="shared" si="166"/>
        <v>0</v>
      </c>
      <c r="AB407" s="166">
        <f t="shared" si="166"/>
        <v>0</v>
      </c>
      <c r="AC407" s="166">
        <f t="shared" si="166"/>
        <v>0</v>
      </c>
      <c r="AD407" s="166">
        <f t="shared" si="166"/>
        <v>0</v>
      </c>
      <c r="AE407" s="166">
        <f t="shared" si="166"/>
        <v>0</v>
      </c>
      <c r="AF407" s="166">
        <f t="shared" si="166"/>
        <v>0</v>
      </c>
      <c r="AG407" s="166">
        <f t="shared" si="166"/>
        <v>0</v>
      </c>
      <c r="AH407" s="166">
        <f t="shared" si="166"/>
        <v>0</v>
      </c>
      <c r="AI407" s="166">
        <f t="shared" si="166"/>
        <v>0</v>
      </c>
      <c r="AJ407" s="166">
        <f t="shared" si="166"/>
        <v>0</v>
      </c>
      <c r="AK407" s="166"/>
      <c r="AL407" s="166">
        <f ref="AL407:AY407" t="shared" si="167">SUM(AL376:AL406)</f>
        <v>0</v>
      </c>
      <c r="AM407" s="166">
        <f t="shared" si="167"/>
        <v>0</v>
      </c>
      <c r="AN407" s="166">
        <f t="shared" si="167"/>
        <v>0</v>
      </c>
      <c r="AO407" s="166">
        <f t="shared" si="167"/>
        <v>0</v>
      </c>
      <c r="AP407" s="167">
        <f t="shared" si="167"/>
        <v>0</v>
      </c>
      <c r="AQ407" s="771">
        <f t="shared" si="167"/>
        <v>0</v>
      </c>
      <c r="AR407" s="165">
        <f t="shared" si="167"/>
        <v>0</v>
      </c>
      <c r="AS407" s="165">
        <f t="shared" si="167"/>
        <v>0</v>
      </c>
      <c r="AT407" s="166">
        <f t="shared" si="167"/>
        <v>0</v>
      </c>
      <c r="AU407" s="166">
        <f t="shared" si="167"/>
        <v>0</v>
      </c>
      <c r="AV407" s="166">
        <f t="shared" si="167"/>
        <v>0</v>
      </c>
      <c r="AW407" s="166">
        <f t="shared" si="167"/>
        <v>0</v>
      </c>
      <c r="AX407" s="167">
        <f t="shared" si="167"/>
        <v>0</v>
      </c>
      <c r="AY407" s="167">
        <f t="shared" si="167"/>
        <v>0</v>
      </c>
      <c r="AZ407" s="167"/>
      <c r="BA407" s="167">
        <f ref="BA407:BD407" t="shared" si="168">SUM(BA376:BA406)</f>
        <v>0</v>
      </c>
      <c r="BB407" s="167">
        <f t="shared" si="168"/>
        <v>0</v>
      </c>
      <c r="BC407" s="166">
        <f t="shared" si="168"/>
        <v>0</v>
      </c>
      <c r="BD407" s="166">
        <f t="shared" si="168"/>
        <v>0</v>
      </c>
      <c r="BE407" s="3"/>
      <c r="BF407" s="172">
        <f ref="BF407:BS407" t="shared" si="169">SUM(BF376:BF406)</f>
        <v>0</v>
      </c>
      <c r="BG407" s="165">
        <f t="shared" si="169"/>
        <v>0</v>
      </c>
      <c r="BH407" s="165">
        <f t="shared" si="169"/>
        <v>0</v>
      </c>
      <c r="BI407" s="165">
        <f t="shared" si="169"/>
        <v>0</v>
      </c>
      <c r="BJ407" s="165">
        <f t="shared" si="169"/>
        <v>0</v>
      </c>
      <c r="BK407" s="165">
        <f t="shared" si="169"/>
        <v>0</v>
      </c>
      <c r="BL407" s="165">
        <f t="shared" si="169"/>
        <v>0</v>
      </c>
      <c r="BM407" s="165">
        <f t="shared" si="169"/>
        <v>0</v>
      </c>
      <c r="BN407" s="165">
        <f t="shared" si="169"/>
        <v>0</v>
      </c>
      <c r="BO407" s="165">
        <f t="shared" si="169"/>
        <v>0</v>
      </c>
      <c r="BP407" s="166">
        <f t="shared" si="169"/>
        <v>0</v>
      </c>
      <c r="BQ407" s="165">
        <f t="shared" si="169"/>
        <v>0</v>
      </c>
      <c r="BR407" s="165">
        <f t="shared" si="169"/>
        <v>0</v>
      </c>
      <c r="BS407" s="165">
        <f t="shared" si="169"/>
        <v>0</v>
      </c>
      <c r="BT407" s="173"/>
      <c r="BU407" s="3"/>
    </row>
  </sheetData>
  <pageMargins left="0.7" right="0.7" top="0.75" bottom="0.75" header="0" footer="0"/>
  <pageSetup orientation="portrait"/>
  <headerFooter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BU406"/>
  <sheetViews>
    <sheetView showGridLines="0" zoomScale="37" zoomScaleNormal="37" workbookViewId="0">
      <pane xSplit="2" ySplit="6" topLeftCell="C107" activePane="bottomRight" state="frozen"/>
      <selection pane="topRight" activeCell="C1" sqref="C1"/>
      <selection pane="bottomLeft" activeCell="A7" sqref="A7"/>
      <selection pane="bottomRight" activeCell="AQ140" sqref="AQ140:AQ145"/>
    </sheetView>
  </sheetViews>
  <sheetFormatPr baseColWidth="10" defaultColWidth="14.42578125" defaultRowHeight="15" customHeight="1" x14ac:dyDescent="0.25"/>
  <cols>
    <col min="1" max="1" width="2.7109375" customWidth="1"/>
    <col min="2" max="2" width="9.85546875" customWidth="1"/>
    <col min="3" max="3" width="13.42578125" customWidth="1"/>
    <col min="4" max="4" hidden="1" width="13.42578125" customWidth="1"/>
    <col min="5" max="5" hidden="1" width="12.42578125" customWidth="1"/>
    <col min="6" max="6" hidden="1" width="13.85546875" customWidth="1"/>
    <col min="7" max="7" width="13.42578125" customWidth="1"/>
    <col min="8" max="8" width="5.85546875" customWidth="1"/>
    <col min="9" max="9" width="6.85546875" customWidth="1"/>
    <col min="10" max="10" width="7.42578125" customWidth="1"/>
    <col min="11" max="11" width="7.85546875" customWidth="1"/>
    <col min="12" max="12" width="5.28515625" customWidth="1"/>
    <col min="13" max="18" hidden="1" width="13.7109375" customWidth="1"/>
    <col min="19" max="19" width="5.85546875" customWidth="1"/>
    <col min="20" max="20" width="18" customWidth="1"/>
    <col min="21" max="21" width="22.28515625" customWidth="1"/>
    <col min="22" max="22" width="17.28515625" customWidth="1"/>
    <col min="23" max="30" hidden="1" width="12.7109375" customWidth="1"/>
    <col min="31" max="31" hidden="1" width="16.85546875" customWidth="1"/>
    <col min="32" max="32" hidden="1" width="5.7109375" customWidth="1"/>
    <col min="33" max="33" width="12" customWidth="1"/>
    <col min="34" max="34" width="15.140625" customWidth="1"/>
    <col min="35" max="36" width="12.7109375" customWidth="1"/>
    <col min="37" max="37" width="16.42578125" customWidth="1"/>
    <col min="38" max="38" width="13.140625" customWidth="1"/>
    <col min="39" max="39" width="17.140625" customWidth="1"/>
    <col min="40" max="40" width="12" customWidth="1"/>
    <col min="41" max="41" width="11.140625" customWidth="1"/>
    <col min="42" max="42" width="13.140625" customWidth="1"/>
    <col min="43" max="44" width="11.85546875" customWidth="1"/>
    <col min="45" max="47" hidden="1" width="11.85546875" customWidth="1"/>
    <col min="48" max="49" width="11.85546875" customWidth="1"/>
    <col min="50" max="51" hidden="1" width="11.85546875" customWidth="1"/>
    <col min="52" max="52" hidden="1" width="13.42578125" customWidth="1"/>
    <col min="53" max="53" hidden="1" width="11.85546875" customWidth="1"/>
    <col min="54" max="54" width="13" customWidth="1"/>
    <col min="55" max="55" width="16.42578125" customWidth="1"/>
    <col min="56" max="56" width="4" customWidth="1"/>
    <col min="57" max="57" width="11.42578125" customWidth="1"/>
    <col min="58" max="61" width="12.7109375" customWidth="1"/>
    <col min="62" max="63" hidden="1" width="12.7109375" customWidth="1"/>
    <col min="64" max="64" hidden="1" width="15" customWidth="1"/>
    <col min="65" max="66" hidden="1" width="14.42578125" customWidth="1"/>
    <col min="67" max="69" width="12.7109375" customWidth="1"/>
    <col min="70" max="71" hidden="1" width="12.7109375" customWidth="1"/>
    <col min="72" max="72" width="13.42578125" customWidth="1"/>
    <col min="73" max="73" width="2.140625" customWidth="1"/>
  </cols>
  <sheetData>
    <row r="1" ht="1.5" customHeight="1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1336"/>
      <c r="AL1" s="3"/>
      <c r="AM1" s="3"/>
      <c r="AN1" s="3"/>
      <c r="AO1" s="3"/>
      <c r="AP1" s="1336"/>
      <c r="AQ1" s="132"/>
      <c r="AR1" s="132"/>
      <c r="AS1" s="132"/>
      <c r="AT1" s="3"/>
      <c r="AU1" s="3"/>
      <c r="AV1" s="3"/>
      <c r="AW1" s="132"/>
      <c r="AX1" s="132"/>
      <c r="AY1" s="132"/>
      <c r="AZ1" s="132"/>
      <c r="BA1" s="132"/>
      <c r="BB1" s="1336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</row>
    <row r="2" ht="12" customHeight="1">
      <c r="A2" s="14"/>
      <c r="B2" s="20" t="s">
        <v>266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5"/>
      <c r="Q2" s="15"/>
      <c r="R2" s="15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392"/>
      <c r="AL2" s="16"/>
      <c r="AM2" s="16"/>
      <c r="AN2" s="16"/>
      <c r="AO2" s="16"/>
      <c r="AP2" s="1392"/>
      <c r="AQ2" s="1389"/>
      <c r="AR2" s="1389"/>
      <c r="AS2" s="1389"/>
      <c r="AT2" s="16"/>
      <c r="AU2" s="16"/>
      <c r="AV2" s="16"/>
      <c r="AW2" s="14"/>
      <c r="AX2" s="14"/>
      <c r="AY2" s="14"/>
      <c r="AZ2" s="14"/>
      <c r="BA2" s="14"/>
      <c r="BB2" s="1392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</row>
    <row r="3" ht="15" customHeight="1">
      <c r="A3" s="14"/>
      <c r="B3" s="20"/>
      <c r="C3" s="689" t="s">
        <v>267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392"/>
      <c r="AL3" s="16"/>
      <c r="AM3" s="16"/>
      <c r="AN3" s="16"/>
      <c r="AO3" s="16"/>
      <c r="AP3" s="1392"/>
      <c r="AQ3" s="16"/>
      <c r="AR3" s="16"/>
      <c r="AS3" s="16"/>
      <c r="AT3" s="16"/>
      <c r="AU3" s="16"/>
      <c r="AV3" s="16"/>
      <c r="AW3" s="14"/>
      <c r="AX3" s="14"/>
      <c r="AY3" s="14"/>
      <c r="AZ3" s="14"/>
      <c r="BA3" s="14"/>
      <c r="BB3" s="1392"/>
      <c r="BC3" s="14"/>
      <c r="BD3" s="14"/>
      <c r="BE3" s="14" t="s">
        <v>3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</row>
    <row r="4" ht="9" customHeight="1">
      <c r="A4" s="22"/>
      <c r="B4" s="23"/>
      <c r="C4" s="22"/>
      <c r="D4" s="22"/>
      <c r="E4" s="22"/>
      <c r="F4" s="22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 t="s">
        <v>4</v>
      </c>
      <c r="AH4" s="22"/>
      <c r="AI4" s="22"/>
      <c r="AJ4" s="22"/>
      <c r="AK4" s="26" t="s">
        <v>5</v>
      </c>
      <c r="AL4" s="24"/>
      <c r="AM4" s="24"/>
      <c r="AN4" s="24"/>
      <c r="AO4" s="24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7"/>
      <c r="BU4" s="22"/>
    </row>
    <row r="5" ht="9.75" customHeight="1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602" t="s">
        <v>15</v>
      </c>
      <c r="AN5" s="602" t="s">
        <v>15</v>
      </c>
      <c r="AO5" s="576" t="s">
        <v>16</v>
      </c>
      <c r="AP5" s="51" t="s">
        <v>4</v>
      </c>
      <c r="AQ5" s="1393" t="s">
        <v>17</v>
      </c>
      <c r="AR5" s="59" t="s">
        <v>17</v>
      </c>
      <c r="AS5" s="59" t="s">
        <v>20</v>
      </c>
      <c r="AT5" s="59" t="s">
        <v>20</v>
      </c>
      <c r="AU5" s="59" t="s">
        <v>20</v>
      </c>
      <c r="AV5" s="59" t="s">
        <v>20</v>
      </c>
      <c r="AW5" s="715" t="s">
        <v>20</v>
      </c>
      <c r="AX5" s="715" t="s">
        <v>20</v>
      </c>
      <c r="AY5" s="715" t="s">
        <v>21</v>
      </c>
      <c r="AZ5" s="59" t="s">
        <v>22</v>
      </c>
      <c r="BA5" s="59" t="s">
        <v>24</v>
      </c>
      <c r="BB5" s="51" t="s">
        <v>5</v>
      </c>
      <c r="BC5" s="58" t="s">
        <v>25</v>
      </c>
      <c r="BD5" s="33"/>
      <c r="BE5" s="58" t="s">
        <v>4</v>
      </c>
      <c r="BF5" s="59" t="s">
        <v>26</v>
      </c>
      <c r="BG5" s="59" t="s">
        <v>89</v>
      </c>
      <c r="BH5" s="59" t="s">
        <v>90</v>
      </c>
      <c r="BI5" s="59" t="s">
        <v>91</v>
      </c>
      <c r="BJ5" s="59" t="s">
        <v>92</v>
      </c>
      <c r="BK5" s="59" t="s">
        <v>93</v>
      </c>
      <c r="BL5" s="59" t="s">
        <v>94</v>
      </c>
      <c r="BM5" s="59" t="s">
        <v>95</v>
      </c>
      <c r="BN5" s="59" t="s">
        <v>95</v>
      </c>
      <c r="BO5" s="59" t="s">
        <v>27</v>
      </c>
      <c r="BP5" s="59" t="s">
        <v>28</v>
      </c>
      <c r="BQ5" s="59" t="s">
        <v>28</v>
      </c>
      <c r="BR5" s="59" t="s">
        <v>28</v>
      </c>
      <c r="BS5" s="59" t="s">
        <v>28</v>
      </c>
      <c r="BT5" s="60" t="s">
        <v>29</v>
      </c>
      <c r="BU5" s="33"/>
    </row>
    <row r="6" ht="20.25" customHeight="1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190</v>
      </c>
      <c r="I6" s="588" t="s">
        <v>147</v>
      </c>
      <c r="J6" s="588" t="s">
        <v>179</v>
      </c>
      <c r="K6" s="588" t="s">
        <v>181</v>
      </c>
      <c r="L6" s="588" t="s">
        <v>268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46</v>
      </c>
      <c r="S6" s="1394" t="s">
        <v>269</v>
      </c>
      <c r="T6" s="595" t="s">
        <v>48</v>
      </c>
      <c r="U6" s="733" t="s">
        <v>270</v>
      </c>
      <c r="V6" s="733" t="s">
        <v>271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47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2" t="s">
        <v>272</v>
      </c>
      <c r="AN6" s="602" t="s">
        <v>32</v>
      </c>
      <c r="AO6" s="603" t="s">
        <v>60</v>
      </c>
      <c r="AP6" s="81" t="s">
        <v>61</v>
      </c>
      <c r="AQ6" s="1395" t="s">
        <v>62</v>
      </c>
      <c r="AR6" s="605" t="s">
        <v>64</v>
      </c>
      <c r="AS6" s="90" t="s">
        <v>158</v>
      </c>
      <c r="AT6" s="90" t="s">
        <v>66</v>
      </c>
      <c r="AU6" s="90" t="s">
        <v>67</v>
      </c>
      <c r="AV6" s="90" t="s">
        <v>68</v>
      </c>
      <c r="AW6" s="1345" t="s">
        <v>31</v>
      </c>
      <c r="AX6" s="1345" t="s">
        <v>32</v>
      </c>
      <c r="AY6" s="1345" t="s">
        <v>32</v>
      </c>
      <c r="AZ6" s="605"/>
      <c r="BA6" s="605" t="s">
        <v>69</v>
      </c>
      <c r="BB6" s="81" t="s">
        <v>70</v>
      </c>
      <c r="BC6" s="89" t="s">
        <v>71</v>
      </c>
      <c r="BD6" s="33"/>
      <c r="BE6" s="1396" t="s">
        <v>72</v>
      </c>
      <c r="BF6" s="90"/>
      <c r="BG6" s="90" t="s">
        <v>125</v>
      </c>
      <c r="BH6" s="90"/>
      <c r="BI6" s="90" t="s">
        <v>126</v>
      </c>
      <c r="BJ6" s="90" t="s">
        <v>127</v>
      </c>
      <c r="BK6" s="90" t="s">
        <v>128</v>
      </c>
      <c r="BL6" s="90" t="s">
        <v>129</v>
      </c>
      <c r="BM6" s="90" t="s">
        <v>130</v>
      </c>
      <c r="BN6" s="90" t="s">
        <v>131</v>
      </c>
      <c r="BO6" s="90" t="s">
        <v>73</v>
      </c>
      <c r="BP6" s="90" t="s">
        <v>74</v>
      </c>
      <c r="BQ6" s="90" t="s">
        <v>75</v>
      </c>
      <c r="BR6" s="90" t="s">
        <v>52</v>
      </c>
      <c r="BS6" s="1397">
        <v>4</v>
      </c>
      <c r="BT6" s="91"/>
      <c r="BU6" s="33"/>
    </row>
    <row r="7" ht="14.25" customHeight="1">
      <c r="A7" s="3"/>
      <c r="B7" s="215">
        <v>46023</v>
      </c>
      <c r="C7" s="896">
        <f>3299.47-0-0</f>
      </c>
      <c r="D7" s="95"/>
      <c r="E7" s="97"/>
      <c r="F7" s="97"/>
      <c r="G7" s="147">
        <f ref="G7:G37" t="shared" si="0">+C7+D7+E7+F7</f>
        <v>0</v>
      </c>
      <c r="H7" s="187"/>
      <c r="I7" s="894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03">
        <f ref="T7:T37" t="shared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ref="AG7:AG37" t="shared" si="2">SUM(U7:AF7)</f>
        <v>0</v>
      </c>
      <c r="AH7" s="983">
        <v>405</v>
      </c>
      <c r="AI7" s="104"/>
      <c r="AJ7" s="104"/>
      <c r="AK7" s="105">
        <f ref="AK7:AK37" t="shared" si="3">SUM(AH7:AJ7)</f>
        <v>0</v>
      </c>
      <c r="AL7" s="186"/>
      <c r="AM7" s="186"/>
      <c r="AN7" s="186"/>
      <c r="AO7" s="193"/>
      <c r="AP7" s="219">
        <f ref="AP7:AP37" t="shared" si="4">+G7-T7-AG7-AK7-AL7-AM7-AN7-AO7</f>
        <v>0</v>
      </c>
      <c r="AQ7" s="1759">
        <v>2894.5</v>
      </c>
      <c r="AR7" s="1708"/>
      <c r="AS7" s="1537"/>
      <c r="AT7" s="1537"/>
      <c r="AU7" s="1546"/>
      <c r="AV7" s="1546"/>
      <c r="AW7" s="109"/>
      <c r="AX7" s="388"/>
      <c r="AY7" s="388"/>
      <c r="AZ7" s="388"/>
      <c r="BA7" s="388"/>
      <c r="BB7" s="222">
        <f ref="BB7:BB37" t="shared" si="5">SUM(AQ7:BA7)-AZ7</f>
        <v>0</v>
      </c>
      <c r="BC7" s="114">
        <f ref="BC7:BC37" t="shared" si="6">+AP7-BB7</f>
        <v>0</v>
      </c>
      <c r="BD7" s="3"/>
      <c r="BE7" s="113">
        <f ref="BE7:BE37" t="shared" si="7">SUM(BF7:BS7)</f>
        <v>0</v>
      </c>
      <c r="BF7" s="249"/>
      <c r="BG7" s="115"/>
      <c r="BH7" s="115"/>
      <c r="BI7" s="115"/>
      <c r="BJ7" s="115"/>
      <c r="BK7" s="115"/>
      <c r="BL7" s="115"/>
      <c r="BM7" s="115"/>
      <c r="BN7" s="115"/>
      <c r="BO7" s="115"/>
      <c r="BP7" s="129"/>
      <c r="BQ7" s="898"/>
      <c r="BR7" s="115"/>
      <c r="BS7" s="115"/>
      <c r="BT7" s="116">
        <f ref="BT7:BT37" t="shared" si="8">+BC7-BE7</f>
        <v>0</v>
      </c>
      <c r="BU7" s="3"/>
    </row>
    <row r="8" ht="14.25" customHeight="1">
      <c r="A8" s="3"/>
      <c r="B8" s="215">
        <v>46024</v>
      </c>
      <c r="C8" s="906">
        <f>6721.02-0-0</f>
      </c>
      <c r="D8" s="123"/>
      <c r="E8" s="120"/>
      <c r="F8" s="120"/>
      <c r="G8" s="147">
        <f t="shared" si="0"/>
        <v>0</v>
      </c>
      <c r="H8" s="144"/>
      <c r="I8" s="904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11">
        <v>639.58</v>
      </c>
      <c r="AI8" s="123"/>
      <c r="AJ8" s="123"/>
      <c r="AK8" s="105">
        <f t="shared" si="3"/>
        <v>0</v>
      </c>
      <c r="AL8" s="143"/>
      <c r="AM8" s="143"/>
      <c r="AN8" s="143"/>
      <c r="AO8" s="146"/>
      <c r="AP8" s="224">
        <f t="shared" si="4"/>
        <v>0</v>
      </c>
      <c r="AQ8" s="1760">
        <v>5653.4</v>
      </c>
      <c r="AR8" s="1709"/>
      <c r="AS8" s="1546"/>
      <c r="AT8" s="1546"/>
      <c r="AU8" s="1546"/>
      <c r="AV8" s="1546"/>
      <c r="AW8" s="126"/>
      <c r="AX8" s="394"/>
      <c r="AY8" s="394"/>
      <c r="AZ8" s="394"/>
      <c r="BA8" s="394"/>
      <c r="BB8" s="222">
        <f t="shared" si="5"/>
        <v>0</v>
      </c>
      <c r="BC8" s="113">
        <f t="shared" si="6"/>
        <v>0</v>
      </c>
      <c r="BD8" s="3"/>
      <c r="BE8" s="113">
        <f t="shared" si="7"/>
        <v>0</v>
      </c>
      <c r="BF8" s="255"/>
      <c r="BG8" s="129"/>
      <c r="BH8" s="129"/>
      <c r="BI8" s="129"/>
      <c r="BJ8" s="129"/>
      <c r="BK8" s="129"/>
      <c r="BL8" s="129"/>
      <c r="BM8" s="129"/>
      <c r="BN8" s="129"/>
      <c r="BO8" s="129"/>
      <c r="BP8" s="131"/>
      <c r="BQ8" s="914">
        <v>428</v>
      </c>
      <c r="BR8" s="129"/>
      <c r="BS8" s="129"/>
      <c r="BT8" s="130">
        <f t="shared" si="8"/>
        <v>0</v>
      </c>
      <c r="BU8" s="3"/>
    </row>
    <row r="9" ht="14.25" customHeight="1">
      <c r="A9" s="3"/>
      <c r="B9" s="215">
        <v>46025</v>
      </c>
      <c r="C9" s="906">
        <f>6724.26-0-0</f>
      </c>
      <c r="D9" s="123"/>
      <c r="E9" s="120"/>
      <c r="F9" s="120"/>
      <c r="G9" s="147">
        <f t="shared" si="0"/>
        <v>0</v>
      </c>
      <c r="H9" s="144"/>
      <c r="I9" s="905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1">
        <v>576.58</v>
      </c>
      <c r="AI9" s="123"/>
      <c r="AJ9" s="123"/>
      <c r="AK9" s="105">
        <f t="shared" si="3"/>
        <v>0</v>
      </c>
      <c r="AL9" s="143"/>
      <c r="AM9" s="143"/>
      <c r="AN9" s="143"/>
      <c r="AO9" s="146"/>
      <c r="AP9" s="224">
        <f t="shared" si="4"/>
        <v>0</v>
      </c>
      <c r="AQ9" s="1760">
        <v>6147.7</v>
      </c>
      <c r="AR9" s="1709"/>
      <c r="AS9" s="1546"/>
      <c r="AT9" s="1546"/>
      <c r="AU9" s="1546"/>
      <c r="AV9" s="1546"/>
      <c r="AW9" s="126"/>
      <c r="AX9" s="394"/>
      <c r="AY9" s="394"/>
      <c r="AZ9" s="394"/>
      <c r="BA9" s="394"/>
      <c r="BB9" s="222">
        <f t="shared" si="5"/>
        <v>0</v>
      </c>
      <c r="BC9" s="113">
        <f t="shared" si="6"/>
        <v>0</v>
      </c>
      <c r="BD9" s="3"/>
      <c r="BE9" s="113">
        <f t="shared" si="7"/>
        <v>0</v>
      </c>
      <c r="BF9" s="255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908"/>
      <c r="BR9" s="129"/>
      <c r="BS9" s="129"/>
      <c r="BT9" s="130">
        <f t="shared" si="8"/>
        <v>0</v>
      </c>
      <c r="BU9" s="3"/>
    </row>
    <row r="10" ht="14.25" customHeight="1">
      <c r="A10" s="3"/>
      <c r="B10" s="215">
        <v>46026</v>
      </c>
      <c r="C10" s="906">
        <f>5416.64-0-0</f>
      </c>
      <c r="D10" s="123"/>
      <c r="E10" s="120"/>
      <c r="F10" s="120"/>
      <c r="G10" s="147">
        <f t="shared" si="0"/>
        <v>0</v>
      </c>
      <c r="H10" s="144"/>
      <c r="I10" s="905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>
        <v>745.27</v>
      </c>
      <c r="AI10" s="123"/>
      <c r="AJ10" s="123"/>
      <c r="AK10" s="105">
        <f t="shared" si="3"/>
        <v>0</v>
      </c>
      <c r="AL10" s="143"/>
      <c r="AM10" s="143"/>
      <c r="AN10" s="143"/>
      <c r="AO10" s="146"/>
      <c r="AP10" s="224">
        <f t="shared" si="4"/>
        <v>0</v>
      </c>
      <c r="AQ10" s="1760">
        <v>4666.4</v>
      </c>
      <c r="AR10" s="1709"/>
      <c r="AS10" s="1546"/>
      <c r="AT10" s="1546"/>
      <c r="AU10" s="1546"/>
      <c r="AV10" s="1546"/>
      <c r="AW10" s="126"/>
      <c r="AX10" s="394"/>
      <c r="AY10" s="394"/>
      <c r="AZ10" s="394"/>
      <c r="BA10" s="394"/>
      <c r="BB10" s="222">
        <f t="shared" si="5"/>
        <v>0</v>
      </c>
      <c r="BC10" s="113">
        <f t="shared" si="6"/>
        <v>0</v>
      </c>
      <c r="BD10" s="3"/>
      <c r="BE10" s="113">
        <f t="shared" si="7"/>
        <v>0</v>
      </c>
      <c r="BF10" s="255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908"/>
      <c r="BR10" s="129"/>
      <c r="BS10" s="129"/>
      <c r="BT10" s="130">
        <f t="shared" si="8"/>
        <v>0</v>
      </c>
      <c r="BU10" s="3"/>
    </row>
    <row r="11" ht="14.25" customHeight="1">
      <c r="A11" s="3"/>
      <c r="B11" s="215">
        <v>46027</v>
      </c>
      <c r="C11" s="906">
        <f>6897.58-0-0</f>
      </c>
      <c r="D11" s="123"/>
      <c r="E11" s="120"/>
      <c r="F11" s="120"/>
      <c r="G11" s="147">
        <f t="shared" si="0"/>
        <v>0</v>
      </c>
      <c r="H11" s="144"/>
      <c r="I11" s="905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11">
        <v>447.52</v>
      </c>
      <c r="AI11" s="123"/>
      <c r="AJ11" s="123"/>
      <c r="AK11" s="105">
        <f t="shared" si="3"/>
        <v>0</v>
      </c>
      <c r="AL11" s="143"/>
      <c r="AM11" s="143"/>
      <c r="AN11" s="143"/>
      <c r="AO11" s="146"/>
      <c r="AP11" s="224">
        <f t="shared" si="4"/>
        <v>0</v>
      </c>
      <c r="AQ11" s="1760">
        <v>6450</v>
      </c>
      <c r="AR11" s="1709"/>
      <c r="AS11" s="1546"/>
      <c r="AT11" s="1546"/>
      <c r="AU11" s="1546"/>
      <c r="AV11" s="1546"/>
      <c r="AW11" s="126"/>
      <c r="AX11" s="394"/>
      <c r="AY11" s="394"/>
      <c r="AZ11" s="394"/>
      <c r="BA11" s="394"/>
      <c r="BB11" s="222">
        <f t="shared" si="5"/>
        <v>0</v>
      </c>
      <c r="BC11" s="113">
        <f t="shared" si="6"/>
        <v>0</v>
      </c>
      <c r="BD11" s="3"/>
      <c r="BE11" s="113">
        <f t="shared" si="7"/>
        <v>0</v>
      </c>
      <c r="BF11" s="255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908"/>
      <c r="BR11" s="129"/>
      <c r="BS11" s="129"/>
      <c r="BT11" s="130">
        <f t="shared" si="8"/>
        <v>0</v>
      </c>
      <c r="BU11" s="3"/>
    </row>
    <row r="12" ht="14.25" customHeight="1">
      <c r="A12" s="3"/>
      <c r="B12" s="215">
        <v>46028</v>
      </c>
      <c r="C12" s="906">
        <f>7971.61-0-0</f>
      </c>
      <c r="D12" s="123"/>
      <c r="E12" s="120"/>
      <c r="F12" s="120"/>
      <c r="G12" s="147">
        <f t="shared" si="0"/>
        <v>0</v>
      </c>
      <c r="H12" s="144"/>
      <c r="I12" s="905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1">
        <v>736.42</v>
      </c>
      <c r="AI12" s="123"/>
      <c r="AJ12" s="123"/>
      <c r="AK12" s="105">
        <f t="shared" si="3"/>
        <v>0</v>
      </c>
      <c r="AL12" s="143"/>
      <c r="AM12" s="143"/>
      <c r="AN12" s="143"/>
      <c r="AO12" s="146"/>
      <c r="AP12" s="224">
        <f t="shared" si="4"/>
        <v>0</v>
      </c>
      <c r="AQ12" s="1760">
        <v>6930.4</v>
      </c>
      <c r="AR12" s="1709"/>
      <c r="AS12" s="1546"/>
      <c r="AT12" s="1546"/>
      <c r="AU12" s="1546"/>
      <c r="AV12" s="1546"/>
      <c r="AW12" s="126"/>
      <c r="AX12" s="394"/>
      <c r="AY12" s="394"/>
      <c r="AZ12" s="394"/>
      <c r="BA12" s="394"/>
      <c r="BB12" s="222">
        <f t="shared" si="5"/>
        <v>0</v>
      </c>
      <c r="BC12" s="113">
        <f t="shared" si="6"/>
        <v>0</v>
      </c>
      <c r="BD12" s="3"/>
      <c r="BE12" s="113">
        <f t="shared" si="7"/>
        <v>0</v>
      </c>
      <c r="BF12" s="255"/>
      <c r="BG12" s="129"/>
      <c r="BH12" s="129"/>
      <c r="BI12" s="129"/>
      <c r="BJ12" s="129"/>
      <c r="BK12" s="129"/>
      <c r="BL12" s="129"/>
      <c r="BM12" s="129"/>
      <c r="BN12" s="129"/>
      <c r="BO12" s="129"/>
      <c r="BP12" s="131"/>
      <c r="BQ12" s="908">
        <v>300</v>
      </c>
      <c r="BR12" s="129"/>
      <c r="BS12" s="129"/>
      <c r="BT12" s="130">
        <f t="shared" si="8"/>
        <v>0</v>
      </c>
      <c r="BU12" s="3"/>
    </row>
    <row r="13" ht="14.25" customHeight="1">
      <c r="A13" s="3"/>
      <c r="B13" s="215">
        <v>46029</v>
      </c>
      <c r="C13" s="906">
        <f>7061.07-0-0</f>
      </c>
      <c r="D13" s="123"/>
      <c r="E13" s="120"/>
      <c r="F13" s="120"/>
      <c r="G13" s="147">
        <f t="shared" si="0"/>
        <v>0</v>
      </c>
      <c r="H13" s="144"/>
      <c r="I13" s="905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>
        <v>887</v>
      </c>
      <c r="AI13" s="123"/>
      <c r="AJ13" s="123"/>
      <c r="AK13" s="105">
        <f t="shared" si="3"/>
        <v>0</v>
      </c>
      <c r="AL13" s="143"/>
      <c r="AM13" s="143"/>
      <c r="AN13" s="143"/>
      <c r="AO13" s="146"/>
      <c r="AP13" s="224">
        <f t="shared" si="4"/>
        <v>0</v>
      </c>
      <c r="AQ13" s="1760">
        <v>3974.2</v>
      </c>
      <c r="AR13" s="1709"/>
      <c r="AS13" s="1546"/>
      <c r="AT13" s="1546"/>
      <c r="AU13" s="1546"/>
      <c r="AV13" s="1546"/>
      <c r="AW13" s="126"/>
      <c r="AX13" s="394"/>
      <c r="AY13" s="394"/>
      <c r="AZ13" s="394"/>
      <c r="BA13" s="394"/>
      <c r="BB13" s="222">
        <f t="shared" si="5"/>
        <v>0</v>
      </c>
      <c r="BC13" s="113">
        <f t="shared" si="6"/>
        <v>0</v>
      </c>
      <c r="BD13" s="3"/>
      <c r="BE13" s="113">
        <f t="shared" si="7"/>
        <v>0</v>
      </c>
      <c r="BF13" s="255"/>
      <c r="BG13" s="129"/>
      <c r="BH13" s="129"/>
      <c r="BI13" s="129"/>
      <c r="BJ13" s="129"/>
      <c r="BK13" s="129"/>
      <c r="BL13" s="129"/>
      <c r="BM13" s="129"/>
      <c r="BN13" s="129"/>
      <c r="BO13" s="129"/>
      <c r="BP13" s="131"/>
      <c r="BQ13" s="908">
        <v>2200</v>
      </c>
      <c r="BR13" s="129"/>
      <c r="BS13" s="129"/>
      <c r="BT13" s="130">
        <f t="shared" si="8"/>
        <v>0</v>
      </c>
      <c r="BU13" s="3"/>
    </row>
    <row r="14" ht="14.25" customHeight="1">
      <c r="A14" s="3"/>
      <c r="B14" s="215">
        <v>46030</v>
      </c>
      <c r="C14" s="906">
        <f>7053.78-0-0</f>
      </c>
      <c r="D14" s="123"/>
      <c r="E14" s="120"/>
      <c r="F14" s="120"/>
      <c r="G14" s="147">
        <f t="shared" si="0"/>
        <v>0</v>
      </c>
      <c r="H14" s="144"/>
      <c r="I14" s="904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06">
        <v>1770.13</v>
      </c>
      <c r="AI14" s="123"/>
      <c r="AJ14" s="123"/>
      <c r="AK14" s="105">
        <f t="shared" si="3"/>
        <v>0</v>
      </c>
      <c r="AL14" s="143"/>
      <c r="AM14" s="143"/>
      <c r="AN14" s="143"/>
      <c r="AO14" s="146"/>
      <c r="AP14" s="224">
        <f t="shared" si="4"/>
        <v>0</v>
      </c>
      <c r="AQ14" s="1760">
        <v>5283.6</v>
      </c>
      <c r="AR14" s="1709"/>
      <c r="AS14" s="1546"/>
      <c r="AT14" s="1546"/>
      <c r="AU14" s="1546"/>
      <c r="AV14" s="1546"/>
      <c r="AW14" s="126"/>
      <c r="AX14" s="394"/>
      <c r="AY14" s="394"/>
      <c r="AZ14" s="394"/>
      <c r="BA14" s="394"/>
      <c r="BB14" s="222">
        <f t="shared" si="5"/>
        <v>0</v>
      </c>
      <c r="BC14" s="113">
        <f t="shared" si="6"/>
        <v>0</v>
      </c>
      <c r="BD14" s="3"/>
      <c r="BE14" s="113">
        <f t="shared" si="7"/>
        <v>0</v>
      </c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908"/>
      <c r="BR14" s="129"/>
      <c r="BS14" s="129"/>
      <c r="BT14" s="130">
        <f t="shared" si="8"/>
        <v>0</v>
      </c>
      <c r="BU14" s="3"/>
    </row>
    <row r="15" ht="14.25" customHeight="1">
      <c r="A15" s="3"/>
      <c r="B15" s="215">
        <v>46031</v>
      </c>
      <c r="C15" s="906">
        <f>6945.29-0-0</f>
      </c>
      <c r="D15" s="123"/>
      <c r="E15" s="120"/>
      <c r="F15" s="120"/>
      <c r="G15" s="147">
        <f t="shared" si="0"/>
        <v>0</v>
      </c>
      <c r="H15" s="144"/>
      <c r="I15" s="905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>
        <v>869.67</v>
      </c>
      <c r="AI15" s="123"/>
      <c r="AJ15" s="123"/>
      <c r="AK15" s="105">
        <f t="shared" si="3"/>
        <v>0</v>
      </c>
      <c r="AL15" s="143"/>
      <c r="AM15" s="143"/>
      <c r="AN15" s="143"/>
      <c r="AO15" s="146"/>
      <c r="AP15" s="224">
        <f t="shared" si="4"/>
        <v>0</v>
      </c>
      <c r="AQ15" s="1760">
        <v>5475.7</v>
      </c>
      <c r="AR15" s="1709"/>
      <c r="AS15" s="1546"/>
      <c r="AT15" s="1546"/>
      <c r="AU15" s="1546"/>
      <c r="AV15" s="1546"/>
      <c r="AW15" s="126"/>
      <c r="AX15" s="394"/>
      <c r="AY15" s="394"/>
      <c r="AZ15" s="394"/>
      <c r="BA15" s="394"/>
      <c r="BB15" s="222">
        <f t="shared" si="5"/>
        <v>0</v>
      </c>
      <c r="BC15" s="113">
        <f t="shared" si="6"/>
        <v>0</v>
      </c>
      <c r="BD15" s="3"/>
      <c r="BE15" s="113">
        <f t="shared" si="7"/>
        <v>0</v>
      </c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31"/>
      <c r="BQ15" s="908">
        <v>600</v>
      </c>
      <c r="BR15" s="129"/>
      <c r="BS15" s="129"/>
      <c r="BT15" s="130">
        <f t="shared" si="8"/>
        <v>0</v>
      </c>
      <c r="BU15" s="3"/>
    </row>
    <row r="16" ht="14.25" customHeight="1">
      <c r="A16" s="3"/>
      <c r="B16" s="215">
        <v>46032</v>
      </c>
      <c r="C16" s="906">
        <f>7225.03-0-0</f>
      </c>
      <c r="D16" s="123"/>
      <c r="E16" s="120"/>
      <c r="F16" s="120"/>
      <c r="G16" s="147">
        <f t="shared" si="0"/>
        <v>0</v>
      </c>
      <c r="H16" s="144"/>
      <c r="I16" s="905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1">
        <v>406</v>
      </c>
      <c r="AI16" s="123"/>
      <c r="AJ16" s="123"/>
      <c r="AK16" s="105">
        <f t="shared" si="3"/>
        <v>0</v>
      </c>
      <c r="AL16" s="143"/>
      <c r="AM16" s="143"/>
      <c r="AN16" s="143"/>
      <c r="AO16" s="146"/>
      <c r="AP16" s="224">
        <f t="shared" si="4"/>
        <v>0</v>
      </c>
      <c r="AQ16" s="1760">
        <v>6819</v>
      </c>
      <c r="AR16" s="1709"/>
      <c r="AS16" s="1546"/>
      <c r="AT16" s="1546"/>
      <c r="AU16" s="1546"/>
      <c r="AV16" s="1546"/>
      <c r="AW16" s="126"/>
      <c r="AX16" s="394"/>
      <c r="AY16" s="394"/>
      <c r="AZ16" s="394"/>
      <c r="BA16" s="394"/>
      <c r="BB16" s="222">
        <f t="shared" si="5"/>
        <v>0</v>
      </c>
      <c r="BC16" s="113">
        <f t="shared" si="6"/>
        <v>0</v>
      </c>
      <c r="BD16" s="3"/>
      <c r="BE16" s="113">
        <f t="shared" si="7"/>
        <v>0</v>
      </c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908"/>
      <c r="BR16" s="129"/>
      <c r="BS16" s="129"/>
      <c r="BT16" s="130">
        <f t="shared" si="8"/>
        <v>0</v>
      </c>
      <c r="BU16" s="3"/>
    </row>
    <row r="17" ht="14.25" customHeight="1">
      <c r="A17" s="3"/>
      <c r="B17" s="215">
        <v>46033</v>
      </c>
      <c r="C17" s="906">
        <f>5085.02-0-0</f>
      </c>
      <c r="D17" s="123"/>
      <c r="E17" s="120"/>
      <c r="F17" s="120"/>
      <c r="G17" s="147">
        <f t="shared" si="0"/>
        <v>0</v>
      </c>
      <c r="H17" s="144"/>
      <c r="I17" s="905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11">
        <v>413</v>
      </c>
      <c r="AI17" s="123"/>
      <c r="AJ17" s="123"/>
      <c r="AK17" s="105">
        <f t="shared" si="3"/>
        <v>0</v>
      </c>
      <c r="AL17" s="143"/>
      <c r="AM17" s="143"/>
      <c r="AN17" s="143"/>
      <c r="AO17" s="146"/>
      <c r="AP17" s="224">
        <f t="shared" si="4"/>
        <v>0</v>
      </c>
      <c r="AQ17" s="1760">
        <v>4672.1</v>
      </c>
      <c r="AR17" s="1709"/>
      <c r="AS17" s="1546"/>
      <c r="AT17" s="1546"/>
      <c r="AU17" s="1546"/>
      <c r="AV17" s="1546"/>
      <c r="AW17" s="126"/>
      <c r="AX17" s="394"/>
      <c r="AY17" s="394"/>
      <c r="AZ17" s="394"/>
      <c r="BA17" s="394"/>
      <c r="BB17" s="222">
        <f t="shared" si="5"/>
        <v>0</v>
      </c>
      <c r="BC17" s="113">
        <f t="shared" si="6"/>
        <v>0</v>
      </c>
      <c r="BD17" s="3"/>
      <c r="BE17" s="113">
        <f t="shared" si="7"/>
        <v>0</v>
      </c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914"/>
      <c r="BR17" s="129"/>
      <c r="BS17" s="129"/>
      <c r="BT17" s="130">
        <f t="shared" si="8"/>
        <v>0</v>
      </c>
      <c r="BU17" s="3"/>
    </row>
    <row r="18" ht="14.25" customHeight="1">
      <c r="A18" s="3"/>
      <c r="B18" s="215">
        <v>46034</v>
      </c>
      <c r="C18" s="906">
        <f>6187.04-0-0</f>
      </c>
      <c r="D18" s="123"/>
      <c r="E18" s="120"/>
      <c r="F18" s="120"/>
      <c r="G18" s="147">
        <f t="shared" si="0"/>
        <v>0</v>
      </c>
      <c r="H18" s="144"/>
      <c r="I18" s="905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>
        <v>579.06</v>
      </c>
      <c r="AI18" s="123"/>
      <c r="AJ18" s="123"/>
      <c r="AK18" s="105">
        <f t="shared" si="3"/>
        <v>0</v>
      </c>
      <c r="AL18" s="143"/>
      <c r="AM18" s="143"/>
      <c r="AN18" s="143"/>
      <c r="AO18" s="146"/>
      <c r="AP18" s="224">
        <f t="shared" si="4"/>
        <v>0</v>
      </c>
      <c r="AQ18" s="1760">
        <v>5608</v>
      </c>
      <c r="AR18" s="1709"/>
      <c r="AS18" s="1546"/>
      <c r="AT18" s="1546"/>
      <c r="AU18" s="1546"/>
      <c r="AV18" s="1546"/>
      <c r="AW18" s="126"/>
      <c r="AX18" s="394"/>
      <c r="AY18" s="394"/>
      <c r="AZ18" s="394"/>
      <c r="BA18" s="394"/>
      <c r="BB18" s="222">
        <f t="shared" si="5"/>
        <v>0</v>
      </c>
      <c r="BC18" s="113">
        <f t="shared" si="6"/>
        <v>0</v>
      </c>
      <c r="BD18" s="3"/>
      <c r="BE18" s="113">
        <f t="shared" si="7"/>
        <v>0</v>
      </c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908"/>
      <c r="BR18" s="129"/>
      <c r="BS18" s="129"/>
      <c r="BT18" s="130">
        <f t="shared" si="8"/>
        <v>0</v>
      </c>
      <c r="BU18" s="3"/>
    </row>
    <row r="19" ht="14.25" customHeight="1">
      <c r="A19" s="3"/>
      <c r="B19" s="215">
        <v>46035</v>
      </c>
      <c r="C19" s="906">
        <f>5659.32-0-0</f>
      </c>
      <c r="D19" s="123"/>
      <c r="E19" s="120"/>
      <c r="F19" s="120"/>
      <c r="G19" s="147">
        <f t="shared" si="0"/>
        <v>0</v>
      </c>
      <c r="H19" s="144"/>
      <c r="I19" s="904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1">
        <v>603.09</v>
      </c>
      <c r="AI19" s="123"/>
      <c r="AJ19" s="123"/>
      <c r="AK19" s="105">
        <f t="shared" si="3"/>
        <v>0</v>
      </c>
      <c r="AL19" s="143"/>
      <c r="AM19" s="143"/>
      <c r="AN19" s="143"/>
      <c r="AO19" s="146"/>
      <c r="AP19" s="224">
        <f t="shared" si="4"/>
        <v>0</v>
      </c>
      <c r="AQ19" s="1760">
        <v>5056.2</v>
      </c>
      <c r="AR19" s="1709"/>
      <c r="AS19" s="1546"/>
      <c r="AT19" s="1546"/>
      <c r="AU19" s="1546"/>
      <c r="AV19" s="1546"/>
      <c r="AW19" s="126"/>
      <c r="AX19" s="394"/>
      <c r="AY19" s="394"/>
      <c r="AZ19" s="394"/>
      <c r="BA19" s="394"/>
      <c r="BB19" s="222">
        <f t="shared" si="5"/>
        <v>0</v>
      </c>
      <c r="BC19" s="113">
        <f t="shared" si="6"/>
        <v>0</v>
      </c>
      <c r="BD19" s="3"/>
      <c r="BE19" s="113">
        <f t="shared" si="7"/>
        <v>0</v>
      </c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31"/>
      <c r="BQ19" s="908"/>
      <c r="BR19" s="129"/>
      <c r="BS19" s="129"/>
      <c r="BT19" s="130">
        <f t="shared" si="8"/>
        <v>0</v>
      </c>
      <c r="BU19" s="3"/>
    </row>
    <row r="20" ht="14.25" customHeight="1">
      <c r="A20" s="3"/>
      <c r="B20" s="215">
        <v>46036</v>
      </c>
      <c r="C20" s="906">
        <f>8160.41-0-0</f>
      </c>
      <c r="D20" s="123"/>
      <c r="E20" s="120"/>
      <c r="F20" s="120"/>
      <c r="G20" s="147">
        <f t="shared" si="0"/>
        <v>0</v>
      </c>
      <c r="H20" s="144"/>
      <c r="I20" s="904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>
        <v>904.65</v>
      </c>
      <c r="AI20" s="123"/>
      <c r="AJ20" s="123"/>
      <c r="AK20" s="105">
        <f t="shared" si="3"/>
        <v>0</v>
      </c>
      <c r="AL20" s="143"/>
      <c r="AM20" s="143"/>
      <c r="AN20" s="143"/>
      <c r="AO20" s="146"/>
      <c r="AP20" s="224">
        <f t="shared" si="4"/>
        <v>0</v>
      </c>
      <c r="AQ20" s="1760">
        <v>7255.7</v>
      </c>
      <c r="AR20" s="1709"/>
      <c r="AS20" s="1546"/>
      <c r="AT20" s="1546"/>
      <c r="AU20" s="1546"/>
      <c r="AV20" s="1546"/>
      <c r="AW20" s="126"/>
      <c r="AX20" s="394"/>
      <c r="AY20" s="394"/>
      <c r="AZ20" s="394"/>
      <c r="BA20" s="394"/>
      <c r="BB20" s="222">
        <f t="shared" si="5"/>
        <v>0</v>
      </c>
      <c r="BC20" s="113">
        <f t="shared" si="6"/>
        <v>0</v>
      </c>
      <c r="BD20" s="3"/>
      <c r="BE20" s="113">
        <f t="shared" si="7"/>
        <v>0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914"/>
      <c r="BR20" s="129"/>
      <c r="BS20" s="129"/>
      <c r="BT20" s="130">
        <f t="shared" si="8"/>
        <v>0</v>
      </c>
      <c r="BU20" s="3"/>
    </row>
    <row r="21" ht="14.25" customHeight="1">
      <c r="A21" s="132"/>
      <c r="B21" s="215">
        <v>46037</v>
      </c>
      <c r="C21" s="906">
        <f>7166.01-0-0</f>
      </c>
      <c r="D21" s="136"/>
      <c r="E21" s="135"/>
      <c r="F21" s="135"/>
      <c r="G21" s="147">
        <f t="shared" si="0"/>
        <v>0</v>
      </c>
      <c r="H21" s="144"/>
      <c r="I21" s="904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11">
        <v>606.02</v>
      </c>
      <c r="AI21" s="136"/>
      <c r="AJ21" s="136"/>
      <c r="AK21" s="105">
        <f t="shared" si="3"/>
        <v>0</v>
      </c>
      <c r="AL21" s="143"/>
      <c r="AM21" s="143"/>
      <c r="AN21" s="143"/>
      <c r="AO21" s="146"/>
      <c r="AP21" s="224">
        <f t="shared" si="4"/>
        <v>0</v>
      </c>
      <c r="AQ21" s="1779">
        <v>6560</v>
      </c>
      <c r="AR21" s="1709"/>
      <c r="AS21" s="1546"/>
      <c r="AT21" s="1546"/>
      <c r="AU21" s="1546"/>
      <c r="AV21" s="1546"/>
      <c r="AW21" s="126"/>
      <c r="AX21" s="394"/>
      <c r="AY21" s="394"/>
      <c r="AZ21" s="394"/>
      <c r="BA21" s="394"/>
      <c r="BB21" s="222">
        <f t="shared" si="5"/>
        <v>0</v>
      </c>
      <c r="BC21" s="140">
        <f t="shared" si="6"/>
        <v>0</v>
      </c>
      <c r="BD21" s="132"/>
      <c r="BE21" s="113">
        <f t="shared" si="7"/>
        <v>0</v>
      </c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141"/>
      <c r="BQ21" s="908"/>
      <c r="BR21" s="141"/>
      <c r="BS21" s="141"/>
      <c r="BT21" s="130">
        <f t="shared" si="8"/>
        <v>0</v>
      </c>
      <c r="BU21" s="132"/>
    </row>
    <row r="22" ht="14.25" customHeight="1">
      <c r="A22" s="132"/>
      <c r="B22" s="215">
        <v>46038</v>
      </c>
      <c r="C22" s="906">
        <f>5733.60-0-0</f>
      </c>
      <c r="D22" s="136"/>
      <c r="E22" s="135"/>
      <c r="F22" s="135"/>
      <c r="G22" s="147">
        <f t="shared" si="0"/>
        <v>0</v>
      </c>
      <c r="H22" s="144"/>
      <c r="I22" s="905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>
        <v>449.59</v>
      </c>
      <c r="AI22" s="136"/>
      <c r="AJ22" s="136"/>
      <c r="AK22" s="105">
        <f t="shared" si="3"/>
        <v>0</v>
      </c>
      <c r="AL22" s="143"/>
      <c r="AM22" s="143"/>
      <c r="AN22" s="143"/>
      <c r="AO22" s="146"/>
      <c r="AP22" s="224">
        <f t="shared" si="4"/>
        <v>0</v>
      </c>
      <c r="AQ22" s="1779">
        <v>5284</v>
      </c>
      <c r="AR22" s="1709"/>
      <c r="AS22" s="1546"/>
      <c r="AT22" s="1546"/>
      <c r="AU22" s="1546"/>
      <c r="AV22" s="1546"/>
      <c r="AW22" s="126"/>
      <c r="AX22" s="394"/>
      <c r="AY22" s="394"/>
      <c r="AZ22" s="394"/>
      <c r="BA22" s="394"/>
      <c r="BB22" s="222">
        <f t="shared" si="5"/>
        <v>0</v>
      </c>
      <c r="BC22" s="140">
        <f t="shared" si="6"/>
        <v>0</v>
      </c>
      <c r="BD22" s="132"/>
      <c r="BE22" s="113">
        <f t="shared" si="7"/>
        <v>0</v>
      </c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141"/>
      <c r="BQ22" s="914"/>
      <c r="BR22" s="141"/>
      <c r="BS22" s="141"/>
      <c r="BT22" s="130">
        <f t="shared" si="8"/>
        <v>0</v>
      </c>
      <c r="BU22" s="132"/>
    </row>
    <row r="23" ht="14.25" customHeight="1">
      <c r="A23" s="132"/>
      <c r="B23" s="215">
        <v>46039</v>
      </c>
      <c r="C23" s="906">
        <f>8249.75-0-0</f>
      </c>
      <c r="D23" s="136"/>
      <c r="E23" s="135"/>
      <c r="F23" s="135"/>
      <c r="G23" s="147">
        <f t="shared" si="0"/>
        <v>0</v>
      </c>
      <c r="H23" s="144"/>
      <c r="I23" s="905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06">
        <v>530.04</v>
      </c>
      <c r="AI23" s="136"/>
      <c r="AJ23" s="136"/>
      <c r="AK23" s="105">
        <f t="shared" si="3"/>
        <v>0</v>
      </c>
      <c r="AL23" s="143"/>
      <c r="AM23" s="143"/>
      <c r="AN23" s="143"/>
      <c r="AO23" s="146"/>
      <c r="AP23" s="224">
        <f t="shared" si="4"/>
        <v>0</v>
      </c>
      <c r="AQ23" s="1779">
        <v>7719.7</v>
      </c>
      <c r="AR23" s="1709"/>
      <c r="AS23" s="1546"/>
      <c r="AT23" s="1546"/>
      <c r="AU23" s="1546"/>
      <c r="AV23" s="1546"/>
      <c r="AW23" s="126"/>
      <c r="AX23" s="394"/>
      <c r="AY23" s="394"/>
      <c r="AZ23" s="394"/>
      <c r="BA23" s="394"/>
      <c r="BB23" s="222">
        <f t="shared" si="5"/>
        <v>0</v>
      </c>
      <c r="BC23" s="140">
        <f t="shared" si="6"/>
        <v>0</v>
      </c>
      <c r="BD23" s="132"/>
      <c r="BE23" s="113">
        <f t="shared" si="7"/>
        <v>0</v>
      </c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129"/>
      <c r="BQ23" s="914"/>
      <c r="BR23" s="141"/>
      <c r="BS23" s="141"/>
      <c r="BT23" s="130">
        <f t="shared" si="8"/>
        <v>0</v>
      </c>
      <c r="BU23" s="132"/>
    </row>
    <row r="24" ht="12.75" customHeight="1">
      <c r="A24" s="132"/>
      <c r="B24" s="215">
        <v>46040</v>
      </c>
      <c r="C24" s="906">
        <f>7480.15-0-0</f>
      </c>
      <c r="D24" s="136"/>
      <c r="E24" s="135"/>
      <c r="F24" s="135"/>
      <c r="G24" s="147">
        <f t="shared" si="0"/>
        <v>0</v>
      </c>
      <c r="H24" s="144"/>
      <c r="I24" s="905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11">
        <v>650.01</v>
      </c>
      <c r="AI24" s="136"/>
      <c r="AJ24" s="136"/>
      <c r="AK24" s="105">
        <f t="shared" si="3"/>
        <v>0</v>
      </c>
      <c r="AL24" s="145"/>
      <c r="AM24" s="143"/>
      <c r="AN24" s="143"/>
      <c r="AO24" s="146"/>
      <c r="AP24" s="224">
        <f t="shared" si="4"/>
        <v>0</v>
      </c>
      <c r="AQ24" s="1779">
        <v>6803.3</v>
      </c>
      <c r="AR24" s="1709"/>
      <c r="AS24" s="1546"/>
      <c r="AT24" s="1546"/>
      <c r="AU24" s="1546"/>
      <c r="AV24" s="1546"/>
      <c r="AW24" s="126"/>
      <c r="AX24" s="394"/>
      <c r="AY24" s="394"/>
      <c r="AZ24" s="394"/>
      <c r="BA24" s="394"/>
      <c r="BB24" s="222">
        <f t="shared" si="5"/>
        <v>0</v>
      </c>
      <c r="BC24" s="140">
        <f t="shared" si="6"/>
        <v>0</v>
      </c>
      <c r="BD24" s="132"/>
      <c r="BE24" s="113">
        <f t="shared" si="7"/>
        <v>0</v>
      </c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141"/>
      <c r="BQ24" s="908"/>
      <c r="BR24" s="141"/>
      <c r="BS24" s="141"/>
      <c r="BT24" s="130">
        <f t="shared" si="8"/>
        <v>0</v>
      </c>
      <c r="BU24" s="132"/>
    </row>
    <row r="25" ht="14.25" customHeight="1">
      <c r="A25" s="132"/>
      <c r="B25" s="215">
        <v>46041</v>
      </c>
      <c r="C25" s="906">
        <f>8078.78-0-0</f>
      </c>
      <c r="D25" s="136"/>
      <c r="E25" s="135"/>
      <c r="F25" s="135"/>
      <c r="G25" s="147">
        <f t="shared" si="0"/>
        <v>0</v>
      </c>
      <c r="H25" s="144"/>
      <c r="I25" s="905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>
        <v>875.48</v>
      </c>
      <c r="AI25" s="136"/>
      <c r="AJ25" s="136"/>
      <c r="AK25" s="105">
        <f t="shared" si="3"/>
        <v>0</v>
      </c>
      <c r="AL25" s="143"/>
      <c r="AM25" s="143"/>
      <c r="AN25" s="143"/>
      <c r="AO25" s="146"/>
      <c r="AP25" s="224">
        <f t="shared" si="4"/>
        <v>0</v>
      </c>
      <c r="AQ25" s="1779">
        <v>7203.4</v>
      </c>
      <c r="AR25" s="1709"/>
      <c r="AS25" s="1546"/>
      <c r="AT25" s="1546"/>
      <c r="AU25" s="1546"/>
      <c r="AV25" s="1546"/>
      <c r="AW25" s="126"/>
      <c r="AX25" s="394"/>
      <c r="AY25" s="394"/>
      <c r="AZ25" s="394"/>
      <c r="BA25" s="394"/>
      <c r="BB25" s="222">
        <f t="shared" si="5"/>
        <v>0</v>
      </c>
      <c r="BC25" s="140">
        <f t="shared" si="6"/>
        <v>0</v>
      </c>
      <c r="BD25" s="132"/>
      <c r="BE25" s="113">
        <f t="shared" si="7"/>
        <v>0</v>
      </c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908"/>
      <c r="BR25" s="141"/>
      <c r="BS25" s="141"/>
      <c r="BT25" s="130">
        <f t="shared" si="8"/>
        <v>0</v>
      </c>
      <c r="BU25" s="132"/>
    </row>
    <row r="26" ht="14.25" customHeight="1">
      <c r="A26" s="132"/>
      <c r="B26" s="215">
        <v>46042</v>
      </c>
      <c r="C26" s="906">
        <f>8089.42-0-0</f>
      </c>
      <c r="D26" s="136"/>
      <c r="E26" s="135"/>
      <c r="F26" s="135"/>
      <c r="G26" s="147">
        <f t="shared" si="0"/>
        <v>0</v>
      </c>
      <c r="H26" s="144"/>
      <c r="I26" s="904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1">
        <v>846.01</v>
      </c>
      <c r="AI26" s="136"/>
      <c r="AJ26" s="136"/>
      <c r="AK26" s="105">
        <f t="shared" si="3"/>
        <v>0</v>
      </c>
      <c r="AL26" s="143"/>
      <c r="AM26" s="143"/>
      <c r="AN26" s="143"/>
      <c r="AO26" s="146"/>
      <c r="AP26" s="224">
        <f t="shared" si="4"/>
        <v>0</v>
      </c>
      <c r="AQ26" s="1779">
        <v>7243.4</v>
      </c>
      <c r="AR26" s="1709"/>
      <c r="AS26" s="1546"/>
      <c r="AT26" s="1546"/>
      <c r="AU26" s="1546"/>
      <c r="AV26" s="1546"/>
      <c r="AW26" s="126"/>
      <c r="AX26" s="394"/>
      <c r="AY26" s="394"/>
      <c r="AZ26" s="394"/>
      <c r="BA26" s="394"/>
      <c r="BB26" s="222">
        <f t="shared" si="5"/>
        <v>0</v>
      </c>
      <c r="BC26" s="140">
        <f t="shared" si="6"/>
        <v>0</v>
      </c>
      <c r="BD26" s="132"/>
      <c r="BE26" s="113">
        <f t="shared" si="7"/>
        <v>0</v>
      </c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914"/>
      <c r="BR26" s="141"/>
      <c r="BS26" s="141"/>
      <c r="BT26" s="130">
        <f t="shared" si="8"/>
        <v>0</v>
      </c>
      <c r="BU26" s="132"/>
    </row>
    <row r="27" ht="14.25" customHeight="1">
      <c r="A27" s="132"/>
      <c r="B27" s="215">
        <v>46043</v>
      </c>
      <c r="C27" s="906">
        <f>7670.08-0-0</f>
      </c>
      <c r="D27" s="136"/>
      <c r="E27" s="135"/>
      <c r="F27" s="135"/>
      <c r="G27" s="147">
        <f t="shared" si="0"/>
        <v>0</v>
      </c>
      <c r="H27" s="144"/>
      <c r="I27" s="905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>
        <v>872.83</v>
      </c>
      <c r="AI27" s="136"/>
      <c r="AJ27" s="136"/>
      <c r="AK27" s="105">
        <f t="shared" si="3"/>
        <v>0</v>
      </c>
      <c r="AL27" s="143"/>
      <c r="AM27" s="143"/>
      <c r="AN27" s="143"/>
      <c r="AO27" s="146"/>
      <c r="AP27" s="224">
        <f t="shared" si="4"/>
        <v>0</v>
      </c>
      <c r="AQ27" s="1779">
        <v>6797.3</v>
      </c>
      <c r="AR27" s="1709"/>
      <c r="AS27" s="1546"/>
      <c r="AT27" s="1546"/>
      <c r="AU27" s="1546"/>
      <c r="AV27" s="1546"/>
      <c r="AW27" s="126"/>
      <c r="AX27" s="394"/>
      <c r="AY27" s="394"/>
      <c r="AZ27" s="394"/>
      <c r="BA27" s="394"/>
      <c r="BB27" s="222">
        <f t="shared" si="5"/>
        <v>0</v>
      </c>
      <c r="BC27" s="140">
        <f t="shared" si="6"/>
        <v>0</v>
      </c>
      <c r="BD27" s="132"/>
      <c r="BE27" s="113">
        <f t="shared" si="7"/>
        <v>0</v>
      </c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908"/>
      <c r="BR27" s="141"/>
      <c r="BS27" s="141"/>
      <c r="BT27" s="130">
        <f t="shared" si="8"/>
        <v>0</v>
      </c>
      <c r="BU27" s="132"/>
    </row>
    <row r="28" ht="14.25" customHeight="1">
      <c r="A28" s="132"/>
      <c r="B28" s="215">
        <v>46044</v>
      </c>
      <c r="C28" s="906">
        <f>7457.50-0-0</f>
      </c>
      <c r="D28" s="136"/>
      <c r="E28" s="135"/>
      <c r="F28" s="135"/>
      <c r="G28" s="147">
        <f t="shared" si="0"/>
        <v>0</v>
      </c>
      <c r="H28" s="144"/>
      <c r="I28" s="904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>
        <v>847.8</v>
      </c>
      <c r="AI28" s="136"/>
      <c r="AJ28" s="136"/>
      <c r="AK28" s="105">
        <f t="shared" si="3"/>
        <v>0</v>
      </c>
      <c r="AL28" s="143"/>
      <c r="AM28" s="143"/>
      <c r="AN28" s="143"/>
      <c r="AO28" s="146"/>
      <c r="AP28" s="224">
        <f t="shared" si="4"/>
        <v>0</v>
      </c>
      <c r="AQ28" s="1779">
        <v>6609.7</v>
      </c>
      <c r="AR28" s="1709"/>
      <c r="AS28" s="1546"/>
      <c r="AT28" s="1546"/>
      <c r="AU28" s="1546"/>
      <c r="AV28" s="1546"/>
      <c r="AW28" s="126"/>
      <c r="AX28" s="394"/>
      <c r="AY28" s="394"/>
      <c r="AZ28" s="394"/>
      <c r="BA28" s="394"/>
      <c r="BB28" s="222">
        <f t="shared" si="5"/>
        <v>0</v>
      </c>
      <c r="BC28" s="140">
        <f t="shared" si="6"/>
        <v>0</v>
      </c>
      <c r="BD28" s="132"/>
      <c r="BE28" s="113">
        <f t="shared" si="7"/>
        <v>0</v>
      </c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908"/>
      <c r="BR28" s="141"/>
      <c r="BS28" s="141"/>
      <c r="BT28" s="130">
        <f t="shared" si="8"/>
        <v>0</v>
      </c>
      <c r="BU28" s="132"/>
    </row>
    <row r="29" ht="14.25" customHeight="1">
      <c r="A29" s="132"/>
      <c r="B29" s="215">
        <v>46045</v>
      </c>
      <c r="C29" s="906">
        <f>9120.61-0-0</f>
      </c>
      <c r="D29" s="136"/>
      <c r="E29" s="135"/>
      <c r="F29" s="135"/>
      <c r="G29" s="147">
        <f t="shared" si="0"/>
        <v>0</v>
      </c>
      <c r="H29" s="144"/>
      <c r="I29" s="905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>
        <v>1783.35</v>
      </c>
      <c r="AI29" s="136"/>
      <c r="AJ29" s="136"/>
      <c r="AK29" s="105">
        <f t="shared" si="3"/>
        <v>0</v>
      </c>
      <c r="AL29" s="143"/>
      <c r="AM29" s="143"/>
      <c r="AN29" s="143"/>
      <c r="AO29" s="146"/>
      <c r="AP29" s="224">
        <f t="shared" si="4"/>
        <v>0</v>
      </c>
      <c r="AQ29" s="1779">
        <v>7337.3</v>
      </c>
      <c r="AR29" s="1709"/>
      <c r="AS29" s="1546"/>
      <c r="AT29" s="1546"/>
      <c r="AU29" s="1546"/>
      <c r="AV29" s="1546"/>
      <c r="AW29" s="126"/>
      <c r="AX29" s="394"/>
      <c r="AY29" s="394"/>
      <c r="AZ29" s="394"/>
      <c r="BA29" s="394"/>
      <c r="BB29" s="222">
        <f t="shared" si="5"/>
        <v>0</v>
      </c>
      <c r="BC29" s="140">
        <f t="shared" si="6"/>
        <v>0</v>
      </c>
      <c r="BD29" s="132"/>
      <c r="BE29" s="113">
        <f t="shared" si="7"/>
        <v>0</v>
      </c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908"/>
      <c r="BR29" s="141"/>
      <c r="BS29" s="141"/>
      <c r="BT29" s="130">
        <f t="shared" si="8"/>
        <v>0</v>
      </c>
      <c r="BU29" s="132"/>
    </row>
    <row r="30" ht="14.25" customHeight="1">
      <c r="A30" s="132"/>
      <c r="B30" s="215">
        <v>46046</v>
      </c>
      <c r="C30" s="906">
        <f>9067.53-0-0</f>
      </c>
      <c r="D30" s="136"/>
      <c r="E30" s="135"/>
      <c r="F30" s="135"/>
      <c r="G30" s="147">
        <f t="shared" si="0"/>
        <v>0</v>
      </c>
      <c r="H30" s="144"/>
      <c r="I30" s="905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1">
        <v>950.54</v>
      </c>
      <c r="AI30" s="136"/>
      <c r="AJ30" s="136"/>
      <c r="AK30" s="105">
        <f t="shared" si="3"/>
        <v>0</v>
      </c>
      <c r="AL30" s="143"/>
      <c r="AM30" s="143"/>
      <c r="AN30" s="143"/>
      <c r="AO30" s="146"/>
      <c r="AP30" s="224">
        <f t="shared" si="4"/>
        <v>0</v>
      </c>
      <c r="AQ30" s="1779">
        <v>8117</v>
      </c>
      <c r="AR30" s="1709"/>
      <c r="AS30" s="1546"/>
      <c r="AT30" s="1546"/>
      <c r="AU30" s="1546"/>
      <c r="AV30" s="1546"/>
      <c r="AW30" s="126"/>
      <c r="AX30" s="394"/>
      <c r="AY30" s="394"/>
      <c r="AZ30" s="394"/>
      <c r="BA30" s="394"/>
      <c r="BB30" s="222">
        <f t="shared" si="5"/>
        <v>0</v>
      </c>
      <c r="BC30" s="140">
        <f t="shared" si="6"/>
        <v>0</v>
      </c>
      <c r="BD30" s="132"/>
      <c r="BE30" s="113">
        <f t="shared" si="7"/>
        <v>0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908"/>
      <c r="BR30" s="141"/>
      <c r="BS30" s="141"/>
      <c r="BT30" s="130">
        <f t="shared" si="8"/>
        <v>0</v>
      </c>
      <c r="BU30" s="132"/>
    </row>
    <row r="31" ht="14.25" customHeight="1">
      <c r="A31" s="132"/>
      <c r="B31" s="215">
        <v>46047</v>
      </c>
      <c r="C31" s="906">
        <f>5080.27-0-0</f>
      </c>
      <c r="D31" s="136"/>
      <c r="E31" s="135"/>
      <c r="F31" s="135"/>
      <c r="G31" s="147">
        <f t="shared" si="0"/>
        <v>0</v>
      </c>
      <c r="H31" s="144"/>
      <c r="I31" s="905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>
        <v>565.76</v>
      </c>
      <c r="AI31" s="136"/>
      <c r="AJ31" s="136"/>
      <c r="AK31" s="105">
        <f t="shared" si="3"/>
        <v>0</v>
      </c>
      <c r="AL31" s="143"/>
      <c r="AM31" s="143"/>
      <c r="AN31" s="143"/>
      <c r="AO31" s="146"/>
      <c r="AP31" s="224">
        <f t="shared" si="4"/>
        <v>0</v>
      </c>
      <c r="AQ31" s="1779">
        <v>4514.6</v>
      </c>
      <c r="AR31" s="1709"/>
      <c r="AS31" s="1546"/>
      <c r="AT31" s="1546"/>
      <c r="AU31" s="1546"/>
      <c r="AV31" s="1546"/>
      <c r="AW31" s="126"/>
      <c r="AX31" s="394"/>
      <c r="AY31" s="394"/>
      <c r="AZ31" s="394"/>
      <c r="BA31" s="394"/>
      <c r="BB31" s="222">
        <f t="shared" si="5"/>
        <v>0</v>
      </c>
      <c r="BC31" s="140">
        <f t="shared" si="6"/>
        <v>0</v>
      </c>
      <c r="BD31" s="132"/>
      <c r="BE31" s="113">
        <f t="shared" si="7"/>
        <v>0</v>
      </c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908"/>
      <c r="BR31" s="141"/>
      <c r="BS31" s="141"/>
      <c r="BT31" s="130">
        <f t="shared" si="8"/>
        <v>0</v>
      </c>
      <c r="BU31" s="132"/>
    </row>
    <row r="32" ht="14.25" customHeight="1">
      <c r="A32" s="132"/>
      <c r="B32" s="215">
        <v>46048</v>
      </c>
      <c r="C32" s="906">
        <f>7956.48-0-0</f>
      </c>
      <c r="D32" s="136"/>
      <c r="E32" s="135"/>
      <c r="F32" s="135"/>
      <c r="G32" s="147">
        <f t="shared" si="0"/>
        <v>0</v>
      </c>
      <c r="H32" s="144"/>
      <c r="I32" s="905"/>
      <c r="J32" s="143"/>
      <c r="K32" s="143"/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11">
        <v>703.53</v>
      </c>
      <c r="AI32" s="136"/>
      <c r="AJ32" s="136"/>
      <c r="AK32" s="105">
        <f t="shared" si="3"/>
        <v>0</v>
      </c>
      <c r="AL32" s="143"/>
      <c r="AM32" s="143"/>
      <c r="AN32" s="143"/>
      <c r="AO32" s="149">
        <v>1.46</v>
      </c>
      <c r="AP32" s="224">
        <f t="shared" si="4"/>
        <v>0</v>
      </c>
      <c r="AQ32" s="1779">
        <v>7251.5</v>
      </c>
      <c r="AR32" s="1709"/>
      <c r="AS32" s="1546"/>
      <c r="AT32" s="1546"/>
      <c r="AU32" s="1546"/>
      <c r="AV32" s="1546"/>
      <c r="AW32" s="126"/>
      <c r="AX32" s="394"/>
      <c r="AY32" s="394"/>
      <c r="AZ32" s="394"/>
      <c r="BA32" s="394"/>
      <c r="BB32" s="222">
        <f t="shared" si="5"/>
        <v>0</v>
      </c>
      <c r="BC32" s="140">
        <f t="shared" si="6"/>
        <v>0</v>
      </c>
      <c r="BD32" s="132"/>
      <c r="BE32" s="113">
        <f t="shared" si="7"/>
        <v>0</v>
      </c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908"/>
      <c r="BR32" s="141"/>
      <c r="BS32" s="141"/>
      <c r="BT32" s="130">
        <f t="shared" si="8"/>
        <v>0</v>
      </c>
      <c r="BU32" s="132"/>
    </row>
    <row r="33" ht="14.25" customHeight="1">
      <c r="A33" s="132"/>
      <c r="B33" s="215">
        <v>46049</v>
      </c>
      <c r="C33" s="906">
        <f>7143.91-0-0</f>
      </c>
      <c r="D33" s="136"/>
      <c r="E33" s="135"/>
      <c r="F33" s="135"/>
      <c r="G33" s="147">
        <f t="shared" si="0"/>
        <v>0</v>
      </c>
      <c r="H33" s="144"/>
      <c r="I33" s="905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1">
        <v>763.25</v>
      </c>
      <c r="AI33" s="136"/>
      <c r="AJ33" s="136"/>
      <c r="AK33" s="105">
        <f t="shared" si="3"/>
        <v>0</v>
      </c>
      <c r="AL33" s="143"/>
      <c r="AM33" s="143"/>
      <c r="AN33" s="143"/>
      <c r="AO33" s="146"/>
      <c r="AP33" s="224">
        <f t="shared" si="4"/>
        <v>0</v>
      </c>
      <c r="AQ33" s="1779">
        <v>6380.6</v>
      </c>
      <c r="AR33" s="1709"/>
      <c r="AS33" s="1546"/>
      <c r="AT33" s="1546"/>
      <c r="AU33" s="1546"/>
      <c r="AV33" s="1546"/>
      <c r="AW33" s="126"/>
      <c r="AX33" s="394"/>
      <c r="AY33" s="394"/>
      <c r="AZ33" s="394"/>
      <c r="BA33" s="394"/>
      <c r="BB33" s="222">
        <f t="shared" si="5"/>
        <v>0</v>
      </c>
      <c r="BC33" s="140">
        <f t="shared" si="6"/>
        <v>0</v>
      </c>
      <c r="BD33" s="132"/>
      <c r="BE33" s="113">
        <f t="shared" si="7"/>
        <v>0</v>
      </c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141"/>
      <c r="BQ33" s="908"/>
      <c r="BR33" s="141"/>
      <c r="BS33" s="141"/>
      <c r="BT33" s="130">
        <f t="shared" si="8"/>
        <v>0</v>
      </c>
      <c r="BU33" s="132"/>
    </row>
    <row r="34" ht="14.25" customHeight="1">
      <c r="A34" s="132"/>
      <c r="B34" s="215">
        <v>46050</v>
      </c>
      <c r="C34" s="906">
        <f>8233.75-0-0</f>
      </c>
      <c r="D34" s="136"/>
      <c r="E34" s="135"/>
      <c r="F34" s="135"/>
      <c r="G34" s="147">
        <f t="shared" si="0"/>
        <v>0</v>
      </c>
      <c r="H34" s="144"/>
      <c r="I34" s="904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1">
        <v>559.03</v>
      </c>
      <c r="AI34" s="136"/>
      <c r="AJ34" s="136"/>
      <c r="AK34" s="105">
        <f t="shared" si="3"/>
        <v>0</v>
      </c>
      <c r="AL34" s="143"/>
      <c r="AM34" s="143"/>
      <c r="AN34" s="143"/>
      <c r="AO34" s="146"/>
      <c r="AP34" s="224">
        <f t="shared" si="4"/>
        <v>0</v>
      </c>
      <c r="AQ34" s="1779">
        <v>7674.7</v>
      </c>
      <c r="AR34" s="1709"/>
      <c r="AS34" s="1546"/>
      <c r="AT34" s="1546"/>
      <c r="AU34" s="1546"/>
      <c r="AV34" s="1546"/>
      <c r="AW34" s="126"/>
      <c r="AX34" s="394"/>
      <c r="AY34" s="394"/>
      <c r="AZ34" s="394"/>
      <c r="BA34" s="394"/>
      <c r="BB34" s="222">
        <f t="shared" si="5"/>
        <v>0</v>
      </c>
      <c r="BC34" s="140">
        <f t="shared" si="6"/>
        <v>0</v>
      </c>
      <c r="BD34" s="132"/>
      <c r="BE34" s="113">
        <f t="shared" si="7"/>
        <v>0</v>
      </c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141"/>
      <c r="BQ34" s="908"/>
      <c r="BR34" s="141"/>
      <c r="BS34" s="141"/>
      <c r="BT34" s="130">
        <f t="shared" si="8"/>
        <v>0</v>
      </c>
      <c r="BU34" s="132"/>
    </row>
    <row r="35" ht="14.25" customHeight="1">
      <c r="A35" s="132"/>
      <c r="B35" s="215">
        <v>46051</v>
      </c>
      <c r="C35" s="906">
        <f>6815.58-0-0</f>
      </c>
      <c r="D35" s="136"/>
      <c r="E35" s="135"/>
      <c r="F35" s="135"/>
      <c r="G35" s="147">
        <f t="shared" si="0"/>
        <v>0</v>
      </c>
      <c r="H35" s="144"/>
      <c r="I35" s="905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>
        <v>731.07</v>
      </c>
      <c r="AI35" s="136"/>
      <c r="AJ35" s="136"/>
      <c r="AK35" s="105">
        <f t="shared" si="3"/>
        <v>0</v>
      </c>
      <c r="AL35" s="143"/>
      <c r="AM35" s="143"/>
      <c r="AN35" s="143"/>
      <c r="AO35" s="146"/>
      <c r="AP35" s="224">
        <f t="shared" si="4"/>
        <v>0</v>
      </c>
      <c r="AQ35" s="1779">
        <v>6084.5</v>
      </c>
      <c r="AR35" s="1709"/>
      <c r="AS35" s="1546"/>
      <c r="AT35" s="1546"/>
      <c r="AU35" s="1546"/>
      <c r="AV35" s="1546"/>
      <c r="AW35" s="126"/>
      <c r="AX35" s="394"/>
      <c r="AY35" s="394"/>
      <c r="AZ35" s="394"/>
      <c r="BA35" s="394"/>
      <c r="BB35" s="222">
        <f t="shared" si="5"/>
        <v>0</v>
      </c>
      <c r="BC35" s="140">
        <f t="shared" si="6"/>
        <v>0</v>
      </c>
      <c r="BD35" s="132"/>
      <c r="BE35" s="113">
        <f t="shared" si="7"/>
        <v>0</v>
      </c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141"/>
      <c r="BQ35" s="908"/>
      <c r="BR35" s="141"/>
      <c r="BS35" s="141"/>
      <c r="BT35" s="130">
        <f t="shared" si="8"/>
        <v>0</v>
      </c>
      <c r="BU35" s="132"/>
    </row>
    <row r="36" ht="14.25" customHeight="1">
      <c r="A36" s="132"/>
      <c r="B36" s="215">
        <v>46052</v>
      </c>
      <c r="C36" s="906">
        <f>9444.51-0-0</f>
      </c>
      <c r="D36" s="136"/>
      <c r="E36" s="135"/>
      <c r="F36" s="135"/>
      <c r="G36" s="147">
        <f t="shared" si="0"/>
        <v>0</v>
      </c>
      <c r="H36" s="144"/>
      <c r="I36" s="905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>
        <v>775</v>
      </c>
      <c r="AI36" s="136"/>
      <c r="AJ36" s="136"/>
      <c r="AK36" s="105">
        <f t="shared" si="3"/>
        <v>0</v>
      </c>
      <c r="AL36" s="143"/>
      <c r="AM36" s="143"/>
      <c r="AN36" s="143"/>
      <c r="AO36" s="146"/>
      <c r="AP36" s="224">
        <f t="shared" si="4"/>
        <v>0</v>
      </c>
      <c r="AQ36" s="1779">
        <v>8669.6</v>
      </c>
      <c r="AR36" s="1709"/>
      <c r="AS36" s="1546"/>
      <c r="AT36" s="1546"/>
      <c r="AU36" s="1546"/>
      <c r="AV36" s="1546"/>
      <c r="AW36" s="126"/>
      <c r="AX36" s="394"/>
      <c r="AY36" s="394"/>
      <c r="AZ36" s="394"/>
      <c r="BA36" s="394"/>
      <c r="BB36" s="222">
        <f t="shared" si="5"/>
        <v>0</v>
      </c>
      <c r="BC36" s="140">
        <f t="shared" si="6"/>
        <v>0</v>
      </c>
      <c r="BD36" s="132"/>
      <c r="BE36" s="113">
        <f t="shared" si="7"/>
        <v>0</v>
      </c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141"/>
      <c r="BQ36" s="908"/>
      <c r="BR36" s="141"/>
      <c r="BS36" s="141"/>
      <c r="BT36" s="130">
        <f t="shared" si="8"/>
        <v>0</v>
      </c>
      <c r="BU36" s="132"/>
    </row>
    <row r="37" ht="14.25" customHeight="1">
      <c r="A37" s="132"/>
      <c r="B37" s="215">
        <v>46053</v>
      </c>
      <c r="C37" s="924">
        <f>6976.35-0-0</f>
      </c>
      <c r="D37" s="159"/>
      <c r="E37" s="156"/>
      <c r="F37" s="156"/>
      <c r="G37" s="147">
        <f t="shared" si="0"/>
        <v>0</v>
      </c>
      <c r="H37" s="612"/>
      <c r="I37" s="923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>
        <v>535</v>
      </c>
      <c r="AI37" s="159"/>
      <c r="AJ37" s="159"/>
      <c r="AK37" s="105">
        <f t="shared" si="3"/>
        <v>0</v>
      </c>
      <c r="AL37" s="157"/>
      <c r="AM37" s="157"/>
      <c r="AN37" s="157"/>
      <c r="AO37" s="160"/>
      <c r="AP37" s="1171">
        <f t="shared" si="4"/>
        <v>0</v>
      </c>
      <c r="AQ37" s="1780">
        <v>6441.4</v>
      </c>
      <c r="AR37" s="1720"/>
      <c r="AS37" s="1557"/>
      <c r="AT37" s="1720"/>
      <c r="AU37" s="1546"/>
      <c r="AV37" s="1546"/>
      <c r="AW37" s="138"/>
      <c r="AX37" s="404"/>
      <c r="AY37" s="404"/>
      <c r="AZ37" s="404"/>
      <c r="BA37" s="404"/>
      <c r="BB37" s="222">
        <f t="shared" si="5"/>
        <v>0</v>
      </c>
      <c r="BC37" s="162">
        <f t="shared" si="6"/>
        <v>0</v>
      </c>
      <c r="BD37" s="132"/>
      <c r="BE37" s="113">
        <f t="shared" si="7"/>
        <v>0</v>
      </c>
      <c r="BF37" s="163"/>
      <c r="BG37" s="163"/>
      <c r="BH37" s="163"/>
      <c r="BI37" s="163"/>
      <c r="BJ37" s="163"/>
      <c r="BK37" s="163"/>
      <c r="BL37" s="163"/>
      <c r="BM37" s="163"/>
      <c r="BN37" s="163"/>
      <c r="BO37" s="141"/>
      <c r="BP37" s="163"/>
      <c r="BQ37" s="926"/>
      <c r="BR37" s="163"/>
      <c r="BS37" s="163"/>
      <c r="BT37" s="164">
        <f t="shared" si="8"/>
        <v>0</v>
      </c>
      <c r="BU37" s="132"/>
    </row>
    <row r="38" ht="14.25" customHeight="1">
      <c r="A38" s="3"/>
      <c r="B38" s="2" t="s">
        <v>186</v>
      </c>
      <c r="C38" s="166">
        <f ref="C38:BC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5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>
        <f t="shared" si="9"/>
        <v>0</v>
      </c>
      <c r="BC38" s="166">
        <f t="shared" si="9"/>
        <v>0</v>
      </c>
      <c r="BD38" s="132"/>
      <c r="BE38" s="166">
        <f ref="BE38:BR38" t="shared" si="10">SUM(BE7:BE37)</f>
        <v>0</v>
      </c>
      <c r="BF38" s="166">
        <f t="shared" si="10"/>
        <v>0</v>
      </c>
      <c r="BG38" s="166">
        <f t="shared" si="10"/>
        <v>0</v>
      </c>
      <c r="BH38" s="166">
        <f t="shared" si="10"/>
        <v>0</v>
      </c>
      <c r="BI38" s="166">
        <f t="shared" si="10"/>
        <v>0</v>
      </c>
      <c r="BJ38" s="166">
        <f t="shared" si="10"/>
        <v>0</v>
      </c>
      <c r="BK38" s="166">
        <f t="shared" si="10"/>
        <v>0</v>
      </c>
      <c r="BL38" s="166">
        <f t="shared" si="10"/>
        <v>0</v>
      </c>
      <c r="BM38" s="166">
        <f t="shared" si="10"/>
        <v>0</v>
      </c>
      <c r="BN38" s="166">
        <f t="shared" si="10"/>
        <v>0</v>
      </c>
      <c r="BO38" s="166">
        <f t="shared" si="10"/>
        <v>0</v>
      </c>
      <c r="BP38" s="166">
        <f t="shared" si="10"/>
        <v>0</v>
      </c>
      <c r="BQ38" s="166">
        <f t="shared" si="10"/>
        <v>0</v>
      </c>
      <c r="BR38" s="166">
        <f t="shared" si="10"/>
        <v>0</v>
      </c>
      <c r="BS38" s="166"/>
      <c r="BT38" s="166">
        <f>SUM(BT7:BT37)</f>
        <v>0</v>
      </c>
      <c r="BU38" s="132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1336"/>
      <c r="AL39" s="3"/>
      <c r="AM39" s="3"/>
      <c r="AN39" s="3"/>
      <c r="AO39" s="3"/>
      <c r="AP39" s="1336"/>
      <c r="AQ39" s="132"/>
      <c r="AR39" s="132"/>
      <c r="AS39" s="132"/>
      <c r="AT39" s="3"/>
      <c r="AU39" s="3"/>
      <c r="AV39" s="3"/>
      <c r="AW39" s="132"/>
      <c r="AX39" s="132"/>
      <c r="AY39" s="132"/>
      <c r="AZ39" s="132"/>
      <c r="BA39" s="132"/>
      <c r="BB39" s="1336"/>
      <c r="BC39" s="3"/>
      <c r="BD39" s="3"/>
      <c r="BE39" s="17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173"/>
      <c r="BU39" s="3"/>
    </row>
    <row r="40" ht="14.25" customHeight="1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1336"/>
      <c r="AL40" s="3"/>
      <c r="AM40" s="3"/>
      <c r="AN40" s="3"/>
      <c r="AO40" s="3"/>
      <c r="AP40" s="1336"/>
      <c r="AQ40" s="132"/>
      <c r="AR40" s="132"/>
      <c r="AS40" s="132"/>
      <c r="AT40" s="3"/>
      <c r="AU40" s="3"/>
      <c r="AV40" s="3"/>
      <c r="AW40" s="132"/>
      <c r="AX40" s="132"/>
      <c r="AY40" s="132"/>
      <c r="AZ40" s="132"/>
      <c r="BA40" s="132"/>
      <c r="BB40" s="1398"/>
      <c r="BC40" s="3"/>
      <c r="BD40" s="3"/>
      <c r="BE40" s="178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6"/>
      <c r="BT40" s="178"/>
      <c r="BU40" s="3"/>
    </row>
    <row r="41" ht="14.25" customHeight="1">
      <c r="A41" s="3"/>
      <c r="B41" s="215">
        <v>46054</v>
      </c>
      <c r="C41" s="238">
        <f>6630.56-0-0</f>
      </c>
      <c r="D41" s="104"/>
      <c r="E41" s="97"/>
      <c r="F41" s="97"/>
      <c r="G41" s="216">
        <f ref="G41:G69" t="shared" si="11">+C41+D41+E41+F41</f>
        <v>0</v>
      </c>
      <c r="H41" s="187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9">
        <f ref="T41:T69" t="shared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ref="AG41:AG69" t="shared" si="13">SUM(U41:AF41)</f>
        <v>0</v>
      </c>
      <c r="AH41" s="95">
        <v>830.26</v>
      </c>
      <c r="AI41" s="104"/>
      <c r="AJ41" s="104"/>
      <c r="AK41" s="191">
        <f ref="AK41:AK69" t="shared" si="14">SUM(AH41:AJ41)</f>
        <v>0</v>
      </c>
      <c r="AL41" s="186"/>
      <c r="AM41" s="186"/>
      <c r="AN41" s="186"/>
      <c r="AO41" s="193"/>
      <c r="AP41" s="219">
        <f ref="AP41:AP69" t="shared" si="15">+G41-T41-AG41-AK41-AL41-AM41-AN41-AO41</f>
        <v>0</v>
      </c>
      <c r="AQ41" s="1541">
        <v>5800.4</v>
      </c>
      <c r="AR41" s="1708"/>
      <c r="AS41" s="1537"/>
      <c r="AT41" s="1708"/>
      <c r="AU41" s="1537"/>
      <c r="AV41" s="1537"/>
      <c r="AW41" s="109"/>
      <c r="AX41" s="490"/>
      <c r="AY41" s="490"/>
      <c r="AZ41" s="490"/>
      <c r="BA41" s="490"/>
      <c r="BB41" s="222">
        <f ref="BB41:BB69" t="shared" si="16">SUM(AQ41:BA41)-AZ41</f>
        <v>0</v>
      </c>
      <c r="BC41" s="114">
        <f ref="BC41:BC69" t="shared" si="17">+AP41-BB41</f>
        <v>0</v>
      </c>
      <c r="BD41" s="3"/>
      <c r="BE41" s="114">
        <f ref="BE41:BE69" t="shared" si="18">SUM(BF41:BR41)</f>
        <v>0</v>
      </c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116">
        <f ref="BT41:BT69" t="shared" si="19">+BC41-BE41</f>
        <v>0</v>
      </c>
      <c r="BU41" s="3"/>
    </row>
    <row r="42" ht="14.25" customHeight="1">
      <c r="A42" s="3"/>
      <c r="B42" s="215">
        <v>46055</v>
      </c>
      <c r="C42" s="228">
        <f>7468.61-0-0</f>
      </c>
      <c r="D42" s="123"/>
      <c r="E42" s="120"/>
      <c r="F42" s="120"/>
      <c r="G42" s="147">
        <f t="shared" si="11"/>
        <v>0</v>
      </c>
      <c r="H42" s="122"/>
      <c r="I42" s="99"/>
      <c r="J42" s="99"/>
      <c r="K42" s="99"/>
      <c r="L42" s="99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>
        <v>677.25</v>
      </c>
      <c r="AI42" s="123"/>
      <c r="AJ42" s="123"/>
      <c r="AK42" s="105">
        <f t="shared" si="14"/>
        <v>0</v>
      </c>
      <c r="AL42" s="143"/>
      <c r="AM42" s="143"/>
      <c r="AN42" s="143"/>
      <c r="AO42" s="146"/>
      <c r="AP42" s="224">
        <f t="shared" si="15"/>
        <v>0</v>
      </c>
      <c r="AQ42" s="1580">
        <v>6791.5</v>
      </c>
      <c r="AR42" s="1709"/>
      <c r="AS42" s="1546"/>
      <c r="AT42" s="1546"/>
      <c r="AU42" s="1546"/>
      <c r="AV42" s="1546"/>
      <c r="AW42" s="126"/>
      <c r="AX42" s="152"/>
      <c r="AY42" s="152"/>
      <c r="AZ42" s="152"/>
      <c r="BA42" s="152"/>
      <c r="BB42" s="222">
        <f t="shared" si="16"/>
        <v>0</v>
      </c>
      <c r="BC42" s="113">
        <f t="shared" si="17"/>
        <v>0</v>
      </c>
      <c r="BD42" s="3"/>
      <c r="BE42" s="113">
        <f t="shared" si="18"/>
        <v>0</v>
      </c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30">
        <f t="shared" si="19"/>
        <v>0</v>
      </c>
      <c r="BU42" s="3"/>
    </row>
    <row r="43" ht="14.25" customHeight="1">
      <c r="A43" s="3"/>
      <c r="B43" s="215">
        <v>46056</v>
      </c>
      <c r="C43" s="228">
        <f>10162.83-0-0</f>
      </c>
      <c r="D43" s="123"/>
      <c r="E43" s="120"/>
      <c r="F43" s="120"/>
      <c r="G43" s="147">
        <f t="shared" si="11"/>
        <v>0</v>
      </c>
      <c r="H43" s="122"/>
      <c r="I43" s="99"/>
      <c r="J43" s="99"/>
      <c r="K43" s="99"/>
      <c r="L43" s="99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>
        <v>896.6</v>
      </c>
      <c r="AI43" s="123"/>
      <c r="AJ43" s="123"/>
      <c r="AK43" s="105">
        <f t="shared" si="14"/>
        <v>0</v>
      </c>
      <c r="AL43" s="1399"/>
      <c r="AM43" s="143"/>
      <c r="AN43" s="143"/>
      <c r="AO43" s="146"/>
      <c r="AP43" s="224">
        <f t="shared" si="15"/>
        <v>0</v>
      </c>
      <c r="AQ43" s="1580">
        <v>9266.2</v>
      </c>
      <c r="AR43" s="1709"/>
      <c r="AS43" s="1709"/>
      <c r="AT43" s="1546"/>
      <c r="AU43" s="1546"/>
      <c r="AV43" s="1546"/>
      <c r="AW43" s="126"/>
      <c r="AX43" s="152"/>
      <c r="AY43" s="152"/>
      <c r="AZ43" s="152"/>
      <c r="BA43" s="152"/>
      <c r="BB43" s="222">
        <f t="shared" si="16"/>
        <v>0</v>
      </c>
      <c r="BC43" s="113">
        <f t="shared" si="17"/>
        <v>0</v>
      </c>
      <c r="BD43" s="3"/>
      <c r="BE43" s="113">
        <f t="shared" si="18"/>
        <v>0</v>
      </c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30">
        <f t="shared" si="19"/>
        <v>0</v>
      </c>
      <c r="BU43" s="3"/>
    </row>
    <row r="44" ht="14.25" customHeight="1">
      <c r="A44" s="132"/>
      <c r="B44" s="215">
        <v>46057</v>
      </c>
      <c r="C44" s="230">
        <f>9519.71-0-0</f>
      </c>
      <c r="D44" s="136"/>
      <c r="E44" s="135"/>
      <c r="F44" s="135"/>
      <c r="G44" s="147">
        <f t="shared" si="11"/>
        <v>0</v>
      </c>
      <c r="H44" s="122"/>
      <c r="I44" s="99"/>
      <c r="J44" s="99"/>
      <c r="K44" s="99"/>
      <c r="L44" s="99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34">
        <v>808.51</v>
      </c>
      <c r="AI44" s="136"/>
      <c r="AJ44" s="136"/>
      <c r="AK44" s="105">
        <f t="shared" si="14"/>
        <v>0</v>
      </c>
      <c r="AL44" s="143"/>
      <c r="AM44" s="143"/>
      <c r="AN44" s="143"/>
      <c r="AO44" s="146"/>
      <c r="AP44" s="224">
        <f t="shared" si="15"/>
        <v>0</v>
      </c>
      <c r="AQ44" s="1580">
        <v>8711.4</v>
      </c>
      <c r="AR44" s="1709"/>
      <c r="AS44" s="1709"/>
      <c r="AT44" s="1546"/>
      <c r="AU44" s="1546"/>
      <c r="AV44" s="1546"/>
      <c r="AW44" s="126"/>
      <c r="AX44" s="152"/>
      <c r="AY44" s="152"/>
      <c r="AZ44" s="152"/>
      <c r="BA44" s="152"/>
      <c r="BB44" s="222">
        <f t="shared" si="16"/>
        <v>0</v>
      </c>
      <c r="BC44" s="140">
        <f t="shared" si="17"/>
        <v>0</v>
      </c>
      <c r="BD44" s="132"/>
      <c r="BE44" s="140">
        <f t="shared" si="18"/>
        <v>0</v>
      </c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41"/>
      <c r="BT44" s="130">
        <f t="shared" si="19"/>
        <v>0</v>
      </c>
      <c r="BU44" s="132"/>
    </row>
    <row r="45" ht="14.25" customHeight="1">
      <c r="A45" s="132"/>
      <c r="B45" s="215">
        <v>46058</v>
      </c>
      <c r="C45" s="230">
        <f>5471.62-0-0</f>
      </c>
      <c r="D45" s="136"/>
      <c r="E45" s="135"/>
      <c r="F45" s="135"/>
      <c r="G45" s="147">
        <f t="shared" si="11"/>
        <v>0</v>
      </c>
      <c r="H45" s="122"/>
      <c r="I45" s="99"/>
      <c r="J45" s="99"/>
      <c r="K45" s="99"/>
      <c r="L45" s="99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34">
        <v>520.66</v>
      </c>
      <c r="AI45" s="136"/>
      <c r="AJ45" s="136"/>
      <c r="AK45" s="105">
        <f t="shared" si="14"/>
        <v>0</v>
      </c>
      <c r="AL45" s="143"/>
      <c r="AM45" s="143"/>
      <c r="AN45" s="143"/>
      <c r="AO45" s="146"/>
      <c r="AP45" s="224">
        <f t="shared" si="15"/>
        <v>0</v>
      </c>
      <c r="AQ45" s="1580">
        <v>4951</v>
      </c>
      <c r="AR45" s="1709"/>
      <c r="AS45" s="1546"/>
      <c r="AT45" s="1546"/>
      <c r="AU45" s="1546"/>
      <c r="AV45" s="1546"/>
      <c r="AW45" s="126"/>
      <c r="AX45" s="152"/>
      <c r="AY45" s="152"/>
      <c r="AZ45" s="152"/>
      <c r="BA45" s="152"/>
      <c r="BB45" s="222">
        <f t="shared" si="16"/>
        <v>0</v>
      </c>
      <c r="BC45" s="140">
        <f t="shared" si="17"/>
        <v>0</v>
      </c>
      <c r="BD45" s="132"/>
      <c r="BE45" s="140">
        <f t="shared" si="18"/>
        <v>0</v>
      </c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41"/>
      <c r="BT45" s="130">
        <f t="shared" si="19"/>
        <v>0</v>
      </c>
      <c r="BU45" s="132"/>
    </row>
    <row r="46" ht="14.25" customHeight="1">
      <c r="A46" s="132"/>
      <c r="B46" s="215">
        <v>46059</v>
      </c>
      <c r="C46" s="230">
        <f>8490.94-0-0</f>
      </c>
      <c r="D46" s="136"/>
      <c r="E46" s="135"/>
      <c r="F46" s="135"/>
      <c r="G46" s="147">
        <f t="shared" si="11"/>
        <v>0</v>
      </c>
      <c r="H46" s="122"/>
      <c r="I46" s="99"/>
      <c r="J46" s="99"/>
      <c r="K46" s="99"/>
      <c r="L46" s="99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34">
        <v>889</v>
      </c>
      <c r="AI46" s="136"/>
      <c r="AJ46" s="136"/>
      <c r="AK46" s="105">
        <f t="shared" si="14"/>
        <v>0</v>
      </c>
      <c r="AL46" s="143"/>
      <c r="AM46" s="143"/>
      <c r="AN46" s="143"/>
      <c r="AO46" s="146"/>
      <c r="AP46" s="224">
        <f t="shared" si="15"/>
        <v>0</v>
      </c>
      <c r="AQ46" s="1580">
        <v>7601.9</v>
      </c>
      <c r="AR46" s="1709"/>
      <c r="AS46" s="1546"/>
      <c r="AT46" s="1546"/>
      <c r="AU46" s="1546"/>
      <c r="AV46" s="1546"/>
      <c r="AW46" s="126"/>
      <c r="AX46" s="152"/>
      <c r="AY46" s="152"/>
      <c r="AZ46" s="152"/>
      <c r="BA46" s="152"/>
      <c r="BB46" s="222">
        <f t="shared" si="16"/>
        <v>0</v>
      </c>
      <c r="BC46" s="140">
        <f t="shared" si="17"/>
        <v>0</v>
      </c>
      <c r="BD46" s="132"/>
      <c r="BE46" s="140">
        <f t="shared" si="18"/>
        <v>0</v>
      </c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41"/>
      <c r="BT46" s="130">
        <f t="shared" si="19"/>
        <v>0</v>
      </c>
      <c r="BU46" s="132"/>
    </row>
    <row r="47" ht="14.25" customHeight="1">
      <c r="A47" s="132"/>
      <c r="B47" s="215">
        <v>46060</v>
      </c>
      <c r="C47" s="230">
        <f>8945.71-0-0</f>
      </c>
      <c r="D47" s="136"/>
      <c r="E47" s="135"/>
      <c r="F47" s="135"/>
      <c r="G47" s="147">
        <f t="shared" si="11"/>
        <v>0</v>
      </c>
      <c r="H47" s="122"/>
      <c r="I47" s="99"/>
      <c r="J47" s="99"/>
      <c r="K47" s="99"/>
      <c r="L47" s="99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>
        <v>365.6</v>
      </c>
      <c r="AI47" s="136"/>
      <c r="AJ47" s="136"/>
      <c r="AK47" s="105">
        <f t="shared" si="14"/>
        <v>0</v>
      </c>
      <c r="AL47" s="143"/>
      <c r="AM47" s="143"/>
      <c r="AN47" s="143"/>
      <c r="AO47" s="146"/>
      <c r="AP47" s="224">
        <f t="shared" si="15"/>
        <v>0</v>
      </c>
      <c r="AQ47" s="1580">
        <v>7980.2</v>
      </c>
      <c r="AR47" s="1709"/>
      <c r="AS47" s="1546"/>
      <c r="AT47" s="1546"/>
      <c r="AU47" s="1546"/>
      <c r="AV47" s="1546"/>
      <c r="AW47" s="126"/>
      <c r="AX47" s="152"/>
      <c r="AY47" s="152"/>
      <c r="AZ47" s="152"/>
      <c r="BA47" s="152"/>
      <c r="BB47" s="222">
        <f t="shared" si="16"/>
        <v>0</v>
      </c>
      <c r="BC47" s="140">
        <f t="shared" si="17"/>
        <v>0</v>
      </c>
      <c r="BD47" s="132"/>
      <c r="BE47" s="140">
        <f t="shared" si="18"/>
        <v>0</v>
      </c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50"/>
      <c r="BQ47" s="141">
        <v>600</v>
      </c>
      <c r="BR47" s="141"/>
      <c r="BS47" s="141"/>
      <c r="BT47" s="130">
        <f t="shared" si="19"/>
        <v>0</v>
      </c>
      <c r="BU47" s="132"/>
    </row>
    <row r="48" ht="14.25" customHeight="1">
      <c r="A48" s="132"/>
      <c r="B48" s="215">
        <v>46061</v>
      </c>
      <c r="C48" s="230">
        <f>6145.48-0-0</f>
      </c>
      <c r="D48" s="136"/>
      <c r="E48" s="135"/>
      <c r="F48" s="135"/>
      <c r="G48" s="147">
        <f t="shared" si="11"/>
        <v>0</v>
      </c>
      <c r="H48" s="122"/>
      <c r="I48" s="99"/>
      <c r="J48" s="99"/>
      <c r="K48" s="99"/>
      <c r="L48" s="99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>
        <v>213</v>
      </c>
      <c r="AI48" s="136"/>
      <c r="AJ48" s="136"/>
      <c r="AK48" s="105">
        <f t="shared" si="14"/>
        <v>0</v>
      </c>
      <c r="AL48" s="143"/>
      <c r="AM48" s="143"/>
      <c r="AN48" s="143"/>
      <c r="AO48" s="146"/>
      <c r="AP48" s="224">
        <f t="shared" si="15"/>
        <v>0</v>
      </c>
      <c r="AQ48" s="1580">
        <v>5932.6</v>
      </c>
      <c r="AR48" s="1709"/>
      <c r="AS48" s="1546"/>
      <c r="AT48" s="1546"/>
      <c r="AU48" s="1546"/>
      <c r="AV48" s="1546"/>
      <c r="AW48" s="126"/>
      <c r="AX48" s="152"/>
      <c r="AY48" s="152"/>
      <c r="AZ48" s="152"/>
      <c r="BA48" s="152"/>
      <c r="BB48" s="222">
        <f t="shared" si="16"/>
        <v>0</v>
      </c>
      <c r="BC48" s="140">
        <f t="shared" si="17"/>
        <v>0</v>
      </c>
      <c r="BD48" s="132"/>
      <c r="BE48" s="140">
        <f t="shared" si="18"/>
        <v>0</v>
      </c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41"/>
      <c r="BT48" s="130">
        <f t="shared" si="19"/>
        <v>0</v>
      </c>
      <c r="BU48" s="132"/>
    </row>
    <row r="49" ht="14.25" customHeight="1">
      <c r="A49" s="132"/>
      <c r="B49" s="215">
        <v>46062</v>
      </c>
      <c r="C49" s="230">
        <f>7224.19-0-0</f>
      </c>
      <c r="D49" s="136"/>
      <c r="E49" s="135"/>
      <c r="F49" s="135"/>
      <c r="G49" s="147">
        <f t="shared" si="11"/>
        <v>0</v>
      </c>
      <c r="H49" s="122"/>
      <c r="I49" s="99"/>
      <c r="J49" s="99"/>
      <c r="K49" s="99"/>
      <c r="L49" s="99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>
        <v>157.5</v>
      </c>
      <c r="AI49" s="136"/>
      <c r="AJ49" s="136"/>
      <c r="AK49" s="105">
        <f t="shared" si="14"/>
        <v>0</v>
      </c>
      <c r="AL49" s="143"/>
      <c r="AM49" s="143"/>
      <c r="AN49" s="143"/>
      <c r="AO49" s="146"/>
      <c r="AP49" s="224">
        <f t="shared" si="15"/>
        <v>0</v>
      </c>
      <c r="AQ49" s="1580">
        <v>6166.7</v>
      </c>
      <c r="AR49" s="1709"/>
      <c r="AS49" s="1546"/>
      <c r="AT49" s="1546"/>
      <c r="AU49" s="1546"/>
      <c r="AV49" s="1546"/>
      <c r="AW49" s="126"/>
      <c r="AX49" s="152"/>
      <c r="AY49" s="152"/>
      <c r="AZ49" s="152"/>
      <c r="BA49" s="152"/>
      <c r="BB49" s="222">
        <f t="shared" si="16"/>
        <v>0</v>
      </c>
      <c r="BC49" s="140">
        <f t="shared" si="17"/>
        <v>0</v>
      </c>
      <c r="BD49" s="132"/>
      <c r="BE49" s="140">
        <f t="shared" si="18"/>
        <v>0</v>
      </c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50"/>
      <c r="BQ49" s="141">
        <v>900</v>
      </c>
      <c r="BR49" s="141"/>
      <c r="BS49" s="141"/>
      <c r="BT49" s="130">
        <f t="shared" si="19"/>
        <v>0</v>
      </c>
      <c r="BU49" s="132"/>
    </row>
    <row r="50" ht="14.25" customHeight="1">
      <c r="A50" s="132"/>
      <c r="B50" s="215">
        <v>46063</v>
      </c>
      <c r="C50" s="230">
        <f>9235.37-0-0</f>
      </c>
      <c r="D50" s="136"/>
      <c r="E50" s="135"/>
      <c r="F50" s="135"/>
      <c r="G50" s="147">
        <f t="shared" si="11"/>
        <v>0</v>
      </c>
      <c r="H50" s="122"/>
      <c r="I50" s="99"/>
      <c r="J50" s="99"/>
      <c r="K50" s="99"/>
      <c r="L50" s="99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>
        <v>1150.56</v>
      </c>
      <c r="AI50" s="136"/>
      <c r="AJ50" s="136"/>
      <c r="AK50" s="105">
        <f t="shared" si="14"/>
        <v>0</v>
      </c>
      <c r="AL50" s="143"/>
      <c r="AM50" s="143"/>
      <c r="AN50" s="143"/>
      <c r="AO50" s="146"/>
      <c r="AP50" s="224">
        <f t="shared" si="15"/>
        <v>0</v>
      </c>
      <c r="AQ50" s="1580">
        <v>8084.8</v>
      </c>
      <c r="AR50" s="1709"/>
      <c r="AS50" s="1546"/>
      <c r="AT50" s="1546"/>
      <c r="AU50" s="1546"/>
      <c r="AV50" s="1546"/>
      <c r="AW50" s="126"/>
      <c r="AX50" s="152"/>
      <c r="AY50" s="152"/>
      <c r="AZ50" s="152"/>
      <c r="BA50" s="152"/>
      <c r="BB50" s="222">
        <f t="shared" si="16"/>
        <v>0</v>
      </c>
      <c r="BC50" s="140">
        <f t="shared" si="17"/>
        <v>0</v>
      </c>
      <c r="BD50" s="132"/>
      <c r="BE50" s="140">
        <f t="shared" si="18"/>
        <v>0</v>
      </c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41"/>
      <c r="BT50" s="130">
        <f t="shared" si="19"/>
        <v>0</v>
      </c>
      <c r="BU50" s="132"/>
    </row>
    <row r="51" ht="14.25" customHeight="1">
      <c r="A51" s="132"/>
      <c r="B51" s="215">
        <v>46064</v>
      </c>
      <c r="C51" s="230">
        <f>8286.62-0-0</f>
      </c>
      <c r="D51" s="136"/>
      <c r="E51" s="135"/>
      <c r="F51" s="135"/>
      <c r="G51" s="147">
        <f t="shared" si="11"/>
        <v>0</v>
      </c>
      <c r="H51" s="122"/>
      <c r="I51" s="99"/>
      <c r="J51" s="99"/>
      <c r="K51" s="99"/>
      <c r="L51" s="99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>
        <v>693.6</v>
      </c>
      <c r="AI51" s="136"/>
      <c r="AJ51" s="136"/>
      <c r="AK51" s="105">
        <f t="shared" si="14"/>
        <v>0</v>
      </c>
      <c r="AL51" s="143"/>
      <c r="AM51" s="143"/>
      <c r="AN51" s="143"/>
      <c r="AO51" s="146"/>
      <c r="AP51" s="224">
        <f t="shared" si="15"/>
        <v>0</v>
      </c>
      <c r="AQ51" s="1580">
        <v>7593.1</v>
      </c>
      <c r="AR51" s="1709"/>
      <c r="AS51" s="1546"/>
      <c r="AT51" s="1546"/>
      <c r="AU51" s="1546"/>
      <c r="AV51" s="1546"/>
      <c r="AW51" s="126"/>
      <c r="AX51" s="152"/>
      <c r="AY51" s="152"/>
      <c r="AZ51" s="152"/>
      <c r="BA51" s="152"/>
      <c r="BB51" s="222">
        <f t="shared" si="16"/>
        <v>0</v>
      </c>
      <c r="BC51" s="140">
        <f t="shared" si="17"/>
        <v>0</v>
      </c>
      <c r="BD51" s="132"/>
      <c r="BE51" s="140">
        <f t="shared" si="18"/>
        <v>0</v>
      </c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41"/>
      <c r="BQ51" s="141"/>
      <c r="BR51" s="141"/>
      <c r="BS51" s="141"/>
      <c r="BT51" s="130">
        <f t="shared" si="19"/>
        <v>0</v>
      </c>
      <c r="BU51" s="132"/>
    </row>
    <row r="52" ht="14.25" customHeight="1">
      <c r="A52" s="132"/>
      <c r="B52" s="215">
        <v>46065</v>
      </c>
      <c r="C52" s="230">
        <f>8347.31-0-0</f>
      </c>
      <c r="D52" s="136"/>
      <c r="E52" s="135"/>
      <c r="F52" s="135"/>
      <c r="G52" s="147">
        <f t="shared" si="11"/>
        <v>0</v>
      </c>
      <c r="H52" s="122"/>
      <c r="I52" s="99"/>
      <c r="J52" s="99"/>
      <c r="K52" s="99"/>
      <c r="L52" s="99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>
        <v>1030.8</v>
      </c>
      <c r="AI52" s="136"/>
      <c r="AJ52" s="136"/>
      <c r="AK52" s="105">
        <f t="shared" si="14"/>
        <v>0</v>
      </c>
      <c r="AL52" s="143"/>
      <c r="AM52" s="143"/>
      <c r="AN52" s="143"/>
      <c r="AO52" s="146"/>
      <c r="AP52" s="224">
        <f t="shared" si="15"/>
        <v>0</v>
      </c>
      <c r="AQ52" s="1580">
        <v>7316.5</v>
      </c>
      <c r="AR52" s="1709"/>
      <c r="AS52" s="1546"/>
      <c r="AT52" s="1546"/>
      <c r="AU52" s="1546"/>
      <c r="AV52" s="1546"/>
      <c r="AW52" s="126"/>
      <c r="AX52" s="152"/>
      <c r="AY52" s="152"/>
      <c r="AZ52" s="152"/>
      <c r="BA52" s="152"/>
      <c r="BB52" s="222">
        <f t="shared" si="16"/>
        <v>0</v>
      </c>
      <c r="BC52" s="140">
        <f t="shared" si="17"/>
        <v>0</v>
      </c>
      <c r="BD52" s="132"/>
      <c r="BE52" s="140">
        <f t="shared" si="18"/>
        <v>0</v>
      </c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41"/>
      <c r="BT52" s="130">
        <f t="shared" si="19"/>
        <v>0</v>
      </c>
      <c r="BU52" s="132"/>
    </row>
    <row r="53" ht="14.25" customHeight="1">
      <c r="A53" s="132"/>
      <c r="B53" s="215">
        <v>46066</v>
      </c>
      <c r="C53" s="230">
        <f>7284.70-0-0</f>
      </c>
      <c r="D53" s="136"/>
      <c r="E53" s="135"/>
      <c r="F53" s="135"/>
      <c r="G53" s="147">
        <f t="shared" si="11"/>
        <v>0</v>
      </c>
      <c r="H53" s="122"/>
      <c r="I53" s="99"/>
      <c r="J53" s="99"/>
      <c r="K53" s="99"/>
      <c r="L53" s="99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>
        <v>1235</v>
      </c>
      <c r="AI53" s="136"/>
      <c r="AJ53" s="136"/>
      <c r="AK53" s="105">
        <f t="shared" si="14"/>
        <v>0</v>
      </c>
      <c r="AL53" s="143"/>
      <c r="AM53" s="143"/>
      <c r="AN53" s="143"/>
      <c r="AO53" s="146"/>
      <c r="AP53" s="224">
        <f t="shared" si="15"/>
        <v>0</v>
      </c>
      <c r="AQ53" s="1580">
        <v>5999.7</v>
      </c>
      <c r="AR53" s="1709"/>
      <c r="AS53" s="1546"/>
      <c r="AT53" s="1546"/>
      <c r="AU53" s="1546"/>
      <c r="AV53" s="1546"/>
      <c r="AW53" s="126"/>
      <c r="AX53" s="152"/>
      <c r="AY53" s="152"/>
      <c r="AZ53" s="152"/>
      <c r="BA53" s="152"/>
      <c r="BB53" s="222">
        <f t="shared" si="16"/>
        <v>0</v>
      </c>
      <c r="BC53" s="140">
        <f t="shared" si="17"/>
        <v>0</v>
      </c>
      <c r="BD53" s="132"/>
      <c r="BE53" s="140">
        <f t="shared" si="18"/>
        <v>0</v>
      </c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50"/>
      <c r="BQ53" s="141">
        <v>50</v>
      </c>
      <c r="BR53" s="141"/>
      <c r="BS53" s="141"/>
      <c r="BT53" s="130">
        <f t="shared" si="19"/>
        <v>0</v>
      </c>
      <c r="BU53" s="132"/>
    </row>
    <row r="54" ht="14.25" customHeight="1">
      <c r="A54" s="132"/>
      <c r="B54" s="215">
        <v>46067</v>
      </c>
      <c r="C54" s="230">
        <f>9763.48-0-0</f>
      </c>
      <c r="D54" s="136"/>
      <c r="E54" s="135"/>
      <c r="F54" s="135"/>
      <c r="G54" s="147">
        <f t="shared" si="11"/>
        <v>0</v>
      </c>
      <c r="H54" s="122"/>
      <c r="I54" s="99"/>
      <c r="J54" s="99"/>
      <c r="K54" s="99"/>
      <c r="L54" s="136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>
        <v>1053.22</v>
      </c>
      <c r="AI54" s="136"/>
      <c r="AJ54" s="136"/>
      <c r="AK54" s="105">
        <f t="shared" si="14"/>
        <v>0</v>
      </c>
      <c r="AL54" s="143"/>
      <c r="AM54" s="143"/>
      <c r="AN54" s="143"/>
      <c r="AO54" s="146"/>
      <c r="AP54" s="224">
        <f t="shared" si="15"/>
        <v>0</v>
      </c>
      <c r="AQ54" s="1580">
        <v>8710.3</v>
      </c>
      <c r="AR54" s="1709"/>
      <c r="AS54" s="1546"/>
      <c r="AT54" s="1546"/>
      <c r="AU54" s="1546"/>
      <c r="AV54" s="1546"/>
      <c r="AW54" s="126"/>
      <c r="AX54" s="152"/>
      <c r="AY54" s="152"/>
      <c r="AZ54" s="152"/>
      <c r="BA54" s="152"/>
      <c r="BB54" s="222">
        <f t="shared" si="16"/>
        <v>0</v>
      </c>
      <c r="BC54" s="140">
        <f t="shared" si="17"/>
        <v>0</v>
      </c>
      <c r="BD54" s="132"/>
      <c r="BE54" s="140">
        <f t="shared" si="18"/>
        <v>0</v>
      </c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41"/>
      <c r="BT54" s="130">
        <f t="shared" si="19"/>
        <v>0</v>
      </c>
      <c r="BU54" s="132"/>
    </row>
    <row r="55" ht="14.25" customHeight="1">
      <c r="A55" s="132"/>
      <c r="B55" s="215">
        <v>46068</v>
      </c>
      <c r="C55" s="230">
        <f>6815.64-0-0</f>
      </c>
      <c r="D55" s="136"/>
      <c r="E55" s="135"/>
      <c r="F55" s="135"/>
      <c r="G55" s="147">
        <f t="shared" si="11"/>
        <v>0</v>
      </c>
      <c r="H55" s="122"/>
      <c r="I55" s="99"/>
      <c r="J55" s="99"/>
      <c r="K55" s="99"/>
      <c r="L55" s="136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>
        <v>522</v>
      </c>
      <c r="AI55" s="136"/>
      <c r="AJ55" s="136"/>
      <c r="AK55" s="105">
        <f t="shared" si="14"/>
        <v>0</v>
      </c>
      <c r="AL55" s="143"/>
      <c r="AM55" s="143"/>
      <c r="AN55" s="143"/>
      <c r="AO55" s="146"/>
      <c r="AP55" s="224">
        <f t="shared" si="15"/>
        <v>0</v>
      </c>
      <c r="AQ55" s="1580">
        <v>6293.7</v>
      </c>
      <c r="AR55" s="1709"/>
      <c r="AS55" s="1546"/>
      <c r="AT55" s="1546"/>
      <c r="AU55" s="1546"/>
      <c r="AV55" s="1546"/>
      <c r="AW55" s="126"/>
      <c r="AX55" s="152"/>
      <c r="AY55" s="152"/>
      <c r="AZ55" s="152"/>
      <c r="BA55" s="152"/>
      <c r="BB55" s="222">
        <f t="shared" si="16"/>
        <v>0</v>
      </c>
      <c r="BC55" s="140">
        <f t="shared" si="17"/>
        <v>0</v>
      </c>
      <c r="BD55" s="132"/>
      <c r="BE55" s="140">
        <f t="shared" si="18"/>
        <v>0</v>
      </c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41"/>
      <c r="BT55" s="130">
        <f t="shared" si="19"/>
        <v>0</v>
      </c>
      <c r="BU55" s="132"/>
    </row>
    <row r="56" ht="14.25" customHeight="1">
      <c r="A56" s="132"/>
      <c r="B56" s="215">
        <v>46069</v>
      </c>
      <c r="C56" s="230">
        <f>11447.30-0-0</f>
      </c>
      <c r="D56" s="136"/>
      <c r="E56" s="135"/>
      <c r="F56" s="135"/>
      <c r="G56" s="147">
        <f t="shared" si="11"/>
        <v>0</v>
      </c>
      <c r="H56" s="122"/>
      <c r="I56" s="99"/>
      <c r="J56" s="99"/>
      <c r="K56" s="99"/>
      <c r="L56" s="136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>
        <v>1041.1</v>
      </c>
      <c r="AI56" s="136"/>
      <c r="AJ56" s="136"/>
      <c r="AK56" s="105">
        <f t="shared" si="14"/>
        <v>0</v>
      </c>
      <c r="AL56" s="143"/>
      <c r="AM56" s="143"/>
      <c r="AN56" s="143"/>
      <c r="AO56" s="146"/>
      <c r="AP56" s="224">
        <f t="shared" si="15"/>
        <v>0</v>
      </c>
      <c r="AQ56" s="1580">
        <v>10405.4</v>
      </c>
      <c r="AR56" s="1709"/>
      <c r="AS56" s="1867"/>
      <c r="AT56" s="1546"/>
      <c r="AU56" s="1546"/>
      <c r="AV56" s="1546"/>
      <c r="AW56" s="126"/>
      <c r="AX56" s="152"/>
      <c r="AY56" s="152"/>
      <c r="AZ56" s="152"/>
      <c r="BA56" s="152"/>
      <c r="BB56" s="222">
        <f t="shared" si="16"/>
        <v>0</v>
      </c>
      <c r="BC56" s="140">
        <f t="shared" si="17"/>
        <v>0</v>
      </c>
      <c r="BD56" s="132"/>
      <c r="BE56" s="140">
        <f t="shared" si="18"/>
        <v>0</v>
      </c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41"/>
      <c r="BT56" s="130">
        <f t="shared" si="19"/>
        <v>0</v>
      </c>
      <c r="BU56" s="132"/>
    </row>
    <row r="57" ht="14.25" customHeight="1">
      <c r="A57" s="132"/>
      <c r="B57" s="215">
        <v>46070</v>
      </c>
      <c r="C57" s="230">
        <f>6051.46-0-0</f>
      </c>
      <c r="D57" s="136"/>
      <c r="E57" s="135"/>
      <c r="F57" s="135"/>
      <c r="G57" s="147">
        <f t="shared" si="11"/>
        <v>0</v>
      </c>
      <c r="H57" s="122"/>
      <c r="I57" s="99"/>
      <c r="J57" s="99"/>
      <c r="K57" s="136"/>
      <c r="L57" s="136"/>
      <c r="M57" s="143"/>
      <c r="N57" s="143"/>
      <c r="O57" s="143"/>
      <c r="P57" s="143"/>
      <c r="Q57" s="143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>
        <v>292</v>
      </c>
      <c r="AI57" s="136"/>
      <c r="AJ57" s="136"/>
      <c r="AK57" s="105">
        <f t="shared" si="14"/>
        <v>0</v>
      </c>
      <c r="AL57" s="143"/>
      <c r="AM57" s="143"/>
      <c r="AN57" s="143"/>
      <c r="AO57" s="146"/>
      <c r="AP57" s="224">
        <f t="shared" si="15"/>
        <v>0</v>
      </c>
      <c r="AQ57" s="1580">
        <v>5759.5</v>
      </c>
      <c r="AR57" s="1709"/>
      <c r="AS57" s="1546"/>
      <c r="AT57" s="1546"/>
      <c r="AU57" s="1546"/>
      <c r="AV57" s="1546"/>
      <c r="AW57" s="126"/>
      <c r="AX57" s="152"/>
      <c r="AY57" s="152"/>
      <c r="AZ57" s="152"/>
      <c r="BA57" s="152"/>
      <c r="BB57" s="222">
        <f t="shared" si="16"/>
        <v>0</v>
      </c>
      <c r="BC57" s="140">
        <f t="shared" si="17"/>
        <v>0</v>
      </c>
      <c r="BD57" s="132"/>
      <c r="BE57" s="140">
        <f t="shared" si="18"/>
        <v>0</v>
      </c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41"/>
      <c r="BQ57" s="141"/>
      <c r="BR57" s="141"/>
      <c r="BS57" s="141"/>
      <c r="BT57" s="130">
        <f t="shared" si="19"/>
        <v>0</v>
      </c>
      <c r="BU57" s="132"/>
    </row>
    <row r="58" ht="14.25" customHeight="1">
      <c r="A58" s="132"/>
      <c r="B58" s="215">
        <v>46071</v>
      </c>
      <c r="C58" s="230">
        <f>11188.54-0-0</f>
      </c>
      <c r="D58" s="136"/>
      <c r="E58" s="135"/>
      <c r="F58" s="135"/>
      <c r="G58" s="147">
        <f t="shared" si="11"/>
        <v>0</v>
      </c>
      <c r="H58" s="122"/>
      <c r="I58" s="99"/>
      <c r="J58" s="99"/>
      <c r="K58" s="99"/>
      <c r="L58" s="136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>
        <v>641.78</v>
      </c>
      <c r="AI58" s="136"/>
      <c r="AJ58" s="136"/>
      <c r="AK58" s="105">
        <f t="shared" si="14"/>
        <v>0</v>
      </c>
      <c r="AL58" s="143"/>
      <c r="AM58" s="143"/>
      <c r="AN58" s="143"/>
      <c r="AO58" s="146"/>
      <c r="AP58" s="224">
        <f t="shared" si="15"/>
        <v>0</v>
      </c>
      <c r="AQ58" s="1580">
        <v>10296.7</v>
      </c>
      <c r="AR58" s="1709"/>
      <c r="AS58" s="1546"/>
      <c r="AT58" s="1546"/>
      <c r="AU58" s="1546"/>
      <c r="AV58" s="1546"/>
      <c r="AW58" s="126"/>
      <c r="AX58" s="152"/>
      <c r="AY58" s="152"/>
      <c r="AZ58" s="152"/>
      <c r="BA58" s="152"/>
      <c r="BB58" s="222">
        <f t="shared" si="16"/>
        <v>0</v>
      </c>
      <c r="BC58" s="140">
        <f t="shared" si="17"/>
        <v>0</v>
      </c>
      <c r="BD58" s="132"/>
      <c r="BE58" s="140">
        <f t="shared" si="18"/>
        <v>0</v>
      </c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50"/>
      <c r="BQ58" s="141">
        <v>250</v>
      </c>
      <c r="BR58" s="141"/>
      <c r="BS58" s="141"/>
      <c r="BT58" s="130">
        <f t="shared" si="19"/>
        <v>0</v>
      </c>
      <c r="BU58" s="132"/>
    </row>
    <row r="59" ht="14.25" customHeight="1">
      <c r="A59" s="132"/>
      <c r="B59" s="215">
        <v>46072</v>
      </c>
      <c r="C59" s="230">
        <f>7430.12-0-0</f>
      </c>
      <c r="D59" s="136"/>
      <c r="E59" s="135"/>
      <c r="F59" s="135"/>
      <c r="G59" s="147">
        <f t="shared" si="11"/>
        <v>0</v>
      </c>
      <c r="H59" s="122"/>
      <c r="I59" s="99"/>
      <c r="J59" s="99"/>
      <c r="K59" s="99"/>
      <c r="L59" s="136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>
        <v>608.02</v>
      </c>
      <c r="AI59" s="136"/>
      <c r="AJ59" s="136"/>
      <c r="AK59" s="105">
        <f t="shared" si="14"/>
        <v>0</v>
      </c>
      <c r="AL59" s="143"/>
      <c r="AM59" s="143"/>
      <c r="AN59" s="143"/>
      <c r="AO59" s="146"/>
      <c r="AP59" s="224">
        <f t="shared" si="15"/>
        <v>0</v>
      </c>
      <c r="AQ59" s="1580">
        <v>6822.2</v>
      </c>
      <c r="AR59" s="1709"/>
      <c r="AS59" s="1546"/>
      <c r="AT59" s="1546"/>
      <c r="AU59" s="1546"/>
      <c r="AV59" s="1546"/>
      <c r="AW59" s="126"/>
      <c r="AX59" s="152"/>
      <c r="AY59" s="152"/>
      <c r="AZ59" s="152"/>
      <c r="BA59" s="152"/>
      <c r="BB59" s="222">
        <f t="shared" si="16"/>
        <v>0</v>
      </c>
      <c r="BC59" s="140">
        <f t="shared" si="17"/>
        <v>0</v>
      </c>
      <c r="BD59" s="132"/>
      <c r="BE59" s="140">
        <f t="shared" si="18"/>
        <v>0</v>
      </c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41"/>
      <c r="BT59" s="130">
        <f t="shared" si="19"/>
        <v>0</v>
      </c>
      <c r="BU59" s="132"/>
    </row>
    <row r="60" ht="14.25" customHeight="1">
      <c r="A60" s="132"/>
      <c r="B60" s="215">
        <v>46073</v>
      </c>
      <c r="C60" s="230">
        <f>10120.94-0-0</f>
      </c>
      <c r="D60" s="136"/>
      <c r="E60" s="135"/>
      <c r="F60" s="135"/>
      <c r="G60" s="147">
        <f t="shared" si="11"/>
        <v>0</v>
      </c>
      <c r="H60" s="122"/>
      <c r="I60" s="99"/>
      <c r="J60" s="99"/>
      <c r="K60" s="99"/>
      <c r="L60" s="136"/>
      <c r="M60" s="143"/>
      <c r="N60" s="143"/>
      <c r="O60" s="143"/>
      <c r="P60" s="143"/>
      <c r="Q60" s="143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>
        <v>781.72</v>
      </c>
      <c r="AI60" s="136"/>
      <c r="AJ60" s="136"/>
      <c r="AK60" s="105">
        <f t="shared" si="14"/>
        <v>0</v>
      </c>
      <c r="AL60" s="143"/>
      <c r="AM60" s="143"/>
      <c r="AN60" s="143"/>
      <c r="AO60" s="146"/>
      <c r="AP60" s="224">
        <f t="shared" si="15"/>
        <v>0</v>
      </c>
      <c r="AQ60" s="1580">
        <v>9339.3</v>
      </c>
      <c r="AR60" s="1709"/>
      <c r="AS60" s="1546"/>
      <c r="AT60" s="1546"/>
      <c r="AU60" s="1546"/>
      <c r="AV60" s="1546"/>
      <c r="AW60" s="126"/>
      <c r="AX60" s="152"/>
      <c r="AY60" s="152"/>
      <c r="AZ60" s="152"/>
      <c r="BA60" s="152"/>
      <c r="BB60" s="222">
        <f t="shared" si="16"/>
        <v>0</v>
      </c>
      <c r="BC60" s="140">
        <f t="shared" si="17"/>
        <v>0</v>
      </c>
      <c r="BD60" s="132"/>
      <c r="BE60" s="140">
        <f t="shared" si="18"/>
        <v>0</v>
      </c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41"/>
      <c r="BT60" s="130">
        <f t="shared" si="19"/>
        <v>0</v>
      </c>
      <c r="BU60" s="132"/>
    </row>
    <row r="61" ht="14.25" customHeight="1">
      <c r="A61" s="132"/>
      <c r="B61" s="215">
        <v>46074</v>
      </c>
      <c r="C61" s="230">
        <f>9217.67-0-0</f>
      </c>
      <c r="D61" s="136"/>
      <c r="E61" s="135"/>
      <c r="F61" s="135"/>
      <c r="G61" s="147">
        <f t="shared" si="11"/>
        <v>0</v>
      </c>
      <c r="H61" s="122"/>
      <c r="I61" s="99"/>
      <c r="J61" s="99"/>
      <c r="K61" s="99"/>
      <c r="L61" s="136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>
        <v>764</v>
      </c>
      <c r="AI61" s="136"/>
      <c r="AJ61" s="136"/>
      <c r="AK61" s="105">
        <f t="shared" si="14"/>
        <v>0</v>
      </c>
      <c r="AL61" s="143"/>
      <c r="AM61" s="143"/>
      <c r="AN61" s="143"/>
      <c r="AO61" s="146"/>
      <c r="AP61" s="224">
        <f t="shared" si="15"/>
        <v>0</v>
      </c>
      <c r="AQ61" s="1580">
        <v>8453.8</v>
      </c>
      <c r="AR61" s="1709"/>
      <c r="AS61" s="1546"/>
      <c r="AT61" s="1546"/>
      <c r="AU61" s="1546"/>
      <c r="AV61" s="1546"/>
      <c r="AW61" s="126"/>
      <c r="AX61" s="152"/>
      <c r="AY61" s="152"/>
      <c r="AZ61" s="152"/>
      <c r="BA61" s="152"/>
      <c r="BB61" s="222">
        <f t="shared" si="16"/>
        <v>0</v>
      </c>
      <c r="BC61" s="140">
        <f t="shared" si="17"/>
        <v>0</v>
      </c>
      <c r="BD61" s="132"/>
      <c r="BE61" s="140">
        <f t="shared" si="18"/>
        <v>0</v>
      </c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30">
        <f t="shared" si="19"/>
        <v>0</v>
      </c>
      <c r="BU61" s="132"/>
    </row>
    <row r="62" ht="14.25" customHeight="1">
      <c r="A62" s="132"/>
      <c r="B62" s="215">
        <v>46075</v>
      </c>
      <c r="C62" s="230">
        <f>7988.67-0-0</f>
      </c>
      <c r="D62" s="136"/>
      <c r="E62" s="135"/>
      <c r="F62" s="135"/>
      <c r="G62" s="147">
        <f t="shared" si="11"/>
        <v>0</v>
      </c>
      <c r="H62" s="122"/>
      <c r="I62" s="99"/>
      <c r="J62" s="99"/>
      <c r="K62" s="99"/>
      <c r="L62" s="136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>
        <v>664.04</v>
      </c>
      <c r="AI62" s="136"/>
      <c r="AJ62" s="136"/>
      <c r="AK62" s="105">
        <f t="shared" si="14"/>
        <v>0</v>
      </c>
      <c r="AL62" s="143"/>
      <c r="AM62" s="143"/>
      <c r="AN62" s="143"/>
      <c r="AO62" s="146"/>
      <c r="AP62" s="224">
        <f t="shared" si="15"/>
        <v>0</v>
      </c>
      <c r="AQ62" s="1580">
        <v>7324.8</v>
      </c>
      <c r="AR62" s="1709"/>
      <c r="AS62" s="1546"/>
      <c r="AT62" s="1546"/>
      <c r="AU62" s="1546"/>
      <c r="AV62" s="1546"/>
      <c r="AW62" s="126"/>
      <c r="AX62" s="152"/>
      <c r="AY62" s="152"/>
      <c r="AZ62" s="152"/>
      <c r="BA62" s="152"/>
      <c r="BB62" s="222">
        <f t="shared" si="16"/>
        <v>0</v>
      </c>
      <c r="BC62" s="140">
        <f t="shared" si="17"/>
        <v>0</v>
      </c>
      <c r="BD62" s="132"/>
      <c r="BE62" s="140">
        <f t="shared" si="18"/>
        <v>0</v>
      </c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41"/>
      <c r="BT62" s="130">
        <f t="shared" si="19"/>
        <v>0</v>
      </c>
      <c r="BU62" s="132"/>
    </row>
    <row r="63" ht="14.25" customHeight="1">
      <c r="A63" s="132"/>
      <c r="B63" s="215">
        <v>46076</v>
      </c>
      <c r="C63" s="230">
        <f>10403.65-0-0</f>
      </c>
      <c r="D63" s="136"/>
      <c r="E63" s="135"/>
      <c r="F63" s="135"/>
      <c r="G63" s="147">
        <f t="shared" si="11"/>
        <v>0</v>
      </c>
      <c r="H63" s="122"/>
      <c r="I63" s="99"/>
      <c r="J63" s="99"/>
      <c r="K63" s="99"/>
      <c r="L63" s="136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>
        <v>759.54</v>
      </c>
      <c r="AI63" s="136"/>
      <c r="AJ63" s="136"/>
      <c r="AK63" s="105">
        <f t="shared" si="14"/>
        <v>0</v>
      </c>
      <c r="AL63" s="143"/>
      <c r="AM63" s="143"/>
      <c r="AN63" s="143"/>
      <c r="AO63" s="146"/>
      <c r="AP63" s="224">
        <f t="shared" si="15"/>
        <v>0</v>
      </c>
      <c r="AQ63" s="1580">
        <v>9264.1</v>
      </c>
      <c r="AR63" s="1709"/>
      <c r="AS63" s="1546"/>
      <c r="AT63" s="1546"/>
      <c r="AU63" s="1546"/>
      <c r="AV63" s="1546"/>
      <c r="AW63" s="126"/>
      <c r="AX63" s="152"/>
      <c r="AY63" s="152"/>
      <c r="AZ63" s="152"/>
      <c r="BA63" s="152"/>
      <c r="BB63" s="222">
        <f t="shared" si="16"/>
        <v>0</v>
      </c>
      <c r="BC63" s="140">
        <f t="shared" si="17"/>
        <v>0</v>
      </c>
      <c r="BD63" s="132"/>
      <c r="BE63" s="140">
        <f t="shared" si="18"/>
        <v>0</v>
      </c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50"/>
      <c r="BQ63" s="141">
        <v>380</v>
      </c>
      <c r="BR63" s="141"/>
      <c r="BS63" s="141"/>
      <c r="BT63" s="130">
        <f t="shared" si="19"/>
        <v>0</v>
      </c>
      <c r="BU63" s="132"/>
    </row>
    <row r="64" ht="13.5" customHeight="1">
      <c r="A64" s="132"/>
      <c r="B64" s="215">
        <v>46077</v>
      </c>
      <c r="C64" s="230">
        <f>7463.16-0-0</f>
      </c>
      <c r="D64" s="136"/>
      <c r="E64" s="135"/>
      <c r="F64" s="135"/>
      <c r="G64" s="147">
        <f t="shared" si="11"/>
        <v>0</v>
      </c>
      <c r="H64" s="122"/>
      <c r="I64" s="99"/>
      <c r="J64" s="99"/>
      <c r="K64" s="99"/>
      <c r="L64" s="99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>
        <v>313.02</v>
      </c>
      <c r="AI64" s="136"/>
      <c r="AJ64" s="136"/>
      <c r="AK64" s="105">
        <f t="shared" si="14"/>
        <v>0</v>
      </c>
      <c r="AL64" s="143"/>
      <c r="AM64" s="143"/>
      <c r="AN64" s="143"/>
      <c r="AO64" s="146"/>
      <c r="AP64" s="224">
        <f t="shared" si="15"/>
        <v>0</v>
      </c>
      <c r="AQ64" s="1580">
        <v>7150.1</v>
      </c>
      <c r="AR64" s="1709"/>
      <c r="AS64" s="1546"/>
      <c r="AT64" s="1546"/>
      <c r="AU64" s="1546"/>
      <c r="AV64" s="1546"/>
      <c r="AW64" s="126"/>
      <c r="AX64" s="152"/>
      <c r="AY64" s="152"/>
      <c r="AZ64" s="152"/>
      <c r="BA64" s="152"/>
      <c r="BB64" s="222">
        <f t="shared" si="16"/>
        <v>0</v>
      </c>
      <c r="BC64" s="140">
        <f t="shared" si="17"/>
        <v>0</v>
      </c>
      <c r="BD64" s="132"/>
      <c r="BE64" s="140">
        <f t="shared" si="18"/>
        <v>0</v>
      </c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30">
        <f t="shared" si="19"/>
        <v>0</v>
      </c>
      <c r="BU64" s="132"/>
    </row>
    <row r="65" ht="14.25" customHeight="1">
      <c r="A65" s="132"/>
      <c r="B65" s="215">
        <v>46078</v>
      </c>
      <c r="C65" s="230">
        <f>8561.19-0-0</f>
      </c>
      <c r="D65" s="136"/>
      <c r="E65" s="135"/>
      <c r="F65" s="135"/>
      <c r="G65" s="147">
        <f t="shared" si="11"/>
        <v>0</v>
      </c>
      <c r="H65" s="122"/>
      <c r="I65" s="99"/>
      <c r="J65" s="99"/>
      <c r="K65" s="99"/>
      <c r="L65" s="99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>
        <v>915.13</v>
      </c>
      <c r="AI65" s="136"/>
      <c r="AJ65" s="136"/>
      <c r="AK65" s="105">
        <f t="shared" si="14"/>
        <v>0</v>
      </c>
      <c r="AL65" s="143"/>
      <c r="AM65" s="143"/>
      <c r="AN65" s="143"/>
      <c r="AO65" s="146"/>
      <c r="AP65" s="224">
        <f t="shared" si="15"/>
        <v>0</v>
      </c>
      <c r="AQ65" s="1580">
        <v>7646.2</v>
      </c>
      <c r="AR65" s="1709"/>
      <c r="AS65" s="1546"/>
      <c r="AT65" s="1546"/>
      <c r="AU65" s="1546"/>
      <c r="AV65" s="1546"/>
      <c r="AW65" s="126"/>
      <c r="AX65" s="152"/>
      <c r="AY65" s="152"/>
      <c r="AZ65" s="152"/>
      <c r="BA65" s="152"/>
      <c r="BB65" s="222">
        <f t="shared" si="16"/>
        <v>0</v>
      </c>
      <c r="BC65" s="140">
        <f t="shared" si="17"/>
        <v>0</v>
      </c>
      <c r="BD65" s="132"/>
      <c r="BE65" s="140">
        <f t="shared" si="18"/>
        <v>0</v>
      </c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41"/>
      <c r="BT65" s="130">
        <f t="shared" si="19"/>
        <v>0</v>
      </c>
      <c r="BU65" s="132"/>
    </row>
    <row r="66" ht="14.25" customHeight="1">
      <c r="A66" s="132"/>
      <c r="B66" s="215">
        <v>46079</v>
      </c>
      <c r="C66" s="230">
        <f>7836.90-0-0</f>
      </c>
      <c r="D66" s="136"/>
      <c r="E66" s="135"/>
      <c r="F66" s="135"/>
      <c r="G66" s="147">
        <f t="shared" si="11"/>
        <v>0</v>
      </c>
      <c r="H66" s="122"/>
      <c r="I66" s="99"/>
      <c r="J66" s="99"/>
      <c r="K66" s="99"/>
      <c r="L66" s="99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>
        <v>717.8</v>
      </c>
      <c r="AI66" s="136"/>
      <c r="AJ66" s="136"/>
      <c r="AK66" s="105">
        <f t="shared" si="14"/>
        <v>0</v>
      </c>
      <c r="AL66" s="143"/>
      <c r="AM66" s="143"/>
      <c r="AN66" s="143"/>
      <c r="AO66" s="146"/>
      <c r="AP66" s="224">
        <f t="shared" si="15"/>
        <v>0</v>
      </c>
      <c r="AQ66" s="1580">
        <v>7119.1</v>
      </c>
      <c r="AR66" s="1709"/>
      <c r="AS66" s="1546"/>
      <c r="AT66" s="1546"/>
      <c r="AU66" s="1546"/>
      <c r="AV66" s="1546"/>
      <c r="AW66" s="126"/>
      <c r="AX66" s="152"/>
      <c r="AY66" s="152"/>
      <c r="AZ66" s="152"/>
      <c r="BA66" s="152"/>
      <c r="BB66" s="222">
        <f t="shared" si="16"/>
        <v>0</v>
      </c>
      <c r="BC66" s="140">
        <f t="shared" si="17"/>
        <v>0</v>
      </c>
      <c r="BD66" s="132"/>
      <c r="BE66" s="140">
        <f t="shared" si="18"/>
        <v>0</v>
      </c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41"/>
      <c r="BQ66" s="141"/>
      <c r="BR66" s="141"/>
      <c r="BS66" s="141"/>
      <c r="BT66" s="130">
        <f t="shared" si="19"/>
        <v>0</v>
      </c>
      <c r="BU66" s="132"/>
    </row>
    <row r="67" ht="14.25" customHeight="1">
      <c r="A67" s="132"/>
      <c r="B67" s="215">
        <v>46080</v>
      </c>
      <c r="C67" s="230">
        <f>9517.18-0-0</f>
      </c>
      <c r="D67" s="136"/>
      <c r="E67" s="135"/>
      <c r="F67" s="135"/>
      <c r="G67" s="147">
        <f t="shared" si="11"/>
        <v>0</v>
      </c>
      <c r="H67" s="122"/>
      <c r="I67" s="99"/>
      <c r="J67" s="99"/>
      <c r="K67" s="99"/>
      <c r="L67" s="99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>
        <v>1511.61</v>
      </c>
      <c r="AI67" s="136"/>
      <c r="AJ67" s="136"/>
      <c r="AK67" s="105">
        <f t="shared" si="14"/>
        <v>0</v>
      </c>
      <c r="AL67" s="143"/>
      <c r="AM67" s="143"/>
      <c r="AN67" s="143"/>
      <c r="AO67" s="146"/>
      <c r="AP67" s="224">
        <f t="shared" si="15"/>
        <v>0</v>
      </c>
      <c r="AQ67" s="1580">
        <v>8005.6</v>
      </c>
      <c r="AR67" s="1709"/>
      <c r="AS67" s="1546"/>
      <c r="AT67" s="1546"/>
      <c r="AU67" s="1546"/>
      <c r="AV67" s="1546"/>
      <c r="AW67" s="126"/>
      <c r="AX67" s="152"/>
      <c r="AY67" s="152"/>
      <c r="AZ67" s="152"/>
      <c r="BA67" s="152"/>
      <c r="BB67" s="222">
        <f t="shared" si="16"/>
        <v>0</v>
      </c>
      <c r="BC67" s="140">
        <f t="shared" si="17"/>
        <v>0</v>
      </c>
      <c r="BD67" s="132"/>
      <c r="BE67" s="140">
        <f t="shared" si="18"/>
        <v>0</v>
      </c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41"/>
      <c r="BT67" s="130">
        <f t="shared" si="19"/>
        <v>0</v>
      </c>
      <c r="BU67" s="132"/>
    </row>
    <row r="68" ht="14.25" customHeight="1">
      <c r="A68" s="132"/>
      <c r="B68" s="215">
        <v>46081</v>
      </c>
      <c r="C68" s="230">
        <f>8218.27-0-0</f>
      </c>
      <c r="D68" s="136"/>
      <c r="E68" s="135"/>
      <c r="F68" s="135"/>
      <c r="G68" s="147">
        <f t="shared" si="11"/>
        <v>0</v>
      </c>
      <c r="I68" s="99"/>
      <c r="J68" s="99"/>
      <c r="K68" s="1400"/>
      <c r="L68" s="99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>
        <v>850.56</v>
      </c>
      <c r="AI68" s="136"/>
      <c r="AJ68" s="136"/>
      <c r="AK68" s="105">
        <f t="shared" si="14"/>
        <v>0</v>
      </c>
      <c r="AL68" s="143"/>
      <c r="AM68" s="143"/>
      <c r="AN68" s="143"/>
      <c r="AO68" s="146"/>
      <c r="AP68" s="232">
        <f t="shared" si="15"/>
        <v>0</v>
      </c>
      <c r="AQ68" s="1580">
        <v>7367.7</v>
      </c>
      <c r="AR68" s="1709"/>
      <c r="AS68" s="1546"/>
      <c r="AT68" s="1546"/>
      <c r="AU68" s="1546"/>
      <c r="AV68" s="1546"/>
      <c r="AW68" s="126"/>
      <c r="AX68" s="152"/>
      <c r="AY68" s="152"/>
      <c r="AZ68" s="152"/>
      <c r="BA68" s="152"/>
      <c r="BB68" s="222">
        <f t="shared" si="16"/>
        <v>0</v>
      </c>
      <c r="BC68" s="140">
        <f t="shared" si="17"/>
        <v>0</v>
      </c>
      <c r="BD68" s="132"/>
      <c r="BE68" s="140">
        <f t="shared" si="18"/>
        <v>0</v>
      </c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41"/>
      <c r="BT68" s="130">
        <f t="shared" si="19"/>
        <v>0</v>
      </c>
      <c r="BU68" s="132"/>
    </row>
    <row r="69" ht="14.25" customHeight="1">
      <c r="A69" s="132"/>
      <c r="B69" s="93"/>
      <c r="C69" s="133"/>
      <c r="D69" s="136"/>
      <c r="E69" s="135"/>
      <c r="F69" s="135"/>
      <c r="G69" s="147">
        <f t="shared" si="11"/>
        <v>0</v>
      </c>
      <c r="H69" s="122"/>
      <c r="I69" s="99"/>
      <c r="J69" s="99"/>
      <c r="K69" s="1400"/>
      <c r="L69" s="99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6"/>
      <c r="AP69" s="232">
        <f t="shared" si="15"/>
        <v>0</v>
      </c>
      <c r="AQ69" s="1557"/>
      <c r="AR69" s="1709"/>
      <c r="AS69" s="1546"/>
      <c r="AT69" s="1546"/>
      <c r="AU69" s="1546"/>
      <c r="AV69" s="1546"/>
      <c r="AW69" s="126"/>
      <c r="AX69" s="152"/>
      <c r="AY69" s="152"/>
      <c r="AZ69" s="152"/>
      <c r="BA69" s="152"/>
      <c r="BB69" s="222">
        <f t="shared" si="16"/>
        <v>0</v>
      </c>
      <c r="BC69" s="140">
        <f t="shared" si="17"/>
        <v>0</v>
      </c>
      <c r="BD69" s="132"/>
      <c r="BE69" s="140">
        <f t="shared" si="18"/>
        <v>0</v>
      </c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41"/>
      <c r="BT69" s="130">
        <f t="shared" si="19"/>
        <v>0</v>
      </c>
      <c r="BU69" s="132"/>
    </row>
    <row r="70" ht="14.25" customHeight="1">
      <c r="A70" s="3"/>
      <c r="B70" s="2" t="s">
        <v>258</v>
      </c>
      <c r="C70" s="166">
        <f>SUM(C41:C69)</f>
        <v>0</v>
      </c>
      <c r="D70" s="166">
        <f ref="D70:G70" t="shared" si="20">SUM(D41:D68)</f>
        <v>0</v>
      </c>
      <c r="E70" s="166">
        <f t="shared" si="20"/>
        <v>0</v>
      </c>
      <c r="F70" s="166">
        <f t="shared" si="20"/>
        <v>0</v>
      </c>
      <c r="G70" s="166">
        <f t="shared" si="20"/>
        <v>0</v>
      </c>
      <c r="H70" s="166">
        <f>SUM(H41:H67)</f>
        <v>0</v>
      </c>
      <c r="I70" s="166">
        <f ref="I70:AG70" t="shared" si="21">SUM(I41:I68)</f>
        <v>0</v>
      </c>
      <c r="J70" s="166">
        <f t="shared" si="21"/>
        <v>0</v>
      </c>
      <c r="K70" s="166">
        <f t="shared" si="21"/>
        <v>0</v>
      </c>
      <c r="L70" s="166">
        <f t="shared" si="21"/>
        <v>0</v>
      </c>
      <c r="M70" s="166">
        <f t="shared" si="21"/>
        <v>0</v>
      </c>
      <c r="N70" s="166">
        <f t="shared" si="21"/>
        <v>0</v>
      </c>
      <c r="O70" s="166">
        <f t="shared" si="21"/>
        <v>0</v>
      </c>
      <c r="P70" s="166">
        <f t="shared" si="21"/>
        <v>0</v>
      </c>
      <c r="Q70" s="166">
        <f t="shared" si="21"/>
        <v>0</v>
      </c>
      <c r="R70" s="166">
        <f t="shared" si="21"/>
        <v>0</v>
      </c>
      <c r="S70" s="166">
        <f t="shared" si="21"/>
        <v>0</v>
      </c>
      <c r="T70" s="166">
        <f t="shared" si="21"/>
        <v>0</v>
      </c>
      <c r="U70" s="166">
        <f t="shared" si="21"/>
        <v>0</v>
      </c>
      <c r="V70" s="166">
        <f t="shared" si="21"/>
        <v>0</v>
      </c>
      <c r="W70" s="166">
        <f t="shared" si="21"/>
        <v>0</v>
      </c>
      <c r="X70" s="166">
        <f t="shared" si="21"/>
        <v>0</v>
      </c>
      <c r="Y70" s="166">
        <f t="shared" si="21"/>
        <v>0</v>
      </c>
      <c r="Z70" s="166">
        <f t="shared" si="21"/>
        <v>0</v>
      </c>
      <c r="AA70" s="166">
        <f t="shared" si="21"/>
        <v>0</v>
      </c>
      <c r="AB70" s="166">
        <f t="shared" si="21"/>
        <v>0</v>
      </c>
      <c r="AC70" s="166">
        <f t="shared" si="21"/>
        <v>0</v>
      </c>
      <c r="AD70" s="166">
        <f t="shared" si="21"/>
        <v>0</v>
      </c>
      <c r="AE70" s="166">
        <f t="shared" si="21"/>
        <v>0</v>
      </c>
      <c r="AF70" s="166">
        <f t="shared" si="21"/>
        <v>0</v>
      </c>
      <c r="AG70" s="166">
        <f t="shared" si="21"/>
        <v>0</v>
      </c>
      <c r="AH70" s="166">
        <f>SUM(AH41:AH69)</f>
        <v>0</v>
      </c>
      <c r="AI70" s="166">
        <f ref="AI70:AP70" t="shared" si="22">SUM(AI41:AI68)</f>
        <v>0</v>
      </c>
      <c r="AJ70" s="166">
        <f t="shared" si="22"/>
        <v>0</v>
      </c>
      <c r="AK70" s="166">
        <f t="shared" si="22"/>
        <v>0</v>
      </c>
      <c r="AL70" s="166">
        <f t="shared" si="22"/>
        <v>0</v>
      </c>
      <c r="AM70" s="166">
        <f t="shared" si="22"/>
        <v>0</v>
      </c>
      <c r="AN70" s="166">
        <f t="shared" si="22"/>
        <v>0</v>
      </c>
      <c r="AO70" s="166">
        <f t="shared" si="22"/>
        <v>0</v>
      </c>
      <c r="AP70" s="165">
        <f t="shared" si="22"/>
        <v>0</v>
      </c>
      <c r="AQ70" s="165">
        <f>SUM(AQ41:AQ69)</f>
        <v>0</v>
      </c>
      <c r="AR70" s="166">
        <f ref="AR70:BC70" t="shared" si="23">SUM(AR41:AR68)</f>
        <v>0</v>
      </c>
      <c r="AS70" s="166">
        <f t="shared" si="23"/>
        <v>0</v>
      </c>
      <c r="AT70" s="166">
        <f t="shared" si="23"/>
        <v>0</v>
      </c>
      <c r="AU70" s="166">
        <f t="shared" si="23"/>
        <v>0</v>
      </c>
      <c r="AV70" s="166">
        <f t="shared" si="23"/>
        <v>0</v>
      </c>
      <c r="AW70" s="166">
        <f t="shared" si="23"/>
        <v>0</v>
      </c>
      <c r="AX70" s="166">
        <f t="shared" si="23"/>
        <v>0</v>
      </c>
      <c r="AY70" s="166">
        <f t="shared" si="23"/>
        <v>0</v>
      </c>
      <c r="AZ70" s="166">
        <f t="shared" si="23"/>
        <v>0</v>
      </c>
      <c r="BA70" s="166">
        <f t="shared" si="23"/>
        <v>0</v>
      </c>
      <c r="BB70" s="166">
        <f t="shared" si="23"/>
        <v>0</v>
      </c>
      <c r="BC70" s="166">
        <f t="shared" si="23"/>
        <v>0</v>
      </c>
      <c r="BD70" s="235"/>
      <c r="BE70" s="166">
        <f ref="BE70:BR70" t="shared" si="24">SUM(BE41:BE68)</f>
        <v>0</v>
      </c>
      <c r="BF70" s="166">
        <f t="shared" si="24"/>
        <v>0</v>
      </c>
      <c r="BG70" s="166">
        <f t="shared" si="24"/>
        <v>0</v>
      </c>
      <c r="BH70" s="166">
        <f t="shared" si="24"/>
        <v>0</v>
      </c>
      <c r="BI70" s="166">
        <f t="shared" si="24"/>
        <v>0</v>
      </c>
      <c r="BJ70" s="166">
        <f t="shared" si="24"/>
        <v>0</v>
      </c>
      <c r="BK70" s="166">
        <f t="shared" si="24"/>
        <v>0</v>
      </c>
      <c r="BL70" s="166">
        <f t="shared" si="24"/>
        <v>0</v>
      </c>
      <c r="BM70" s="166">
        <f t="shared" si="24"/>
        <v>0</v>
      </c>
      <c r="BN70" s="166">
        <f t="shared" si="24"/>
        <v>0</v>
      </c>
      <c r="BO70" s="166">
        <f t="shared" si="24"/>
        <v>0</v>
      </c>
      <c r="BP70" s="166">
        <f t="shared" si="24"/>
        <v>0</v>
      </c>
      <c r="BQ70" s="166">
        <f t="shared" si="24"/>
        <v>0</v>
      </c>
      <c r="BR70" s="166">
        <f t="shared" si="24"/>
        <v>0</v>
      </c>
      <c r="BS70" s="166"/>
      <c r="BT70" s="166">
        <f>SUM(BT41:BT68)</f>
        <v>0</v>
      </c>
      <c r="BU70" s="235"/>
    </row>
    <row r="71" ht="14.25" customHeight="1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1336"/>
      <c r="AL71" s="3"/>
      <c r="AM71" s="3"/>
      <c r="AN71" s="3"/>
      <c r="AO71" s="3"/>
      <c r="AP71" s="1336"/>
      <c r="AQ71" s="132"/>
      <c r="AR71" s="132"/>
      <c r="AS71" s="132"/>
      <c r="AT71" s="3"/>
      <c r="AU71" s="3"/>
      <c r="AV71" s="3"/>
      <c r="AW71" s="132"/>
      <c r="AX71" s="132"/>
      <c r="AY71" s="132"/>
      <c r="AZ71" s="132"/>
      <c r="BA71" s="132"/>
      <c r="BB71" s="1336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235"/>
    </row>
    <row r="72" ht="14.25" customHeight="1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10"/>
      <c r="AQ72" s="777"/>
      <c r="AR72" s="777"/>
      <c r="AS72" s="316"/>
      <c r="AT72" s="207"/>
      <c r="AU72" s="207"/>
      <c r="AV72" s="207"/>
      <c r="AW72" s="316"/>
      <c r="AX72" s="316"/>
      <c r="AY72" s="316"/>
      <c r="AZ72" s="316"/>
      <c r="BA72" s="316"/>
      <c r="BB72" s="214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</row>
    <row r="73" ht="14.25" customHeight="1">
      <c r="A73" s="3"/>
      <c r="B73" s="215">
        <v>46082</v>
      </c>
      <c r="C73" s="95">
        <f>7258.16-0-0</f>
      </c>
      <c r="D73" s="104"/>
      <c r="E73" s="97"/>
      <c r="F73" s="97"/>
      <c r="G73" s="265">
        <f ref="G73:G103" t="shared" si="25">+C73+D73+E73+F73</f>
        <v>0</v>
      </c>
      <c r="H73" s="187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03">
        <f ref="T73:T103" t="shared" si="26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ref="AG73:AG103" t="shared" si="27">SUM(U73:AF73)</f>
        <v>0</v>
      </c>
      <c r="AH73" s="95">
        <v>691.45</v>
      </c>
      <c r="AI73" s="104"/>
      <c r="AJ73" s="104"/>
      <c r="AK73" s="191">
        <f ref="AK73:AK103" t="shared" si="28">SUM(AH73:AJ73)</f>
        <v>0</v>
      </c>
      <c r="AL73" s="186"/>
      <c r="AM73" s="186"/>
      <c r="AN73" s="186"/>
      <c r="AO73" s="193"/>
      <c r="AP73" s="219">
        <f ref="AP73:AP103" t="shared" si="29">+G73-T73-AG73-AK73-AL73-AM73-AN73-AO73</f>
        <v>0</v>
      </c>
      <c r="AQ73" s="1721">
        <v>6566.7</v>
      </c>
      <c r="AR73" s="1708"/>
      <c r="AS73" s="1537"/>
      <c r="AT73" s="1537"/>
      <c r="AU73" s="1537"/>
      <c r="AV73" s="1537"/>
      <c r="AW73" s="109"/>
      <c r="AX73" s="388"/>
      <c r="AY73" s="388"/>
      <c r="AZ73" s="388"/>
      <c r="BA73" s="388"/>
      <c r="BB73" s="222">
        <f ref="BB73:BB103" t="shared" si="30">SUM(AQ73:BA73)-AZ73</f>
        <v>0</v>
      </c>
      <c r="BC73" s="114">
        <f ref="BC73:BC103" t="shared" si="31">+AP73-BB73</f>
        <v>0</v>
      </c>
      <c r="BD73" s="3"/>
      <c r="BE73" s="114">
        <f ref="BE73:BE103" t="shared" si="32">SUM(BF73:BR73)</f>
        <v>0</v>
      </c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6">
        <f ref="BT73:BT103" t="shared" si="33">+BC73-BE73</f>
        <v>0</v>
      </c>
      <c r="BU73" s="3"/>
    </row>
    <row r="74" ht="14.25" customHeight="1">
      <c r="A74" s="3"/>
      <c r="B74" s="215">
        <v>46083</v>
      </c>
      <c r="C74" s="119">
        <f>8413.23-0-0</f>
      </c>
      <c r="D74" s="123"/>
      <c r="E74" s="120"/>
      <c r="F74" s="120"/>
      <c r="G74" s="147">
        <f t="shared" si="25"/>
        <v>0</v>
      </c>
      <c r="H74" s="144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03">
        <f t="shared" si="26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27"/>
        <v>0</v>
      </c>
      <c r="AH74" s="119">
        <v>842.39</v>
      </c>
      <c r="AI74" s="123"/>
      <c r="AJ74" s="123"/>
      <c r="AK74" s="105">
        <f t="shared" si="28"/>
        <v>0</v>
      </c>
      <c r="AL74" s="143"/>
      <c r="AM74" s="143"/>
      <c r="AN74" s="143"/>
      <c r="AO74" s="149">
        <v>4</v>
      </c>
      <c r="AP74" s="224">
        <f t="shared" si="29"/>
        <v>0</v>
      </c>
      <c r="AQ74" s="1554">
        <v>7566.9</v>
      </c>
      <c r="AR74" s="1709"/>
      <c r="AS74" s="1546"/>
      <c r="AT74" s="1546"/>
      <c r="AU74" s="1546"/>
      <c r="AV74" s="1546"/>
      <c r="AW74" s="126"/>
      <c r="AX74" s="394"/>
      <c r="AY74" s="394"/>
      <c r="AZ74" s="394"/>
      <c r="BA74" s="394"/>
      <c r="BB74" s="222">
        <f t="shared" si="30"/>
        <v>0</v>
      </c>
      <c r="BC74" s="113">
        <f t="shared" si="31"/>
        <v>0</v>
      </c>
      <c r="BD74" s="3"/>
      <c r="BE74" s="113">
        <f t="shared" si="32"/>
        <v>0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30">
        <f t="shared" si="33"/>
        <v>0</v>
      </c>
      <c r="BU74" s="3"/>
    </row>
    <row r="75" ht="14.25" customHeight="1">
      <c r="A75" s="3"/>
      <c r="B75" s="215">
        <v>46084</v>
      </c>
      <c r="C75" s="119">
        <f>9086.68-0-0</f>
      </c>
      <c r="D75" s="123"/>
      <c r="E75" s="120"/>
      <c r="F75" s="120"/>
      <c r="G75" s="147">
        <f t="shared" si="25"/>
        <v>0</v>
      </c>
      <c r="H75" s="144"/>
      <c r="I75" s="143"/>
      <c r="J75" s="143"/>
      <c r="K75" s="231"/>
      <c r="L75" s="143"/>
      <c r="M75" s="143"/>
      <c r="N75" s="143"/>
      <c r="O75" s="143"/>
      <c r="P75" s="143"/>
      <c r="Q75" s="143"/>
      <c r="R75" s="143"/>
      <c r="S75" s="143"/>
      <c r="T75" s="103">
        <f t="shared" si="26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27"/>
        <v>0</v>
      </c>
      <c r="AH75" s="119">
        <v>786</v>
      </c>
      <c r="AI75" s="123"/>
      <c r="AJ75" s="123"/>
      <c r="AK75" s="105">
        <f t="shared" si="28"/>
        <v>0</v>
      </c>
      <c r="AL75" s="143"/>
      <c r="AM75" s="143"/>
      <c r="AN75" s="143"/>
      <c r="AO75" s="146"/>
      <c r="AP75" s="224">
        <f t="shared" si="29"/>
        <v>0</v>
      </c>
      <c r="AQ75" s="1554">
        <v>8300.7</v>
      </c>
      <c r="AR75" s="1709"/>
      <c r="AS75" s="1546"/>
      <c r="AT75" s="1546"/>
      <c r="AU75" s="1546"/>
      <c r="AV75" s="1546"/>
      <c r="AW75" s="126"/>
      <c r="AX75" s="394"/>
      <c r="AY75" s="394"/>
      <c r="AZ75" s="394"/>
      <c r="BA75" s="394"/>
      <c r="BB75" s="222">
        <f t="shared" si="30"/>
        <v>0</v>
      </c>
      <c r="BC75" s="113">
        <f t="shared" si="31"/>
        <v>0</v>
      </c>
      <c r="BD75" s="3"/>
      <c r="BE75" s="113">
        <f t="shared" si="32"/>
        <v>0</v>
      </c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30">
        <f t="shared" si="33"/>
        <v>0</v>
      </c>
      <c r="BU75" s="3"/>
    </row>
    <row r="76" ht="14.25" customHeight="1">
      <c r="A76" s="3"/>
      <c r="B76" s="215">
        <v>46085</v>
      </c>
      <c r="C76" s="95">
        <f>9811.82-0-0</f>
      </c>
      <c r="D76" s="123"/>
      <c r="E76" s="120"/>
      <c r="F76" s="120"/>
      <c r="G76" s="147">
        <f t="shared" si="25"/>
        <v>0</v>
      </c>
      <c r="H76" s="144"/>
      <c r="I76" s="144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03">
        <f t="shared" si="26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27"/>
        <v>0</v>
      </c>
      <c r="AH76" s="119">
        <v>785.3</v>
      </c>
      <c r="AI76" s="123"/>
      <c r="AJ76" s="123"/>
      <c r="AK76" s="105">
        <f t="shared" si="28"/>
        <v>0</v>
      </c>
      <c r="AL76" s="143"/>
      <c r="AM76" s="143"/>
      <c r="AN76" s="143"/>
      <c r="AO76" s="149"/>
      <c r="AP76" s="224">
        <f t="shared" si="29"/>
        <v>0</v>
      </c>
      <c r="AQ76" s="1554">
        <v>9029.6</v>
      </c>
      <c r="AR76" s="1709"/>
      <c r="AS76" s="1546"/>
      <c r="AT76" s="1546"/>
      <c r="AU76" s="1546"/>
      <c r="AV76" s="1546"/>
      <c r="AW76" s="126"/>
      <c r="AX76" s="394"/>
      <c r="AY76" s="394"/>
      <c r="AZ76" s="394"/>
      <c r="BA76" s="394"/>
      <c r="BB76" s="222">
        <f t="shared" si="30"/>
        <v>0</v>
      </c>
      <c r="BC76" s="113">
        <f t="shared" si="31"/>
        <v>0</v>
      </c>
      <c r="BD76" s="3"/>
      <c r="BE76" s="113">
        <f t="shared" si="32"/>
        <v>0</v>
      </c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30">
        <f t="shared" si="33"/>
        <v>0</v>
      </c>
      <c r="BU76" s="3"/>
    </row>
    <row r="77" ht="14.25" customHeight="1">
      <c r="A77" s="3"/>
      <c r="B77" s="215">
        <v>46086</v>
      </c>
      <c r="C77" s="119">
        <f>6537.40-0-0</f>
      </c>
      <c r="D77" s="123"/>
      <c r="E77" s="120"/>
      <c r="F77" s="120"/>
      <c r="G77" s="147">
        <f t="shared" si="25"/>
        <v>0</v>
      </c>
      <c r="H77" s="144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03">
        <f t="shared" si="26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27"/>
        <v>0</v>
      </c>
      <c r="AH77" s="119">
        <v>745.36</v>
      </c>
      <c r="AI77" s="123"/>
      <c r="AJ77" s="123"/>
      <c r="AK77" s="105">
        <f t="shared" si="28"/>
        <v>0</v>
      </c>
      <c r="AL77" s="143"/>
      <c r="AM77" s="143"/>
      <c r="AN77" s="143"/>
      <c r="AO77" s="146"/>
      <c r="AP77" s="224">
        <f t="shared" si="29"/>
        <v>0</v>
      </c>
      <c r="AQ77" s="1554">
        <v>5792.1</v>
      </c>
      <c r="AR77" s="1709"/>
      <c r="AS77" s="1546"/>
      <c r="AT77" s="1546"/>
      <c r="AU77" s="1546"/>
      <c r="AV77" s="1546"/>
      <c r="AW77" s="126"/>
      <c r="AX77" s="394"/>
      <c r="AY77" s="394"/>
      <c r="AZ77" s="394"/>
      <c r="BA77" s="394"/>
      <c r="BB77" s="222">
        <f t="shared" si="30"/>
        <v>0</v>
      </c>
      <c r="BC77" s="113">
        <f t="shared" si="31"/>
        <v>0</v>
      </c>
      <c r="BD77" s="3"/>
      <c r="BE77" s="113">
        <f t="shared" si="32"/>
        <v>0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30">
        <f t="shared" si="33"/>
        <v>0</v>
      </c>
      <c r="BU77" s="3"/>
    </row>
    <row r="78" ht="14.25" customHeight="1">
      <c r="A78" s="132"/>
      <c r="B78" s="215">
        <v>46087</v>
      </c>
      <c r="C78" s="134">
        <f>10971.96-0-0</f>
      </c>
      <c r="D78" s="136"/>
      <c r="E78" s="135"/>
      <c r="F78" s="135"/>
      <c r="G78" s="147">
        <f t="shared" si="25"/>
        <v>0</v>
      </c>
      <c r="H78" s="144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03">
        <f t="shared" si="26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27"/>
        <v>0</v>
      </c>
      <c r="AH78" s="134">
        <v>1745.3</v>
      </c>
      <c r="AI78" s="136"/>
      <c r="AJ78" s="136"/>
      <c r="AK78" s="105">
        <f t="shared" si="28"/>
        <v>0</v>
      </c>
      <c r="AL78" s="143"/>
      <c r="AM78" s="143"/>
      <c r="AN78" s="143"/>
      <c r="AO78" s="146"/>
      <c r="AP78" s="224">
        <f t="shared" si="29"/>
        <v>0</v>
      </c>
      <c r="AQ78" s="1554">
        <v>9226.7</v>
      </c>
      <c r="AR78" s="1709"/>
      <c r="AS78" s="1546"/>
      <c r="AT78" s="1546"/>
      <c r="AU78" s="1546"/>
      <c r="AV78" s="1546"/>
      <c r="AW78" s="126"/>
      <c r="AX78" s="394"/>
      <c r="AY78" s="394"/>
      <c r="AZ78" s="394"/>
      <c r="BA78" s="394"/>
      <c r="BB78" s="222">
        <f t="shared" si="30"/>
        <v>0</v>
      </c>
      <c r="BC78" s="140">
        <f t="shared" si="31"/>
        <v>0</v>
      </c>
      <c r="BD78" s="132"/>
      <c r="BE78" s="140">
        <f t="shared" si="32"/>
        <v>0</v>
      </c>
      <c r="BF78" s="141"/>
      <c r="BG78" s="141"/>
      <c r="BH78" s="141"/>
      <c r="BI78" s="141"/>
      <c r="BJ78" s="141"/>
      <c r="BK78" s="141"/>
      <c r="BL78" s="141"/>
      <c r="BM78" s="141"/>
      <c r="BN78" s="141"/>
      <c r="BO78" s="141"/>
      <c r="BP78" s="141"/>
      <c r="BQ78" s="141"/>
      <c r="BR78" s="141"/>
      <c r="BS78" s="141"/>
      <c r="BT78" s="130">
        <f t="shared" si="33"/>
        <v>0</v>
      </c>
      <c r="BU78" s="132"/>
    </row>
    <row r="79" ht="14.25" customHeight="1">
      <c r="A79" s="132"/>
      <c r="B79" s="215">
        <v>46088</v>
      </c>
      <c r="C79" s="134">
        <f>9662.05-0-0</f>
      </c>
      <c r="D79" s="136"/>
      <c r="E79" s="135"/>
      <c r="F79" s="135"/>
      <c r="G79" s="147">
        <f t="shared" si="25"/>
        <v>0</v>
      </c>
      <c r="H79" s="144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03">
        <f t="shared" si="26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27"/>
        <v>0</v>
      </c>
      <c r="AH79" s="134">
        <v>456.35</v>
      </c>
      <c r="AI79" s="136"/>
      <c r="AJ79" s="136"/>
      <c r="AK79" s="105">
        <f t="shared" si="28"/>
        <v>0</v>
      </c>
      <c r="AL79" s="143"/>
      <c r="AM79" s="143"/>
      <c r="AN79" s="143"/>
      <c r="AO79" s="146"/>
      <c r="AP79" s="224">
        <f t="shared" si="29"/>
        <v>0</v>
      </c>
      <c r="AQ79" s="1554">
        <v>9205.8</v>
      </c>
      <c r="AR79" s="1709"/>
      <c r="AS79" s="1546"/>
      <c r="AT79" s="1546"/>
      <c r="AU79" s="1546"/>
      <c r="AV79" s="1546"/>
      <c r="AW79" s="126"/>
      <c r="AX79" s="394"/>
      <c r="AY79" s="394"/>
      <c r="AZ79" s="394"/>
      <c r="BA79" s="394"/>
      <c r="BB79" s="222">
        <f t="shared" si="30"/>
        <v>0</v>
      </c>
      <c r="BC79" s="140">
        <f t="shared" si="31"/>
        <v>0</v>
      </c>
      <c r="BD79" s="132"/>
      <c r="BE79" s="140">
        <f t="shared" si="32"/>
        <v>0</v>
      </c>
      <c r="BF79" s="141"/>
      <c r="BG79" s="141"/>
      <c r="BH79" s="141"/>
      <c r="BI79" s="141"/>
      <c r="BJ79" s="141"/>
      <c r="BK79" s="141"/>
      <c r="BL79" s="141"/>
      <c r="BM79" s="141"/>
      <c r="BN79" s="141"/>
      <c r="BO79" s="141"/>
      <c r="BP79" s="141"/>
      <c r="BQ79" s="141"/>
      <c r="BR79" s="141"/>
      <c r="BS79" s="141"/>
      <c r="BT79" s="130">
        <f t="shared" si="33"/>
        <v>0</v>
      </c>
      <c r="BU79" s="132"/>
    </row>
    <row r="80" ht="14.25" customHeight="1">
      <c r="A80" s="132"/>
      <c r="B80" s="215">
        <v>46089</v>
      </c>
      <c r="C80" s="134">
        <f>6931.92-0-0</f>
      </c>
      <c r="D80" s="136"/>
      <c r="E80" s="135"/>
      <c r="F80" s="135"/>
      <c r="G80" s="147">
        <f t="shared" si="25"/>
        <v>0</v>
      </c>
      <c r="H80" s="144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03">
        <f t="shared" si="26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27"/>
        <v>0</v>
      </c>
      <c r="AH80" s="134">
        <v>470</v>
      </c>
      <c r="AI80" s="136"/>
      <c r="AJ80" s="136"/>
      <c r="AK80" s="105">
        <f t="shared" si="28"/>
        <v>0</v>
      </c>
      <c r="AL80" s="143"/>
      <c r="AM80" s="143"/>
      <c r="AN80" s="143"/>
      <c r="AO80" s="146"/>
      <c r="AP80" s="224">
        <f t="shared" si="29"/>
        <v>0</v>
      </c>
      <c r="AQ80" s="1554">
        <v>6461.9</v>
      </c>
      <c r="AR80" s="1709"/>
      <c r="AS80" s="1546"/>
      <c r="AT80" s="1546"/>
      <c r="AU80" s="1546"/>
      <c r="AV80" s="1546"/>
      <c r="AW80" s="126"/>
      <c r="AX80" s="394"/>
      <c r="AY80" s="394"/>
      <c r="AZ80" s="394"/>
      <c r="BA80" s="394"/>
      <c r="BB80" s="222">
        <f t="shared" si="30"/>
        <v>0</v>
      </c>
      <c r="BC80" s="140">
        <f t="shared" si="31"/>
        <v>0</v>
      </c>
      <c r="BD80" s="132"/>
      <c r="BE80" s="140">
        <f t="shared" si="32"/>
        <v>0</v>
      </c>
      <c r="BF80" s="141"/>
      <c r="BG80" s="141"/>
      <c r="BH80" s="141"/>
      <c r="BI80" s="141"/>
      <c r="BJ80" s="141"/>
      <c r="BK80" s="141"/>
      <c r="BL80" s="141"/>
      <c r="BM80" s="141"/>
      <c r="BN80" s="141"/>
      <c r="BO80" s="141"/>
      <c r="BP80" s="141"/>
      <c r="BQ80" s="141"/>
      <c r="BR80" s="141"/>
      <c r="BS80" s="141"/>
      <c r="BT80" s="130">
        <f t="shared" si="33"/>
        <v>0</v>
      </c>
      <c r="BU80" s="132"/>
    </row>
    <row r="81" ht="14.25" customHeight="1">
      <c r="A81" s="132"/>
      <c r="B81" s="215">
        <v>46090</v>
      </c>
      <c r="C81" s="134">
        <f>8540.60-0-0</f>
      </c>
      <c r="D81" s="136"/>
      <c r="E81" s="135"/>
      <c r="F81" s="135"/>
      <c r="G81" s="147">
        <f t="shared" si="25"/>
        <v>0</v>
      </c>
      <c r="H81" s="144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03">
        <f t="shared" si="26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27"/>
        <v>0</v>
      </c>
      <c r="AH81" s="134">
        <v>737.5</v>
      </c>
      <c r="AI81" s="136"/>
      <c r="AJ81" s="136"/>
      <c r="AK81" s="105">
        <f t="shared" si="28"/>
        <v>0</v>
      </c>
      <c r="AL81" s="143"/>
      <c r="AM81" s="143"/>
      <c r="AN81" s="143"/>
      <c r="AO81" s="146"/>
      <c r="AP81" s="224">
        <f t="shared" si="29"/>
        <v>0</v>
      </c>
      <c r="AQ81" s="1554">
        <v>6527.9</v>
      </c>
      <c r="AR81" s="1709"/>
      <c r="AS81" s="1546"/>
      <c r="AT81" s="1546"/>
      <c r="AU81" s="1546"/>
      <c r="AV81" s="1546"/>
      <c r="AW81" s="126"/>
      <c r="AX81" s="394"/>
      <c r="AY81" s="394"/>
      <c r="AZ81" s="394"/>
      <c r="BA81" s="394"/>
      <c r="BB81" s="222">
        <f t="shared" si="30"/>
        <v>0</v>
      </c>
      <c r="BC81" s="140">
        <f t="shared" si="31"/>
        <v>0</v>
      </c>
      <c r="BD81" s="132"/>
      <c r="BE81" s="140">
        <f t="shared" si="32"/>
        <v>0</v>
      </c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50"/>
      <c r="BQ81" s="141">
        <v>1275.1</v>
      </c>
      <c r="BR81" s="141"/>
      <c r="BS81" s="141"/>
      <c r="BT81" s="130">
        <f t="shared" si="33"/>
        <v>0</v>
      </c>
      <c r="BU81" s="132"/>
    </row>
    <row r="82" ht="14.25" customHeight="1">
      <c r="A82" s="132"/>
      <c r="B82" s="215">
        <v>46091</v>
      </c>
      <c r="C82" s="134">
        <f>6712.78-0-0</f>
      </c>
      <c r="D82" s="136"/>
      <c r="E82" s="135"/>
      <c r="F82" s="135"/>
      <c r="G82" s="147">
        <f t="shared" si="25"/>
        <v>0</v>
      </c>
      <c r="H82" s="144"/>
      <c r="I82" s="143"/>
      <c r="J82" s="143"/>
      <c r="K82" s="231"/>
      <c r="L82" s="143"/>
      <c r="M82" s="143"/>
      <c r="N82" s="143"/>
      <c r="O82" s="143"/>
      <c r="P82" s="143"/>
      <c r="Q82" s="143"/>
      <c r="R82" s="143"/>
      <c r="S82" s="143"/>
      <c r="T82" s="103">
        <f t="shared" si="26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27"/>
        <v>0</v>
      </c>
      <c r="AH82" s="134">
        <v>209.1</v>
      </c>
      <c r="AI82" s="136"/>
      <c r="AJ82" s="136"/>
      <c r="AK82" s="105">
        <f t="shared" si="28"/>
        <v>0</v>
      </c>
      <c r="AL82" s="143"/>
      <c r="AM82" s="143"/>
      <c r="AN82" s="143"/>
      <c r="AO82" s="146"/>
      <c r="AP82" s="224">
        <f t="shared" si="29"/>
        <v>0</v>
      </c>
      <c r="AQ82" s="1554">
        <v>6407</v>
      </c>
      <c r="AR82" s="1709"/>
      <c r="AS82" s="1546"/>
      <c r="AT82" s="1546"/>
      <c r="AU82" s="1546"/>
      <c r="AV82" s="1546"/>
      <c r="AW82" s="126"/>
      <c r="AX82" s="394"/>
      <c r="AY82" s="394"/>
      <c r="AZ82" s="394"/>
      <c r="BA82" s="394"/>
      <c r="BB82" s="222">
        <f t="shared" si="30"/>
        <v>0</v>
      </c>
      <c r="BC82" s="140">
        <f t="shared" si="31"/>
        <v>0</v>
      </c>
      <c r="BD82" s="132"/>
      <c r="BE82" s="140">
        <f t="shared" si="32"/>
        <v>0</v>
      </c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50"/>
      <c r="BQ82" s="141">
        <v>96.8</v>
      </c>
      <c r="BR82" s="141"/>
      <c r="BS82" s="141"/>
      <c r="BT82" s="130">
        <f t="shared" si="33"/>
        <v>0</v>
      </c>
      <c r="BU82" s="132"/>
    </row>
    <row r="83" ht="14.25" customHeight="1">
      <c r="A83" s="132"/>
      <c r="B83" s="215">
        <v>46092</v>
      </c>
      <c r="C83" s="134">
        <f>9160.25-0-0</f>
      </c>
      <c r="D83" s="136"/>
      <c r="E83" s="135"/>
      <c r="F83" s="135"/>
      <c r="G83" s="147">
        <f t="shared" si="25"/>
        <v>0</v>
      </c>
      <c r="H83" s="144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03">
        <f t="shared" si="26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27"/>
        <v>0</v>
      </c>
      <c r="AH83" s="134">
        <v>964.76</v>
      </c>
      <c r="AI83" s="136"/>
      <c r="AJ83" s="136"/>
      <c r="AK83" s="105">
        <f t="shared" si="28"/>
        <v>0</v>
      </c>
      <c r="AL83" s="143"/>
      <c r="AM83" s="143"/>
      <c r="AN83" s="143"/>
      <c r="AO83" s="146"/>
      <c r="AP83" s="224">
        <f t="shared" si="29"/>
        <v>0</v>
      </c>
      <c r="AQ83" s="1554">
        <v>8195.3</v>
      </c>
      <c r="AR83" s="1709"/>
      <c r="AS83" s="1546"/>
      <c r="AT83" s="1546"/>
      <c r="AU83" s="1546"/>
      <c r="AV83" s="1546"/>
      <c r="AW83" s="126"/>
      <c r="AX83" s="394"/>
      <c r="AY83" s="394"/>
      <c r="AZ83" s="394"/>
      <c r="BA83" s="394"/>
      <c r="BB83" s="222">
        <f t="shared" si="30"/>
        <v>0</v>
      </c>
      <c r="BC83" s="140">
        <f t="shared" si="31"/>
        <v>0</v>
      </c>
      <c r="BD83" s="132"/>
      <c r="BE83" s="140">
        <f t="shared" si="32"/>
        <v>0</v>
      </c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30">
        <f t="shared" si="33"/>
        <v>0</v>
      </c>
      <c r="BU83" s="132"/>
    </row>
    <row r="84" ht="14.25" customHeight="1">
      <c r="A84" s="132"/>
      <c r="B84" s="215">
        <v>46093</v>
      </c>
      <c r="C84" s="134">
        <f>8918.47-0-0</f>
      </c>
      <c r="D84" s="136"/>
      <c r="E84" s="135"/>
      <c r="F84" s="135"/>
      <c r="G84" s="147">
        <f t="shared" si="25"/>
        <v>0</v>
      </c>
      <c r="H84" s="144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03">
        <f t="shared" si="26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27"/>
        <v>0</v>
      </c>
      <c r="AH84" s="134">
        <v>1000.3</v>
      </c>
      <c r="AI84" s="136"/>
      <c r="AJ84" s="136"/>
      <c r="AK84" s="105">
        <f t="shared" si="28"/>
        <v>0</v>
      </c>
      <c r="AL84" s="143"/>
      <c r="AM84" s="143"/>
      <c r="AN84" s="143"/>
      <c r="AO84" s="146"/>
      <c r="AP84" s="224">
        <f t="shared" si="29"/>
        <v>0</v>
      </c>
      <c r="AQ84" s="1554">
        <v>7918.2</v>
      </c>
      <c r="AR84" s="1709"/>
      <c r="AS84" s="1546"/>
      <c r="AT84" s="1546"/>
      <c r="AU84" s="1546"/>
      <c r="AV84" s="1546"/>
      <c r="AW84" s="126"/>
      <c r="AX84" s="394"/>
      <c r="AY84" s="394"/>
      <c r="AZ84" s="394"/>
      <c r="BA84" s="394"/>
      <c r="BB84" s="222">
        <f t="shared" si="30"/>
        <v>0</v>
      </c>
      <c r="BC84" s="140">
        <f t="shared" si="31"/>
        <v>0</v>
      </c>
      <c r="BD84" s="132"/>
      <c r="BE84" s="140">
        <f t="shared" si="32"/>
        <v>0</v>
      </c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30">
        <f t="shared" si="33"/>
        <v>0</v>
      </c>
      <c r="BU84" s="132"/>
    </row>
    <row r="85" ht="14.25" customHeight="1">
      <c r="A85" s="132"/>
      <c r="B85" s="215">
        <v>46094</v>
      </c>
      <c r="C85" s="134">
        <f>9682.06-0-0</f>
      </c>
      <c r="D85" s="136"/>
      <c r="E85" s="135"/>
      <c r="F85" s="135"/>
      <c r="G85" s="147">
        <f t="shared" si="25"/>
        <v>0</v>
      </c>
      <c r="H85" s="144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03">
        <f t="shared" si="26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27"/>
        <v>0</v>
      </c>
      <c r="AH85" s="134">
        <v>1425.2</v>
      </c>
      <c r="AI85" s="136"/>
      <c r="AJ85" s="136"/>
      <c r="AK85" s="105">
        <f t="shared" si="28"/>
        <v>0</v>
      </c>
      <c r="AL85" s="143"/>
      <c r="AM85" s="143"/>
      <c r="AN85" s="143"/>
      <c r="AO85" s="146"/>
      <c r="AP85" s="224">
        <f t="shared" si="29"/>
        <v>0</v>
      </c>
      <c r="AQ85" s="1554">
        <v>8206.8</v>
      </c>
      <c r="AR85" s="1709"/>
      <c r="AS85" s="1546"/>
      <c r="AT85" s="1546"/>
      <c r="AU85" s="1546"/>
      <c r="AV85" s="1546"/>
      <c r="AW85" s="126"/>
      <c r="AX85" s="394"/>
      <c r="AY85" s="394"/>
      <c r="AZ85" s="394"/>
      <c r="BA85" s="394"/>
      <c r="BB85" s="222">
        <f t="shared" si="30"/>
        <v>0</v>
      </c>
      <c r="BC85" s="140">
        <f t="shared" si="31"/>
        <v>0</v>
      </c>
      <c r="BD85" s="132"/>
      <c r="BE85" s="140">
        <f t="shared" si="32"/>
        <v>0</v>
      </c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50"/>
      <c r="BQ85" s="141"/>
      <c r="BR85" s="141"/>
      <c r="BS85" s="141"/>
      <c r="BT85" s="130">
        <f t="shared" si="33"/>
        <v>0</v>
      </c>
      <c r="BU85" s="132"/>
    </row>
    <row r="86" ht="14.25" customHeight="1">
      <c r="A86" s="132"/>
      <c r="B86" s="215">
        <v>46095</v>
      </c>
      <c r="C86" s="134">
        <f>8163.16-0-0</f>
      </c>
      <c r="D86" s="136"/>
      <c r="E86" s="135"/>
      <c r="F86" s="135"/>
      <c r="G86" s="147">
        <f t="shared" si="25"/>
        <v>0</v>
      </c>
      <c r="H86" s="144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03">
        <f t="shared" si="26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27"/>
        <v>0</v>
      </c>
      <c r="AH86" s="134">
        <v>559.22</v>
      </c>
      <c r="AI86" s="136"/>
      <c r="AJ86" s="136"/>
      <c r="AK86" s="105">
        <f t="shared" si="28"/>
        <v>0</v>
      </c>
      <c r="AL86" s="143"/>
      <c r="AM86" s="143"/>
      <c r="AN86" s="143"/>
      <c r="AO86" s="146"/>
      <c r="AP86" s="224">
        <f t="shared" si="29"/>
        <v>0</v>
      </c>
      <c r="AQ86" s="1554">
        <v>7604</v>
      </c>
      <c r="AR86" s="1709"/>
      <c r="AS86" s="1546"/>
      <c r="AT86" s="1546"/>
      <c r="AU86" s="1546"/>
      <c r="AV86" s="1546"/>
      <c r="AW86" s="126"/>
      <c r="AX86" s="394"/>
      <c r="AY86" s="394"/>
      <c r="AZ86" s="394"/>
      <c r="BA86" s="394"/>
      <c r="BB86" s="222">
        <f t="shared" si="30"/>
        <v>0</v>
      </c>
      <c r="BC86" s="140">
        <f t="shared" si="31"/>
        <v>0</v>
      </c>
      <c r="BD86" s="132"/>
      <c r="BE86" s="140">
        <f t="shared" si="32"/>
        <v>0</v>
      </c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41"/>
      <c r="BT86" s="130">
        <f t="shared" si="33"/>
        <v>0</v>
      </c>
      <c r="BU86" s="132"/>
    </row>
    <row r="87" ht="14.25" customHeight="1">
      <c r="A87" s="132"/>
      <c r="B87" s="215">
        <v>46096</v>
      </c>
      <c r="C87" s="134">
        <f>10748.93-0-0</f>
      </c>
      <c r="D87" s="136"/>
      <c r="E87" s="135"/>
      <c r="F87" s="135"/>
      <c r="G87" s="147">
        <f t="shared" si="25"/>
        <v>0</v>
      </c>
      <c r="H87" s="144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03">
        <f t="shared" si="26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27"/>
        <v>0</v>
      </c>
      <c r="AH87" s="134">
        <v>756.62</v>
      </c>
      <c r="AI87" s="136"/>
      <c r="AJ87" s="136"/>
      <c r="AK87" s="105">
        <f t="shared" si="28"/>
        <v>0</v>
      </c>
      <c r="AL87" s="143"/>
      <c r="AM87" s="143"/>
      <c r="AN87" s="143"/>
      <c r="AO87" s="146"/>
      <c r="AP87" s="224">
        <f t="shared" si="29"/>
        <v>0</v>
      </c>
      <c r="AQ87" s="1554">
        <v>9982.6</v>
      </c>
      <c r="AR87" s="1709"/>
      <c r="AS87" s="1546"/>
      <c r="AT87" s="1546"/>
      <c r="AU87" s="1546"/>
      <c r="AV87" s="1546"/>
      <c r="AW87" s="126"/>
      <c r="AX87" s="394"/>
      <c r="AY87" s="394"/>
      <c r="AZ87" s="394"/>
      <c r="BA87" s="394"/>
      <c r="BB87" s="222">
        <f t="shared" si="30"/>
        <v>0</v>
      </c>
      <c r="BC87" s="140">
        <f t="shared" si="31"/>
        <v>0</v>
      </c>
      <c r="BD87" s="132"/>
      <c r="BE87" s="140">
        <f t="shared" si="32"/>
        <v>0</v>
      </c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41"/>
      <c r="BT87" s="130">
        <f t="shared" si="33"/>
        <v>0</v>
      </c>
      <c r="BU87" s="132"/>
    </row>
    <row r="88" ht="14.25" customHeight="1">
      <c r="A88" s="132"/>
      <c r="B88" s="215">
        <v>46097</v>
      </c>
      <c r="C88" s="134">
        <f>9832.82-0-0</f>
      </c>
      <c r="D88" s="136"/>
      <c r="E88" s="135"/>
      <c r="F88" s="135"/>
      <c r="G88" s="147">
        <f t="shared" si="25"/>
        <v>0</v>
      </c>
      <c r="H88" s="144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03">
        <f t="shared" si="26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27"/>
        <v>0</v>
      </c>
      <c r="AH88" s="134">
        <v>984.81</v>
      </c>
      <c r="AI88" s="136"/>
      <c r="AJ88" s="136"/>
      <c r="AK88" s="105">
        <f t="shared" si="28"/>
        <v>0</v>
      </c>
      <c r="AL88" s="143"/>
      <c r="AM88" s="143"/>
      <c r="AN88" s="143"/>
      <c r="AO88" s="146">
        <v>3</v>
      </c>
      <c r="AP88" s="224">
        <f t="shared" si="29"/>
        <v>0</v>
      </c>
      <c r="AQ88" s="1637">
        <v>8845</v>
      </c>
      <c r="AR88" s="1709"/>
      <c r="AS88" s="1546"/>
      <c r="AT88" s="1546"/>
      <c r="AU88" s="1546"/>
      <c r="AV88" s="1546"/>
      <c r="AW88" s="126"/>
      <c r="AX88" s="394"/>
      <c r="AY88" s="394"/>
      <c r="AZ88" s="394"/>
      <c r="BA88" s="394"/>
      <c r="BB88" s="222">
        <f t="shared" si="30"/>
        <v>0</v>
      </c>
      <c r="BC88" s="140">
        <f t="shared" si="31"/>
        <v>0</v>
      </c>
      <c r="BD88" s="132"/>
      <c r="BE88" s="140">
        <f t="shared" si="32"/>
        <v>0</v>
      </c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41"/>
      <c r="BT88" s="130">
        <f t="shared" si="33"/>
        <v>0</v>
      </c>
      <c r="BU88" s="132"/>
    </row>
    <row r="89" ht="14.25" customHeight="1">
      <c r="A89" s="132"/>
      <c r="B89" s="215">
        <v>46098</v>
      </c>
      <c r="C89" s="134">
        <f>9469.35-0-0</f>
      </c>
      <c r="D89" s="136"/>
      <c r="E89" s="135"/>
      <c r="F89" s="135"/>
      <c r="G89" s="147">
        <f t="shared" si="25"/>
        <v>0</v>
      </c>
      <c r="H89" s="144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03">
        <f t="shared" si="26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27"/>
        <v>0</v>
      </c>
      <c r="AH89" s="134">
        <v>1007.89</v>
      </c>
      <c r="AI89" s="136"/>
      <c r="AJ89" s="136"/>
      <c r="AK89" s="105">
        <f t="shared" si="28"/>
        <v>0</v>
      </c>
      <c r="AL89" s="143"/>
      <c r="AM89" s="143"/>
      <c r="AN89" s="143"/>
      <c r="AO89" s="146"/>
      <c r="AP89" s="224">
        <f t="shared" si="29"/>
        <v>0</v>
      </c>
      <c r="AQ89" s="1637">
        <v>8461.5</v>
      </c>
      <c r="AR89" s="1709"/>
      <c r="AS89" s="1546"/>
      <c r="AT89" s="1546"/>
      <c r="AU89" s="1546"/>
      <c r="AV89" s="1546"/>
      <c r="AW89" s="126"/>
      <c r="AX89" s="394"/>
      <c r="AY89" s="394"/>
      <c r="AZ89" s="394"/>
      <c r="BA89" s="394"/>
      <c r="BB89" s="222">
        <f t="shared" si="30"/>
        <v>0</v>
      </c>
      <c r="BC89" s="140">
        <f t="shared" si="31"/>
        <v>0</v>
      </c>
      <c r="BD89" s="132"/>
      <c r="BE89" s="140">
        <f t="shared" si="32"/>
        <v>0</v>
      </c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41"/>
      <c r="BT89" s="130">
        <f t="shared" si="33"/>
        <v>0</v>
      </c>
      <c r="BU89" s="132"/>
    </row>
    <row r="90" ht="14.25" customHeight="1">
      <c r="A90" s="132"/>
      <c r="B90" s="215">
        <v>46099</v>
      </c>
      <c r="C90" s="134">
        <f>10755.60-0-0</f>
      </c>
      <c r="D90" s="136"/>
      <c r="E90" s="135"/>
      <c r="F90" s="135"/>
      <c r="G90" s="147">
        <f t="shared" si="25"/>
        <v>0</v>
      </c>
      <c r="H90" s="144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03">
        <f t="shared" si="26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27"/>
        <v>0</v>
      </c>
      <c r="AH90" s="134">
        <v>1116.3</v>
      </c>
      <c r="AI90" s="136"/>
      <c r="AJ90" s="136"/>
      <c r="AK90" s="105">
        <f t="shared" si="28"/>
        <v>0</v>
      </c>
      <c r="AL90" s="143"/>
      <c r="AM90" s="143"/>
      <c r="AN90" s="143"/>
      <c r="AO90" s="146"/>
      <c r="AP90" s="224">
        <f t="shared" si="29"/>
        <v>0</v>
      </c>
      <c r="AQ90" s="1637">
        <v>9519.4</v>
      </c>
      <c r="AR90" s="1709"/>
      <c r="AS90" s="1546"/>
      <c r="AT90" s="1546"/>
      <c r="AU90" s="1546"/>
      <c r="AV90" s="1546"/>
      <c r="AW90" s="126"/>
      <c r="AX90" s="394"/>
      <c r="AY90" s="394"/>
      <c r="AZ90" s="394"/>
      <c r="BA90" s="394"/>
      <c r="BB90" s="222">
        <f t="shared" si="30"/>
        <v>0</v>
      </c>
      <c r="BC90" s="140">
        <f t="shared" si="31"/>
        <v>0</v>
      </c>
      <c r="BD90" s="132"/>
      <c r="BE90" s="140">
        <f t="shared" si="32"/>
        <v>0</v>
      </c>
      <c r="BF90" s="141"/>
      <c r="BG90" s="141"/>
      <c r="BH90" s="141"/>
      <c r="BI90" s="141"/>
      <c r="BJ90" s="141"/>
      <c r="BK90" s="141"/>
      <c r="BL90" s="141"/>
      <c r="BM90" s="141"/>
      <c r="BN90" s="141"/>
      <c r="BO90" s="141"/>
      <c r="BP90" s="150"/>
      <c r="BQ90" s="141">
        <v>120</v>
      </c>
      <c r="BR90" s="141"/>
      <c r="BS90" s="141"/>
      <c r="BT90" s="130">
        <f t="shared" si="33"/>
        <v>0</v>
      </c>
      <c r="BU90" s="132"/>
    </row>
    <row r="91" ht="14.25" customHeight="1">
      <c r="A91" s="132"/>
      <c r="B91" s="215">
        <v>46100</v>
      </c>
      <c r="C91" s="134">
        <f>10668.99-0-0</f>
      </c>
      <c r="D91" s="136"/>
      <c r="E91" s="135"/>
      <c r="F91" s="135"/>
      <c r="G91" s="147">
        <f t="shared" si="25"/>
        <v>0</v>
      </c>
      <c r="H91" s="144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03">
        <f t="shared" si="26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27"/>
        <v>0</v>
      </c>
      <c r="AH91" s="134">
        <v>824.5</v>
      </c>
      <c r="AI91" s="136"/>
      <c r="AJ91" s="136"/>
      <c r="AK91" s="105">
        <f t="shared" si="28"/>
        <v>0</v>
      </c>
      <c r="AL91" s="143"/>
      <c r="AM91" s="143"/>
      <c r="AN91" s="143"/>
      <c r="AO91" s="146"/>
      <c r="AP91" s="224">
        <f t="shared" si="29"/>
        <v>0</v>
      </c>
      <c r="AQ91" s="1637">
        <v>9844.5</v>
      </c>
      <c r="AR91" s="1709"/>
      <c r="AS91" s="1546"/>
      <c r="AT91" s="1546"/>
      <c r="AU91" s="1546"/>
      <c r="AV91" s="1546"/>
      <c r="AW91" s="126"/>
      <c r="AX91" s="394"/>
      <c r="AY91" s="394"/>
      <c r="AZ91" s="394"/>
      <c r="BA91" s="394"/>
      <c r="BB91" s="222">
        <f t="shared" si="30"/>
        <v>0</v>
      </c>
      <c r="BC91" s="140">
        <f t="shared" si="31"/>
        <v>0</v>
      </c>
      <c r="BD91" s="132"/>
      <c r="BE91" s="140">
        <f t="shared" si="32"/>
        <v>0</v>
      </c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41"/>
      <c r="BQ91" s="141"/>
      <c r="BR91" s="141"/>
      <c r="BS91" s="141"/>
      <c r="BT91" s="130">
        <f t="shared" si="33"/>
        <v>0</v>
      </c>
      <c r="BU91" s="132"/>
    </row>
    <row r="92" ht="14.25" customHeight="1">
      <c r="A92" s="132"/>
      <c r="B92" s="215">
        <v>46101</v>
      </c>
      <c r="C92" s="134">
        <f>13273.16-0-0</f>
      </c>
      <c r="D92" s="136"/>
      <c r="E92" s="135"/>
      <c r="F92" s="135"/>
      <c r="G92" s="147">
        <f t="shared" si="25"/>
        <v>0</v>
      </c>
      <c r="H92" s="144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03">
        <f t="shared" si="26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27"/>
        <v>0</v>
      </c>
      <c r="AH92" s="134">
        <v>281</v>
      </c>
      <c r="AI92" s="136"/>
      <c r="AJ92" s="136"/>
      <c r="AK92" s="105">
        <f t="shared" si="28"/>
        <v>0</v>
      </c>
      <c r="AL92" s="143"/>
      <c r="AM92" s="143"/>
      <c r="AN92" s="143"/>
      <c r="AO92" s="146"/>
      <c r="AP92" s="224">
        <f t="shared" si="29"/>
        <v>0</v>
      </c>
      <c r="AQ92" s="1637">
        <v>12992.1</v>
      </c>
      <c r="AR92" s="1709"/>
      <c r="AS92" s="1546"/>
      <c r="AT92" s="1546"/>
      <c r="AU92" s="1546"/>
      <c r="AV92" s="1546"/>
      <c r="AW92" s="126"/>
      <c r="AX92" s="394"/>
      <c r="AY92" s="394"/>
      <c r="AZ92" s="394"/>
      <c r="BA92" s="394"/>
      <c r="BB92" s="222">
        <f t="shared" si="30"/>
        <v>0</v>
      </c>
      <c r="BC92" s="140">
        <f t="shared" si="31"/>
        <v>0</v>
      </c>
      <c r="BD92" s="132"/>
      <c r="BE92" s="140">
        <f t="shared" si="32"/>
        <v>0</v>
      </c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41"/>
      <c r="BT92" s="130">
        <f t="shared" si="33"/>
        <v>0</v>
      </c>
      <c r="BU92" s="132"/>
    </row>
    <row r="93" ht="14.25" customHeight="1">
      <c r="A93" s="132"/>
      <c r="B93" s="215">
        <v>46102</v>
      </c>
      <c r="C93" s="134">
        <f>9716.74-0-0</f>
      </c>
      <c r="D93" s="136"/>
      <c r="E93" s="135"/>
      <c r="F93" s="135"/>
      <c r="G93" s="147">
        <f t="shared" si="25"/>
        <v>0</v>
      </c>
      <c r="H93" s="144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03">
        <f t="shared" si="26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27"/>
        <v>0</v>
      </c>
      <c r="AH93" s="134">
        <v>722.14</v>
      </c>
      <c r="AI93" s="136"/>
      <c r="AJ93" s="136"/>
      <c r="AK93" s="105">
        <f t="shared" si="28"/>
        <v>0</v>
      </c>
      <c r="AL93" s="143"/>
      <c r="AM93" s="143"/>
      <c r="AN93" s="143"/>
      <c r="AO93" s="146"/>
      <c r="AP93" s="224">
        <f t="shared" si="29"/>
        <v>0</v>
      </c>
      <c r="AQ93" s="1637">
        <v>8994.6</v>
      </c>
      <c r="AR93" s="1709"/>
      <c r="AS93" s="1546"/>
      <c r="AT93" s="1546"/>
      <c r="AU93" s="1546"/>
      <c r="AV93" s="1546"/>
      <c r="AW93" s="126"/>
      <c r="AX93" s="394"/>
      <c r="AY93" s="394"/>
      <c r="AZ93" s="394"/>
      <c r="BA93" s="394"/>
      <c r="BB93" s="222">
        <f t="shared" si="30"/>
        <v>0</v>
      </c>
      <c r="BC93" s="140">
        <f t="shared" si="31"/>
        <v>0</v>
      </c>
      <c r="BD93" s="132"/>
      <c r="BE93" s="140">
        <f t="shared" si="32"/>
        <v>0</v>
      </c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41"/>
      <c r="BT93" s="130">
        <f t="shared" si="33"/>
        <v>0</v>
      </c>
      <c r="BU93" s="132"/>
    </row>
    <row r="94" ht="14.25" customHeight="1">
      <c r="A94" s="132"/>
      <c r="B94" s="215">
        <v>46103</v>
      </c>
      <c r="C94" s="134">
        <f>8130.14-0-0</f>
      </c>
      <c r="D94" s="136"/>
      <c r="E94" s="135"/>
      <c r="F94" s="135"/>
      <c r="G94" s="147">
        <f t="shared" si="25"/>
        <v>0</v>
      </c>
      <c r="H94" s="144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03">
        <f t="shared" si="26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27"/>
        <v>0</v>
      </c>
      <c r="AH94" s="134">
        <v>661.06</v>
      </c>
      <c r="AI94" s="136"/>
      <c r="AJ94" s="136"/>
      <c r="AK94" s="105">
        <f t="shared" si="28"/>
        <v>0</v>
      </c>
      <c r="AL94" s="143"/>
      <c r="AM94" s="143"/>
      <c r="AN94" s="143"/>
      <c r="AO94" s="146"/>
      <c r="AP94" s="224">
        <f t="shared" si="29"/>
        <v>0</v>
      </c>
      <c r="AQ94" s="1637">
        <v>7469.1</v>
      </c>
      <c r="AR94" s="1709"/>
      <c r="AS94" s="1546"/>
      <c r="AT94" s="1546"/>
      <c r="AU94" s="1546"/>
      <c r="AV94" s="1546"/>
      <c r="AW94" s="126"/>
      <c r="AX94" s="394"/>
      <c r="AY94" s="394"/>
      <c r="AZ94" s="394"/>
      <c r="BA94" s="394"/>
      <c r="BB94" s="222">
        <f t="shared" si="30"/>
        <v>0</v>
      </c>
      <c r="BC94" s="140">
        <f t="shared" si="31"/>
        <v>0</v>
      </c>
      <c r="BD94" s="132"/>
      <c r="BE94" s="140">
        <f t="shared" si="32"/>
        <v>0</v>
      </c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41"/>
      <c r="BT94" s="130">
        <f t="shared" si="33"/>
        <v>0</v>
      </c>
      <c r="BU94" s="132"/>
    </row>
    <row r="95" ht="14.25" customHeight="1">
      <c r="A95" s="132"/>
      <c r="B95" s="215">
        <v>46104</v>
      </c>
      <c r="C95" s="134">
        <f>13345.41-0-0</f>
      </c>
      <c r="D95" s="136"/>
      <c r="E95" s="135"/>
      <c r="F95" s="135"/>
      <c r="G95" s="147">
        <f t="shared" si="25"/>
        <v>0</v>
      </c>
      <c r="H95" s="144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03">
        <f t="shared" si="26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27"/>
        <v>0</v>
      </c>
      <c r="AH95" s="134">
        <v>1047.67</v>
      </c>
      <c r="AI95" s="136"/>
      <c r="AJ95" s="136"/>
      <c r="AK95" s="105">
        <f t="shared" si="28"/>
        <v>0</v>
      </c>
      <c r="AL95" s="143"/>
      <c r="AM95" s="143"/>
      <c r="AN95" s="143"/>
      <c r="AO95" s="146"/>
      <c r="AP95" s="224">
        <f t="shared" si="29"/>
        <v>0</v>
      </c>
      <c r="AQ95" s="1637">
        <v>12297.7</v>
      </c>
      <c r="AR95" s="1709"/>
      <c r="AS95" s="1546"/>
      <c r="AT95" s="1546"/>
      <c r="AU95" s="1546"/>
      <c r="AV95" s="1546"/>
      <c r="AW95" s="126"/>
      <c r="AX95" s="394"/>
      <c r="AY95" s="394"/>
      <c r="AZ95" s="394"/>
      <c r="BA95" s="394"/>
      <c r="BB95" s="222">
        <f t="shared" si="30"/>
        <v>0</v>
      </c>
      <c r="BC95" s="140">
        <f t="shared" si="31"/>
        <v>0</v>
      </c>
      <c r="BD95" s="132"/>
      <c r="BE95" s="140">
        <f t="shared" si="32"/>
        <v>0</v>
      </c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41"/>
      <c r="BT95" s="130">
        <f t="shared" si="33"/>
        <v>0</v>
      </c>
      <c r="BU95" s="132"/>
    </row>
    <row r="96" ht="14.25" customHeight="1">
      <c r="A96" s="3"/>
      <c r="B96" s="215">
        <v>46105</v>
      </c>
      <c r="C96" s="119">
        <f>16258.85-0-0</f>
      </c>
      <c r="D96" s="123"/>
      <c r="E96" s="120"/>
      <c r="F96" s="120"/>
      <c r="G96" s="147">
        <f t="shared" si="25"/>
        <v>0</v>
      </c>
      <c r="H96" s="144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03">
        <f t="shared" si="26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27"/>
        <v>0</v>
      </c>
      <c r="AH96" s="119">
        <v>753.67</v>
      </c>
      <c r="AI96" s="123"/>
      <c r="AJ96" s="123"/>
      <c r="AK96" s="105">
        <f t="shared" si="28"/>
        <v>0</v>
      </c>
      <c r="AL96" s="143"/>
      <c r="AM96" s="143"/>
      <c r="AN96" s="143"/>
      <c r="AO96" s="146"/>
      <c r="AP96" s="224">
        <f t="shared" si="29"/>
        <v>0</v>
      </c>
      <c r="AQ96" s="1637">
        <v>15505.2</v>
      </c>
      <c r="AR96" s="1709"/>
      <c r="AS96" s="1546"/>
      <c r="AT96" s="1546"/>
      <c r="AU96" s="1546"/>
      <c r="AV96" s="1546"/>
      <c r="AW96" s="126"/>
      <c r="AX96" s="394"/>
      <c r="AY96" s="394"/>
      <c r="AZ96" s="394"/>
      <c r="BA96" s="394"/>
      <c r="BB96" s="222">
        <f t="shared" si="30"/>
        <v>0</v>
      </c>
      <c r="BC96" s="113">
        <f t="shared" si="31"/>
        <v>0</v>
      </c>
      <c r="BD96" s="3"/>
      <c r="BE96" s="113">
        <f t="shared" si="32"/>
        <v>0</v>
      </c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30">
        <f t="shared" si="33"/>
        <v>0</v>
      </c>
      <c r="BU96" s="3"/>
    </row>
    <row r="97" ht="14.25" customHeight="1">
      <c r="A97" s="132"/>
      <c r="B97" s="215">
        <v>46106</v>
      </c>
      <c r="C97" s="134">
        <f>13131.75-0-0</f>
      </c>
      <c r="D97" s="136"/>
      <c r="E97" s="135"/>
      <c r="F97" s="135"/>
      <c r="G97" s="147">
        <f t="shared" si="25"/>
        <v>0</v>
      </c>
      <c r="H97" s="144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03">
        <f t="shared" si="26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27"/>
        <v>0</v>
      </c>
      <c r="AH97" s="134">
        <v>881</v>
      </c>
      <c r="AI97" s="136"/>
      <c r="AJ97" s="136"/>
      <c r="AK97" s="105">
        <f t="shared" si="28"/>
        <v>0</v>
      </c>
      <c r="AL97" s="143"/>
      <c r="AM97" s="143"/>
      <c r="AN97" s="143"/>
      <c r="AO97" s="146"/>
      <c r="AP97" s="224">
        <f t="shared" si="29"/>
        <v>0</v>
      </c>
      <c r="AQ97" s="1637">
        <v>12095.7</v>
      </c>
      <c r="AR97" s="1709"/>
      <c r="AS97" s="1546"/>
      <c r="AT97" s="1546"/>
      <c r="AU97" s="1546"/>
      <c r="AV97" s="1546"/>
      <c r="AW97" s="126"/>
      <c r="AX97" s="394"/>
      <c r="AY97" s="394"/>
      <c r="AZ97" s="394"/>
      <c r="BA97" s="394"/>
      <c r="BB97" s="222">
        <f t="shared" si="30"/>
        <v>0</v>
      </c>
      <c r="BC97" s="140">
        <f t="shared" si="31"/>
        <v>0</v>
      </c>
      <c r="BD97" s="132"/>
      <c r="BE97" s="140">
        <f t="shared" si="32"/>
        <v>0</v>
      </c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50"/>
      <c r="BQ97" s="141">
        <v>180</v>
      </c>
      <c r="BR97" s="141"/>
      <c r="BS97" s="141"/>
      <c r="BT97" s="130">
        <f t="shared" si="33"/>
        <v>0</v>
      </c>
      <c r="BU97" s="132"/>
    </row>
    <row r="98" ht="14.25" customHeight="1">
      <c r="A98" s="132"/>
      <c r="B98" s="215">
        <v>46107</v>
      </c>
      <c r="C98" s="134">
        <f>8800.12-0-0</f>
      </c>
      <c r="D98" s="136"/>
      <c r="E98" s="135"/>
      <c r="F98" s="135"/>
      <c r="G98" s="147">
        <f t="shared" si="25"/>
        <v>0</v>
      </c>
      <c r="H98" s="144"/>
      <c r="I98" s="143"/>
      <c r="J98" s="143"/>
      <c r="K98" s="143"/>
      <c r="L98" s="143"/>
      <c r="M98" s="143"/>
      <c r="N98" s="99"/>
      <c r="O98" s="143"/>
      <c r="P98" s="143"/>
      <c r="Q98" s="143"/>
      <c r="R98" s="143"/>
      <c r="S98" s="143"/>
      <c r="T98" s="103">
        <f t="shared" si="26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27"/>
        <v>0</v>
      </c>
      <c r="AH98" s="134">
        <v>236.17</v>
      </c>
      <c r="AI98" s="136"/>
      <c r="AJ98" s="136"/>
      <c r="AK98" s="105">
        <f t="shared" si="28"/>
        <v>0</v>
      </c>
      <c r="AL98" s="143"/>
      <c r="AM98" s="143"/>
      <c r="AN98" s="143"/>
      <c r="AO98" s="146"/>
      <c r="AP98" s="224">
        <f t="shared" si="29"/>
        <v>0</v>
      </c>
      <c r="AQ98" s="1637">
        <v>8364</v>
      </c>
      <c r="AR98" s="1709"/>
      <c r="AS98" s="1546"/>
      <c r="AT98" s="1546"/>
      <c r="AU98" s="1546"/>
      <c r="AV98" s="1546"/>
      <c r="AW98" s="126"/>
      <c r="AX98" s="394"/>
      <c r="AY98" s="394"/>
      <c r="AZ98" s="394"/>
      <c r="BA98" s="394"/>
      <c r="BB98" s="222">
        <f t="shared" si="30"/>
        <v>0</v>
      </c>
      <c r="BC98" s="140">
        <f t="shared" si="31"/>
        <v>0</v>
      </c>
      <c r="BD98" s="132"/>
      <c r="BE98" s="140">
        <f t="shared" si="32"/>
        <v>0</v>
      </c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50"/>
      <c r="BQ98" s="141">
        <v>200</v>
      </c>
      <c r="BR98" s="141"/>
      <c r="BS98" s="141"/>
      <c r="BT98" s="130">
        <f t="shared" si="33"/>
        <v>0</v>
      </c>
      <c r="BU98" s="132"/>
    </row>
    <row r="99" ht="14.25" customHeight="1">
      <c r="A99" s="132"/>
      <c r="B99" s="215">
        <v>46108</v>
      </c>
      <c r="C99" s="134">
        <f>9097.86-0-0</f>
      </c>
      <c r="D99" s="136"/>
      <c r="E99" s="135"/>
      <c r="F99" s="135"/>
      <c r="G99" s="147">
        <f t="shared" si="25"/>
        <v>0</v>
      </c>
      <c r="H99" s="144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03">
        <f t="shared" si="26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27"/>
        <v>0</v>
      </c>
      <c r="AH99" s="134">
        <v>525.87</v>
      </c>
      <c r="AI99" s="136"/>
      <c r="AJ99" s="136"/>
      <c r="AK99" s="105">
        <f t="shared" si="28"/>
        <v>0</v>
      </c>
      <c r="AL99" s="143"/>
      <c r="AM99" s="143"/>
      <c r="AN99" s="143"/>
      <c r="AO99" s="146"/>
      <c r="AP99" s="224">
        <f t="shared" si="29"/>
        <v>0</v>
      </c>
      <c r="AQ99" s="1637">
        <v>8572.1</v>
      </c>
      <c r="AR99" s="1709"/>
      <c r="AS99" s="1546"/>
      <c r="AT99" s="1546"/>
      <c r="AU99" s="1546"/>
      <c r="AV99" s="1546"/>
      <c r="AW99" s="126"/>
      <c r="AX99" s="394"/>
      <c r="AY99" s="394"/>
      <c r="AZ99" s="394"/>
      <c r="BA99" s="394"/>
      <c r="BB99" s="222">
        <f t="shared" si="30"/>
        <v>0</v>
      </c>
      <c r="BC99" s="140">
        <f t="shared" si="31"/>
        <v>0</v>
      </c>
      <c r="BD99" s="132"/>
      <c r="BE99" s="140">
        <f t="shared" si="32"/>
        <v>0</v>
      </c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41"/>
      <c r="BT99" s="130">
        <f t="shared" si="33"/>
        <v>0</v>
      </c>
      <c r="BU99" s="132"/>
    </row>
    <row r="100" ht="14.25" customHeight="1">
      <c r="A100" s="132"/>
      <c r="B100" s="215">
        <v>46109</v>
      </c>
      <c r="C100" s="134">
        <f>10133.19-0-0</f>
      </c>
      <c r="D100" s="136"/>
      <c r="E100" s="135"/>
      <c r="F100" s="135"/>
      <c r="G100" s="147">
        <f t="shared" si="25"/>
        <v>0</v>
      </c>
      <c r="H100" s="144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03">
        <f t="shared" si="26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27"/>
        <v>0</v>
      </c>
      <c r="AH100" s="134">
        <v>753.75</v>
      </c>
      <c r="AI100" s="136"/>
      <c r="AJ100" s="136"/>
      <c r="AK100" s="105">
        <f t="shared" si="28"/>
        <v>0</v>
      </c>
      <c r="AL100" s="143"/>
      <c r="AM100" s="143"/>
      <c r="AN100" s="143"/>
      <c r="AO100" s="146"/>
      <c r="AP100" s="224">
        <f t="shared" si="29"/>
        <v>0</v>
      </c>
      <c r="AQ100" s="1637">
        <v>9181</v>
      </c>
      <c r="AR100" s="1709"/>
      <c r="AS100" s="1546"/>
      <c r="AT100" s="1546"/>
      <c r="AU100" s="1546"/>
      <c r="AV100" s="1546"/>
      <c r="AW100" s="126"/>
      <c r="AX100" s="394"/>
      <c r="AY100" s="394"/>
      <c r="AZ100" s="394"/>
      <c r="BA100" s="394"/>
      <c r="BB100" s="222">
        <f t="shared" si="30"/>
        <v>0</v>
      </c>
      <c r="BC100" s="140">
        <f t="shared" si="31"/>
        <v>0</v>
      </c>
      <c r="BD100" s="132"/>
      <c r="BE100" s="140">
        <f t="shared" si="32"/>
        <v>0</v>
      </c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50"/>
      <c r="BQ100" s="141">
        <v>198.5</v>
      </c>
      <c r="BR100" s="141"/>
      <c r="BS100" s="141"/>
      <c r="BT100" s="130">
        <f t="shared" si="33"/>
        <v>0</v>
      </c>
      <c r="BU100" s="132"/>
    </row>
    <row r="101" ht="14.25" customHeight="1">
      <c r="A101" s="132"/>
      <c r="B101" s="215">
        <v>46110</v>
      </c>
      <c r="C101" s="134">
        <f>7018.80-0-0</f>
      </c>
      <c r="D101" s="136"/>
      <c r="E101" s="135"/>
      <c r="F101" s="135"/>
      <c r="G101" s="147">
        <f t="shared" si="25"/>
        <v>0</v>
      </c>
      <c r="H101" s="144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03">
        <f t="shared" si="26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27"/>
        <v>0</v>
      </c>
      <c r="AH101" s="134">
        <v>453</v>
      </c>
      <c r="AI101" s="136"/>
      <c r="AJ101" s="136"/>
      <c r="AK101" s="105">
        <f t="shared" si="28"/>
        <v>0</v>
      </c>
      <c r="AL101" s="143"/>
      <c r="AM101" s="143"/>
      <c r="AN101" s="143"/>
      <c r="AO101" s="146"/>
      <c r="AP101" s="224">
        <f t="shared" si="29"/>
        <v>0</v>
      </c>
      <c r="AQ101" s="1637">
        <v>6565.7</v>
      </c>
      <c r="AR101" s="1709"/>
      <c r="AS101" s="1546"/>
      <c r="AT101" s="1546"/>
      <c r="AU101" s="1546"/>
      <c r="AV101" s="1546"/>
      <c r="AW101" s="126"/>
      <c r="AX101" s="394"/>
      <c r="AY101" s="394"/>
      <c r="AZ101" s="394"/>
      <c r="BA101" s="394"/>
      <c r="BB101" s="222">
        <f t="shared" si="30"/>
        <v>0</v>
      </c>
      <c r="BC101" s="140">
        <f t="shared" si="31"/>
        <v>0</v>
      </c>
      <c r="BD101" s="132"/>
      <c r="BE101" s="140">
        <f t="shared" si="32"/>
        <v>0</v>
      </c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30">
        <f t="shared" si="33"/>
        <v>0</v>
      </c>
      <c r="BU101" s="132"/>
    </row>
    <row r="102" ht="14.25" customHeight="1">
      <c r="A102" s="132"/>
      <c r="B102" s="215">
        <v>46111</v>
      </c>
      <c r="C102" s="134">
        <f>10203.49-0-0</f>
      </c>
      <c r="D102" s="136"/>
      <c r="E102" s="135"/>
      <c r="F102" s="135"/>
      <c r="G102" s="147">
        <f t="shared" si="25"/>
        <v>0</v>
      </c>
      <c r="H102" s="144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03">
        <f t="shared" si="26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27"/>
        <v>0</v>
      </c>
      <c r="AH102" s="145">
        <v>787.3</v>
      </c>
      <c r="AI102" s="136"/>
      <c r="AJ102" s="136"/>
      <c r="AK102" s="105">
        <f t="shared" si="28"/>
        <v>0</v>
      </c>
      <c r="AL102" s="143"/>
      <c r="AM102" s="143"/>
      <c r="AN102" s="143"/>
      <c r="AO102" s="146"/>
      <c r="AP102" s="224">
        <f t="shared" si="29"/>
        <v>0</v>
      </c>
      <c r="AQ102" s="1637">
        <v>9416.3</v>
      </c>
      <c r="AR102" s="1709"/>
      <c r="AS102" s="1546"/>
      <c r="AT102" s="1546"/>
      <c r="AU102" s="1546"/>
      <c r="AV102" s="1546"/>
      <c r="AW102" s="126"/>
      <c r="AX102" s="394"/>
      <c r="AY102" s="394"/>
      <c r="AZ102" s="394"/>
      <c r="BA102" s="394"/>
      <c r="BB102" s="222">
        <f t="shared" si="30"/>
        <v>0</v>
      </c>
      <c r="BC102" s="140">
        <f t="shared" si="31"/>
        <v>0</v>
      </c>
      <c r="BD102" s="132"/>
      <c r="BE102" s="140">
        <f t="shared" si="32"/>
        <v>0</v>
      </c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41"/>
      <c r="BT102" s="130">
        <f t="shared" si="33"/>
        <v>0</v>
      </c>
      <c r="BU102" s="132"/>
    </row>
    <row r="103" ht="14.25" customHeight="1">
      <c r="A103" s="132"/>
      <c r="B103" s="215">
        <v>46112</v>
      </c>
      <c r="C103" s="154">
        <f>11406.97-0-0</f>
      </c>
      <c r="D103" s="159"/>
      <c r="E103" s="156"/>
      <c r="F103" s="156"/>
      <c r="G103" s="147">
        <f t="shared" si="25"/>
        <v>0</v>
      </c>
      <c r="H103" s="612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03">
        <f t="shared" si="26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27"/>
        <v>0</v>
      </c>
      <c r="AH103" s="158">
        <v>789.17</v>
      </c>
      <c r="AI103" s="159"/>
      <c r="AJ103" s="159"/>
      <c r="AK103" s="105">
        <f t="shared" si="28"/>
        <v>0</v>
      </c>
      <c r="AL103" s="143"/>
      <c r="AM103" s="157"/>
      <c r="AN103" s="157"/>
      <c r="AO103" s="160"/>
      <c r="AP103" s="224">
        <f t="shared" si="29"/>
        <v>0</v>
      </c>
      <c r="AQ103" s="1705">
        <v>10617.8</v>
      </c>
      <c r="AR103" s="1720"/>
      <c r="AS103" s="1557"/>
      <c r="AT103" s="1557"/>
      <c r="AU103" s="1546"/>
      <c r="AV103" s="1546"/>
      <c r="AW103" s="138"/>
      <c r="AX103" s="404"/>
      <c r="AY103" s="404"/>
      <c r="AZ103" s="404"/>
      <c r="BA103" s="404"/>
      <c r="BB103" s="222">
        <f t="shared" si="30"/>
        <v>0</v>
      </c>
      <c r="BC103" s="162">
        <f t="shared" si="31"/>
        <v>0</v>
      </c>
      <c r="BD103" s="132"/>
      <c r="BE103" s="162">
        <f t="shared" si="32"/>
        <v>0</v>
      </c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41"/>
      <c r="BP103" s="163"/>
      <c r="BQ103" s="163"/>
      <c r="BR103" s="163"/>
      <c r="BS103" s="163"/>
      <c r="BT103" s="164">
        <f t="shared" si="33"/>
        <v>0</v>
      </c>
      <c r="BU103" s="132"/>
    </row>
    <row r="104" ht="14.25" customHeight="1">
      <c r="A104" s="3"/>
      <c r="B104" s="2" t="s">
        <v>259</v>
      </c>
      <c r="C104" s="166">
        <f ref="C104:BC104" t="shared" si="34">SUM(C73:C103)</f>
        <v>0</v>
      </c>
      <c r="D104" s="166">
        <f t="shared" si="34"/>
        <v>0</v>
      </c>
      <c r="E104" s="166">
        <f t="shared" si="34"/>
        <v>0</v>
      </c>
      <c r="F104" s="166">
        <f t="shared" si="34"/>
        <v>0</v>
      </c>
      <c r="G104" s="166">
        <f t="shared" si="34"/>
        <v>0</v>
      </c>
      <c r="H104" s="166">
        <f t="shared" si="34"/>
        <v>0</v>
      </c>
      <c r="I104" s="166">
        <f t="shared" si="34"/>
        <v>0</v>
      </c>
      <c r="J104" s="166">
        <f t="shared" si="34"/>
        <v>0</v>
      </c>
      <c r="K104" s="166">
        <f t="shared" si="34"/>
        <v>0</v>
      </c>
      <c r="L104" s="166">
        <f t="shared" si="34"/>
        <v>0</v>
      </c>
      <c r="M104" s="166">
        <f t="shared" si="34"/>
        <v>0</v>
      </c>
      <c r="N104" s="166">
        <f t="shared" si="34"/>
        <v>0</v>
      </c>
      <c r="O104" s="166">
        <f t="shared" si="34"/>
        <v>0</v>
      </c>
      <c r="P104" s="166">
        <f t="shared" si="34"/>
        <v>0</v>
      </c>
      <c r="Q104" s="166">
        <f t="shared" si="34"/>
        <v>0</v>
      </c>
      <c r="R104" s="166">
        <f t="shared" si="34"/>
        <v>0</v>
      </c>
      <c r="S104" s="166">
        <f t="shared" si="34"/>
        <v>0</v>
      </c>
      <c r="T104" s="166">
        <f t="shared" si="34"/>
        <v>0</v>
      </c>
      <c r="U104" s="166">
        <f t="shared" si="34"/>
        <v>0</v>
      </c>
      <c r="V104" s="166">
        <f t="shared" si="34"/>
        <v>0</v>
      </c>
      <c r="W104" s="166">
        <f t="shared" si="34"/>
        <v>0</v>
      </c>
      <c r="X104" s="166">
        <f t="shared" si="34"/>
        <v>0</v>
      </c>
      <c r="Y104" s="166">
        <f t="shared" si="34"/>
        <v>0</v>
      </c>
      <c r="Z104" s="166">
        <f t="shared" si="34"/>
        <v>0</v>
      </c>
      <c r="AA104" s="166">
        <f t="shared" si="34"/>
        <v>0</v>
      </c>
      <c r="AB104" s="166">
        <f t="shared" si="34"/>
        <v>0</v>
      </c>
      <c r="AC104" s="166">
        <f t="shared" si="34"/>
        <v>0</v>
      </c>
      <c r="AD104" s="166">
        <f t="shared" si="34"/>
        <v>0</v>
      </c>
      <c r="AE104" s="166">
        <f t="shared" si="34"/>
        <v>0</v>
      </c>
      <c r="AF104" s="166">
        <f t="shared" si="34"/>
        <v>0</v>
      </c>
      <c r="AG104" s="166">
        <f t="shared" si="34"/>
        <v>0</v>
      </c>
      <c r="AH104" s="166">
        <f t="shared" si="34"/>
        <v>0</v>
      </c>
      <c r="AI104" s="166">
        <f t="shared" si="34"/>
        <v>0</v>
      </c>
      <c r="AJ104" s="166">
        <f t="shared" si="34"/>
        <v>0</v>
      </c>
      <c r="AK104" s="166">
        <f t="shared" si="34"/>
        <v>0</v>
      </c>
      <c r="AL104" s="166">
        <f t="shared" si="34"/>
        <v>0</v>
      </c>
      <c r="AM104" s="166">
        <f t="shared" si="34"/>
        <v>0</v>
      </c>
      <c r="AN104" s="166">
        <f t="shared" si="34"/>
        <v>0</v>
      </c>
      <c r="AO104" s="166">
        <f t="shared" si="34"/>
        <v>0</v>
      </c>
      <c r="AP104" s="166">
        <f t="shared" si="34"/>
        <v>0</v>
      </c>
      <c r="AQ104" s="165">
        <f t="shared" si="34"/>
        <v>0</v>
      </c>
      <c r="AR104" s="166">
        <f t="shared" si="34"/>
        <v>0</v>
      </c>
      <c r="AS104" s="166">
        <f t="shared" si="34"/>
        <v>0</v>
      </c>
      <c r="AT104" s="166">
        <f t="shared" si="34"/>
        <v>0</v>
      </c>
      <c r="AU104" s="166">
        <f t="shared" si="34"/>
        <v>0</v>
      </c>
      <c r="AV104" s="166">
        <f t="shared" si="34"/>
        <v>0</v>
      </c>
      <c r="AW104" s="166">
        <f t="shared" si="34"/>
        <v>0</v>
      </c>
      <c r="AX104" s="166">
        <f t="shared" si="34"/>
        <v>0</v>
      </c>
      <c r="AY104" s="166">
        <f t="shared" si="34"/>
        <v>0</v>
      </c>
      <c r="AZ104" s="166">
        <f t="shared" si="34"/>
        <v>0</v>
      </c>
      <c r="BA104" s="166">
        <f t="shared" si="34"/>
        <v>0</v>
      </c>
      <c r="BB104" s="166">
        <f t="shared" si="34"/>
        <v>0</v>
      </c>
      <c r="BC104" s="166">
        <f t="shared" si="34"/>
        <v>0</v>
      </c>
      <c r="BD104" s="235"/>
      <c r="BE104" s="166">
        <f ref="BE104:BR104" t="shared" si="35">SUM(BE73:BE103)</f>
        <v>0</v>
      </c>
      <c r="BF104" s="166">
        <f t="shared" si="35"/>
        <v>0</v>
      </c>
      <c r="BG104" s="166">
        <f t="shared" si="35"/>
        <v>0</v>
      </c>
      <c r="BH104" s="166">
        <f t="shared" si="35"/>
        <v>0</v>
      </c>
      <c r="BI104" s="166">
        <f t="shared" si="35"/>
        <v>0</v>
      </c>
      <c r="BJ104" s="166">
        <f t="shared" si="35"/>
        <v>0</v>
      </c>
      <c r="BK104" s="166">
        <f t="shared" si="35"/>
        <v>0</v>
      </c>
      <c r="BL104" s="166">
        <f t="shared" si="35"/>
        <v>0</v>
      </c>
      <c r="BM104" s="166">
        <f t="shared" si="35"/>
        <v>0</v>
      </c>
      <c r="BN104" s="166">
        <f t="shared" si="35"/>
        <v>0</v>
      </c>
      <c r="BO104" s="166">
        <f t="shared" si="35"/>
        <v>0</v>
      </c>
      <c r="BP104" s="166">
        <f t="shared" si="35"/>
        <v>0</v>
      </c>
      <c r="BQ104" s="166">
        <f t="shared" si="35"/>
        <v>0</v>
      </c>
      <c r="BR104" s="166">
        <f t="shared" si="35"/>
        <v>0</v>
      </c>
      <c r="BS104" s="166"/>
      <c r="BT104" s="166">
        <f>SUM(BT73:BT103)</f>
        <v>0</v>
      </c>
      <c r="BU104" s="235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1336"/>
      <c r="AL105" s="3"/>
      <c r="AM105" s="3"/>
      <c r="AN105" s="3"/>
      <c r="AO105" s="3"/>
      <c r="AP105" s="1336"/>
      <c r="AQ105" s="132"/>
      <c r="AR105" s="132"/>
      <c r="AS105" s="132"/>
      <c r="AT105" s="3"/>
      <c r="AU105" s="3"/>
      <c r="AV105" s="3"/>
      <c r="AW105" s="132"/>
      <c r="AX105" s="132"/>
      <c r="AY105" s="132"/>
      <c r="AZ105" s="132"/>
      <c r="BA105" s="132"/>
      <c r="BB105" s="1336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</row>
    <row r="106" ht="14.25" customHeight="1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176"/>
      <c r="AH106" s="3"/>
      <c r="AI106" s="3"/>
      <c r="AJ106" s="3"/>
      <c r="AK106" s="1336"/>
      <c r="AL106" s="3"/>
      <c r="AM106" s="3"/>
      <c r="AN106" s="3"/>
      <c r="AO106" s="3"/>
      <c r="AP106" s="1398"/>
      <c r="AQ106" s="4"/>
      <c r="AR106" s="177"/>
      <c r="AS106" s="177"/>
      <c r="AT106" s="177"/>
      <c r="AU106" s="177"/>
      <c r="AV106" s="177"/>
      <c r="AW106" s="177"/>
      <c r="AX106" s="177"/>
      <c r="AY106" s="4"/>
      <c r="AZ106" s="132"/>
      <c r="BA106" s="132"/>
      <c r="BB106" s="1398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</row>
    <row r="107" ht="14.25" customHeight="1">
      <c r="A107" s="3"/>
      <c r="B107" s="215">
        <v>46113</v>
      </c>
      <c r="C107" s="95"/>
      <c r="D107" s="104"/>
      <c r="E107" s="97"/>
      <c r="F107" s="97"/>
      <c r="G107" s="216">
        <f ref="G107:G136" t="shared" si="36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03">
        <f ref="T107:T136" t="shared" si="37">SUM(H107:S107)</f>
        <v>0</v>
      </c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03">
        <f ref="AG107:AG136" t="shared" si="38">SUM(U107:AF107)</f>
        <v>0</v>
      </c>
      <c r="AH107" s="95"/>
      <c r="AI107" s="104"/>
      <c r="AJ107" s="104"/>
      <c r="AK107" s="191">
        <f ref="AK107:AK136" t="shared" si="39">SUM(AH107:AJ107)</f>
        <v>0</v>
      </c>
      <c r="AL107" s="101"/>
      <c r="AM107" s="101"/>
      <c r="AN107" s="101"/>
      <c r="AO107" s="106"/>
      <c r="AP107" s="219">
        <f ref="AP107:AP136" t="shared" si="40">+G107-T107-AG107-AK107-AL107-AM107-AN107-AO107</f>
        <v>0</v>
      </c>
      <c r="AQ107" s="1721"/>
      <c r="AR107" s="1708"/>
      <c r="AS107" s="1537"/>
      <c r="AT107" s="1537"/>
      <c r="AU107" s="1546"/>
      <c r="AV107" s="1546"/>
      <c r="AW107" s="109"/>
      <c r="AX107" s="388"/>
      <c r="AY107" s="388"/>
      <c r="AZ107" s="388"/>
      <c r="BA107" s="388"/>
      <c r="BB107" s="222">
        <f ref="BB107:BB136" t="shared" si="41">SUM(AQ107:BA107)-AZ107</f>
        <v>0</v>
      </c>
      <c r="BC107" s="114">
        <f ref="BC107:BC136" t="shared" si="42">+AP107-BB107</f>
        <v>0</v>
      </c>
      <c r="BD107" s="3"/>
      <c r="BE107" s="114">
        <f ref="BE107:BE136" t="shared" si="43">SUM(BF107:BR107)</f>
        <v>0</v>
      </c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6">
        <f ref="BT107:BT136" t="shared" si="44">+BC107-BE107</f>
        <v>0</v>
      </c>
      <c r="BU107" s="3"/>
    </row>
    <row r="108" ht="14.25" customHeight="1">
      <c r="A108" s="3"/>
      <c r="B108" s="215">
        <v>46114</v>
      </c>
      <c r="C108" s="119"/>
      <c r="D108" s="123"/>
      <c r="E108" s="120"/>
      <c r="F108" s="120"/>
      <c r="G108" s="147">
        <f t="shared" si="36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37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38"/>
        <v>0</v>
      </c>
      <c r="AH108" s="119"/>
      <c r="AI108" s="123"/>
      <c r="AJ108" s="123"/>
      <c r="AK108" s="105">
        <f t="shared" si="39"/>
        <v>0</v>
      </c>
      <c r="AL108" s="99"/>
      <c r="AM108" s="99"/>
      <c r="AN108" s="99"/>
      <c r="AO108" s="124"/>
      <c r="AP108" s="224">
        <f t="shared" si="40"/>
        <v>0</v>
      </c>
      <c r="AQ108" s="1554"/>
      <c r="AR108" s="1709"/>
      <c r="AS108" s="1546"/>
      <c r="AT108" s="1546"/>
      <c r="AU108" s="1546"/>
      <c r="AV108" s="1546"/>
      <c r="AW108" s="126"/>
      <c r="AX108" s="394"/>
      <c r="AY108" s="394"/>
      <c r="AZ108" s="394"/>
      <c r="BA108" s="394"/>
      <c r="BB108" s="222">
        <f t="shared" si="41"/>
        <v>0</v>
      </c>
      <c r="BC108" s="113">
        <f t="shared" si="42"/>
        <v>0</v>
      </c>
      <c r="BD108" s="3"/>
      <c r="BE108" s="113">
        <f t="shared" si="43"/>
        <v>0</v>
      </c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30">
        <f t="shared" si="44"/>
        <v>0</v>
      </c>
      <c r="BU108" s="3"/>
    </row>
    <row r="109" ht="14.25" customHeight="1">
      <c r="A109" s="3"/>
      <c r="B109" s="215">
        <v>46115</v>
      </c>
      <c r="C109" s="119"/>
      <c r="D109" s="123"/>
      <c r="E109" s="120"/>
      <c r="F109" s="120"/>
      <c r="G109" s="147">
        <f t="shared" si="36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37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38"/>
        <v>0</v>
      </c>
      <c r="AH109" s="119"/>
      <c r="AI109" s="123"/>
      <c r="AJ109" s="123"/>
      <c r="AK109" s="105">
        <f t="shared" si="39"/>
        <v>0</v>
      </c>
      <c r="AL109" s="99"/>
      <c r="AM109" s="99"/>
      <c r="AN109" s="99"/>
      <c r="AO109" s="124"/>
      <c r="AP109" s="224">
        <f t="shared" si="40"/>
        <v>0</v>
      </c>
      <c r="AQ109" s="1554"/>
      <c r="AR109" s="1709"/>
      <c r="AS109" s="1709"/>
      <c r="AT109" s="1546"/>
      <c r="AU109" s="1546"/>
      <c r="AV109" s="1546"/>
      <c r="AW109" s="126"/>
      <c r="AX109" s="394"/>
      <c r="AY109" s="394"/>
      <c r="AZ109" s="394"/>
      <c r="BA109" s="394"/>
      <c r="BB109" s="222">
        <f t="shared" si="41"/>
        <v>0</v>
      </c>
      <c r="BC109" s="113">
        <f t="shared" si="42"/>
        <v>0</v>
      </c>
      <c r="BD109" s="3"/>
      <c r="BE109" s="113">
        <f t="shared" si="43"/>
        <v>0</v>
      </c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41"/>
      <c r="BQ109" s="129"/>
      <c r="BR109" s="129"/>
      <c r="BS109" s="129"/>
      <c r="BT109" s="130">
        <f t="shared" si="44"/>
        <v>0</v>
      </c>
      <c r="BU109" s="3"/>
    </row>
    <row r="110" ht="14.25" customHeight="1">
      <c r="A110" s="132"/>
      <c r="B110" s="215">
        <v>46116</v>
      </c>
      <c r="C110" s="134"/>
      <c r="D110" s="136"/>
      <c r="E110" s="135"/>
      <c r="F110" s="135"/>
      <c r="G110" s="147">
        <f t="shared" si="36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37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38"/>
        <v>0</v>
      </c>
      <c r="AH110" s="134"/>
      <c r="AI110" s="136"/>
      <c r="AJ110" s="136"/>
      <c r="AK110" s="105">
        <f t="shared" si="39"/>
        <v>0</v>
      </c>
      <c r="AL110" s="99"/>
      <c r="AM110" s="99"/>
      <c r="AN110" s="99"/>
      <c r="AO110" s="124"/>
      <c r="AP110" s="224">
        <f t="shared" si="40"/>
        <v>0</v>
      </c>
      <c r="AQ110" s="1554"/>
      <c r="AR110" s="1709"/>
      <c r="AS110" s="1709"/>
      <c r="AT110" s="1546"/>
      <c r="AU110" s="1546"/>
      <c r="AV110" s="1546"/>
      <c r="AW110" s="126"/>
      <c r="AX110" s="394"/>
      <c r="AY110" s="394"/>
      <c r="AZ110" s="394"/>
      <c r="BA110" s="394"/>
      <c r="BB110" s="222">
        <f t="shared" si="41"/>
        <v>0</v>
      </c>
      <c r="BC110" s="140">
        <f t="shared" si="42"/>
        <v>0</v>
      </c>
      <c r="BD110" s="132"/>
      <c r="BE110" s="140">
        <f t="shared" si="43"/>
        <v>0</v>
      </c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30">
        <f t="shared" si="44"/>
        <v>0</v>
      </c>
      <c r="BU110" s="132"/>
    </row>
    <row r="111" ht="14.25" customHeight="1">
      <c r="A111" s="132"/>
      <c r="B111" s="215">
        <v>46117</v>
      </c>
      <c r="C111" s="134"/>
      <c r="D111" s="136"/>
      <c r="E111" s="135"/>
      <c r="F111" s="135"/>
      <c r="G111" s="147">
        <f t="shared" si="36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37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38"/>
        <v>0</v>
      </c>
      <c r="AH111" s="134"/>
      <c r="AI111" s="136"/>
      <c r="AJ111" s="136"/>
      <c r="AK111" s="105">
        <f t="shared" si="39"/>
        <v>0</v>
      </c>
      <c r="AL111" s="99"/>
      <c r="AM111" s="99"/>
      <c r="AN111" s="99"/>
      <c r="AO111" s="124"/>
      <c r="AP111" s="224">
        <f t="shared" si="40"/>
        <v>0</v>
      </c>
      <c r="AQ111" s="1554"/>
      <c r="AR111" s="1709"/>
      <c r="AS111" s="1546"/>
      <c r="AT111" s="1546"/>
      <c r="AU111" s="1546"/>
      <c r="AV111" s="1546"/>
      <c r="AW111" s="126"/>
      <c r="AX111" s="394"/>
      <c r="AY111" s="394"/>
      <c r="AZ111" s="394"/>
      <c r="BA111" s="394"/>
      <c r="BB111" s="222">
        <f t="shared" si="41"/>
        <v>0</v>
      </c>
      <c r="BC111" s="140">
        <f t="shared" si="42"/>
        <v>0</v>
      </c>
      <c r="BD111" s="132"/>
      <c r="BE111" s="140">
        <f t="shared" si="43"/>
        <v>0</v>
      </c>
      <c r="BF111" s="141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30">
        <f t="shared" si="44"/>
        <v>0</v>
      </c>
      <c r="BU111" s="132"/>
    </row>
    <row r="112" ht="14.25" customHeight="1">
      <c r="A112" s="132"/>
      <c r="B112" s="215">
        <v>46118</v>
      </c>
      <c r="C112" s="134"/>
      <c r="D112" s="136"/>
      <c r="E112" s="135"/>
      <c r="F112" s="135"/>
      <c r="G112" s="147">
        <f t="shared" si="36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37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38"/>
        <v>0</v>
      </c>
      <c r="AH112" s="134"/>
      <c r="AI112" s="136"/>
      <c r="AJ112" s="136"/>
      <c r="AK112" s="105">
        <f t="shared" si="39"/>
        <v>0</v>
      </c>
      <c r="AL112" s="99"/>
      <c r="AM112" s="99"/>
      <c r="AN112" s="99"/>
      <c r="AO112" s="124"/>
      <c r="AP112" s="224">
        <f t="shared" si="40"/>
        <v>0</v>
      </c>
      <c r="AQ112" s="1554"/>
      <c r="AR112" s="1709"/>
      <c r="AS112" s="1546"/>
      <c r="AT112" s="1546"/>
      <c r="AU112" s="1546"/>
      <c r="AV112" s="1546"/>
      <c r="AW112" s="126"/>
      <c r="AX112" s="394"/>
      <c r="AY112" s="394"/>
      <c r="AZ112" s="394"/>
      <c r="BA112" s="394"/>
      <c r="BB112" s="222">
        <f t="shared" si="41"/>
        <v>0</v>
      </c>
      <c r="BC112" s="140">
        <f t="shared" si="42"/>
        <v>0</v>
      </c>
      <c r="BD112" s="132"/>
      <c r="BE112" s="140">
        <f t="shared" si="43"/>
        <v>0</v>
      </c>
      <c r="BF112" s="141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50"/>
      <c r="BQ112" s="141"/>
      <c r="BR112" s="141"/>
      <c r="BS112" s="141"/>
      <c r="BT112" s="130">
        <f t="shared" si="44"/>
        <v>0</v>
      </c>
      <c r="BU112" s="132"/>
    </row>
    <row r="113" ht="14.25" customHeight="1">
      <c r="A113" s="132"/>
      <c r="B113" s="215">
        <v>46119</v>
      </c>
      <c r="C113" s="134"/>
      <c r="D113" s="136"/>
      <c r="E113" s="135"/>
      <c r="F113" s="135"/>
      <c r="G113" s="147">
        <f t="shared" si="36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37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38"/>
        <v>0</v>
      </c>
      <c r="AH113" s="134"/>
      <c r="AI113" s="136"/>
      <c r="AJ113" s="136"/>
      <c r="AK113" s="105">
        <f t="shared" si="39"/>
        <v>0</v>
      </c>
      <c r="AL113" s="99"/>
      <c r="AM113" s="99"/>
      <c r="AN113" s="99"/>
      <c r="AO113" s="124"/>
      <c r="AP113" s="224">
        <f t="shared" si="40"/>
        <v>0</v>
      </c>
      <c r="AQ113" s="1554"/>
      <c r="AR113" s="1709"/>
      <c r="AS113" s="1546"/>
      <c r="AT113" s="1546"/>
      <c r="AU113" s="1546"/>
      <c r="AV113" s="1546"/>
      <c r="AW113" s="126"/>
      <c r="AX113" s="394"/>
      <c r="AY113" s="394"/>
      <c r="AZ113" s="394"/>
      <c r="BA113" s="394"/>
      <c r="BB113" s="222">
        <f t="shared" si="41"/>
        <v>0</v>
      </c>
      <c r="BC113" s="140">
        <f t="shared" si="42"/>
        <v>0</v>
      </c>
      <c r="BD113" s="132"/>
      <c r="BE113" s="140">
        <f t="shared" si="43"/>
        <v>0</v>
      </c>
      <c r="BF113" s="141"/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30">
        <f t="shared" si="44"/>
        <v>0</v>
      </c>
      <c r="BU113" s="132"/>
    </row>
    <row r="114" ht="14.25" customHeight="1">
      <c r="A114" s="132"/>
      <c r="B114" s="215">
        <v>46120</v>
      </c>
      <c r="C114" s="134"/>
      <c r="D114" s="136"/>
      <c r="E114" s="135"/>
      <c r="F114" s="135"/>
      <c r="G114" s="147">
        <f t="shared" si="36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37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38"/>
        <v>0</v>
      </c>
      <c r="AH114" s="134"/>
      <c r="AI114" s="136"/>
      <c r="AJ114" s="136"/>
      <c r="AK114" s="105">
        <f t="shared" si="39"/>
        <v>0</v>
      </c>
      <c r="AL114" s="99"/>
      <c r="AM114" s="99"/>
      <c r="AN114" s="99"/>
      <c r="AO114" s="124"/>
      <c r="AP114" s="224">
        <f t="shared" si="40"/>
        <v>0</v>
      </c>
      <c r="AQ114" s="1554"/>
      <c r="AR114" s="1709"/>
      <c r="AS114" s="1546"/>
      <c r="AT114" s="1546"/>
      <c r="AU114" s="1546"/>
      <c r="AV114" s="1546"/>
      <c r="AW114" s="126"/>
      <c r="AX114" s="394"/>
      <c r="AY114" s="394"/>
      <c r="AZ114" s="394"/>
      <c r="BA114" s="394"/>
      <c r="BB114" s="222">
        <f t="shared" si="41"/>
        <v>0</v>
      </c>
      <c r="BC114" s="140">
        <f t="shared" si="42"/>
        <v>0</v>
      </c>
      <c r="BD114" s="132"/>
      <c r="BE114" s="140">
        <f t="shared" si="43"/>
        <v>0</v>
      </c>
      <c r="BF114" s="141"/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30">
        <f t="shared" si="44"/>
        <v>0</v>
      </c>
      <c r="BU114" s="132"/>
    </row>
    <row r="115" ht="14.25" customHeight="1">
      <c r="A115" s="132"/>
      <c r="B115" s="215">
        <v>46121</v>
      </c>
      <c r="C115" s="134"/>
      <c r="D115" s="136"/>
      <c r="E115" s="135"/>
      <c r="F115" s="135"/>
      <c r="G115" s="147">
        <f t="shared" si="36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37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38"/>
        <v>0</v>
      </c>
      <c r="AH115" s="134"/>
      <c r="AI115" s="136"/>
      <c r="AJ115" s="136"/>
      <c r="AK115" s="105">
        <f t="shared" si="39"/>
        <v>0</v>
      </c>
      <c r="AL115" s="99"/>
      <c r="AM115" s="99"/>
      <c r="AN115" s="99"/>
      <c r="AO115" s="124"/>
      <c r="AP115" s="224">
        <f t="shared" si="40"/>
        <v>0</v>
      </c>
      <c r="AQ115" s="1554"/>
      <c r="AR115" s="1709"/>
      <c r="AS115" s="1546"/>
      <c r="AT115" s="1546"/>
      <c r="AU115" s="1546"/>
      <c r="AV115" s="1546"/>
      <c r="AW115" s="126"/>
      <c r="AX115" s="394"/>
      <c r="AY115" s="394"/>
      <c r="AZ115" s="394"/>
      <c r="BA115" s="394"/>
      <c r="BB115" s="222">
        <f t="shared" si="41"/>
        <v>0</v>
      </c>
      <c r="BC115" s="140">
        <f t="shared" si="42"/>
        <v>0</v>
      </c>
      <c r="BD115" s="132"/>
      <c r="BE115" s="140">
        <f t="shared" si="43"/>
        <v>0</v>
      </c>
      <c r="BF115" s="141"/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30">
        <f t="shared" si="44"/>
        <v>0</v>
      </c>
      <c r="BU115" s="132"/>
    </row>
    <row r="116" ht="14.25" customHeight="1">
      <c r="A116" s="132"/>
      <c r="B116" s="215">
        <v>46122</v>
      </c>
      <c r="C116" s="134"/>
      <c r="D116" s="136"/>
      <c r="E116" s="135"/>
      <c r="F116" s="135"/>
      <c r="G116" s="147">
        <f t="shared" si="36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37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38"/>
        <v>0</v>
      </c>
      <c r="AH116" s="134"/>
      <c r="AI116" s="136"/>
      <c r="AJ116" s="136"/>
      <c r="AK116" s="105">
        <f t="shared" si="39"/>
        <v>0</v>
      </c>
      <c r="AL116" s="99"/>
      <c r="AM116" s="99"/>
      <c r="AN116" s="99"/>
      <c r="AO116" s="124"/>
      <c r="AP116" s="224">
        <f t="shared" si="40"/>
        <v>0</v>
      </c>
      <c r="AQ116" s="1554"/>
      <c r="AR116" s="1709"/>
      <c r="AS116" s="1546"/>
      <c r="AT116" s="1546"/>
      <c r="AU116" s="1546"/>
      <c r="AV116" s="1546"/>
      <c r="AW116" s="126"/>
      <c r="AX116" s="394"/>
      <c r="AY116" s="394"/>
      <c r="AZ116" s="394"/>
      <c r="BA116" s="394"/>
      <c r="BB116" s="222">
        <f t="shared" si="41"/>
        <v>0</v>
      </c>
      <c r="BC116" s="140">
        <f t="shared" si="42"/>
        <v>0</v>
      </c>
      <c r="BD116" s="132"/>
      <c r="BE116" s="140">
        <f t="shared" si="43"/>
        <v>0</v>
      </c>
      <c r="BF116" s="141"/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30">
        <f t="shared" si="44"/>
        <v>0</v>
      </c>
      <c r="BU116" s="132"/>
    </row>
    <row r="117" ht="14.25" customHeight="1">
      <c r="A117" s="132"/>
      <c r="B117" s="215">
        <v>46123</v>
      </c>
      <c r="C117" s="134"/>
      <c r="D117" s="136"/>
      <c r="E117" s="135"/>
      <c r="F117" s="135"/>
      <c r="G117" s="147">
        <f t="shared" si="36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37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38"/>
        <v>0</v>
      </c>
      <c r="AH117" s="134"/>
      <c r="AI117" s="136"/>
      <c r="AJ117" s="136"/>
      <c r="AK117" s="105">
        <f t="shared" si="39"/>
        <v>0</v>
      </c>
      <c r="AL117" s="99"/>
      <c r="AM117" s="99"/>
      <c r="AN117" s="99"/>
      <c r="AO117" s="124"/>
      <c r="AP117" s="224">
        <f t="shared" si="40"/>
        <v>0</v>
      </c>
      <c r="AQ117" s="1554"/>
      <c r="AR117" s="1709"/>
      <c r="AS117" s="1546"/>
      <c r="AT117" s="1546"/>
      <c r="AU117" s="1546"/>
      <c r="AV117" s="1546"/>
      <c r="AW117" s="126"/>
      <c r="AX117" s="394"/>
      <c r="AY117" s="394"/>
      <c r="AZ117" s="394"/>
      <c r="BA117" s="394"/>
      <c r="BB117" s="222">
        <f t="shared" si="41"/>
        <v>0</v>
      </c>
      <c r="BC117" s="140">
        <f t="shared" si="42"/>
        <v>0</v>
      </c>
      <c r="BD117" s="132"/>
      <c r="BE117" s="140">
        <f t="shared" si="43"/>
        <v>0</v>
      </c>
      <c r="BF117" s="141"/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30">
        <f t="shared" si="44"/>
        <v>0</v>
      </c>
      <c r="BU117" s="132"/>
    </row>
    <row r="118" ht="14.25" customHeight="1">
      <c r="A118" s="132"/>
      <c r="B118" s="215">
        <v>46124</v>
      </c>
      <c r="C118" s="134"/>
      <c r="D118" s="136"/>
      <c r="E118" s="135"/>
      <c r="F118" s="135"/>
      <c r="G118" s="147">
        <f t="shared" si="36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37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38"/>
        <v>0</v>
      </c>
      <c r="AH118" s="134"/>
      <c r="AI118" s="136"/>
      <c r="AJ118" s="136"/>
      <c r="AK118" s="105">
        <f t="shared" si="39"/>
        <v>0</v>
      </c>
      <c r="AL118" s="99"/>
      <c r="AM118" s="99"/>
      <c r="AN118" s="99"/>
      <c r="AO118" s="124"/>
      <c r="AP118" s="224">
        <f t="shared" si="40"/>
        <v>0</v>
      </c>
      <c r="AQ118" s="1554"/>
      <c r="AR118" s="1709"/>
      <c r="AS118" s="1546"/>
      <c r="AT118" s="1546"/>
      <c r="AU118" s="1546"/>
      <c r="AV118" s="1546"/>
      <c r="AW118" s="126"/>
      <c r="AX118" s="394"/>
      <c r="AY118" s="394"/>
      <c r="AZ118" s="394"/>
      <c r="BA118" s="394"/>
      <c r="BB118" s="222">
        <f t="shared" si="41"/>
        <v>0</v>
      </c>
      <c r="BC118" s="140">
        <f t="shared" si="42"/>
        <v>0</v>
      </c>
      <c r="BD118" s="132"/>
      <c r="BE118" s="140">
        <f t="shared" si="43"/>
        <v>0</v>
      </c>
      <c r="BF118" s="141"/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30">
        <f t="shared" si="44"/>
        <v>0</v>
      </c>
      <c r="BU118" s="132"/>
    </row>
    <row r="119" ht="14.25" customHeight="1">
      <c r="A119" s="132"/>
      <c r="B119" s="215">
        <v>46125</v>
      </c>
      <c r="C119" s="134"/>
      <c r="D119" s="136"/>
      <c r="E119" s="135"/>
      <c r="F119" s="135"/>
      <c r="G119" s="147">
        <f t="shared" si="36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37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38"/>
        <v>0</v>
      </c>
      <c r="AH119" s="134"/>
      <c r="AI119" s="136"/>
      <c r="AJ119" s="136"/>
      <c r="AK119" s="105">
        <f t="shared" si="39"/>
        <v>0</v>
      </c>
      <c r="AL119" s="99"/>
      <c r="AM119" s="99"/>
      <c r="AN119" s="99"/>
      <c r="AO119" s="124"/>
      <c r="AP119" s="224">
        <f t="shared" si="40"/>
        <v>0</v>
      </c>
      <c r="AQ119" s="1554"/>
      <c r="AR119" s="1709"/>
      <c r="AS119" s="1546"/>
      <c r="AT119" s="1546"/>
      <c r="AU119" s="1546"/>
      <c r="AV119" s="1546"/>
      <c r="AW119" s="126"/>
      <c r="AX119" s="394"/>
      <c r="AY119" s="394"/>
      <c r="AZ119" s="394"/>
      <c r="BA119" s="394"/>
      <c r="BB119" s="222">
        <f t="shared" si="41"/>
        <v>0</v>
      </c>
      <c r="BC119" s="140">
        <f t="shared" si="42"/>
        <v>0</v>
      </c>
      <c r="BD119" s="132"/>
      <c r="BE119" s="140">
        <f t="shared" si="43"/>
        <v>0</v>
      </c>
      <c r="BF119" s="141"/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30">
        <f t="shared" si="44"/>
        <v>0</v>
      </c>
      <c r="BU119" s="132"/>
    </row>
    <row r="120" ht="14.25" customHeight="1">
      <c r="A120" s="132"/>
      <c r="B120" s="215">
        <v>46126</v>
      </c>
      <c r="C120" s="134"/>
      <c r="D120" s="136"/>
      <c r="E120" s="135"/>
      <c r="F120" s="135"/>
      <c r="G120" s="147">
        <f t="shared" si="36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37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38"/>
        <v>0</v>
      </c>
      <c r="AH120" s="134"/>
      <c r="AI120" s="136"/>
      <c r="AJ120" s="136"/>
      <c r="AK120" s="105">
        <f t="shared" si="39"/>
        <v>0</v>
      </c>
      <c r="AL120" s="99"/>
      <c r="AM120" s="99"/>
      <c r="AN120" s="99"/>
      <c r="AO120" s="124"/>
      <c r="AP120" s="224">
        <f t="shared" si="40"/>
        <v>0</v>
      </c>
      <c r="AQ120" s="1554"/>
      <c r="AR120" s="1709"/>
      <c r="AS120" s="1546"/>
      <c r="AT120" s="1546"/>
      <c r="AU120" s="1546"/>
      <c r="AV120" s="1546"/>
      <c r="AW120" s="126"/>
      <c r="AX120" s="394"/>
      <c r="AY120" s="394"/>
      <c r="AZ120" s="394"/>
      <c r="BA120" s="394"/>
      <c r="BB120" s="222">
        <f t="shared" si="41"/>
        <v>0</v>
      </c>
      <c r="BC120" s="140">
        <f t="shared" si="42"/>
        <v>0</v>
      </c>
      <c r="BD120" s="132"/>
      <c r="BE120" s="140">
        <f t="shared" si="43"/>
        <v>0</v>
      </c>
      <c r="BF120" s="141"/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50"/>
      <c r="BQ120" s="141"/>
      <c r="BR120" s="141"/>
      <c r="BS120" s="141"/>
      <c r="BT120" s="130">
        <f t="shared" si="44"/>
        <v>0</v>
      </c>
      <c r="BU120" s="132"/>
    </row>
    <row r="121" ht="14.25" customHeight="1">
      <c r="A121" s="132"/>
      <c r="B121" s="215">
        <v>46127</v>
      </c>
      <c r="C121" s="134"/>
      <c r="D121" s="136"/>
      <c r="E121" s="135"/>
      <c r="F121" s="135"/>
      <c r="G121" s="147">
        <f t="shared" si="36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37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38"/>
        <v>0</v>
      </c>
      <c r="AH121" s="134"/>
      <c r="AI121" s="136"/>
      <c r="AJ121" s="136"/>
      <c r="AK121" s="105">
        <f t="shared" si="39"/>
        <v>0</v>
      </c>
      <c r="AL121" s="99"/>
      <c r="AM121" s="99"/>
      <c r="AN121" s="99"/>
      <c r="AO121" s="124"/>
      <c r="AP121" s="224">
        <f t="shared" si="40"/>
        <v>0</v>
      </c>
      <c r="AQ121" s="1554"/>
      <c r="AR121" s="1709"/>
      <c r="AS121" s="1546"/>
      <c r="AT121" s="1546"/>
      <c r="AU121" s="1546"/>
      <c r="AV121" s="1546"/>
      <c r="AW121" s="126"/>
      <c r="AX121" s="394"/>
      <c r="AY121" s="394"/>
      <c r="AZ121" s="394"/>
      <c r="BA121" s="394"/>
      <c r="BB121" s="222">
        <f t="shared" si="41"/>
        <v>0</v>
      </c>
      <c r="BC121" s="140">
        <f t="shared" si="42"/>
        <v>0</v>
      </c>
      <c r="BD121" s="132"/>
      <c r="BE121" s="140">
        <f t="shared" si="43"/>
        <v>0</v>
      </c>
      <c r="BF121" s="141"/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30">
        <f t="shared" si="44"/>
        <v>0</v>
      </c>
      <c r="BU121" s="132"/>
    </row>
    <row r="122" ht="14.25" customHeight="1">
      <c r="A122" s="132"/>
      <c r="B122" s="215">
        <v>46128</v>
      </c>
      <c r="C122" s="134"/>
      <c r="D122" s="136"/>
      <c r="E122" s="135"/>
      <c r="F122" s="135"/>
      <c r="G122" s="147">
        <f t="shared" si="36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37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38"/>
        <v>0</v>
      </c>
      <c r="AH122" s="134"/>
      <c r="AI122" s="136"/>
      <c r="AJ122" s="136"/>
      <c r="AK122" s="105">
        <f t="shared" si="39"/>
        <v>0</v>
      </c>
      <c r="AL122" s="99"/>
      <c r="AM122" s="99"/>
      <c r="AN122" s="99"/>
      <c r="AO122" s="124"/>
      <c r="AP122" s="224">
        <f t="shared" si="40"/>
        <v>0</v>
      </c>
      <c r="AQ122" s="1554"/>
      <c r="AR122" s="1709"/>
      <c r="AS122" s="1546"/>
      <c r="AT122" s="1546"/>
      <c r="AU122" s="1546"/>
      <c r="AV122" s="1546"/>
      <c r="AW122" s="126"/>
      <c r="AX122" s="394"/>
      <c r="AY122" s="394"/>
      <c r="AZ122" s="394"/>
      <c r="BA122" s="394"/>
      <c r="BB122" s="222">
        <f t="shared" si="41"/>
        <v>0</v>
      </c>
      <c r="BC122" s="140">
        <f t="shared" si="42"/>
        <v>0</v>
      </c>
      <c r="BD122" s="132"/>
      <c r="BE122" s="140">
        <f t="shared" si="43"/>
        <v>0</v>
      </c>
      <c r="BF122" s="141"/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30">
        <f t="shared" si="44"/>
        <v>0</v>
      </c>
      <c r="BU122" s="132"/>
    </row>
    <row r="123" ht="14.25" customHeight="1">
      <c r="A123" s="132"/>
      <c r="B123" s="215">
        <v>46129</v>
      </c>
      <c r="C123" s="134"/>
      <c r="D123" s="136"/>
      <c r="E123" s="135"/>
      <c r="F123" s="135"/>
      <c r="G123" s="147">
        <f t="shared" si="36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37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38"/>
        <v>0</v>
      </c>
      <c r="AH123" s="134"/>
      <c r="AI123" s="136"/>
      <c r="AJ123" s="136"/>
      <c r="AK123" s="105">
        <f t="shared" si="39"/>
        <v>0</v>
      </c>
      <c r="AL123" s="99"/>
      <c r="AM123" s="99"/>
      <c r="AN123" s="99"/>
      <c r="AO123" s="124"/>
      <c r="AP123" s="224">
        <f t="shared" si="40"/>
        <v>0</v>
      </c>
      <c r="AQ123" s="1554"/>
      <c r="AR123" s="1709"/>
      <c r="AS123" s="1546"/>
      <c r="AT123" s="1546"/>
      <c r="AU123" s="1546"/>
      <c r="AV123" s="1546"/>
      <c r="AW123" s="126"/>
      <c r="AX123" s="394"/>
      <c r="AY123" s="394"/>
      <c r="AZ123" s="394"/>
      <c r="BA123" s="394"/>
      <c r="BB123" s="222">
        <f t="shared" si="41"/>
        <v>0</v>
      </c>
      <c r="BC123" s="140">
        <f t="shared" si="42"/>
        <v>0</v>
      </c>
      <c r="BD123" s="132"/>
      <c r="BE123" s="140">
        <f t="shared" si="43"/>
        <v>0</v>
      </c>
      <c r="BF123" s="141"/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50"/>
      <c r="BQ123" s="141"/>
      <c r="BR123" s="141"/>
      <c r="BS123" s="141"/>
      <c r="BT123" s="130">
        <f t="shared" si="44"/>
        <v>0</v>
      </c>
      <c r="BU123" s="132"/>
    </row>
    <row r="124" ht="14.25" customHeight="1">
      <c r="A124" s="132"/>
      <c r="B124" s="215">
        <v>46130</v>
      </c>
      <c r="C124" s="134"/>
      <c r="D124" s="136"/>
      <c r="E124" s="135"/>
      <c r="F124" s="135"/>
      <c r="G124" s="147">
        <f t="shared" si="36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03">
        <f t="shared" si="37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38"/>
        <v>0</v>
      </c>
      <c r="AH124" s="134"/>
      <c r="AI124" s="136"/>
      <c r="AJ124" s="136"/>
      <c r="AK124" s="105">
        <f t="shared" si="39"/>
        <v>0</v>
      </c>
      <c r="AL124" s="99"/>
      <c r="AM124" s="99"/>
      <c r="AN124" s="99"/>
      <c r="AO124" s="124"/>
      <c r="AP124" s="224">
        <f t="shared" si="40"/>
        <v>0</v>
      </c>
      <c r="AQ124" s="1554"/>
      <c r="AR124" s="1709"/>
      <c r="AS124" s="1546"/>
      <c r="AT124" s="1546"/>
      <c r="AU124" s="1546"/>
      <c r="AV124" s="1546"/>
      <c r="AW124" s="126"/>
      <c r="AX124" s="394"/>
      <c r="AY124" s="394"/>
      <c r="AZ124" s="394"/>
      <c r="BA124" s="394"/>
      <c r="BB124" s="222">
        <f t="shared" si="41"/>
        <v>0</v>
      </c>
      <c r="BC124" s="140">
        <f t="shared" si="42"/>
        <v>0</v>
      </c>
      <c r="BD124" s="132"/>
      <c r="BE124" s="140">
        <f t="shared" si="43"/>
        <v>0</v>
      </c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30">
        <f t="shared" si="44"/>
        <v>0</v>
      </c>
      <c r="BU124" s="132"/>
    </row>
    <row r="125" ht="14.25" customHeight="1">
      <c r="A125" s="132"/>
      <c r="B125" s="215">
        <v>46131</v>
      </c>
      <c r="C125" s="134"/>
      <c r="D125" s="136"/>
      <c r="E125" s="135"/>
      <c r="F125" s="135"/>
      <c r="G125" s="147">
        <f t="shared" si="36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37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38"/>
        <v>0</v>
      </c>
      <c r="AH125" s="134"/>
      <c r="AI125" s="136"/>
      <c r="AJ125" s="136"/>
      <c r="AK125" s="105">
        <f t="shared" si="39"/>
        <v>0</v>
      </c>
      <c r="AL125" s="99"/>
      <c r="AM125" s="99"/>
      <c r="AN125" s="99"/>
      <c r="AO125" s="124"/>
      <c r="AP125" s="224">
        <f t="shared" si="40"/>
        <v>0</v>
      </c>
      <c r="AQ125" s="1554"/>
      <c r="AR125" s="1709"/>
      <c r="AS125" s="1546"/>
      <c r="AT125" s="1546"/>
      <c r="AU125" s="1546"/>
      <c r="AV125" s="1546"/>
      <c r="AW125" s="126"/>
      <c r="AX125" s="394"/>
      <c r="AY125" s="394"/>
      <c r="AZ125" s="394"/>
      <c r="BA125" s="394"/>
      <c r="BB125" s="222">
        <f t="shared" si="41"/>
        <v>0</v>
      </c>
      <c r="BC125" s="140">
        <f t="shared" si="42"/>
        <v>0</v>
      </c>
      <c r="BD125" s="132"/>
      <c r="BE125" s="140">
        <f t="shared" si="43"/>
        <v>0</v>
      </c>
      <c r="BF125" s="141"/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50"/>
      <c r="BQ125" s="141"/>
      <c r="BR125" s="141"/>
      <c r="BS125" s="141"/>
      <c r="BT125" s="130">
        <f t="shared" si="44"/>
        <v>0</v>
      </c>
      <c r="BU125" s="132"/>
    </row>
    <row r="126" ht="14.25" customHeight="1">
      <c r="A126" s="132"/>
      <c r="B126" s="215">
        <v>46132</v>
      </c>
      <c r="C126" s="134"/>
      <c r="D126" s="136"/>
      <c r="E126" s="135"/>
      <c r="F126" s="135"/>
      <c r="G126" s="147">
        <f t="shared" si="36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03">
        <f t="shared" si="37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38"/>
        <v>0</v>
      </c>
      <c r="AH126" s="134"/>
      <c r="AI126" s="136"/>
      <c r="AJ126" s="136"/>
      <c r="AK126" s="105">
        <f t="shared" si="39"/>
        <v>0</v>
      </c>
      <c r="AL126" s="99"/>
      <c r="AM126" s="99"/>
      <c r="AN126" s="99"/>
      <c r="AO126" s="124"/>
      <c r="AP126" s="224">
        <f t="shared" si="40"/>
        <v>0</v>
      </c>
      <c r="AQ126" s="1554"/>
      <c r="AR126" s="1709"/>
      <c r="AS126" s="1546"/>
      <c r="AT126" s="1546"/>
      <c r="AU126" s="1546"/>
      <c r="AV126" s="1546"/>
      <c r="AW126" s="126"/>
      <c r="AX126" s="394"/>
      <c r="AY126" s="394"/>
      <c r="AZ126" s="394"/>
      <c r="BA126" s="394"/>
      <c r="BB126" s="222">
        <f t="shared" si="41"/>
        <v>0</v>
      </c>
      <c r="BC126" s="140">
        <f t="shared" si="42"/>
        <v>0</v>
      </c>
      <c r="BD126" s="132"/>
      <c r="BE126" s="140">
        <f t="shared" si="43"/>
        <v>0</v>
      </c>
      <c r="BF126" s="141"/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50"/>
      <c r="BQ126" s="141"/>
      <c r="BR126" s="141"/>
      <c r="BS126" s="141"/>
      <c r="BT126" s="130">
        <f t="shared" si="44"/>
        <v>0</v>
      </c>
      <c r="BU126" s="132"/>
    </row>
    <row r="127" ht="14.25" customHeight="1">
      <c r="A127" s="132"/>
      <c r="B127" s="215">
        <v>46133</v>
      </c>
      <c r="C127" s="134"/>
      <c r="D127" s="136"/>
      <c r="E127" s="135"/>
      <c r="F127" s="135"/>
      <c r="G127" s="147">
        <f t="shared" si="36"/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03">
        <f t="shared" si="37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38"/>
        <v>0</v>
      </c>
      <c r="AH127" s="134"/>
      <c r="AI127" s="136"/>
      <c r="AJ127" s="136"/>
      <c r="AK127" s="105">
        <f t="shared" si="39"/>
        <v>0</v>
      </c>
      <c r="AL127" s="99"/>
      <c r="AM127" s="99"/>
      <c r="AN127" s="99"/>
      <c r="AO127" s="124"/>
      <c r="AP127" s="224">
        <f t="shared" si="40"/>
        <v>0</v>
      </c>
      <c r="AQ127" s="1637"/>
      <c r="AR127" s="1709"/>
      <c r="AS127" s="1546"/>
      <c r="AT127" s="1546"/>
      <c r="AU127" s="1546"/>
      <c r="AV127" s="1546"/>
      <c r="AW127" s="126"/>
      <c r="AX127" s="394"/>
      <c r="AY127" s="394"/>
      <c r="AZ127" s="394"/>
      <c r="BA127" s="394"/>
      <c r="BB127" s="222">
        <f t="shared" si="41"/>
        <v>0</v>
      </c>
      <c r="BC127" s="140">
        <f t="shared" si="42"/>
        <v>0</v>
      </c>
      <c r="BD127" s="132"/>
      <c r="BE127" s="140">
        <f t="shared" si="43"/>
        <v>0</v>
      </c>
      <c r="BF127" s="141"/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30">
        <f t="shared" si="44"/>
        <v>0</v>
      </c>
      <c r="BU127" s="132"/>
    </row>
    <row r="128" ht="14.25" customHeight="1">
      <c r="A128" s="132"/>
      <c r="B128" s="215">
        <v>46134</v>
      </c>
      <c r="C128" s="134"/>
      <c r="D128" s="136"/>
      <c r="E128" s="135"/>
      <c r="F128" s="135"/>
      <c r="G128" s="147">
        <f t="shared" si="36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37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38"/>
        <v>0</v>
      </c>
      <c r="AH128" s="134"/>
      <c r="AI128" s="136"/>
      <c r="AJ128" s="136"/>
      <c r="AK128" s="105">
        <f t="shared" si="39"/>
        <v>0</v>
      </c>
      <c r="AL128" s="99"/>
      <c r="AM128" s="99"/>
      <c r="AN128" s="99"/>
      <c r="AO128" s="124"/>
      <c r="AP128" s="224">
        <f t="shared" si="40"/>
        <v>0</v>
      </c>
      <c r="AQ128" s="1637"/>
      <c r="AR128" s="1709"/>
      <c r="AS128" s="1546"/>
      <c r="AT128" s="1546"/>
      <c r="AU128" s="1546"/>
      <c r="AV128" s="1546"/>
      <c r="AW128" s="126"/>
      <c r="AX128" s="394"/>
      <c r="AY128" s="394"/>
      <c r="AZ128" s="394"/>
      <c r="BA128" s="394"/>
      <c r="BB128" s="222">
        <f t="shared" si="41"/>
        <v>0</v>
      </c>
      <c r="BC128" s="140">
        <f t="shared" si="42"/>
        <v>0</v>
      </c>
      <c r="BD128" s="132"/>
      <c r="BE128" s="140">
        <f t="shared" si="43"/>
        <v>0</v>
      </c>
      <c r="BF128" s="141"/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30">
        <f t="shared" si="44"/>
        <v>0</v>
      </c>
      <c r="BU128" s="132"/>
    </row>
    <row r="129" ht="14.25" customHeight="1">
      <c r="A129" s="132"/>
      <c r="B129" s="215">
        <v>46135</v>
      </c>
      <c r="C129" s="134"/>
      <c r="D129" s="136"/>
      <c r="E129" s="135"/>
      <c r="F129" s="135"/>
      <c r="G129" s="147">
        <f t="shared" si="36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37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38"/>
        <v>0</v>
      </c>
      <c r="AH129" s="134"/>
      <c r="AI129" s="136"/>
      <c r="AJ129" s="136"/>
      <c r="AK129" s="105">
        <f t="shared" si="39"/>
        <v>0</v>
      </c>
      <c r="AL129" s="99"/>
      <c r="AM129" s="99"/>
      <c r="AN129" s="99"/>
      <c r="AO129" s="124"/>
      <c r="AP129" s="224">
        <f t="shared" si="40"/>
        <v>0</v>
      </c>
      <c r="AQ129" s="1637"/>
      <c r="AR129" s="1709"/>
      <c r="AS129" s="1546"/>
      <c r="AT129" s="1546"/>
      <c r="AU129" s="1546"/>
      <c r="AV129" s="1546"/>
      <c r="AW129" s="126"/>
      <c r="AX129" s="394"/>
      <c r="AY129" s="394"/>
      <c r="AZ129" s="394"/>
      <c r="BA129" s="394"/>
      <c r="BB129" s="222">
        <f t="shared" si="41"/>
        <v>0</v>
      </c>
      <c r="BC129" s="140">
        <f t="shared" si="42"/>
        <v>0</v>
      </c>
      <c r="BD129" s="132"/>
      <c r="BE129" s="140">
        <f t="shared" si="43"/>
        <v>0</v>
      </c>
      <c r="BF129" s="141"/>
      <c r="BG129" s="141"/>
      <c r="BH129" s="141"/>
      <c r="BI129" s="141"/>
      <c r="BJ129" s="141"/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30">
        <f t="shared" si="44"/>
        <v>0</v>
      </c>
      <c r="BU129" s="132"/>
    </row>
    <row r="130" ht="14.25" customHeight="1">
      <c r="A130" s="132"/>
      <c r="B130" s="215">
        <v>46136</v>
      </c>
      <c r="C130" s="134"/>
      <c r="D130" s="136"/>
      <c r="E130" s="135"/>
      <c r="F130" s="135"/>
      <c r="G130" s="147">
        <f t="shared" si="36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37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38"/>
        <v>0</v>
      </c>
      <c r="AH130" s="134"/>
      <c r="AI130" s="136"/>
      <c r="AJ130" s="136"/>
      <c r="AK130" s="105">
        <f t="shared" si="39"/>
        <v>0</v>
      </c>
      <c r="AL130" s="99"/>
      <c r="AM130" s="99"/>
      <c r="AN130" s="99"/>
      <c r="AO130" s="124"/>
      <c r="AP130" s="224">
        <f t="shared" si="40"/>
        <v>0</v>
      </c>
      <c r="AQ130" s="1868"/>
      <c r="AR130" s="1869"/>
      <c r="AS130" s="1546"/>
      <c r="AT130" s="1546"/>
      <c r="AU130" s="1546"/>
      <c r="AV130" s="1546"/>
      <c r="AW130" s="126"/>
      <c r="AX130" s="394"/>
      <c r="AY130" s="394"/>
      <c r="AZ130" s="394"/>
      <c r="BA130" s="394"/>
      <c r="BB130" s="222">
        <f t="shared" si="41"/>
        <v>0</v>
      </c>
      <c r="BC130" s="140">
        <f t="shared" si="42"/>
        <v>0</v>
      </c>
      <c r="BD130" s="132"/>
      <c r="BE130" s="140">
        <f t="shared" si="43"/>
        <v>0</v>
      </c>
      <c r="BF130" s="141"/>
      <c r="BG130" s="141"/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30">
        <f t="shared" si="44"/>
        <v>0</v>
      </c>
      <c r="BU130" s="132"/>
    </row>
    <row r="131" ht="14.25" customHeight="1">
      <c r="A131" s="132"/>
      <c r="B131" s="215">
        <v>46137</v>
      </c>
      <c r="C131" s="134"/>
      <c r="D131" s="136"/>
      <c r="E131" s="135"/>
      <c r="F131" s="135"/>
      <c r="G131" s="147">
        <f t="shared" si="36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37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38"/>
        <v>0</v>
      </c>
      <c r="AH131" s="134"/>
      <c r="AI131" s="136"/>
      <c r="AJ131" s="136"/>
      <c r="AK131" s="105">
        <f t="shared" si="39"/>
        <v>0</v>
      </c>
      <c r="AL131" s="99"/>
      <c r="AM131" s="99"/>
      <c r="AN131" s="99"/>
      <c r="AO131" s="124"/>
      <c r="AP131" s="224">
        <f t="shared" si="40"/>
        <v>0</v>
      </c>
      <c r="AQ131" s="1637"/>
      <c r="AR131" s="1709"/>
      <c r="AS131" s="1546"/>
      <c r="AT131" s="1546"/>
      <c r="AU131" s="1546"/>
      <c r="AV131" s="1546"/>
      <c r="AW131" s="126"/>
      <c r="AX131" s="394"/>
      <c r="AY131" s="394"/>
      <c r="AZ131" s="394"/>
      <c r="BA131" s="394"/>
      <c r="BB131" s="222">
        <f t="shared" si="41"/>
        <v>0</v>
      </c>
      <c r="BC131" s="140">
        <f t="shared" si="42"/>
        <v>0</v>
      </c>
      <c r="BD131" s="132"/>
      <c r="BE131" s="140">
        <f t="shared" si="43"/>
        <v>0</v>
      </c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30">
        <f t="shared" si="44"/>
        <v>0</v>
      </c>
      <c r="BU131" s="132"/>
    </row>
    <row r="132" ht="14.25" customHeight="1">
      <c r="A132" s="132"/>
      <c r="B132" s="215">
        <v>46138</v>
      </c>
      <c r="C132" s="134"/>
      <c r="D132" s="136"/>
      <c r="E132" s="135"/>
      <c r="F132" s="135"/>
      <c r="G132" s="147">
        <f t="shared" si="36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37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38"/>
        <v>0</v>
      </c>
      <c r="AH132" s="134"/>
      <c r="AI132" s="136"/>
      <c r="AJ132" s="136"/>
      <c r="AK132" s="105">
        <f t="shared" si="39"/>
        <v>0</v>
      </c>
      <c r="AL132" s="99"/>
      <c r="AM132" s="99"/>
      <c r="AN132" s="99"/>
      <c r="AO132" s="124"/>
      <c r="AP132" s="224">
        <f t="shared" si="40"/>
        <v>0</v>
      </c>
      <c r="AQ132" s="1637"/>
      <c r="AR132" s="1709"/>
      <c r="AS132" s="1546"/>
      <c r="AT132" s="1546"/>
      <c r="AU132" s="1546"/>
      <c r="AV132" s="1546"/>
      <c r="AW132" s="126"/>
      <c r="AX132" s="394"/>
      <c r="AY132" s="394"/>
      <c r="AZ132" s="394"/>
      <c r="BA132" s="394"/>
      <c r="BB132" s="222">
        <f t="shared" si="41"/>
        <v>0</v>
      </c>
      <c r="BC132" s="140">
        <f t="shared" si="42"/>
        <v>0</v>
      </c>
      <c r="BD132" s="132"/>
      <c r="BE132" s="140">
        <f t="shared" si="43"/>
        <v>0</v>
      </c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30">
        <f t="shared" si="44"/>
        <v>0</v>
      </c>
      <c r="BU132" s="132"/>
    </row>
    <row r="133" ht="14.25" customHeight="1">
      <c r="A133" s="132"/>
      <c r="B133" s="215">
        <v>46139</v>
      </c>
      <c r="C133" s="134"/>
      <c r="D133" s="136"/>
      <c r="E133" s="135"/>
      <c r="F133" s="135"/>
      <c r="G133" s="147">
        <f t="shared" si="36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37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38"/>
        <v>0</v>
      </c>
      <c r="AH133" s="134"/>
      <c r="AI133" s="136"/>
      <c r="AJ133" s="136"/>
      <c r="AK133" s="105">
        <f t="shared" si="39"/>
        <v>0</v>
      </c>
      <c r="AL133" s="99"/>
      <c r="AM133" s="99"/>
      <c r="AN133" s="99"/>
      <c r="AO133" s="124"/>
      <c r="AP133" s="224">
        <f t="shared" si="40"/>
        <v>0</v>
      </c>
      <c r="AQ133" s="1637"/>
      <c r="AR133" s="1709"/>
      <c r="AS133" s="1546"/>
      <c r="AT133" s="1546"/>
      <c r="AU133" s="1546"/>
      <c r="AV133" s="1546"/>
      <c r="AW133" s="126"/>
      <c r="AX133" s="394"/>
      <c r="AY133" s="394"/>
      <c r="AZ133" s="394"/>
      <c r="BA133" s="394"/>
      <c r="BB133" s="222">
        <f t="shared" si="41"/>
        <v>0</v>
      </c>
      <c r="BC133" s="140">
        <f t="shared" si="42"/>
        <v>0</v>
      </c>
      <c r="BD133" s="132"/>
      <c r="BE133" s="140">
        <f t="shared" si="43"/>
        <v>0</v>
      </c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50"/>
      <c r="BQ133" s="141"/>
      <c r="BR133" s="141"/>
      <c r="BS133" s="141"/>
      <c r="BT133" s="130">
        <f t="shared" si="44"/>
        <v>0</v>
      </c>
      <c r="BU133" s="132"/>
    </row>
    <row r="134" ht="14.25" customHeight="1">
      <c r="A134" s="132"/>
      <c r="B134" s="215">
        <v>46140</v>
      </c>
      <c r="C134" s="134"/>
      <c r="D134" s="136"/>
      <c r="E134" s="135"/>
      <c r="F134" s="135"/>
      <c r="G134" s="147">
        <f t="shared" si="36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37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38"/>
        <v>0</v>
      </c>
      <c r="AH134" s="134"/>
      <c r="AI134" s="136"/>
      <c r="AJ134" s="136"/>
      <c r="AK134" s="105">
        <f t="shared" si="39"/>
        <v>0</v>
      </c>
      <c r="AL134" s="99"/>
      <c r="AM134" s="99"/>
      <c r="AN134" s="99"/>
      <c r="AO134" s="124"/>
      <c r="AP134" s="224">
        <f t="shared" si="40"/>
        <v>0</v>
      </c>
      <c r="AQ134" s="1637"/>
      <c r="AR134" s="1709"/>
      <c r="AS134" s="1546"/>
      <c r="AT134" s="1546"/>
      <c r="AU134" s="1546"/>
      <c r="AV134" s="1546"/>
      <c r="AW134" s="126"/>
      <c r="AX134" s="394"/>
      <c r="AY134" s="394"/>
      <c r="AZ134" s="394"/>
      <c r="BA134" s="394"/>
      <c r="BB134" s="222">
        <f t="shared" si="41"/>
        <v>0</v>
      </c>
      <c r="BC134" s="140">
        <f t="shared" si="42"/>
        <v>0</v>
      </c>
      <c r="BD134" s="132"/>
      <c r="BE134" s="140">
        <f t="shared" si="43"/>
        <v>0</v>
      </c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30">
        <f t="shared" si="44"/>
        <v>0</v>
      </c>
      <c r="BU134" s="132"/>
    </row>
    <row r="135" ht="14.25" customHeight="1">
      <c r="A135" s="132"/>
      <c r="B135" s="215">
        <v>46141</v>
      </c>
      <c r="C135" s="134"/>
      <c r="D135" s="136"/>
      <c r="E135" s="135"/>
      <c r="F135" s="135"/>
      <c r="G135" s="147">
        <f t="shared" si="36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03">
        <f t="shared" si="37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38"/>
        <v>0</v>
      </c>
      <c r="AH135" s="134"/>
      <c r="AI135" s="136"/>
      <c r="AJ135" s="136"/>
      <c r="AK135" s="105">
        <f t="shared" si="39"/>
        <v>0</v>
      </c>
      <c r="AL135" s="99"/>
      <c r="AM135" s="99"/>
      <c r="AN135" s="99"/>
      <c r="AO135" s="124"/>
      <c r="AP135" s="224">
        <f t="shared" si="40"/>
        <v>0</v>
      </c>
      <c r="AQ135" s="1637"/>
      <c r="AR135" s="1709"/>
      <c r="AS135" s="1546"/>
      <c r="AT135" s="1546"/>
      <c r="AU135" s="1546"/>
      <c r="AV135" s="1546"/>
      <c r="AW135" s="126"/>
      <c r="AX135" s="394"/>
      <c r="AY135" s="394"/>
      <c r="AZ135" s="394"/>
      <c r="BA135" s="394"/>
      <c r="BB135" s="222">
        <f t="shared" si="41"/>
        <v>0</v>
      </c>
      <c r="BC135" s="140">
        <f t="shared" si="42"/>
        <v>0</v>
      </c>
      <c r="BD135" s="132"/>
      <c r="BE135" s="140">
        <f t="shared" si="43"/>
        <v>0</v>
      </c>
      <c r="BF135" s="141"/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50"/>
      <c r="BQ135" s="495"/>
      <c r="BR135" s="141"/>
      <c r="BS135" s="141"/>
      <c r="BT135" s="130">
        <f t="shared" si="44"/>
        <v>0</v>
      </c>
      <c r="BU135" s="132"/>
    </row>
    <row r="136" ht="14.25" customHeight="1">
      <c r="A136" s="132"/>
      <c r="B136" s="215">
        <v>46142</v>
      </c>
      <c r="C136" s="134"/>
      <c r="D136" s="136"/>
      <c r="E136" s="135"/>
      <c r="F136" s="135"/>
      <c r="G136" s="147">
        <f t="shared" si="36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37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38"/>
        <v>0</v>
      </c>
      <c r="AH136" s="134"/>
      <c r="AI136" s="136"/>
      <c r="AJ136" s="136"/>
      <c r="AK136" s="105">
        <f t="shared" si="39"/>
        <v>0</v>
      </c>
      <c r="AL136" s="99"/>
      <c r="AM136" s="99"/>
      <c r="AN136" s="99"/>
      <c r="AO136" s="124"/>
      <c r="AP136" s="224">
        <f t="shared" si="40"/>
        <v>0</v>
      </c>
      <c r="AQ136" s="1660"/>
      <c r="AR136" s="1709"/>
      <c r="AS136" s="1546"/>
      <c r="AT136" s="1546"/>
      <c r="AU136" s="1546"/>
      <c r="AV136" s="1546"/>
      <c r="AW136" s="126"/>
      <c r="AX136" s="394"/>
      <c r="AY136" s="394"/>
      <c r="AZ136" s="394"/>
      <c r="BA136" s="394"/>
      <c r="BB136" s="222">
        <f t="shared" si="41"/>
        <v>0</v>
      </c>
      <c r="BC136" s="140">
        <f t="shared" si="42"/>
        <v>0</v>
      </c>
      <c r="BD136" s="132"/>
      <c r="BE136" s="140">
        <f t="shared" si="43"/>
        <v>0</v>
      </c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50"/>
      <c r="BQ136" s="1401"/>
      <c r="BR136" s="141"/>
      <c r="BS136" s="141"/>
      <c r="BT136" s="130">
        <f t="shared" si="44"/>
        <v>0</v>
      </c>
      <c r="BU136" s="132"/>
    </row>
    <row r="137" ht="14.25" customHeight="1">
      <c r="A137" s="3"/>
      <c r="B137" s="2" t="s">
        <v>273</v>
      </c>
      <c r="C137" s="166">
        <f ref="C137:BC137" t="shared" si="45">SUM(C107:C136)</f>
        <v>0</v>
      </c>
      <c r="D137" s="166">
        <f t="shared" si="45"/>
        <v>0</v>
      </c>
      <c r="E137" s="166">
        <f t="shared" si="45"/>
        <v>0</v>
      </c>
      <c r="F137" s="166">
        <f t="shared" si="45"/>
        <v>0</v>
      </c>
      <c r="G137" s="166">
        <f t="shared" si="45"/>
        <v>0</v>
      </c>
      <c r="H137" s="166">
        <f t="shared" si="45"/>
        <v>0</v>
      </c>
      <c r="I137" s="166">
        <f t="shared" si="45"/>
        <v>0</v>
      </c>
      <c r="J137" s="166">
        <f t="shared" si="45"/>
        <v>0</v>
      </c>
      <c r="K137" s="166">
        <f t="shared" si="45"/>
        <v>0</v>
      </c>
      <c r="L137" s="166">
        <f t="shared" si="45"/>
        <v>0</v>
      </c>
      <c r="M137" s="166">
        <f t="shared" si="45"/>
        <v>0</v>
      </c>
      <c r="N137" s="166">
        <f t="shared" si="45"/>
        <v>0</v>
      </c>
      <c r="O137" s="166">
        <f t="shared" si="45"/>
        <v>0</v>
      </c>
      <c r="P137" s="166">
        <f t="shared" si="45"/>
        <v>0</v>
      </c>
      <c r="Q137" s="166">
        <f t="shared" si="45"/>
        <v>0</v>
      </c>
      <c r="R137" s="166">
        <f t="shared" si="45"/>
        <v>0</v>
      </c>
      <c r="S137" s="166">
        <f t="shared" si="45"/>
        <v>0</v>
      </c>
      <c r="T137" s="166">
        <f t="shared" si="45"/>
        <v>0</v>
      </c>
      <c r="U137" s="166">
        <f t="shared" si="45"/>
        <v>0</v>
      </c>
      <c r="V137" s="166">
        <f t="shared" si="45"/>
        <v>0</v>
      </c>
      <c r="W137" s="166">
        <f t="shared" si="45"/>
        <v>0</v>
      </c>
      <c r="X137" s="166">
        <f t="shared" si="45"/>
        <v>0</v>
      </c>
      <c r="Y137" s="166">
        <f t="shared" si="45"/>
        <v>0</v>
      </c>
      <c r="Z137" s="166">
        <f t="shared" si="45"/>
        <v>0</v>
      </c>
      <c r="AA137" s="166">
        <f t="shared" si="45"/>
        <v>0</v>
      </c>
      <c r="AB137" s="166">
        <f t="shared" si="45"/>
        <v>0</v>
      </c>
      <c r="AC137" s="166">
        <f t="shared" si="45"/>
        <v>0</v>
      </c>
      <c r="AD137" s="166">
        <f t="shared" si="45"/>
        <v>0</v>
      </c>
      <c r="AE137" s="166">
        <f t="shared" si="45"/>
        <v>0</v>
      </c>
      <c r="AF137" s="166">
        <f t="shared" si="45"/>
        <v>0</v>
      </c>
      <c r="AG137" s="166">
        <f t="shared" si="45"/>
        <v>0</v>
      </c>
      <c r="AH137" s="166">
        <f t="shared" si="45"/>
        <v>0</v>
      </c>
      <c r="AI137" s="166">
        <f t="shared" si="45"/>
        <v>0</v>
      </c>
      <c r="AJ137" s="166">
        <f t="shared" si="45"/>
        <v>0</v>
      </c>
      <c r="AK137" s="166">
        <f t="shared" si="45"/>
        <v>0</v>
      </c>
      <c r="AL137" s="166">
        <f t="shared" si="45"/>
        <v>0</v>
      </c>
      <c r="AM137" s="166">
        <f t="shared" si="45"/>
        <v>0</v>
      </c>
      <c r="AN137" s="166">
        <f t="shared" si="45"/>
        <v>0</v>
      </c>
      <c r="AO137" s="166">
        <f t="shared" si="45"/>
        <v>0</v>
      </c>
      <c r="AP137" s="165">
        <f t="shared" si="45"/>
        <v>0</v>
      </c>
      <c r="AQ137" s="165">
        <f t="shared" si="45"/>
        <v>0</v>
      </c>
      <c r="AR137" s="166">
        <f t="shared" si="45"/>
        <v>0</v>
      </c>
      <c r="AS137" s="166">
        <f t="shared" si="45"/>
        <v>0</v>
      </c>
      <c r="AT137" s="166">
        <f t="shared" si="45"/>
        <v>0</v>
      </c>
      <c r="AU137" s="166">
        <f t="shared" si="45"/>
        <v>0</v>
      </c>
      <c r="AV137" s="166">
        <f t="shared" si="45"/>
        <v>0</v>
      </c>
      <c r="AW137" s="166">
        <f t="shared" si="45"/>
        <v>0</v>
      </c>
      <c r="AX137" s="166">
        <f t="shared" si="45"/>
        <v>0</v>
      </c>
      <c r="AY137" s="166">
        <f t="shared" si="45"/>
        <v>0</v>
      </c>
      <c r="AZ137" s="166">
        <f t="shared" si="45"/>
        <v>0</v>
      </c>
      <c r="BA137" s="166">
        <f t="shared" si="45"/>
        <v>0</v>
      </c>
      <c r="BB137" s="166">
        <f t="shared" si="45"/>
        <v>0</v>
      </c>
      <c r="BC137" s="166">
        <f t="shared" si="45"/>
        <v>0</v>
      </c>
      <c r="BD137" s="132"/>
      <c r="BE137" s="166">
        <f ref="BE137:BR137" t="shared" si="46">SUM(BE107:BE136)</f>
        <v>0</v>
      </c>
      <c r="BF137" s="166">
        <f t="shared" si="46"/>
        <v>0</v>
      </c>
      <c r="BG137" s="166">
        <f t="shared" si="46"/>
        <v>0</v>
      </c>
      <c r="BH137" s="166">
        <f t="shared" si="46"/>
        <v>0</v>
      </c>
      <c r="BI137" s="166">
        <f t="shared" si="46"/>
        <v>0</v>
      </c>
      <c r="BJ137" s="166">
        <f t="shared" si="46"/>
        <v>0</v>
      </c>
      <c r="BK137" s="166">
        <f t="shared" si="46"/>
        <v>0</v>
      </c>
      <c r="BL137" s="166">
        <f t="shared" si="46"/>
        <v>0</v>
      </c>
      <c r="BM137" s="166">
        <f t="shared" si="46"/>
        <v>0</v>
      </c>
      <c r="BN137" s="166">
        <f t="shared" si="46"/>
        <v>0</v>
      </c>
      <c r="BO137" s="166">
        <f t="shared" si="46"/>
        <v>0</v>
      </c>
      <c r="BP137" s="166">
        <f t="shared" si="46"/>
        <v>0</v>
      </c>
      <c r="BQ137" s="166">
        <f t="shared" si="46"/>
        <v>0</v>
      </c>
      <c r="BR137" s="166">
        <f t="shared" si="46"/>
        <v>0</v>
      </c>
      <c r="BS137" s="166"/>
      <c r="BT137" s="166">
        <f>SUM(BT107:BT136)</f>
        <v>0</v>
      </c>
      <c r="BU137" s="235"/>
    </row>
    <row r="138" ht="14.25" customHeight="1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1336"/>
      <c r="AL138" s="3"/>
      <c r="AM138" s="3"/>
      <c r="AN138" s="3"/>
      <c r="AO138" s="3"/>
      <c r="AP138" s="41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41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</row>
    <row r="139" ht="14.25" customHeight="1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176"/>
      <c r="AH139" s="3"/>
      <c r="AI139" s="3"/>
      <c r="AJ139" s="3"/>
      <c r="AK139" s="1336"/>
      <c r="AL139" s="3"/>
      <c r="AM139" s="3"/>
      <c r="AN139" s="3"/>
      <c r="AO139" s="3"/>
      <c r="AP139" s="41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41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</row>
    <row r="140" ht="14.25" customHeight="1">
      <c r="A140" s="3"/>
      <c r="B140" s="215">
        <v>46143</v>
      </c>
      <c r="C140" s="95"/>
      <c r="D140" s="104"/>
      <c r="E140" s="97"/>
      <c r="F140" s="97"/>
      <c r="G140" s="265">
        <f ref="G140:G158" t="shared" si="47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03">
        <f ref="T140:T170" t="shared" si="48">SUM(H140:S140)</f>
        <v>0</v>
      </c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03">
        <f ref="AG140:AG170" t="shared" si="49">SUM(U140:AF140)</f>
        <v>0</v>
      </c>
      <c r="AH140" s="95"/>
      <c r="AI140" s="104"/>
      <c r="AJ140" s="104"/>
      <c r="AK140" s="191">
        <f ref="AK140:AK170" t="shared" si="50">SUM(AH140:AJ140)</f>
        <v>0</v>
      </c>
      <c r="AL140" s="186"/>
      <c r="AM140" s="186"/>
      <c r="AN140" s="186"/>
      <c r="AO140" s="193"/>
      <c r="AP140" s="266">
        <f ref="AP140:AP170" t="shared" si="51">+G140-T140-AG140-AK140-AL140-AM140-AN140-AO140</f>
        <v>0</v>
      </c>
      <c r="AQ140" s="271"/>
      <c r="AR140" s="269"/>
      <c r="AS140" s="109"/>
      <c r="AT140" s="109"/>
      <c r="AU140" s="109"/>
      <c r="AV140" s="109"/>
      <c r="AW140" s="109"/>
      <c r="AX140" s="388"/>
      <c r="AY140" s="388"/>
      <c r="AZ140" s="388"/>
      <c r="BA140" s="388"/>
      <c r="BB140" s="292">
        <f ref="BB140:BB170" t="shared" si="52">SUM(AQ140:BA140)-AZ140</f>
        <v>0</v>
      </c>
      <c r="BC140" s="114">
        <f ref="BC140:BC170" t="shared" si="53">+AP140-BB140</f>
        <v>0</v>
      </c>
      <c r="BD140" s="3"/>
      <c r="BE140" s="114">
        <f ref="BE140:BE170" t="shared" si="54">SUM(BF140:BR140)</f>
        <v>0</v>
      </c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116">
        <f ref="BT140:BT170" t="shared" si="55">+BC140-BE140</f>
        <v>0</v>
      </c>
      <c r="BU140" s="3"/>
    </row>
    <row r="141" ht="14.25" customHeight="1">
      <c r="A141" s="3"/>
      <c r="B141" s="215">
        <v>46144</v>
      </c>
      <c r="C141" s="119"/>
      <c r="D141" s="123"/>
      <c r="E141" s="120"/>
      <c r="F141" s="120"/>
      <c r="G141" s="147">
        <f t="shared" si="47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48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49"/>
        <v>0</v>
      </c>
      <c r="AH141" s="119"/>
      <c r="AI141" s="123"/>
      <c r="AJ141" s="123"/>
      <c r="AK141" s="105">
        <f t="shared" si="50"/>
        <v>0</v>
      </c>
      <c r="AL141" s="143"/>
      <c r="AM141" s="143"/>
      <c r="AN141" s="143"/>
      <c r="AO141" s="146"/>
      <c r="AP141" s="224">
        <f t="shared" si="51"/>
        <v>0</v>
      </c>
      <c r="AQ141" s="229"/>
      <c r="AR141" s="274"/>
      <c r="AS141" s="126"/>
      <c r="AT141" s="126"/>
      <c r="AU141" s="126"/>
      <c r="AV141" s="126"/>
      <c r="AW141" s="126"/>
      <c r="AX141" s="394"/>
      <c r="AY141" s="394"/>
      <c r="AZ141" s="394"/>
      <c r="BA141" s="394"/>
      <c r="BB141" s="947">
        <f t="shared" si="52"/>
        <v>0</v>
      </c>
      <c r="BC141" s="113">
        <f t="shared" si="53"/>
        <v>0</v>
      </c>
      <c r="BD141" s="3"/>
      <c r="BE141" s="113">
        <f t="shared" si="54"/>
        <v>0</v>
      </c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30">
        <f t="shared" si="55"/>
        <v>0</v>
      </c>
      <c r="BU141" s="3"/>
    </row>
    <row r="142" ht="14.25" customHeight="1">
      <c r="A142" s="3"/>
      <c r="B142" s="215">
        <v>46145</v>
      </c>
      <c r="C142" s="119"/>
      <c r="D142" s="123"/>
      <c r="E142" s="120"/>
      <c r="F142" s="120"/>
      <c r="G142" s="147">
        <f t="shared" si="47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48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49"/>
        <v>0</v>
      </c>
      <c r="AH142" s="119"/>
      <c r="AI142" s="123"/>
      <c r="AJ142" s="123"/>
      <c r="AK142" s="105">
        <f t="shared" si="50"/>
        <v>0</v>
      </c>
      <c r="AL142" s="143"/>
      <c r="AM142" s="143"/>
      <c r="AN142" s="143"/>
      <c r="AO142" s="146"/>
      <c r="AP142" s="224">
        <f t="shared" si="51"/>
        <v>0</v>
      </c>
      <c r="AQ142" s="229"/>
      <c r="AR142" s="274"/>
      <c r="AS142" s="274"/>
      <c r="AT142" s="126"/>
      <c r="AU142" s="126"/>
      <c r="AV142" s="126"/>
      <c r="AW142" s="126"/>
      <c r="AX142" s="394"/>
      <c r="AY142" s="394"/>
      <c r="AZ142" s="394"/>
      <c r="BA142" s="394"/>
      <c r="BB142" s="222">
        <f t="shared" si="52"/>
        <v>0</v>
      </c>
      <c r="BC142" s="113">
        <f t="shared" si="53"/>
        <v>0</v>
      </c>
      <c r="BD142" s="3"/>
      <c r="BE142" s="113">
        <f t="shared" si="54"/>
        <v>0</v>
      </c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30">
        <f t="shared" si="55"/>
        <v>0</v>
      </c>
      <c r="BU142" s="3"/>
    </row>
    <row r="143" ht="14.25" customHeight="1">
      <c r="A143" s="132"/>
      <c r="B143" s="215">
        <v>46146</v>
      </c>
      <c r="C143" s="134"/>
      <c r="D143" s="136"/>
      <c r="E143" s="135"/>
      <c r="F143" s="135"/>
      <c r="G143" s="147">
        <f t="shared" si="47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48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49"/>
        <v>0</v>
      </c>
      <c r="AH143" s="134"/>
      <c r="AI143" s="136"/>
      <c r="AJ143" s="136"/>
      <c r="AK143" s="105">
        <f t="shared" si="50"/>
        <v>0</v>
      </c>
      <c r="AL143" s="143"/>
      <c r="AM143" s="143"/>
      <c r="AN143" s="143"/>
      <c r="AO143" s="146"/>
      <c r="AP143" s="224">
        <f t="shared" si="51"/>
        <v>0</v>
      </c>
      <c r="AQ143" s="229"/>
      <c r="AR143" s="274"/>
      <c r="AS143" s="274"/>
      <c r="AT143" s="126"/>
      <c r="AU143" s="126"/>
      <c r="AV143" s="126"/>
      <c r="AW143" s="126"/>
      <c r="AX143" s="394"/>
      <c r="AY143" s="394"/>
      <c r="AZ143" s="394"/>
      <c r="BA143" s="394"/>
      <c r="BB143" s="222">
        <f t="shared" si="52"/>
        <v>0</v>
      </c>
      <c r="BC143" s="140">
        <f t="shared" si="53"/>
        <v>0</v>
      </c>
      <c r="BD143" s="132"/>
      <c r="BE143" s="140">
        <f t="shared" si="54"/>
        <v>0</v>
      </c>
      <c r="BF143" s="141"/>
      <c r="BG143" s="141"/>
      <c r="BH143" s="141"/>
      <c r="BI143" s="141"/>
      <c r="BJ143" s="141"/>
      <c r="BK143" s="141"/>
      <c r="BL143" s="141"/>
      <c r="BM143" s="141"/>
      <c r="BN143" s="141"/>
      <c r="BO143" s="141"/>
      <c r="BP143" s="141"/>
      <c r="BQ143" s="141"/>
      <c r="BR143" s="141"/>
      <c r="BS143" s="141"/>
      <c r="BT143" s="130">
        <f t="shared" si="55"/>
        <v>0</v>
      </c>
      <c r="BU143" s="132"/>
    </row>
    <row r="144" ht="14.25" customHeight="1">
      <c r="A144" s="3"/>
      <c r="B144" s="215">
        <v>46147</v>
      </c>
      <c r="C144" s="119"/>
      <c r="D144" s="123"/>
      <c r="E144" s="120"/>
      <c r="F144" s="120"/>
      <c r="G144" s="147">
        <f t="shared" si="47"/>
        <v>0</v>
      </c>
      <c r="H144" s="144"/>
      <c r="I144" s="12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48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49"/>
        <v>0</v>
      </c>
      <c r="AH144" s="119"/>
      <c r="AI144" s="123"/>
      <c r="AJ144" s="123"/>
      <c r="AK144" s="105">
        <f t="shared" si="50"/>
        <v>0</v>
      </c>
      <c r="AL144" s="143"/>
      <c r="AM144" s="143"/>
      <c r="AN144" s="143"/>
      <c r="AO144" s="146"/>
      <c r="AP144" s="224">
        <f t="shared" si="51"/>
        <v>0</v>
      </c>
      <c r="AQ144" s="229"/>
      <c r="AR144" s="274"/>
      <c r="AS144" s="126"/>
      <c r="AT144" s="126"/>
      <c r="AU144" s="126"/>
      <c r="AV144" s="126"/>
      <c r="AW144" s="126"/>
      <c r="AX144" s="394"/>
      <c r="AY144" s="394"/>
      <c r="AZ144" s="394"/>
      <c r="BA144" s="394"/>
      <c r="BB144" s="222">
        <f t="shared" si="52"/>
        <v>0</v>
      </c>
      <c r="BC144" s="113">
        <f t="shared" si="53"/>
        <v>0</v>
      </c>
      <c r="BD144" s="3"/>
      <c r="BE144" s="113">
        <f t="shared" si="54"/>
        <v>0</v>
      </c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30">
        <f t="shared" si="55"/>
        <v>0</v>
      </c>
      <c r="BU144" s="3"/>
    </row>
    <row r="145" ht="14.25" customHeight="1">
      <c r="A145" s="3"/>
      <c r="B145" s="215">
        <v>46148</v>
      </c>
      <c r="C145" s="119"/>
      <c r="D145" s="123"/>
      <c r="E145" s="120"/>
      <c r="F145" s="120"/>
      <c r="G145" s="147">
        <f t="shared" si="47"/>
        <v>0</v>
      </c>
      <c r="H145" s="144"/>
      <c r="I145" s="12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48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49"/>
        <v>0</v>
      </c>
      <c r="AH145" s="119"/>
      <c r="AI145" s="123"/>
      <c r="AJ145" s="123"/>
      <c r="AK145" s="105">
        <f t="shared" si="50"/>
        <v>0</v>
      </c>
      <c r="AL145" s="143"/>
      <c r="AM145" s="143"/>
      <c r="AN145" s="143"/>
      <c r="AO145" s="146"/>
      <c r="AP145" s="224">
        <f t="shared" si="51"/>
        <v>0</v>
      </c>
      <c r="AQ145" s="229"/>
      <c r="AR145" s="274"/>
      <c r="AS145" s="126"/>
      <c r="AT145" s="126"/>
      <c r="AU145" s="126"/>
      <c r="AV145" s="126"/>
      <c r="AW145" s="126"/>
      <c r="AX145" s="394"/>
      <c r="AY145" s="394"/>
      <c r="AZ145" s="394"/>
      <c r="BA145" s="394"/>
      <c r="BB145" s="222">
        <f t="shared" si="52"/>
        <v>0</v>
      </c>
      <c r="BC145" s="113">
        <f t="shared" si="53"/>
        <v>0</v>
      </c>
      <c r="BD145" s="3"/>
      <c r="BE145" s="113">
        <f t="shared" si="54"/>
        <v>0</v>
      </c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30">
        <f t="shared" si="55"/>
        <v>0</v>
      </c>
      <c r="BU145" s="3"/>
    </row>
    <row r="146" ht="14.25" customHeight="1">
      <c r="A146" s="132"/>
      <c r="B146" s="215">
        <v>46149</v>
      </c>
      <c r="C146" s="136"/>
      <c r="D146" s="136"/>
      <c r="E146" s="135"/>
      <c r="F146" s="135"/>
      <c r="G146" s="147">
        <f t="shared" si="47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48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49"/>
        <v>0</v>
      </c>
      <c r="AH146" s="136"/>
      <c r="AI146" s="136"/>
      <c r="AJ146" s="136"/>
      <c r="AK146" s="105">
        <f t="shared" si="50"/>
        <v>0</v>
      </c>
      <c r="AL146" s="143"/>
      <c r="AM146" s="143"/>
      <c r="AN146" s="143"/>
      <c r="AO146" s="146"/>
      <c r="AP146" s="224">
        <f t="shared" si="51"/>
        <v>0</v>
      </c>
      <c r="AQ146" s="126"/>
      <c r="AR146" s="274"/>
      <c r="AS146" s="126"/>
      <c r="AT146" s="126"/>
      <c r="AU146" s="126"/>
      <c r="AV146" s="126"/>
      <c r="AW146" s="126"/>
      <c r="AX146" s="394"/>
      <c r="AY146" s="394"/>
      <c r="AZ146" s="394"/>
      <c r="BA146" s="394"/>
      <c r="BB146" s="222">
        <f t="shared" si="52"/>
        <v>0</v>
      </c>
      <c r="BC146" s="140">
        <f t="shared" si="53"/>
        <v>0</v>
      </c>
      <c r="BD146" s="132"/>
      <c r="BE146" s="140">
        <f t="shared" si="54"/>
        <v>0</v>
      </c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30">
        <f t="shared" si="55"/>
        <v>0</v>
      </c>
      <c r="BU146" s="132"/>
    </row>
    <row r="147" ht="14.25" customHeight="1">
      <c r="A147" s="132"/>
      <c r="B147" s="215">
        <v>46150</v>
      </c>
      <c r="C147" s="136"/>
      <c r="D147" s="136"/>
      <c r="E147" s="135"/>
      <c r="F147" s="135"/>
      <c r="G147" s="147">
        <f t="shared" si="47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48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49"/>
        <v>0</v>
      </c>
      <c r="AH147" s="136"/>
      <c r="AI147" s="136"/>
      <c r="AJ147" s="136"/>
      <c r="AK147" s="105">
        <f t="shared" si="50"/>
        <v>0</v>
      </c>
      <c r="AL147" s="143"/>
      <c r="AM147" s="143"/>
      <c r="AN147" s="143"/>
      <c r="AO147" s="146"/>
      <c r="AP147" s="224">
        <f t="shared" si="51"/>
        <v>0</v>
      </c>
      <c r="AQ147" s="126"/>
      <c r="AR147" s="274"/>
      <c r="AS147" s="126"/>
      <c r="AT147" s="126"/>
      <c r="AU147" s="126"/>
      <c r="AV147" s="126"/>
      <c r="AW147" s="126"/>
      <c r="AX147" s="394"/>
      <c r="AY147" s="394"/>
      <c r="AZ147" s="394"/>
      <c r="BA147" s="394"/>
      <c r="BB147" s="222">
        <f t="shared" si="52"/>
        <v>0</v>
      </c>
      <c r="BC147" s="140">
        <f t="shared" si="53"/>
        <v>0</v>
      </c>
      <c r="BD147" s="132"/>
      <c r="BE147" s="140">
        <f t="shared" si="54"/>
        <v>0</v>
      </c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30">
        <f t="shared" si="55"/>
        <v>0</v>
      </c>
      <c r="BU147" s="132"/>
    </row>
    <row r="148" ht="14.25" customHeight="1">
      <c r="A148" s="132"/>
      <c r="B148" s="215">
        <v>46151</v>
      </c>
      <c r="C148" s="136"/>
      <c r="D148" s="136"/>
      <c r="E148" s="135"/>
      <c r="F148" s="135"/>
      <c r="G148" s="147">
        <f t="shared" si="47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48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49"/>
        <v>0</v>
      </c>
      <c r="AH148" s="136"/>
      <c r="AI148" s="136"/>
      <c r="AJ148" s="136"/>
      <c r="AK148" s="105">
        <f t="shared" si="50"/>
        <v>0</v>
      </c>
      <c r="AL148" s="143"/>
      <c r="AM148" s="143"/>
      <c r="AN148" s="143"/>
      <c r="AO148" s="146"/>
      <c r="AP148" s="224">
        <f t="shared" si="51"/>
        <v>0</v>
      </c>
      <c r="AQ148" s="126"/>
      <c r="AR148" s="274"/>
      <c r="AS148" s="126"/>
      <c r="AT148" s="126"/>
      <c r="AU148" s="126"/>
      <c r="AV148" s="126"/>
      <c r="AW148" s="126"/>
      <c r="AX148" s="394"/>
      <c r="AY148" s="394"/>
      <c r="AZ148" s="394"/>
      <c r="BA148" s="394"/>
      <c r="BB148" s="222">
        <f t="shared" si="52"/>
        <v>0</v>
      </c>
      <c r="BC148" s="140">
        <f t="shared" si="53"/>
        <v>0</v>
      </c>
      <c r="BD148" s="132"/>
      <c r="BE148" s="140">
        <f t="shared" si="54"/>
        <v>0</v>
      </c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30">
        <f t="shared" si="55"/>
        <v>0</v>
      </c>
      <c r="BU148" s="132"/>
    </row>
    <row r="149" ht="14.25" customHeight="1">
      <c r="A149" s="132"/>
      <c r="B149" s="215">
        <v>46152</v>
      </c>
      <c r="C149" s="136"/>
      <c r="D149" s="136"/>
      <c r="E149" s="135"/>
      <c r="F149" s="135"/>
      <c r="G149" s="147">
        <f t="shared" si="47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48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49"/>
        <v>0</v>
      </c>
      <c r="AH149" s="136"/>
      <c r="AI149" s="136"/>
      <c r="AJ149" s="136"/>
      <c r="AK149" s="105">
        <f t="shared" si="50"/>
        <v>0</v>
      </c>
      <c r="AL149" s="143"/>
      <c r="AM149" s="143"/>
      <c r="AN149" s="143"/>
      <c r="AO149" s="146"/>
      <c r="AP149" s="224">
        <f t="shared" si="51"/>
        <v>0</v>
      </c>
      <c r="AQ149" s="126"/>
      <c r="AR149" s="274"/>
      <c r="AS149" s="126"/>
      <c r="AT149" s="126"/>
      <c r="AU149" s="126"/>
      <c r="AV149" s="126"/>
      <c r="AW149" s="126"/>
      <c r="AX149" s="394"/>
      <c r="AY149" s="394"/>
      <c r="AZ149" s="394"/>
      <c r="BA149" s="394"/>
      <c r="BB149" s="222">
        <f t="shared" si="52"/>
        <v>0</v>
      </c>
      <c r="BC149" s="140">
        <f t="shared" si="53"/>
        <v>0</v>
      </c>
      <c r="BD149" s="132"/>
      <c r="BE149" s="140">
        <f t="shared" si="54"/>
        <v>0</v>
      </c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30">
        <f t="shared" si="55"/>
        <v>0</v>
      </c>
      <c r="BU149" s="132"/>
    </row>
    <row r="150" ht="14.25" customHeight="1">
      <c r="A150" s="132"/>
      <c r="B150" s="215">
        <v>46153</v>
      </c>
      <c r="C150" s="136"/>
      <c r="D150" s="136"/>
      <c r="E150" s="135"/>
      <c r="F150" s="135"/>
      <c r="G150" s="147">
        <f t="shared" si="47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48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49"/>
        <v>0</v>
      </c>
      <c r="AH150" s="136"/>
      <c r="AI150" s="136"/>
      <c r="AJ150" s="136"/>
      <c r="AK150" s="105">
        <f t="shared" si="50"/>
        <v>0</v>
      </c>
      <c r="AL150" s="143"/>
      <c r="AM150" s="143"/>
      <c r="AN150" s="143"/>
      <c r="AO150" s="146"/>
      <c r="AP150" s="224">
        <f t="shared" si="51"/>
        <v>0</v>
      </c>
      <c r="AQ150" s="126"/>
      <c r="AR150" s="274"/>
      <c r="AS150" s="126"/>
      <c r="AT150" s="126"/>
      <c r="AU150" s="126"/>
      <c r="AV150" s="126"/>
      <c r="AW150" s="126"/>
      <c r="AX150" s="394"/>
      <c r="AY150" s="394"/>
      <c r="AZ150" s="394"/>
      <c r="BA150" s="394"/>
      <c r="BB150" s="222">
        <f t="shared" si="52"/>
        <v>0</v>
      </c>
      <c r="BC150" s="140">
        <f t="shared" si="53"/>
        <v>0</v>
      </c>
      <c r="BD150" s="132"/>
      <c r="BE150" s="140">
        <f t="shared" si="54"/>
        <v>0</v>
      </c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30">
        <f t="shared" si="55"/>
        <v>0</v>
      </c>
      <c r="BU150" s="132"/>
    </row>
    <row r="151" ht="14.25" customHeight="1">
      <c r="A151" s="132"/>
      <c r="B151" s="215">
        <v>46154</v>
      </c>
      <c r="C151" s="136"/>
      <c r="D151" s="136"/>
      <c r="E151" s="135"/>
      <c r="F151" s="135"/>
      <c r="G151" s="147">
        <f t="shared" si="47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48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49"/>
        <v>0</v>
      </c>
      <c r="AH151" s="136"/>
      <c r="AI151" s="136"/>
      <c r="AJ151" s="136"/>
      <c r="AK151" s="105">
        <f t="shared" si="50"/>
        <v>0</v>
      </c>
      <c r="AL151" s="143"/>
      <c r="AM151" s="143"/>
      <c r="AN151" s="143"/>
      <c r="AO151" s="146"/>
      <c r="AP151" s="224">
        <f t="shared" si="51"/>
        <v>0</v>
      </c>
      <c r="AQ151" s="126"/>
      <c r="AR151" s="274"/>
      <c r="AS151" s="126"/>
      <c r="AT151" s="126"/>
      <c r="AU151" s="126"/>
      <c r="AV151" s="126"/>
      <c r="AW151" s="126"/>
      <c r="AX151" s="394"/>
      <c r="AY151" s="394"/>
      <c r="AZ151" s="394"/>
      <c r="BA151" s="394"/>
      <c r="BB151" s="222">
        <f t="shared" si="52"/>
        <v>0</v>
      </c>
      <c r="BC151" s="140">
        <f t="shared" si="53"/>
        <v>0</v>
      </c>
      <c r="BD151" s="132"/>
      <c r="BE151" s="140">
        <f t="shared" si="54"/>
        <v>0</v>
      </c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30">
        <f t="shared" si="55"/>
        <v>0</v>
      </c>
      <c r="BU151" s="132"/>
    </row>
    <row r="152" ht="14.25" customHeight="1">
      <c r="A152" s="132"/>
      <c r="B152" s="215">
        <v>46155</v>
      </c>
      <c r="C152" s="136"/>
      <c r="D152" s="136"/>
      <c r="E152" s="135"/>
      <c r="F152" s="135"/>
      <c r="G152" s="147">
        <f t="shared" si="47"/>
        <v>0</v>
      </c>
      <c r="H152" s="144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48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49"/>
        <v>0</v>
      </c>
      <c r="AH152" s="136"/>
      <c r="AI152" s="136"/>
      <c r="AJ152" s="136"/>
      <c r="AK152" s="105">
        <f t="shared" si="50"/>
        <v>0</v>
      </c>
      <c r="AL152" s="143"/>
      <c r="AM152" s="143"/>
      <c r="AN152" s="143"/>
      <c r="AO152" s="146"/>
      <c r="AP152" s="224">
        <f t="shared" si="51"/>
        <v>0</v>
      </c>
      <c r="AQ152" s="126"/>
      <c r="AR152" s="274"/>
      <c r="AS152" s="126"/>
      <c r="AT152" s="126"/>
      <c r="AU152" s="126"/>
      <c r="AV152" s="126"/>
      <c r="AW152" s="126"/>
      <c r="AX152" s="394"/>
      <c r="AY152" s="394"/>
      <c r="AZ152" s="394"/>
      <c r="BA152" s="394"/>
      <c r="BB152" s="222">
        <f t="shared" si="52"/>
        <v>0</v>
      </c>
      <c r="BC152" s="140">
        <f t="shared" si="53"/>
        <v>0</v>
      </c>
      <c r="BD152" s="132"/>
      <c r="BE152" s="140">
        <f t="shared" si="54"/>
        <v>0</v>
      </c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30">
        <f t="shared" si="55"/>
        <v>0</v>
      </c>
      <c r="BU152" s="132"/>
    </row>
    <row r="153" ht="14.25" customHeight="1">
      <c r="A153" s="132"/>
      <c r="B153" s="215">
        <v>46156</v>
      </c>
      <c r="C153" s="136"/>
      <c r="D153" s="136"/>
      <c r="E153" s="135"/>
      <c r="F153" s="135"/>
      <c r="G153" s="147">
        <f t="shared" si="47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48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49"/>
        <v>0</v>
      </c>
      <c r="AH153" s="136"/>
      <c r="AI153" s="136"/>
      <c r="AJ153" s="136"/>
      <c r="AK153" s="105">
        <f t="shared" si="50"/>
        <v>0</v>
      </c>
      <c r="AL153" s="143"/>
      <c r="AM153" s="143"/>
      <c r="AN153" s="143"/>
      <c r="AO153" s="146"/>
      <c r="AP153" s="224">
        <f t="shared" si="51"/>
        <v>0</v>
      </c>
      <c r="AQ153" s="126"/>
      <c r="AR153" s="274"/>
      <c r="AS153" s="274"/>
      <c r="AT153" s="126"/>
      <c r="AU153" s="126"/>
      <c r="AV153" s="126"/>
      <c r="AW153" s="126"/>
      <c r="AX153" s="394"/>
      <c r="AY153" s="394"/>
      <c r="AZ153" s="394"/>
      <c r="BA153" s="394"/>
      <c r="BB153" s="222">
        <f t="shared" si="52"/>
        <v>0</v>
      </c>
      <c r="BC153" s="140">
        <f t="shared" si="53"/>
        <v>0</v>
      </c>
      <c r="BD153" s="132"/>
      <c r="BE153" s="140">
        <f t="shared" si="54"/>
        <v>0</v>
      </c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30">
        <f t="shared" si="55"/>
        <v>0</v>
      </c>
      <c r="BU153" s="132"/>
    </row>
    <row r="154" ht="14.25" customHeight="1">
      <c r="A154" s="132"/>
      <c r="B154" s="215">
        <v>46157</v>
      </c>
      <c r="C154" s="136"/>
      <c r="D154" s="136"/>
      <c r="E154" s="135"/>
      <c r="F154" s="135"/>
      <c r="G154" s="147">
        <f t="shared" si="47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48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49"/>
        <v>0</v>
      </c>
      <c r="AH154" s="136"/>
      <c r="AI154" s="136"/>
      <c r="AJ154" s="136"/>
      <c r="AK154" s="105">
        <f t="shared" si="50"/>
        <v>0</v>
      </c>
      <c r="AL154" s="143"/>
      <c r="AM154" s="143"/>
      <c r="AN154" s="143"/>
      <c r="AO154" s="146"/>
      <c r="AP154" s="224">
        <f t="shared" si="51"/>
        <v>0</v>
      </c>
      <c r="AQ154" s="126"/>
      <c r="AR154" s="274"/>
      <c r="AS154" s="126"/>
      <c r="AT154" s="126"/>
      <c r="AU154" s="126"/>
      <c r="AV154" s="126"/>
      <c r="AW154" s="126"/>
      <c r="AX154" s="394"/>
      <c r="AY154" s="394"/>
      <c r="AZ154" s="394"/>
      <c r="BA154" s="394"/>
      <c r="BB154" s="222">
        <f t="shared" si="52"/>
        <v>0</v>
      </c>
      <c r="BC154" s="140">
        <f t="shared" si="53"/>
        <v>0</v>
      </c>
      <c r="BD154" s="132"/>
      <c r="BE154" s="140">
        <f t="shared" si="54"/>
        <v>0</v>
      </c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30">
        <f t="shared" si="55"/>
        <v>0</v>
      </c>
      <c r="BU154" s="132"/>
    </row>
    <row r="155" ht="14.25" customHeight="1">
      <c r="A155" s="132"/>
      <c r="B155" s="215">
        <v>46158</v>
      </c>
      <c r="C155" s="136"/>
      <c r="D155" s="136"/>
      <c r="E155" s="135"/>
      <c r="F155" s="135"/>
      <c r="G155" s="147">
        <f t="shared" si="47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48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49"/>
        <v>0</v>
      </c>
      <c r="AH155" s="136"/>
      <c r="AI155" s="136"/>
      <c r="AJ155" s="136"/>
      <c r="AK155" s="105">
        <f t="shared" si="50"/>
        <v>0</v>
      </c>
      <c r="AL155" s="143"/>
      <c r="AM155" s="143"/>
      <c r="AN155" s="143"/>
      <c r="AO155" s="146"/>
      <c r="AP155" s="224">
        <f t="shared" si="51"/>
        <v>0</v>
      </c>
      <c r="AQ155" s="126"/>
      <c r="AR155" s="274"/>
      <c r="AS155" s="126"/>
      <c r="AT155" s="126"/>
      <c r="AU155" s="126"/>
      <c r="AV155" s="126"/>
      <c r="AW155" s="126"/>
      <c r="AX155" s="394"/>
      <c r="AY155" s="394"/>
      <c r="AZ155" s="394"/>
      <c r="BA155" s="394"/>
      <c r="BB155" s="222">
        <f t="shared" si="52"/>
        <v>0</v>
      </c>
      <c r="BC155" s="140">
        <f t="shared" si="53"/>
        <v>0</v>
      </c>
      <c r="BD155" s="132"/>
      <c r="BE155" s="140">
        <f t="shared" si="54"/>
        <v>0</v>
      </c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30">
        <f t="shared" si="55"/>
        <v>0</v>
      </c>
      <c r="BU155" s="132"/>
    </row>
    <row r="156" ht="14.25" customHeight="1">
      <c r="A156" s="132"/>
      <c r="B156" s="215">
        <v>46159</v>
      </c>
      <c r="C156" s="136"/>
      <c r="D156" s="136"/>
      <c r="E156" s="135"/>
      <c r="F156" s="135"/>
      <c r="G156" s="147">
        <f t="shared" si="47"/>
        <v>0</v>
      </c>
      <c r="H156" s="144"/>
      <c r="I156" s="136"/>
      <c r="J156" s="231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48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49"/>
        <v>0</v>
      </c>
      <c r="AH156" s="136"/>
      <c r="AI156" s="136"/>
      <c r="AJ156" s="136"/>
      <c r="AK156" s="105">
        <f t="shared" si="50"/>
        <v>0</v>
      </c>
      <c r="AL156" s="143"/>
      <c r="AM156" s="143"/>
      <c r="AN156" s="143"/>
      <c r="AO156" s="146"/>
      <c r="AP156" s="224">
        <f t="shared" si="51"/>
        <v>0</v>
      </c>
      <c r="AQ156" s="126"/>
      <c r="AR156" s="274"/>
      <c r="AS156" s="126"/>
      <c r="AT156" s="126"/>
      <c r="AU156" s="126"/>
      <c r="AV156" s="126"/>
      <c r="AW156" s="126"/>
      <c r="AX156" s="394"/>
      <c r="AY156" s="394"/>
      <c r="AZ156" s="394"/>
      <c r="BA156" s="394"/>
      <c r="BB156" s="222">
        <f t="shared" si="52"/>
        <v>0</v>
      </c>
      <c r="BC156" s="140">
        <f t="shared" si="53"/>
        <v>0</v>
      </c>
      <c r="BD156" s="132"/>
      <c r="BE156" s="140">
        <f t="shared" si="54"/>
        <v>0</v>
      </c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30">
        <f t="shared" si="55"/>
        <v>0</v>
      </c>
      <c r="BU156" s="132"/>
    </row>
    <row r="157" ht="14.25" customHeight="1">
      <c r="A157" s="132"/>
      <c r="B157" s="215">
        <v>46160</v>
      </c>
      <c r="C157" s="136"/>
      <c r="D157" s="136"/>
      <c r="E157" s="135"/>
      <c r="F157" s="135"/>
      <c r="G157" s="147">
        <f t="shared" si="47"/>
        <v>0</v>
      </c>
      <c r="H157" s="144"/>
      <c r="I157" s="136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48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49"/>
        <v>0</v>
      </c>
      <c r="AH157" s="136"/>
      <c r="AI157" s="136"/>
      <c r="AJ157" s="136"/>
      <c r="AK157" s="105">
        <f t="shared" si="50"/>
        <v>0</v>
      </c>
      <c r="AL157" s="143"/>
      <c r="AM157" s="143"/>
      <c r="AN157" s="143"/>
      <c r="AO157" s="146"/>
      <c r="AP157" s="224">
        <f t="shared" si="51"/>
        <v>0</v>
      </c>
      <c r="AQ157" s="126"/>
      <c r="AR157" s="274"/>
      <c r="AS157" s="126"/>
      <c r="AT157" s="126"/>
      <c r="AU157" s="126"/>
      <c r="AV157" s="126"/>
      <c r="AW157" s="126"/>
      <c r="AX157" s="394"/>
      <c r="AY157" s="394"/>
      <c r="AZ157" s="394"/>
      <c r="BA157" s="394"/>
      <c r="BB157" s="222">
        <f t="shared" si="52"/>
        <v>0</v>
      </c>
      <c r="BC157" s="140">
        <f t="shared" si="53"/>
        <v>0</v>
      </c>
      <c r="BD157" s="132"/>
      <c r="BE157" s="140">
        <f t="shared" si="54"/>
        <v>0</v>
      </c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30">
        <f t="shared" si="55"/>
        <v>0</v>
      </c>
      <c r="BU157" s="132"/>
    </row>
    <row r="158" ht="14.25" customHeight="1">
      <c r="A158" s="132"/>
      <c r="B158" s="215">
        <v>46161</v>
      </c>
      <c r="C158" s="136"/>
      <c r="D158" s="136"/>
      <c r="E158" s="135"/>
      <c r="F158" s="135"/>
      <c r="G158" s="147">
        <f t="shared" si="47"/>
        <v>0</v>
      </c>
      <c r="H158" s="144"/>
      <c r="I158" s="136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48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49"/>
        <v>0</v>
      </c>
      <c r="AH158" s="136"/>
      <c r="AI158" s="136"/>
      <c r="AJ158" s="136"/>
      <c r="AK158" s="105">
        <f t="shared" si="50"/>
        <v>0</v>
      </c>
      <c r="AL158" s="143"/>
      <c r="AM158" s="143"/>
      <c r="AN158" s="143"/>
      <c r="AO158" s="146"/>
      <c r="AP158" s="224">
        <f t="shared" si="51"/>
        <v>0</v>
      </c>
      <c r="AQ158" s="126"/>
      <c r="AR158" s="274"/>
      <c r="AS158" s="126"/>
      <c r="AT158" s="126"/>
      <c r="AU158" s="126"/>
      <c r="AV158" s="126"/>
      <c r="AW158" s="126"/>
      <c r="AX158" s="394"/>
      <c r="AY158" s="394"/>
      <c r="AZ158" s="394"/>
      <c r="BA158" s="394"/>
      <c r="BB158" s="222">
        <f t="shared" si="52"/>
        <v>0</v>
      </c>
      <c r="BC158" s="140">
        <f t="shared" si="53"/>
        <v>0</v>
      </c>
      <c r="BD158" s="132"/>
      <c r="BE158" s="140">
        <f t="shared" si="54"/>
        <v>0</v>
      </c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30">
        <f t="shared" si="55"/>
        <v>0</v>
      </c>
      <c r="BU158" s="132"/>
    </row>
    <row r="159" ht="14.25" customHeight="1">
      <c r="A159" s="132"/>
      <c r="B159" s="215">
        <v>46162</v>
      </c>
      <c r="C159" s="136"/>
      <c r="D159" s="136"/>
      <c r="E159" s="132"/>
      <c r="F159" s="135"/>
      <c r="G159" s="147">
        <f ref="G159:G161" t="shared" si="56">+C159+D159+D160+F159</f>
        <v>0</v>
      </c>
      <c r="H159" s="144"/>
      <c r="I159" s="136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48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49"/>
        <v>0</v>
      </c>
      <c r="AH159" s="136"/>
      <c r="AI159" s="136"/>
      <c r="AJ159" s="136"/>
      <c r="AK159" s="105">
        <f t="shared" si="50"/>
        <v>0</v>
      </c>
      <c r="AL159" s="143"/>
      <c r="AM159" s="143"/>
      <c r="AN159" s="143"/>
      <c r="AO159" s="146"/>
      <c r="AP159" s="224">
        <f t="shared" si="51"/>
        <v>0</v>
      </c>
      <c r="AQ159" s="126"/>
      <c r="AR159" s="274"/>
      <c r="AS159" s="126"/>
      <c r="AT159" s="126"/>
      <c r="AU159" s="126"/>
      <c r="AV159" s="126"/>
      <c r="AW159" s="126"/>
      <c r="AX159" s="394"/>
      <c r="AY159" s="394"/>
      <c r="AZ159" s="394"/>
      <c r="BA159" s="394"/>
      <c r="BB159" s="222">
        <f t="shared" si="52"/>
        <v>0</v>
      </c>
      <c r="BC159" s="140">
        <f t="shared" si="53"/>
        <v>0</v>
      </c>
      <c r="BD159" s="132"/>
      <c r="BE159" s="140">
        <f t="shared" si="54"/>
        <v>0</v>
      </c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30">
        <f t="shared" si="55"/>
        <v>0</v>
      </c>
      <c r="BU159" s="132"/>
    </row>
    <row r="160" ht="14.25" customHeight="1">
      <c r="A160" s="132"/>
      <c r="B160" s="215">
        <v>46163</v>
      </c>
      <c r="C160" s="136"/>
      <c r="D160" s="135"/>
      <c r="E160" s="135"/>
      <c r="F160" s="135"/>
      <c r="G160" s="147">
        <f t="shared" si="56"/>
        <v>0</v>
      </c>
      <c r="H160" s="144"/>
      <c r="I160" s="136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48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49"/>
        <v>0</v>
      </c>
      <c r="AH160" s="136"/>
      <c r="AI160" s="136"/>
      <c r="AJ160" s="136"/>
      <c r="AK160" s="105">
        <f t="shared" si="50"/>
        <v>0</v>
      </c>
      <c r="AL160" s="143"/>
      <c r="AM160" s="143"/>
      <c r="AN160" s="143"/>
      <c r="AO160" s="146"/>
      <c r="AP160" s="224">
        <f t="shared" si="51"/>
        <v>0</v>
      </c>
      <c r="AQ160" s="126"/>
      <c r="AR160" s="274"/>
      <c r="AS160" s="126"/>
      <c r="AT160" s="126"/>
      <c r="AU160" s="126"/>
      <c r="AV160" s="126"/>
      <c r="AW160" s="126"/>
      <c r="AX160" s="394"/>
      <c r="AY160" s="394"/>
      <c r="AZ160" s="394"/>
      <c r="BA160" s="394"/>
      <c r="BB160" s="222">
        <f t="shared" si="52"/>
        <v>0</v>
      </c>
      <c r="BC160" s="140">
        <f t="shared" si="53"/>
        <v>0</v>
      </c>
      <c r="BD160" s="132"/>
      <c r="BE160" s="140">
        <f t="shared" si="54"/>
        <v>0</v>
      </c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30">
        <f t="shared" si="55"/>
        <v>0</v>
      </c>
      <c r="BU160" s="132"/>
    </row>
    <row r="161" ht="14.25" customHeight="1">
      <c r="A161" s="132"/>
      <c r="B161" s="215">
        <v>46164</v>
      </c>
      <c r="C161" s="136"/>
      <c r="D161" s="136"/>
      <c r="E161" s="135"/>
      <c r="F161" s="135"/>
      <c r="G161" s="147">
        <f t="shared" si="56"/>
        <v>0</v>
      </c>
      <c r="H161" s="144"/>
      <c r="I161" s="136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48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49"/>
        <v>0</v>
      </c>
      <c r="AH161" s="136"/>
      <c r="AI161" s="136"/>
      <c r="AJ161" s="136"/>
      <c r="AK161" s="105">
        <f t="shared" si="50"/>
        <v>0</v>
      </c>
      <c r="AL161" s="143"/>
      <c r="AM161" s="143"/>
      <c r="AN161" s="143"/>
      <c r="AO161" s="146"/>
      <c r="AP161" s="224">
        <f t="shared" si="51"/>
        <v>0</v>
      </c>
      <c r="AQ161" s="126"/>
      <c r="AR161" s="274"/>
      <c r="AS161" s="126"/>
      <c r="AT161" s="126"/>
      <c r="AU161" s="126"/>
      <c r="AV161" s="126"/>
      <c r="AW161" s="126"/>
      <c r="AX161" s="394"/>
      <c r="AY161" s="394"/>
      <c r="AZ161" s="394"/>
      <c r="BA161" s="394"/>
      <c r="BB161" s="222">
        <f t="shared" si="52"/>
        <v>0</v>
      </c>
      <c r="BC161" s="140">
        <f t="shared" si="53"/>
        <v>0</v>
      </c>
      <c r="BD161" s="132"/>
      <c r="BE161" s="140">
        <f t="shared" si="54"/>
        <v>0</v>
      </c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30">
        <f t="shared" si="55"/>
        <v>0</v>
      </c>
      <c r="BU161" s="132"/>
    </row>
    <row r="162" ht="14.25" customHeight="1">
      <c r="A162" s="132"/>
      <c r="B162" s="215">
        <v>46165</v>
      </c>
      <c r="C162" s="136"/>
      <c r="D162" s="136"/>
      <c r="E162" s="135"/>
      <c r="F162" s="135"/>
      <c r="G162" s="147">
        <f ref="G162:G170" t="shared" si="57">+C162+D162+E162+F162</f>
        <v>0</v>
      </c>
      <c r="H162" s="144"/>
      <c r="I162" s="136"/>
      <c r="J162" s="143"/>
      <c r="K162" s="231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48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49"/>
        <v>0</v>
      </c>
      <c r="AH162" s="136"/>
      <c r="AI162" s="136"/>
      <c r="AJ162" s="136"/>
      <c r="AK162" s="105">
        <f t="shared" si="50"/>
        <v>0</v>
      </c>
      <c r="AL162" s="143"/>
      <c r="AM162" s="143"/>
      <c r="AN162" s="143"/>
      <c r="AO162" s="146"/>
      <c r="AP162" s="224">
        <f t="shared" si="51"/>
        <v>0</v>
      </c>
      <c r="AQ162" s="126"/>
      <c r="AR162" s="274"/>
      <c r="AS162" s="126"/>
      <c r="AT162" s="126"/>
      <c r="AU162" s="126"/>
      <c r="AV162" s="126"/>
      <c r="AW162" s="126"/>
      <c r="AX162" s="394"/>
      <c r="AY162" s="394"/>
      <c r="AZ162" s="394"/>
      <c r="BA162" s="394"/>
      <c r="BB162" s="222">
        <f t="shared" si="52"/>
        <v>0</v>
      </c>
      <c r="BC162" s="140">
        <f t="shared" si="53"/>
        <v>0</v>
      </c>
      <c r="BD162" s="132"/>
      <c r="BE162" s="140">
        <f t="shared" si="54"/>
        <v>0</v>
      </c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30">
        <f t="shared" si="55"/>
        <v>0</v>
      </c>
      <c r="BU162" s="132"/>
    </row>
    <row r="163" ht="14.25" customHeight="1">
      <c r="A163" s="132"/>
      <c r="B163" s="215">
        <v>46166</v>
      </c>
      <c r="C163" s="136"/>
      <c r="D163" s="136"/>
      <c r="E163" s="135"/>
      <c r="F163" s="135"/>
      <c r="G163" s="147">
        <f t="shared" si="57"/>
        <v>0</v>
      </c>
      <c r="H163" s="144"/>
      <c r="I163" s="136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48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49"/>
        <v>0</v>
      </c>
      <c r="AH163" s="136"/>
      <c r="AI163" s="136"/>
      <c r="AJ163" s="136"/>
      <c r="AK163" s="105">
        <f t="shared" si="50"/>
        <v>0</v>
      </c>
      <c r="AL163" s="143"/>
      <c r="AM163" s="143"/>
      <c r="AN163" s="143"/>
      <c r="AO163" s="146"/>
      <c r="AP163" s="224">
        <f t="shared" si="51"/>
        <v>0</v>
      </c>
      <c r="AQ163" s="126"/>
      <c r="AR163" s="274"/>
      <c r="AS163" s="126"/>
      <c r="AT163" s="126"/>
      <c r="AU163" s="126"/>
      <c r="AV163" s="126"/>
      <c r="AW163" s="126"/>
      <c r="AX163" s="394"/>
      <c r="AY163" s="394"/>
      <c r="AZ163" s="394"/>
      <c r="BA163" s="394"/>
      <c r="BB163" s="222">
        <f t="shared" si="52"/>
        <v>0</v>
      </c>
      <c r="BC163" s="140">
        <f t="shared" si="53"/>
        <v>0</v>
      </c>
      <c r="BD163" s="132"/>
      <c r="BE163" s="140">
        <f t="shared" si="54"/>
        <v>0</v>
      </c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30">
        <f t="shared" si="55"/>
        <v>0</v>
      </c>
      <c r="BU163" s="132"/>
    </row>
    <row r="164" ht="14.25" customHeight="1">
      <c r="A164" s="132"/>
      <c r="B164" s="215">
        <v>46167</v>
      </c>
      <c r="C164" s="136"/>
      <c r="D164" s="136"/>
      <c r="E164" s="135"/>
      <c r="F164" s="135"/>
      <c r="G164" s="147">
        <f t="shared" si="57"/>
        <v>0</v>
      </c>
      <c r="H164" s="144"/>
      <c r="I164" s="136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48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49"/>
        <v>0</v>
      </c>
      <c r="AH164" s="136"/>
      <c r="AI164" s="136"/>
      <c r="AJ164" s="136"/>
      <c r="AK164" s="105">
        <f t="shared" si="50"/>
        <v>0</v>
      </c>
      <c r="AL164" s="143"/>
      <c r="AM164" s="143"/>
      <c r="AN164" s="143"/>
      <c r="AO164" s="146"/>
      <c r="AP164" s="224">
        <f t="shared" si="51"/>
        <v>0</v>
      </c>
      <c r="AQ164" s="126"/>
      <c r="AR164" s="274"/>
      <c r="AS164" s="126"/>
      <c r="AT164" s="126"/>
      <c r="AU164" s="126"/>
      <c r="AV164" s="126"/>
      <c r="AW164" s="126"/>
      <c r="AX164" s="394"/>
      <c r="AY164" s="394"/>
      <c r="AZ164" s="394"/>
      <c r="BA164" s="394"/>
      <c r="BB164" s="222">
        <f t="shared" si="52"/>
        <v>0</v>
      </c>
      <c r="BC164" s="140">
        <f t="shared" si="53"/>
        <v>0</v>
      </c>
      <c r="BD164" s="132"/>
      <c r="BE164" s="140">
        <f t="shared" si="54"/>
        <v>0</v>
      </c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30">
        <f t="shared" si="55"/>
        <v>0</v>
      </c>
      <c r="BU164" s="132"/>
    </row>
    <row r="165" ht="14.25" customHeight="1">
      <c r="A165" s="132"/>
      <c r="B165" s="215">
        <v>46168</v>
      </c>
      <c r="C165" s="136"/>
      <c r="D165" s="136"/>
      <c r="E165" s="135"/>
      <c r="F165" s="135"/>
      <c r="G165" s="147">
        <f t="shared" si="57"/>
        <v>0</v>
      </c>
      <c r="H165" s="1402"/>
      <c r="I165" s="136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48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49"/>
        <v>0</v>
      </c>
      <c r="AH165" s="136"/>
      <c r="AI165" s="136"/>
      <c r="AJ165" s="136"/>
      <c r="AK165" s="105">
        <f t="shared" si="50"/>
        <v>0</v>
      </c>
      <c r="AL165" s="143"/>
      <c r="AM165" s="143"/>
      <c r="AN165" s="143"/>
      <c r="AO165" s="146"/>
      <c r="AP165" s="224">
        <f t="shared" si="51"/>
        <v>0</v>
      </c>
      <c r="AQ165" s="126"/>
      <c r="AR165" s="274"/>
      <c r="AS165" s="126"/>
      <c r="AT165" s="126"/>
      <c r="AU165" s="126"/>
      <c r="AV165" s="126"/>
      <c r="AW165" s="126"/>
      <c r="AX165" s="394"/>
      <c r="AY165" s="394"/>
      <c r="AZ165" s="394"/>
      <c r="BA165" s="394"/>
      <c r="BB165" s="222">
        <f t="shared" si="52"/>
        <v>0</v>
      </c>
      <c r="BC165" s="140">
        <f t="shared" si="53"/>
        <v>0</v>
      </c>
      <c r="BD165" s="132"/>
      <c r="BE165" s="140">
        <f t="shared" si="54"/>
        <v>0</v>
      </c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30">
        <f t="shared" si="55"/>
        <v>0</v>
      </c>
      <c r="BU165" s="132"/>
    </row>
    <row r="166" ht="14.25" customHeight="1">
      <c r="A166" s="132"/>
      <c r="B166" s="215">
        <v>46169</v>
      </c>
      <c r="C166" s="136"/>
      <c r="D166" s="136"/>
      <c r="E166" s="135"/>
      <c r="F166" s="135"/>
      <c r="G166" s="147">
        <f t="shared" si="57"/>
        <v>0</v>
      </c>
      <c r="H166" s="144"/>
      <c r="I166" s="136"/>
      <c r="J166" s="63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48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49"/>
        <v>0</v>
      </c>
      <c r="AH166" s="136"/>
      <c r="AI166" s="136"/>
      <c r="AJ166" s="136"/>
      <c r="AK166" s="105">
        <f t="shared" si="50"/>
        <v>0</v>
      </c>
      <c r="AL166" s="143"/>
      <c r="AM166" s="143"/>
      <c r="AN166" s="143"/>
      <c r="AO166" s="146"/>
      <c r="AP166" s="224">
        <f t="shared" si="51"/>
        <v>0</v>
      </c>
      <c r="AQ166" s="126"/>
      <c r="AR166" s="274"/>
      <c r="AS166" s="126"/>
      <c r="AT166" s="126"/>
      <c r="AU166" s="126"/>
      <c r="AV166" s="126"/>
      <c r="AW166" s="126"/>
      <c r="AX166" s="394"/>
      <c r="AY166" s="394"/>
      <c r="AZ166" s="394"/>
      <c r="BA166" s="394"/>
      <c r="BB166" s="222">
        <f t="shared" si="52"/>
        <v>0</v>
      </c>
      <c r="BC166" s="140">
        <f t="shared" si="53"/>
        <v>0</v>
      </c>
      <c r="BD166" s="132"/>
      <c r="BE166" s="140">
        <f t="shared" si="54"/>
        <v>0</v>
      </c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30">
        <f t="shared" si="55"/>
        <v>0</v>
      </c>
      <c r="BU166" s="132"/>
    </row>
    <row r="167" ht="14.25" customHeight="1">
      <c r="A167" s="132"/>
      <c r="B167" s="215">
        <v>46170</v>
      </c>
      <c r="C167" s="136"/>
      <c r="D167" s="136"/>
      <c r="E167" s="135"/>
      <c r="F167" s="135"/>
      <c r="G167" s="147">
        <f t="shared" si="57"/>
        <v>0</v>
      </c>
      <c r="H167" s="144"/>
      <c r="I167" s="136"/>
      <c r="J167" s="63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48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49"/>
        <v>0</v>
      </c>
      <c r="AH167" s="136"/>
      <c r="AI167" s="136"/>
      <c r="AJ167" s="136"/>
      <c r="AK167" s="105">
        <f t="shared" si="50"/>
        <v>0</v>
      </c>
      <c r="AL167" s="143"/>
      <c r="AM167" s="143"/>
      <c r="AN167" s="143"/>
      <c r="AO167" s="146"/>
      <c r="AP167" s="224">
        <f t="shared" si="51"/>
        <v>0</v>
      </c>
      <c r="AQ167" s="126"/>
      <c r="AR167" s="274"/>
      <c r="AS167" s="126"/>
      <c r="AT167" s="126"/>
      <c r="AU167" s="126"/>
      <c r="AV167" s="126"/>
      <c r="AW167" s="126"/>
      <c r="AX167" s="394"/>
      <c r="AY167" s="394"/>
      <c r="AZ167" s="394"/>
      <c r="BA167" s="394"/>
      <c r="BB167" s="222">
        <f t="shared" si="52"/>
        <v>0</v>
      </c>
      <c r="BC167" s="140">
        <f t="shared" si="53"/>
        <v>0</v>
      </c>
      <c r="BD167" s="132"/>
      <c r="BE167" s="140">
        <f t="shared" si="54"/>
        <v>0</v>
      </c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30">
        <f t="shared" si="55"/>
        <v>0</v>
      </c>
      <c r="BU167" s="132"/>
    </row>
    <row r="168" ht="14.25" customHeight="1">
      <c r="A168" s="132"/>
      <c r="B168" s="215">
        <v>46171</v>
      </c>
      <c r="C168" s="136"/>
      <c r="D168" s="136"/>
      <c r="E168" s="135"/>
      <c r="F168" s="135"/>
      <c r="G168" s="147">
        <f t="shared" si="57"/>
        <v>0</v>
      </c>
      <c r="H168" s="144"/>
      <c r="I168" s="136"/>
      <c r="J168" s="63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48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49"/>
        <v>0</v>
      </c>
      <c r="AH168" s="136"/>
      <c r="AI168" s="136"/>
      <c r="AJ168" s="136"/>
      <c r="AK168" s="105">
        <f t="shared" si="50"/>
        <v>0</v>
      </c>
      <c r="AL168" s="143"/>
      <c r="AM168" s="143"/>
      <c r="AN168" s="143"/>
      <c r="AO168" s="146"/>
      <c r="AP168" s="224">
        <f t="shared" si="51"/>
        <v>0</v>
      </c>
      <c r="AQ168" s="126"/>
      <c r="AR168" s="274"/>
      <c r="AS168" s="126"/>
      <c r="AT168" s="126"/>
      <c r="AU168" s="126"/>
      <c r="AV168" s="126"/>
      <c r="AW168" s="126"/>
      <c r="AX168" s="394"/>
      <c r="AY168" s="394"/>
      <c r="AZ168" s="394"/>
      <c r="BA168" s="394"/>
      <c r="BB168" s="222">
        <f t="shared" si="52"/>
        <v>0</v>
      </c>
      <c r="BC168" s="140">
        <f t="shared" si="53"/>
        <v>0</v>
      </c>
      <c r="BD168" s="132"/>
      <c r="BE168" s="140">
        <f t="shared" si="54"/>
        <v>0</v>
      </c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30">
        <f t="shared" si="55"/>
        <v>0</v>
      </c>
      <c r="BU168" s="132"/>
    </row>
    <row r="169" ht="14.25" customHeight="1">
      <c r="A169" s="132"/>
      <c r="B169" s="215">
        <v>46172</v>
      </c>
      <c r="C169" s="136"/>
      <c r="D169" s="136"/>
      <c r="E169" s="135"/>
      <c r="F169" s="135"/>
      <c r="G169" s="147">
        <f t="shared" si="57"/>
        <v>0</v>
      </c>
      <c r="H169" s="144"/>
      <c r="I169" s="136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48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49"/>
        <v>0</v>
      </c>
      <c r="AH169" s="136"/>
      <c r="AI169" s="136"/>
      <c r="AJ169" s="136"/>
      <c r="AK169" s="105">
        <f t="shared" si="50"/>
        <v>0</v>
      </c>
      <c r="AL169" s="143"/>
      <c r="AM169" s="143"/>
      <c r="AN169" s="143"/>
      <c r="AO169" s="146"/>
      <c r="AP169" s="224">
        <f t="shared" si="51"/>
        <v>0</v>
      </c>
      <c r="AQ169" s="126"/>
      <c r="AR169" s="274"/>
      <c r="AS169" s="126"/>
      <c r="AT169" s="126"/>
      <c r="AU169" s="126"/>
      <c r="AV169" s="126"/>
      <c r="AW169" s="126"/>
      <c r="AX169" s="394"/>
      <c r="AY169" s="394"/>
      <c r="AZ169" s="394"/>
      <c r="BA169" s="394"/>
      <c r="BB169" s="222">
        <f t="shared" si="52"/>
        <v>0</v>
      </c>
      <c r="BC169" s="140">
        <f t="shared" si="53"/>
        <v>0</v>
      </c>
      <c r="BD169" s="132"/>
      <c r="BE169" s="140">
        <f t="shared" si="54"/>
        <v>0</v>
      </c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30">
        <f t="shared" si="55"/>
        <v>0</v>
      </c>
      <c r="BU169" s="132"/>
    </row>
    <row r="170" ht="14.25" customHeight="1">
      <c r="A170" s="3"/>
      <c r="B170" s="215">
        <v>46173</v>
      </c>
      <c r="C170" s="278"/>
      <c r="D170" s="278"/>
      <c r="E170" s="279"/>
      <c r="F170" s="279"/>
      <c r="G170" s="147">
        <f t="shared" si="57"/>
        <v>0</v>
      </c>
      <c r="H170" s="612"/>
      <c r="I170" s="278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48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49"/>
        <v>0</v>
      </c>
      <c r="AH170" s="278"/>
      <c r="AI170" s="278"/>
      <c r="AJ170" s="278"/>
      <c r="AK170" s="105">
        <f t="shared" si="50"/>
        <v>0</v>
      </c>
      <c r="AL170" s="157"/>
      <c r="AM170" s="157"/>
      <c r="AN170" s="157"/>
      <c r="AO170" s="160"/>
      <c r="AP170" s="224">
        <f t="shared" si="51"/>
        <v>0</v>
      </c>
      <c r="AQ170" s="138"/>
      <c r="AR170" s="296"/>
      <c r="AS170" s="138"/>
      <c r="AT170" s="1301"/>
      <c r="AU170" s="221"/>
      <c r="AV170" s="126"/>
      <c r="AW170" s="138"/>
      <c r="AX170" s="404"/>
      <c r="AY170" s="404"/>
      <c r="AZ170" s="404"/>
      <c r="BA170" s="404"/>
      <c r="BB170" s="222">
        <f t="shared" si="52"/>
        <v>0</v>
      </c>
      <c r="BC170" s="281">
        <f t="shared" si="53"/>
        <v>0</v>
      </c>
      <c r="BD170" s="3"/>
      <c r="BE170" s="281">
        <f t="shared" si="54"/>
        <v>0</v>
      </c>
      <c r="BF170" s="282"/>
      <c r="BG170" s="282"/>
      <c r="BH170" s="282"/>
      <c r="BI170" s="282"/>
      <c r="BJ170" s="282"/>
      <c r="BK170" s="282"/>
      <c r="BL170" s="282"/>
      <c r="BM170" s="282"/>
      <c r="BN170" s="282"/>
      <c r="BO170" s="129"/>
      <c r="BP170" s="282"/>
      <c r="BQ170" s="282"/>
      <c r="BR170" s="282"/>
      <c r="BS170" s="282"/>
      <c r="BT170" s="164">
        <f t="shared" si="55"/>
        <v>0</v>
      </c>
      <c r="BU170" s="3"/>
    </row>
    <row r="171" ht="14.25" customHeight="1">
      <c r="A171" s="3"/>
      <c r="B171" s="2" t="s">
        <v>261</v>
      </c>
      <c r="C171" s="166">
        <f ref="C171:BC171" t="shared" si="58">SUM(C140:C170)</f>
        <v>0</v>
      </c>
      <c r="D171" s="166">
        <f t="shared" si="58"/>
        <v>0</v>
      </c>
      <c r="E171" s="166">
        <f t="shared" si="58"/>
        <v>0</v>
      </c>
      <c r="F171" s="166">
        <f t="shared" si="58"/>
        <v>0</v>
      </c>
      <c r="G171" s="166">
        <f t="shared" si="58"/>
        <v>0</v>
      </c>
      <c r="H171" s="166">
        <f t="shared" si="58"/>
        <v>0</v>
      </c>
      <c r="I171" s="166">
        <f t="shared" si="58"/>
        <v>0</v>
      </c>
      <c r="J171" s="166">
        <f t="shared" si="58"/>
        <v>0</v>
      </c>
      <c r="K171" s="166">
        <f t="shared" si="58"/>
        <v>0</v>
      </c>
      <c r="L171" s="166">
        <f t="shared" si="58"/>
        <v>0</v>
      </c>
      <c r="M171" s="166">
        <f t="shared" si="58"/>
        <v>0</v>
      </c>
      <c r="N171" s="166">
        <f t="shared" si="58"/>
        <v>0</v>
      </c>
      <c r="O171" s="166">
        <f t="shared" si="58"/>
        <v>0</v>
      </c>
      <c r="P171" s="166">
        <f t="shared" si="58"/>
        <v>0</v>
      </c>
      <c r="Q171" s="166">
        <f t="shared" si="58"/>
        <v>0</v>
      </c>
      <c r="R171" s="166">
        <f t="shared" si="58"/>
        <v>0</v>
      </c>
      <c r="S171" s="166">
        <f t="shared" si="58"/>
        <v>0</v>
      </c>
      <c r="T171" s="166">
        <f t="shared" si="58"/>
        <v>0</v>
      </c>
      <c r="U171" s="166">
        <f t="shared" si="58"/>
        <v>0</v>
      </c>
      <c r="V171" s="166">
        <f t="shared" si="58"/>
        <v>0</v>
      </c>
      <c r="W171" s="166">
        <f t="shared" si="58"/>
        <v>0</v>
      </c>
      <c r="X171" s="166">
        <f t="shared" si="58"/>
        <v>0</v>
      </c>
      <c r="Y171" s="166">
        <f t="shared" si="58"/>
        <v>0</v>
      </c>
      <c r="Z171" s="166">
        <f t="shared" si="58"/>
        <v>0</v>
      </c>
      <c r="AA171" s="166">
        <f t="shared" si="58"/>
        <v>0</v>
      </c>
      <c r="AB171" s="166">
        <f t="shared" si="58"/>
        <v>0</v>
      </c>
      <c r="AC171" s="166">
        <f t="shared" si="58"/>
        <v>0</v>
      </c>
      <c r="AD171" s="166">
        <f t="shared" si="58"/>
        <v>0</v>
      </c>
      <c r="AE171" s="166">
        <f t="shared" si="58"/>
        <v>0</v>
      </c>
      <c r="AF171" s="166">
        <f t="shared" si="58"/>
        <v>0</v>
      </c>
      <c r="AG171" s="166">
        <f t="shared" si="58"/>
        <v>0</v>
      </c>
      <c r="AH171" s="166">
        <f t="shared" si="58"/>
        <v>0</v>
      </c>
      <c r="AI171" s="166">
        <f t="shared" si="58"/>
        <v>0</v>
      </c>
      <c r="AJ171" s="166">
        <f t="shared" si="58"/>
        <v>0</v>
      </c>
      <c r="AK171" s="166">
        <f t="shared" si="58"/>
        <v>0</v>
      </c>
      <c r="AL171" s="166">
        <f t="shared" si="58"/>
        <v>0</v>
      </c>
      <c r="AM171" s="166">
        <f t="shared" si="58"/>
        <v>0</v>
      </c>
      <c r="AN171" s="166">
        <f t="shared" si="58"/>
        <v>0</v>
      </c>
      <c r="AO171" s="166">
        <f t="shared" si="58"/>
        <v>0</v>
      </c>
      <c r="AP171" s="166">
        <f t="shared" si="58"/>
        <v>0</v>
      </c>
      <c r="AQ171" s="165">
        <f t="shared" si="58"/>
        <v>0</v>
      </c>
      <c r="AR171" s="166">
        <f t="shared" si="58"/>
        <v>0</v>
      </c>
      <c r="AS171" s="166">
        <f t="shared" si="58"/>
        <v>0</v>
      </c>
      <c r="AT171" s="166">
        <f t="shared" si="58"/>
        <v>0</v>
      </c>
      <c r="AU171" s="166">
        <f t="shared" si="58"/>
        <v>0</v>
      </c>
      <c r="AV171" s="166">
        <f t="shared" si="58"/>
        <v>0</v>
      </c>
      <c r="AW171" s="166">
        <f t="shared" si="58"/>
        <v>0</v>
      </c>
      <c r="AX171" s="166">
        <f t="shared" si="58"/>
        <v>0</v>
      </c>
      <c r="AY171" s="166">
        <f t="shared" si="58"/>
        <v>0</v>
      </c>
      <c r="AZ171" s="166">
        <f t="shared" si="58"/>
        <v>0</v>
      </c>
      <c r="BA171" s="166">
        <f t="shared" si="58"/>
        <v>0</v>
      </c>
      <c r="BB171" s="166">
        <f t="shared" si="58"/>
        <v>0</v>
      </c>
      <c r="BC171" s="166">
        <f t="shared" si="58"/>
        <v>0</v>
      </c>
      <c r="BD171" s="3"/>
      <c r="BE171" s="166">
        <f ref="BE171:BR171" t="shared" si="59">SUM(BE140:BE170)</f>
        <v>0</v>
      </c>
      <c r="BF171" s="166">
        <f t="shared" si="59"/>
        <v>0</v>
      </c>
      <c r="BG171" s="166">
        <f t="shared" si="59"/>
        <v>0</v>
      </c>
      <c r="BH171" s="166">
        <f t="shared" si="59"/>
        <v>0</v>
      </c>
      <c r="BI171" s="166">
        <f t="shared" si="59"/>
        <v>0</v>
      </c>
      <c r="BJ171" s="166">
        <f t="shared" si="59"/>
        <v>0</v>
      </c>
      <c r="BK171" s="166">
        <f t="shared" si="59"/>
        <v>0</v>
      </c>
      <c r="BL171" s="166">
        <f t="shared" si="59"/>
        <v>0</v>
      </c>
      <c r="BM171" s="166">
        <f t="shared" si="59"/>
        <v>0</v>
      </c>
      <c r="BN171" s="166">
        <f t="shared" si="59"/>
        <v>0</v>
      </c>
      <c r="BO171" s="166">
        <f t="shared" si="59"/>
        <v>0</v>
      </c>
      <c r="BP171" s="166">
        <f t="shared" si="59"/>
        <v>0</v>
      </c>
      <c r="BQ171" s="166">
        <f t="shared" si="59"/>
        <v>0</v>
      </c>
      <c r="BR171" s="166">
        <f t="shared" si="59"/>
        <v>0</v>
      </c>
      <c r="BS171" s="166"/>
      <c r="BT171" s="166">
        <f>SUM(BT140:BT170)</f>
        <v>0</v>
      </c>
      <c r="BU171" s="132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1336"/>
      <c r="AL172" s="3"/>
      <c r="AM172" s="3"/>
      <c r="AN172" s="3"/>
      <c r="AO172" s="3"/>
      <c r="AP172" s="1336"/>
      <c r="AQ172" s="132"/>
      <c r="AR172" s="132"/>
      <c r="AS172" s="132"/>
      <c r="AT172" s="3"/>
      <c r="AU172" s="3"/>
      <c r="AV172" s="3"/>
      <c r="AW172" s="132"/>
      <c r="AX172" s="132"/>
      <c r="AY172" s="132"/>
      <c r="AZ172" s="132"/>
      <c r="BA172" s="132"/>
      <c r="BB172" s="1336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</row>
    <row r="173" ht="14.25" customHeight="1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1336"/>
      <c r="AL173" s="3"/>
      <c r="AM173" s="3"/>
      <c r="AN173" s="3"/>
      <c r="AO173" s="3"/>
      <c r="AP173" s="1398"/>
      <c r="AQ173" s="4"/>
      <c r="AR173" s="177"/>
      <c r="AS173" s="177"/>
      <c r="AT173" s="177"/>
      <c r="AU173" s="177"/>
      <c r="AV173" s="177"/>
      <c r="AW173" s="177"/>
      <c r="AX173" s="177"/>
      <c r="AY173" s="177"/>
      <c r="AZ173" s="177"/>
      <c r="BA173" s="132"/>
      <c r="BB173" s="1398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</row>
    <row r="174" ht="14.25" customHeight="1">
      <c r="A174" s="3"/>
      <c r="B174" s="215">
        <v>46174</v>
      </c>
      <c r="C174" s="104"/>
      <c r="D174" s="104"/>
      <c r="E174" s="97"/>
      <c r="F174" s="97"/>
      <c r="G174" s="265">
        <f ref="G174:G203" t="shared" si="60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ref="T174:T203" t="shared" si="61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ref="AG174:AG203" t="shared" si="62">SUM(U174:AF174)</f>
        <v>0</v>
      </c>
      <c r="AH174" s="104"/>
      <c r="AI174" s="104"/>
      <c r="AJ174" s="104"/>
      <c r="AK174" s="191">
        <f ref="AK174:AK203" t="shared" si="63">SUM(AH174:AJ174)</f>
        <v>0</v>
      </c>
      <c r="AL174" s="186"/>
      <c r="AM174" s="186"/>
      <c r="AN174" s="186"/>
      <c r="AO174" s="193"/>
      <c r="AP174" s="224">
        <f ref="AP174:AP203" t="shared" si="64">+G174-T174-AG174-AK174-AL174-AM174-AN174-AO174</f>
        <v>0</v>
      </c>
      <c r="AQ174" s="109"/>
      <c r="AR174" s="269"/>
      <c r="AS174" s="109"/>
      <c r="AT174" s="109"/>
      <c r="AU174" s="126"/>
      <c r="AV174" s="126"/>
      <c r="AW174" s="109"/>
      <c r="AX174" s="388"/>
      <c r="AY174" s="388"/>
      <c r="AZ174" s="388"/>
      <c r="BA174" s="388"/>
      <c r="BB174" s="222">
        <f ref="BB174:BB203" t="shared" si="65">SUM(AQ174:BA174)-AZ174</f>
        <v>0</v>
      </c>
      <c r="BC174" s="114">
        <f ref="BC174:BC203" t="shared" si="66">+AP174-BB174</f>
        <v>0</v>
      </c>
      <c r="BD174" s="3"/>
      <c r="BE174" s="114">
        <f ref="BE174:BE203" t="shared" si="67">SUM(BF174:BR174)</f>
        <v>0</v>
      </c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403"/>
      <c r="BQ174" s="1404"/>
      <c r="BR174" s="115"/>
      <c r="BS174" s="115"/>
      <c r="BT174" s="116">
        <f ref="BT174:BT203" t="shared" si="68">+BC174-BE174</f>
        <v>0</v>
      </c>
      <c r="BU174" s="3"/>
    </row>
    <row r="175" ht="14.25" customHeight="1">
      <c r="A175" s="3"/>
      <c r="B175" s="215">
        <v>46175</v>
      </c>
      <c r="C175" s="123"/>
      <c r="D175" s="123"/>
      <c r="E175" s="120"/>
      <c r="F175" s="120"/>
      <c r="G175" s="147">
        <f t="shared" si="60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1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2"/>
        <v>0</v>
      </c>
      <c r="AH175" s="123"/>
      <c r="AI175" s="123"/>
      <c r="AJ175" s="123"/>
      <c r="AK175" s="105">
        <f t="shared" si="63"/>
        <v>0</v>
      </c>
      <c r="AL175" s="143"/>
      <c r="AM175" s="143"/>
      <c r="AN175" s="143"/>
      <c r="AO175" s="146"/>
      <c r="AP175" s="224">
        <f t="shared" si="64"/>
        <v>0</v>
      </c>
      <c r="AQ175" s="126"/>
      <c r="AR175" s="274"/>
      <c r="AS175" s="126"/>
      <c r="AT175" s="126"/>
      <c r="AU175" s="126"/>
      <c r="AV175" s="126"/>
      <c r="AW175" s="126"/>
      <c r="AX175" s="394"/>
      <c r="AY175" s="394"/>
      <c r="AZ175" s="394"/>
      <c r="BA175" s="394"/>
      <c r="BB175" s="222">
        <f t="shared" si="65"/>
        <v>0</v>
      </c>
      <c r="BC175" s="113">
        <f t="shared" si="66"/>
        <v>0</v>
      </c>
      <c r="BD175" s="3"/>
      <c r="BE175" s="113">
        <f t="shared" si="67"/>
        <v>0</v>
      </c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30">
        <f t="shared" si="68"/>
        <v>0</v>
      </c>
      <c r="BU175" s="3"/>
    </row>
    <row r="176" ht="14.25" customHeight="1">
      <c r="A176" s="3"/>
      <c r="B176" s="215">
        <v>46176</v>
      </c>
      <c r="C176" s="123"/>
      <c r="D176" s="123"/>
      <c r="E176" s="120"/>
      <c r="F176" s="120"/>
      <c r="G176" s="147">
        <f t="shared" si="60"/>
        <v>0</v>
      </c>
      <c r="H176" s="1402"/>
      <c r="I176" s="143"/>
      <c r="J176" s="99"/>
      <c r="K176" s="143"/>
      <c r="L176" s="143"/>
      <c r="M176" s="143"/>
      <c r="N176" s="143"/>
      <c r="O176" s="143"/>
      <c r="P176" s="143"/>
      <c r="Q176" s="143"/>
      <c r="R176" s="143"/>
      <c r="S176" s="143"/>
      <c r="T176" s="103">
        <f t="shared" si="61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2"/>
        <v>0</v>
      </c>
      <c r="AH176" s="123"/>
      <c r="AI176" s="123"/>
      <c r="AJ176" s="123"/>
      <c r="AK176" s="105">
        <f t="shared" si="63"/>
        <v>0</v>
      </c>
      <c r="AL176" s="143"/>
      <c r="AM176" s="143"/>
      <c r="AN176" s="143"/>
      <c r="AO176" s="146"/>
      <c r="AP176" s="224">
        <f t="shared" si="64"/>
        <v>0</v>
      </c>
      <c r="AQ176" s="126"/>
      <c r="AR176" s="274"/>
      <c r="AS176" s="1405"/>
      <c r="AT176" s="1405"/>
      <c r="AU176" s="126"/>
      <c r="AV176" s="126"/>
      <c r="AW176" s="126"/>
      <c r="AX176" s="394"/>
      <c r="AY176" s="394"/>
      <c r="AZ176" s="394"/>
      <c r="BA176" s="394"/>
      <c r="BB176" s="222">
        <f t="shared" si="65"/>
        <v>0</v>
      </c>
      <c r="BC176" s="113">
        <f t="shared" si="66"/>
        <v>0</v>
      </c>
      <c r="BD176" s="3"/>
      <c r="BE176" s="113">
        <f t="shared" si="67"/>
        <v>0</v>
      </c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403"/>
      <c r="BQ176" s="1404"/>
      <c r="BR176" s="129"/>
      <c r="BS176" s="129"/>
      <c r="BT176" s="130">
        <f t="shared" si="68"/>
        <v>0</v>
      </c>
      <c r="BU176" s="3"/>
    </row>
    <row r="177" ht="14.25" customHeight="1">
      <c r="A177" s="3"/>
      <c r="B177" s="215">
        <v>46177</v>
      </c>
      <c r="C177" s="123"/>
      <c r="D177" s="123"/>
      <c r="E177" s="120"/>
      <c r="F177" s="120"/>
      <c r="G177" s="147">
        <f t="shared" si="60"/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1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2"/>
        <v>0</v>
      </c>
      <c r="AH177" s="123"/>
      <c r="AI177" s="123"/>
      <c r="AJ177" s="123"/>
      <c r="AK177" s="105">
        <f t="shared" si="63"/>
        <v>0</v>
      </c>
      <c r="AL177" s="143"/>
      <c r="AM177" s="143"/>
      <c r="AN177" s="143"/>
      <c r="AO177" s="146"/>
      <c r="AP177" s="224">
        <f t="shared" si="64"/>
        <v>0</v>
      </c>
      <c r="AQ177" s="126"/>
      <c r="AR177" s="274"/>
      <c r="AS177" s="274"/>
      <c r="AT177" s="126"/>
      <c r="AU177" s="126"/>
      <c r="AV177" s="126"/>
      <c r="AW177" s="126"/>
      <c r="AX177" s="394"/>
      <c r="AY177" s="394"/>
      <c r="AZ177" s="394"/>
      <c r="BA177" s="394"/>
      <c r="BB177" s="222">
        <f t="shared" si="65"/>
        <v>0</v>
      </c>
      <c r="BC177" s="113">
        <f t="shared" si="66"/>
        <v>0</v>
      </c>
      <c r="BD177" s="3"/>
      <c r="BE177" s="113">
        <f t="shared" si="67"/>
        <v>0</v>
      </c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30">
        <f t="shared" si="68"/>
        <v>0</v>
      </c>
      <c r="BU177" s="3"/>
    </row>
    <row r="178" ht="14.25" customHeight="1">
      <c r="A178" s="3"/>
      <c r="B178" s="215">
        <v>46178</v>
      </c>
      <c r="C178" s="123"/>
      <c r="D178" s="123"/>
      <c r="E178" s="120"/>
      <c r="F178" s="120"/>
      <c r="G178" s="147">
        <f t="shared" si="60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1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2"/>
        <v>0</v>
      </c>
      <c r="AH178" s="123"/>
      <c r="AI178" s="123"/>
      <c r="AJ178" s="123"/>
      <c r="AK178" s="105">
        <f t="shared" si="63"/>
        <v>0</v>
      </c>
      <c r="AL178" s="143"/>
      <c r="AM178" s="143"/>
      <c r="AN178" s="143"/>
      <c r="AO178" s="146"/>
      <c r="AP178" s="224">
        <f t="shared" si="64"/>
        <v>0</v>
      </c>
      <c r="AQ178" s="126"/>
      <c r="AR178" s="274"/>
      <c r="AS178" s="126"/>
      <c r="AT178" s="126"/>
      <c r="AU178" s="126"/>
      <c r="AV178" s="126"/>
      <c r="AW178" s="126"/>
      <c r="AX178" s="394"/>
      <c r="AY178" s="394"/>
      <c r="AZ178" s="394"/>
      <c r="BA178" s="394"/>
      <c r="BB178" s="222">
        <f t="shared" si="65"/>
        <v>0</v>
      </c>
      <c r="BC178" s="113">
        <f t="shared" si="66"/>
        <v>0</v>
      </c>
      <c r="BD178" s="3"/>
      <c r="BE178" s="113">
        <f t="shared" si="67"/>
        <v>0</v>
      </c>
      <c r="BF178" s="129"/>
      <c r="BG178" s="129"/>
      <c r="BH178" s="129"/>
      <c r="BI178" s="129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30">
        <f t="shared" si="68"/>
        <v>0</v>
      </c>
      <c r="BU178" s="3"/>
    </row>
    <row r="179" ht="14.25" customHeight="1">
      <c r="A179" s="3"/>
      <c r="B179" s="215">
        <v>46179</v>
      </c>
      <c r="C179" s="123"/>
      <c r="D179" s="123"/>
      <c r="E179" s="120"/>
      <c r="F179" s="120"/>
      <c r="G179" s="147">
        <f t="shared" si="60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1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2"/>
        <v>0</v>
      </c>
      <c r="AH179" s="123"/>
      <c r="AI179" s="123"/>
      <c r="AJ179" s="123"/>
      <c r="AK179" s="105">
        <f t="shared" si="63"/>
        <v>0</v>
      </c>
      <c r="AL179" s="143"/>
      <c r="AM179" s="143"/>
      <c r="AN179" s="143"/>
      <c r="AO179" s="146"/>
      <c r="AP179" s="224">
        <f t="shared" si="64"/>
        <v>0</v>
      </c>
      <c r="AQ179" s="126"/>
      <c r="AR179" s="274"/>
      <c r="AS179" s="126"/>
      <c r="AT179" s="126"/>
      <c r="AU179" s="126"/>
      <c r="AV179" s="126"/>
      <c r="AW179" s="126"/>
      <c r="AX179" s="394"/>
      <c r="AY179" s="394"/>
      <c r="AZ179" s="394"/>
      <c r="BA179" s="394"/>
      <c r="BB179" s="222">
        <f t="shared" si="65"/>
        <v>0</v>
      </c>
      <c r="BC179" s="113">
        <f t="shared" si="66"/>
        <v>0</v>
      </c>
      <c r="BD179" s="3"/>
      <c r="BE179" s="113">
        <f t="shared" si="67"/>
        <v>0</v>
      </c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30">
        <f t="shared" si="68"/>
        <v>0</v>
      </c>
      <c r="BU179" s="3"/>
    </row>
    <row r="180" ht="14.25" customHeight="1">
      <c r="A180" s="132"/>
      <c r="B180" s="215">
        <v>46180</v>
      </c>
      <c r="C180" s="136"/>
      <c r="D180" s="136"/>
      <c r="E180" s="135"/>
      <c r="F180" s="135"/>
      <c r="G180" s="147">
        <f t="shared" si="60"/>
        <v>0</v>
      </c>
      <c r="H180" s="144"/>
      <c r="I180" s="136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1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2"/>
        <v>0</v>
      </c>
      <c r="AH180" s="136"/>
      <c r="AI180" s="136"/>
      <c r="AJ180" s="136"/>
      <c r="AK180" s="105">
        <f t="shared" si="63"/>
        <v>0</v>
      </c>
      <c r="AL180" s="143"/>
      <c r="AM180" s="143"/>
      <c r="AN180" s="143"/>
      <c r="AO180" s="146"/>
      <c r="AP180" s="224">
        <f t="shared" si="64"/>
        <v>0</v>
      </c>
      <c r="AQ180" s="126"/>
      <c r="AR180" s="274"/>
      <c r="AS180" s="126"/>
      <c r="AT180" s="126"/>
      <c r="AU180" s="126"/>
      <c r="AV180" s="126"/>
      <c r="AW180" s="126"/>
      <c r="AX180" s="394"/>
      <c r="AY180" s="394"/>
      <c r="AZ180" s="394"/>
      <c r="BA180" s="394"/>
      <c r="BB180" s="222">
        <f t="shared" si="65"/>
        <v>0</v>
      </c>
      <c r="BC180" s="140">
        <f t="shared" si="66"/>
        <v>0</v>
      </c>
      <c r="BD180" s="132"/>
      <c r="BE180" s="140">
        <f t="shared" si="67"/>
        <v>0</v>
      </c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30">
        <f t="shared" si="68"/>
        <v>0</v>
      </c>
      <c r="BU180" s="132"/>
    </row>
    <row r="181" ht="14.25" customHeight="1">
      <c r="A181" s="132"/>
      <c r="B181" s="215">
        <v>46181</v>
      </c>
      <c r="C181" s="136"/>
      <c r="D181" s="136"/>
      <c r="E181" s="135"/>
      <c r="F181" s="135"/>
      <c r="G181" s="147">
        <f t="shared" si="60"/>
        <v>0</v>
      </c>
      <c r="H181" s="144"/>
      <c r="I181" s="136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1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2"/>
        <v>0</v>
      </c>
      <c r="AH181" s="136"/>
      <c r="AI181" s="136"/>
      <c r="AJ181" s="136"/>
      <c r="AK181" s="105">
        <f t="shared" si="63"/>
        <v>0</v>
      </c>
      <c r="AL181" s="143"/>
      <c r="AM181" s="143"/>
      <c r="AN181" s="143"/>
      <c r="AO181" s="146"/>
      <c r="AP181" s="224">
        <f t="shared" si="64"/>
        <v>0</v>
      </c>
      <c r="AQ181" s="126"/>
      <c r="AR181" s="274"/>
      <c r="AS181" s="126"/>
      <c r="AT181" s="126"/>
      <c r="AU181" s="126"/>
      <c r="AV181" s="126"/>
      <c r="AW181" s="126"/>
      <c r="AX181" s="394"/>
      <c r="AY181" s="394"/>
      <c r="AZ181" s="394"/>
      <c r="BA181" s="394"/>
      <c r="BB181" s="222">
        <f t="shared" si="65"/>
        <v>0</v>
      </c>
      <c r="BC181" s="140">
        <f t="shared" si="66"/>
        <v>0</v>
      </c>
      <c r="BD181" s="132"/>
      <c r="BE181" s="140">
        <f t="shared" si="67"/>
        <v>0</v>
      </c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30">
        <f t="shared" si="68"/>
        <v>0</v>
      </c>
      <c r="BU181" s="132"/>
    </row>
    <row r="182" ht="14.25" customHeight="1">
      <c r="A182" s="132"/>
      <c r="B182" s="215">
        <v>46182</v>
      </c>
      <c r="C182" s="136"/>
      <c r="D182" s="136"/>
      <c r="E182" s="135"/>
      <c r="F182" s="135"/>
      <c r="G182" s="147">
        <f t="shared" si="60"/>
        <v>0</v>
      </c>
      <c r="H182" s="144"/>
      <c r="I182" s="135"/>
      <c r="J182" s="1406"/>
      <c r="K182" s="144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1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2"/>
        <v>0</v>
      </c>
      <c r="AH182" s="136"/>
      <c r="AI182" s="136"/>
      <c r="AJ182" s="136"/>
      <c r="AK182" s="105">
        <f t="shared" si="63"/>
        <v>0</v>
      </c>
      <c r="AL182" s="143"/>
      <c r="AM182" s="143"/>
      <c r="AN182" s="143"/>
      <c r="AO182" s="146"/>
      <c r="AP182" s="224">
        <f t="shared" si="64"/>
        <v>0</v>
      </c>
      <c r="AQ182" s="126"/>
      <c r="AR182" s="274"/>
      <c r="AS182" s="126"/>
      <c r="AT182" s="126"/>
      <c r="AU182" s="126"/>
      <c r="AV182" s="126"/>
      <c r="AW182" s="126"/>
      <c r="AX182" s="394"/>
      <c r="AY182" s="394"/>
      <c r="AZ182" s="394"/>
      <c r="BA182" s="394"/>
      <c r="BB182" s="222">
        <f t="shared" si="65"/>
        <v>0</v>
      </c>
      <c r="BC182" s="140">
        <f t="shared" si="66"/>
        <v>0</v>
      </c>
      <c r="BD182" s="132"/>
      <c r="BE182" s="140">
        <f t="shared" si="67"/>
        <v>0</v>
      </c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30">
        <f t="shared" si="68"/>
        <v>0</v>
      </c>
      <c r="BU182" s="132"/>
    </row>
    <row r="183" ht="14.25" customHeight="1">
      <c r="A183" s="132"/>
      <c r="B183" s="215">
        <v>46183</v>
      </c>
      <c r="C183" s="136"/>
      <c r="D183" s="136"/>
      <c r="E183" s="135"/>
      <c r="F183" s="135"/>
      <c r="G183" s="147">
        <f t="shared" si="60"/>
        <v>0</v>
      </c>
      <c r="H183" s="144"/>
      <c r="I183" s="136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1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2"/>
        <v>0</v>
      </c>
      <c r="AH183" s="136"/>
      <c r="AI183" s="136"/>
      <c r="AJ183" s="136"/>
      <c r="AK183" s="105">
        <f t="shared" si="63"/>
        <v>0</v>
      </c>
      <c r="AL183" s="143"/>
      <c r="AM183" s="143"/>
      <c r="AN183" s="143"/>
      <c r="AO183" s="146"/>
      <c r="AP183" s="224">
        <f t="shared" si="64"/>
        <v>0</v>
      </c>
      <c r="AQ183" s="126"/>
      <c r="AR183" s="274"/>
      <c r="AS183" s="126"/>
      <c r="AT183" s="126"/>
      <c r="AU183" s="126"/>
      <c r="AV183" s="126"/>
      <c r="AW183" s="126"/>
      <c r="AX183" s="394"/>
      <c r="AY183" s="394"/>
      <c r="AZ183" s="394"/>
      <c r="BA183" s="394"/>
      <c r="BB183" s="222">
        <f t="shared" si="65"/>
        <v>0</v>
      </c>
      <c r="BC183" s="140">
        <f t="shared" si="66"/>
        <v>0</v>
      </c>
      <c r="BD183" s="132"/>
      <c r="BE183" s="140">
        <f t="shared" si="67"/>
        <v>0</v>
      </c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309"/>
      <c r="BP183" s="1407"/>
      <c r="BQ183" s="152"/>
      <c r="BR183" s="141"/>
      <c r="BS183" s="141"/>
      <c r="BT183" s="130">
        <f t="shared" si="68"/>
        <v>0</v>
      </c>
      <c r="BU183" s="132"/>
    </row>
    <row r="184" ht="14.25" customHeight="1">
      <c r="A184" s="132"/>
      <c r="B184" s="215">
        <v>46184</v>
      </c>
      <c r="C184" s="136"/>
      <c r="D184" s="136"/>
      <c r="E184" s="135"/>
      <c r="F184" s="135"/>
      <c r="G184" s="147">
        <f t="shared" si="60"/>
        <v>0</v>
      </c>
      <c r="H184" s="144"/>
      <c r="I184" s="136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1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2"/>
        <v>0</v>
      </c>
      <c r="AH184" s="136"/>
      <c r="AI184" s="136"/>
      <c r="AJ184" s="136"/>
      <c r="AK184" s="105">
        <f t="shared" si="63"/>
        <v>0</v>
      </c>
      <c r="AL184" s="143"/>
      <c r="AM184" s="143"/>
      <c r="AN184" s="143"/>
      <c r="AO184" s="146"/>
      <c r="AP184" s="224">
        <f t="shared" si="64"/>
        <v>0</v>
      </c>
      <c r="AQ184" s="126"/>
      <c r="AR184" s="274"/>
      <c r="AS184" s="126"/>
      <c r="AT184" s="126"/>
      <c r="AU184" s="126"/>
      <c r="AV184" s="126"/>
      <c r="AW184" s="126"/>
      <c r="AX184" s="394"/>
      <c r="AY184" s="394"/>
      <c r="AZ184" s="394"/>
      <c r="BA184" s="394"/>
      <c r="BB184" s="222">
        <f t="shared" si="65"/>
        <v>0</v>
      </c>
      <c r="BC184" s="140">
        <f t="shared" si="66"/>
        <v>0</v>
      </c>
      <c r="BD184" s="132"/>
      <c r="BE184" s="140">
        <f t="shared" si="67"/>
        <v>0</v>
      </c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30">
        <f t="shared" si="68"/>
        <v>0</v>
      </c>
      <c r="BU184" s="132"/>
    </row>
    <row r="185" ht="14.25" customHeight="1">
      <c r="A185" s="132"/>
      <c r="B185" s="215">
        <v>46185</v>
      </c>
      <c r="C185" s="136"/>
      <c r="D185" s="136"/>
      <c r="E185" s="135"/>
      <c r="F185" s="135"/>
      <c r="G185" s="147">
        <f t="shared" si="60"/>
        <v>0</v>
      </c>
      <c r="H185" s="1402"/>
      <c r="I185" s="135"/>
      <c r="J185" s="1406"/>
      <c r="K185" s="144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1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2"/>
        <v>0</v>
      </c>
      <c r="AH185" s="136"/>
      <c r="AI185" s="136"/>
      <c r="AJ185" s="136"/>
      <c r="AK185" s="105">
        <f t="shared" si="63"/>
        <v>0</v>
      </c>
      <c r="AL185" s="143"/>
      <c r="AM185" s="143"/>
      <c r="AN185" s="143"/>
      <c r="AO185" s="146"/>
      <c r="AP185" s="224">
        <f t="shared" si="64"/>
        <v>0</v>
      </c>
      <c r="AQ185" s="126"/>
      <c r="AR185" s="274"/>
      <c r="AS185" s="126"/>
      <c r="AT185" s="126"/>
      <c r="AU185" s="126"/>
      <c r="AV185" s="126"/>
      <c r="AW185" s="126"/>
      <c r="AX185" s="394"/>
      <c r="AY185" s="394"/>
      <c r="AZ185" s="394"/>
      <c r="BA185" s="394"/>
      <c r="BB185" s="222">
        <f t="shared" si="65"/>
        <v>0</v>
      </c>
      <c r="BC185" s="140">
        <f t="shared" si="66"/>
        <v>0</v>
      </c>
      <c r="BD185" s="132"/>
      <c r="BE185" s="140">
        <f t="shared" si="67"/>
        <v>0</v>
      </c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30">
        <f t="shared" si="68"/>
        <v>0</v>
      </c>
      <c r="BU185" s="132"/>
    </row>
    <row r="186" ht="14.25" customHeight="1">
      <c r="A186" s="132"/>
      <c r="B186" s="215">
        <v>46186</v>
      </c>
      <c r="C186" s="136"/>
      <c r="D186" s="136"/>
      <c r="E186" s="135"/>
      <c r="F186" s="135"/>
      <c r="G186" s="147">
        <f t="shared" si="60"/>
        <v>0</v>
      </c>
      <c r="H186" s="144"/>
      <c r="I186" s="136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1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2"/>
        <v>0</v>
      </c>
      <c r="AH186" s="136"/>
      <c r="AI186" s="136"/>
      <c r="AJ186" s="136"/>
      <c r="AK186" s="105">
        <f t="shared" si="63"/>
        <v>0</v>
      </c>
      <c r="AL186" s="143"/>
      <c r="AM186" s="143"/>
      <c r="AN186" s="143"/>
      <c r="AO186" s="146"/>
      <c r="AP186" s="224">
        <f t="shared" si="64"/>
        <v>0</v>
      </c>
      <c r="AQ186" s="126"/>
      <c r="AR186" s="274"/>
      <c r="AS186" s="126"/>
      <c r="AT186" s="126"/>
      <c r="AU186" s="126"/>
      <c r="AV186" s="126"/>
      <c r="AW186" s="126"/>
      <c r="AX186" s="394"/>
      <c r="AY186" s="394"/>
      <c r="AZ186" s="394"/>
      <c r="BA186" s="394"/>
      <c r="BB186" s="222">
        <f t="shared" si="65"/>
        <v>0</v>
      </c>
      <c r="BC186" s="140">
        <f t="shared" si="66"/>
        <v>0</v>
      </c>
      <c r="BD186" s="132"/>
      <c r="BE186" s="140">
        <f t="shared" si="67"/>
        <v>0</v>
      </c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30">
        <f t="shared" si="68"/>
        <v>0</v>
      </c>
      <c r="BU186" s="132"/>
    </row>
    <row r="187" ht="14.25" customHeight="1">
      <c r="A187" s="3"/>
      <c r="B187" s="215">
        <v>46187</v>
      </c>
      <c r="C187" s="123"/>
      <c r="D187" s="123"/>
      <c r="E187" s="120"/>
      <c r="F187" s="120"/>
      <c r="G187" s="147">
        <f t="shared" si="60"/>
        <v>0</v>
      </c>
      <c r="H187" s="144"/>
      <c r="I187" s="12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1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2"/>
        <v>0</v>
      </c>
      <c r="AH187" s="123"/>
      <c r="AI187" s="123"/>
      <c r="AJ187" s="123"/>
      <c r="AK187" s="105">
        <f t="shared" si="63"/>
        <v>0</v>
      </c>
      <c r="AL187" s="143"/>
      <c r="AM187" s="143"/>
      <c r="AN187" s="143"/>
      <c r="AO187" s="146"/>
      <c r="AP187" s="224">
        <f t="shared" si="64"/>
        <v>0</v>
      </c>
      <c r="AQ187" s="126"/>
      <c r="AR187" s="274"/>
      <c r="AS187" s="126"/>
      <c r="AT187" s="126"/>
      <c r="AU187" s="126"/>
      <c r="AV187" s="126"/>
      <c r="AW187" s="126"/>
      <c r="AX187" s="394"/>
      <c r="AY187" s="394"/>
      <c r="AZ187" s="394"/>
      <c r="BA187" s="394"/>
      <c r="BB187" s="222">
        <f t="shared" si="65"/>
        <v>0</v>
      </c>
      <c r="BC187" s="113">
        <f t="shared" si="66"/>
        <v>0</v>
      </c>
      <c r="BD187" s="3"/>
      <c r="BE187" s="113">
        <f t="shared" si="67"/>
        <v>0</v>
      </c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41"/>
      <c r="BR187" s="129"/>
      <c r="BS187" s="129"/>
      <c r="BT187" s="130">
        <f t="shared" si="68"/>
        <v>0</v>
      </c>
      <c r="BU187" s="3"/>
    </row>
    <row r="188" ht="14.25" customHeight="1">
      <c r="A188" s="3"/>
      <c r="B188" s="215">
        <v>46188</v>
      </c>
      <c r="C188" s="123"/>
      <c r="D188" s="123"/>
      <c r="E188" s="120"/>
      <c r="F188" s="120"/>
      <c r="G188" s="147">
        <f t="shared" si="60"/>
        <v>0</v>
      </c>
      <c r="H188" s="144"/>
      <c r="I188" s="123"/>
      <c r="J188" s="231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1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2"/>
        <v>0</v>
      </c>
      <c r="AH188" s="123"/>
      <c r="AI188" s="123"/>
      <c r="AJ188" s="123"/>
      <c r="AK188" s="105">
        <f t="shared" si="63"/>
        <v>0</v>
      </c>
      <c r="AL188" s="143"/>
      <c r="AM188" s="143"/>
      <c r="AN188" s="143"/>
      <c r="AO188" s="146"/>
      <c r="AP188" s="224">
        <f t="shared" si="64"/>
        <v>0</v>
      </c>
      <c r="AQ188" s="126"/>
      <c r="AR188" s="274"/>
      <c r="AS188" s="127"/>
      <c r="AT188" s="126"/>
      <c r="AU188" s="126"/>
      <c r="AV188" s="126"/>
      <c r="AW188" s="126"/>
      <c r="AX188" s="394"/>
      <c r="AY188" s="394"/>
      <c r="AZ188" s="394"/>
      <c r="BA188" s="394"/>
      <c r="BB188" s="222">
        <f t="shared" si="65"/>
        <v>0</v>
      </c>
      <c r="BC188" s="113">
        <f t="shared" si="66"/>
        <v>0</v>
      </c>
      <c r="BD188" s="3"/>
      <c r="BE188" s="113">
        <f t="shared" si="67"/>
        <v>0</v>
      </c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30">
        <f t="shared" si="68"/>
        <v>0</v>
      </c>
      <c r="BU188" s="3"/>
    </row>
    <row r="189" ht="14.25" customHeight="1">
      <c r="A189" s="3"/>
      <c r="B189" s="215">
        <v>46189</v>
      </c>
      <c r="C189" s="123"/>
      <c r="D189" s="123"/>
      <c r="E189" s="120"/>
      <c r="F189" s="120"/>
      <c r="G189" s="147">
        <f t="shared" si="60"/>
        <v>0</v>
      </c>
      <c r="H189" s="144"/>
      <c r="I189" s="12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1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2"/>
        <v>0</v>
      </c>
      <c r="AH189" s="123"/>
      <c r="AI189" s="123"/>
      <c r="AJ189" s="123"/>
      <c r="AK189" s="105">
        <f t="shared" si="63"/>
        <v>0</v>
      </c>
      <c r="AL189" s="143"/>
      <c r="AM189" s="143"/>
      <c r="AN189" s="143"/>
      <c r="AO189" s="146"/>
      <c r="AP189" s="224">
        <f t="shared" si="64"/>
        <v>0</v>
      </c>
      <c r="AQ189" s="126"/>
      <c r="AR189" s="274"/>
      <c r="AS189" s="126"/>
      <c r="AT189" s="126"/>
      <c r="AU189" s="126"/>
      <c r="AV189" s="126"/>
      <c r="AW189" s="126"/>
      <c r="AX189" s="394"/>
      <c r="AY189" s="394"/>
      <c r="AZ189" s="394"/>
      <c r="BA189" s="394"/>
      <c r="BB189" s="222">
        <f t="shared" si="65"/>
        <v>0</v>
      </c>
      <c r="BC189" s="113">
        <f t="shared" si="66"/>
        <v>0</v>
      </c>
      <c r="BD189" s="3"/>
      <c r="BE189" s="113">
        <f t="shared" si="67"/>
        <v>0</v>
      </c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29"/>
      <c r="BT189" s="130">
        <f t="shared" si="68"/>
        <v>0</v>
      </c>
      <c r="BU189" s="3"/>
    </row>
    <row r="190" ht="13.5" customHeight="1">
      <c r="A190" s="132"/>
      <c r="B190" s="215">
        <v>46190</v>
      </c>
      <c r="C190" s="136"/>
      <c r="D190" s="136"/>
      <c r="E190" s="135"/>
      <c r="F190" s="135"/>
      <c r="G190" s="147">
        <f t="shared" si="60"/>
        <v>0</v>
      </c>
      <c r="H190" s="144"/>
      <c r="I190" s="136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1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2"/>
        <v>0</v>
      </c>
      <c r="AH190" s="136"/>
      <c r="AI190" s="136"/>
      <c r="AJ190" s="136"/>
      <c r="AK190" s="105">
        <f t="shared" si="63"/>
        <v>0</v>
      </c>
      <c r="AL190" s="143"/>
      <c r="AM190" s="143"/>
      <c r="AN190" s="143"/>
      <c r="AO190" s="146"/>
      <c r="AP190" s="224">
        <f t="shared" si="64"/>
        <v>0</v>
      </c>
      <c r="AQ190" s="126"/>
      <c r="AR190" s="274"/>
      <c r="AS190" s="126"/>
      <c r="AT190" s="126"/>
      <c r="AU190" s="126"/>
      <c r="AV190" s="126"/>
      <c r="AW190" s="126"/>
      <c r="AX190" s="394"/>
      <c r="AY190" s="394"/>
      <c r="AZ190" s="394"/>
      <c r="BA190" s="394"/>
      <c r="BB190" s="222">
        <f t="shared" si="65"/>
        <v>0</v>
      </c>
      <c r="BC190" s="140">
        <f t="shared" si="66"/>
        <v>0</v>
      </c>
      <c r="BD190" s="132"/>
      <c r="BE190" s="140">
        <f t="shared" si="67"/>
        <v>0</v>
      </c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30">
        <f t="shared" si="68"/>
        <v>0</v>
      </c>
      <c r="BU190" s="132"/>
    </row>
    <row r="191" ht="14.25" customHeight="1">
      <c r="A191" s="132"/>
      <c r="B191" s="215">
        <v>46191</v>
      </c>
      <c r="C191" s="136"/>
      <c r="D191" s="136"/>
      <c r="E191" s="135"/>
      <c r="F191" s="135"/>
      <c r="G191" s="147">
        <f t="shared" si="60"/>
        <v>0</v>
      </c>
      <c r="H191" s="144"/>
      <c r="I191" s="136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1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2"/>
        <v>0</v>
      </c>
      <c r="AH191" s="136"/>
      <c r="AI191" s="136"/>
      <c r="AJ191" s="136"/>
      <c r="AK191" s="105">
        <f t="shared" si="63"/>
        <v>0</v>
      </c>
      <c r="AL191" s="143"/>
      <c r="AM191" s="143"/>
      <c r="AN191" s="143"/>
      <c r="AO191" s="146"/>
      <c r="AP191" s="224">
        <f t="shared" si="64"/>
        <v>0</v>
      </c>
      <c r="AQ191" s="126"/>
      <c r="AR191" s="274"/>
      <c r="AS191" s="126"/>
      <c r="AT191" s="126"/>
      <c r="AU191" s="126"/>
      <c r="AV191" s="126"/>
      <c r="AW191" s="126"/>
      <c r="AX191" s="394"/>
      <c r="AY191" s="394"/>
      <c r="AZ191" s="394"/>
      <c r="BA191" s="394"/>
      <c r="BB191" s="222">
        <f t="shared" si="65"/>
        <v>0</v>
      </c>
      <c r="BC191" s="140">
        <f t="shared" si="66"/>
        <v>0</v>
      </c>
      <c r="BD191" s="132"/>
      <c r="BE191" s="140">
        <f t="shared" si="67"/>
        <v>0</v>
      </c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30">
        <f t="shared" si="68"/>
        <v>0</v>
      </c>
      <c r="BU191" s="132"/>
    </row>
    <row r="192" ht="14.25" customHeight="1">
      <c r="A192" s="132"/>
      <c r="B192" s="215">
        <v>46192</v>
      </c>
      <c r="C192" s="136"/>
      <c r="D192" s="136"/>
      <c r="E192" s="135"/>
      <c r="F192" s="135"/>
      <c r="G192" s="147">
        <f t="shared" si="60"/>
        <v>0</v>
      </c>
      <c r="H192" s="144"/>
      <c r="I192" s="136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1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2"/>
        <v>0</v>
      </c>
      <c r="AH192" s="136"/>
      <c r="AI192" s="136"/>
      <c r="AJ192" s="136"/>
      <c r="AK192" s="105">
        <f t="shared" si="63"/>
        <v>0</v>
      </c>
      <c r="AL192" s="143"/>
      <c r="AM192" s="143"/>
      <c r="AN192" s="143"/>
      <c r="AO192" s="146"/>
      <c r="AP192" s="224">
        <f t="shared" si="64"/>
        <v>0</v>
      </c>
      <c r="AQ192" s="126"/>
      <c r="AR192" s="274"/>
      <c r="AS192" s="126"/>
      <c r="AT192" s="126"/>
      <c r="AU192" s="126"/>
      <c r="AV192" s="126"/>
      <c r="AW192" s="126"/>
      <c r="AX192" s="394"/>
      <c r="AY192" s="394"/>
      <c r="AZ192" s="394"/>
      <c r="BA192" s="394"/>
      <c r="BB192" s="222">
        <f t="shared" si="65"/>
        <v>0</v>
      </c>
      <c r="BC192" s="140">
        <f t="shared" si="66"/>
        <v>0</v>
      </c>
      <c r="BD192" s="132"/>
      <c r="BE192" s="140">
        <f t="shared" si="67"/>
        <v>0</v>
      </c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30">
        <f t="shared" si="68"/>
        <v>0</v>
      </c>
      <c r="BU192" s="132"/>
    </row>
    <row r="193" ht="14.25" customHeight="1">
      <c r="A193" s="132"/>
      <c r="B193" s="215">
        <v>46193</v>
      </c>
      <c r="C193" s="136"/>
      <c r="D193" s="136"/>
      <c r="E193" s="135"/>
      <c r="F193" s="135"/>
      <c r="G193" s="147">
        <f t="shared" si="60"/>
        <v>0</v>
      </c>
      <c r="H193" s="144"/>
      <c r="I193" s="136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1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2"/>
        <v>0</v>
      </c>
      <c r="AH193" s="136"/>
      <c r="AI193" s="136"/>
      <c r="AJ193" s="136"/>
      <c r="AK193" s="105">
        <f t="shared" si="63"/>
        <v>0</v>
      </c>
      <c r="AL193" s="143"/>
      <c r="AM193" s="143"/>
      <c r="AN193" s="143"/>
      <c r="AO193" s="146"/>
      <c r="AP193" s="224">
        <f t="shared" si="64"/>
        <v>0</v>
      </c>
      <c r="AQ193" s="126"/>
      <c r="AR193" s="274"/>
      <c r="AS193" s="126"/>
      <c r="AT193" s="126"/>
      <c r="AU193" s="126"/>
      <c r="AV193" s="126"/>
      <c r="AW193" s="126"/>
      <c r="AX193" s="394"/>
      <c r="AY193" s="394"/>
      <c r="AZ193" s="394"/>
      <c r="BA193" s="394"/>
      <c r="BB193" s="222">
        <f t="shared" si="65"/>
        <v>0</v>
      </c>
      <c r="BC193" s="140">
        <f t="shared" si="66"/>
        <v>0</v>
      </c>
      <c r="BD193" s="132"/>
      <c r="BE193" s="140">
        <f t="shared" si="67"/>
        <v>0</v>
      </c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30">
        <f t="shared" si="68"/>
        <v>0</v>
      </c>
      <c r="BU193" s="132"/>
    </row>
    <row r="194" ht="14.25" customHeight="1">
      <c r="A194" s="132"/>
      <c r="B194" s="215">
        <v>46194</v>
      </c>
      <c r="C194" s="136"/>
      <c r="D194" s="136"/>
      <c r="E194" s="135"/>
      <c r="F194" s="135"/>
      <c r="G194" s="147">
        <f t="shared" si="60"/>
        <v>0</v>
      </c>
      <c r="H194" s="144"/>
      <c r="I194" s="136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1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2"/>
        <v>0</v>
      </c>
      <c r="AH194" s="136"/>
      <c r="AI194" s="136"/>
      <c r="AJ194" s="136"/>
      <c r="AK194" s="105">
        <f t="shared" si="63"/>
        <v>0</v>
      </c>
      <c r="AL194" s="143"/>
      <c r="AM194" s="143"/>
      <c r="AN194" s="143"/>
      <c r="AO194" s="146"/>
      <c r="AP194" s="224">
        <f t="shared" si="64"/>
        <v>0</v>
      </c>
      <c r="AQ194" s="126"/>
      <c r="AR194" s="274"/>
      <c r="AS194" s="126"/>
      <c r="AT194" s="126"/>
      <c r="AU194" s="126"/>
      <c r="AV194" s="126"/>
      <c r="AW194" s="126"/>
      <c r="AX194" s="394"/>
      <c r="AY194" s="394"/>
      <c r="AZ194" s="394"/>
      <c r="BA194" s="394"/>
      <c r="BB194" s="222">
        <f t="shared" si="65"/>
        <v>0</v>
      </c>
      <c r="BC194" s="140">
        <f t="shared" si="66"/>
        <v>0</v>
      </c>
      <c r="BD194" s="132"/>
      <c r="BE194" s="140">
        <f t="shared" si="67"/>
        <v>0</v>
      </c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30">
        <f t="shared" si="68"/>
        <v>0</v>
      </c>
      <c r="BU194" s="132"/>
    </row>
    <row r="195" ht="14.25" customHeight="1">
      <c r="A195" s="132"/>
      <c r="B195" s="215">
        <v>46195</v>
      </c>
      <c r="C195" s="136"/>
      <c r="D195" s="136"/>
      <c r="E195" s="135"/>
      <c r="F195" s="135"/>
      <c r="G195" s="147">
        <f t="shared" si="60"/>
        <v>0</v>
      </c>
      <c r="H195" s="144"/>
      <c r="I195" s="136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1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2"/>
        <v>0</v>
      </c>
      <c r="AH195" s="136"/>
      <c r="AI195" s="136"/>
      <c r="AJ195" s="136"/>
      <c r="AK195" s="105">
        <f t="shared" si="63"/>
        <v>0</v>
      </c>
      <c r="AL195" s="143"/>
      <c r="AM195" s="143"/>
      <c r="AN195" s="143"/>
      <c r="AO195" s="146"/>
      <c r="AP195" s="224">
        <f t="shared" si="64"/>
        <v>0</v>
      </c>
      <c r="AQ195" s="126"/>
      <c r="AR195" s="274"/>
      <c r="AS195" s="126"/>
      <c r="AT195" s="126"/>
      <c r="AU195" s="126"/>
      <c r="AV195" s="126"/>
      <c r="AW195" s="126"/>
      <c r="AX195" s="394"/>
      <c r="AY195" s="394"/>
      <c r="AZ195" s="394"/>
      <c r="BA195" s="394"/>
      <c r="BB195" s="222">
        <f t="shared" si="65"/>
        <v>0</v>
      </c>
      <c r="BC195" s="140">
        <f t="shared" si="66"/>
        <v>0</v>
      </c>
      <c r="BD195" s="132"/>
      <c r="BE195" s="140">
        <f t="shared" si="67"/>
        <v>0</v>
      </c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30">
        <f t="shared" si="68"/>
        <v>0</v>
      </c>
      <c r="BU195" s="132"/>
    </row>
    <row r="196" ht="14.25" customHeight="1">
      <c r="A196" s="132"/>
      <c r="B196" s="215">
        <v>46196</v>
      </c>
      <c r="C196" s="136"/>
      <c r="D196" s="136"/>
      <c r="E196" s="135"/>
      <c r="F196" s="135"/>
      <c r="G196" s="147">
        <f t="shared" si="60"/>
        <v>0</v>
      </c>
      <c r="H196" s="144"/>
      <c r="I196" s="136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1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2"/>
        <v>0</v>
      </c>
      <c r="AH196" s="136"/>
      <c r="AI196" s="136"/>
      <c r="AJ196" s="136"/>
      <c r="AK196" s="105">
        <f t="shared" si="63"/>
        <v>0</v>
      </c>
      <c r="AL196" s="143"/>
      <c r="AM196" s="143"/>
      <c r="AN196" s="143"/>
      <c r="AO196" s="146"/>
      <c r="AP196" s="224">
        <f t="shared" si="64"/>
        <v>0</v>
      </c>
      <c r="AQ196" s="126"/>
      <c r="AR196" s="274"/>
      <c r="AS196" s="126"/>
      <c r="AT196" s="126"/>
      <c r="AU196" s="126"/>
      <c r="AV196" s="126"/>
      <c r="AW196" s="126"/>
      <c r="AX196" s="394"/>
      <c r="AY196" s="394"/>
      <c r="AZ196" s="394"/>
      <c r="BA196" s="394"/>
      <c r="BB196" s="222">
        <f t="shared" si="65"/>
        <v>0</v>
      </c>
      <c r="BC196" s="140">
        <f t="shared" si="66"/>
        <v>0</v>
      </c>
      <c r="BD196" s="132"/>
      <c r="BE196" s="140">
        <f t="shared" si="67"/>
        <v>0</v>
      </c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30">
        <f t="shared" si="68"/>
        <v>0</v>
      </c>
      <c r="BU196" s="132"/>
    </row>
    <row r="197" ht="14.25" customHeight="1">
      <c r="A197" s="132"/>
      <c r="B197" s="215">
        <v>46197</v>
      </c>
      <c r="C197" s="136"/>
      <c r="D197" s="136"/>
      <c r="E197" s="135"/>
      <c r="F197" s="135"/>
      <c r="G197" s="147">
        <f t="shared" si="60"/>
        <v>0</v>
      </c>
      <c r="H197" s="144"/>
      <c r="I197" s="136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1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2"/>
        <v>0</v>
      </c>
      <c r="AH197" s="136"/>
      <c r="AI197" s="136"/>
      <c r="AJ197" s="136"/>
      <c r="AK197" s="105">
        <f t="shared" si="63"/>
        <v>0</v>
      </c>
      <c r="AL197" s="143"/>
      <c r="AM197" s="143"/>
      <c r="AN197" s="143"/>
      <c r="AO197" s="146"/>
      <c r="AP197" s="224">
        <f t="shared" si="64"/>
        <v>0</v>
      </c>
      <c r="AQ197" s="126"/>
      <c r="AR197" s="274"/>
      <c r="AS197" s="126"/>
      <c r="AT197" s="126"/>
      <c r="AU197" s="126"/>
      <c r="AV197" s="126"/>
      <c r="AW197" s="126"/>
      <c r="AX197" s="394"/>
      <c r="AY197" s="394"/>
      <c r="AZ197" s="394"/>
      <c r="BA197" s="394"/>
      <c r="BB197" s="222">
        <f t="shared" si="65"/>
        <v>0</v>
      </c>
      <c r="BC197" s="140">
        <f t="shared" si="66"/>
        <v>0</v>
      </c>
      <c r="BD197" s="132"/>
      <c r="BE197" s="140">
        <f t="shared" si="67"/>
        <v>0</v>
      </c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30">
        <f t="shared" si="68"/>
        <v>0</v>
      </c>
      <c r="BU197" s="132"/>
    </row>
    <row r="198" ht="14.25" customHeight="1">
      <c r="A198" s="132"/>
      <c r="B198" s="215">
        <v>46198</v>
      </c>
      <c r="C198" s="136"/>
      <c r="D198" s="136"/>
      <c r="E198" s="135"/>
      <c r="F198" s="135"/>
      <c r="G198" s="147">
        <f t="shared" si="60"/>
        <v>0</v>
      </c>
      <c r="H198" s="144"/>
      <c r="I198" s="136"/>
      <c r="J198" s="143"/>
      <c r="K198" s="231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1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2"/>
        <v>0</v>
      </c>
      <c r="AH198" s="136"/>
      <c r="AI198" s="136"/>
      <c r="AJ198" s="136"/>
      <c r="AK198" s="105">
        <f t="shared" si="63"/>
        <v>0</v>
      </c>
      <c r="AL198" s="143"/>
      <c r="AM198" s="143"/>
      <c r="AN198" s="143"/>
      <c r="AO198" s="146"/>
      <c r="AP198" s="224">
        <f t="shared" si="64"/>
        <v>0</v>
      </c>
      <c r="AQ198" s="126"/>
      <c r="AR198" s="274"/>
      <c r="AS198" s="126"/>
      <c r="AT198" s="126"/>
      <c r="AU198" s="126"/>
      <c r="AV198" s="126"/>
      <c r="AW198" s="126"/>
      <c r="AX198" s="394"/>
      <c r="AY198" s="394"/>
      <c r="AZ198" s="394"/>
      <c r="BA198" s="394"/>
      <c r="BB198" s="222">
        <f t="shared" si="65"/>
        <v>0</v>
      </c>
      <c r="BC198" s="140">
        <f t="shared" si="66"/>
        <v>0</v>
      </c>
      <c r="BD198" s="132"/>
      <c r="BE198" s="140">
        <f t="shared" si="67"/>
        <v>0</v>
      </c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30">
        <f t="shared" si="68"/>
        <v>0</v>
      </c>
      <c r="BU198" s="132"/>
    </row>
    <row r="199" ht="14.25" customHeight="1">
      <c r="A199" s="132"/>
      <c r="B199" s="215">
        <v>46199</v>
      </c>
      <c r="C199" s="136"/>
      <c r="D199" s="136"/>
      <c r="E199" s="135"/>
      <c r="F199" s="135"/>
      <c r="G199" s="147">
        <f t="shared" si="60"/>
        <v>0</v>
      </c>
      <c r="H199" s="144"/>
      <c r="I199" s="136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1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2"/>
        <v>0</v>
      </c>
      <c r="AH199" s="136"/>
      <c r="AI199" s="136"/>
      <c r="AJ199" s="136"/>
      <c r="AK199" s="105">
        <f t="shared" si="63"/>
        <v>0</v>
      </c>
      <c r="AL199" s="143"/>
      <c r="AM199" s="143"/>
      <c r="AN199" s="143"/>
      <c r="AO199" s="146"/>
      <c r="AP199" s="224">
        <f t="shared" si="64"/>
        <v>0</v>
      </c>
      <c r="AQ199" s="126"/>
      <c r="AR199" s="274"/>
      <c r="AS199" s="126"/>
      <c r="AT199" s="126"/>
      <c r="AU199" s="126"/>
      <c r="AV199" s="126"/>
      <c r="AW199" s="126"/>
      <c r="AX199" s="394"/>
      <c r="AY199" s="394"/>
      <c r="AZ199" s="394"/>
      <c r="BA199" s="394"/>
      <c r="BB199" s="222">
        <f t="shared" si="65"/>
        <v>0</v>
      </c>
      <c r="BC199" s="140">
        <f t="shared" si="66"/>
        <v>0</v>
      </c>
      <c r="BD199" s="132"/>
      <c r="BE199" s="140">
        <f t="shared" si="67"/>
        <v>0</v>
      </c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30">
        <f t="shared" si="68"/>
        <v>0</v>
      </c>
      <c r="BU199" s="132"/>
    </row>
    <row r="200" ht="13.5" customHeight="1">
      <c r="A200" s="132"/>
      <c r="B200" s="215">
        <v>46200</v>
      </c>
      <c r="C200" s="136"/>
      <c r="D200" s="136"/>
      <c r="E200" s="135"/>
      <c r="F200" s="135"/>
      <c r="G200" s="147">
        <f t="shared" si="60"/>
        <v>0</v>
      </c>
      <c r="H200" s="144"/>
      <c r="I200" s="136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1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2"/>
        <v>0</v>
      </c>
      <c r="AH200" s="136"/>
      <c r="AI200" s="136"/>
      <c r="AJ200" s="136"/>
      <c r="AK200" s="105">
        <f t="shared" si="63"/>
        <v>0</v>
      </c>
      <c r="AL200" s="143"/>
      <c r="AM200" s="143"/>
      <c r="AN200" s="143"/>
      <c r="AO200" s="146"/>
      <c r="AP200" s="224">
        <f t="shared" si="64"/>
        <v>0</v>
      </c>
      <c r="AQ200" s="126"/>
      <c r="AR200" s="274"/>
      <c r="AS200" s="126"/>
      <c r="AT200" s="126"/>
      <c r="AU200" s="126"/>
      <c r="AV200" s="126"/>
      <c r="AW200" s="126"/>
      <c r="AX200" s="394"/>
      <c r="AY200" s="394"/>
      <c r="AZ200" s="394"/>
      <c r="BA200" s="394"/>
      <c r="BB200" s="222">
        <f t="shared" si="65"/>
        <v>0</v>
      </c>
      <c r="BC200" s="140">
        <f t="shared" si="66"/>
        <v>0</v>
      </c>
      <c r="BD200" s="132"/>
      <c r="BE200" s="140">
        <f t="shared" si="67"/>
        <v>0</v>
      </c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30">
        <f t="shared" si="68"/>
        <v>0</v>
      </c>
      <c r="BU200" s="132"/>
    </row>
    <row r="201" ht="14.25" customHeight="1">
      <c r="A201" s="132"/>
      <c r="B201" s="215">
        <v>46201</v>
      </c>
      <c r="C201" s="136"/>
      <c r="D201" s="136"/>
      <c r="E201" s="135"/>
      <c r="F201" s="135"/>
      <c r="G201" s="147">
        <f t="shared" si="60"/>
        <v>0</v>
      </c>
      <c r="H201" s="144"/>
      <c r="I201" s="136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1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2"/>
        <v>0</v>
      </c>
      <c r="AH201" s="136"/>
      <c r="AI201" s="136"/>
      <c r="AJ201" s="136"/>
      <c r="AK201" s="105">
        <f t="shared" si="63"/>
        <v>0</v>
      </c>
      <c r="AL201" s="143"/>
      <c r="AM201" s="143"/>
      <c r="AN201" s="143"/>
      <c r="AO201" s="146"/>
      <c r="AP201" s="224">
        <f t="shared" si="64"/>
        <v>0</v>
      </c>
      <c r="AQ201" s="126"/>
      <c r="AR201" s="274"/>
      <c r="AS201" s="126"/>
      <c r="AT201" s="126"/>
      <c r="AU201" s="126"/>
      <c r="AV201" s="126"/>
      <c r="AW201" s="126"/>
      <c r="AX201" s="394"/>
      <c r="AY201" s="394"/>
      <c r="AZ201" s="394"/>
      <c r="BA201" s="394"/>
      <c r="BB201" s="222">
        <f t="shared" si="65"/>
        <v>0</v>
      </c>
      <c r="BC201" s="140">
        <f t="shared" si="66"/>
        <v>0</v>
      </c>
      <c r="BD201" s="132"/>
      <c r="BE201" s="140">
        <f t="shared" si="67"/>
        <v>0</v>
      </c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30">
        <f t="shared" si="68"/>
        <v>0</v>
      </c>
      <c r="BU201" s="132"/>
    </row>
    <row r="202" ht="14.25" customHeight="1">
      <c r="A202" s="132"/>
      <c r="B202" s="215">
        <v>46202</v>
      </c>
      <c r="C202" s="136"/>
      <c r="D202" s="136"/>
      <c r="E202" s="135"/>
      <c r="F202" s="135"/>
      <c r="G202" s="147">
        <f t="shared" si="60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1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2"/>
        <v>0</v>
      </c>
      <c r="AH202" s="136"/>
      <c r="AI202" s="136"/>
      <c r="AJ202" s="136"/>
      <c r="AK202" s="105">
        <f t="shared" si="63"/>
        <v>0</v>
      </c>
      <c r="AL202" s="143"/>
      <c r="AM202" s="143"/>
      <c r="AN202" s="143"/>
      <c r="AO202" s="146"/>
      <c r="AP202" s="224">
        <f t="shared" si="64"/>
        <v>0</v>
      </c>
      <c r="AQ202" s="126"/>
      <c r="AR202" s="274"/>
      <c r="AS202" s="126"/>
      <c r="AT202" s="126"/>
      <c r="AU202" s="126"/>
      <c r="AV202" s="126"/>
      <c r="AW202" s="126"/>
      <c r="AX202" s="394"/>
      <c r="AY202" s="394"/>
      <c r="AZ202" s="394"/>
      <c r="BA202" s="394"/>
      <c r="BB202" s="222">
        <f t="shared" si="65"/>
        <v>0</v>
      </c>
      <c r="BC202" s="140">
        <f t="shared" si="66"/>
        <v>0</v>
      </c>
      <c r="BD202" s="132"/>
      <c r="BE202" s="140">
        <f t="shared" si="67"/>
        <v>0</v>
      </c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30">
        <f t="shared" si="68"/>
        <v>0</v>
      </c>
      <c r="BU202" s="132"/>
    </row>
    <row r="203" ht="14.25" customHeight="1">
      <c r="A203" s="132"/>
      <c r="B203" s="215">
        <v>46203</v>
      </c>
      <c r="C203" s="136"/>
      <c r="D203" s="136"/>
      <c r="E203" s="135"/>
      <c r="F203" s="135"/>
      <c r="G203" s="147">
        <f t="shared" si="60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1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2"/>
        <v>0</v>
      </c>
      <c r="AH203" s="136"/>
      <c r="AI203" s="136"/>
      <c r="AJ203" s="136"/>
      <c r="AK203" s="105">
        <f t="shared" si="63"/>
        <v>0</v>
      </c>
      <c r="AL203" s="143"/>
      <c r="AM203" s="143"/>
      <c r="AN203" s="143"/>
      <c r="AO203" s="146"/>
      <c r="AP203" s="224">
        <f t="shared" si="64"/>
        <v>0</v>
      </c>
      <c r="AQ203" s="138"/>
      <c r="AR203" s="274"/>
      <c r="AS203" s="126"/>
      <c r="AT203" s="126"/>
      <c r="AU203" s="126"/>
      <c r="AV203" s="126"/>
      <c r="AW203" s="126"/>
      <c r="AX203" s="394"/>
      <c r="AY203" s="394"/>
      <c r="AZ203" s="394"/>
      <c r="BA203" s="394"/>
      <c r="BB203" s="222">
        <f t="shared" si="65"/>
        <v>0</v>
      </c>
      <c r="BC203" s="140">
        <f t="shared" si="66"/>
        <v>0</v>
      </c>
      <c r="BD203" s="132"/>
      <c r="BE203" s="140">
        <f t="shared" si="67"/>
        <v>0</v>
      </c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41"/>
      <c r="BT203" s="130">
        <f t="shared" si="68"/>
        <v>0</v>
      </c>
      <c r="BU203" s="132"/>
    </row>
    <row r="204" ht="14.25" customHeight="1">
      <c r="A204" s="3"/>
      <c r="B204" s="2" t="s">
        <v>262</v>
      </c>
      <c r="C204" s="166">
        <f ref="C204:T204" t="shared" si="69">SUM(C174:C203)</f>
        <v>0</v>
      </c>
      <c r="D204" s="166">
        <f t="shared" si="69"/>
        <v>0</v>
      </c>
      <c r="E204" s="166">
        <f t="shared" si="69"/>
        <v>0</v>
      </c>
      <c r="F204" s="166">
        <f t="shared" si="69"/>
        <v>0</v>
      </c>
      <c r="G204" s="166">
        <f t="shared" si="69"/>
        <v>0</v>
      </c>
      <c r="H204" s="166">
        <f t="shared" si="69"/>
        <v>0</v>
      </c>
      <c r="I204" s="166">
        <f t="shared" si="69"/>
        <v>0</v>
      </c>
      <c r="J204" s="166">
        <f t="shared" si="69"/>
        <v>0</v>
      </c>
      <c r="K204" s="166">
        <f t="shared" si="69"/>
        <v>0</v>
      </c>
      <c r="L204" s="166">
        <f t="shared" si="69"/>
        <v>0</v>
      </c>
      <c r="M204" s="166">
        <f t="shared" si="69"/>
        <v>0</v>
      </c>
      <c r="N204" s="166">
        <f t="shared" si="69"/>
        <v>0</v>
      </c>
      <c r="O204" s="166">
        <f t="shared" si="69"/>
        <v>0</v>
      </c>
      <c r="P204" s="166">
        <f t="shared" si="69"/>
        <v>0</v>
      </c>
      <c r="Q204" s="166">
        <f t="shared" si="69"/>
        <v>0</v>
      </c>
      <c r="R204" s="166">
        <f t="shared" si="69"/>
        <v>0</v>
      </c>
      <c r="S204" s="166">
        <f t="shared" si="69"/>
        <v>0</v>
      </c>
      <c r="T204" s="166">
        <f t="shared" si="69"/>
        <v>0</v>
      </c>
      <c r="U204" s="166"/>
      <c r="V204" s="166"/>
      <c r="W204" s="166">
        <f ref="W204:AH204" t="shared" si="70">SUM(W174:W203)</f>
        <v>0</v>
      </c>
      <c r="X204" s="166">
        <f t="shared" si="70"/>
        <v>0</v>
      </c>
      <c r="Y204" s="166">
        <f t="shared" si="70"/>
        <v>0</v>
      </c>
      <c r="Z204" s="166">
        <f t="shared" si="70"/>
        <v>0</v>
      </c>
      <c r="AA204" s="166">
        <f t="shared" si="70"/>
        <v>0</v>
      </c>
      <c r="AB204" s="166">
        <f t="shared" si="70"/>
        <v>0</v>
      </c>
      <c r="AC204" s="166">
        <f t="shared" si="70"/>
        <v>0</v>
      </c>
      <c r="AD204" s="166">
        <f t="shared" si="70"/>
        <v>0</v>
      </c>
      <c r="AE204" s="166">
        <f t="shared" si="70"/>
        <v>0</v>
      </c>
      <c r="AF204" s="166">
        <f t="shared" si="70"/>
        <v>0</v>
      </c>
      <c r="AG204" s="166">
        <f t="shared" si="70"/>
        <v>0</v>
      </c>
      <c r="AH204" s="166">
        <f t="shared" si="70"/>
        <v>0</v>
      </c>
      <c r="AI204" s="166"/>
      <c r="AJ204" s="166"/>
      <c r="AK204" s="166">
        <f ref="AK204:AW204" t="shared" si="71">SUM(AK174:AK203)</f>
        <v>0</v>
      </c>
      <c r="AL204" s="166">
        <f t="shared" si="71"/>
        <v>0</v>
      </c>
      <c r="AM204" s="166">
        <f t="shared" si="71"/>
        <v>0</v>
      </c>
      <c r="AN204" s="166">
        <f t="shared" si="71"/>
        <v>0</v>
      </c>
      <c r="AO204" s="166">
        <f t="shared" si="71"/>
        <v>0</v>
      </c>
      <c r="AP204" s="166">
        <f t="shared" si="71"/>
        <v>0</v>
      </c>
      <c r="AQ204" s="165">
        <f t="shared" si="71"/>
        <v>0</v>
      </c>
      <c r="AR204" s="165">
        <f t="shared" si="71"/>
        <v>0</v>
      </c>
      <c r="AS204" s="165">
        <f t="shared" si="71"/>
        <v>0</v>
      </c>
      <c r="AT204" s="165">
        <f t="shared" si="71"/>
        <v>0</v>
      </c>
      <c r="AU204" s="165">
        <f t="shared" si="71"/>
        <v>0</v>
      </c>
      <c r="AV204" s="165">
        <f t="shared" si="71"/>
        <v>0</v>
      </c>
      <c r="AW204" s="165">
        <f t="shared" si="71"/>
        <v>0</v>
      </c>
      <c r="AX204" s="166"/>
      <c r="AY204" s="166"/>
      <c r="AZ204" s="166"/>
      <c r="BA204" s="166"/>
      <c r="BB204" s="166">
        <f ref="BB204:BC204" t="shared" si="72">SUM(BB174:BB203)</f>
        <v>0</v>
      </c>
      <c r="BC204" s="166">
        <f t="shared" si="72"/>
        <v>0</v>
      </c>
      <c r="BD204" s="3"/>
      <c r="BE204" s="172">
        <f>SUM(BE173:BE203)</f>
        <v>0</v>
      </c>
      <c r="BF204" s="166"/>
      <c r="BG204" s="166"/>
      <c r="BH204" s="166"/>
      <c r="BI204" s="166"/>
      <c r="BJ204" s="166"/>
      <c r="BK204" s="166"/>
      <c r="BL204" s="166"/>
      <c r="BM204" s="166"/>
      <c r="BN204" s="166"/>
      <c r="BO204" s="166"/>
      <c r="BP204" s="166"/>
      <c r="BQ204" s="166"/>
      <c r="BR204" s="166"/>
      <c r="BS204" s="166"/>
      <c r="BT204" s="166">
        <f>SUM(BT174:BT203)</f>
        <v>0</v>
      </c>
      <c r="BU204" s="132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1336"/>
      <c r="AL205" s="3"/>
      <c r="AM205" s="3"/>
      <c r="AN205" s="3"/>
      <c r="AO205" s="3"/>
      <c r="AP205" s="41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41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</row>
    <row r="206" ht="14.25" customHeight="1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1336"/>
      <c r="AL206" s="3"/>
      <c r="AM206" s="3"/>
      <c r="AN206" s="3"/>
      <c r="AO206" s="3"/>
      <c r="AP206" s="41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41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</row>
    <row r="207" ht="14.25" customHeight="1">
      <c r="A207" s="3"/>
      <c r="B207" s="215">
        <v>46204</v>
      </c>
      <c r="C207" s="104"/>
      <c r="D207" s="104"/>
      <c r="E207" s="97"/>
      <c r="F207" s="97"/>
      <c r="G207" s="265">
        <f ref="G207:G237" t="shared" si="73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ref="T207:T237" t="shared" si="74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ref="AG207:AG237" t="shared" si="75">SUM(U207:AF207)</f>
        <v>0</v>
      </c>
      <c r="AH207" s="104"/>
      <c r="AI207" s="104"/>
      <c r="AJ207" s="104"/>
      <c r="AK207" s="191">
        <f ref="AK207:AK237" t="shared" si="76">SUM(AH207:AJ207)</f>
        <v>0</v>
      </c>
      <c r="AL207" s="186"/>
      <c r="AM207" s="186"/>
      <c r="AN207" s="186"/>
      <c r="AO207" s="193"/>
      <c r="AP207" s="266">
        <f ref="AP207:AP237" t="shared" si="77">+G207-T207-AG207-AK207-AL207-AM207-AN207-AO207</f>
        <v>0</v>
      </c>
      <c r="AQ207" s="109"/>
      <c r="AR207" s="269"/>
      <c r="AS207" s="109"/>
      <c r="AT207" s="109"/>
      <c r="AU207" s="109"/>
      <c r="AV207" s="109"/>
      <c r="AW207" s="109"/>
      <c r="AX207" s="388"/>
      <c r="AY207" s="388"/>
      <c r="AZ207" s="388"/>
      <c r="BA207" s="388"/>
      <c r="BB207" s="292">
        <f ref="BB207:BB237" t="shared" si="78">SUM(AQ207:BA207)-AZ207</f>
        <v>0</v>
      </c>
      <c r="BC207" s="114">
        <f ref="BC207:BC237" t="shared" si="79">+AP207-BB207</f>
        <v>0</v>
      </c>
      <c r="BD207" s="3"/>
      <c r="BE207" s="114">
        <f ref="BE207:BE237" t="shared" si="80">SUM(BF207:BR207)</f>
        <v>0</v>
      </c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116">
        <f ref="BT207:BT237" t="shared" si="81">+BC207-BE207</f>
        <v>0</v>
      </c>
      <c r="BU207" s="3"/>
    </row>
    <row r="208" ht="14.25" customHeight="1">
      <c r="A208" s="3"/>
      <c r="B208" s="215">
        <v>46205</v>
      </c>
      <c r="C208" s="123"/>
      <c r="D208" s="123"/>
      <c r="E208" s="120"/>
      <c r="F208" s="120"/>
      <c r="G208" s="147">
        <f t="shared" si="73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74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75"/>
        <v>0</v>
      </c>
      <c r="AH208" s="123"/>
      <c r="AI208" s="123"/>
      <c r="AJ208" s="123"/>
      <c r="AK208" s="105">
        <f t="shared" si="76"/>
        <v>0</v>
      </c>
      <c r="AL208" s="143"/>
      <c r="AM208" s="143"/>
      <c r="AN208" s="143"/>
      <c r="AO208" s="146"/>
      <c r="AP208" s="224">
        <f t="shared" si="77"/>
        <v>0</v>
      </c>
      <c r="AQ208" s="126"/>
      <c r="AR208" s="274"/>
      <c r="AS208" s="126"/>
      <c r="AT208" s="126"/>
      <c r="AU208" s="126"/>
      <c r="AV208" s="126"/>
      <c r="AW208" s="126"/>
      <c r="AX208" s="394"/>
      <c r="AY208" s="394"/>
      <c r="AZ208" s="394"/>
      <c r="BA208" s="394"/>
      <c r="BB208" s="222">
        <f t="shared" si="78"/>
        <v>0</v>
      </c>
      <c r="BC208" s="113">
        <f t="shared" si="79"/>
        <v>0</v>
      </c>
      <c r="BD208" s="3"/>
      <c r="BE208" s="113">
        <f t="shared" si="80"/>
        <v>0</v>
      </c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30">
        <f t="shared" si="81"/>
        <v>0</v>
      </c>
      <c r="BU208" s="3"/>
    </row>
    <row r="209" ht="14.25" customHeight="1">
      <c r="A209" s="3"/>
      <c r="B209" s="215">
        <v>46206</v>
      </c>
      <c r="C209" s="123"/>
      <c r="D209" s="123"/>
      <c r="E209" s="120"/>
      <c r="F209" s="120"/>
      <c r="G209" s="147">
        <f t="shared" si="73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74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75"/>
        <v>0</v>
      </c>
      <c r="AH209" s="123"/>
      <c r="AI209" s="123"/>
      <c r="AJ209" s="123"/>
      <c r="AK209" s="105">
        <f t="shared" si="76"/>
        <v>0</v>
      </c>
      <c r="AL209" s="143"/>
      <c r="AM209" s="143"/>
      <c r="AN209" s="143"/>
      <c r="AO209" s="146"/>
      <c r="AP209" s="224">
        <f t="shared" si="77"/>
        <v>0</v>
      </c>
      <c r="AQ209" s="126"/>
      <c r="AR209" s="274"/>
      <c r="AS209" s="274"/>
      <c r="AT209" s="126"/>
      <c r="AU209" s="126"/>
      <c r="AV209" s="126"/>
      <c r="AW209" s="126"/>
      <c r="AX209" s="394"/>
      <c r="AY209" s="394"/>
      <c r="AZ209" s="394"/>
      <c r="BA209" s="394"/>
      <c r="BB209" s="222">
        <f t="shared" si="78"/>
        <v>0</v>
      </c>
      <c r="BC209" s="113">
        <f t="shared" si="79"/>
        <v>0</v>
      </c>
      <c r="BD209" s="3"/>
      <c r="BE209" s="113">
        <f t="shared" si="80"/>
        <v>0</v>
      </c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30">
        <f t="shared" si="81"/>
        <v>0</v>
      </c>
      <c r="BU209" s="3"/>
    </row>
    <row r="210" ht="14.25" customHeight="1">
      <c r="A210" s="3"/>
      <c r="B210" s="215">
        <v>46207</v>
      </c>
      <c r="C210" s="123"/>
      <c r="D210" s="123"/>
      <c r="E210" s="120"/>
      <c r="F210" s="120"/>
      <c r="G210" s="147">
        <f t="shared" si="73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74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75"/>
        <v>0</v>
      </c>
      <c r="AH210" s="123"/>
      <c r="AI210" s="123"/>
      <c r="AJ210" s="123"/>
      <c r="AK210" s="105">
        <f t="shared" si="76"/>
        <v>0</v>
      </c>
      <c r="AL210" s="143"/>
      <c r="AM210" s="143"/>
      <c r="AN210" s="143"/>
      <c r="AO210" s="146"/>
      <c r="AP210" s="224">
        <f t="shared" si="77"/>
        <v>0</v>
      </c>
      <c r="AQ210" s="126"/>
      <c r="AR210" s="274"/>
      <c r="AS210" s="274"/>
      <c r="AT210" s="126"/>
      <c r="AU210" s="126"/>
      <c r="AV210" s="126"/>
      <c r="AW210" s="126"/>
      <c r="AX210" s="394"/>
      <c r="AY210" s="394"/>
      <c r="AZ210" s="394"/>
      <c r="BA210" s="394"/>
      <c r="BB210" s="222">
        <f t="shared" si="78"/>
        <v>0</v>
      </c>
      <c r="BC210" s="113">
        <f t="shared" si="79"/>
        <v>0</v>
      </c>
      <c r="BD210" s="3"/>
      <c r="BE210" s="113">
        <f t="shared" si="80"/>
        <v>0</v>
      </c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30">
        <f t="shared" si="81"/>
        <v>0</v>
      </c>
      <c r="BU210" s="3"/>
    </row>
    <row r="211" ht="14.25" customHeight="1">
      <c r="A211" s="3"/>
      <c r="B211" s="215">
        <v>46208</v>
      </c>
      <c r="C211" s="123"/>
      <c r="D211" s="123"/>
      <c r="E211" s="120"/>
      <c r="F211" s="120"/>
      <c r="G211" s="147">
        <f t="shared" si="73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74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75"/>
        <v>0</v>
      </c>
      <c r="AH211" s="123"/>
      <c r="AI211" s="123"/>
      <c r="AJ211" s="123"/>
      <c r="AK211" s="105">
        <f t="shared" si="76"/>
        <v>0</v>
      </c>
      <c r="AL211" s="143"/>
      <c r="AM211" s="143"/>
      <c r="AN211" s="143"/>
      <c r="AO211" s="146"/>
      <c r="AP211" s="224">
        <f t="shared" si="77"/>
        <v>0</v>
      </c>
      <c r="AQ211" s="126"/>
      <c r="AR211" s="274"/>
      <c r="AS211" s="126"/>
      <c r="AT211" s="126"/>
      <c r="AU211" s="126"/>
      <c r="AV211" s="126"/>
      <c r="AW211" s="126"/>
      <c r="AX211" s="394"/>
      <c r="AY211" s="394"/>
      <c r="AZ211" s="394"/>
      <c r="BA211" s="394"/>
      <c r="BB211" s="222">
        <f t="shared" si="78"/>
        <v>0</v>
      </c>
      <c r="BC211" s="113">
        <f t="shared" si="79"/>
        <v>0</v>
      </c>
      <c r="BD211" s="3"/>
      <c r="BE211" s="113">
        <f t="shared" si="80"/>
        <v>0</v>
      </c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30">
        <f t="shared" si="81"/>
        <v>0</v>
      </c>
      <c r="BU211" s="3"/>
    </row>
    <row r="212" ht="14.25" customHeight="1">
      <c r="A212" s="132"/>
      <c r="B212" s="215">
        <v>46209</v>
      </c>
      <c r="C212" s="136"/>
      <c r="D212" s="136"/>
      <c r="E212" s="135"/>
      <c r="F212" s="135"/>
      <c r="G212" s="147">
        <f t="shared" si="73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74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75"/>
        <v>0</v>
      </c>
      <c r="AH212" s="136"/>
      <c r="AI212" s="136"/>
      <c r="AJ212" s="136"/>
      <c r="AK212" s="105">
        <f t="shared" si="76"/>
        <v>0</v>
      </c>
      <c r="AL212" s="143"/>
      <c r="AM212" s="143"/>
      <c r="AN212" s="143"/>
      <c r="AO212" s="146"/>
      <c r="AP212" s="224">
        <f t="shared" si="77"/>
        <v>0</v>
      </c>
      <c r="AQ212" s="126"/>
      <c r="AR212" s="274"/>
      <c r="AS212" s="126"/>
      <c r="AT212" s="126"/>
      <c r="AU212" s="126"/>
      <c r="AV212" s="126"/>
      <c r="AW212" s="126"/>
      <c r="AX212" s="394"/>
      <c r="AY212" s="394"/>
      <c r="AZ212" s="394"/>
      <c r="BA212" s="394"/>
      <c r="BB212" s="222">
        <f t="shared" si="78"/>
        <v>0</v>
      </c>
      <c r="BC212" s="140">
        <f t="shared" si="79"/>
        <v>0</v>
      </c>
      <c r="BD212" s="132"/>
      <c r="BE212" s="140">
        <f t="shared" si="80"/>
        <v>0</v>
      </c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30">
        <f t="shared" si="81"/>
        <v>0</v>
      </c>
      <c r="BU212" s="132"/>
    </row>
    <row r="213" ht="14.25" customHeight="1">
      <c r="A213" s="132"/>
      <c r="B213" s="215">
        <v>46210</v>
      </c>
      <c r="C213" s="136"/>
      <c r="D213" s="136"/>
      <c r="E213" s="135"/>
      <c r="F213" s="135"/>
      <c r="G213" s="147">
        <f t="shared" si="73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74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75"/>
        <v>0</v>
      </c>
      <c r="AH213" s="136"/>
      <c r="AI213" s="136"/>
      <c r="AJ213" s="136"/>
      <c r="AK213" s="105">
        <f t="shared" si="76"/>
        <v>0</v>
      </c>
      <c r="AL213" s="143"/>
      <c r="AM213" s="143"/>
      <c r="AN213" s="143"/>
      <c r="AO213" s="146"/>
      <c r="AP213" s="224">
        <f t="shared" si="77"/>
        <v>0</v>
      </c>
      <c r="AQ213" s="126"/>
      <c r="AR213" s="274"/>
      <c r="AS213" s="126"/>
      <c r="AT213" s="126"/>
      <c r="AU213" s="126"/>
      <c r="AV213" s="126"/>
      <c r="AW213" s="126"/>
      <c r="AX213" s="394"/>
      <c r="AY213" s="394"/>
      <c r="AZ213" s="394"/>
      <c r="BA213" s="394"/>
      <c r="BB213" s="222">
        <f t="shared" si="78"/>
        <v>0</v>
      </c>
      <c r="BC213" s="140">
        <f t="shared" si="79"/>
        <v>0</v>
      </c>
      <c r="BD213" s="132"/>
      <c r="BE213" s="140">
        <f t="shared" si="80"/>
        <v>0</v>
      </c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30">
        <f t="shared" si="81"/>
        <v>0</v>
      </c>
      <c r="BU213" s="132"/>
    </row>
    <row r="214" ht="14.25" customHeight="1">
      <c r="A214" s="132"/>
      <c r="B214" s="215">
        <v>46211</v>
      </c>
      <c r="C214" s="136"/>
      <c r="D214" s="136"/>
      <c r="E214" s="135"/>
      <c r="F214" s="135"/>
      <c r="G214" s="147">
        <f t="shared" si="73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74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75"/>
        <v>0</v>
      </c>
      <c r="AH214" s="136"/>
      <c r="AI214" s="136"/>
      <c r="AJ214" s="136"/>
      <c r="AK214" s="105">
        <f t="shared" si="76"/>
        <v>0</v>
      </c>
      <c r="AL214" s="143"/>
      <c r="AM214" s="143"/>
      <c r="AN214" s="143"/>
      <c r="AO214" s="146"/>
      <c r="AP214" s="224">
        <f t="shared" si="77"/>
        <v>0</v>
      </c>
      <c r="AQ214" s="126"/>
      <c r="AR214" s="274"/>
      <c r="AS214" s="126"/>
      <c r="AT214" s="126"/>
      <c r="AU214" s="126"/>
      <c r="AV214" s="126"/>
      <c r="AW214" s="126"/>
      <c r="AX214" s="394"/>
      <c r="AY214" s="394"/>
      <c r="AZ214" s="394"/>
      <c r="BA214" s="394"/>
      <c r="BB214" s="222">
        <f t="shared" si="78"/>
        <v>0</v>
      </c>
      <c r="BC214" s="140">
        <f t="shared" si="79"/>
        <v>0</v>
      </c>
      <c r="BD214" s="132"/>
      <c r="BE214" s="140">
        <f t="shared" si="80"/>
        <v>0</v>
      </c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30">
        <f t="shared" si="81"/>
        <v>0</v>
      </c>
      <c r="BU214" s="132"/>
    </row>
    <row r="215" ht="14.25" customHeight="1">
      <c r="A215" s="132"/>
      <c r="B215" s="215">
        <v>46212</v>
      </c>
      <c r="C215" s="136"/>
      <c r="D215" s="136"/>
      <c r="E215" s="135"/>
      <c r="F215" s="135"/>
      <c r="G215" s="147">
        <f t="shared" si="73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74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75"/>
        <v>0</v>
      </c>
      <c r="AH215" s="136"/>
      <c r="AI215" s="136"/>
      <c r="AJ215" s="136"/>
      <c r="AK215" s="105">
        <f t="shared" si="76"/>
        <v>0</v>
      </c>
      <c r="AL215" s="143"/>
      <c r="AM215" s="143"/>
      <c r="AN215" s="143"/>
      <c r="AO215" s="146"/>
      <c r="AP215" s="224">
        <f t="shared" si="77"/>
        <v>0</v>
      </c>
      <c r="AQ215" s="126"/>
      <c r="AR215" s="274"/>
      <c r="AS215" s="126"/>
      <c r="AT215" s="126"/>
      <c r="AU215" s="126"/>
      <c r="AV215" s="126"/>
      <c r="AW215" s="126"/>
      <c r="AX215" s="394"/>
      <c r="AY215" s="394"/>
      <c r="AZ215" s="394"/>
      <c r="BA215" s="394"/>
      <c r="BB215" s="222">
        <f t="shared" si="78"/>
        <v>0</v>
      </c>
      <c r="BC215" s="140">
        <f t="shared" si="79"/>
        <v>0</v>
      </c>
      <c r="BD215" s="132"/>
      <c r="BE215" s="140">
        <f t="shared" si="80"/>
        <v>0</v>
      </c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30">
        <f t="shared" si="81"/>
        <v>0</v>
      </c>
      <c r="BU215" s="132"/>
    </row>
    <row r="216" ht="14.25" customHeight="1">
      <c r="A216" s="132"/>
      <c r="B216" s="215">
        <v>46213</v>
      </c>
      <c r="C216" s="136"/>
      <c r="D216" s="136"/>
      <c r="E216" s="135"/>
      <c r="F216" s="135"/>
      <c r="G216" s="147">
        <f t="shared" si="73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74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75"/>
        <v>0</v>
      </c>
      <c r="AH216" s="136"/>
      <c r="AI216" s="136"/>
      <c r="AJ216" s="136"/>
      <c r="AK216" s="105">
        <f t="shared" si="76"/>
        <v>0</v>
      </c>
      <c r="AL216" s="143"/>
      <c r="AM216" s="143"/>
      <c r="AN216" s="143"/>
      <c r="AO216" s="146"/>
      <c r="AP216" s="224">
        <f t="shared" si="77"/>
        <v>0</v>
      </c>
      <c r="AQ216" s="126"/>
      <c r="AR216" s="274"/>
      <c r="AS216" s="126"/>
      <c r="AT216" s="126"/>
      <c r="AU216" s="126"/>
      <c r="AV216" s="126"/>
      <c r="AW216" s="126"/>
      <c r="AX216" s="394"/>
      <c r="AY216" s="394"/>
      <c r="AZ216" s="394"/>
      <c r="BA216" s="394"/>
      <c r="BB216" s="222">
        <f t="shared" si="78"/>
        <v>0</v>
      </c>
      <c r="BC216" s="140">
        <f t="shared" si="79"/>
        <v>0</v>
      </c>
      <c r="BD216" s="132"/>
      <c r="BE216" s="140">
        <f t="shared" si="80"/>
        <v>0</v>
      </c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30">
        <f t="shared" si="81"/>
        <v>0</v>
      </c>
      <c r="BU216" s="132"/>
    </row>
    <row r="217" ht="14.25" customHeight="1">
      <c r="A217" s="132"/>
      <c r="B217" s="215">
        <v>46214</v>
      </c>
      <c r="C217" s="136"/>
      <c r="D217" s="136"/>
      <c r="E217" s="135"/>
      <c r="F217" s="135"/>
      <c r="G217" s="147">
        <f t="shared" si="73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74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75"/>
        <v>0</v>
      </c>
      <c r="AH217" s="136"/>
      <c r="AI217" s="136"/>
      <c r="AJ217" s="136"/>
      <c r="AK217" s="105">
        <f t="shared" si="76"/>
        <v>0</v>
      </c>
      <c r="AL217" s="143"/>
      <c r="AM217" s="143"/>
      <c r="AN217" s="143"/>
      <c r="AO217" s="146"/>
      <c r="AP217" s="224">
        <f t="shared" si="77"/>
        <v>0</v>
      </c>
      <c r="AQ217" s="126"/>
      <c r="AR217" s="274"/>
      <c r="AS217" s="126"/>
      <c r="AT217" s="126"/>
      <c r="AU217" s="126"/>
      <c r="AV217" s="126"/>
      <c r="AW217" s="126"/>
      <c r="AX217" s="394"/>
      <c r="AY217" s="394"/>
      <c r="AZ217" s="394"/>
      <c r="BA217" s="394"/>
      <c r="BB217" s="222">
        <f t="shared" si="78"/>
        <v>0</v>
      </c>
      <c r="BC217" s="140">
        <f t="shared" si="79"/>
        <v>0</v>
      </c>
      <c r="BD217" s="132"/>
      <c r="BE217" s="140">
        <f t="shared" si="80"/>
        <v>0</v>
      </c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30">
        <f t="shared" si="81"/>
        <v>0</v>
      </c>
      <c r="BU217" s="132"/>
    </row>
    <row r="218" ht="14.25" customHeight="1">
      <c r="A218" s="3"/>
      <c r="B218" s="215">
        <v>46215</v>
      </c>
      <c r="C218" s="123"/>
      <c r="D218" s="123"/>
      <c r="E218" s="120"/>
      <c r="F218" s="120"/>
      <c r="G218" s="147">
        <f t="shared" si="73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74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75"/>
        <v>0</v>
      </c>
      <c r="AH218" s="123"/>
      <c r="AI218" s="123"/>
      <c r="AJ218" s="123"/>
      <c r="AK218" s="105">
        <f t="shared" si="76"/>
        <v>0</v>
      </c>
      <c r="AL218" s="143"/>
      <c r="AM218" s="143"/>
      <c r="AN218" s="143"/>
      <c r="AO218" s="146"/>
      <c r="AP218" s="224">
        <f t="shared" si="77"/>
        <v>0</v>
      </c>
      <c r="AQ218" s="126"/>
      <c r="AR218" s="274"/>
      <c r="AS218" s="126"/>
      <c r="AT218" s="126"/>
      <c r="AU218" s="126"/>
      <c r="AV218" s="126"/>
      <c r="AW218" s="126"/>
      <c r="AX218" s="394"/>
      <c r="AY218" s="394"/>
      <c r="AZ218" s="394"/>
      <c r="BA218" s="394"/>
      <c r="BB218" s="222">
        <f t="shared" si="78"/>
        <v>0</v>
      </c>
      <c r="BC218" s="113">
        <f t="shared" si="79"/>
        <v>0</v>
      </c>
      <c r="BD218" s="3"/>
      <c r="BE218" s="113">
        <f t="shared" si="80"/>
        <v>0</v>
      </c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30">
        <f t="shared" si="81"/>
        <v>0</v>
      </c>
      <c r="BU218" s="3"/>
    </row>
    <row r="219" ht="14.25" customHeight="1">
      <c r="A219" s="3"/>
      <c r="B219" s="215">
        <v>46216</v>
      </c>
      <c r="C219" s="123"/>
      <c r="D219" s="123"/>
      <c r="E219" s="120"/>
      <c r="F219" s="120"/>
      <c r="G219" s="147">
        <f t="shared" si="73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74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75"/>
        <v>0</v>
      </c>
      <c r="AH219" s="123"/>
      <c r="AI219" s="123"/>
      <c r="AJ219" s="123"/>
      <c r="AK219" s="105">
        <f t="shared" si="76"/>
        <v>0</v>
      </c>
      <c r="AL219" s="143"/>
      <c r="AM219" s="143"/>
      <c r="AN219" s="143"/>
      <c r="AO219" s="146"/>
      <c r="AP219" s="224">
        <f t="shared" si="77"/>
        <v>0</v>
      </c>
      <c r="AQ219" s="126"/>
      <c r="AR219" s="274"/>
      <c r="AS219" s="126"/>
      <c r="AT219" s="126"/>
      <c r="AU219" s="126"/>
      <c r="AV219" s="126"/>
      <c r="AW219" s="126"/>
      <c r="AX219" s="394"/>
      <c r="AY219" s="394"/>
      <c r="AZ219" s="394"/>
      <c r="BA219" s="394"/>
      <c r="BB219" s="222">
        <f t="shared" si="78"/>
        <v>0</v>
      </c>
      <c r="BC219" s="113">
        <f t="shared" si="79"/>
        <v>0</v>
      </c>
      <c r="BD219" s="3"/>
      <c r="BE219" s="113">
        <f t="shared" si="80"/>
        <v>0</v>
      </c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30">
        <f t="shared" si="81"/>
        <v>0</v>
      </c>
      <c r="BU219" s="3"/>
    </row>
    <row r="220" ht="14.25" customHeight="1">
      <c r="A220" s="132"/>
      <c r="B220" s="215">
        <v>46217</v>
      </c>
      <c r="C220" s="136"/>
      <c r="D220" s="136"/>
      <c r="E220" s="135"/>
      <c r="F220" s="135"/>
      <c r="G220" s="147">
        <f t="shared" si="73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74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75"/>
        <v>0</v>
      </c>
      <c r="AH220" s="136"/>
      <c r="AI220" s="136"/>
      <c r="AJ220" s="136"/>
      <c r="AK220" s="105">
        <f t="shared" si="76"/>
        <v>0</v>
      </c>
      <c r="AL220" s="143"/>
      <c r="AM220" s="143"/>
      <c r="AN220" s="143"/>
      <c r="AO220" s="146"/>
      <c r="AP220" s="224">
        <f t="shared" si="77"/>
        <v>0</v>
      </c>
      <c r="AQ220" s="126"/>
      <c r="AR220" s="274"/>
      <c r="AS220" s="126"/>
      <c r="AT220" s="126"/>
      <c r="AU220" s="126"/>
      <c r="AV220" s="126"/>
      <c r="AW220" s="126"/>
      <c r="AX220" s="394"/>
      <c r="AY220" s="394"/>
      <c r="AZ220" s="394"/>
      <c r="BA220" s="394"/>
      <c r="BB220" s="222">
        <f t="shared" si="78"/>
        <v>0</v>
      </c>
      <c r="BC220" s="140">
        <f t="shared" si="79"/>
        <v>0</v>
      </c>
      <c r="BD220" s="132"/>
      <c r="BE220" s="140">
        <f t="shared" si="80"/>
        <v>0</v>
      </c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30">
        <f t="shared" si="81"/>
        <v>0</v>
      </c>
      <c r="BU220" s="132"/>
    </row>
    <row r="221" ht="14.25" customHeight="1">
      <c r="A221" s="132"/>
      <c r="B221" s="215">
        <v>46218</v>
      </c>
      <c r="C221" s="136"/>
      <c r="D221" s="136"/>
      <c r="E221" s="135"/>
      <c r="F221" s="135"/>
      <c r="G221" s="147">
        <f t="shared" si="73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74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75"/>
        <v>0</v>
      </c>
      <c r="AH221" s="136"/>
      <c r="AI221" s="136"/>
      <c r="AJ221" s="136"/>
      <c r="AK221" s="105">
        <f t="shared" si="76"/>
        <v>0</v>
      </c>
      <c r="AL221" s="143"/>
      <c r="AM221" s="143"/>
      <c r="AN221" s="143"/>
      <c r="AO221" s="146"/>
      <c r="AP221" s="224">
        <f t="shared" si="77"/>
        <v>0</v>
      </c>
      <c r="AQ221" s="126"/>
      <c r="AR221" s="274"/>
      <c r="AS221" s="126"/>
      <c r="AT221" s="126"/>
      <c r="AU221" s="126"/>
      <c r="AV221" s="126"/>
      <c r="AW221" s="126"/>
      <c r="AX221" s="394"/>
      <c r="AY221" s="394"/>
      <c r="AZ221" s="394"/>
      <c r="BA221" s="394"/>
      <c r="BB221" s="222">
        <f t="shared" si="78"/>
        <v>0</v>
      </c>
      <c r="BC221" s="140">
        <f t="shared" si="79"/>
        <v>0</v>
      </c>
      <c r="BD221" s="132"/>
      <c r="BE221" s="140">
        <f t="shared" si="80"/>
        <v>0</v>
      </c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30">
        <f t="shared" si="81"/>
        <v>0</v>
      </c>
      <c r="BU221" s="132"/>
    </row>
    <row r="222" ht="14.25" customHeight="1">
      <c r="A222" s="132"/>
      <c r="B222" s="215">
        <v>46219</v>
      </c>
      <c r="C222" s="136"/>
      <c r="D222" s="136"/>
      <c r="E222" s="135"/>
      <c r="F222" s="135"/>
      <c r="G222" s="147">
        <f t="shared" si="73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74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75"/>
        <v>0</v>
      </c>
      <c r="AH222" s="136"/>
      <c r="AI222" s="136"/>
      <c r="AJ222" s="136"/>
      <c r="AK222" s="105">
        <f t="shared" si="76"/>
        <v>0</v>
      </c>
      <c r="AL222" s="143"/>
      <c r="AM222" s="143"/>
      <c r="AN222" s="143"/>
      <c r="AO222" s="146"/>
      <c r="AP222" s="224">
        <f t="shared" si="77"/>
        <v>0</v>
      </c>
      <c r="AQ222" s="126"/>
      <c r="AR222" s="274"/>
      <c r="AS222" s="126"/>
      <c r="AT222" s="126"/>
      <c r="AU222" s="126"/>
      <c r="AV222" s="126"/>
      <c r="AW222" s="126"/>
      <c r="AX222" s="394"/>
      <c r="AY222" s="394"/>
      <c r="AZ222" s="394"/>
      <c r="BA222" s="394"/>
      <c r="BB222" s="222">
        <f t="shared" si="78"/>
        <v>0</v>
      </c>
      <c r="BC222" s="140">
        <f t="shared" si="79"/>
        <v>0</v>
      </c>
      <c r="BD222" s="132"/>
      <c r="BE222" s="140">
        <f t="shared" si="80"/>
        <v>0</v>
      </c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30">
        <f t="shared" si="81"/>
        <v>0</v>
      </c>
      <c r="BU222" s="132"/>
    </row>
    <row r="223" ht="14.25" customHeight="1">
      <c r="A223" s="132"/>
      <c r="B223" s="215">
        <v>46220</v>
      </c>
      <c r="C223" s="136"/>
      <c r="D223" s="136"/>
      <c r="E223" s="135"/>
      <c r="F223" s="135"/>
      <c r="G223" s="147">
        <f t="shared" si="73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74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75"/>
        <v>0</v>
      </c>
      <c r="AH223" s="136"/>
      <c r="AI223" s="136"/>
      <c r="AJ223" s="136"/>
      <c r="AK223" s="105">
        <f t="shared" si="76"/>
        <v>0</v>
      </c>
      <c r="AL223" s="143"/>
      <c r="AM223" s="143"/>
      <c r="AN223" s="143"/>
      <c r="AO223" s="146"/>
      <c r="AP223" s="224">
        <f t="shared" si="77"/>
        <v>0</v>
      </c>
      <c r="AQ223" s="126"/>
      <c r="AR223" s="274"/>
      <c r="AS223" s="126"/>
      <c r="AT223" s="126"/>
      <c r="AU223" s="126"/>
      <c r="AV223" s="126"/>
      <c r="AW223" s="126"/>
      <c r="AX223" s="394"/>
      <c r="AY223" s="394"/>
      <c r="AZ223" s="394"/>
      <c r="BA223" s="394"/>
      <c r="BB223" s="222">
        <f t="shared" si="78"/>
        <v>0</v>
      </c>
      <c r="BC223" s="140">
        <f t="shared" si="79"/>
        <v>0</v>
      </c>
      <c r="BD223" s="132"/>
      <c r="BE223" s="140">
        <f t="shared" si="80"/>
        <v>0</v>
      </c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30">
        <f t="shared" si="81"/>
        <v>0</v>
      </c>
      <c r="BU223" s="132"/>
    </row>
    <row r="224" ht="14.25" customHeight="1">
      <c r="A224" s="132"/>
      <c r="B224" s="215">
        <v>46221</v>
      </c>
      <c r="C224" s="136"/>
      <c r="D224" s="136"/>
      <c r="E224" s="135"/>
      <c r="F224" s="135"/>
      <c r="G224" s="147">
        <f t="shared" si="73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74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75"/>
        <v>0</v>
      </c>
      <c r="AH224" s="136"/>
      <c r="AI224" s="136"/>
      <c r="AJ224" s="136"/>
      <c r="AK224" s="105">
        <f t="shared" si="76"/>
        <v>0</v>
      </c>
      <c r="AL224" s="143"/>
      <c r="AM224" s="143"/>
      <c r="AN224" s="143"/>
      <c r="AO224" s="146"/>
      <c r="AP224" s="224">
        <f t="shared" si="77"/>
        <v>0</v>
      </c>
      <c r="AQ224" s="126"/>
      <c r="AR224" s="274"/>
      <c r="AS224" s="126"/>
      <c r="AT224" s="126"/>
      <c r="AU224" s="126"/>
      <c r="AV224" s="126"/>
      <c r="AW224" s="126"/>
      <c r="AX224" s="394"/>
      <c r="AY224" s="394"/>
      <c r="AZ224" s="394"/>
      <c r="BA224" s="394"/>
      <c r="BB224" s="222">
        <f t="shared" si="78"/>
        <v>0</v>
      </c>
      <c r="BC224" s="140">
        <f t="shared" si="79"/>
        <v>0</v>
      </c>
      <c r="BD224" s="132"/>
      <c r="BE224" s="140">
        <f t="shared" si="80"/>
        <v>0</v>
      </c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30">
        <f t="shared" si="81"/>
        <v>0</v>
      </c>
      <c r="BU224" s="132"/>
    </row>
    <row r="225" ht="14.25" customHeight="1">
      <c r="A225" s="132"/>
      <c r="B225" s="215">
        <v>46222</v>
      </c>
      <c r="C225" s="136"/>
      <c r="D225" s="136"/>
      <c r="E225" s="135"/>
      <c r="F225" s="135"/>
      <c r="G225" s="147">
        <f t="shared" si="73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74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75"/>
        <v>0</v>
      </c>
      <c r="AH225" s="136"/>
      <c r="AI225" s="136"/>
      <c r="AJ225" s="136"/>
      <c r="AK225" s="105">
        <f t="shared" si="76"/>
        <v>0</v>
      </c>
      <c r="AL225" s="143"/>
      <c r="AM225" s="143"/>
      <c r="AN225" s="143"/>
      <c r="AO225" s="146"/>
      <c r="AP225" s="224">
        <f t="shared" si="77"/>
        <v>0</v>
      </c>
      <c r="AQ225" s="126"/>
      <c r="AR225" s="274"/>
      <c r="AS225" s="126"/>
      <c r="AT225" s="126"/>
      <c r="AU225" s="126"/>
      <c r="AV225" s="126"/>
      <c r="AW225" s="126"/>
      <c r="AX225" s="394"/>
      <c r="AY225" s="394"/>
      <c r="AZ225" s="394"/>
      <c r="BA225" s="394"/>
      <c r="BB225" s="222">
        <f t="shared" si="78"/>
        <v>0</v>
      </c>
      <c r="BC225" s="140">
        <f t="shared" si="79"/>
        <v>0</v>
      </c>
      <c r="BD225" s="132"/>
      <c r="BE225" s="140">
        <f t="shared" si="80"/>
        <v>0</v>
      </c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30">
        <f t="shared" si="81"/>
        <v>0</v>
      </c>
      <c r="BU225" s="132"/>
    </row>
    <row r="226" ht="14.25" customHeight="1">
      <c r="A226" s="132"/>
      <c r="B226" s="215">
        <v>46223</v>
      </c>
      <c r="C226" s="136"/>
      <c r="D226" s="136"/>
      <c r="E226" s="135"/>
      <c r="F226" s="135"/>
      <c r="G226" s="147">
        <f t="shared" si="73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74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75"/>
        <v>0</v>
      </c>
      <c r="AH226" s="136"/>
      <c r="AI226" s="136"/>
      <c r="AJ226" s="136"/>
      <c r="AK226" s="105">
        <f t="shared" si="76"/>
        <v>0</v>
      </c>
      <c r="AL226" s="143"/>
      <c r="AM226" s="143"/>
      <c r="AN226" s="143"/>
      <c r="AO226" s="146"/>
      <c r="AP226" s="224">
        <f t="shared" si="77"/>
        <v>0</v>
      </c>
      <c r="AQ226" s="126"/>
      <c r="AR226" s="274"/>
      <c r="AS226" s="126"/>
      <c r="AT226" s="126"/>
      <c r="AU226" s="126"/>
      <c r="AV226" s="126"/>
      <c r="AW226" s="126"/>
      <c r="AX226" s="394"/>
      <c r="AY226" s="394"/>
      <c r="AZ226" s="394"/>
      <c r="BA226" s="394"/>
      <c r="BB226" s="222">
        <f t="shared" si="78"/>
        <v>0</v>
      </c>
      <c r="BC226" s="140">
        <f t="shared" si="79"/>
        <v>0</v>
      </c>
      <c r="BD226" s="132"/>
      <c r="BE226" s="140">
        <f t="shared" si="80"/>
        <v>0</v>
      </c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30">
        <f t="shared" si="81"/>
        <v>0</v>
      </c>
      <c r="BU226" s="132"/>
    </row>
    <row r="227" ht="14.25" customHeight="1">
      <c r="A227" s="132"/>
      <c r="B227" s="215">
        <v>46224</v>
      </c>
      <c r="C227" s="136"/>
      <c r="D227" s="136"/>
      <c r="E227" s="136"/>
      <c r="F227" s="135"/>
      <c r="G227" s="147">
        <f t="shared" si="73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74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75"/>
        <v>0</v>
      </c>
      <c r="AH227" s="136"/>
      <c r="AI227" s="136"/>
      <c r="AJ227" s="136"/>
      <c r="AK227" s="105">
        <f t="shared" si="76"/>
        <v>0</v>
      </c>
      <c r="AL227" s="143"/>
      <c r="AM227" s="143"/>
      <c r="AN227" s="143"/>
      <c r="AO227" s="146"/>
      <c r="AP227" s="224">
        <f t="shared" si="77"/>
        <v>0</v>
      </c>
      <c r="AQ227" s="126"/>
      <c r="AR227" s="274"/>
      <c r="AS227" s="126"/>
      <c r="AT227" s="126"/>
      <c r="AU227" s="126"/>
      <c r="AV227" s="126"/>
      <c r="AW227" s="126"/>
      <c r="AX227" s="394"/>
      <c r="AY227" s="394"/>
      <c r="AZ227" s="394"/>
      <c r="BA227" s="394"/>
      <c r="BB227" s="222">
        <f t="shared" si="78"/>
        <v>0</v>
      </c>
      <c r="BC227" s="140">
        <f t="shared" si="79"/>
        <v>0</v>
      </c>
      <c r="BD227" s="132"/>
      <c r="BE227" s="140">
        <f t="shared" si="80"/>
        <v>0</v>
      </c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30">
        <f t="shared" si="81"/>
        <v>0</v>
      </c>
      <c r="BU227" s="132"/>
    </row>
    <row r="228" ht="14.25" customHeight="1">
      <c r="A228" s="132"/>
      <c r="B228" s="215">
        <v>46225</v>
      </c>
      <c r="C228" s="136"/>
      <c r="D228" s="136"/>
      <c r="E228" s="136"/>
      <c r="F228" s="135"/>
      <c r="G228" s="147">
        <f t="shared" si="73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74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75"/>
        <v>0</v>
      </c>
      <c r="AH228" s="136"/>
      <c r="AI228" s="136"/>
      <c r="AJ228" s="136"/>
      <c r="AK228" s="105">
        <f t="shared" si="76"/>
        <v>0</v>
      </c>
      <c r="AL228" s="143"/>
      <c r="AM228" s="143"/>
      <c r="AN228" s="143"/>
      <c r="AO228" s="146"/>
      <c r="AP228" s="224">
        <f t="shared" si="77"/>
        <v>0</v>
      </c>
      <c r="AQ228" s="126"/>
      <c r="AR228" s="274"/>
      <c r="AS228" s="126"/>
      <c r="AT228" s="126"/>
      <c r="AU228" s="126"/>
      <c r="AV228" s="126"/>
      <c r="AW228" s="126"/>
      <c r="AX228" s="394"/>
      <c r="AY228" s="394"/>
      <c r="AZ228" s="394"/>
      <c r="BA228" s="394"/>
      <c r="BB228" s="222">
        <f t="shared" si="78"/>
        <v>0</v>
      </c>
      <c r="BC228" s="140">
        <f t="shared" si="79"/>
        <v>0</v>
      </c>
      <c r="BD228" s="132"/>
      <c r="BE228" s="140">
        <f t="shared" si="80"/>
        <v>0</v>
      </c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30">
        <f t="shared" si="81"/>
        <v>0</v>
      </c>
      <c r="BU228" s="132"/>
    </row>
    <row r="229" ht="14.25" customHeight="1">
      <c r="A229" s="132"/>
      <c r="B229" s="215">
        <v>46226</v>
      </c>
      <c r="C229" s="136"/>
      <c r="D229" s="136"/>
      <c r="E229" s="136"/>
      <c r="F229" s="135"/>
      <c r="G229" s="147">
        <f t="shared" si="73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74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75"/>
        <v>0</v>
      </c>
      <c r="AH229" s="136"/>
      <c r="AI229" s="136"/>
      <c r="AJ229" s="136"/>
      <c r="AK229" s="105">
        <f t="shared" si="76"/>
        <v>0</v>
      </c>
      <c r="AL229" s="143"/>
      <c r="AM229" s="143"/>
      <c r="AN229" s="143"/>
      <c r="AO229" s="146"/>
      <c r="AP229" s="224">
        <f t="shared" si="77"/>
        <v>0</v>
      </c>
      <c r="AQ229" s="126"/>
      <c r="AR229" s="274"/>
      <c r="AS229" s="126"/>
      <c r="AT229" s="126"/>
      <c r="AU229" s="126"/>
      <c r="AV229" s="126"/>
      <c r="AW229" s="126"/>
      <c r="AX229" s="394"/>
      <c r="AY229" s="394"/>
      <c r="AZ229" s="394"/>
      <c r="BA229" s="394"/>
      <c r="BB229" s="222">
        <f t="shared" si="78"/>
        <v>0</v>
      </c>
      <c r="BC229" s="140">
        <f t="shared" si="79"/>
        <v>0</v>
      </c>
      <c r="BD229" s="132"/>
      <c r="BE229" s="140">
        <f t="shared" si="80"/>
        <v>0</v>
      </c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30">
        <f t="shared" si="81"/>
        <v>0</v>
      </c>
      <c r="BU229" s="132"/>
    </row>
    <row r="230" ht="14.25" customHeight="1">
      <c r="A230" s="132"/>
      <c r="B230" s="215">
        <v>46227</v>
      </c>
      <c r="C230" s="136"/>
      <c r="D230" s="136"/>
      <c r="E230" s="136"/>
      <c r="F230" s="135"/>
      <c r="G230" s="147">
        <f t="shared" si="73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74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75"/>
        <v>0</v>
      </c>
      <c r="AH230" s="136"/>
      <c r="AI230" s="136"/>
      <c r="AJ230" s="136"/>
      <c r="AK230" s="105">
        <f t="shared" si="76"/>
        <v>0</v>
      </c>
      <c r="AL230" s="143"/>
      <c r="AM230" s="143"/>
      <c r="AN230" s="143"/>
      <c r="AO230" s="146"/>
      <c r="AP230" s="224">
        <f t="shared" si="77"/>
        <v>0</v>
      </c>
      <c r="AQ230" s="126"/>
      <c r="AR230" s="274"/>
      <c r="AS230" s="126"/>
      <c r="AT230" s="126"/>
      <c r="AU230" s="126"/>
      <c r="AV230" s="126"/>
      <c r="AW230" s="126"/>
      <c r="AX230" s="394"/>
      <c r="AY230" s="394"/>
      <c r="AZ230" s="394"/>
      <c r="BA230" s="394"/>
      <c r="BB230" s="222">
        <f t="shared" si="78"/>
        <v>0</v>
      </c>
      <c r="BC230" s="140">
        <f t="shared" si="79"/>
        <v>0</v>
      </c>
      <c r="BD230" s="132"/>
      <c r="BE230" s="140">
        <f t="shared" si="80"/>
        <v>0</v>
      </c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30">
        <f t="shared" si="81"/>
        <v>0</v>
      </c>
      <c r="BU230" s="132"/>
    </row>
    <row r="231" ht="14.25" customHeight="1">
      <c r="A231" s="132"/>
      <c r="B231" s="215">
        <v>46228</v>
      </c>
      <c r="C231" s="136"/>
      <c r="D231" s="136"/>
      <c r="E231" s="136"/>
      <c r="F231" s="135"/>
      <c r="G231" s="147">
        <f t="shared" si="73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74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75"/>
        <v>0</v>
      </c>
      <c r="AH231" s="136"/>
      <c r="AI231" s="136"/>
      <c r="AJ231" s="136"/>
      <c r="AK231" s="105">
        <f t="shared" si="76"/>
        <v>0</v>
      </c>
      <c r="AL231" s="143"/>
      <c r="AM231" s="143"/>
      <c r="AN231" s="143"/>
      <c r="AO231" s="146"/>
      <c r="AP231" s="224">
        <f t="shared" si="77"/>
        <v>0</v>
      </c>
      <c r="AQ231" s="126"/>
      <c r="AR231" s="274"/>
      <c r="AS231" s="126"/>
      <c r="AT231" s="126"/>
      <c r="AU231" s="126"/>
      <c r="AV231" s="126"/>
      <c r="AW231" s="126"/>
      <c r="AX231" s="394"/>
      <c r="AY231" s="394"/>
      <c r="AZ231" s="394"/>
      <c r="BA231" s="394"/>
      <c r="BB231" s="222">
        <f t="shared" si="78"/>
        <v>0</v>
      </c>
      <c r="BC231" s="140">
        <f t="shared" si="79"/>
        <v>0</v>
      </c>
      <c r="BD231" s="132"/>
      <c r="BE231" s="140">
        <f t="shared" si="80"/>
        <v>0</v>
      </c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30">
        <f t="shared" si="81"/>
        <v>0</v>
      </c>
      <c r="BU231" s="132"/>
    </row>
    <row r="232" ht="14.25" customHeight="1">
      <c r="A232" s="132"/>
      <c r="B232" s="215">
        <v>46229</v>
      </c>
      <c r="C232" s="136"/>
      <c r="D232" s="136"/>
      <c r="E232" s="135"/>
      <c r="F232" s="135"/>
      <c r="G232" s="147">
        <f t="shared" si="73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74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75"/>
        <v>0</v>
      </c>
      <c r="AH232" s="136"/>
      <c r="AI232" s="136"/>
      <c r="AJ232" s="136"/>
      <c r="AK232" s="105">
        <f t="shared" si="76"/>
        <v>0</v>
      </c>
      <c r="AL232" s="143"/>
      <c r="AM232" s="143"/>
      <c r="AN232" s="143"/>
      <c r="AO232" s="146"/>
      <c r="AP232" s="224">
        <f t="shared" si="77"/>
        <v>0</v>
      </c>
      <c r="AQ232" s="126"/>
      <c r="AR232" s="274"/>
      <c r="AS232" s="126"/>
      <c r="AT232" s="126"/>
      <c r="AU232" s="126"/>
      <c r="AV232" s="126"/>
      <c r="AW232" s="126"/>
      <c r="AX232" s="394"/>
      <c r="AY232" s="394"/>
      <c r="AZ232" s="394"/>
      <c r="BA232" s="394"/>
      <c r="BB232" s="222">
        <f t="shared" si="78"/>
        <v>0</v>
      </c>
      <c r="BC232" s="140">
        <f t="shared" si="79"/>
        <v>0</v>
      </c>
      <c r="BD232" s="132"/>
      <c r="BE232" s="140">
        <f t="shared" si="80"/>
        <v>0</v>
      </c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30">
        <f t="shared" si="81"/>
        <v>0</v>
      </c>
      <c r="BU232" s="132"/>
    </row>
    <row r="233" ht="14.25" customHeight="1">
      <c r="A233" s="132"/>
      <c r="B233" s="215">
        <v>46230</v>
      </c>
      <c r="C233" s="136"/>
      <c r="D233" s="136"/>
      <c r="E233" s="135"/>
      <c r="F233" s="135"/>
      <c r="G233" s="147">
        <f t="shared" si="73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74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75"/>
        <v>0</v>
      </c>
      <c r="AH233" s="136"/>
      <c r="AI233" s="136"/>
      <c r="AJ233" s="136"/>
      <c r="AK233" s="105">
        <f t="shared" si="76"/>
        <v>0</v>
      </c>
      <c r="AL233" s="143"/>
      <c r="AM233" s="143"/>
      <c r="AN233" s="143"/>
      <c r="AO233" s="146"/>
      <c r="AP233" s="224">
        <f t="shared" si="77"/>
        <v>0</v>
      </c>
      <c r="AQ233" s="126"/>
      <c r="AR233" s="274"/>
      <c r="AS233" s="126"/>
      <c r="AT233" s="126"/>
      <c r="AU233" s="126"/>
      <c r="AV233" s="126"/>
      <c r="AW233" s="126"/>
      <c r="AX233" s="394"/>
      <c r="AY233" s="394"/>
      <c r="AZ233" s="394"/>
      <c r="BA233" s="394"/>
      <c r="BB233" s="222">
        <f t="shared" si="78"/>
        <v>0</v>
      </c>
      <c r="BC233" s="140">
        <f t="shared" si="79"/>
        <v>0</v>
      </c>
      <c r="BD233" s="132"/>
      <c r="BE233" s="140">
        <f t="shared" si="80"/>
        <v>0</v>
      </c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30">
        <f t="shared" si="81"/>
        <v>0</v>
      </c>
      <c r="BU233" s="132"/>
    </row>
    <row r="234" ht="14.25" customHeight="1">
      <c r="A234" s="132"/>
      <c r="B234" s="215">
        <v>46231</v>
      </c>
      <c r="C234" s="136"/>
      <c r="D234" s="136"/>
      <c r="E234" s="135"/>
      <c r="F234" s="135"/>
      <c r="G234" s="147">
        <f t="shared" si="73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74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75"/>
        <v>0</v>
      </c>
      <c r="AH234" s="136"/>
      <c r="AI234" s="136"/>
      <c r="AJ234" s="136"/>
      <c r="AK234" s="105">
        <f t="shared" si="76"/>
        <v>0</v>
      </c>
      <c r="AL234" s="143"/>
      <c r="AM234" s="143"/>
      <c r="AN234" s="143"/>
      <c r="AO234" s="146"/>
      <c r="AP234" s="224">
        <f t="shared" si="77"/>
        <v>0</v>
      </c>
      <c r="AQ234" s="126"/>
      <c r="AR234" s="274"/>
      <c r="AS234" s="126"/>
      <c r="AT234" s="126"/>
      <c r="AU234" s="126"/>
      <c r="AV234" s="126"/>
      <c r="AW234" s="126"/>
      <c r="AX234" s="394"/>
      <c r="AY234" s="394"/>
      <c r="AZ234" s="394"/>
      <c r="BA234" s="394"/>
      <c r="BB234" s="222">
        <f t="shared" si="78"/>
        <v>0</v>
      </c>
      <c r="BC234" s="140">
        <f t="shared" si="79"/>
        <v>0</v>
      </c>
      <c r="BD234" s="132"/>
      <c r="BE234" s="140">
        <f t="shared" si="80"/>
        <v>0</v>
      </c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30">
        <f t="shared" si="81"/>
        <v>0</v>
      </c>
      <c r="BU234" s="132"/>
    </row>
    <row r="235" ht="14.25" customHeight="1">
      <c r="A235" s="132"/>
      <c r="B235" s="215">
        <v>46232</v>
      </c>
      <c r="C235" s="136"/>
      <c r="D235" s="136"/>
      <c r="E235" s="135"/>
      <c r="F235" s="135"/>
      <c r="G235" s="147">
        <f t="shared" si="73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74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75"/>
        <v>0</v>
      </c>
      <c r="AH235" s="136"/>
      <c r="AI235" s="136"/>
      <c r="AJ235" s="136"/>
      <c r="AK235" s="105">
        <f t="shared" si="76"/>
        <v>0</v>
      </c>
      <c r="AL235" s="143"/>
      <c r="AM235" s="143"/>
      <c r="AN235" s="143"/>
      <c r="AO235" s="146"/>
      <c r="AP235" s="224">
        <f t="shared" si="77"/>
        <v>0</v>
      </c>
      <c r="AQ235" s="126"/>
      <c r="AR235" s="274"/>
      <c r="AS235" s="126"/>
      <c r="AT235" s="126"/>
      <c r="AU235" s="126"/>
      <c r="AV235" s="126"/>
      <c r="AW235" s="126"/>
      <c r="AX235" s="394"/>
      <c r="AY235" s="394"/>
      <c r="AZ235" s="394"/>
      <c r="BA235" s="394"/>
      <c r="BB235" s="222">
        <f t="shared" si="78"/>
        <v>0</v>
      </c>
      <c r="BC235" s="140">
        <f t="shared" si="79"/>
        <v>0</v>
      </c>
      <c r="BD235" s="132"/>
      <c r="BE235" s="140">
        <f t="shared" si="80"/>
        <v>0</v>
      </c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30">
        <f t="shared" si="81"/>
        <v>0</v>
      </c>
      <c r="BU235" s="132"/>
    </row>
    <row r="236" ht="14.25" customHeight="1">
      <c r="A236" s="132"/>
      <c r="B236" s="215">
        <v>46233</v>
      </c>
      <c r="C236" s="136"/>
      <c r="D236" s="136"/>
      <c r="E236" s="135"/>
      <c r="F236" s="135"/>
      <c r="G236" s="147">
        <f t="shared" si="73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74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75"/>
        <v>0</v>
      </c>
      <c r="AH236" s="136"/>
      <c r="AI236" s="136"/>
      <c r="AJ236" s="136"/>
      <c r="AK236" s="105">
        <f t="shared" si="76"/>
        <v>0</v>
      </c>
      <c r="AL236" s="143"/>
      <c r="AM236" s="143"/>
      <c r="AN236" s="143"/>
      <c r="AO236" s="146"/>
      <c r="AP236" s="224">
        <f t="shared" si="77"/>
        <v>0</v>
      </c>
      <c r="AQ236" s="126"/>
      <c r="AR236" s="274"/>
      <c r="AS236" s="126"/>
      <c r="AT236" s="126"/>
      <c r="AU236" s="126"/>
      <c r="AV236" s="126"/>
      <c r="AW236" s="126"/>
      <c r="AX236" s="394"/>
      <c r="AY236" s="394"/>
      <c r="AZ236" s="394"/>
      <c r="BA236" s="394"/>
      <c r="BB236" s="222">
        <f t="shared" si="78"/>
        <v>0</v>
      </c>
      <c r="BC236" s="140">
        <f t="shared" si="79"/>
        <v>0</v>
      </c>
      <c r="BD236" s="132"/>
      <c r="BE236" s="140">
        <f t="shared" si="80"/>
        <v>0</v>
      </c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30">
        <f t="shared" si="81"/>
        <v>0</v>
      </c>
      <c r="BU236" s="132"/>
    </row>
    <row r="237" ht="14.25" customHeight="1">
      <c r="A237" s="132"/>
      <c r="B237" s="215">
        <v>46234</v>
      </c>
      <c r="C237" s="159"/>
      <c r="D237" s="159"/>
      <c r="E237" s="156"/>
      <c r="F237" s="156"/>
      <c r="G237" s="147">
        <f t="shared" si="73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74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75"/>
        <v>0</v>
      </c>
      <c r="AH237" s="159"/>
      <c r="AI237" s="159"/>
      <c r="AJ237" s="159"/>
      <c r="AK237" s="105">
        <f t="shared" si="76"/>
        <v>0</v>
      </c>
      <c r="AL237" s="157"/>
      <c r="AM237" s="157"/>
      <c r="AN237" s="157"/>
      <c r="AO237" s="160"/>
      <c r="AP237" s="224">
        <f t="shared" si="77"/>
        <v>0</v>
      </c>
      <c r="AQ237" s="138"/>
      <c r="AR237" s="296"/>
      <c r="AS237" s="138"/>
      <c r="AT237" s="138"/>
      <c r="AU237" s="126"/>
      <c r="AV237" s="126"/>
      <c r="AW237" s="138"/>
      <c r="AX237" s="404"/>
      <c r="AY237" s="404"/>
      <c r="AZ237" s="404"/>
      <c r="BA237" s="404"/>
      <c r="BB237" s="222">
        <f t="shared" si="78"/>
        <v>0</v>
      </c>
      <c r="BC237" s="162">
        <f t="shared" si="79"/>
        <v>0</v>
      </c>
      <c r="BD237" s="132"/>
      <c r="BE237" s="162">
        <f t="shared" si="80"/>
        <v>0</v>
      </c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41"/>
      <c r="BP237" s="163"/>
      <c r="BQ237" s="163"/>
      <c r="BR237" s="163"/>
      <c r="BS237" s="163"/>
      <c r="BT237" s="164">
        <f t="shared" si="81"/>
        <v>0</v>
      </c>
      <c r="BU237" s="132"/>
    </row>
    <row r="238" ht="14.25" customHeight="1">
      <c r="A238" s="3"/>
      <c r="B238" s="2" t="s">
        <v>263</v>
      </c>
      <c r="C238" s="166">
        <f ref="C238:T238" t="shared" si="82">SUM(C207:C237)</f>
        <v>0</v>
      </c>
      <c r="D238" s="166">
        <f t="shared" si="82"/>
        <v>0</v>
      </c>
      <c r="E238" s="166">
        <f t="shared" si="82"/>
        <v>0</v>
      </c>
      <c r="F238" s="166">
        <f t="shared" si="82"/>
        <v>0</v>
      </c>
      <c r="G238" s="166">
        <f t="shared" si="82"/>
        <v>0</v>
      </c>
      <c r="H238" s="166">
        <f t="shared" si="82"/>
        <v>0</v>
      </c>
      <c r="I238" s="166">
        <f t="shared" si="82"/>
        <v>0</v>
      </c>
      <c r="J238" s="166">
        <f t="shared" si="82"/>
        <v>0</v>
      </c>
      <c r="K238" s="166">
        <f t="shared" si="82"/>
        <v>0</v>
      </c>
      <c r="L238" s="166">
        <f t="shared" si="82"/>
        <v>0</v>
      </c>
      <c r="M238" s="166">
        <f t="shared" si="82"/>
        <v>0</v>
      </c>
      <c r="N238" s="166">
        <f t="shared" si="82"/>
        <v>0</v>
      </c>
      <c r="O238" s="166">
        <f t="shared" si="82"/>
        <v>0</v>
      </c>
      <c r="P238" s="166">
        <f t="shared" si="82"/>
        <v>0</v>
      </c>
      <c r="Q238" s="166">
        <f t="shared" si="82"/>
        <v>0</v>
      </c>
      <c r="R238" s="166">
        <f t="shared" si="82"/>
        <v>0</v>
      </c>
      <c r="S238" s="166">
        <f t="shared" si="82"/>
        <v>0</v>
      </c>
      <c r="T238" s="166">
        <f t="shared" si="82"/>
        <v>0</v>
      </c>
      <c r="U238" s="166"/>
      <c r="V238" s="166"/>
      <c r="W238" s="166">
        <f ref="W238:AK238" t="shared" si="83">SUM(W207:W237)</f>
        <v>0</v>
      </c>
      <c r="X238" s="166">
        <f t="shared" si="83"/>
        <v>0</v>
      </c>
      <c r="Y238" s="166">
        <f t="shared" si="83"/>
        <v>0</v>
      </c>
      <c r="Z238" s="166">
        <f t="shared" si="83"/>
        <v>0</v>
      </c>
      <c r="AA238" s="166">
        <f t="shared" si="83"/>
        <v>0</v>
      </c>
      <c r="AB238" s="166">
        <f t="shared" si="83"/>
        <v>0</v>
      </c>
      <c r="AC238" s="166">
        <f t="shared" si="83"/>
        <v>0</v>
      </c>
      <c r="AD238" s="166">
        <f t="shared" si="83"/>
        <v>0</v>
      </c>
      <c r="AE238" s="166">
        <f t="shared" si="83"/>
        <v>0</v>
      </c>
      <c r="AF238" s="166">
        <f t="shared" si="83"/>
        <v>0</v>
      </c>
      <c r="AG238" s="166">
        <f t="shared" si="83"/>
        <v>0</v>
      </c>
      <c r="AH238" s="166">
        <f t="shared" si="83"/>
        <v>0</v>
      </c>
      <c r="AI238" s="166">
        <f t="shared" si="83"/>
        <v>0</v>
      </c>
      <c r="AJ238" s="166">
        <f t="shared" si="83"/>
        <v>0</v>
      </c>
      <c r="AK238" s="166">
        <f t="shared" si="83"/>
        <v>0</v>
      </c>
      <c r="AL238" s="166"/>
      <c r="AM238" s="166"/>
      <c r="AN238" s="166"/>
      <c r="AO238" s="166"/>
      <c r="AP238" s="166">
        <f ref="AP238:AW238" t="shared" si="84">SUM(AP207:AP237)</f>
        <v>0</v>
      </c>
      <c r="AQ238" s="165">
        <f t="shared" si="84"/>
        <v>0</v>
      </c>
      <c r="AR238" s="165">
        <f t="shared" si="84"/>
        <v>0</v>
      </c>
      <c r="AS238" s="165">
        <f t="shared" si="84"/>
        <v>0</v>
      </c>
      <c r="AT238" s="165">
        <f t="shared" si="84"/>
        <v>0</v>
      </c>
      <c r="AU238" s="165">
        <f t="shared" si="84"/>
        <v>0</v>
      </c>
      <c r="AV238" s="165">
        <f t="shared" si="84"/>
        <v>0</v>
      </c>
      <c r="AW238" s="165">
        <f t="shared" si="84"/>
        <v>0</v>
      </c>
      <c r="AX238" s="166"/>
      <c r="AY238" s="166"/>
      <c r="AZ238" s="166"/>
      <c r="BA238" s="166"/>
      <c r="BB238" s="166">
        <f ref="BB238:BC238" t="shared" si="85">SUM(BB207:BB237)</f>
        <v>0</v>
      </c>
      <c r="BC238" s="166">
        <f t="shared" si="85"/>
        <v>0</v>
      </c>
      <c r="BD238" s="3"/>
      <c r="BE238" s="172">
        <f>SUM(BE207:BE237)</f>
        <v>0</v>
      </c>
      <c r="BF238" s="165"/>
      <c r="BG238" s="165"/>
      <c r="BH238" s="165"/>
      <c r="BI238" s="165"/>
      <c r="BJ238" s="165"/>
      <c r="BK238" s="165"/>
      <c r="BL238" s="165"/>
      <c r="BM238" s="165"/>
      <c r="BN238" s="165"/>
      <c r="BO238" s="166">
        <f ref="BO238:BQ238" t="shared" si="86">SUM(BO207:BO237)</f>
        <v>0</v>
      </c>
      <c r="BP238" s="166">
        <f t="shared" si="86"/>
        <v>0</v>
      </c>
      <c r="BQ238" s="166">
        <f t="shared" si="86"/>
        <v>0</v>
      </c>
      <c r="BR238" s="165"/>
      <c r="BS238" s="165"/>
      <c r="BT238" s="165">
        <f>SUM(BT207:BT237)</f>
        <v>0</v>
      </c>
      <c r="BU238" s="132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1336"/>
      <c r="AL239" s="3"/>
      <c r="AM239" s="3"/>
      <c r="AN239" s="3"/>
      <c r="AO239" s="3"/>
      <c r="AP239" s="1336"/>
      <c r="AQ239" s="132"/>
      <c r="AR239" s="132"/>
      <c r="AS239" s="132"/>
      <c r="AT239" s="3"/>
      <c r="AU239" s="3"/>
      <c r="AV239" s="3"/>
      <c r="AW239" s="132"/>
      <c r="AX239" s="132"/>
      <c r="AY239" s="132"/>
      <c r="AZ239" s="132"/>
      <c r="BA239" s="132"/>
      <c r="BB239" s="1336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</row>
    <row r="240" ht="14.25" customHeight="1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1336"/>
      <c r="AL240" s="3"/>
      <c r="AM240" s="3"/>
      <c r="AN240" s="3"/>
      <c r="AO240" s="3"/>
      <c r="AP240" s="1398"/>
      <c r="AQ240" s="132"/>
      <c r="AR240" s="132"/>
      <c r="AS240" s="132"/>
      <c r="AT240" s="3"/>
      <c r="AU240" s="3"/>
      <c r="AV240" s="3"/>
      <c r="AW240" s="132"/>
      <c r="AX240" s="132"/>
      <c r="AY240" s="132"/>
      <c r="AZ240" s="132"/>
      <c r="BA240" s="132"/>
      <c r="BB240" s="1398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</row>
    <row r="241" ht="14.25" customHeight="1">
      <c r="A241" s="3"/>
      <c r="B241" s="215">
        <v>46235</v>
      </c>
      <c r="C241" s="104"/>
      <c r="D241" s="104"/>
      <c r="E241" s="97"/>
      <c r="F241" s="97"/>
      <c r="G241" s="265">
        <f ref="G241:G271" t="shared" si="87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ref="T241:T271" t="shared" si="88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ref="AG241:AG271" t="shared" si="89">SUM(U241:AF241)</f>
        <v>0</v>
      </c>
      <c r="AH241" s="104"/>
      <c r="AI241" s="104"/>
      <c r="AJ241" s="104"/>
      <c r="AK241" s="191">
        <f ref="AK241:AK271" t="shared" si="90">SUM(AH241:AJ241)</f>
        <v>0</v>
      </c>
      <c r="AL241" s="186"/>
      <c r="AM241" s="186"/>
      <c r="AN241" s="186"/>
      <c r="AO241" s="193"/>
      <c r="AP241" s="224">
        <f ref="AP241:AP271" t="shared" si="91">+G241-T241-AG241-AK241-AL241-AM241-AN241-AO241</f>
        <v>0</v>
      </c>
      <c r="AQ241" s="109"/>
      <c r="AR241" s="269"/>
      <c r="AS241" s="109"/>
      <c r="AT241" s="109"/>
      <c r="AU241" s="109"/>
      <c r="AV241" s="109"/>
      <c r="AW241" s="109"/>
      <c r="AX241" s="388"/>
      <c r="AY241" s="388"/>
      <c r="AZ241" s="388"/>
      <c r="BA241" s="388"/>
      <c r="BB241" s="222">
        <f ref="BB241:BB271" t="shared" si="92">SUM(AQ241:BA241)-AZ241</f>
        <v>0</v>
      </c>
      <c r="BC241" s="114">
        <f ref="BC241:BC271" t="shared" si="93">+AP241-BB241</f>
        <v>0</v>
      </c>
      <c r="BD241" s="3"/>
      <c r="BE241" s="114">
        <f ref="BE241:BE271" t="shared" si="94">SUM(BF241:BR241)</f>
        <v>0</v>
      </c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116">
        <f ref="BT241:BT271" t="shared" si="95">+BC241-BE241</f>
        <v>0</v>
      </c>
      <c r="BU241" s="3"/>
    </row>
    <row r="242" ht="14.25" customHeight="1">
      <c r="A242" s="3"/>
      <c r="B242" s="215">
        <v>46236</v>
      </c>
      <c r="C242" s="123"/>
      <c r="D242" s="123"/>
      <c r="E242" s="120"/>
      <c r="F242" s="120"/>
      <c r="G242" s="147">
        <f t="shared" si="87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88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89"/>
        <v>0</v>
      </c>
      <c r="AH242" s="123"/>
      <c r="AI242" s="123"/>
      <c r="AJ242" s="123"/>
      <c r="AK242" s="105">
        <f t="shared" si="90"/>
        <v>0</v>
      </c>
      <c r="AL242" s="143"/>
      <c r="AM242" s="143"/>
      <c r="AN242" s="143"/>
      <c r="AO242" s="146"/>
      <c r="AP242" s="224">
        <f t="shared" si="91"/>
        <v>0</v>
      </c>
      <c r="AQ242" s="126"/>
      <c r="AR242" s="274"/>
      <c r="AS242" s="126"/>
      <c r="AT242" s="126"/>
      <c r="AU242" s="126"/>
      <c r="AV242" s="126"/>
      <c r="AW242" s="126"/>
      <c r="AX242" s="394"/>
      <c r="AY242" s="394"/>
      <c r="AZ242" s="394"/>
      <c r="BA242" s="394"/>
      <c r="BB242" s="222">
        <f t="shared" si="92"/>
        <v>0</v>
      </c>
      <c r="BC242" s="113">
        <f t="shared" si="93"/>
        <v>0</v>
      </c>
      <c r="BD242" s="3"/>
      <c r="BE242" s="113">
        <f t="shared" si="94"/>
        <v>0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30">
        <f t="shared" si="95"/>
        <v>0</v>
      </c>
      <c r="BU242" s="3"/>
    </row>
    <row r="243" ht="14.25" customHeight="1">
      <c r="A243" s="3"/>
      <c r="B243" s="215">
        <v>46237</v>
      </c>
      <c r="C243" s="123"/>
      <c r="D243" s="123"/>
      <c r="E243" s="120"/>
      <c r="F243" s="120"/>
      <c r="G243" s="147">
        <f t="shared" si="87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88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89"/>
        <v>0</v>
      </c>
      <c r="AH243" s="123"/>
      <c r="AI243" s="123"/>
      <c r="AJ243" s="123"/>
      <c r="AK243" s="105">
        <f t="shared" si="90"/>
        <v>0</v>
      </c>
      <c r="AL243" s="143"/>
      <c r="AM243" s="143"/>
      <c r="AN243" s="143"/>
      <c r="AO243" s="146"/>
      <c r="AP243" s="224">
        <f t="shared" si="91"/>
        <v>0</v>
      </c>
      <c r="AQ243" s="126"/>
      <c r="AR243" s="274"/>
      <c r="AS243" s="274"/>
      <c r="AT243" s="126"/>
      <c r="AU243" s="126"/>
      <c r="AV243" s="126"/>
      <c r="AW243" s="126"/>
      <c r="AX243" s="394"/>
      <c r="AY243" s="394"/>
      <c r="AZ243" s="394"/>
      <c r="BA243" s="394"/>
      <c r="BB243" s="222">
        <f t="shared" si="92"/>
        <v>0</v>
      </c>
      <c r="BC243" s="113">
        <f t="shared" si="93"/>
        <v>0</v>
      </c>
      <c r="BD243" s="3"/>
      <c r="BE243" s="113">
        <f t="shared" si="94"/>
        <v>0</v>
      </c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30">
        <f t="shared" si="95"/>
        <v>0</v>
      </c>
      <c r="BU243" s="3"/>
    </row>
    <row r="244" ht="14.25" customHeight="1">
      <c r="A244" s="3"/>
      <c r="B244" s="215">
        <v>46238</v>
      </c>
      <c r="C244" s="123"/>
      <c r="D244" s="123"/>
      <c r="E244" s="120"/>
      <c r="F244" s="120"/>
      <c r="G244" s="147">
        <f t="shared" si="87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88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89"/>
        <v>0</v>
      </c>
      <c r="AH244" s="123"/>
      <c r="AI244" s="123"/>
      <c r="AJ244" s="123"/>
      <c r="AK244" s="105">
        <f t="shared" si="90"/>
        <v>0</v>
      </c>
      <c r="AL244" s="143"/>
      <c r="AM244" s="143"/>
      <c r="AN244" s="143"/>
      <c r="AO244" s="146"/>
      <c r="AP244" s="224">
        <f t="shared" si="91"/>
        <v>0</v>
      </c>
      <c r="AQ244" s="126"/>
      <c r="AR244" s="274"/>
      <c r="AS244" s="274"/>
      <c r="AT244" s="126"/>
      <c r="AU244" s="126"/>
      <c r="AV244" s="126"/>
      <c r="AW244" s="126"/>
      <c r="AX244" s="394"/>
      <c r="AY244" s="394"/>
      <c r="AZ244" s="394"/>
      <c r="BA244" s="394"/>
      <c r="BB244" s="222">
        <f t="shared" si="92"/>
        <v>0</v>
      </c>
      <c r="BC244" s="113">
        <f t="shared" si="93"/>
        <v>0</v>
      </c>
      <c r="BD244" s="3"/>
      <c r="BE244" s="113">
        <f t="shared" si="94"/>
        <v>0</v>
      </c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30">
        <f t="shared" si="95"/>
        <v>0</v>
      </c>
      <c r="BU244" s="3"/>
    </row>
    <row r="245" ht="14.25" customHeight="1">
      <c r="A245" s="3"/>
      <c r="B245" s="215">
        <v>46239</v>
      </c>
      <c r="C245" s="123"/>
      <c r="D245" s="123"/>
      <c r="E245" s="120"/>
      <c r="F245" s="120"/>
      <c r="G245" s="147">
        <f t="shared" si="87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88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89"/>
        <v>0</v>
      </c>
      <c r="AH245" s="123"/>
      <c r="AI245" s="123"/>
      <c r="AJ245" s="123"/>
      <c r="AK245" s="105">
        <f t="shared" si="90"/>
        <v>0</v>
      </c>
      <c r="AL245" s="143"/>
      <c r="AM245" s="143"/>
      <c r="AN245" s="143"/>
      <c r="AO245" s="146"/>
      <c r="AP245" s="224">
        <f t="shared" si="91"/>
        <v>0</v>
      </c>
      <c r="AQ245" s="126"/>
      <c r="AR245" s="274"/>
      <c r="AS245" s="126"/>
      <c r="AT245" s="126"/>
      <c r="AU245" s="126"/>
      <c r="AV245" s="126"/>
      <c r="AW245" s="126"/>
      <c r="AX245" s="394"/>
      <c r="AY245" s="394"/>
      <c r="AZ245" s="394"/>
      <c r="BA245" s="394"/>
      <c r="BB245" s="222">
        <f t="shared" si="92"/>
        <v>0</v>
      </c>
      <c r="BC245" s="113">
        <f t="shared" si="93"/>
        <v>0</v>
      </c>
      <c r="BD245" s="3"/>
      <c r="BE245" s="113">
        <f t="shared" si="94"/>
        <v>0</v>
      </c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30">
        <f t="shared" si="95"/>
        <v>0</v>
      </c>
      <c r="BU245" s="3"/>
    </row>
    <row r="246" ht="14.25" customHeight="1">
      <c r="A246" s="3"/>
      <c r="B246" s="215">
        <v>46240</v>
      </c>
      <c r="C246" s="123"/>
      <c r="D246" s="123"/>
      <c r="E246" s="120"/>
      <c r="F246" s="120"/>
      <c r="G246" s="147">
        <f t="shared" si="87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88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89"/>
        <v>0</v>
      </c>
      <c r="AH246" s="123"/>
      <c r="AI246" s="123"/>
      <c r="AJ246" s="123"/>
      <c r="AK246" s="105">
        <f t="shared" si="90"/>
        <v>0</v>
      </c>
      <c r="AL246" s="143"/>
      <c r="AM246" s="143"/>
      <c r="AN246" s="143"/>
      <c r="AO246" s="146"/>
      <c r="AP246" s="224">
        <f t="shared" si="91"/>
        <v>0</v>
      </c>
      <c r="AQ246" s="126"/>
      <c r="AR246" s="274"/>
      <c r="AS246" s="126"/>
      <c r="AT246" s="126"/>
      <c r="AU246" s="126"/>
      <c r="AV246" s="126"/>
      <c r="AW246" s="126"/>
      <c r="AX246" s="394"/>
      <c r="AY246" s="394"/>
      <c r="AZ246" s="394"/>
      <c r="BA246" s="394"/>
      <c r="BB246" s="222">
        <f t="shared" si="92"/>
        <v>0</v>
      </c>
      <c r="BC246" s="113">
        <f t="shared" si="93"/>
        <v>0</v>
      </c>
      <c r="BD246" s="3"/>
      <c r="BE246" s="113">
        <f t="shared" si="94"/>
        <v>0</v>
      </c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30">
        <f t="shared" si="95"/>
        <v>0</v>
      </c>
      <c r="BU246" s="3"/>
    </row>
    <row r="247" ht="14.25" customHeight="1">
      <c r="A247" s="3"/>
      <c r="B247" s="215">
        <v>46241</v>
      </c>
      <c r="C247" s="123"/>
      <c r="D247" s="123"/>
      <c r="E247" s="120"/>
      <c r="F247" s="120"/>
      <c r="G247" s="147">
        <f t="shared" si="87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88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89"/>
        <v>0</v>
      </c>
      <c r="AH247" s="123"/>
      <c r="AI247" s="123"/>
      <c r="AJ247" s="123"/>
      <c r="AK247" s="105">
        <f t="shared" si="90"/>
        <v>0</v>
      </c>
      <c r="AL247" s="143"/>
      <c r="AM247" s="143"/>
      <c r="AN247" s="143"/>
      <c r="AO247" s="146"/>
      <c r="AP247" s="224">
        <f t="shared" si="91"/>
        <v>0</v>
      </c>
      <c r="AQ247" s="126"/>
      <c r="AR247" s="274"/>
      <c r="AS247" s="126"/>
      <c r="AT247" s="126"/>
      <c r="AU247" s="126"/>
      <c r="AV247" s="126"/>
      <c r="AW247" s="126"/>
      <c r="AX247" s="394"/>
      <c r="AY247" s="394"/>
      <c r="AZ247" s="394"/>
      <c r="BA247" s="394"/>
      <c r="BB247" s="222">
        <f t="shared" si="92"/>
        <v>0</v>
      </c>
      <c r="BC247" s="113">
        <f t="shared" si="93"/>
        <v>0</v>
      </c>
      <c r="BD247" s="3"/>
      <c r="BE247" s="113">
        <f t="shared" si="94"/>
        <v>0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30">
        <f t="shared" si="95"/>
        <v>0</v>
      </c>
      <c r="BU247" s="3"/>
    </row>
    <row r="248" ht="14.25" customHeight="1">
      <c r="A248" s="3"/>
      <c r="B248" s="215">
        <v>46242</v>
      </c>
      <c r="C248" s="123"/>
      <c r="D248" s="123"/>
      <c r="E248" s="120"/>
      <c r="F248" s="120"/>
      <c r="G248" s="147">
        <f t="shared" si="87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88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89"/>
        <v>0</v>
      </c>
      <c r="AH248" s="123"/>
      <c r="AI248" s="123"/>
      <c r="AJ248" s="123"/>
      <c r="AK248" s="105">
        <f t="shared" si="90"/>
        <v>0</v>
      </c>
      <c r="AL248" s="143"/>
      <c r="AM248" s="143"/>
      <c r="AN248" s="143"/>
      <c r="AO248" s="146"/>
      <c r="AP248" s="224">
        <f t="shared" si="91"/>
        <v>0</v>
      </c>
      <c r="AQ248" s="126"/>
      <c r="AR248" s="274"/>
      <c r="AS248" s="126"/>
      <c r="AT248" s="126"/>
      <c r="AU248" s="126"/>
      <c r="AV248" s="126"/>
      <c r="AW248" s="126"/>
      <c r="AX248" s="394"/>
      <c r="AY248" s="394"/>
      <c r="AZ248" s="394"/>
      <c r="BA248" s="394"/>
      <c r="BB248" s="222">
        <f t="shared" si="92"/>
        <v>0</v>
      </c>
      <c r="BC248" s="113">
        <f t="shared" si="93"/>
        <v>0</v>
      </c>
      <c r="BD248" s="3"/>
      <c r="BE248" s="113">
        <f t="shared" si="94"/>
        <v>0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30">
        <f t="shared" si="95"/>
        <v>0</v>
      </c>
      <c r="BU248" s="3"/>
    </row>
    <row r="249" ht="14.25" customHeight="1">
      <c r="A249" s="3"/>
      <c r="B249" s="215">
        <v>46243</v>
      </c>
      <c r="C249" s="123"/>
      <c r="D249" s="123"/>
      <c r="E249" s="120"/>
      <c r="F249" s="120"/>
      <c r="G249" s="147">
        <f t="shared" si="87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88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89"/>
        <v>0</v>
      </c>
      <c r="AH249" s="123"/>
      <c r="AI249" s="123"/>
      <c r="AJ249" s="123"/>
      <c r="AK249" s="105">
        <f t="shared" si="90"/>
        <v>0</v>
      </c>
      <c r="AL249" s="143"/>
      <c r="AM249" s="143"/>
      <c r="AN249" s="143"/>
      <c r="AO249" s="146"/>
      <c r="AP249" s="224">
        <f t="shared" si="91"/>
        <v>0</v>
      </c>
      <c r="AQ249" s="126"/>
      <c r="AR249" s="274"/>
      <c r="AS249" s="126"/>
      <c r="AT249" s="126"/>
      <c r="AU249" s="126"/>
      <c r="AV249" s="126"/>
      <c r="AW249" s="126"/>
      <c r="AX249" s="394"/>
      <c r="AY249" s="394"/>
      <c r="AZ249" s="394"/>
      <c r="BA249" s="394"/>
      <c r="BB249" s="222">
        <f t="shared" si="92"/>
        <v>0</v>
      </c>
      <c r="BC249" s="113">
        <f t="shared" si="93"/>
        <v>0</v>
      </c>
      <c r="BD249" s="3"/>
      <c r="BE249" s="113">
        <f t="shared" si="94"/>
        <v>0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30">
        <f t="shared" si="95"/>
        <v>0</v>
      </c>
      <c r="BU249" s="3"/>
    </row>
    <row r="250" ht="14.25" customHeight="1">
      <c r="A250" s="3"/>
      <c r="B250" s="215">
        <v>46244</v>
      </c>
      <c r="C250" s="123"/>
      <c r="D250" s="123"/>
      <c r="E250" s="120"/>
      <c r="F250" s="120"/>
      <c r="G250" s="147">
        <f t="shared" si="87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88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89"/>
        <v>0</v>
      </c>
      <c r="AH250" s="123"/>
      <c r="AI250" s="123"/>
      <c r="AJ250" s="123"/>
      <c r="AK250" s="105">
        <f t="shared" si="90"/>
        <v>0</v>
      </c>
      <c r="AL250" s="143"/>
      <c r="AM250" s="143"/>
      <c r="AN250" s="143"/>
      <c r="AO250" s="146"/>
      <c r="AP250" s="224">
        <f t="shared" si="91"/>
        <v>0</v>
      </c>
      <c r="AQ250" s="126"/>
      <c r="AR250" s="274"/>
      <c r="AS250" s="126"/>
      <c r="AT250" s="126"/>
      <c r="AU250" s="126"/>
      <c r="AV250" s="126"/>
      <c r="AW250" s="126"/>
      <c r="AX250" s="394"/>
      <c r="AY250" s="394"/>
      <c r="AZ250" s="394"/>
      <c r="BA250" s="394"/>
      <c r="BB250" s="222">
        <f t="shared" si="92"/>
        <v>0</v>
      </c>
      <c r="BC250" s="113">
        <f t="shared" si="93"/>
        <v>0</v>
      </c>
      <c r="BD250" s="3"/>
      <c r="BE250" s="113">
        <f t="shared" si="94"/>
        <v>0</v>
      </c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30">
        <f t="shared" si="95"/>
        <v>0</v>
      </c>
      <c r="BU250" s="3"/>
    </row>
    <row r="251" ht="14.25" customHeight="1">
      <c r="A251" s="3"/>
      <c r="B251" s="215">
        <v>46245</v>
      </c>
      <c r="C251" s="123"/>
      <c r="D251" s="123"/>
      <c r="E251" s="120"/>
      <c r="F251" s="120"/>
      <c r="G251" s="147">
        <f t="shared" si="87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88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89"/>
        <v>0</v>
      </c>
      <c r="AH251" s="123"/>
      <c r="AI251" s="123"/>
      <c r="AJ251" s="123"/>
      <c r="AK251" s="105">
        <f t="shared" si="90"/>
        <v>0</v>
      </c>
      <c r="AL251" s="143"/>
      <c r="AM251" s="143"/>
      <c r="AN251" s="143"/>
      <c r="AO251" s="146"/>
      <c r="AP251" s="224">
        <f t="shared" si="91"/>
        <v>0</v>
      </c>
      <c r="AQ251" s="126"/>
      <c r="AR251" s="274"/>
      <c r="AS251" s="126"/>
      <c r="AT251" s="126"/>
      <c r="AU251" s="126"/>
      <c r="AV251" s="126"/>
      <c r="AW251" s="126"/>
      <c r="AX251" s="394"/>
      <c r="AY251" s="394"/>
      <c r="AZ251" s="394"/>
      <c r="BA251" s="394"/>
      <c r="BB251" s="222">
        <f t="shared" si="92"/>
        <v>0</v>
      </c>
      <c r="BC251" s="113">
        <f t="shared" si="93"/>
        <v>0</v>
      </c>
      <c r="BD251" s="3"/>
      <c r="BE251" s="113">
        <f t="shared" si="94"/>
        <v>0</v>
      </c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30">
        <f t="shared" si="95"/>
        <v>0</v>
      </c>
      <c r="BU251" s="3"/>
    </row>
    <row r="252" ht="14.25" customHeight="1">
      <c r="A252" s="3"/>
      <c r="B252" s="215">
        <v>46246</v>
      </c>
      <c r="C252" s="123"/>
      <c r="D252" s="123"/>
      <c r="E252" s="120"/>
      <c r="F252" s="120"/>
      <c r="G252" s="147">
        <f t="shared" si="87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88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89"/>
        <v>0</v>
      </c>
      <c r="AH252" s="123"/>
      <c r="AI252" s="123"/>
      <c r="AJ252" s="123"/>
      <c r="AK252" s="105">
        <f t="shared" si="90"/>
        <v>0</v>
      </c>
      <c r="AL252" s="143"/>
      <c r="AM252" s="143"/>
      <c r="AN252" s="143"/>
      <c r="AO252" s="146"/>
      <c r="AP252" s="224">
        <f t="shared" si="91"/>
        <v>0</v>
      </c>
      <c r="AQ252" s="126"/>
      <c r="AR252" s="274"/>
      <c r="AS252" s="126"/>
      <c r="AT252" s="126"/>
      <c r="AU252" s="126"/>
      <c r="AV252" s="126"/>
      <c r="AW252" s="126"/>
      <c r="AX252" s="394"/>
      <c r="AY252" s="394"/>
      <c r="AZ252" s="394"/>
      <c r="BA252" s="394"/>
      <c r="BB252" s="222">
        <f t="shared" si="92"/>
        <v>0</v>
      </c>
      <c r="BC252" s="113">
        <f t="shared" si="93"/>
        <v>0</v>
      </c>
      <c r="BD252" s="3"/>
      <c r="BE252" s="113">
        <f t="shared" si="94"/>
        <v>0</v>
      </c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30">
        <f t="shared" si="95"/>
        <v>0</v>
      </c>
      <c r="BU252" s="3"/>
    </row>
    <row r="253" ht="14.25" customHeight="1">
      <c r="A253" s="3"/>
      <c r="B253" s="215">
        <v>46247</v>
      </c>
      <c r="C253" s="123"/>
      <c r="D253" s="123"/>
      <c r="E253" s="120"/>
      <c r="F253" s="120"/>
      <c r="G253" s="147">
        <f t="shared" si="87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88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89"/>
        <v>0</v>
      </c>
      <c r="AH253" s="123"/>
      <c r="AI253" s="123"/>
      <c r="AJ253" s="123"/>
      <c r="AK253" s="105">
        <f t="shared" si="90"/>
        <v>0</v>
      </c>
      <c r="AL253" s="143"/>
      <c r="AM253" s="143"/>
      <c r="AN253" s="143"/>
      <c r="AO253" s="146"/>
      <c r="AP253" s="224">
        <f t="shared" si="91"/>
        <v>0</v>
      </c>
      <c r="AQ253" s="126"/>
      <c r="AR253" s="274"/>
      <c r="AS253" s="126"/>
      <c r="AT253" s="126"/>
      <c r="AU253" s="126"/>
      <c r="AV253" s="126"/>
      <c r="AW253" s="126"/>
      <c r="AX253" s="394"/>
      <c r="AY253" s="394"/>
      <c r="AZ253" s="394"/>
      <c r="BA253" s="394"/>
      <c r="BB253" s="222">
        <f t="shared" si="92"/>
        <v>0</v>
      </c>
      <c r="BC253" s="113">
        <f t="shared" si="93"/>
        <v>0</v>
      </c>
      <c r="BD253" s="3"/>
      <c r="BE253" s="113">
        <f t="shared" si="94"/>
        <v>0</v>
      </c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30">
        <f t="shared" si="95"/>
        <v>0</v>
      </c>
      <c r="BU253" s="3"/>
    </row>
    <row r="254" ht="14.25" customHeight="1">
      <c r="A254" s="3"/>
      <c r="B254" s="215">
        <v>46248</v>
      </c>
      <c r="C254" s="123"/>
      <c r="D254" s="123"/>
      <c r="E254" s="120"/>
      <c r="F254" s="120"/>
      <c r="G254" s="147">
        <f t="shared" si="87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88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89"/>
        <v>0</v>
      </c>
      <c r="AH254" s="123"/>
      <c r="AI254" s="123"/>
      <c r="AJ254" s="123"/>
      <c r="AK254" s="105">
        <f t="shared" si="90"/>
        <v>0</v>
      </c>
      <c r="AL254" s="143"/>
      <c r="AM254" s="143"/>
      <c r="AN254" s="143"/>
      <c r="AO254" s="146"/>
      <c r="AP254" s="224">
        <f t="shared" si="91"/>
        <v>0</v>
      </c>
      <c r="AQ254" s="126"/>
      <c r="AR254" s="274"/>
      <c r="AS254" s="126"/>
      <c r="AT254" s="126"/>
      <c r="AU254" s="126"/>
      <c r="AV254" s="126"/>
      <c r="AW254" s="126"/>
      <c r="AX254" s="394"/>
      <c r="AY254" s="394"/>
      <c r="AZ254" s="394"/>
      <c r="BA254" s="394"/>
      <c r="BB254" s="222">
        <f t="shared" si="92"/>
        <v>0</v>
      </c>
      <c r="BC254" s="113">
        <f t="shared" si="93"/>
        <v>0</v>
      </c>
      <c r="BD254" s="3"/>
      <c r="BE254" s="113">
        <f t="shared" si="94"/>
        <v>0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30">
        <f t="shared" si="95"/>
        <v>0</v>
      </c>
      <c r="BU254" s="3"/>
    </row>
    <row r="255" ht="14.25" customHeight="1">
      <c r="A255" s="132"/>
      <c r="B255" s="215">
        <v>46249</v>
      </c>
      <c r="C255" s="136"/>
      <c r="D255" s="136"/>
      <c r="E255" s="135"/>
      <c r="F255" s="135"/>
      <c r="G255" s="147">
        <f t="shared" si="87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88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89"/>
        <v>0</v>
      </c>
      <c r="AH255" s="136"/>
      <c r="AI255" s="136"/>
      <c r="AJ255" s="136"/>
      <c r="AK255" s="105">
        <f t="shared" si="90"/>
        <v>0</v>
      </c>
      <c r="AL255" s="143"/>
      <c r="AM255" s="143"/>
      <c r="AN255" s="143"/>
      <c r="AO255" s="146"/>
      <c r="AP255" s="224">
        <f t="shared" si="91"/>
        <v>0</v>
      </c>
      <c r="AQ255" s="126"/>
      <c r="AR255" s="274"/>
      <c r="AS255" s="126"/>
      <c r="AT255" s="126"/>
      <c r="AU255" s="126"/>
      <c r="AV255" s="126"/>
      <c r="AW255" s="126"/>
      <c r="AX255" s="394"/>
      <c r="AY255" s="394"/>
      <c r="AZ255" s="394"/>
      <c r="BA255" s="394"/>
      <c r="BB255" s="222">
        <f t="shared" si="92"/>
        <v>0</v>
      </c>
      <c r="BC255" s="140">
        <f t="shared" si="93"/>
        <v>0</v>
      </c>
      <c r="BD255" s="132"/>
      <c r="BE255" s="140">
        <f t="shared" si="94"/>
        <v>0</v>
      </c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30">
        <f t="shared" si="95"/>
        <v>0</v>
      </c>
      <c r="BU255" s="132"/>
    </row>
    <row r="256" ht="14.25" customHeight="1">
      <c r="A256" s="132"/>
      <c r="B256" s="215">
        <v>46250</v>
      </c>
      <c r="C256" s="136"/>
      <c r="D256" s="136"/>
      <c r="E256" s="135"/>
      <c r="F256" s="135"/>
      <c r="G256" s="147">
        <f t="shared" si="87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88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89"/>
        <v>0</v>
      </c>
      <c r="AH256" s="136"/>
      <c r="AI256" s="136"/>
      <c r="AJ256" s="136"/>
      <c r="AK256" s="105">
        <f t="shared" si="90"/>
        <v>0</v>
      </c>
      <c r="AL256" s="143"/>
      <c r="AM256" s="143"/>
      <c r="AN256" s="143"/>
      <c r="AO256" s="146"/>
      <c r="AP256" s="224">
        <f t="shared" si="91"/>
        <v>0</v>
      </c>
      <c r="AQ256" s="126"/>
      <c r="AR256" s="274"/>
      <c r="AS256" s="126"/>
      <c r="AT256" s="126"/>
      <c r="AU256" s="126"/>
      <c r="AV256" s="126"/>
      <c r="AW256" s="126"/>
      <c r="AX256" s="394"/>
      <c r="AY256" s="394"/>
      <c r="AZ256" s="394"/>
      <c r="BA256" s="394"/>
      <c r="BB256" s="222">
        <f t="shared" si="92"/>
        <v>0</v>
      </c>
      <c r="BC256" s="140">
        <f t="shared" si="93"/>
        <v>0</v>
      </c>
      <c r="BD256" s="132"/>
      <c r="BE256" s="140">
        <f t="shared" si="94"/>
        <v>0</v>
      </c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30">
        <f t="shared" si="95"/>
        <v>0</v>
      </c>
      <c r="BU256" s="132"/>
    </row>
    <row r="257" ht="14.25" customHeight="1">
      <c r="A257" s="132"/>
      <c r="B257" s="215">
        <v>46251</v>
      </c>
      <c r="C257" s="136"/>
      <c r="D257" s="136"/>
      <c r="E257" s="135"/>
      <c r="F257" s="135"/>
      <c r="G257" s="147">
        <f t="shared" si="87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88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89"/>
        <v>0</v>
      </c>
      <c r="AH257" s="136"/>
      <c r="AI257" s="136"/>
      <c r="AJ257" s="136"/>
      <c r="AK257" s="105">
        <f t="shared" si="90"/>
        <v>0</v>
      </c>
      <c r="AL257" s="143"/>
      <c r="AM257" s="143"/>
      <c r="AN257" s="143"/>
      <c r="AO257" s="146"/>
      <c r="AP257" s="224">
        <f t="shared" si="91"/>
        <v>0</v>
      </c>
      <c r="AQ257" s="126"/>
      <c r="AR257" s="274"/>
      <c r="AS257" s="126"/>
      <c r="AT257" s="126"/>
      <c r="AU257" s="126"/>
      <c r="AV257" s="126"/>
      <c r="AW257" s="126"/>
      <c r="AX257" s="394"/>
      <c r="AY257" s="394"/>
      <c r="AZ257" s="394"/>
      <c r="BA257" s="394"/>
      <c r="BB257" s="222">
        <f t="shared" si="92"/>
        <v>0</v>
      </c>
      <c r="BC257" s="140">
        <f t="shared" si="93"/>
        <v>0</v>
      </c>
      <c r="BD257" s="132"/>
      <c r="BE257" s="140">
        <f t="shared" si="94"/>
        <v>0</v>
      </c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30">
        <f t="shared" si="95"/>
        <v>0</v>
      </c>
      <c r="BU257" s="132"/>
    </row>
    <row r="258" ht="14.25" customHeight="1">
      <c r="A258" s="132"/>
      <c r="B258" s="215">
        <v>46252</v>
      </c>
      <c r="C258" s="136"/>
      <c r="D258" s="136"/>
      <c r="E258" s="135"/>
      <c r="F258" s="135"/>
      <c r="G258" s="147">
        <f t="shared" si="87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88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89"/>
        <v>0</v>
      </c>
      <c r="AH258" s="136"/>
      <c r="AI258" s="136"/>
      <c r="AJ258" s="136"/>
      <c r="AK258" s="105">
        <f t="shared" si="90"/>
        <v>0</v>
      </c>
      <c r="AL258" s="143"/>
      <c r="AM258" s="143"/>
      <c r="AN258" s="143"/>
      <c r="AO258" s="146"/>
      <c r="AP258" s="224">
        <f t="shared" si="91"/>
        <v>0</v>
      </c>
      <c r="AQ258" s="126"/>
      <c r="AR258" s="274"/>
      <c r="AS258" s="126"/>
      <c r="AT258" s="126"/>
      <c r="AU258" s="126"/>
      <c r="AV258" s="126"/>
      <c r="AW258" s="126"/>
      <c r="AX258" s="394"/>
      <c r="AY258" s="394"/>
      <c r="AZ258" s="394"/>
      <c r="BA258" s="394"/>
      <c r="BB258" s="222">
        <f t="shared" si="92"/>
        <v>0</v>
      </c>
      <c r="BC258" s="140">
        <f t="shared" si="93"/>
        <v>0</v>
      </c>
      <c r="BD258" s="132"/>
      <c r="BE258" s="140">
        <f t="shared" si="94"/>
        <v>0</v>
      </c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30">
        <f t="shared" si="95"/>
        <v>0</v>
      </c>
      <c r="BU258" s="132"/>
    </row>
    <row r="259" ht="14.25" customHeight="1">
      <c r="A259" s="132"/>
      <c r="B259" s="215">
        <v>46253</v>
      </c>
      <c r="C259" s="136"/>
      <c r="D259" s="136"/>
      <c r="E259" s="135"/>
      <c r="F259" s="135"/>
      <c r="G259" s="147">
        <f t="shared" si="87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88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89"/>
        <v>0</v>
      </c>
      <c r="AH259" s="136"/>
      <c r="AI259" s="136"/>
      <c r="AJ259" s="136"/>
      <c r="AK259" s="105">
        <f t="shared" si="90"/>
        <v>0</v>
      </c>
      <c r="AL259" s="143"/>
      <c r="AM259" s="143"/>
      <c r="AN259" s="143"/>
      <c r="AO259" s="146"/>
      <c r="AP259" s="224">
        <f t="shared" si="91"/>
        <v>0</v>
      </c>
      <c r="AQ259" s="126"/>
      <c r="AR259" s="274"/>
      <c r="AS259" s="126"/>
      <c r="AT259" s="126"/>
      <c r="AU259" s="126"/>
      <c r="AV259" s="126"/>
      <c r="AW259" s="126"/>
      <c r="AX259" s="394"/>
      <c r="AY259" s="394"/>
      <c r="AZ259" s="394"/>
      <c r="BA259" s="394"/>
      <c r="BB259" s="222">
        <f t="shared" si="92"/>
        <v>0</v>
      </c>
      <c r="BC259" s="140">
        <f t="shared" si="93"/>
        <v>0</v>
      </c>
      <c r="BD259" s="132"/>
      <c r="BE259" s="140">
        <f t="shared" si="94"/>
        <v>0</v>
      </c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30">
        <f t="shared" si="95"/>
        <v>0</v>
      </c>
      <c r="BU259" s="132"/>
    </row>
    <row r="260" ht="14.25" customHeight="1">
      <c r="A260" s="132"/>
      <c r="B260" s="215">
        <v>46254</v>
      </c>
      <c r="C260" s="136"/>
      <c r="D260" s="136"/>
      <c r="E260" s="135"/>
      <c r="F260" s="135"/>
      <c r="G260" s="147">
        <f t="shared" si="87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88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89"/>
        <v>0</v>
      </c>
      <c r="AH260" s="136"/>
      <c r="AI260" s="136"/>
      <c r="AJ260" s="136"/>
      <c r="AK260" s="105">
        <f t="shared" si="90"/>
        <v>0</v>
      </c>
      <c r="AL260" s="143"/>
      <c r="AM260" s="143"/>
      <c r="AN260" s="143"/>
      <c r="AO260" s="146"/>
      <c r="AP260" s="224">
        <f t="shared" si="91"/>
        <v>0</v>
      </c>
      <c r="AQ260" s="126"/>
      <c r="AR260" s="274"/>
      <c r="AS260" s="126"/>
      <c r="AT260" s="126"/>
      <c r="AU260" s="126"/>
      <c r="AV260" s="126"/>
      <c r="AW260" s="126"/>
      <c r="AX260" s="394"/>
      <c r="AY260" s="394"/>
      <c r="AZ260" s="394"/>
      <c r="BA260" s="394"/>
      <c r="BB260" s="222">
        <f t="shared" si="92"/>
        <v>0</v>
      </c>
      <c r="BC260" s="140">
        <f t="shared" si="93"/>
        <v>0</v>
      </c>
      <c r="BD260" s="132"/>
      <c r="BE260" s="140">
        <f t="shared" si="94"/>
        <v>0</v>
      </c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30">
        <f t="shared" si="95"/>
        <v>0</v>
      </c>
      <c r="BU260" s="132"/>
    </row>
    <row r="261" ht="14.25" customHeight="1">
      <c r="A261" s="132"/>
      <c r="B261" s="215">
        <v>46255</v>
      </c>
      <c r="C261" s="136"/>
      <c r="D261" s="136"/>
      <c r="E261" s="135"/>
      <c r="F261" s="135"/>
      <c r="G261" s="147">
        <f t="shared" si="87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88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89"/>
        <v>0</v>
      </c>
      <c r="AH261" s="136"/>
      <c r="AI261" s="136"/>
      <c r="AJ261" s="136"/>
      <c r="AK261" s="105">
        <f t="shared" si="90"/>
        <v>0</v>
      </c>
      <c r="AL261" s="143"/>
      <c r="AM261" s="143"/>
      <c r="AN261" s="143"/>
      <c r="AO261" s="146"/>
      <c r="AP261" s="224">
        <f t="shared" si="91"/>
        <v>0</v>
      </c>
      <c r="AQ261" s="126"/>
      <c r="AR261" s="274"/>
      <c r="AS261" s="126"/>
      <c r="AT261" s="126"/>
      <c r="AU261" s="126"/>
      <c r="AV261" s="126"/>
      <c r="AW261" s="126"/>
      <c r="AX261" s="394"/>
      <c r="AY261" s="394"/>
      <c r="AZ261" s="394"/>
      <c r="BA261" s="394"/>
      <c r="BB261" s="222">
        <f t="shared" si="92"/>
        <v>0</v>
      </c>
      <c r="BC261" s="140">
        <f t="shared" si="93"/>
        <v>0</v>
      </c>
      <c r="BD261" s="132"/>
      <c r="BE261" s="140">
        <f t="shared" si="94"/>
        <v>0</v>
      </c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30">
        <f t="shared" si="95"/>
        <v>0</v>
      </c>
      <c r="BU261" s="132"/>
    </row>
    <row r="262" ht="13.5" customHeight="1">
      <c r="A262" s="132"/>
      <c r="B262" s="215">
        <v>46256</v>
      </c>
      <c r="C262" s="136"/>
      <c r="D262" s="136"/>
      <c r="E262" s="135"/>
      <c r="F262" s="135"/>
      <c r="G262" s="147">
        <f t="shared" si="87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88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89"/>
        <v>0</v>
      </c>
      <c r="AH262" s="136"/>
      <c r="AI262" s="136"/>
      <c r="AJ262" s="136"/>
      <c r="AK262" s="105">
        <f t="shared" si="90"/>
        <v>0</v>
      </c>
      <c r="AL262" s="143"/>
      <c r="AM262" s="143"/>
      <c r="AN262" s="143"/>
      <c r="AO262" s="146"/>
      <c r="AP262" s="224">
        <f t="shared" si="91"/>
        <v>0</v>
      </c>
      <c r="AQ262" s="126"/>
      <c r="AR262" s="274"/>
      <c r="AS262" s="126"/>
      <c r="AT262" s="126"/>
      <c r="AU262" s="126"/>
      <c r="AV262" s="126"/>
      <c r="AW262" s="126"/>
      <c r="AX262" s="394"/>
      <c r="AY262" s="394"/>
      <c r="AZ262" s="394"/>
      <c r="BA262" s="394"/>
      <c r="BB262" s="222">
        <f t="shared" si="92"/>
        <v>0</v>
      </c>
      <c r="BC262" s="140">
        <f t="shared" si="93"/>
        <v>0</v>
      </c>
      <c r="BD262" s="132"/>
      <c r="BE262" s="140">
        <f t="shared" si="94"/>
        <v>0</v>
      </c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30">
        <f t="shared" si="95"/>
        <v>0</v>
      </c>
      <c r="BU262" s="132"/>
    </row>
    <row r="263" ht="15" customHeight="1">
      <c r="A263" s="132"/>
      <c r="B263" s="215">
        <v>46257</v>
      </c>
      <c r="C263" s="136"/>
      <c r="D263" s="136"/>
      <c r="E263" s="135"/>
      <c r="F263" s="135"/>
      <c r="G263" s="147">
        <f t="shared" si="87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88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89"/>
        <v>0</v>
      </c>
      <c r="AH263" s="136"/>
      <c r="AI263" s="136"/>
      <c r="AJ263" s="136"/>
      <c r="AK263" s="105">
        <f t="shared" si="90"/>
        <v>0</v>
      </c>
      <c r="AL263" s="143"/>
      <c r="AM263" s="143"/>
      <c r="AN263" s="143"/>
      <c r="AO263" s="146"/>
      <c r="AP263" s="224">
        <f t="shared" si="91"/>
        <v>0</v>
      </c>
      <c r="AQ263" s="126"/>
      <c r="AR263" s="274"/>
      <c r="AS263" s="126"/>
      <c r="AT263" s="126"/>
      <c r="AU263" s="126"/>
      <c r="AV263" s="126"/>
      <c r="AW263" s="126"/>
      <c r="AX263" s="394"/>
      <c r="AY263" s="394"/>
      <c r="AZ263" s="394"/>
      <c r="BA263" s="394"/>
      <c r="BB263" s="222">
        <f t="shared" si="92"/>
        <v>0</v>
      </c>
      <c r="BC263" s="140">
        <f t="shared" si="93"/>
        <v>0</v>
      </c>
      <c r="BD263" s="132"/>
      <c r="BE263" s="140">
        <f t="shared" si="94"/>
        <v>0</v>
      </c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30">
        <f t="shared" si="95"/>
        <v>0</v>
      </c>
      <c r="BU263" s="132"/>
    </row>
    <row r="264" ht="14.25" customHeight="1">
      <c r="A264" s="132"/>
      <c r="B264" s="215">
        <v>46258</v>
      </c>
      <c r="C264" s="136"/>
      <c r="D264" s="136"/>
      <c r="E264" s="135"/>
      <c r="F264" s="135"/>
      <c r="G264" s="147">
        <f t="shared" si="87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88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89"/>
        <v>0</v>
      </c>
      <c r="AH264" s="136"/>
      <c r="AI264" s="136"/>
      <c r="AJ264" s="136"/>
      <c r="AK264" s="105">
        <f t="shared" si="90"/>
        <v>0</v>
      </c>
      <c r="AL264" s="143"/>
      <c r="AM264" s="143"/>
      <c r="AN264" s="143"/>
      <c r="AO264" s="146"/>
      <c r="AP264" s="224">
        <f t="shared" si="91"/>
        <v>0</v>
      </c>
      <c r="AQ264" s="126"/>
      <c r="AR264" s="274"/>
      <c r="AS264" s="126"/>
      <c r="AT264" s="126"/>
      <c r="AU264" s="126"/>
      <c r="AV264" s="126"/>
      <c r="AW264" s="126"/>
      <c r="AX264" s="394"/>
      <c r="AY264" s="394"/>
      <c r="AZ264" s="394"/>
      <c r="BA264" s="394"/>
      <c r="BB264" s="222">
        <f t="shared" si="92"/>
        <v>0</v>
      </c>
      <c r="BC264" s="140">
        <f t="shared" si="93"/>
        <v>0</v>
      </c>
      <c r="BD264" s="132"/>
      <c r="BE264" s="140">
        <f t="shared" si="94"/>
        <v>0</v>
      </c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30">
        <f t="shared" si="95"/>
        <v>0</v>
      </c>
      <c r="BU264" s="132"/>
    </row>
    <row r="265" ht="14.25" customHeight="1">
      <c r="A265" s="132"/>
      <c r="B265" s="215">
        <v>46259</v>
      </c>
      <c r="C265" s="136"/>
      <c r="D265" s="136"/>
      <c r="E265" s="135"/>
      <c r="F265" s="135"/>
      <c r="G265" s="147">
        <f t="shared" si="87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88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89"/>
        <v>0</v>
      </c>
      <c r="AH265" s="136"/>
      <c r="AI265" s="136"/>
      <c r="AJ265" s="136"/>
      <c r="AK265" s="105">
        <f t="shared" si="90"/>
        <v>0</v>
      </c>
      <c r="AL265" s="143"/>
      <c r="AM265" s="143"/>
      <c r="AN265" s="143"/>
      <c r="AO265" s="146"/>
      <c r="AP265" s="224">
        <f t="shared" si="91"/>
        <v>0</v>
      </c>
      <c r="AQ265" s="126"/>
      <c r="AR265" s="274"/>
      <c r="AS265" s="126"/>
      <c r="AT265" s="126"/>
      <c r="AU265" s="126"/>
      <c r="AV265" s="126"/>
      <c r="AW265" s="126"/>
      <c r="AX265" s="394"/>
      <c r="AY265" s="394"/>
      <c r="AZ265" s="394"/>
      <c r="BA265" s="394"/>
      <c r="BB265" s="222">
        <f t="shared" si="92"/>
        <v>0</v>
      </c>
      <c r="BC265" s="140">
        <f t="shared" si="93"/>
        <v>0</v>
      </c>
      <c r="BD265" s="132"/>
      <c r="BE265" s="140">
        <f t="shared" si="94"/>
        <v>0</v>
      </c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30">
        <f t="shared" si="95"/>
        <v>0</v>
      </c>
      <c r="BU265" s="132"/>
    </row>
    <row r="266" ht="14.25" customHeight="1">
      <c r="A266" s="132"/>
      <c r="B266" s="215">
        <v>46260</v>
      </c>
      <c r="C266" s="136"/>
      <c r="D266" s="136"/>
      <c r="E266" s="135"/>
      <c r="F266" s="135"/>
      <c r="G266" s="147">
        <f t="shared" si="87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88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89"/>
        <v>0</v>
      </c>
      <c r="AH266" s="136"/>
      <c r="AI266" s="136"/>
      <c r="AJ266" s="136"/>
      <c r="AK266" s="105">
        <f t="shared" si="90"/>
        <v>0</v>
      </c>
      <c r="AL266" s="143"/>
      <c r="AM266" s="143"/>
      <c r="AN266" s="143"/>
      <c r="AO266" s="146"/>
      <c r="AP266" s="224">
        <f t="shared" si="91"/>
        <v>0</v>
      </c>
      <c r="AQ266" s="126"/>
      <c r="AR266" s="274"/>
      <c r="AS266" s="126"/>
      <c r="AT266" s="126"/>
      <c r="AU266" s="126"/>
      <c r="AV266" s="126"/>
      <c r="AW266" s="126"/>
      <c r="AX266" s="394"/>
      <c r="AY266" s="394"/>
      <c r="AZ266" s="394"/>
      <c r="BA266" s="394"/>
      <c r="BB266" s="222">
        <f t="shared" si="92"/>
        <v>0</v>
      </c>
      <c r="BC266" s="140">
        <f t="shared" si="93"/>
        <v>0</v>
      </c>
      <c r="BD266" s="132"/>
      <c r="BE266" s="140">
        <f t="shared" si="94"/>
        <v>0</v>
      </c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30">
        <f t="shared" si="95"/>
        <v>0</v>
      </c>
      <c r="BU266" s="132"/>
    </row>
    <row r="267" ht="14.25" customHeight="1">
      <c r="A267" s="132"/>
      <c r="B267" s="215">
        <v>46261</v>
      </c>
      <c r="C267" s="136"/>
      <c r="D267" s="136"/>
      <c r="E267" s="135"/>
      <c r="F267" s="135"/>
      <c r="G267" s="147">
        <f t="shared" si="87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88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89"/>
        <v>0</v>
      </c>
      <c r="AH267" s="136"/>
      <c r="AI267" s="136"/>
      <c r="AJ267" s="136"/>
      <c r="AK267" s="105">
        <f t="shared" si="90"/>
        <v>0</v>
      </c>
      <c r="AL267" s="143"/>
      <c r="AM267" s="143"/>
      <c r="AN267" s="143"/>
      <c r="AO267" s="146"/>
      <c r="AP267" s="224">
        <f t="shared" si="91"/>
        <v>0</v>
      </c>
      <c r="AQ267" s="126"/>
      <c r="AR267" s="274"/>
      <c r="AS267" s="126"/>
      <c r="AT267" s="126"/>
      <c r="AU267" s="126"/>
      <c r="AV267" s="126"/>
      <c r="AW267" s="126"/>
      <c r="AX267" s="394"/>
      <c r="AY267" s="394"/>
      <c r="AZ267" s="394"/>
      <c r="BA267" s="394"/>
      <c r="BB267" s="222">
        <f t="shared" si="92"/>
        <v>0</v>
      </c>
      <c r="BC267" s="140">
        <f t="shared" si="93"/>
        <v>0</v>
      </c>
      <c r="BD267" s="132"/>
      <c r="BE267" s="140">
        <f t="shared" si="94"/>
        <v>0</v>
      </c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30">
        <f t="shared" si="95"/>
        <v>0</v>
      </c>
      <c r="BU267" s="132"/>
    </row>
    <row r="268" ht="14.25" customHeight="1">
      <c r="A268" s="132"/>
      <c r="B268" s="215">
        <v>46262</v>
      </c>
      <c r="C268" s="136"/>
      <c r="D268" s="136"/>
      <c r="E268" s="135"/>
      <c r="F268" s="135"/>
      <c r="G268" s="147">
        <f t="shared" si="87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88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89"/>
        <v>0</v>
      </c>
      <c r="AH268" s="136"/>
      <c r="AI268" s="136"/>
      <c r="AJ268" s="136"/>
      <c r="AK268" s="105">
        <f t="shared" si="90"/>
        <v>0</v>
      </c>
      <c r="AL268" s="143"/>
      <c r="AM268" s="143"/>
      <c r="AN268" s="143"/>
      <c r="AO268" s="146"/>
      <c r="AP268" s="224">
        <f t="shared" si="91"/>
        <v>0</v>
      </c>
      <c r="AQ268" s="126"/>
      <c r="AR268" s="274"/>
      <c r="AS268" s="126"/>
      <c r="AT268" s="126"/>
      <c r="AU268" s="126"/>
      <c r="AV268" s="126"/>
      <c r="AW268" s="126"/>
      <c r="AX268" s="394"/>
      <c r="AY268" s="394"/>
      <c r="AZ268" s="394"/>
      <c r="BA268" s="394"/>
      <c r="BB268" s="222">
        <f t="shared" si="92"/>
        <v>0</v>
      </c>
      <c r="BC268" s="140">
        <f t="shared" si="93"/>
        <v>0</v>
      </c>
      <c r="BD268" s="132"/>
      <c r="BE268" s="140">
        <f t="shared" si="94"/>
        <v>0</v>
      </c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495"/>
      <c r="BR268" s="141"/>
      <c r="BS268" s="141"/>
      <c r="BT268" s="130">
        <f t="shared" si="95"/>
        <v>0</v>
      </c>
      <c r="BU268" s="132"/>
    </row>
    <row r="269" ht="14.25" customHeight="1">
      <c r="A269" s="132"/>
      <c r="B269" s="215">
        <v>46263</v>
      </c>
      <c r="C269" s="136"/>
      <c r="D269" s="136"/>
      <c r="E269" s="135"/>
      <c r="F269" s="135"/>
      <c r="G269" s="147">
        <f t="shared" si="87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88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89"/>
        <v>0</v>
      </c>
      <c r="AH269" s="136"/>
      <c r="AI269" s="136"/>
      <c r="AJ269" s="136"/>
      <c r="AK269" s="105">
        <f t="shared" si="90"/>
        <v>0</v>
      </c>
      <c r="AL269" s="143"/>
      <c r="AM269" s="143"/>
      <c r="AN269" s="143"/>
      <c r="AO269" s="146"/>
      <c r="AP269" s="224">
        <f t="shared" si="91"/>
        <v>0</v>
      </c>
      <c r="AQ269" s="126"/>
      <c r="AR269" s="274"/>
      <c r="AS269" s="126"/>
      <c r="AT269" s="126"/>
      <c r="AU269" s="126"/>
      <c r="AV269" s="126"/>
      <c r="AW269" s="126"/>
      <c r="AX269" s="394"/>
      <c r="AY269" s="394"/>
      <c r="AZ269" s="394"/>
      <c r="BA269" s="394"/>
      <c r="BB269" s="222">
        <f t="shared" si="92"/>
        <v>0</v>
      </c>
      <c r="BC269" s="140">
        <f t="shared" si="93"/>
        <v>0</v>
      </c>
      <c r="BD269" s="132"/>
      <c r="BE269" s="140">
        <f t="shared" si="94"/>
        <v>0</v>
      </c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30">
        <f t="shared" si="95"/>
        <v>0</v>
      </c>
      <c r="BU269" s="132"/>
    </row>
    <row r="270" ht="14.25" customHeight="1">
      <c r="A270" s="132"/>
      <c r="B270" s="215">
        <v>46264</v>
      </c>
      <c r="C270" s="136"/>
      <c r="D270" s="136"/>
      <c r="E270" s="135"/>
      <c r="F270" s="135"/>
      <c r="G270" s="147">
        <f t="shared" si="87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88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89"/>
        <v>0</v>
      </c>
      <c r="AH270" s="136"/>
      <c r="AI270" s="136"/>
      <c r="AJ270" s="136"/>
      <c r="AK270" s="105">
        <f t="shared" si="90"/>
        <v>0</v>
      </c>
      <c r="AL270" s="143"/>
      <c r="AM270" s="143"/>
      <c r="AN270" s="143"/>
      <c r="AO270" s="146"/>
      <c r="AP270" s="224">
        <f t="shared" si="91"/>
        <v>0</v>
      </c>
      <c r="AQ270" s="126"/>
      <c r="AR270" s="274"/>
      <c r="AS270" s="126"/>
      <c r="AT270" s="126"/>
      <c r="AU270" s="126"/>
      <c r="AV270" s="126"/>
      <c r="AW270" s="126"/>
      <c r="AX270" s="394"/>
      <c r="AY270" s="394"/>
      <c r="AZ270" s="394"/>
      <c r="BA270" s="394"/>
      <c r="BB270" s="222">
        <f t="shared" si="92"/>
        <v>0</v>
      </c>
      <c r="BC270" s="140">
        <f t="shared" si="93"/>
        <v>0</v>
      </c>
      <c r="BD270" s="132"/>
      <c r="BE270" s="140">
        <f t="shared" si="94"/>
        <v>0</v>
      </c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41"/>
      <c r="BT270" s="130">
        <f t="shared" si="95"/>
        <v>0</v>
      </c>
      <c r="BU270" s="132"/>
    </row>
    <row r="271" ht="14.25" customHeight="1">
      <c r="A271" s="132"/>
      <c r="B271" s="215">
        <v>46265</v>
      </c>
      <c r="C271" s="159"/>
      <c r="D271" s="159"/>
      <c r="E271" s="156"/>
      <c r="F271" s="156"/>
      <c r="G271" s="147">
        <f t="shared" si="87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88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89"/>
        <v>0</v>
      </c>
      <c r="AH271" s="159"/>
      <c r="AI271" s="159"/>
      <c r="AJ271" s="159"/>
      <c r="AK271" s="105">
        <f t="shared" si="90"/>
        <v>0</v>
      </c>
      <c r="AL271" s="157"/>
      <c r="AM271" s="157"/>
      <c r="AN271" s="157"/>
      <c r="AO271" s="160"/>
      <c r="AP271" s="224">
        <f t="shared" si="91"/>
        <v>0</v>
      </c>
      <c r="AQ271" s="138"/>
      <c r="AR271" s="296"/>
      <c r="AS271" s="138"/>
      <c r="AT271" s="138"/>
      <c r="AU271" s="126"/>
      <c r="AV271" s="126"/>
      <c r="AW271" s="138"/>
      <c r="AX271" s="404"/>
      <c r="AY271" s="404"/>
      <c r="AZ271" s="404"/>
      <c r="BA271" s="404"/>
      <c r="BB271" s="222">
        <f t="shared" si="92"/>
        <v>0</v>
      </c>
      <c r="BC271" s="162">
        <f t="shared" si="93"/>
        <v>0</v>
      </c>
      <c r="BD271" s="132"/>
      <c r="BE271" s="162">
        <f t="shared" si="94"/>
        <v>0</v>
      </c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41"/>
      <c r="BP271" s="163"/>
      <c r="BQ271" s="163"/>
      <c r="BR271" s="163"/>
      <c r="BS271" s="163"/>
      <c r="BT271" s="164">
        <f t="shared" si="95"/>
        <v>0</v>
      </c>
      <c r="BU271" s="132"/>
    </row>
    <row r="272" ht="14.25" customHeight="1">
      <c r="A272" s="3"/>
      <c r="B272" s="2" t="s">
        <v>264</v>
      </c>
      <c r="C272" s="166">
        <f ref="C272:AH272" t="shared" si="96">SUM(C241:C271)</f>
        <v>0</v>
      </c>
      <c r="D272" s="166">
        <f t="shared" si="96"/>
        <v>0</v>
      </c>
      <c r="E272" s="166">
        <f t="shared" si="96"/>
        <v>0</v>
      </c>
      <c r="F272" s="166">
        <f t="shared" si="96"/>
        <v>0</v>
      </c>
      <c r="G272" s="166">
        <f t="shared" si="96"/>
        <v>0</v>
      </c>
      <c r="H272" s="166">
        <f t="shared" si="96"/>
        <v>0</v>
      </c>
      <c r="I272" s="166">
        <f t="shared" si="96"/>
        <v>0</v>
      </c>
      <c r="J272" s="166">
        <f t="shared" si="96"/>
        <v>0</v>
      </c>
      <c r="K272" s="166">
        <f t="shared" si="96"/>
        <v>0</v>
      </c>
      <c r="L272" s="166">
        <f t="shared" si="96"/>
        <v>0</v>
      </c>
      <c r="M272" s="166">
        <f t="shared" si="96"/>
        <v>0</v>
      </c>
      <c r="N272" s="166">
        <f t="shared" si="96"/>
        <v>0</v>
      </c>
      <c r="O272" s="166">
        <f t="shared" si="96"/>
        <v>0</v>
      </c>
      <c r="P272" s="166">
        <f t="shared" si="96"/>
        <v>0</v>
      </c>
      <c r="Q272" s="166">
        <f t="shared" si="96"/>
        <v>0</v>
      </c>
      <c r="R272" s="166">
        <f t="shared" si="96"/>
        <v>0</v>
      </c>
      <c r="S272" s="166">
        <f t="shared" si="96"/>
        <v>0</v>
      </c>
      <c r="T272" s="166">
        <f t="shared" si="96"/>
        <v>0</v>
      </c>
      <c r="U272" s="166">
        <f t="shared" si="96"/>
        <v>0</v>
      </c>
      <c r="V272" s="166">
        <f t="shared" si="96"/>
        <v>0</v>
      </c>
      <c r="W272" s="166">
        <f t="shared" si="96"/>
        <v>0</v>
      </c>
      <c r="X272" s="166">
        <f t="shared" si="96"/>
        <v>0</v>
      </c>
      <c r="Y272" s="166">
        <f t="shared" si="96"/>
        <v>0</v>
      </c>
      <c r="Z272" s="166">
        <f t="shared" si="96"/>
        <v>0</v>
      </c>
      <c r="AA272" s="166">
        <f t="shared" si="96"/>
        <v>0</v>
      </c>
      <c r="AB272" s="166">
        <f t="shared" si="96"/>
        <v>0</v>
      </c>
      <c r="AC272" s="166">
        <f t="shared" si="96"/>
        <v>0</v>
      </c>
      <c r="AD272" s="166">
        <f t="shared" si="96"/>
        <v>0</v>
      </c>
      <c r="AE272" s="166">
        <f t="shared" si="96"/>
        <v>0</v>
      </c>
      <c r="AF272" s="166">
        <f t="shared" si="96"/>
        <v>0</v>
      </c>
      <c r="AG272" s="166">
        <f t="shared" si="96"/>
        <v>0</v>
      </c>
      <c r="AH272" s="166">
        <f t="shared" si="96"/>
        <v>0</v>
      </c>
      <c r="AI272" s="166"/>
      <c r="AJ272" s="166"/>
      <c r="AK272" s="166">
        <f ref="AK272:AW272" t="shared" si="97">SUM(AK241:AK271)</f>
        <v>0</v>
      </c>
      <c r="AL272" s="166">
        <f t="shared" si="97"/>
        <v>0</v>
      </c>
      <c r="AM272" s="166">
        <f t="shared" si="97"/>
        <v>0</v>
      </c>
      <c r="AN272" s="166">
        <f t="shared" si="97"/>
        <v>0</v>
      </c>
      <c r="AO272" s="166">
        <f t="shared" si="97"/>
        <v>0</v>
      </c>
      <c r="AP272" s="166">
        <f t="shared" si="97"/>
        <v>0</v>
      </c>
      <c r="AQ272" s="165">
        <f t="shared" si="97"/>
        <v>0</v>
      </c>
      <c r="AR272" s="166">
        <f t="shared" si="97"/>
        <v>0</v>
      </c>
      <c r="AS272" s="166">
        <f t="shared" si="97"/>
        <v>0</v>
      </c>
      <c r="AT272" s="166">
        <f t="shared" si="97"/>
        <v>0</v>
      </c>
      <c r="AU272" s="166">
        <f t="shared" si="97"/>
        <v>0</v>
      </c>
      <c r="AV272" s="166">
        <f t="shared" si="97"/>
        <v>0</v>
      </c>
      <c r="AW272" s="166">
        <f t="shared" si="97"/>
        <v>0</v>
      </c>
      <c r="AX272" s="166"/>
      <c r="AY272" s="166"/>
      <c r="AZ272" s="166"/>
      <c r="BA272" s="166"/>
      <c r="BB272" s="166">
        <f ref="BB272:BC272" t="shared" si="98">SUM(BB241:BB271)</f>
        <v>0</v>
      </c>
      <c r="BC272" s="166">
        <f t="shared" si="98"/>
        <v>0</v>
      </c>
      <c r="BD272" s="3"/>
      <c r="BE272" s="172">
        <f>SUM(BE241:BE271)</f>
        <v>0</v>
      </c>
      <c r="BF272" s="165"/>
      <c r="BG272" s="165"/>
      <c r="BH272" s="165"/>
      <c r="BI272" s="165"/>
      <c r="BJ272" s="165"/>
      <c r="BK272" s="165"/>
      <c r="BL272" s="165"/>
      <c r="BM272" s="165"/>
      <c r="BN272" s="165"/>
      <c r="BO272" s="166">
        <f ref="BO272:BQ272" t="shared" si="99">SUM(BO241:BO271)</f>
        <v>0</v>
      </c>
      <c r="BP272" s="166">
        <f t="shared" si="99"/>
        <v>0</v>
      </c>
      <c r="BQ272" s="166">
        <f t="shared" si="99"/>
        <v>0</v>
      </c>
      <c r="BR272" s="165"/>
      <c r="BS272" s="165"/>
      <c r="BT272" s="165">
        <f>SUM(BT241:BT271)</f>
        <v>0</v>
      </c>
      <c r="BU272" s="132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1336"/>
      <c r="AL273" s="3"/>
      <c r="AM273" s="3"/>
      <c r="AN273" s="3"/>
      <c r="AO273" s="3"/>
      <c r="AP273" s="41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132"/>
      <c r="BB273" s="1336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</row>
    <row r="274" ht="14.25" customHeight="1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1336"/>
      <c r="AL274" s="3"/>
      <c r="AM274" s="3"/>
      <c r="AN274" s="3"/>
      <c r="AO274" s="3"/>
      <c r="AP274" s="41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132"/>
      <c r="BB274" s="1398"/>
      <c r="BC274" s="3"/>
      <c r="BD274" s="3"/>
      <c r="BE274" s="3"/>
      <c r="BF274" s="3"/>
      <c r="BG274" s="3"/>
      <c r="BH274" s="3"/>
      <c r="BI274" s="176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</row>
    <row r="275" ht="14.25" customHeight="1">
      <c r="A275" s="3"/>
      <c r="B275" s="215">
        <v>46266</v>
      </c>
      <c r="C275" s="104"/>
      <c r="D275" s="104"/>
      <c r="E275" s="97"/>
      <c r="F275" s="97"/>
      <c r="G275" s="265">
        <f ref="G275:G304" t="shared" si="100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9">
        <f ref="T275:T304" t="shared" si="101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ref="AG275:AG304" t="shared" si="102">SUM(U275:AF275)</f>
        <v>0</v>
      </c>
      <c r="AH275" s="104"/>
      <c r="AI275" s="104"/>
      <c r="AJ275" s="104"/>
      <c r="AK275" s="191">
        <f ref="AK275:AK304" t="shared" si="103">SUM(AH275:AJ275)</f>
        <v>0</v>
      </c>
      <c r="AL275" s="186"/>
      <c r="AM275" s="186"/>
      <c r="AN275" s="186"/>
      <c r="AO275" s="193"/>
      <c r="AP275" s="266">
        <f ref="AP275:AP304" t="shared" si="104">+G275-T275-AG275-AK275-AL275-AM275-AN275-AO275</f>
        <v>0</v>
      </c>
      <c r="AQ275" s="109"/>
      <c r="AR275" s="269"/>
      <c r="AS275" s="109"/>
      <c r="AT275" s="109"/>
      <c r="AU275" s="109"/>
      <c r="AV275" s="109"/>
      <c r="AW275" s="109"/>
      <c r="AX275" s="388"/>
      <c r="AY275" s="388"/>
      <c r="AZ275" s="388"/>
      <c r="BA275" s="388"/>
      <c r="BB275" s="222">
        <f ref="BB275:BB304" t="shared" si="105">SUM(AQ275:BA275)-AZ275</f>
        <v>0</v>
      </c>
      <c r="BC275" s="114">
        <f ref="BC275:BC304" t="shared" si="106">+AP275-BB275</f>
        <v>0</v>
      </c>
      <c r="BD275" s="3"/>
      <c r="BE275" s="114">
        <f ref="BE275:BE304" t="shared" si="107">SUM(BF275:BR275)</f>
        <v>0</v>
      </c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116">
        <f ref="BT275:BT304" t="shared" si="108">+BC275-BE275</f>
        <v>0</v>
      </c>
      <c r="BU275" s="3"/>
    </row>
    <row r="276" ht="14.25" customHeight="1">
      <c r="A276" s="3"/>
      <c r="B276" s="215">
        <v>46267</v>
      </c>
      <c r="C276" s="123"/>
      <c r="D276" s="123"/>
      <c r="E276" s="120"/>
      <c r="F276" s="120"/>
      <c r="G276" s="147">
        <f t="shared" si="100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01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02"/>
        <v>0</v>
      </c>
      <c r="AH276" s="123"/>
      <c r="AI276" s="123"/>
      <c r="AJ276" s="123"/>
      <c r="AK276" s="105">
        <f t="shared" si="103"/>
        <v>0</v>
      </c>
      <c r="AL276" s="143"/>
      <c r="AM276" s="143"/>
      <c r="AN276" s="143"/>
      <c r="AO276" s="146"/>
      <c r="AP276" s="224">
        <f t="shared" si="104"/>
        <v>0</v>
      </c>
      <c r="AQ276" s="126"/>
      <c r="AR276" s="274"/>
      <c r="AS276" s="126"/>
      <c r="AT276" s="126"/>
      <c r="AU276" s="126"/>
      <c r="AV276" s="126"/>
      <c r="AW276" s="126"/>
      <c r="AX276" s="394"/>
      <c r="AY276" s="394"/>
      <c r="AZ276" s="394"/>
      <c r="BA276" s="394"/>
      <c r="BB276" s="222">
        <f t="shared" si="105"/>
        <v>0</v>
      </c>
      <c r="BC276" s="113">
        <f t="shared" si="106"/>
        <v>0</v>
      </c>
      <c r="BD276" s="3"/>
      <c r="BE276" s="113">
        <f t="shared" si="107"/>
        <v>0</v>
      </c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30">
        <f t="shared" si="108"/>
        <v>0</v>
      </c>
      <c r="BU276" s="3"/>
    </row>
    <row r="277" ht="14.25" customHeight="1">
      <c r="A277" s="3"/>
      <c r="B277" s="215">
        <v>46268</v>
      </c>
      <c r="C277" s="123"/>
      <c r="D277" s="123"/>
      <c r="E277" s="120"/>
      <c r="F277" s="120"/>
      <c r="G277" s="147">
        <f t="shared" si="100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01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02"/>
        <v>0</v>
      </c>
      <c r="AH277" s="123"/>
      <c r="AI277" s="123"/>
      <c r="AJ277" s="123"/>
      <c r="AK277" s="105">
        <f t="shared" si="103"/>
        <v>0</v>
      </c>
      <c r="AL277" s="143"/>
      <c r="AM277" s="143"/>
      <c r="AN277" s="143"/>
      <c r="AO277" s="146"/>
      <c r="AP277" s="224">
        <f t="shared" si="104"/>
        <v>0</v>
      </c>
      <c r="AQ277" s="126"/>
      <c r="AR277" s="274"/>
      <c r="AS277" s="274"/>
      <c r="AT277" s="126"/>
      <c r="AU277" s="126"/>
      <c r="AV277" s="126"/>
      <c r="AW277" s="126"/>
      <c r="AX277" s="394"/>
      <c r="AY277" s="394"/>
      <c r="AZ277" s="394"/>
      <c r="BA277" s="394"/>
      <c r="BB277" s="222">
        <f t="shared" si="105"/>
        <v>0</v>
      </c>
      <c r="BC277" s="113">
        <f t="shared" si="106"/>
        <v>0</v>
      </c>
      <c r="BD277" s="3"/>
      <c r="BE277" s="113">
        <f t="shared" si="107"/>
        <v>0</v>
      </c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30">
        <f t="shared" si="108"/>
        <v>0</v>
      </c>
      <c r="BU277" s="3"/>
    </row>
    <row r="278" ht="14.25" customHeight="1">
      <c r="A278" s="3"/>
      <c r="B278" s="215">
        <v>46269</v>
      </c>
      <c r="C278" s="123"/>
      <c r="D278" s="123"/>
      <c r="E278" s="120"/>
      <c r="F278" s="120"/>
      <c r="G278" s="147">
        <f t="shared" si="100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01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02"/>
        <v>0</v>
      </c>
      <c r="AH278" s="123"/>
      <c r="AI278" s="123"/>
      <c r="AJ278" s="123"/>
      <c r="AK278" s="105">
        <f t="shared" si="103"/>
        <v>0</v>
      </c>
      <c r="AL278" s="143"/>
      <c r="AM278" s="143"/>
      <c r="AN278" s="143"/>
      <c r="AO278" s="146"/>
      <c r="AP278" s="224">
        <f t="shared" si="104"/>
        <v>0</v>
      </c>
      <c r="AQ278" s="126"/>
      <c r="AR278" s="274"/>
      <c r="AS278" s="274"/>
      <c r="AT278" s="126"/>
      <c r="AU278" s="126"/>
      <c r="AV278" s="126"/>
      <c r="AW278" s="126"/>
      <c r="AX278" s="394"/>
      <c r="AY278" s="394"/>
      <c r="AZ278" s="394"/>
      <c r="BA278" s="394"/>
      <c r="BB278" s="222">
        <f t="shared" si="105"/>
        <v>0</v>
      </c>
      <c r="BC278" s="113">
        <f t="shared" si="106"/>
        <v>0</v>
      </c>
      <c r="BD278" s="3"/>
      <c r="BE278" s="113">
        <f t="shared" si="107"/>
        <v>0</v>
      </c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30">
        <f t="shared" si="108"/>
        <v>0</v>
      </c>
      <c r="BU278" s="3"/>
    </row>
    <row r="279" ht="14.25" customHeight="1">
      <c r="A279" s="3"/>
      <c r="B279" s="215">
        <v>46270</v>
      </c>
      <c r="C279" s="123"/>
      <c r="D279" s="123"/>
      <c r="E279" s="120"/>
      <c r="F279" s="120"/>
      <c r="G279" s="147">
        <f t="shared" si="100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01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02"/>
        <v>0</v>
      </c>
      <c r="AH279" s="123"/>
      <c r="AI279" s="123"/>
      <c r="AJ279" s="123"/>
      <c r="AK279" s="105">
        <f t="shared" si="103"/>
        <v>0</v>
      </c>
      <c r="AL279" s="143"/>
      <c r="AM279" s="143"/>
      <c r="AN279" s="143"/>
      <c r="AO279" s="146"/>
      <c r="AP279" s="224">
        <f t="shared" si="104"/>
        <v>0</v>
      </c>
      <c r="AQ279" s="126"/>
      <c r="AR279" s="274"/>
      <c r="AS279" s="126"/>
      <c r="AT279" s="126"/>
      <c r="AU279" s="126"/>
      <c r="AV279" s="126"/>
      <c r="AW279" s="126"/>
      <c r="AX279" s="394"/>
      <c r="AY279" s="394"/>
      <c r="AZ279" s="394"/>
      <c r="BA279" s="394"/>
      <c r="BB279" s="222">
        <f t="shared" si="105"/>
        <v>0</v>
      </c>
      <c r="BC279" s="113">
        <f t="shared" si="106"/>
        <v>0</v>
      </c>
      <c r="BD279" s="3"/>
      <c r="BE279" s="113">
        <f t="shared" si="107"/>
        <v>0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30">
        <f t="shared" si="108"/>
        <v>0</v>
      </c>
      <c r="BU279" s="3"/>
    </row>
    <row r="280" ht="14.25" customHeight="1">
      <c r="A280" s="3"/>
      <c r="B280" s="215">
        <v>46271</v>
      </c>
      <c r="C280" s="123"/>
      <c r="D280" s="118"/>
      <c r="E280" s="120"/>
      <c r="F280" s="120"/>
      <c r="G280" s="147">
        <f t="shared" si="100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01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02"/>
        <v>0</v>
      </c>
      <c r="AH280" s="123"/>
      <c r="AI280" s="123"/>
      <c r="AJ280" s="123"/>
      <c r="AK280" s="105">
        <f t="shared" si="103"/>
        <v>0</v>
      </c>
      <c r="AL280" s="143"/>
      <c r="AM280" s="143"/>
      <c r="AN280" s="143"/>
      <c r="AO280" s="146"/>
      <c r="AP280" s="224">
        <f t="shared" si="104"/>
        <v>0</v>
      </c>
      <c r="AQ280" s="126"/>
      <c r="AR280" s="274"/>
      <c r="AS280" s="126"/>
      <c r="AT280" s="126"/>
      <c r="AU280" s="126"/>
      <c r="AV280" s="126"/>
      <c r="AW280" s="126"/>
      <c r="AX280" s="394"/>
      <c r="AY280" s="394"/>
      <c r="AZ280" s="394"/>
      <c r="BA280" s="394"/>
      <c r="BB280" s="222">
        <f t="shared" si="105"/>
        <v>0</v>
      </c>
      <c r="BC280" s="113">
        <f t="shared" si="106"/>
        <v>0</v>
      </c>
      <c r="BD280" s="3"/>
      <c r="BE280" s="113">
        <f t="shared" si="107"/>
        <v>0</v>
      </c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452"/>
      <c r="BP280" s="129"/>
      <c r="BQ280" s="129"/>
      <c r="BR280" s="129"/>
      <c r="BS280" s="255"/>
      <c r="BT280" s="1408">
        <f t="shared" si="108"/>
        <v>0</v>
      </c>
      <c r="BU280" s="3"/>
    </row>
    <row r="281" ht="14.25" customHeight="1">
      <c r="A281" s="3"/>
      <c r="B281" s="215">
        <v>46272</v>
      </c>
      <c r="C281" s="123"/>
      <c r="D281" s="123"/>
      <c r="E281" s="120"/>
      <c r="F281" s="120"/>
      <c r="G281" s="147">
        <f t="shared" si="100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01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02"/>
        <v>0</v>
      </c>
      <c r="AH281" s="123"/>
      <c r="AI281" s="123"/>
      <c r="AJ281" s="123"/>
      <c r="AK281" s="105">
        <f t="shared" si="103"/>
        <v>0</v>
      </c>
      <c r="AL281" s="143"/>
      <c r="AM281" s="143"/>
      <c r="AN281" s="143"/>
      <c r="AO281" s="146"/>
      <c r="AP281" s="224">
        <f t="shared" si="104"/>
        <v>0</v>
      </c>
      <c r="AQ281" s="126"/>
      <c r="AR281" s="274"/>
      <c r="AS281" s="126"/>
      <c r="AT281" s="126"/>
      <c r="AU281" s="126"/>
      <c r="AV281" s="126"/>
      <c r="AW281" s="126"/>
      <c r="AX281" s="394"/>
      <c r="AY281" s="394"/>
      <c r="AZ281" s="394"/>
      <c r="BA281" s="394"/>
      <c r="BB281" s="222">
        <f t="shared" si="105"/>
        <v>0</v>
      </c>
      <c r="BC281" s="113">
        <f t="shared" si="106"/>
        <v>0</v>
      </c>
      <c r="BD281" s="3"/>
      <c r="BE281" s="113">
        <f t="shared" si="107"/>
        <v>0</v>
      </c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30">
        <f t="shared" si="108"/>
        <v>0</v>
      </c>
      <c r="BU281" s="3"/>
    </row>
    <row r="282" ht="14.25" customHeight="1">
      <c r="A282" s="3"/>
      <c r="B282" s="215">
        <v>46273</v>
      </c>
      <c r="C282" s="123"/>
      <c r="D282" s="123"/>
      <c r="E282" s="120"/>
      <c r="F282" s="120"/>
      <c r="G282" s="147">
        <f t="shared" si="100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01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02"/>
        <v>0</v>
      </c>
      <c r="AH282" s="123"/>
      <c r="AI282" s="123"/>
      <c r="AJ282" s="123"/>
      <c r="AK282" s="105">
        <f t="shared" si="103"/>
        <v>0</v>
      </c>
      <c r="AL282" s="143"/>
      <c r="AM282" s="143"/>
      <c r="AN282" s="143"/>
      <c r="AO282" s="146"/>
      <c r="AP282" s="224">
        <f t="shared" si="104"/>
        <v>0</v>
      </c>
      <c r="AQ282" s="126"/>
      <c r="AR282" s="274"/>
      <c r="AS282" s="126"/>
      <c r="AT282" s="126"/>
      <c r="AU282" s="126"/>
      <c r="AV282" s="126"/>
      <c r="AW282" s="126"/>
      <c r="AX282" s="394"/>
      <c r="AY282" s="394"/>
      <c r="AZ282" s="394"/>
      <c r="BA282" s="394"/>
      <c r="BB282" s="222">
        <f t="shared" si="105"/>
        <v>0</v>
      </c>
      <c r="BC282" s="113">
        <f t="shared" si="106"/>
        <v>0</v>
      </c>
      <c r="BD282" s="3"/>
      <c r="BE282" s="113">
        <f t="shared" si="107"/>
        <v>0</v>
      </c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30">
        <f t="shared" si="108"/>
        <v>0</v>
      </c>
      <c r="BU282" s="3"/>
    </row>
    <row r="283" ht="14.25" customHeight="1">
      <c r="A283" s="3"/>
      <c r="B283" s="215">
        <v>46274</v>
      </c>
      <c r="C283" s="123"/>
      <c r="D283" s="123"/>
      <c r="E283" s="120"/>
      <c r="F283" s="120"/>
      <c r="G283" s="147">
        <f t="shared" si="100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01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02"/>
        <v>0</v>
      </c>
      <c r="AH283" s="123"/>
      <c r="AI283" s="123"/>
      <c r="AJ283" s="123"/>
      <c r="AK283" s="105">
        <f t="shared" si="103"/>
        <v>0</v>
      </c>
      <c r="AL283" s="143"/>
      <c r="AM283" s="143"/>
      <c r="AN283" s="143"/>
      <c r="AO283" s="146"/>
      <c r="AP283" s="224">
        <f t="shared" si="104"/>
        <v>0</v>
      </c>
      <c r="AQ283" s="126"/>
      <c r="AR283" s="274"/>
      <c r="AS283" s="126"/>
      <c r="AT283" s="126"/>
      <c r="AU283" s="126"/>
      <c r="AV283" s="126"/>
      <c r="AW283" s="126"/>
      <c r="AX283" s="394"/>
      <c r="AY283" s="394"/>
      <c r="AZ283" s="394"/>
      <c r="BA283" s="394"/>
      <c r="BB283" s="222">
        <f t="shared" si="105"/>
        <v>0</v>
      </c>
      <c r="BC283" s="113">
        <f t="shared" si="106"/>
        <v>0</v>
      </c>
      <c r="BD283" s="3"/>
      <c r="BE283" s="113">
        <f t="shared" si="107"/>
        <v>0</v>
      </c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30">
        <f t="shared" si="108"/>
        <v>0</v>
      </c>
      <c r="BU283" s="3"/>
    </row>
    <row r="284" ht="14.25" customHeight="1">
      <c r="A284" s="3"/>
      <c r="B284" s="215">
        <v>46275</v>
      </c>
      <c r="C284" s="123"/>
      <c r="D284" s="123"/>
      <c r="E284" s="120"/>
      <c r="F284" s="120"/>
      <c r="G284" s="147">
        <f t="shared" si="100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01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02"/>
        <v>0</v>
      </c>
      <c r="AH284" s="123"/>
      <c r="AI284" s="123"/>
      <c r="AJ284" s="123"/>
      <c r="AK284" s="105">
        <f t="shared" si="103"/>
        <v>0</v>
      </c>
      <c r="AL284" s="143"/>
      <c r="AM284" s="143"/>
      <c r="AN284" s="143"/>
      <c r="AO284" s="146"/>
      <c r="AP284" s="224">
        <f t="shared" si="104"/>
        <v>0</v>
      </c>
      <c r="AQ284" s="126"/>
      <c r="AR284" s="274"/>
      <c r="AS284" s="126"/>
      <c r="AT284" s="126"/>
      <c r="AU284" s="126"/>
      <c r="AV284" s="126"/>
      <c r="AW284" s="126"/>
      <c r="AX284" s="394"/>
      <c r="AY284" s="394"/>
      <c r="AZ284" s="394"/>
      <c r="BA284" s="394"/>
      <c r="BB284" s="222">
        <f t="shared" si="105"/>
        <v>0</v>
      </c>
      <c r="BC284" s="113">
        <f t="shared" si="106"/>
        <v>0</v>
      </c>
      <c r="BD284" s="3"/>
      <c r="BE284" s="113">
        <f t="shared" si="107"/>
        <v>0</v>
      </c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30">
        <f t="shared" si="108"/>
        <v>0</v>
      </c>
      <c r="BU284" s="3"/>
    </row>
    <row r="285" ht="14.25" customHeight="1">
      <c r="A285" s="3"/>
      <c r="B285" s="215">
        <v>46276</v>
      </c>
      <c r="C285" s="123"/>
      <c r="D285" s="123"/>
      <c r="E285" s="120"/>
      <c r="F285" s="120"/>
      <c r="G285" s="147">
        <f t="shared" si="100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01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02"/>
        <v>0</v>
      </c>
      <c r="AH285" s="123"/>
      <c r="AI285" s="123"/>
      <c r="AJ285" s="123"/>
      <c r="AK285" s="105">
        <f t="shared" si="103"/>
        <v>0</v>
      </c>
      <c r="AL285" s="143"/>
      <c r="AM285" s="143"/>
      <c r="AN285" s="143"/>
      <c r="AO285" s="146"/>
      <c r="AP285" s="224">
        <f t="shared" si="104"/>
        <v>0</v>
      </c>
      <c r="AQ285" s="126"/>
      <c r="AR285" s="274"/>
      <c r="AS285" s="126"/>
      <c r="AT285" s="126"/>
      <c r="AU285" s="126"/>
      <c r="AV285" s="126"/>
      <c r="AW285" s="126"/>
      <c r="AX285" s="394"/>
      <c r="AY285" s="394"/>
      <c r="AZ285" s="394"/>
      <c r="BA285" s="394"/>
      <c r="BB285" s="222">
        <f t="shared" si="105"/>
        <v>0</v>
      </c>
      <c r="BC285" s="113">
        <f t="shared" si="106"/>
        <v>0</v>
      </c>
      <c r="BD285" s="3"/>
      <c r="BE285" s="113">
        <f t="shared" si="107"/>
        <v>0</v>
      </c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30">
        <f t="shared" si="108"/>
        <v>0</v>
      </c>
      <c r="BU285" s="3"/>
    </row>
    <row r="286" ht="14.25" customHeight="1">
      <c r="A286" s="3"/>
      <c r="B286" s="215">
        <v>46277</v>
      </c>
      <c r="C286" s="123"/>
      <c r="D286" s="123"/>
      <c r="E286" s="120"/>
      <c r="F286" s="120"/>
      <c r="G286" s="147">
        <f t="shared" si="100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01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02"/>
        <v>0</v>
      </c>
      <c r="AH286" s="123"/>
      <c r="AI286" s="123"/>
      <c r="AJ286" s="123"/>
      <c r="AK286" s="105">
        <f t="shared" si="103"/>
        <v>0</v>
      </c>
      <c r="AL286" s="143"/>
      <c r="AM286" s="143"/>
      <c r="AN286" s="143"/>
      <c r="AO286" s="146"/>
      <c r="AP286" s="224">
        <f t="shared" si="104"/>
        <v>0</v>
      </c>
      <c r="AQ286" s="126"/>
      <c r="AR286" s="274"/>
      <c r="AS286" s="126"/>
      <c r="AT286" s="126"/>
      <c r="AU286" s="126"/>
      <c r="AV286" s="126"/>
      <c r="AW286" s="126"/>
      <c r="AX286" s="394"/>
      <c r="AY286" s="394"/>
      <c r="AZ286" s="394"/>
      <c r="BA286" s="394"/>
      <c r="BB286" s="222">
        <f t="shared" si="105"/>
        <v>0</v>
      </c>
      <c r="BC286" s="113">
        <f t="shared" si="106"/>
        <v>0</v>
      </c>
      <c r="BD286" s="3"/>
      <c r="BE286" s="113">
        <f t="shared" si="107"/>
        <v>0</v>
      </c>
      <c r="BF286" s="129"/>
      <c r="BG286" s="129"/>
      <c r="BH286" s="129"/>
      <c r="BI286" s="129"/>
      <c r="BJ286" s="129"/>
      <c r="BK286" s="129"/>
      <c r="BL286" s="129"/>
      <c r="BM286" s="129"/>
      <c r="BN286" s="129"/>
      <c r="BO286" s="129"/>
      <c r="BP286" s="129"/>
      <c r="BQ286" s="129"/>
      <c r="BR286" s="129"/>
      <c r="BS286" s="129"/>
      <c r="BT286" s="130">
        <f t="shared" si="108"/>
        <v>0</v>
      </c>
      <c r="BU286" s="3"/>
    </row>
    <row r="287" ht="14.25" customHeight="1">
      <c r="A287" s="132"/>
      <c r="B287" s="215">
        <v>46278</v>
      </c>
      <c r="C287" s="136"/>
      <c r="D287" s="136"/>
      <c r="E287" s="135"/>
      <c r="F287" s="135"/>
      <c r="G287" s="147">
        <f t="shared" si="100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01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02"/>
        <v>0</v>
      </c>
      <c r="AH287" s="136"/>
      <c r="AI287" s="136"/>
      <c r="AJ287" s="136"/>
      <c r="AK287" s="105">
        <f t="shared" si="103"/>
        <v>0</v>
      </c>
      <c r="AL287" s="143"/>
      <c r="AM287" s="143"/>
      <c r="AN287" s="143"/>
      <c r="AO287" s="146"/>
      <c r="AP287" s="224">
        <f t="shared" si="104"/>
        <v>0</v>
      </c>
      <c r="AQ287" s="126"/>
      <c r="AR287" s="274"/>
      <c r="AS287" s="126"/>
      <c r="AT287" s="126"/>
      <c r="AU287" s="126"/>
      <c r="AV287" s="126"/>
      <c r="AW287" s="126"/>
      <c r="AX287" s="394"/>
      <c r="AY287" s="394"/>
      <c r="AZ287" s="394"/>
      <c r="BA287" s="394"/>
      <c r="BB287" s="222">
        <f t="shared" si="105"/>
        <v>0</v>
      </c>
      <c r="BC287" s="140">
        <f t="shared" si="106"/>
        <v>0</v>
      </c>
      <c r="BD287" s="132"/>
      <c r="BE287" s="140">
        <f t="shared" si="107"/>
        <v>0</v>
      </c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30">
        <f t="shared" si="108"/>
        <v>0</v>
      </c>
      <c r="BU287" s="132"/>
    </row>
    <row r="288" ht="14.25" customHeight="1">
      <c r="A288" s="132"/>
      <c r="B288" s="215">
        <v>46279</v>
      </c>
      <c r="C288" s="136"/>
      <c r="D288" s="136"/>
      <c r="E288" s="135"/>
      <c r="F288" s="135"/>
      <c r="G288" s="147">
        <f t="shared" si="100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01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02"/>
        <v>0</v>
      </c>
      <c r="AH288" s="136"/>
      <c r="AI288" s="136"/>
      <c r="AJ288" s="136"/>
      <c r="AK288" s="105">
        <f t="shared" si="103"/>
        <v>0</v>
      </c>
      <c r="AL288" s="143"/>
      <c r="AM288" s="143"/>
      <c r="AN288" s="143"/>
      <c r="AO288" s="146"/>
      <c r="AP288" s="224">
        <f t="shared" si="104"/>
        <v>0</v>
      </c>
      <c r="AQ288" s="126"/>
      <c r="AR288" s="274"/>
      <c r="AS288" s="126"/>
      <c r="AT288" s="126"/>
      <c r="AU288" s="126"/>
      <c r="AV288" s="126"/>
      <c r="AW288" s="126"/>
      <c r="AX288" s="394"/>
      <c r="AY288" s="394"/>
      <c r="AZ288" s="394"/>
      <c r="BA288" s="394"/>
      <c r="BB288" s="222">
        <f t="shared" si="105"/>
        <v>0</v>
      </c>
      <c r="BC288" s="140">
        <f t="shared" si="106"/>
        <v>0</v>
      </c>
      <c r="BD288" s="132"/>
      <c r="BE288" s="140">
        <f t="shared" si="107"/>
        <v>0</v>
      </c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30">
        <f t="shared" si="108"/>
        <v>0</v>
      </c>
      <c r="BU288" s="132"/>
    </row>
    <row r="289" ht="14.25" customHeight="1">
      <c r="A289" s="132"/>
      <c r="B289" s="215">
        <v>46280</v>
      </c>
      <c r="C289" s="136"/>
      <c r="D289" s="136"/>
      <c r="E289" s="135"/>
      <c r="F289" s="135"/>
      <c r="G289" s="147">
        <f t="shared" si="100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01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02"/>
        <v>0</v>
      </c>
      <c r="AH289" s="136"/>
      <c r="AI289" s="136"/>
      <c r="AJ289" s="136"/>
      <c r="AK289" s="105">
        <f t="shared" si="103"/>
        <v>0</v>
      </c>
      <c r="AL289" s="143"/>
      <c r="AM289" s="143"/>
      <c r="AN289" s="143"/>
      <c r="AO289" s="146"/>
      <c r="AP289" s="224">
        <f t="shared" si="104"/>
        <v>0</v>
      </c>
      <c r="AQ289" s="126"/>
      <c r="AR289" s="274"/>
      <c r="AS289" s="126"/>
      <c r="AT289" s="126"/>
      <c r="AU289" s="126"/>
      <c r="AV289" s="126"/>
      <c r="AW289" s="126"/>
      <c r="AX289" s="394"/>
      <c r="AY289" s="394"/>
      <c r="AZ289" s="394"/>
      <c r="BA289" s="394"/>
      <c r="BB289" s="222">
        <f t="shared" si="105"/>
        <v>0</v>
      </c>
      <c r="BC289" s="140">
        <f t="shared" si="106"/>
        <v>0</v>
      </c>
      <c r="BD289" s="132"/>
      <c r="BE289" s="140">
        <f t="shared" si="107"/>
        <v>0</v>
      </c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30">
        <f t="shared" si="108"/>
        <v>0</v>
      </c>
      <c r="BU289" s="132"/>
    </row>
    <row r="290" ht="14.25" customHeight="1">
      <c r="A290" s="132"/>
      <c r="B290" s="215">
        <v>46281</v>
      </c>
      <c r="C290" s="136"/>
      <c r="D290" s="136"/>
      <c r="E290" s="135"/>
      <c r="F290" s="135"/>
      <c r="G290" s="147">
        <f t="shared" si="100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01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02"/>
        <v>0</v>
      </c>
      <c r="AH290" s="136"/>
      <c r="AI290" s="136"/>
      <c r="AJ290" s="136"/>
      <c r="AK290" s="105">
        <f t="shared" si="103"/>
        <v>0</v>
      </c>
      <c r="AL290" s="143"/>
      <c r="AM290" s="143"/>
      <c r="AN290" s="143"/>
      <c r="AO290" s="146"/>
      <c r="AP290" s="224">
        <f t="shared" si="104"/>
        <v>0</v>
      </c>
      <c r="AQ290" s="126"/>
      <c r="AR290" s="274"/>
      <c r="AS290" s="126"/>
      <c r="AT290" s="126"/>
      <c r="AU290" s="126"/>
      <c r="AV290" s="126"/>
      <c r="AW290" s="126"/>
      <c r="AX290" s="394"/>
      <c r="AY290" s="394"/>
      <c r="AZ290" s="394"/>
      <c r="BA290" s="394"/>
      <c r="BB290" s="222">
        <f t="shared" si="105"/>
        <v>0</v>
      </c>
      <c r="BC290" s="140">
        <f t="shared" si="106"/>
        <v>0</v>
      </c>
      <c r="BD290" s="132"/>
      <c r="BE290" s="140">
        <f t="shared" si="107"/>
        <v>0</v>
      </c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30">
        <f t="shared" si="108"/>
        <v>0</v>
      </c>
      <c r="BU290" s="132"/>
    </row>
    <row r="291" ht="14.25" customHeight="1">
      <c r="A291" s="132"/>
      <c r="B291" s="215">
        <v>46282</v>
      </c>
      <c r="C291" s="136"/>
      <c r="D291" s="136"/>
      <c r="E291" s="135"/>
      <c r="F291" s="135"/>
      <c r="G291" s="147">
        <f t="shared" si="100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01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02"/>
        <v>0</v>
      </c>
      <c r="AH291" s="136"/>
      <c r="AI291" s="136"/>
      <c r="AJ291" s="136"/>
      <c r="AK291" s="105">
        <f t="shared" si="103"/>
        <v>0</v>
      </c>
      <c r="AL291" s="143"/>
      <c r="AM291" s="143"/>
      <c r="AN291" s="143"/>
      <c r="AO291" s="146"/>
      <c r="AP291" s="224">
        <f t="shared" si="104"/>
        <v>0</v>
      </c>
      <c r="AQ291" s="126"/>
      <c r="AR291" s="274"/>
      <c r="AS291" s="126"/>
      <c r="AT291" s="126"/>
      <c r="AU291" s="126"/>
      <c r="AV291" s="126"/>
      <c r="AW291" s="126"/>
      <c r="AX291" s="394"/>
      <c r="AY291" s="394"/>
      <c r="AZ291" s="394"/>
      <c r="BA291" s="394"/>
      <c r="BB291" s="222">
        <f t="shared" si="105"/>
        <v>0</v>
      </c>
      <c r="BC291" s="140">
        <f t="shared" si="106"/>
        <v>0</v>
      </c>
      <c r="BD291" s="132"/>
      <c r="BE291" s="140">
        <f t="shared" si="107"/>
        <v>0</v>
      </c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30">
        <f t="shared" si="108"/>
        <v>0</v>
      </c>
      <c r="BU291" s="132"/>
    </row>
    <row r="292" ht="14.25" customHeight="1">
      <c r="A292" s="132"/>
      <c r="B292" s="215">
        <v>46283</v>
      </c>
      <c r="C292" s="136"/>
      <c r="D292" s="136"/>
      <c r="E292" s="135"/>
      <c r="F292" s="135"/>
      <c r="G292" s="147">
        <f t="shared" si="100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01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02"/>
        <v>0</v>
      </c>
      <c r="AH292" s="136"/>
      <c r="AI292" s="136"/>
      <c r="AJ292" s="136"/>
      <c r="AK292" s="105">
        <f t="shared" si="103"/>
        <v>0</v>
      </c>
      <c r="AL292" s="143"/>
      <c r="AM292" s="143"/>
      <c r="AN292" s="143"/>
      <c r="AO292" s="146"/>
      <c r="AP292" s="224">
        <f t="shared" si="104"/>
        <v>0</v>
      </c>
      <c r="AQ292" s="126"/>
      <c r="AR292" s="274"/>
      <c r="AS292" s="126"/>
      <c r="AT292" s="126"/>
      <c r="AU292" s="126"/>
      <c r="AV292" s="126"/>
      <c r="AW292" s="126"/>
      <c r="AX292" s="394"/>
      <c r="AY292" s="394"/>
      <c r="AZ292" s="394"/>
      <c r="BA292" s="394"/>
      <c r="BB292" s="222">
        <f t="shared" si="105"/>
        <v>0</v>
      </c>
      <c r="BC292" s="140">
        <f t="shared" si="106"/>
        <v>0</v>
      </c>
      <c r="BD292" s="132"/>
      <c r="BE292" s="140">
        <f t="shared" si="107"/>
        <v>0</v>
      </c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30">
        <f t="shared" si="108"/>
        <v>0</v>
      </c>
      <c r="BU292" s="132"/>
    </row>
    <row r="293" ht="14.25" customHeight="1">
      <c r="A293" s="132"/>
      <c r="B293" s="215">
        <v>46284</v>
      </c>
      <c r="C293" s="136"/>
      <c r="D293" s="136"/>
      <c r="E293" s="135"/>
      <c r="F293" s="135"/>
      <c r="G293" s="147">
        <f t="shared" si="100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01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02"/>
        <v>0</v>
      </c>
      <c r="AH293" s="136"/>
      <c r="AI293" s="136"/>
      <c r="AJ293" s="136"/>
      <c r="AK293" s="105">
        <f t="shared" si="103"/>
        <v>0</v>
      </c>
      <c r="AL293" s="143"/>
      <c r="AM293" s="143"/>
      <c r="AN293" s="143"/>
      <c r="AO293" s="146"/>
      <c r="AP293" s="224">
        <f t="shared" si="104"/>
        <v>0</v>
      </c>
      <c r="AQ293" s="126"/>
      <c r="AR293" s="274"/>
      <c r="AS293" s="126"/>
      <c r="AT293" s="126"/>
      <c r="AU293" s="126"/>
      <c r="AV293" s="126"/>
      <c r="AW293" s="126"/>
      <c r="AX293" s="394"/>
      <c r="AY293" s="394"/>
      <c r="AZ293" s="394"/>
      <c r="BA293" s="394"/>
      <c r="BB293" s="222">
        <f t="shared" si="105"/>
        <v>0</v>
      </c>
      <c r="BC293" s="140">
        <f t="shared" si="106"/>
        <v>0</v>
      </c>
      <c r="BD293" s="132"/>
      <c r="BE293" s="140">
        <f t="shared" si="107"/>
        <v>0</v>
      </c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30">
        <f t="shared" si="108"/>
        <v>0</v>
      </c>
      <c r="BU293" s="132"/>
    </row>
    <row r="294" ht="14.25" customHeight="1">
      <c r="A294" s="132"/>
      <c r="B294" s="215">
        <v>46285</v>
      </c>
      <c r="C294" s="136"/>
      <c r="D294" s="136"/>
      <c r="E294" s="135"/>
      <c r="F294" s="135"/>
      <c r="G294" s="147">
        <f t="shared" si="100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01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02"/>
        <v>0</v>
      </c>
      <c r="AH294" s="136"/>
      <c r="AI294" s="136"/>
      <c r="AJ294" s="136"/>
      <c r="AK294" s="105">
        <f t="shared" si="103"/>
        <v>0</v>
      </c>
      <c r="AL294" s="143"/>
      <c r="AM294" s="143"/>
      <c r="AN294" s="143"/>
      <c r="AO294" s="146"/>
      <c r="AP294" s="224">
        <f t="shared" si="104"/>
        <v>0</v>
      </c>
      <c r="AQ294" s="126"/>
      <c r="AR294" s="274"/>
      <c r="AS294" s="126"/>
      <c r="AT294" s="126"/>
      <c r="AU294" s="126"/>
      <c r="AV294" s="126"/>
      <c r="AW294" s="126"/>
      <c r="AX294" s="394"/>
      <c r="AY294" s="394"/>
      <c r="AZ294" s="394"/>
      <c r="BA294" s="394"/>
      <c r="BB294" s="222">
        <f t="shared" si="105"/>
        <v>0</v>
      </c>
      <c r="BC294" s="140">
        <f t="shared" si="106"/>
        <v>0</v>
      </c>
      <c r="BD294" s="132"/>
      <c r="BE294" s="140">
        <f t="shared" si="107"/>
        <v>0</v>
      </c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30">
        <f t="shared" si="108"/>
        <v>0</v>
      </c>
      <c r="BU294" s="132"/>
    </row>
    <row r="295" ht="14.25" customHeight="1">
      <c r="A295" s="132"/>
      <c r="B295" s="215">
        <v>46286</v>
      </c>
      <c r="C295" s="136"/>
      <c r="D295" s="136"/>
      <c r="E295" s="135"/>
      <c r="F295" s="135"/>
      <c r="G295" s="147">
        <f t="shared" si="100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01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02"/>
        <v>0</v>
      </c>
      <c r="AH295" s="136"/>
      <c r="AI295" s="136"/>
      <c r="AJ295" s="136"/>
      <c r="AK295" s="105">
        <f t="shared" si="103"/>
        <v>0</v>
      </c>
      <c r="AL295" s="143"/>
      <c r="AM295" s="143"/>
      <c r="AN295" s="143"/>
      <c r="AO295" s="146"/>
      <c r="AP295" s="224">
        <f t="shared" si="104"/>
        <v>0</v>
      </c>
      <c r="AQ295" s="126"/>
      <c r="AR295" s="274"/>
      <c r="AS295" s="126"/>
      <c r="AT295" s="126"/>
      <c r="AU295" s="126"/>
      <c r="AV295" s="126"/>
      <c r="AW295" s="126"/>
      <c r="AX295" s="394"/>
      <c r="AY295" s="394"/>
      <c r="AZ295" s="394"/>
      <c r="BA295" s="394"/>
      <c r="BB295" s="222">
        <f t="shared" si="105"/>
        <v>0</v>
      </c>
      <c r="BC295" s="140">
        <f t="shared" si="106"/>
        <v>0</v>
      </c>
      <c r="BD295" s="132"/>
      <c r="BE295" s="140">
        <f t="shared" si="107"/>
        <v>0</v>
      </c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30">
        <f t="shared" si="108"/>
        <v>0</v>
      </c>
      <c r="BU295" s="132"/>
    </row>
    <row r="296" ht="14.25" customHeight="1">
      <c r="A296" s="132"/>
      <c r="B296" s="215">
        <v>46287</v>
      </c>
      <c r="C296" s="136"/>
      <c r="D296" s="136"/>
      <c r="E296" s="135"/>
      <c r="F296" s="135"/>
      <c r="G296" s="147">
        <f t="shared" si="100"/>
        <v>0</v>
      </c>
      <c r="H296" s="144"/>
      <c r="I296" s="143"/>
      <c r="J296" s="143"/>
      <c r="K296" s="231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01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02"/>
        <v>0</v>
      </c>
      <c r="AH296" s="136"/>
      <c r="AI296" s="136"/>
      <c r="AJ296" s="136"/>
      <c r="AK296" s="105">
        <f t="shared" si="103"/>
        <v>0</v>
      </c>
      <c r="AL296" s="143"/>
      <c r="AM296" s="143"/>
      <c r="AN296" s="143"/>
      <c r="AO296" s="146"/>
      <c r="AP296" s="224">
        <f t="shared" si="104"/>
        <v>0</v>
      </c>
      <c r="AQ296" s="126"/>
      <c r="AR296" s="274"/>
      <c r="AS296" s="126"/>
      <c r="AT296" s="126"/>
      <c r="AU296" s="126"/>
      <c r="AV296" s="126"/>
      <c r="AW296" s="126"/>
      <c r="AX296" s="394"/>
      <c r="AY296" s="394"/>
      <c r="AZ296" s="394"/>
      <c r="BA296" s="394"/>
      <c r="BB296" s="222">
        <f t="shared" si="105"/>
        <v>0</v>
      </c>
      <c r="BC296" s="140">
        <f t="shared" si="106"/>
        <v>0</v>
      </c>
      <c r="BD296" s="132"/>
      <c r="BE296" s="140">
        <f t="shared" si="107"/>
        <v>0</v>
      </c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30">
        <f t="shared" si="108"/>
        <v>0</v>
      </c>
      <c r="BU296" s="132"/>
    </row>
    <row r="297" ht="14.25" customHeight="1">
      <c r="A297" s="132"/>
      <c r="B297" s="215">
        <v>46288</v>
      </c>
      <c r="C297" s="136"/>
      <c r="D297" s="136"/>
      <c r="E297" s="135"/>
      <c r="F297" s="135"/>
      <c r="G297" s="147">
        <f t="shared" si="100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01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02"/>
        <v>0</v>
      </c>
      <c r="AH297" s="136"/>
      <c r="AI297" s="136"/>
      <c r="AJ297" s="136"/>
      <c r="AK297" s="105">
        <f t="shared" si="103"/>
        <v>0</v>
      </c>
      <c r="AL297" s="143"/>
      <c r="AM297" s="143"/>
      <c r="AN297" s="143"/>
      <c r="AO297" s="146"/>
      <c r="AP297" s="224">
        <f t="shared" si="104"/>
        <v>0</v>
      </c>
      <c r="AQ297" s="126"/>
      <c r="AR297" s="274"/>
      <c r="AS297" s="126"/>
      <c r="AT297" s="126"/>
      <c r="AU297" s="126"/>
      <c r="AV297" s="126"/>
      <c r="AW297" s="126"/>
      <c r="AX297" s="394"/>
      <c r="AY297" s="394"/>
      <c r="AZ297" s="394"/>
      <c r="BA297" s="394"/>
      <c r="BB297" s="222">
        <f t="shared" si="105"/>
        <v>0</v>
      </c>
      <c r="BC297" s="140">
        <f t="shared" si="106"/>
        <v>0</v>
      </c>
      <c r="BD297" s="132"/>
      <c r="BE297" s="140">
        <f t="shared" si="107"/>
        <v>0</v>
      </c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30">
        <f t="shared" si="108"/>
        <v>0</v>
      </c>
      <c r="BU297" s="132"/>
    </row>
    <row r="298" ht="14.25" customHeight="1">
      <c r="A298" s="132"/>
      <c r="B298" s="215">
        <v>46289</v>
      </c>
      <c r="C298" s="136"/>
      <c r="D298" s="136"/>
      <c r="E298" s="135"/>
      <c r="F298" s="135"/>
      <c r="G298" s="147">
        <f t="shared" si="100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01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02"/>
        <v>0</v>
      </c>
      <c r="AH298" s="136"/>
      <c r="AI298" s="136"/>
      <c r="AJ298" s="136"/>
      <c r="AK298" s="105">
        <f t="shared" si="103"/>
        <v>0</v>
      </c>
      <c r="AL298" s="143"/>
      <c r="AM298" s="143"/>
      <c r="AN298" s="143"/>
      <c r="AO298" s="146"/>
      <c r="AP298" s="224">
        <f t="shared" si="104"/>
        <v>0</v>
      </c>
      <c r="AQ298" s="126"/>
      <c r="AR298" s="274"/>
      <c r="AS298" s="126"/>
      <c r="AT298" s="126"/>
      <c r="AU298" s="126"/>
      <c r="AV298" s="126"/>
      <c r="AW298" s="126"/>
      <c r="AX298" s="394"/>
      <c r="AY298" s="394"/>
      <c r="AZ298" s="394"/>
      <c r="BA298" s="394"/>
      <c r="BB298" s="222">
        <f t="shared" si="105"/>
        <v>0</v>
      </c>
      <c r="BC298" s="140">
        <f t="shared" si="106"/>
        <v>0</v>
      </c>
      <c r="BD298" s="132"/>
      <c r="BE298" s="140">
        <f t="shared" si="107"/>
        <v>0</v>
      </c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30">
        <f t="shared" si="108"/>
        <v>0</v>
      </c>
      <c r="BU298" s="132"/>
    </row>
    <row r="299" ht="14.25" customHeight="1">
      <c r="A299" s="132"/>
      <c r="B299" s="215">
        <v>46290</v>
      </c>
      <c r="C299" s="136"/>
      <c r="D299" s="136"/>
      <c r="E299" s="135"/>
      <c r="F299" s="135"/>
      <c r="G299" s="147">
        <f t="shared" si="100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01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02"/>
        <v>0</v>
      </c>
      <c r="AH299" s="136"/>
      <c r="AI299" s="136"/>
      <c r="AJ299" s="136"/>
      <c r="AK299" s="105">
        <f t="shared" si="103"/>
        <v>0</v>
      </c>
      <c r="AL299" s="143"/>
      <c r="AM299" s="143"/>
      <c r="AN299" s="143"/>
      <c r="AO299" s="146"/>
      <c r="AP299" s="224">
        <f t="shared" si="104"/>
        <v>0</v>
      </c>
      <c r="AQ299" s="126"/>
      <c r="AR299" s="274"/>
      <c r="AS299" s="126"/>
      <c r="AT299" s="126"/>
      <c r="AU299" s="126"/>
      <c r="AV299" s="126"/>
      <c r="AW299" s="126"/>
      <c r="AX299" s="394"/>
      <c r="AY299" s="394"/>
      <c r="AZ299" s="394"/>
      <c r="BA299" s="394"/>
      <c r="BB299" s="222">
        <f t="shared" si="105"/>
        <v>0</v>
      </c>
      <c r="BC299" s="140">
        <f t="shared" si="106"/>
        <v>0</v>
      </c>
      <c r="BD299" s="132"/>
      <c r="BE299" s="140">
        <f t="shared" si="107"/>
        <v>0</v>
      </c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30">
        <f t="shared" si="108"/>
        <v>0</v>
      </c>
      <c r="BU299" s="132"/>
    </row>
    <row r="300" ht="14.25" customHeight="1">
      <c r="A300" s="132"/>
      <c r="B300" s="215">
        <v>46291</v>
      </c>
      <c r="C300" s="136"/>
      <c r="D300" s="136"/>
      <c r="E300" s="135"/>
      <c r="F300" s="135"/>
      <c r="G300" s="147">
        <f t="shared" si="100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01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02"/>
        <v>0</v>
      </c>
      <c r="AH300" s="136"/>
      <c r="AI300" s="136"/>
      <c r="AJ300" s="136"/>
      <c r="AK300" s="105">
        <f t="shared" si="103"/>
        <v>0</v>
      </c>
      <c r="AL300" s="143"/>
      <c r="AM300" s="143"/>
      <c r="AN300" s="143"/>
      <c r="AO300" s="146"/>
      <c r="AP300" s="224">
        <f t="shared" si="104"/>
        <v>0</v>
      </c>
      <c r="AQ300" s="126"/>
      <c r="AR300" s="274"/>
      <c r="AS300" s="126"/>
      <c r="AT300" s="126"/>
      <c r="AU300" s="126"/>
      <c r="AV300" s="126"/>
      <c r="AW300" s="126"/>
      <c r="AX300" s="394"/>
      <c r="AY300" s="394"/>
      <c r="AZ300" s="394"/>
      <c r="BA300" s="394"/>
      <c r="BB300" s="222">
        <f t="shared" si="105"/>
        <v>0</v>
      </c>
      <c r="BC300" s="140">
        <f t="shared" si="106"/>
        <v>0</v>
      </c>
      <c r="BD300" s="132"/>
      <c r="BE300" s="140">
        <f t="shared" si="107"/>
        <v>0</v>
      </c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30">
        <f t="shared" si="108"/>
        <v>0</v>
      </c>
      <c r="BU300" s="132"/>
    </row>
    <row r="301" ht="14.25" customHeight="1">
      <c r="A301" s="132"/>
      <c r="B301" s="215">
        <v>46292</v>
      </c>
      <c r="C301" s="136"/>
      <c r="D301" s="136"/>
      <c r="E301" s="135"/>
      <c r="F301" s="135"/>
      <c r="G301" s="147">
        <f t="shared" si="100"/>
        <v>0</v>
      </c>
      <c r="H301" s="144"/>
      <c r="I301" s="143"/>
      <c r="J301" s="143"/>
      <c r="K301" s="231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01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02"/>
        <v>0</v>
      </c>
      <c r="AH301" s="136"/>
      <c r="AI301" s="136"/>
      <c r="AJ301" s="136"/>
      <c r="AK301" s="105">
        <f t="shared" si="103"/>
        <v>0</v>
      </c>
      <c r="AL301" s="143"/>
      <c r="AM301" s="143"/>
      <c r="AN301" s="143"/>
      <c r="AO301" s="146"/>
      <c r="AP301" s="224">
        <f t="shared" si="104"/>
        <v>0</v>
      </c>
      <c r="AQ301" s="126"/>
      <c r="AR301" s="274"/>
      <c r="AS301" s="126"/>
      <c r="AT301" s="126"/>
      <c r="AU301" s="126"/>
      <c r="AV301" s="126"/>
      <c r="AW301" s="126"/>
      <c r="AX301" s="394"/>
      <c r="AY301" s="394"/>
      <c r="AZ301" s="394"/>
      <c r="BA301" s="394"/>
      <c r="BB301" s="222">
        <f t="shared" si="105"/>
        <v>0</v>
      </c>
      <c r="BC301" s="140">
        <f t="shared" si="106"/>
        <v>0</v>
      </c>
      <c r="BD301" s="132"/>
      <c r="BE301" s="140">
        <f t="shared" si="107"/>
        <v>0</v>
      </c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30">
        <f t="shared" si="108"/>
        <v>0</v>
      </c>
      <c r="BU301" s="132"/>
    </row>
    <row r="302" ht="14.25" customHeight="1">
      <c r="A302" s="132"/>
      <c r="B302" s="215">
        <v>46293</v>
      </c>
      <c r="C302" s="136"/>
      <c r="D302" s="136"/>
      <c r="E302" s="135"/>
      <c r="F302" s="135"/>
      <c r="G302" s="147">
        <f t="shared" si="100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01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02"/>
        <v>0</v>
      </c>
      <c r="AH302" s="136"/>
      <c r="AI302" s="136"/>
      <c r="AJ302" s="136"/>
      <c r="AK302" s="105">
        <f t="shared" si="103"/>
        <v>0</v>
      </c>
      <c r="AL302" s="143"/>
      <c r="AM302" s="143"/>
      <c r="AN302" s="143"/>
      <c r="AO302" s="146"/>
      <c r="AP302" s="224">
        <f t="shared" si="104"/>
        <v>0</v>
      </c>
      <c r="AQ302" s="126"/>
      <c r="AR302" s="274"/>
      <c r="AS302" s="126"/>
      <c r="AT302" s="126"/>
      <c r="AU302" s="126"/>
      <c r="AV302" s="126"/>
      <c r="AW302" s="126"/>
      <c r="AX302" s="394"/>
      <c r="AY302" s="394"/>
      <c r="AZ302" s="394"/>
      <c r="BA302" s="394"/>
      <c r="BB302" s="222">
        <f t="shared" si="105"/>
        <v>0</v>
      </c>
      <c r="BC302" s="140">
        <f t="shared" si="106"/>
        <v>0</v>
      </c>
      <c r="BD302" s="132"/>
      <c r="BE302" s="140">
        <f t="shared" si="107"/>
        <v>0</v>
      </c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30">
        <f t="shared" si="108"/>
        <v>0</v>
      </c>
      <c r="BU302" s="132"/>
    </row>
    <row r="303" ht="14.25" customHeight="1">
      <c r="A303" s="132"/>
      <c r="B303" s="215">
        <v>46294</v>
      </c>
      <c r="C303" s="136"/>
      <c r="D303" s="136"/>
      <c r="E303" s="135"/>
      <c r="F303" s="135"/>
      <c r="G303" s="147">
        <f t="shared" si="100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01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02"/>
        <v>0</v>
      </c>
      <c r="AH303" s="136"/>
      <c r="AI303" s="136"/>
      <c r="AJ303" s="136"/>
      <c r="AK303" s="105">
        <f t="shared" si="103"/>
        <v>0</v>
      </c>
      <c r="AL303" s="143"/>
      <c r="AM303" s="143"/>
      <c r="AN303" s="143"/>
      <c r="AO303" s="146"/>
      <c r="AP303" s="224">
        <f t="shared" si="104"/>
        <v>0</v>
      </c>
      <c r="AQ303" s="126"/>
      <c r="AR303" s="274"/>
      <c r="AS303" s="126"/>
      <c r="AT303" s="126"/>
      <c r="AU303" s="126"/>
      <c r="AV303" s="126"/>
      <c r="AW303" s="126"/>
      <c r="AX303" s="394"/>
      <c r="AY303" s="394"/>
      <c r="AZ303" s="394"/>
      <c r="BA303" s="394"/>
      <c r="BB303" s="222">
        <f t="shared" si="105"/>
        <v>0</v>
      </c>
      <c r="BC303" s="140">
        <f t="shared" si="106"/>
        <v>0</v>
      </c>
      <c r="BD303" s="132"/>
      <c r="BE303" s="140">
        <f t="shared" si="107"/>
        <v>0</v>
      </c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41"/>
      <c r="BT303" s="130">
        <f t="shared" si="108"/>
        <v>0</v>
      </c>
      <c r="BU303" s="132"/>
    </row>
    <row r="304" ht="14.25" customHeight="1">
      <c r="A304" s="132"/>
      <c r="B304" s="215">
        <v>46295</v>
      </c>
      <c r="C304" s="136"/>
      <c r="D304" s="136"/>
      <c r="E304" s="135"/>
      <c r="F304" s="135"/>
      <c r="G304" s="147">
        <f t="shared" si="100"/>
        <v>0</v>
      </c>
      <c r="H304" s="144"/>
      <c r="I304" s="143"/>
      <c r="J304" s="143"/>
      <c r="K304" s="231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01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02"/>
        <v>0</v>
      </c>
      <c r="AH304" s="136"/>
      <c r="AI304" s="136"/>
      <c r="AJ304" s="136"/>
      <c r="AK304" s="105">
        <f t="shared" si="103"/>
        <v>0</v>
      </c>
      <c r="AL304" s="143"/>
      <c r="AM304" s="143"/>
      <c r="AN304" s="143"/>
      <c r="AO304" s="146"/>
      <c r="AP304" s="224">
        <f t="shared" si="104"/>
        <v>0</v>
      </c>
      <c r="AQ304" s="138"/>
      <c r="AR304" s="274"/>
      <c r="AS304" s="126"/>
      <c r="AT304" s="126"/>
      <c r="AU304" s="126"/>
      <c r="AV304" s="126"/>
      <c r="AW304" s="126"/>
      <c r="AX304" s="394"/>
      <c r="AY304" s="394"/>
      <c r="AZ304" s="394"/>
      <c r="BA304" s="394"/>
      <c r="BB304" s="222">
        <f t="shared" si="105"/>
        <v>0</v>
      </c>
      <c r="BC304" s="140">
        <f t="shared" si="106"/>
        <v>0</v>
      </c>
      <c r="BD304" s="132"/>
      <c r="BE304" s="140">
        <f t="shared" si="107"/>
        <v>0</v>
      </c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41"/>
      <c r="BT304" s="130">
        <f t="shared" si="108"/>
        <v>0</v>
      </c>
      <c r="BU304" s="132"/>
    </row>
    <row r="305" ht="14.25" customHeight="1">
      <c r="A305" s="3"/>
      <c r="B305" s="2" t="s">
        <v>265</v>
      </c>
      <c r="C305" s="166">
        <f ref="C305:AH305" t="shared" si="109">SUM(C274:C304)</f>
        <v>0</v>
      </c>
      <c r="D305" s="166">
        <f t="shared" si="109"/>
        <v>0</v>
      </c>
      <c r="E305" s="166">
        <f t="shared" si="109"/>
        <v>0</v>
      </c>
      <c r="F305" s="166">
        <f t="shared" si="109"/>
        <v>0</v>
      </c>
      <c r="G305" s="166">
        <f t="shared" si="109"/>
        <v>0</v>
      </c>
      <c r="H305" s="166">
        <f t="shared" si="109"/>
        <v>0</v>
      </c>
      <c r="I305" s="166">
        <f t="shared" si="109"/>
        <v>0</v>
      </c>
      <c r="J305" s="166">
        <f t="shared" si="109"/>
        <v>0</v>
      </c>
      <c r="K305" s="166">
        <f t="shared" si="109"/>
        <v>0</v>
      </c>
      <c r="L305" s="166">
        <f t="shared" si="109"/>
        <v>0</v>
      </c>
      <c r="M305" s="166">
        <f t="shared" si="109"/>
        <v>0</v>
      </c>
      <c r="N305" s="166">
        <f t="shared" si="109"/>
        <v>0</v>
      </c>
      <c r="O305" s="166">
        <f t="shared" si="109"/>
        <v>0</v>
      </c>
      <c r="P305" s="166">
        <f t="shared" si="109"/>
        <v>0</v>
      </c>
      <c r="Q305" s="166">
        <f t="shared" si="109"/>
        <v>0</v>
      </c>
      <c r="R305" s="166">
        <f t="shared" si="109"/>
        <v>0</v>
      </c>
      <c r="S305" s="166">
        <f t="shared" si="109"/>
        <v>0</v>
      </c>
      <c r="T305" s="166">
        <f t="shared" si="109"/>
        <v>0</v>
      </c>
      <c r="U305" s="166">
        <f t="shared" si="109"/>
        <v>0</v>
      </c>
      <c r="V305" s="166">
        <f t="shared" si="109"/>
        <v>0</v>
      </c>
      <c r="W305" s="166">
        <f t="shared" si="109"/>
        <v>0</v>
      </c>
      <c r="X305" s="166">
        <f t="shared" si="109"/>
        <v>0</v>
      </c>
      <c r="Y305" s="166">
        <f t="shared" si="109"/>
        <v>0</v>
      </c>
      <c r="Z305" s="166">
        <f t="shared" si="109"/>
        <v>0</v>
      </c>
      <c r="AA305" s="166">
        <f t="shared" si="109"/>
        <v>0</v>
      </c>
      <c r="AB305" s="166">
        <f t="shared" si="109"/>
        <v>0</v>
      </c>
      <c r="AC305" s="166">
        <f t="shared" si="109"/>
        <v>0</v>
      </c>
      <c r="AD305" s="166">
        <f t="shared" si="109"/>
        <v>0</v>
      </c>
      <c r="AE305" s="166">
        <f t="shared" si="109"/>
        <v>0</v>
      </c>
      <c r="AF305" s="166">
        <f t="shared" si="109"/>
        <v>0</v>
      </c>
      <c r="AG305" s="166">
        <f t="shared" si="109"/>
        <v>0</v>
      </c>
      <c r="AH305" s="166">
        <f t="shared" si="109"/>
        <v>0</v>
      </c>
      <c r="AI305" s="166"/>
      <c r="AJ305" s="166"/>
      <c r="AK305" s="166">
        <f>SUM(AK274:AK304)</f>
        <v>0</v>
      </c>
      <c r="AL305" s="166"/>
      <c r="AM305" s="166"/>
      <c r="AN305" s="166"/>
      <c r="AO305" s="166"/>
      <c r="AP305" s="166">
        <f ref="AP305:AW305" t="shared" si="110">SUM(AP274:AP304)</f>
        <v>0</v>
      </c>
      <c r="AQ305" s="165">
        <f t="shared" si="110"/>
        <v>0</v>
      </c>
      <c r="AR305" s="166">
        <f t="shared" si="110"/>
        <v>0</v>
      </c>
      <c r="AS305" s="166">
        <f t="shared" si="110"/>
        <v>0</v>
      </c>
      <c r="AT305" s="166">
        <f t="shared" si="110"/>
        <v>0</v>
      </c>
      <c r="AU305" s="166">
        <f t="shared" si="110"/>
        <v>0</v>
      </c>
      <c r="AV305" s="166">
        <f t="shared" si="110"/>
        <v>0</v>
      </c>
      <c r="AW305" s="166">
        <f t="shared" si="110"/>
        <v>0</v>
      </c>
      <c r="AX305" s="166"/>
      <c r="AY305" s="166"/>
      <c r="AZ305" s="166"/>
      <c r="BA305" s="166"/>
      <c r="BB305" s="166">
        <f ref="BB305:BC305" t="shared" si="111">SUM(BB274:BB304)</f>
        <v>0</v>
      </c>
      <c r="BC305" s="166">
        <f t="shared" si="111"/>
        <v>0</v>
      </c>
      <c r="BD305" s="3"/>
      <c r="BE305" s="172">
        <f>SUM(BE274:BE304)</f>
        <v>0</v>
      </c>
      <c r="BF305" s="166"/>
      <c r="BG305" s="166"/>
      <c r="BH305" s="166"/>
      <c r="BI305" s="166"/>
      <c r="BJ305" s="166"/>
      <c r="BK305" s="166"/>
      <c r="BL305" s="166"/>
      <c r="BM305" s="166"/>
      <c r="BN305" s="166"/>
      <c r="BO305" s="166">
        <f ref="BO305:BQ305" t="shared" si="112">SUM(BO274:BO304)</f>
        <v>0</v>
      </c>
      <c r="BP305" s="166">
        <f t="shared" si="112"/>
        <v>0</v>
      </c>
      <c r="BQ305" s="166">
        <f t="shared" si="112"/>
        <v>0</v>
      </c>
      <c r="BR305" s="166"/>
      <c r="BS305" s="166"/>
      <c r="BT305" s="166">
        <f>SUM(BT274:BT304)</f>
        <v>0</v>
      </c>
      <c r="BU305" s="132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176"/>
      <c r="AH306" s="176"/>
      <c r="AI306" s="3"/>
      <c r="AJ306" s="3"/>
      <c r="AK306" s="1336"/>
      <c r="AL306" s="3"/>
      <c r="AM306" s="3"/>
      <c r="AN306" s="3"/>
      <c r="AO306" s="3"/>
      <c r="AP306" s="41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41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</row>
    <row r="307" ht="14.25" customHeight="1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176"/>
      <c r="AH307" s="176"/>
      <c r="AI307" s="3"/>
      <c r="AJ307" s="3"/>
      <c r="AK307" s="1336"/>
      <c r="AL307" s="3"/>
      <c r="AM307" s="3"/>
      <c r="AN307" s="3"/>
      <c r="AO307" s="3"/>
      <c r="AP307" s="41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41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</row>
    <row r="308" ht="14.25" customHeight="1">
      <c r="A308" s="3"/>
      <c r="B308" s="215">
        <v>46296</v>
      </c>
      <c r="C308" s="104"/>
      <c r="D308" s="104"/>
      <c r="E308" s="97"/>
      <c r="F308" s="97"/>
      <c r="G308" s="265">
        <f ref="G308:G338" t="shared" si="113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03">
        <f ref="T308:T338" t="shared" si="114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03">
        <f ref="AG308:AG338" t="shared" si="115">SUM(U308:AF308)</f>
        <v>0</v>
      </c>
      <c r="AH308" s="104"/>
      <c r="AI308" s="104"/>
      <c r="AJ308" s="104"/>
      <c r="AK308" s="191">
        <f ref="AK308:AK338" t="shared" si="116">SUM(AH308:AJ308)</f>
        <v>0</v>
      </c>
      <c r="AL308" s="186"/>
      <c r="AM308" s="186"/>
      <c r="AN308" s="186"/>
      <c r="AO308" s="193"/>
      <c r="AP308" s="266">
        <f ref="AP308:AP338" t="shared" si="117">+G308-T308-AG308-AK308-AL308-AM308-AN308-AO308</f>
        <v>0</v>
      </c>
      <c r="AQ308" s="109"/>
      <c r="AR308" s="269"/>
      <c r="AS308" s="109"/>
      <c r="AT308" s="109"/>
      <c r="AU308" s="109"/>
      <c r="AV308" s="109"/>
      <c r="AW308" s="109"/>
      <c r="AX308" s="388"/>
      <c r="AY308" s="388"/>
      <c r="AZ308" s="388"/>
      <c r="BA308" s="388"/>
      <c r="BB308" s="292">
        <f ref="BB308:BB338" t="shared" si="118">SUM(AQ308:BA308)-AZ308</f>
        <v>0</v>
      </c>
      <c r="BC308" s="114">
        <f ref="BC308:BC338" t="shared" si="119">+AP308-BB308</f>
        <v>0</v>
      </c>
      <c r="BD308" s="3"/>
      <c r="BE308" s="114">
        <f ref="BE308:BE338" t="shared" si="120">SUM(BF308:BR308)</f>
        <v>0</v>
      </c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249"/>
      <c r="BQ308" s="115"/>
      <c r="BR308" s="115"/>
      <c r="BS308" s="115"/>
      <c r="BT308" s="116">
        <f ref="BT308:BT338" t="shared" si="121">+BC308-BE308</f>
        <v>0</v>
      </c>
      <c r="BU308" s="3"/>
    </row>
    <row r="309" ht="14.25" customHeight="1">
      <c r="A309" s="3"/>
      <c r="B309" s="215">
        <v>46297</v>
      </c>
      <c r="C309" s="123"/>
      <c r="D309" s="123"/>
      <c r="E309" s="120"/>
      <c r="F309" s="120"/>
      <c r="G309" s="147">
        <f t="shared" si="113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14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15"/>
        <v>0</v>
      </c>
      <c r="AH309" s="123"/>
      <c r="AI309" s="123"/>
      <c r="AJ309" s="123"/>
      <c r="AK309" s="105">
        <f t="shared" si="116"/>
        <v>0</v>
      </c>
      <c r="AL309" s="143"/>
      <c r="AM309" s="143"/>
      <c r="AN309" s="143"/>
      <c r="AO309" s="146"/>
      <c r="AP309" s="224">
        <f t="shared" si="117"/>
        <v>0</v>
      </c>
      <c r="AQ309" s="126"/>
      <c r="AR309" s="274"/>
      <c r="AS309" s="126"/>
      <c r="AT309" s="126"/>
      <c r="AU309" s="126"/>
      <c r="AV309" s="126"/>
      <c r="AW309" s="126"/>
      <c r="AX309" s="394"/>
      <c r="AY309" s="394"/>
      <c r="AZ309" s="394"/>
      <c r="BA309" s="394"/>
      <c r="BB309" s="222">
        <f t="shared" si="118"/>
        <v>0</v>
      </c>
      <c r="BC309" s="113">
        <f t="shared" si="119"/>
        <v>0</v>
      </c>
      <c r="BD309" s="3"/>
      <c r="BE309" s="113">
        <f t="shared" si="120"/>
        <v>0</v>
      </c>
      <c r="BF309" s="129"/>
      <c r="BG309" s="129"/>
      <c r="BH309" s="129"/>
      <c r="BI309" s="129"/>
      <c r="BJ309" s="1404"/>
      <c r="BK309" s="1404"/>
      <c r="BL309" s="129"/>
      <c r="BM309" s="129"/>
      <c r="BN309" s="129"/>
      <c r="BO309" s="1407"/>
      <c r="BP309" s="1409"/>
      <c r="BQ309" s="115"/>
      <c r="BR309" s="1410"/>
      <c r="BS309" s="1410"/>
      <c r="BT309" s="130">
        <f t="shared" si="121"/>
        <v>0</v>
      </c>
      <c r="BU309" s="3"/>
    </row>
    <row r="310" ht="14.25" customHeight="1">
      <c r="A310" s="3"/>
      <c r="B310" s="215">
        <v>46298</v>
      </c>
      <c r="C310" s="123"/>
      <c r="D310" s="123"/>
      <c r="E310" s="120"/>
      <c r="F310" s="120"/>
      <c r="G310" s="147">
        <f t="shared" si="113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14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15"/>
        <v>0</v>
      </c>
      <c r="AH310" s="123"/>
      <c r="AI310" s="123"/>
      <c r="AJ310" s="123"/>
      <c r="AK310" s="105">
        <f t="shared" si="116"/>
        <v>0</v>
      </c>
      <c r="AL310" s="143"/>
      <c r="AM310" s="143"/>
      <c r="AN310" s="143"/>
      <c r="AO310" s="146"/>
      <c r="AP310" s="224">
        <f t="shared" si="117"/>
        <v>0</v>
      </c>
      <c r="AQ310" s="126"/>
      <c r="AR310" s="274"/>
      <c r="AS310" s="274"/>
      <c r="AT310" s="126"/>
      <c r="AU310" s="126"/>
      <c r="AV310" s="126"/>
      <c r="AW310" s="126"/>
      <c r="AX310" s="394"/>
      <c r="AY310" s="394"/>
      <c r="AZ310" s="394"/>
      <c r="BA310" s="394"/>
      <c r="BB310" s="222">
        <f t="shared" si="118"/>
        <v>0</v>
      </c>
      <c r="BC310" s="113">
        <f t="shared" si="119"/>
        <v>0</v>
      </c>
      <c r="BD310" s="3"/>
      <c r="BE310" s="113">
        <f t="shared" si="120"/>
        <v>0</v>
      </c>
      <c r="BF310" s="129"/>
      <c r="BG310" s="129"/>
      <c r="BH310" s="129"/>
      <c r="BI310" s="129"/>
      <c r="BJ310" s="129"/>
      <c r="BK310" s="1411"/>
      <c r="BL310" s="129"/>
      <c r="BM310" s="129"/>
      <c r="BN310" s="129"/>
      <c r="BO310" s="129"/>
      <c r="BP310" s="1409"/>
      <c r="BQ310" s="1135"/>
      <c r="BR310" s="1135"/>
      <c r="BS310" s="255"/>
      <c r="BT310" s="130">
        <f t="shared" si="121"/>
        <v>0</v>
      </c>
      <c r="BU310" s="3"/>
    </row>
    <row r="311" ht="14.25" customHeight="1">
      <c r="A311" s="3"/>
      <c r="B311" s="215">
        <v>46299</v>
      </c>
      <c r="C311" s="123"/>
      <c r="D311" s="123"/>
      <c r="E311" s="120"/>
      <c r="F311" s="120"/>
      <c r="G311" s="147">
        <f t="shared" si="113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14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15"/>
        <v>0</v>
      </c>
      <c r="AH311" s="123"/>
      <c r="AI311" s="123"/>
      <c r="AJ311" s="123"/>
      <c r="AK311" s="105">
        <f t="shared" si="116"/>
        <v>0</v>
      </c>
      <c r="AL311" s="143"/>
      <c r="AM311" s="143"/>
      <c r="AN311" s="143"/>
      <c r="AO311" s="146"/>
      <c r="AP311" s="224">
        <f t="shared" si="117"/>
        <v>0</v>
      </c>
      <c r="AQ311" s="126"/>
      <c r="AR311" s="274"/>
      <c r="AS311" s="274"/>
      <c r="AT311" s="126"/>
      <c r="AU311" s="126"/>
      <c r="AV311" s="126"/>
      <c r="AW311" s="126"/>
      <c r="AX311" s="394"/>
      <c r="AY311" s="394"/>
      <c r="AZ311" s="394"/>
      <c r="BA311" s="394"/>
      <c r="BB311" s="222">
        <f t="shared" si="118"/>
        <v>0</v>
      </c>
      <c r="BC311" s="113">
        <f t="shared" si="119"/>
        <v>0</v>
      </c>
      <c r="BD311" s="3"/>
      <c r="BE311" s="113">
        <f t="shared" si="120"/>
        <v>0</v>
      </c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410"/>
      <c r="BQ311" s="1409"/>
      <c r="BR311" s="1135"/>
      <c r="BS311" s="255"/>
      <c r="BT311" s="130">
        <f t="shared" si="121"/>
        <v>0</v>
      </c>
      <c r="BU311" s="3"/>
    </row>
    <row r="312" ht="14.25" customHeight="1">
      <c r="A312" s="3"/>
      <c r="B312" s="215">
        <v>46300</v>
      </c>
      <c r="C312" s="123"/>
      <c r="D312" s="123"/>
      <c r="E312" s="120"/>
      <c r="F312" s="120"/>
      <c r="G312" s="147">
        <f t="shared" si="113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14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15"/>
        <v>0</v>
      </c>
      <c r="AH312" s="123"/>
      <c r="AI312" s="123"/>
      <c r="AJ312" s="123"/>
      <c r="AK312" s="105">
        <f t="shared" si="116"/>
        <v>0</v>
      </c>
      <c r="AL312" s="143"/>
      <c r="AM312" s="143"/>
      <c r="AN312" s="143"/>
      <c r="AO312" s="146"/>
      <c r="AP312" s="224">
        <f t="shared" si="117"/>
        <v>0</v>
      </c>
      <c r="AQ312" s="126"/>
      <c r="AR312" s="274"/>
      <c r="AS312" s="126"/>
      <c r="AT312" s="126"/>
      <c r="AU312" s="126"/>
      <c r="AV312" s="126"/>
      <c r="AW312" s="126"/>
      <c r="AX312" s="394"/>
      <c r="AY312" s="394"/>
      <c r="AZ312" s="394"/>
      <c r="BA312" s="394"/>
      <c r="BB312" s="222">
        <f t="shared" si="118"/>
        <v>0</v>
      </c>
      <c r="BC312" s="113">
        <f t="shared" si="119"/>
        <v>0</v>
      </c>
      <c r="BD312" s="3"/>
      <c r="BE312" s="113">
        <f t="shared" si="120"/>
        <v>0</v>
      </c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255"/>
      <c r="BQ312" s="129"/>
      <c r="BR312" s="129"/>
      <c r="BS312" s="129"/>
      <c r="BT312" s="130">
        <f t="shared" si="121"/>
        <v>0</v>
      </c>
      <c r="BU312" s="3"/>
    </row>
    <row r="313" ht="14.25" customHeight="1">
      <c r="A313" s="3"/>
      <c r="B313" s="215">
        <v>46301</v>
      </c>
      <c r="C313" s="123"/>
      <c r="D313" s="123"/>
      <c r="E313" s="120"/>
      <c r="F313" s="120"/>
      <c r="G313" s="147">
        <f t="shared" si="113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14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15"/>
        <v>0</v>
      </c>
      <c r="AH313" s="123"/>
      <c r="AI313" s="123"/>
      <c r="AJ313" s="123"/>
      <c r="AK313" s="105">
        <f t="shared" si="116"/>
        <v>0</v>
      </c>
      <c r="AL313" s="143"/>
      <c r="AM313" s="143"/>
      <c r="AN313" s="143"/>
      <c r="AO313" s="146"/>
      <c r="AP313" s="224">
        <f t="shared" si="117"/>
        <v>0</v>
      </c>
      <c r="AQ313" s="126"/>
      <c r="AR313" s="274"/>
      <c r="AS313" s="126"/>
      <c r="AT313" s="126"/>
      <c r="AU313" s="126"/>
      <c r="AV313" s="126"/>
      <c r="AW313" s="126"/>
      <c r="AX313" s="394"/>
      <c r="AY313" s="394"/>
      <c r="AZ313" s="394"/>
      <c r="BA313" s="394"/>
      <c r="BB313" s="222">
        <f t="shared" si="118"/>
        <v>0</v>
      </c>
      <c r="BC313" s="113">
        <f t="shared" si="119"/>
        <v>0</v>
      </c>
      <c r="BD313" s="3"/>
      <c r="BE313" s="113">
        <f t="shared" si="120"/>
        <v>0</v>
      </c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255"/>
      <c r="BQ313" s="141"/>
      <c r="BR313" s="129"/>
      <c r="BS313" s="129"/>
      <c r="BT313" s="130">
        <f t="shared" si="121"/>
        <v>0</v>
      </c>
      <c r="BU313" s="3"/>
    </row>
    <row r="314" ht="14.25" customHeight="1">
      <c r="A314" s="132"/>
      <c r="B314" s="215">
        <v>46302</v>
      </c>
      <c r="C314" s="136"/>
      <c r="D314" s="136"/>
      <c r="E314" s="135"/>
      <c r="F314" s="135"/>
      <c r="G314" s="147">
        <f t="shared" si="113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14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15"/>
        <v>0</v>
      </c>
      <c r="AH314" s="136"/>
      <c r="AI314" s="136"/>
      <c r="AJ314" s="136"/>
      <c r="AK314" s="105">
        <f t="shared" si="116"/>
        <v>0</v>
      </c>
      <c r="AL314" s="143"/>
      <c r="AM314" s="143"/>
      <c r="AN314" s="143"/>
      <c r="AO314" s="146"/>
      <c r="AP314" s="224">
        <f t="shared" si="117"/>
        <v>0</v>
      </c>
      <c r="AQ314" s="126"/>
      <c r="AR314" s="274"/>
      <c r="AS314" s="126"/>
      <c r="AT314" s="126"/>
      <c r="AU314" s="126"/>
      <c r="AV314" s="126"/>
      <c r="AW314" s="126"/>
      <c r="AX314" s="394"/>
      <c r="AY314" s="394"/>
      <c r="AZ314" s="394"/>
      <c r="BA314" s="394"/>
      <c r="BB314" s="222">
        <f t="shared" si="118"/>
        <v>0</v>
      </c>
      <c r="BC314" s="140">
        <f t="shared" si="119"/>
        <v>0</v>
      </c>
      <c r="BD314" s="132"/>
      <c r="BE314" s="140">
        <f t="shared" si="120"/>
        <v>0</v>
      </c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  <c r="BP314" s="152"/>
      <c r="BQ314" s="141"/>
      <c r="BR314" s="141"/>
      <c r="BS314" s="141"/>
      <c r="BT314" s="130">
        <f t="shared" si="121"/>
        <v>0</v>
      </c>
      <c r="BU314" s="132"/>
    </row>
    <row r="315" ht="14.25" customHeight="1">
      <c r="A315" s="132"/>
      <c r="B315" s="215">
        <v>46303</v>
      </c>
      <c r="C315" s="136"/>
      <c r="D315" s="136"/>
      <c r="E315" s="135"/>
      <c r="F315" s="135"/>
      <c r="G315" s="147">
        <f t="shared" si="113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14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15"/>
        <v>0</v>
      </c>
      <c r="AH315" s="136"/>
      <c r="AI315" s="136"/>
      <c r="AJ315" s="136"/>
      <c r="AK315" s="105">
        <f t="shared" si="116"/>
        <v>0</v>
      </c>
      <c r="AL315" s="143"/>
      <c r="AM315" s="143"/>
      <c r="AN315" s="143"/>
      <c r="AO315" s="146"/>
      <c r="AP315" s="224">
        <f t="shared" si="117"/>
        <v>0</v>
      </c>
      <c r="AQ315" s="126"/>
      <c r="AR315" s="274"/>
      <c r="AS315" s="126"/>
      <c r="AT315" s="126"/>
      <c r="AU315" s="126"/>
      <c r="AV315" s="126"/>
      <c r="AW315" s="126"/>
      <c r="AX315" s="394"/>
      <c r="AY315" s="394"/>
      <c r="AZ315" s="394"/>
      <c r="BA315" s="394"/>
      <c r="BB315" s="222">
        <f t="shared" si="118"/>
        <v>0</v>
      </c>
      <c r="BC315" s="140">
        <f t="shared" si="119"/>
        <v>0</v>
      </c>
      <c r="BD315" s="132"/>
      <c r="BE315" s="140">
        <f t="shared" si="120"/>
        <v>0</v>
      </c>
      <c r="BF315" s="141"/>
      <c r="BG315" s="141"/>
      <c r="BH315" s="141"/>
      <c r="BI315" s="141"/>
      <c r="BJ315" s="141"/>
      <c r="BK315" s="141"/>
      <c r="BL315" s="141"/>
      <c r="BM315" s="141"/>
      <c r="BN315" s="141"/>
      <c r="BO315" s="141"/>
      <c r="BP315" s="152"/>
      <c r="BQ315" s="141"/>
      <c r="BR315" s="141"/>
      <c r="BS315" s="141"/>
      <c r="BT315" s="130">
        <f t="shared" si="121"/>
        <v>0</v>
      </c>
      <c r="BU315" s="132"/>
    </row>
    <row r="316" ht="14.25" customHeight="1">
      <c r="A316" s="132"/>
      <c r="B316" s="215">
        <v>46304</v>
      </c>
      <c r="C316" s="136"/>
      <c r="D316" s="136"/>
      <c r="E316" s="135"/>
      <c r="F316" s="135"/>
      <c r="G316" s="147">
        <f t="shared" si="113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14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15"/>
        <v>0</v>
      </c>
      <c r="AH316" s="136"/>
      <c r="AI316" s="136"/>
      <c r="AJ316" s="136"/>
      <c r="AK316" s="105">
        <f t="shared" si="116"/>
        <v>0</v>
      </c>
      <c r="AL316" s="143"/>
      <c r="AM316" s="143"/>
      <c r="AN316" s="143"/>
      <c r="AO316" s="146"/>
      <c r="AP316" s="224">
        <f t="shared" si="117"/>
        <v>0</v>
      </c>
      <c r="AQ316" s="126"/>
      <c r="AR316" s="274"/>
      <c r="AS316" s="126"/>
      <c r="AT316" s="126"/>
      <c r="AU316" s="126"/>
      <c r="AV316" s="126"/>
      <c r="AW316" s="126"/>
      <c r="AX316" s="394"/>
      <c r="AY316" s="394"/>
      <c r="AZ316" s="394"/>
      <c r="BA316" s="394"/>
      <c r="BB316" s="222">
        <f t="shared" si="118"/>
        <v>0</v>
      </c>
      <c r="BC316" s="140">
        <f t="shared" si="119"/>
        <v>0</v>
      </c>
      <c r="BD316" s="132"/>
      <c r="BE316" s="140">
        <f t="shared" si="120"/>
        <v>0</v>
      </c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  <c r="BP316" s="152"/>
      <c r="BQ316" s="141"/>
      <c r="BR316" s="141"/>
      <c r="BS316" s="141"/>
      <c r="BT316" s="130">
        <f t="shared" si="121"/>
        <v>0</v>
      </c>
      <c r="BU316" s="132"/>
    </row>
    <row r="317" ht="14.25" customHeight="1">
      <c r="A317" s="132"/>
      <c r="B317" s="215">
        <v>46305</v>
      </c>
      <c r="C317" s="136"/>
      <c r="D317" s="136"/>
      <c r="E317" s="135"/>
      <c r="F317" s="135"/>
      <c r="G317" s="147">
        <f t="shared" si="113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14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15"/>
        <v>0</v>
      </c>
      <c r="AH317" s="136"/>
      <c r="AI317" s="136"/>
      <c r="AJ317" s="136"/>
      <c r="AK317" s="105">
        <f t="shared" si="116"/>
        <v>0</v>
      </c>
      <c r="AL317" s="143"/>
      <c r="AM317" s="143"/>
      <c r="AN317" s="143"/>
      <c r="AO317" s="146"/>
      <c r="AP317" s="224">
        <f t="shared" si="117"/>
        <v>0</v>
      </c>
      <c r="AQ317" s="126"/>
      <c r="AR317" s="274"/>
      <c r="AS317" s="126"/>
      <c r="AT317" s="126"/>
      <c r="AU317" s="126"/>
      <c r="AV317" s="126"/>
      <c r="AW317" s="126"/>
      <c r="AX317" s="394"/>
      <c r="AY317" s="394"/>
      <c r="AZ317" s="394"/>
      <c r="BA317" s="394"/>
      <c r="BB317" s="222">
        <f t="shared" si="118"/>
        <v>0</v>
      </c>
      <c r="BC317" s="140">
        <f t="shared" si="119"/>
        <v>0</v>
      </c>
      <c r="BD317" s="132"/>
      <c r="BE317" s="140">
        <f t="shared" si="120"/>
        <v>0</v>
      </c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52"/>
      <c r="BQ317" s="141"/>
      <c r="BR317" s="141"/>
      <c r="BS317" s="141"/>
      <c r="BT317" s="130">
        <f t="shared" si="121"/>
        <v>0</v>
      </c>
      <c r="BU317" s="132"/>
    </row>
    <row r="318" ht="14.25" customHeight="1">
      <c r="A318" s="132"/>
      <c r="B318" s="215">
        <v>46306</v>
      </c>
      <c r="C318" s="136"/>
      <c r="D318" s="136"/>
      <c r="E318" s="135"/>
      <c r="F318" s="135"/>
      <c r="G318" s="147">
        <f t="shared" si="113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14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15"/>
        <v>0</v>
      </c>
      <c r="AH318" s="136"/>
      <c r="AI318" s="136"/>
      <c r="AJ318" s="136"/>
      <c r="AK318" s="105">
        <f t="shared" si="116"/>
        <v>0</v>
      </c>
      <c r="AL318" s="143"/>
      <c r="AM318" s="143"/>
      <c r="AN318" s="143"/>
      <c r="AO318" s="146"/>
      <c r="AP318" s="224">
        <f t="shared" si="117"/>
        <v>0</v>
      </c>
      <c r="AQ318" s="126"/>
      <c r="AR318" s="274"/>
      <c r="AS318" s="126"/>
      <c r="AT318" s="126"/>
      <c r="AU318" s="126"/>
      <c r="AV318" s="126"/>
      <c r="AW318" s="126"/>
      <c r="AX318" s="394"/>
      <c r="AY318" s="394"/>
      <c r="AZ318" s="394"/>
      <c r="BA318" s="394"/>
      <c r="BB318" s="222">
        <f t="shared" si="118"/>
        <v>0</v>
      </c>
      <c r="BC318" s="140">
        <f t="shared" si="119"/>
        <v>0</v>
      </c>
      <c r="BD318" s="132"/>
      <c r="BE318" s="140">
        <f t="shared" si="120"/>
        <v>0</v>
      </c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52"/>
      <c r="BQ318" s="141"/>
      <c r="BR318" s="141"/>
      <c r="BS318" s="141"/>
      <c r="BT318" s="130">
        <f t="shared" si="121"/>
        <v>0</v>
      </c>
      <c r="BU318" s="132"/>
    </row>
    <row r="319" ht="14.25" customHeight="1">
      <c r="A319" s="132"/>
      <c r="B319" s="215">
        <v>46307</v>
      </c>
      <c r="C319" s="136"/>
      <c r="D319" s="136"/>
      <c r="E319" s="135"/>
      <c r="F319" s="135"/>
      <c r="G319" s="147">
        <f t="shared" si="113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14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15"/>
        <v>0</v>
      </c>
      <c r="AH319" s="136"/>
      <c r="AI319" s="136"/>
      <c r="AJ319" s="136"/>
      <c r="AK319" s="105">
        <f t="shared" si="116"/>
        <v>0</v>
      </c>
      <c r="AL319" s="143"/>
      <c r="AM319" s="143"/>
      <c r="AN319" s="143"/>
      <c r="AO319" s="146"/>
      <c r="AP319" s="224">
        <f t="shared" si="117"/>
        <v>0</v>
      </c>
      <c r="AQ319" s="126"/>
      <c r="AR319" s="274"/>
      <c r="AS319" s="126"/>
      <c r="AT319" s="126"/>
      <c r="AU319" s="126"/>
      <c r="AV319" s="126"/>
      <c r="AW319" s="126"/>
      <c r="AX319" s="394"/>
      <c r="AY319" s="394"/>
      <c r="AZ319" s="394"/>
      <c r="BA319" s="394"/>
      <c r="BB319" s="222">
        <f t="shared" si="118"/>
        <v>0</v>
      </c>
      <c r="BC319" s="140">
        <f t="shared" si="119"/>
        <v>0</v>
      </c>
      <c r="BD319" s="132"/>
      <c r="BE319" s="140">
        <f t="shared" si="120"/>
        <v>0</v>
      </c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52"/>
      <c r="BQ319" s="141"/>
      <c r="BR319" s="141"/>
      <c r="BS319" s="141"/>
      <c r="BT319" s="130">
        <f t="shared" si="121"/>
        <v>0</v>
      </c>
      <c r="BU319" s="132"/>
    </row>
    <row r="320" ht="14.25" customHeight="1">
      <c r="A320" s="132"/>
      <c r="B320" s="215">
        <v>46308</v>
      </c>
      <c r="C320" s="136"/>
      <c r="D320" s="136"/>
      <c r="E320" s="135"/>
      <c r="F320" s="135"/>
      <c r="G320" s="147">
        <f t="shared" si="113"/>
        <v>0</v>
      </c>
      <c r="H320" s="144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14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15"/>
        <v>0</v>
      </c>
      <c r="AH320" s="136"/>
      <c r="AI320" s="136"/>
      <c r="AJ320" s="136"/>
      <c r="AK320" s="105">
        <f t="shared" si="116"/>
        <v>0</v>
      </c>
      <c r="AL320" s="143"/>
      <c r="AM320" s="143"/>
      <c r="AN320" s="143"/>
      <c r="AO320" s="146"/>
      <c r="AP320" s="224">
        <f t="shared" si="117"/>
        <v>0</v>
      </c>
      <c r="AQ320" s="126"/>
      <c r="AR320" s="274"/>
      <c r="AS320" s="126"/>
      <c r="AT320" s="126"/>
      <c r="AU320" s="126"/>
      <c r="AV320" s="126"/>
      <c r="AW320" s="126"/>
      <c r="AX320" s="394"/>
      <c r="AY320" s="394"/>
      <c r="AZ320" s="394"/>
      <c r="BA320" s="394"/>
      <c r="BB320" s="222">
        <f t="shared" si="118"/>
        <v>0</v>
      </c>
      <c r="BC320" s="140">
        <f t="shared" si="119"/>
        <v>0</v>
      </c>
      <c r="BD320" s="132"/>
      <c r="BE320" s="140">
        <f t="shared" si="120"/>
        <v>0</v>
      </c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52"/>
      <c r="BQ320" s="141"/>
      <c r="BR320" s="141"/>
      <c r="BS320" s="141"/>
      <c r="BT320" s="130">
        <f t="shared" si="121"/>
        <v>0</v>
      </c>
      <c r="BU320" s="132"/>
    </row>
    <row r="321" ht="14.25" customHeight="1">
      <c r="A321" s="132"/>
      <c r="B321" s="215">
        <v>46309</v>
      </c>
      <c r="C321" s="136"/>
      <c r="D321" s="136"/>
      <c r="E321" s="135"/>
      <c r="F321" s="135"/>
      <c r="G321" s="147">
        <f t="shared" si="113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14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15"/>
        <v>0</v>
      </c>
      <c r="AH321" s="136"/>
      <c r="AI321" s="136"/>
      <c r="AJ321" s="136"/>
      <c r="AK321" s="105">
        <f t="shared" si="116"/>
        <v>0</v>
      </c>
      <c r="AL321" s="143"/>
      <c r="AM321" s="143"/>
      <c r="AN321" s="143"/>
      <c r="AO321" s="146"/>
      <c r="AP321" s="224">
        <f t="shared" si="117"/>
        <v>0</v>
      </c>
      <c r="AQ321" s="126"/>
      <c r="AR321" s="274"/>
      <c r="AS321" s="126"/>
      <c r="AT321" s="126"/>
      <c r="AU321" s="126"/>
      <c r="AV321" s="126"/>
      <c r="AW321" s="126"/>
      <c r="AX321" s="394"/>
      <c r="AY321" s="394"/>
      <c r="AZ321" s="394"/>
      <c r="BA321" s="394"/>
      <c r="BB321" s="222">
        <f t="shared" si="118"/>
        <v>0</v>
      </c>
      <c r="BC321" s="140">
        <f t="shared" si="119"/>
        <v>0</v>
      </c>
      <c r="BD321" s="132"/>
      <c r="BE321" s="140">
        <f t="shared" si="120"/>
        <v>0</v>
      </c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52"/>
      <c r="BQ321" s="141"/>
      <c r="BR321" s="141"/>
      <c r="BS321" s="141"/>
      <c r="BT321" s="130">
        <f t="shared" si="121"/>
        <v>0</v>
      </c>
      <c r="BU321" s="132"/>
    </row>
    <row r="322" ht="14.25" customHeight="1">
      <c r="A322" s="132"/>
      <c r="B322" s="215">
        <v>46310</v>
      </c>
      <c r="C322" s="136"/>
      <c r="D322" s="136"/>
      <c r="E322" s="135"/>
      <c r="F322" s="135"/>
      <c r="G322" s="147">
        <f t="shared" si="113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14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15"/>
        <v>0</v>
      </c>
      <c r="AH322" s="136"/>
      <c r="AI322" s="136"/>
      <c r="AJ322" s="136"/>
      <c r="AK322" s="105">
        <f t="shared" si="116"/>
        <v>0</v>
      </c>
      <c r="AL322" s="143"/>
      <c r="AM322" s="143"/>
      <c r="AN322" s="143"/>
      <c r="AO322" s="146"/>
      <c r="AP322" s="224">
        <f t="shared" si="117"/>
        <v>0</v>
      </c>
      <c r="AQ322" s="126"/>
      <c r="AR322" s="274"/>
      <c r="AS322" s="126"/>
      <c r="AT322" s="126"/>
      <c r="AU322" s="126"/>
      <c r="AV322" s="126"/>
      <c r="AW322" s="126"/>
      <c r="AX322" s="394"/>
      <c r="AY322" s="394"/>
      <c r="AZ322" s="394"/>
      <c r="BA322" s="394"/>
      <c r="BB322" s="222">
        <f t="shared" si="118"/>
        <v>0</v>
      </c>
      <c r="BC322" s="140">
        <f t="shared" si="119"/>
        <v>0</v>
      </c>
      <c r="BD322" s="132"/>
      <c r="BE322" s="140">
        <f t="shared" si="120"/>
        <v>0</v>
      </c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52"/>
      <c r="BQ322" s="141"/>
      <c r="BR322" s="141"/>
      <c r="BS322" s="141"/>
      <c r="BT322" s="130">
        <f t="shared" si="121"/>
        <v>0</v>
      </c>
      <c r="BU322" s="132"/>
    </row>
    <row r="323" ht="14.25" customHeight="1">
      <c r="A323" s="132"/>
      <c r="B323" s="215">
        <v>46311</v>
      </c>
      <c r="C323" s="136"/>
      <c r="D323" s="136"/>
      <c r="E323" s="135"/>
      <c r="F323" s="135"/>
      <c r="G323" s="147">
        <f t="shared" si="113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14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15"/>
        <v>0</v>
      </c>
      <c r="AH323" s="136"/>
      <c r="AI323" s="136"/>
      <c r="AJ323" s="136"/>
      <c r="AK323" s="105">
        <f t="shared" si="116"/>
        <v>0</v>
      </c>
      <c r="AL323" s="143"/>
      <c r="AM323" s="143"/>
      <c r="AN323" s="143"/>
      <c r="AO323" s="146"/>
      <c r="AP323" s="224">
        <f t="shared" si="117"/>
        <v>0</v>
      </c>
      <c r="AQ323" s="126"/>
      <c r="AR323" s="274"/>
      <c r="AS323" s="126"/>
      <c r="AT323" s="126"/>
      <c r="AU323" s="126"/>
      <c r="AV323" s="126"/>
      <c r="AW323" s="126"/>
      <c r="AX323" s="394"/>
      <c r="AY323" s="394"/>
      <c r="AZ323" s="394"/>
      <c r="BA323" s="394"/>
      <c r="BB323" s="222">
        <f t="shared" si="118"/>
        <v>0</v>
      </c>
      <c r="BC323" s="140">
        <f t="shared" si="119"/>
        <v>0</v>
      </c>
      <c r="BD323" s="132"/>
      <c r="BE323" s="140">
        <f t="shared" si="120"/>
        <v>0</v>
      </c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52"/>
      <c r="BQ323" s="141"/>
      <c r="BR323" s="141"/>
      <c r="BS323" s="141"/>
      <c r="BT323" s="130">
        <f t="shared" si="121"/>
        <v>0</v>
      </c>
      <c r="BU323" s="132"/>
    </row>
    <row r="324" ht="14.25" customHeight="1">
      <c r="A324" s="132"/>
      <c r="B324" s="215">
        <v>46312</v>
      </c>
      <c r="C324" s="136"/>
      <c r="D324" s="136"/>
      <c r="E324" s="135"/>
      <c r="F324" s="135"/>
      <c r="G324" s="147">
        <f t="shared" si="113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14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15"/>
        <v>0</v>
      </c>
      <c r="AH324" s="136"/>
      <c r="AI324" s="136"/>
      <c r="AJ324" s="136"/>
      <c r="AK324" s="105">
        <f t="shared" si="116"/>
        <v>0</v>
      </c>
      <c r="AL324" s="143"/>
      <c r="AM324" s="143"/>
      <c r="AN324" s="143"/>
      <c r="AO324" s="146"/>
      <c r="AP324" s="224">
        <f t="shared" si="117"/>
        <v>0</v>
      </c>
      <c r="AQ324" s="126"/>
      <c r="AR324" s="274"/>
      <c r="AS324" s="126"/>
      <c r="AT324" s="126"/>
      <c r="AU324" s="126"/>
      <c r="AV324" s="126"/>
      <c r="AW324" s="126"/>
      <c r="AX324" s="394"/>
      <c r="AY324" s="394"/>
      <c r="AZ324" s="394"/>
      <c r="BA324" s="394"/>
      <c r="BB324" s="222">
        <f t="shared" si="118"/>
        <v>0</v>
      </c>
      <c r="BC324" s="140">
        <f t="shared" si="119"/>
        <v>0</v>
      </c>
      <c r="BD324" s="132"/>
      <c r="BE324" s="140">
        <f t="shared" si="120"/>
        <v>0</v>
      </c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52"/>
      <c r="BQ324" s="141"/>
      <c r="BR324" s="141"/>
      <c r="BS324" s="141"/>
      <c r="BT324" s="130">
        <f t="shared" si="121"/>
        <v>0</v>
      </c>
      <c r="BU324" s="132"/>
    </row>
    <row r="325" ht="14.25" customHeight="1">
      <c r="A325" s="132"/>
      <c r="B325" s="215">
        <v>46313</v>
      </c>
      <c r="C325" s="136"/>
      <c r="D325" s="136"/>
      <c r="E325" s="135"/>
      <c r="F325" s="135"/>
      <c r="G325" s="147">
        <f t="shared" si="113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14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15"/>
        <v>0</v>
      </c>
      <c r="AH325" s="136"/>
      <c r="AI325" s="136"/>
      <c r="AJ325" s="136"/>
      <c r="AK325" s="105">
        <f t="shared" si="116"/>
        <v>0</v>
      </c>
      <c r="AL325" s="143"/>
      <c r="AM325" s="143"/>
      <c r="AN325" s="143"/>
      <c r="AO325" s="146"/>
      <c r="AP325" s="224">
        <f t="shared" si="117"/>
        <v>0</v>
      </c>
      <c r="AQ325" s="126"/>
      <c r="AR325" s="274"/>
      <c r="AS325" s="126"/>
      <c r="AT325" s="126"/>
      <c r="AU325" s="126"/>
      <c r="AV325" s="126"/>
      <c r="AW325" s="126"/>
      <c r="AX325" s="394"/>
      <c r="AY325" s="394"/>
      <c r="AZ325" s="394"/>
      <c r="BA325" s="394"/>
      <c r="BB325" s="222">
        <f t="shared" si="118"/>
        <v>0</v>
      </c>
      <c r="BC325" s="140">
        <f t="shared" si="119"/>
        <v>0</v>
      </c>
      <c r="BD325" s="132"/>
      <c r="BE325" s="140">
        <f t="shared" si="120"/>
        <v>0</v>
      </c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52"/>
      <c r="BQ325" s="141"/>
      <c r="BR325" s="141"/>
      <c r="BS325" s="141"/>
      <c r="BT325" s="130">
        <f t="shared" si="121"/>
        <v>0</v>
      </c>
      <c r="BU325" s="132"/>
    </row>
    <row r="326" ht="14.25" customHeight="1">
      <c r="A326" s="132"/>
      <c r="B326" s="215">
        <v>46314</v>
      </c>
      <c r="C326" s="136"/>
      <c r="D326" s="136"/>
      <c r="E326" s="135"/>
      <c r="F326" s="135"/>
      <c r="G326" s="147">
        <f t="shared" si="113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14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15"/>
        <v>0</v>
      </c>
      <c r="AH326" s="136"/>
      <c r="AI326" s="136"/>
      <c r="AJ326" s="136"/>
      <c r="AK326" s="105">
        <f t="shared" si="116"/>
        <v>0</v>
      </c>
      <c r="AL326" s="143"/>
      <c r="AM326" s="143"/>
      <c r="AN326" s="143"/>
      <c r="AO326" s="146"/>
      <c r="AP326" s="224">
        <f t="shared" si="117"/>
        <v>0</v>
      </c>
      <c r="AQ326" s="126"/>
      <c r="AR326" s="274"/>
      <c r="AS326" s="126"/>
      <c r="AT326" s="126"/>
      <c r="AU326" s="126"/>
      <c r="AV326" s="126"/>
      <c r="AW326" s="126"/>
      <c r="AX326" s="394"/>
      <c r="AY326" s="394"/>
      <c r="AZ326" s="394"/>
      <c r="BA326" s="394"/>
      <c r="BB326" s="222">
        <f t="shared" si="118"/>
        <v>0</v>
      </c>
      <c r="BC326" s="140">
        <f t="shared" si="119"/>
        <v>0</v>
      </c>
      <c r="BD326" s="132"/>
      <c r="BE326" s="140">
        <f t="shared" si="120"/>
        <v>0</v>
      </c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52"/>
      <c r="BQ326" s="141"/>
      <c r="BR326" s="141"/>
      <c r="BS326" s="141"/>
      <c r="BT326" s="130">
        <f t="shared" si="121"/>
        <v>0</v>
      </c>
      <c r="BU326" s="132"/>
    </row>
    <row r="327" ht="14.25" customHeight="1">
      <c r="A327" s="132"/>
      <c r="B327" s="215">
        <v>46315</v>
      </c>
      <c r="C327" s="136"/>
      <c r="D327" s="136"/>
      <c r="E327" s="135"/>
      <c r="F327" s="135"/>
      <c r="G327" s="147">
        <f t="shared" si="113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14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15"/>
        <v>0</v>
      </c>
      <c r="AH327" s="136"/>
      <c r="AI327" s="136"/>
      <c r="AJ327" s="136"/>
      <c r="AK327" s="105">
        <f t="shared" si="116"/>
        <v>0</v>
      </c>
      <c r="AL327" s="143"/>
      <c r="AM327" s="143"/>
      <c r="AN327" s="143"/>
      <c r="AO327" s="146"/>
      <c r="AP327" s="224">
        <f t="shared" si="117"/>
        <v>0</v>
      </c>
      <c r="AQ327" s="126"/>
      <c r="AR327" s="274"/>
      <c r="AS327" s="126"/>
      <c r="AT327" s="126"/>
      <c r="AU327" s="126"/>
      <c r="AV327" s="126"/>
      <c r="AW327" s="126"/>
      <c r="AX327" s="394"/>
      <c r="AY327" s="394"/>
      <c r="AZ327" s="394"/>
      <c r="BA327" s="394"/>
      <c r="BB327" s="222">
        <f t="shared" si="118"/>
        <v>0</v>
      </c>
      <c r="BC327" s="140">
        <f t="shared" si="119"/>
        <v>0</v>
      </c>
      <c r="BD327" s="132"/>
      <c r="BE327" s="140">
        <f t="shared" si="120"/>
        <v>0</v>
      </c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52"/>
      <c r="BQ327" s="141"/>
      <c r="BR327" s="141"/>
      <c r="BS327" s="141"/>
      <c r="BT327" s="130">
        <f t="shared" si="121"/>
        <v>0</v>
      </c>
      <c r="BU327" s="132"/>
    </row>
    <row r="328" ht="14.25" customHeight="1">
      <c r="A328" s="3"/>
      <c r="B328" s="215">
        <v>46316</v>
      </c>
      <c r="C328" s="123"/>
      <c r="D328" s="123"/>
      <c r="E328" s="120"/>
      <c r="F328" s="120"/>
      <c r="G328" s="147">
        <f t="shared" si="113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14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15"/>
        <v>0</v>
      </c>
      <c r="AH328" s="136"/>
      <c r="AI328" s="123"/>
      <c r="AJ328" s="123"/>
      <c r="AK328" s="105">
        <f t="shared" si="116"/>
        <v>0</v>
      </c>
      <c r="AL328" s="143"/>
      <c r="AM328" s="143"/>
      <c r="AN328" s="143"/>
      <c r="AO328" s="146"/>
      <c r="AP328" s="224">
        <f t="shared" si="117"/>
        <v>0</v>
      </c>
      <c r="AQ328" s="126"/>
      <c r="AR328" s="274"/>
      <c r="AS328" s="126"/>
      <c r="AT328" s="126"/>
      <c r="AU328" s="126"/>
      <c r="AV328" s="126"/>
      <c r="AW328" s="126"/>
      <c r="AX328" s="394"/>
      <c r="AY328" s="394"/>
      <c r="AZ328" s="394"/>
      <c r="BA328" s="394"/>
      <c r="BB328" s="222">
        <f t="shared" si="118"/>
        <v>0</v>
      </c>
      <c r="BC328" s="113">
        <f t="shared" si="119"/>
        <v>0</v>
      </c>
      <c r="BD328" s="3"/>
      <c r="BE328" s="113">
        <f t="shared" si="120"/>
        <v>0</v>
      </c>
      <c r="BF328" s="129"/>
      <c r="BG328" s="129"/>
      <c r="BH328" s="129"/>
      <c r="BI328" s="129"/>
      <c r="BJ328" s="129"/>
      <c r="BK328" s="129"/>
      <c r="BL328" s="129"/>
      <c r="BM328" s="129"/>
      <c r="BN328" s="129"/>
      <c r="BO328" s="129"/>
      <c r="BP328" s="255"/>
      <c r="BQ328" s="129"/>
      <c r="BR328" s="129"/>
      <c r="BS328" s="129"/>
      <c r="BT328" s="130">
        <f t="shared" si="121"/>
        <v>0</v>
      </c>
      <c r="BU328" s="3"/>
    </row>
    <row r="329" ht="14.25" customHeight="1">
      <c r="A329" s="132"/>
      <c r="B329" s="215">
        <v>46317</v>
      </c>
      <c r="C329" s="136"/>
      <c r="D329" s="136"/>
      <c r="E329" s="135"/>
      <c r="F329" s="135"/>
      <c r="G329" s="147">
        <f t="shared" si="113"/>
        <v>0</v>
      </c>
      <c r="H329" s="144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14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15"/>
        <v>0</v>
      </c>
      <c r="AH329" s="136"/>
      <c r="AI329" s="136"/>
      <c r="AJ329" s="136"/>
      <c r="AK329" s="105">
        <f t="shared" si="116"/>
        <v>0</v>
      </c>
      <c r="AL329" s="143"/>
      <c r="AM329" s="143"/>
      <c r="AN329" s="143"/>
      <c r="AO329" s="146"/>
      <c r="AP329" s="224">
        <f t="shared" si="117"/>
        <v>0</v>
      </c>
      <c r="AQ329" s="126"/>
      <c r="AR329" s="274"/>
      <c r="AS329" s="126"/>
      <c r="AT329" s="126"/>
      <c r="AU329" s="126"/>
      <c r="AV329" s="126"/>
      <c r="AW329" s="126"/>
      <c r="AX329" s="394"/>
      <c r="AY329" s="394"/>
      <c r="AZ329" s="394"/>
      <c r="BA329" s="394"/>
      <c r="BB329" s="222">
        <f t="shared" si="118"/>
        <v>0</v>
      </c>
      <c r="BC329" s="140">
        <f t="shared" si="119"/>
        <v>0</v>
      </c>
      <c r="BD329" s="132"/>
      <c r="BE329" s="140">
        <f t="shared" si="120"/>
        <v>0</v>
      </c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52"/>
      <c r="BQ329" s="141"/>
      <c r="BR329" s="141"/>
      <c r="BS329" s="141"/>
      <c r="BT329" s="130">
        <f t="shared" si="121"/>
        <v>0</v>
      </c>
      <c r="BU329" s="132"/>
    </row>
    <row r="330" ht="14.25" customHeight="1">
      <c r="A330" s="132"/>
      <c r="B330" s="215">
        <v>46318</v>
      </c>
      <c r="C330" s="136"/>
      <c r="D330" s="136"/>
      <c r="E330" s="135"/>
      <c r="F330" s="135"/>
      <c r="G330" s="147">
        <f t="shared" si="113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14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15"/>
        <v>0</v>
      </c>
      <c r="AH330" s="136"/>
      <c r="AI330" s="136"/>
      <c r="AJ330" s="136"/>
      <c r="AK330" s="105">
        <f t="shared" si="116"/>
        <v>0</v>
      </c>
      <c r="AL330" s="143"/>
      <c r="AM330" s="143"/>
      <c r="AN330" s="143"/>
      <c r="AO330" s="146"/>
      <c r="AP330" s="224">
        <f t="shared" si="117"/>
        <v>0</v>
      </c>
      <c r="AQ330" s="126"/>
      <c r="AR330" s="274"/>
      <c r="AS330" s="126"/>
      <c r="AT330" s="126"/>
      <c r="AU330" s="126"/>
      <c r="AV330" s="126"/>
      <c r="AW330" s="126"/>
      <c r="AX330" s="394"/>
      <c r="AY330" s="394"/>
      <c r="AZ330" s="394"/>
      <c r="BA330" s="394"/>
      <c r="BB330" s="222">
        <f t="shared" si="118"/>
        <v>0</v>
      </c>
      <c r="BC330" s="140">
        <f t="shared" si="119"/>
        <v>0</v>
      </c>
      <c r="BD330" s="132"/>
      <c r="BE330" s="140">
        <f t="shared" si="120"/>
        <v>0</v>
      </c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52"/>
      <c r="BQ330" s="141"/>
      <c r="BR330" s="141"/>
      <c r="BS330" s="141"/>
      <c r="BT330" s="130">
        <f t="shared" si="121"/>
        <v>0</v>
      </c>
      <c r="BU330" s="132"/>
    </row>
    <row r="331" ht="14.25" customHeight="1">
      <c r="A331" s="132"/>
      <c r="B331" s="215">
        <v>46319</v>
      </c>
      <c r="C331" s="136"/>
      <c r="D331" s="136"/>
      <c r="E331" s="135"/>
      <c r="F331" s="135"/>
      <c r="G331" s="147">
        <f t="shared" si="113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14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15"/>
        <v>0</v>
      </c>
      <c r="AH331" s="136"/>
      <c r="AI331" s="136"/>
      <c r="AJ331" s="136"/>
      <c r="AK331" s="105">
        <f t="shared" si="116"/>
        <v>0</v>
      </c>
      <c r="AL331" s="143"/>
      <c r="AM331" s="143"/>
      <c r="AN331" s="143"/>
      <c r="AO331" s="146"/>
      <c r="AP331" s="224">
        <f t="shared" si="117"/>
        <v>0</v>
      </c>
      <c r="AQ331" s="126"/>
      <c r="AR331" s="274"/>
      <c r="AS331" s="274"/>
      <c r="AT331" s="126"/>
      <c r="AU331" s="126"/>
      <c r="AV331" s="126"/>
      <c r="AW331" s="126"/>
      <c r="AX331" s="394"/>
      <c r="AY331" s="394"/>
      <c r="AZ331" s="394"/>
      <c r="BA331" s="394"/>
      <c r="BB331" s="222">
        <f t="shared" si="118"/>
        <v>0</v>
      </c>
      <c r="BC331" s="140">
        <f t="shared" si="119"/>
        <v>0</v>
      </c>
      <c r="BD331" s="132"/>
      <c r="BE331" s="140">
        <f t="shared" si="120"/>
        <v>0</v>
      </c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52"/>
      <c r="BQ331" s="141"/>
      <c r="BR331" s="141"/>
      <c r="BS331" s="141"/>
      <c r="BT331" s="130">
        <f t="shared" si="121"/>
        <v>0</v>
      </c>
      <c r="BU331" s="132"/>
    </row>
    <row r="332" ht="14.25" customHeight="1">
      <c r="A332" s="132"/>
      <c r="B332" s="215">
        <v>46320</v>
      </c>
      <c r="C332" s="136"/>
      <c r="D332" s="136"/>
      <c r="E332" s="135"/>
      <c r="F332" s="135"/>
      <c r="G332" s="147">
        <f t="shared" si="113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14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15"/>
        <v>0</v>
      </c>
      <c r="AH332" s="136"/>
      <c r="AI332" s="136"/>
      <c r="AJ332" s="136"/>
      <c r="AK332" s="105">
        <f t="shared" si="116"/>
        <v>0</v>
      </c>
      <c r="AL332" s="143"/>
      <c r="AM332" s="143"/>
      <c r="AN332" s="143"/>
      <c r="AO332" s="146"/>
      <c r="AP332" s="224">
        <f t="shared" si="117"/>
        <v>0</v>
      </c>
      <c r="AQ332" s="126"/>
      <c r="AR332" s="274"/>
      <c r="AS332" s="126"/>
      <c r="AT332" s="126"/>
      <c r="AU332" s="126"/>
      <c r="AV332" s="126"/>
      <c r="AW332" s="126"/>
      <c r="AX332" s="394"/>
      <c r="AY332" s="394"/>
      <c r="AZ332" s="394"/>
      <c r="BA332" s="394"/>
      <c r="BB332" s="222">
        <f t="shared" si="118"/>
        <v>0</v>
      </c>
      <c r="BC332" s="140">
        <f t="shared" si="119"/>
        <v>0</v>
      </c>
      <c r="BD332" s="132"/>
      <c r="BE332" s="140">
        <f t="shared" si="120"/>
        <v>0</v>
      </c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52"/>
      <c r="BQ332" s="141"/>
      <c r="BR332" s="141"/>
      <c r="BS332" s="141"/>
      <c r="BT332" s="130">
        <f t="shared" si="121"/>
        <v>0</v>
      </c>
      <c r="BU332" s="132"/>
    </row>
    <row r="333" ht="14.25" customHeight="1">
      <c r="A333" s="132"/>
      <c r="B333" s="215">
        <v>46321</v>
      </c>
      <c r="C333" s="136"/>
      <c r="D333" s="136"/>
      <c r="E333" s="135"/>
      <c r="F333" s="135"/>
      <c r="G333" s="147">
        <f t="shared" si="113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03">
        <f t="shared" si="114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15"/>
        <v>0</v>
      </c>
      <c r="AH333" s="136"/>
      <c r="AI333" s="136"/>
      <c r="AJ333" s="136"/>
      <c r="AK333" s="105">
        <f t="shared" si="116"/>
        <v>0</v>
      </c>
      <c r="AL333" s="143"/>
      <c r="AM333" s="143"/>
      <c r="AN333" s="143"/>
      <c r="AO333" s="146"/>
      <c r="AP333" s="224">
        <f t="shared" si="117"/>
        <v>0</v>
      </c>
      <c r="AQ333" s="126"/>
      <c r="AR333" s="274"/>
      <c r="AS333" s="126"/>
      <c r="AT333" s="126"/>
      <c r="AU333" s="126"/>
      <c r="AV333" s="126"/>
      <c r="AW333" s="126"/>
      <c r="AX333" s="394"/>
      <c r="AY333" s="394"/>
      <c r="AZ333" s="394"/>
      <c r="BA333" s="394"/>
      <c r="BB333" s="222">
        <f t="shared" si="118"/>
        <v>0</v>
      </c>
      <c r="BC333" s="140">
        <f t="shared" si="119"/>
        <v>0</v>
      </c>
      <c r="BD333" s="132"/>
      <c r="BE333" s="140">
        <f t="shared" si="120"/>
        <v>0</v>
      </c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52"/>
      <c r="BQ333" s="141"/>
      <c r="BR333" s="141"/>
      <c r="BS333" s="141"/>
      <c r="BT333" s="130">
        <f t="shared" si="121"/>
        <v>0</v>
      </c>
      <c r="BU333" s="132"/>
    </row>
    <row r="334" ht="14.25" customHeight="1">
      <c r="A334" s="132"/>
      <c r="B334" s="215">
        <v>46322</v>
      </c>
      <c r="C334" s="136"/>
      <c r="D334" s="136"/>
      <c r="E334" s="135"/>
      <c r="F334" s="135"/>
      <c r="G334" s="147">
        <f t="shared" si="113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03">
        <f t="shared" si="114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15"/>
        <v>0</v>
      </c>
      <c r="AH334" s="136"/>
      <c r="AI334" s="136"/>
      <c r="AJ334" s="136"/>
      <c r="AK334" s="105">
        <f t="shared" si="116"/>
        <v>0</v>
      </c>
      <c r="AL334" s="143"/>
      <c r="AM334" s="143"/>
      <c r="AN334" s="143"/>
      <c r="AO334" s="146"/>
      <c r="AP334" s="224">
        <f t="shared" si="117"/>
        <v>0</v>
      </c>
      <c r="AQ334" s="126"/>
      <c r="AR334" s="274"/>
      <c r="AS334" s="126"/>
      <c r="AT334" s="126"/>
      <c r="AU334" s="126"/>
      <c r="AV334" s="126"/>
      <c r="AW334" s="126"/>
      <c r="AX334" s="394"/>
      <c r="AY334" s="394"/>
      <c r="AZ334" s="394"/>
      <c r="BA334" s="394"/>
      <c r="BB334" s="222">
        <f t="shared" si="118"/>
        <v>0</v>
      </c>
      <c r="BC334" s="140">
        <f t="shared" si="119"/>
        <v>0</v>
      </c>
      <c r="BD334" s="132"/>
      <c r="BE334" s="140">
        <f t="shared" si="120"/>
        <v>0</v>
      </c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52"/>
      <c r="BQ334" s="141"/>
      <c r="BR334" s="141"/>
      <c r="BS334" s="141"/>
      <c r="BT334" s="130">
        <f t="shared" si="121"/>
        <v>0</v>
      </c>
      <c r="BU334" s="132"/>
    </row>
    <row r="335" ht="14.25" customHeight="1">
      <c r="A335" s="132"/>
      <c r="B335" s="215">
        <v>46323</v>
      </c>
      <c r="C335" s="136"/>
      <c r="D335" s="136"/>
      <c r="E335" s="135"/>
      <c r="F335" s="135"/>
      <c r="G335" s="147">
        <f t="shared" si="113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03">
        <f t="shared" si="114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15"/>
        <v>0</v>
      </c>
      <c r="AH335" s="136"/>
      <c r="AI335" s="136"/>
      <c r="AJ335" s="136"/>
      <c r="AK335" s="105">
        <f t="shared" si="116"/>
        <v>0</v>
      </c>
      <c r="AL335" s="143"/>
      <c r="AM335" s="143"/>
      <c r="AN335" s="143"/>
      <c r="AO335" s="146"/>
      <c r="AP335" s="224">
        <f t="shared" si="117"/>
        <v>0</v>
      </c>
      <c r="AQ335" s="126"/>
      <c r="AR335" s="274"/>
      <c r="AS335" s="126"/>
      <c r="AT335" s="126"/>
      <c r="AU335" s="126"/>
      <c r="AV335" s="126"/>
      <c r="AW335" s="126"/>
      <c r="AX335" s="394"/>
      <c r="AY335" s="394"/>
      <c r="AZ335" s="394"/>
      <c r="BA335" s="394"/>
      <c r="BB335" s="222">
        <f t="shared" si="118"/>
        <v>0</v>
      </c>
      <c r="BC335" s="140">
        <f t="shared" si="119"/>
        <v>0</v>
      </c>
      <c r="BD335" s="132"/>
      <c r="BE335" s="140">
        <f t="shared" si="120"/>
        <v>0</v>
      </c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52"/>
      <c r="BQ335" s="141"/>
      <c r="BR335" s="141"/>
      <c r="BS335" s="141"/>
      <c r="BT335" s="130">
        <f t="shared" si="121"/>
        <v>0</v>
      </c>
      <c r="BU335" s="132"/>
    </row>
    <row r="336" ht="14.25" customHeight="1">
      <c r="A336" s="132"/>
      <c r="B336" s="215">
        <v>46324</v>
      </c>
      <c r="C336" s="136"/>
      <c r="D336" s="136"/>
      <c r="E336" s="135"/>
      <c r="F336" s="135"/>
      <c r="G336" s="147">
        <f t="shared" si="113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03">
        <f t="shared" si="114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15"/>
        <v>0</v>
      </c>
      <c r="AH336" s="136"/>
      <c r="AI336" s="136"/>
      <c r="AJ336" s="136"/>
      <c r="AK336" s="105">
        <f t="shared" si="116"/>
        <v>0</v>
      </c>
      <c r="AL336" s="143"/>
      <c r="AM336" s="143"/>
      <c r="AN336" s="143"/>
      <c r="AO336" s="146"/>
      <c r="AP336" s="224">
        <f t="shared" si="117"/>
        <v>0</v>
      </c>
      <c r="AQ336" s="126"/>
      <c r="AR336" s="274"/>
      <c r="AS336" s="126"/>
      <c r="AT336" s="126"/>
      <c r="AU336" s="126"/>
      <c r="AV336" s="126"/>
      <c r="AW336" s="126"/>
      <c r="AX336" s="394"/>
      <c r="AY336" s="394"/>
      <c r="AZ336" s="394"/>
      <c r="BA336" s="394"/>
      <c r="BB336" s="222">
        <f t="shared" si="118"/>
        <v>0</v>
      </c>
      <c r="BC336" s="140">
        <f t="shared" si="119"/>
        <v>0</v>
      </c>
      <c r="BD336" s="132"/>
      <c r="BE336" s="140">
        <f t="shared" si="120"/>
        <v>0</v>
      </c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52"/>
      <c r="BQ336" s="141"/>
      <c r="BR336" s="141"/>
      <c r="BS336" s="141"/>
      <c r="BT336" s="130">
        <f t="shared" si="121"/>
        <v>0</v>
      </c>
      <c r="BU336" s="132"/>
    </row>
    <row r="337" ht="14.25" customHeight="1">
      <c r="A337" s="132"/>
      <c r="B337" s="215">
        <v>46325</v>
      </c>
      <c r="C337" s="136"/>
      <c r="D337" s="136"/>
      <c r="E337" s="135"/>
      <c r="F337" s="135"/>
      <c r="G337" s="147">
        <f t="shared" si="113"/>
        <v>0</v>
      </c>
      <c r="H337" s="144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03">
        <f t="shared" si="114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15"/>
        <v>0</v>
      </c>
      <c r="AH337" s="136"/>
      <c r="AI337" s="136"/>
      <c r="AJ337" s="136"/>
      <c r="AK337" s="105">
        <f t="shared" si="116"/>
        <v>0</v>
      </c>
      <c r="AL337" s="143"/>
      <c r="AM337" s="143"/>
      <c r="AN337" s="143"/>
      <c r="AO337" s="146"/>
      <c r="AP337" s="224">
        <f t="shared" si="117"/>
        <v>0</v>
      </c>
      <c r="AQ337" s="126"/>
      <c r="AR337" s="274"/>
      <c r="AS337" s="126"/>
      <c r="AT337" s="126"/>
      <c r="AU337" s="126"/>
      <c r="AV337" s="126"/>
      <c r="AW337" s="126"/>
      <c r="AX337" s="394"/>
      <c r="AY337" s="394"/>
      <c r="AZ337" s="394"/>
      <c r="BA337" s="394"/>
      <c r="BB337" s="222">
        <f t="shared" si="118"/>
        <v>0</v>
      </c>
      <c r="BC337" s="140">
        <f t="shared" si="119"/>
        <v>0</v>
      </c>
      <c r="BD337" s="132"/>
      <c r="BE337" s="140">
        <f t="shared" si="120"/>
        <v>0</v>
      </c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52"/>
      <c r="BQ337" s="141"/>
      <c r="BR337" s="141"/>
      <c r="BS337" s="141"/>
      <c r="BT337" s="130">
        <f t="shared" si="121"/>
        <v>0</v>
      </c>
      <c r="BU337" s="132"/>
    </row>
    <row r="338" ht="14.25" customHeight="1">
      <c r="A338" s="132"/>
      <c r="B338" s="215">
        <v>46326</v>
      </c>
      <c r="C338" s="159"/>
      <c r="D338" s="159"/>
      <c r="E338" s="156"/>
      <c r="F338" s="156"/>
      <c r="G338" s="147">
        <f t="shared" si="113"/>
        <v>0</v>
      </c>
      <c r="H338" s="612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03">
        <f t="shared" si="114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03">
        <f t="shared" si="115"/>
        <v>0</v>
      </c>
      <c r="AH338" s="159"/>
      <c r="AI338" s="159"/>
      <c r="AJ338" s="159"/>
      <c r="AK338" s="105">
        <f t="shared" si="116"/>
        <v>0</v>
      </c>
      <c r="AL338" s="157"/>
      <c r="AM338" s="157"/>
      <c r="AN338" s="157"/>
      <c r="AO338" s="160"/>
      <c r="AP338" s="224">
        <f t="shared" si="117"/>
        <v>0</v>
      </c>
      <c r="AQ338" s="138"/>
      <c r="AR338" s="296"/>
      <c r="AS338" s="126"/>
      <c r="AT338" s="138"/>
      <c r="AU338" s="126"/>
      <c r="AV338" s="126"/>
      <c r="AW338" s="138"/>
      <c r="AX338" s="404"/>
      <c r="AY338" s="404"/>
      <c r="AZ338" s="404"/>
      <c r="BA338" s="404"/>
      <c r="BB338" s="222">
        <f t="shared" si="118"/>
        <v>0</v>
      </c>
      <c r="BC338" s="162">
        <f t="shared" si="119"/>
        <v>0</v>
      </c>
      <c r="BD338" s="132"/>
      <c r="BE338" s="162">
        <f t="shared" si="120"/>
        <v>0</v>
      </c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63"/>
      <c r="BP338" s="152"/>
      <c r="BQ338" s="141"/>
      <c r="BR338" s="141"/>
      <c r="BS338" s="141"/>
      <c r="BT338" s="164">
        <f t="shared" si="121"/>
        <v>0</v>
      </c>
      <c r="BU338" s="132"/>
    </row>
    <row r="339" ht="14.25" customHeight="1">
      <c r="A339" s="3"/>
      <c r="B339" s="2" t="s">
        <v>84</v>
      </c>
      <c r="C339" s="166">
        <f ref="C339:G339" t="shared" si="122">SUM(C308:C338)</f>
        <v>0</v>
      </c>
      <c r="D339" s="166">
        <f t="shared" si="122"/>
        <v>0</v>
      </c>
      <c r="E339" s="166">
        <f t="shared" si="122"/>
        <v>0</v>
      </c>
      <c r="F339" s="166">
        <f t="shared" si="122"/>
        <v>0</v>
      </c>
      <c r="G339" s="166">
        <f t="shared" si="122"/>
        <v>0</v>
      </c>
      <c r="H339" s="166"/>
      <c r="I339" s="166"/>
      <c r="J339" s="166"/>
      <c r="K339" s="166"/>
      <c r="L339" s="166"/>
      <c r="M339" s="166">
        <f ref="M339:T339" t="shared" si="123">SUM(M308:M338)</f>
        <v>0</v>
      </c>
      <c r="N339" s="166">
        <f t="shared" si="123"/>
        <v>0</v>
      </c>
      <c r="O339" s="166">
        <f t="shared" si="123"/>
        <v>0</v>
      </c>
      <c r="P339" s="166">
        <f t="shared" si="123"/>
        <v>0</v>
      </c>
      <c r="Q339" s="166">
        <f t="shared" si="123"/>
        <v>0</v>
      </c>
      <c r="R339" s="166">
        <f t="shared" si="123"/>
        <v>0</v>
      </c>
      <c r="S339" s="166">
        <f t="shared" si="123"/>
        <v>0</v>
      </c>
      <c r="T339" s="166">
        <f t="shared" si="123"/>
        <v>0</v>
      </c>
      <c r="U339" s="166"/>
      <c r="V339" s="166"/>
      <c r="W339" s="166">
        <f ref="W339:AH339" t="shared" si="124">SUM(W308:W338)</f>
        <v>0</v>
      </c>
      <c r="X339" s="166">
        <f t="shared" si="124"/>
        <v>0</v>
      </c>
      <c r="Y339" s="166">
        <f t="shared" si="124"/>
        <v>0</v>
      </c>
      <c r="Z339" s="166">
        <f t="shared" si="124"/>
        <v>0</v>
      </c>
      <c r="AA339" s="166">
        <f t="shared" si="124"/>
        <v>0</v>
      </c>
      <c r="AB339" s="166">
        <f t="shared" si="124"/>
        <v>0</v>
      </c>
      <c r="AC339" s="166">
        <f t="shared" si="124"/>
        <v>0</v>
      </c>
      <c r="AD339" s="166">
        <f t="shared" si="124"/>
        <v>0</v>
      </c>
      <c r="AE339" s="166">
        <f t="shared" si="124"/>
        <v>0</v>
      </c>
      <c r="AF339" s="166">
        <f t="shared" si="124"/>
        <v>0</v>
      </c>
      <c r="AG339" s="166">
        <f t="shared" si="124"/>
        <v>0</v>
      </c>
      <c r="AH339" s="166">
        <f t="shared" si="124"/>
        <v>0</v>
      </c>
      <c r="AI339" s="166"/>
      <c r="AJ339" s="166"/>
      <c r="AK339" s="166">
        <f>SUM(AK308:AK338)</f>
        <v>0</v>
      </c>
      <c r="AL339" s="166"/>
      <c r="AM339" s="166"/>
      <c r="AN339" s="166"/>
      <c r="AO339" s="166"/>
      <c r="AP339" s="166">
        <f ref="AP339:AW339" t="shared" si="125">SUM(AP308:AP338)</f>
        <v>0</v>
      </c>
      <c r="AQ339" s="165">
        <f t="shared" si="125"/>
        <v>0</v>
      </c>
      <c r="AR339" s="165">
        <f t="shared" si="125"/>
        <v>0</v>
      </c>
      <c r="AS339" s="165">
        <f t="shared" si="125"/>
        <v>0</v>
      </c>
      <c r="AT339" s="165">
        <f t="shared" si="125"/>
        <v>0</v>
      </c>
      <c r="AU339" s="165">
        <f t="shared" si="125"/>
        <v>0</v>
      </c>
      <c r="AV339" s="165">
        <f t="shared" si="125"/>
        <v>0</v>
      </c>
      <c r="AW339" s="165">
        <f t="shared" si="125"/>
        <v>0</v>
      </c>
      <c r="AX339" s="166"/>
      <c r="AY339" s="166"/>
      <c r="AZ339" s="166"/>
      <c r="BA339" s="166"/>
      <c r="BB339" s="166">
        <f ref="BB339:BC339" t="shared" si="126">SUM(BB308:BB338)</f>
        <v>0</v>
      </c>
      <c r="BC339" s="166">
        <f t="shared" si="126"/>
        <v>0</v>
      </c>
      <c r="BD339" s="3"/>
      <c r="BE339" s="172">
        <f>SUM(BE308:BE338)</f>
        <v>0</v>
      </c>
      <c r="BF339" s="165"/>
      <c r="BG339" s="165"/>
      <c r="BH339" s="165"/>
      <c r="BI339" s="165"/>
      <c r="BJ339" s="165"/>
      <c r="BK339" s="165"/>
      <c r="BL339" s="165"/>
      <c r="BM339" s="165"/>
      <c r="BN339" s="165"/>
      <c r="BO339" s="165"/>
      <c r="BP339" s="166"/>
      <c r="BQ339" s="166"/>
      <c r="BR339" s="166"/>
      <c r="BS339" s="165"/>
      <c r="BT339" s="165">
        <f>SUM(BT308:BT338)</f>
        <v>0</v>
      </c>
      <c r="BU339" s="132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1336"/>
      <c r="AL340" s="3"/>
      <c r="AM340" s="3"/>
      <c r="AN340" s="3"/>
      <c r="AO340" s="3"/>
      <c r="AP340" s="41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1336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</row>
    <row r="341" ht="14.25" customHeight="1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1336"/>
      <c r="AL341" s="3"/>
      <c r="AM341" s="3"/>
      <c r="AN341" s="3"/>
      <c r="AO341" s="3"/>
      <c r="AP341" s="41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1391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</row>
    <row r="342" ht="14.25" customHeight="1">
      <c r="A342" s="3"/>
      <c r="B342" s="215">
        <v>46327</v>
      </c>
      <c r="C342" s="104"/>
      <c r="D342" s="104"/>
      <c r="E342" s="97"/>
      <c r="F342" s="97"/>
      <c r="G342" s="265">
        <f ref="G342:G371" t="shared" si="127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ref="T342:T371" t="shared" si="128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ref="AG342:AG371" t="shared" si="129">SUM(U342:AF342)</f>
        <v>0</v>
      </c>
      <c r="AH342" s="104"/>
      <c r="AI342" s="104"/>
      <c r="AJ342" s="104"/>
      <c r="AK342" s="191">
        <f ref="AK342:AK371" t="shared" si="130">SUM(AH342:AJ342)</f>
        <v>0</v>
      </c>
      <c r="AL342" s="186"/>
      <c r="AM342" s="186"/>
      <c r="AN342" s="186"/>
      <c r="AO342" s="193"/>
      <c r="AP342" s="219">
        <f ref="AP342:AP371" t="shared" si="131">+G342-T342-AG342-AK342-AL342-AM342-AN342-AO342</f>
        <v>0</v>
      </c>
      <c r="AQ342" s="109"/>
      <c r="AR342" s="269"/>
      <c r="AS342" s="109"/>
      <c r="AT342" s="109"/>
      <c r="AU342" s="109"/>
      <c r="AV342" s="109"/>
      <c r="AW342" s="109"/>
      <c r="AX342" s="388"/>
      <c r="AY342" s="388"/>
      <c r="AZ342" s="388"/>
      <c r="BA342" s="388"/>
      <c r="BB342" s="222">
        <f ref="BB342:BB371" t="shared" si="132">SUM(AQ342:BA342)-AZ342</f>
        <v>0</v>
      </c>
      <c r="BC342" s="114">
        <f ref="BC342:BC371" t="shared" si="133">+AP342-BB342</f>
        <v>0</v>
      </c>
      <c r="BD342" s="3"/>
      <c r="BE342" s="114">
        <f ref="BE342:BE371" t="shared" si="134">SUM(BF342:BR342)</f>
        <v>0</v>
      </c>
      <c r="BF342" s="115"/>
      <c r="BG342" s="115"/>
      <c r="BH342" s="115"/>
      <c r="BI342" s="115"/>
      <c r="BJ342" s="115"/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116">
        <f ref="BT342:BT371" t="shared" si="135">+BC342-BE342</f>
        <v>0</v>
      </c>
      <c r="BU342" s="3"/>
    </row>
    <row r="343" ht="14.25" customHeight="1">
      <c r="A343" s="3"/>
      <c r="B343" s="215">
        <v>46328</v>
      </c>
      <c r="C343" s="123"/>
      <c r="D343" s="123"/>
      <c r="E343" s="120"/>
      <c r="F343" s="120"/>
      <c r="G343" s="147">
        <f t="shared" si="127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28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29"/>
        <v>0</v>
      </c>
      <c r="AH343" s="123"/>
      <c r="AI343" s="123"/>
      <c r="AJ343" s="123"/>
      <c r="AK343" s="105">
        <f t="shared" si="130"/>
        <v>0</v>
      </c>
      <c r="AL343" s="143"/>
      <c r="AM343" s="143"/>
      <c r="AN343" s="143"/>
      <c r="AO343" s="146"/>
      <c r="AP343" s="224">
        <f t="shared" si="131"/>
        <v>0</v>
      </c>
      <c r="AQ343" s="126"/>
      <c r="AR343" s="274"/>
      <c r="AS343" s="274"/>
      <c r="AT343" s="274"/>
      <c r="AU343" s="126"/>
      <c r="AV343" s="126"/>
      <c r="AW343" s="126"/>
      <c r="AX343" s="394"/>
      <c r="AY343" s="394"/>
      <c r="AZ343" s="394"/>
      <c r="BA343" s="394"/>
      <c r="BB343" s="222">
        <f t="shared" si="132"/>
        <v>0</v>
      </c>
      <c r="BC343" s="113">
        <f t="shared" si="133"/>
        <v>0</v>
      </c>
      <c r="BD343" s="3"/>
      <c r="BE343" s="113">
        <f t="shared" si="134"/>
        <v>0</v>
      </c>
      <c r="BF343" s="129"/>
      <c r="BG343" s="129"/>
      <c r="BH343" s="129"/>
      <c r="BI343" s="129"/>
      <c r="BJ343" s="129"/>
      <c r="BK343" s="129"/>
      <c r="BL343" s="129"/>
      <c r="BM343" s="129"/>
      <c r="BN343" s="129"/>
      <c r="BO343" s="129"/>
      <c r="BP343" s="129"/>
      <c r="BQ343" s="129"/>
      <c r="BR343" s="129"/>
      <c r="BS343" s="129"/>
      <c r="BT343" s="130">
        <f t="shared" si="135"/>
        <v>0</v>
      </c>
      <c r="BU343" s="3"/>
    </row>
    <row r="344" ht="14.25" customHeight="1">
      <c r="A344" s="132"/>
      <c r="B344" s="215">
        <v>46329</v>
      </c>
      <c r="C344" s="136"/>
      <c r="D344" s="136"/>
      <c r="E344" s="135"/>
      <c r="F344" s="135"/>
      <c r="G344" s="147">
        <f t="shared" si="127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28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29"/>
        <v>0</v>
      </c>
      <c r="AH344" s="136"/>
      <c r="AI344" s="136"/>
      <c r="AJ344" s="136"/>
      <c r="AK344" s="105">
        <f t="shared" si="130"/>
        <v>0</v>
      </c>
      <c r="AL344" s="143"/>
      <c r="AM344" s="143"/>
      <c r="AN344" s="143"/>
      <c r="AO344" s="146"/>
      <c r="AP344" s="224">
        <f t="shared" si="131"/>
        <v>0</v>
      </c>
      <c r="AQ344" s="126"/>
      <c r="AR344" s="274"/>
      <c r="AS344" s="274"/>
      <c r="AT344" s="126"/>
      <c r="AU344" s="126"/>
      <c r="AV344" s="126"/>
      <c r="AW344" s="126"/>
      <c r="AX344" s="394"/>
      <c r="AY344" s="394"/>
      <c r="AZ344" s="394"/>
      <c r="BA344" s="394"/>
      <c r="BB344" s="222">
        <f t="shared" si="132"/>
        <v>0</v>
      </c>
      <c r="BC344" s="140">
        <f t="shared" si="133"/>
        <v>0</v>
      </c>
      <c r="BD344" s="132"/>
      <c r="BE344" s="140">
        <f t="shared" si="134"/>
        <v>0</v>
      </c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30">
        <f t="shared" si="135"/>
        <v>0</v>
      </c>
      <c r="BU344" s="132"/>
    </row>
    <row r="345" ht="14.25" customHeight="1">
      <c r="A345" s="132"/>
      <c r="B345" s="215">
        <v>46330</v>
      </c>
      <c r="C345" s="136"/>
      <c r="D345" s="136"/>
      <c r="E345" s="135"/>
      <c r="F345" s="135"/>
      <c r="G345" s="147">
        <f t="shared" si="127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28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29"/>
        <v>0</v>
      </c>
      <c r="AH345" s="136"/>
      <c r="AI345" s="136"/>
      <c r="AJ345" s="136"/>
      <c r="AK345" s="105">
        <f t="shared" si="130"/>
        <v>0</v>
      </c>
      <c r="AL345" s="143"/>
      <c r="AM345" s="143"/>
      <c r="AN345" s="143"/>
      <c r="AO345" s="146"/>
      <c r="AP345" s="224">
        <f t="shared" si="131"/>
        <v>0</v>
      </c>
      <c r="AQ345" s="126"/>
      <c r="AR345" s="274"/>
      <c r="AS345" s="274"/>
      <c r="AT345" s="126"/>
      <c r="AU345" s="126"/>
      <c r="AV345" s="126"/>
      <c r="AW345" s="126"/>
      <c r="AX345" s="394"/>
      <c r="AY345" s="394"/>
      <c r="AZ345" s="394"/>
      <c r="BA345" s="394"/>
      <c r="BB345" s="222">
        <f t="shared" si="132"/>
        <v>0</v>
      </c>
      <c r="BC345" s="140">
        <f t="shared" si="133"/>
        <v>0</v>
      </c>
      <c r="BD345" s="132"/>
      <c r="BE345" s="140">
        <f t="shared" si="134"/>
        <v>0</v>
      </c>
      <c r="BF345" s="141"/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30">
        <f t="shared" si="135"/>
        <v>0</v>
      </c>
      <c r="BU345" s="132"/>
    </row>
    <row r="346" ht="14.25" customHeight="1">
      <c r="A346" s="132"/>
      <c r="B346" s="215">
        <v>46331</v>
      </c>
      <c r="C346" s="136"/>
      <c r="D346" s="136"/>
      <c r="E346" s="135"/>
      <c r="F346" s="135"/>
      <c r="G346" s="147">
        <f t="shared" si="127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28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29"/>
        <v>0</v>
      </c>
      <c r="AH346" s="136"/>
      <c r="AI346" s="136"/>
      <c r="AJ346" s="136"/>
      <c r="AK346" s="105">
        <f t="shared" si="130"/>
        <v>0</v>
      </c>
      <c r="AL346" s="143"/>
      <c r="AM346" s="143"/>
      <c r="AN346" s="143"/>
      <c r="AO346" s="146"/>
      <c r="AP346" s="224">
        <f t="shared" si="131"/>
        <v>0</v>
      </c>
      <c r="AQ346" s="126"/>
      <c r="AR346" s="274"/>
      <c r="AS346" s="126"/>
      <c r="AT346" s="126"/>
      <c r="AU346" s="126"/>
      <c r="AV346" s="126"/>
      <c r="AW346" s="126"/>
      <c r="AX346" s="394"/>
      <c r="AY346" s="394"/>
      <c r="AZ346" s="394"/>
      <c r="BA346" s="394"/>
      <c r="BB346" s="222">
        <f t="shared" si="132"/>
        <v>0</v>
      </c>
      <c r="BC346" s="140">
        <f t="shared" si="133"/>
        <v>0</v>
      </c>
      <c r="BD346" s="132"/>
      <c r="BE346" s="140">
        <f t="shared" si="134"/>
        <v>0</v>
      </c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30">
        <f t="shared" si="135"/>
        <v>0</v>
      </c>
      <c r="BU346" s="132"/>
    </row>
    <row r="347" ht="14.25" customHeight="1">
      <c r="A347" s="132"/>
      <c r="B347" s="215">
        <v>46332</v>
      </c>
      <c r="C347" s="136"/>
      <c r="D347" s="136"/>
      <c r="E347" s="135"/>
      <c r="F347" s="135"/>
      <c r="G347" s="147">
        <f t="shared" si="127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28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29"/>
        <v>0</v>
      </c>
      <c r="AH347" s="136"/>
      <c r="AI347" s="136"/>
      <c r="AJ347" s="136"/>
      <c r="AK347" s="105">
        <f t="shared" si="130"/>
        <v>0</v>
      </c>
      <c r="AL347" s="143"/>
      <c r="AM347" s="143"/>
      <c r="AN347" s="143"/>
      <c r="AO347" s="146"/>
      <c r="AP347" s="224">
        <f t="shared" si="131"/>
        <v>0</v>
      </c>
      <c r="AQ347" s="126"/>
      <c r="AR347" s="274"/>
      <c r="AS347" s="126"/>
      <c r="AT347" s="126"/>
      <c r="AU347" s="126"/>
      <c r="AV347" s="126"/>
      <c r="AW347" s="126"/>
      <c r="AX347" s="394"/>
      <c r="AY347" s="394"/>
      <c r="AZ347" s="394"/>
      <c r="BA347" s="394"/>
      <c r="BB347" s="222">
        <f t="shared" si="132"/>
        <v>0</v>
      </c>
      <c r="BC347" s="140">
        <f t="shared" si="133"/>
        <v>0</v>
      </c>
      <c r="BD347" s="132"/>
      <c r="BE347" s="140">
        <f t="shared" si="134"/>
        <v>0</v>
      </c>
      <c r="BF347" s="141"/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30">
        <f t="shared" si="135"/>
        <v>0</v>
      </c>
      <c r="BU347" s="132"/>
    </row>
    <row r="348" ht="14.25" customHeight="1">
      <c r="A348" s="132"/>
      <c r="B348" s="215">
        <v>46333</v>
      </c>
      <c r="C348" s="136"/>
      <c r="D348" s="136"/>
      <c r="E348" s="135"/>
      <c r="F348" s="135"/>
      <c r="G348" s="147">
        <f t="shared" si="127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28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29"/>
        <v>0</v>
      </c>
      <c r="AH348" s="136"/>
      <c r="AI348" s="136"/>
      <c r="AJ348" s="136"/>
      <c r="AK348" s="105">
        <f t="shared" si="130"/>
        <v>0</v>
      </c>
      <c r="AL348" s="143"/>
      <c r="AM348" s="143"/>
      <c r="AN348" s="143"/>
      <c r="AO348" s="146"/>
      <c r="AP348" s="224">
        <f t="shared" si="131"/>
        <v>0</v>
      </c>
      <c r="AQ348" s="126"/>
      <c r="AR348" s="274"/>
      <c r="AS348" s="126"/>
      <c r="AT348" s="126"/>
      <c r="AU348" s="126"/>
      <c r="AV348" s="126"/>
      <c r="AW348" s="126"/>
      <c r="AX348" s="394"/>
      <c r="AY348" s="394"/>
      <c r="AZ348" s="394"/>
      <c r="BA348" s="394"/>
      <c r="BB348" s="222">
        <f t="shared" si="132"/>
        <v>0</v>
      </c>
      <c r="BC348" s="140">
        <f t="shared" si="133"/>
        <v>0</v>
      </c>
      <c r="BD348" s="132"/>
      <c r="BE348" s="140">
        <f t="shared" si="134"/>
        <v>0</v>
      </c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30">
        <f t="shared" si="135"/>
        <v>0</v>
      </c>
      <c r="BU348" s="132"/>
    </row>
    <row r="349" ht="14.25" customHeight="1">
      <c r="A349" s="132"/>
      <c r="B349" s="215">
        <v>46334</v>
      </c>
      <c r="C349" s="136"/>
      <c r="D349" s="136"/>
      <c r="E349" s="135"/>
      <c r="F349" s="135"/>
      <c r="G349" s="147">
        <f t="shared" si="127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28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29"/>
        <v>0</v>
      </c>
      <c r="AH349" s="136"/>
      <c r="AI349" s="136"/>
      <c r="AJ349" s="136"/>
      <c r="AK349" s="105">
        <f t="shared" si="130"/>
        <v>0</v>
      </c>
      <c r="AL349" s="143"/>
      <c r="AM349" s="143"/>
      <c r="AN349" s="143"/>
      <c r="AO349" s="146"/>
      <c r="AP349" s="224">
        <f t="shared" si="131"/>
        <v>0</v>
      </c>
      <c r="AQ349" s="126"/>
      <c r="AR349" s="274"/>
      <c r="AS349" s="126"/>
      <c r="AT349" s="126"/>
      <c r="AU349" s="126"/>
      <c r="AV349" s="126"/>
      <c r="AW349" s="126"/>
      <c r="AX349" s="394"/>
      <c r="AY349" s="394"/>
      <c r="AZ349" s="394"/>
      <c r="BA349" s="394"/>
      <c r="BB349" s="222">
        <f t="shared" si="132"/>
        <v>0</v>
      </c>
      <c r="BC349" s="140">
        <f t="shared" si="133"/>
        <v>0</v>
      </c>
      <c r="BD349" s="132"/>
      <c r="BE349" s="140">
        <f t="shared" si="134"/>
        <v>0</v>
      </c>
      <c r="BF349" s="141"/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30">
        <f t="shared" si="135"/>
        <v>0</v>
      </c>
      <c r="BU349" s="132"/>
    </row>
    <row r="350" ht="14.25" customHeight="1">
      <c r="A350" s="132"/>
      <c r="B350" s="215">
        <v>46335</v>
      </c>
      <c r="C350" s="136"/>
      <c r="D350" s="136"/>
      <c r="E350" s="135"/>
      <c r="F350" s="135"/>
      <c r="G350" s="147">
        <f t="shared" si="127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28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29"/>
        <v>0</v>
      </c>
      <c r="AH350" s="136"/>
      <c r="AI350" s="136"/>
      <c r="AJ350" s="136"/>
      <c r="AK350" s="105">
        <f t="shared" si="130"/>
        <v>0</v>
      </c>
      <c r="AL350" s="143"/>
      <c r="AM350" s="143"/>
      <c r="AN350" s="143"/>
      <c r="AO350" s="146"/>
      <c r="AP350" s="224">
        <f t="shared" si="131"/>
        <v>0</v>
      </c>
      <c r="AQ350" s="126"/>
      <c r="AR350" s="274"/>
      <c r="AS350" s="126"/>
      <c r="AT350" s="126"/>
      <c r="AU350" s="126"/>
      <c r="AV350" s="126"/>
      <c r="AW350" s="126"/>
      <c r="AX350" s="394"/>
      <c r="AY350" s="394"/>
      <c r="AZ350" s="394"/>
      <c r="BA350" s="394"/>
      <c r="BB350" s="222">
        <f t="shared" si="132"/>
        <v>0</v>
      </c>
      <c r="BC350" s="140">
        <f t="shared" si="133"/>
        <v>0</v>
      </c>
      <c r="BD350" s="132"/>
      <c r="BE350" s="140">
        <f t="shared" si="134"/>
        <v>0</v>
      </c>
      <c r="BF350" s="141"/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30">
        <f t="shared" si="135"/>
        <v>0</v>
      </c>
      <c r="BU350" s="132"/>
    </row>
    <row r="351" ht="14.25" customHeight="1">
      <c r="A351" s="132"/>
      <c r="B351" s="215">
        <v>46336</v>
      </c>
      <c r="C351" s="136"/>
      <c r="D351" s="136"/>
      <c r="E351" s="135"/>
      <c r="F351" s="135"/>
      <c r="G351" s="147">
        <f t="shared" si="127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28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29"/>
        <v>0</v>
      </c>
      <c r="AH351" s="136"/>
      <c r="AI351" s="136"/>
      <c r="AJ351" s="136"/>
      <c r="AK351" s="105">
        <f t="shared" si="130"/>
        <v>0</v>
      </c>
      <c r="AL351" s="143"/>
      <c r="AM351" s="143"/>
      <c r="AN351" s="143"/>
      <c r="AO351" s="146"/>
      <c r="AP351" s="224">
        <f t="shared" si="131"/>
        <v>0</v>
      </c>
      <c r="AQ351" s="126"/>
      <c r="AR351" s="274"/>
      <c r="AS351" s="126"/>
      <c r="AT351" s="126"/>
      <c r="AU351" s="126"/>
      <c r="AV351" s="126"/>
      <c r="AW351" s="126"/>
      <c r="AX351" s="394"/>
      <c r="AY351" s="394"/>
      <c r="AZ351" s="394"/>
      <c r="BA351" s="394"/>
      <c r="BB351" s="222">
        <f t="shared" si="132"/>
        <v>0</v>
      </c>
      <c r="BC351" s="140">
        <f t="shared" si="133"/>
        <v>0</v>
      </c>
      <c r="BD351" s="132"/>
      <c r="BE351" s="140">
        <f t="shared" si="134"/>
        <v>0</v>
      </c>
      <c r="BF351" s="141"/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30">
        <f t="shared" si="135"/>
        <v>0</v>
      </c>
      <c r="BU351" s="132"/>
    </row>
    <row r="352" ht="14.25" customHeight="1">
      <c r="A352" s="132"/>
      <c r="B352" s="215">
        <v>46337</v>
      </c>
      <c r="C352" s="136"/>
      <c r="D352" s="136"/>
      <c r="E352" s="135"/>
      <c r="F352" s="135"/>
      <c r="G352" s="147">
        <f t="shared" si="127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28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29"/>
        <v>0</v>
      </c>
      <c r="AH352" s="136"/>
      <c r="AI352" s="136"/>
      <c r="AJ352" s="136"/>
      <c r="AK352" s="105">
        <f t="shared" si="130"/>
        <v>0</v>
      </c>
      <c r="AL352" s="143"/>
      <c r="AM352" s="143"/>
      <c r="AN352" s="143"/>
      <c r="AO352" s="146"/>
      <c r="AP352" s="224">
        <f t="shared" si="131"/>
        <v>0</v>
      </c>
      <c r="AQ352" s="126"/>
      <c r="AR352" s="274"/>
      <c r="AS352" s="126"/>
      <c r="AT352" s="126"/>
      <c r="AU352" s="126"/>
      <c r="AV352" s="126"/>
      <c r="AW352" s="126"/>
      <c r="AX352" s="394"/>
      <c r="AY352" s="394"/>
      <c r="AZ352" s="394"/>
      <c r="BA352" s="394"/>
      <c r="BB352" s="222">
        <f t="shared" si="132"/>
        <v>0</v>
      </c>
      <c r="BC352" s="140">
        <f t="shared" si="133"/>
        <v>0</v>
      </c>
      <c r="BD352" s="132"/>
      <c r="BE352" s="140">
        <f t="shared" si="134"/>
        <v>0</v>
      </c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30">
        <f t="shared" si="135"/>
        <v>0</v>
      </c>
      <c r="BU352" s="132"/>
    </row>
    <row r="353" ht="14.25" customHeight="1">
      <c r="A353" s="132"/>
      <c r="B353" s="215">
        <v>46338</v>
      </c>
      <c r="C353" s="136"/>
      <c r="D353" s="136"/>
      <c r="E353" s="135"/>
      <c r="F353" s="135"/>
      <c r="G353" s="147">
        <f t="shared" si="127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28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29"/>
        <v>0</v>
      </c>
      <c r="AH353" s="136"/>
      <c r="AI353" s="136"/>
      <c r="AJ353" s="136"/>
      <c r="AK353" s="105">
        <f t="shared" si="130"/>
        <v>0</v>
      </c>
      <c r="AL353" s="143"/>
      <c r="AM353" s="143"/>
      <c r="AN353" s="143"/>
      <c r="AO353" s="146"/>
      <c r="AP353" s="224">
        <f t="shared" si="131"/>
        <v>0</v>
      </c>
      <c r="AQ353" s="126"/>
      <c r="AR353" s="274"/>
      <c r="AS353" s="126"/>
      <c r="AT353" s="126"/>
      <c r="AU353" s="126"/>
      <c r="AV353" s="126"/>
      <c r="AW353" s="126"/>
      <c r="AX353" s="394"/>
      <c r="AY353" s="394"/>
      <c r="AZ353" s="394"/>
      <c r="BA353" s="394"/>
      <c r="BB353" s="222">
        <f t="shared" si="132"/>
        <v>0</v>
      </c>
      <c r="BC353" s="140">
        <f t="shared" si="133"/>
        <v>0</v>
      </c>
      <c r="BD353" s="132"/>
      <c r="BE353" s="140">
        <f t="shared" si="134"/>
        <v>0</v>
      </c>
      <c r="BF353" s="141"/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30">
        <f t="shared" si="135"/>
        <v>0</v>
      </c>
      <c r="BU353" s="132"/>
    </row>
    <row r="354" ht="14.25" customHeight="1">
      <c r="A354" s="132"/>
      <c r="B354" s="215">
        <v>46339</v>
      </c>
      <c r="C354" s="136"/>
      <c r="D354" s="136"/>
      <c r="E354" s="135"/>
      <c r="F354" s="135"/>
      <c r="G354" s="147">
        <f t="shared" si="127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28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29"/>
        <v>0</v>
      </c>
      <c r="AH354" s="136"/>
      <c r="AI354" s="136"/>
      <c r="AJ354" s="136"/>
      <c r="AK354" s="105">
        <f t="shared" si="130"/>
        <v>0</v>
      </c>
      <c r="AL354" s="143"/>
      <c r="AM354" s="143"/>
      <c r="AN354" s="143"/>
      <c r="AO354" s="146"/>
      <c r="AP354" s="224">
        <f t="shared" si="131"/>
        <v>0</v>
      </c>
      <c r="AQ354" s="126"/>
      <c r="AR354" s="274"/>
      <c r="AS354" s="126"/>
      <c r="AT354" s="126"/>
      <c r="AU354" s="126"/>
      <c r="AV354" s="126"/>
      <c r="AW354" s="126"/>
      <c r="AX354" s="394"/>
      <c r="AY354" s="394"/>
      <c r="AZ354" s="394"/>
      <c r="BA354" s="394"/>
      <c r="BB354" s="222">
        <f t="shared" si="132"/>
        <v>0</v>
      </c>
      <c r="BC354" s="140">
        <f t="shared" si="133"/>
        <v>0</v>
      </c>
      <c r="BD354" s="132"/>
      <c r="BE354" s="140">
        <f t="shared" si="134"/>
        <v>0</v>
      </c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30">
        <f t="shared" si="135"/>
        <v>0</v>
      </c>
      <c r="BU354" s="132"/>
    </row>
    <row r="355" ht="14.25" customHeight="1">
      <c r="A355" s="132"/>
      <c r="B355" s="215">
        <v>46340</v>
      </c>
      <c r="C355" s="136"/>
      <c r="D355" s="136"/>
      <c r="E355" s="135"/>
      <c r="F355" s="135"/>
      <c r="G355" s="147">
        <f t="shared" si="127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28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29"/>
        <v>0</v>
      </c>
      <c r="AH355" s="136"/>
      <c r="AI355" s="136"/>
      <c r="AJ355" s="136"/>
      <c r="AK355" s="105">
        <f t="shared" si="130"/>
        <v>0</v>
      </c>
      <c r="AL355" s="143"/>
      <c r="AM355" s="143"/>
      <c r="AN355" s="143"/>
      <c r="AO355" s="146"/>
      <c r="AP355" s="224">
        <f t="shared" si="131"/>
        <v>0</v>
      </c>
      <c r="AQ355" s="126"/>
      <c r="AR355" s="274"/>
      <c r="AS355" s="126"/>
      <c r="AT355" s="126"/>
      <c r="AU355" s="126"/>
      <c r="AV355" s="126"/>
      <c r="AW355" s="126"/>
      <c r="AX355" s="394"/>
      <c r="AY355" s="394"/>
      <c r="AZ355" s="394"/>
      <c r="BA355" s="394"/>
      <c r="BB355" s="222">
        <f t="shared" si="132"/>
        <v>0</v>
      </c>
      <c r="BC355" s="140">
        <f t="shared" si="133"/>
        <v>0</v>
      </c>
      <c r="BD355" s="132"/>
      <c r="BE355" s="140">
        <f t="shared" si="134"/>
        <v>0</v>
      </c>
      <c r="BF355" s="141"/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30">
        <f t="shared" si="135"/>
        <v>0</v>
      </c>
      <c r="BU355" s="132"/>
    </row>
    <row r="356" ht="14.25" customHeight="1">
      <c r="A356" s="132"/>
      <c r="B356" s="215">
        <v>46341</v>
      </c>
      <c r="C356" s="136"/>
      <c r="D356" s="136"/>
      <c r="E356" s="135"/>
      <c r="F356" s="135"/>
      <c r="G356" s="147">
        <f t="shared" si="127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28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29"/>
        <v>0</v>
      </c>
      <c r="AH356" s="136"/>
      <c r="AI356" s="136"/>
      <c r="AJ356" s="136"/>
      <c r="AK356" s="105">
        <f t="shared" si="130"/>
        <v>0</v>
      </c>
      <c r="AL356" s="143"/>
      <c r="AM356" s="143"/>
      <c r="AN356" s="143"/>
      <c r="AO356" s="146"/>
      <c r="AP356" s="224">
        <f t="shared" si="131"/>
        <v>0</v>
      </c>
      <c r="AQ356" s="126"/>
      <c r="AR356" s="274"/>
      <c r="AS356" s="126"/>
      <c r="AT356" s="126"/>
      <c r="AU356" s="126"/>
      <c r="AV356" s="126"/>
      <c r="AW356" s="126"/>
      <c r="AX356" s="394"/>
      <c r="AY356" s="394"/>
      <c r="AZ356" s="394"/>
      <c r="BA356" s="394"/>
      <c r="BB356" s="222">
        <f t="shared" si="132"/>
        <v>0</v>
      </c>
      <c r="BC356" s="140">
        <f t="shared" si="133"/>
        <v>0</v>
      </c>
      <c r="BD356" s="132"/>
      <c r="BE356" s="140">
        <f t="shared" si="134"/>
        <v>0</v>
      </c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30">
        <f t="shared" si="135"/>
        <v>0</v>
      </c>
      <c r="BU356" s="132"/>
    </row>
    <row r="357" ht="14.25" customHeight="1">
      <c r="A357" s="132"/>
      <c r="B357" s="215">
        <v>46342</v>
      </c>
      <c r="C357" s="136"/>
      <c r="D357" s="136"/>
      <c r="E357" s="135"/>
      <c r="F357" s="135"/>
      <c r="G357" s="147">
        <f t="shared" si="127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28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29"/>
        <v>0</v>
      </c>
      <c r="AH357" s="136"/>
      <c r="AI357" s="136"/>
      <c r="AJ357" s="136"/>
      <c r="AK357" s="105">
        <f t="shared" si="130"/>
        <v>0</v>
      </c>
      <c r="AL357" s="143"/>
      <c r="AM357" s="143"/>
      <c r="AN357" s="143"/>
      <c r="AO357" s="146"/>
      <c r="AP357" s="224">
        <f t="shared" si="131"/>
        <v>0</v>
      </c>
      <c r="AQ357" s="126"/>
      <c r="AR357" s="274"/>
      <c r="AS357" s="126"/>
      <c r="AT357" s="126"/>
      <c r="AU357" s="126"/>
      <c r="AV357" s="126"/>
      <c r="AW357" s="126"/>
      <c r="AX357" s="394"/>
      <c r="AY357" s="394"/>
      <c r="AZ357" s="394"/>
      <c r="BA357" s="394"/>
      <c r="BB357" s="222">
        <f t="shared" si="132"/>
        <v>0</v>
      </c>
      <c r="BC357" s="140">
        <f t="shared" si="133"/>
        <v>0</v>
      </c>
      <c r="BD357" s="132"/>
      <c r="BE357" s="140">
        <f t="shared" si="134"/>
        <v>0</v>
      </c>
      <c r="BF357" s="141"/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30">
        <f t="shared" si="135"/>
        <v>0</v>
      </c>
      <c r="BU357" s="132"/>
    </row>
    <row r="358" ht="14.25" customHeight="1">
      <c r="A358" s="132"/>
      <c r="B358" s="215">
        <v>46343</v>
      </c>
      <c r="C358" s="136"/>
      <c r="D358" s="136"/>
      <c r="E358" s="135"/>
      <c r="F358" s="135"/>
      <c r="G358" s="147">
        <f t="shared" si="127"/>
        <v>0</v>
      </c>
      <c r="H358" s="144"/>
      <c r="I358" s="143"/>
      <c r="J358" s="143"/>
      <c r="K358" s="231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28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29"/>
        <v>0</v>
      </c>
      <c r="AH358" s="136"/>
      <c r="AI358" s="136"/>
      <c r="AJ358" s="136"/>
      <c r="AK358" s="105">
        <f t="shared" si="130"/>
        <v>0</v>
      </c>
      <c r="AL358" s="143"/>
      <c r="AM358" s="143"/>
      <c r="AN358" s="143"/>
      <c r="AO358" s="146"/>
      <c r="AP358" s="224">
        <f t="shared" si="131"/>
        <v>0</v>
      </c>
      <c r="AQ358" s="126"/>
      <c r="AR358" s="274"/>
      <c r="AS358" s="126"/>
      <c r="AT358" s="126"/>
      <c r="AU358" s="126"/>
      <c r="AV358" s="126"/>
      <c r="AW358" s="126"/>
      <c r="AX358" s="394"/>
      <c r="AY358" s="394"/>
      <c r="AZ358" s="394"/>
      <c r="BA358" s="394"/>
      <c r="BB358" s="222">
        <f t="shared" si="132"/>
        <v>0</v>
      </c>
      <c r="BC358" s="140">
        <f t="shared" si="133"/>
        <v>0</v>
      </c>
      <c r="BD358" s="132"/>
      <c r="BE358" s="140">
        <f t="shared" si="134"/>
        <v>0</v>
      </c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30">
        <f t="shared" si="135"/>
        <v>0</v>
      </c>
      <c r="BU358" s="132"/>
    </row>
    <row r="359" ht="14.25" customHeight="1">
      <c r="A359" s="132"/>
      <c r="B359" s="215">
        <v>46344</v>
      </c>
      <c r="C359" s="136"/>
      <c r="D359" s="136"/>
      <c r="E359" s="135"/>
      <c r="F359" s="135"/>
      <c r="G359" s="147">
        <f t="shared" si="127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28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29"/>
        <v>0</v>
      </c>
      <c r="AH359" s="136"/>
      <c r="AI359" s="136"/>
      <c r="AJ359" s="136"/>
      <c r="AK359" s="105">
        <f t="shared" si="130"/>
        <v>0</v>
      </c>
      <c r="AL359" s="143"/>
      <c r="AM359" s="143"/>
      <c r="AN359" s="143"/>
      <c r="AO359" s="146"/>
      <c r="AP359" s="224">
        <f t="shared" si="131"/>
        <v>0</v>
      </c>
      <c r="AQ359" s="126"/>
      <c r="AR359" s="274"/>
      <c r="AS359" s="126"/>
      <c r="AT359" s="126"/>
      <c r="AU359" s="126"/>
      <c r="AV359" s="126"/>
      <c r="AW359" s="126"/>
      <c r="AX359" s="394"/>
      <c r="AY359" s="394"/>
      <c r="AZ359" s="394"/>
      <c r="BA359" s="394"/>
      <c r="BB359" s="222">
        <f t="shared" si="132"/>
        <v>0</v>
      </c>
      <c r="BC359" s="140">
        <f t="shared" si="133"/>
        <v>0</v>
      </c>
      <c r="BD359" s="132"/>
      <c r="BE359" s="140">
        <f t="shared" si="134"/>
        <v>0</v>
      </c>
      <c r="BF359" s="141"/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30">
        <f t="shared" si="135"/>
        <v>0</v>
      </c>
      <c r="BU359" s="132"/>
    </row>
    <row r="360" ht="14.25" customHeight="1">
      <c r="A360" s="132"/>
      <c r="B360" s="215">
        <v>46345</v>
      </c>
      <c r="C360" s="136"/>
      <c r="D360" s="136"/>
      <c r="E360" s="135"/>
      <c r="F360" s="135"/>
      <c r="G360" s="147">
        <f t="shared" si="127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28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29"/>
        <v>0</v>
      </c>
      <c r="AH360" s="136"/>
      <c r="AI360" s="136"/>
      <c r="AJ360" s="136"/>
      <c r="AK360" s="105">
        <f t="shared" si="130"/>
        <v>0</v>
      </c>
      <c r="AL360" s="143"/>
      <c r="AM360" s="143"/>
      <c r="AN360" s="143"/>
      <c r="AO360" s="146"/>
      <c r="AP360" s="224">
        <f t="shared" si="131"/>
        <v>0</v>
      </c>
      <c r="AQ360" s="126"/>
      <c r="AR360" s="274"/>
      <c r="AS360" s="126"/>
      <c r="AT360" s="126"/>
      <c r="AU360" s="126"/>
      <c r="AV360" s="126"/>
      <c r="AW360" s="126"/>
      <c r="AX360" s="394"/>
      <c r="AY360" s="394"/>
      <c r="AZ360" s="394"/>
      <c r="BA360" s="394"/>
      <c r="BB360" s="222">
        <f t="shared" si="132"/>
        <v>0</v>
      </c>
      <c r="BC360" s="140">
        <f t="shared" si="133"/>
        <v>0</v>
      </c>
      <c r="BD360" s="132"/>
      <c r="BE360" s="140">
        <f t="shared" si="134"/>
        <v>0</v>
      </c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30">
        <f t="shared" si="135"/>
        <v>0</v>
      </c>
      <c r="BU360" s="132"/>
    </row>
    <row r="361" ht="14.25" customHeight="1">
      <c r="A361" s="132"/>
      <c r="B361" s="215">
        <v>46346</v>
      </c>
      <c r="C361" s="136"/>
      <c r="D361" s="136"/>
      <c r="E361" s="135"/>
      <c r="F361" s="135"/>
      <c r="G361" s="147">
        <f t="shared" si="127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28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29"/>
        <v>0</v>
      </c>
      <c r="AH361" s="136"/>
      <c r="AI361" s="136"/>
      <c r="AJ361" s="136"/>
      <c r="AK361" s="105">
        <f t="shared" si="130"/>
        <v>0</v>
      </c>
      <c r="AL361" s="143"/>
      <c r="AM361" s="143"/>
      <c r="AN361" s="143"/>
      <c r="AO361" s="146"/>
      <c r="AP361" s="224">
        <f t="shared" si="131"/>
        <v>0</v>
      </c>
      <c r="AQ361" s="126"/>
      <c r="AR361" s="274"/>
      <c r="AS361" s="126"/>
      <c r="AT361" s="126"/>
      <c r="AU361" s="126"/>
      <c r="AV361" s="126"/>
      <c r="AW361" s="126"/>
      <c r="AX361" s="394"/>
      <c r="AY361" s="394"/>
      <c r="AZ361" s="394"/>
      <c r="BA361" s="394"/>
      <c r="BB361" s="222">
        <f t="shared" si="132"/>
        <v>0</v>
      </c>
      <c r="BC361" s="140">
        <f t="shared" si="133"/>
        <v>0</v>
      </c>
      <c r="BD361" s="132"/>
      <c r="BE361" s="140">
        <f t="shared" si="134"/>
        <v>0</v>
      </c>
      <c r="BF361" s="141"/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30">
        <f t="shared" si="135"/>
        <v>0</v>
      </c>
      <c r="BU361" s="132"/>
    </row>
    <row r="362" ht="14.25" customHeight="1">
      <c r="A362" s="132"/>
      <c r="B362" s="215">
        <v>46347</v>
      </c>
      <c r="C362" s="136"/>
      <c r="D362" s="136"/>
      <c r="E362" s="135"/>
      <c r="F362" s="135"/>
      <c r="G362" s="147">
        <f t="shared" si="127"/>
        <v>0</v>
      </c>
      <c r="H362" s="144"/>
      <c r="I362" s="143"/>
      <c r="J362" s="143"/>
      <c r="K362" s="136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28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29"/>
        <v>0</v>
      </c>
      <c r="AH362" s="136"/>
      <c r="AI362" s="136"/>
      <c r="AJ362" s="136"/>
      <c r="AK362" s="105">
        <f t="shared" si="130"/>
        <v>0</v>
      </c>
      <c r="AL362" s="143"/>
      <c r="AM362" s="143"/>
      <c r="AN362" s="143"/>
      <c r="AO362" s="146"/>
      <c r="AP362" s="224">
        <f t="shared" si="131"/>
        <v>0</v>
      </c>
      <c r="AQ362" s="126"/>
      <c r="AR362" s="274"/>
      <c r="AS362" s="126"/>
      <c r="AT362" s="126"/>
      <c r="AU362" s="126"/>
      <c r="AV362" s="126"/>
      <c r="AW362" s="126"/>
      <c r="AX362" s="394"/>
      <c r="AY362" s="394"/>
      <c r="AZ362" s="394"/>
      <c r="BA362" s="394"/>
      <c r="BB362" s="222">
        <f t="shared" si="132"/>
        <v>0</v>
      </c>
      <c r="BC362" s="140">
        <f t="shared" si="133"/>
        <v>0</v>
      </c>
      <c r="BD362" s="132"/>
      <c r="BE362" s="140">
        <f t="shared" si="134"/>
        <v>0</v>
      </c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30">
        <f t="shared" si="135"/>
        <v>0</v>
      </c>
      <c r="BU362" s="132"/>
    </row>
    <row r="363" ht="14.25" customHeight="1">
      <c r="A363" s="132"/>
      <c r="B363" s="215">
        <v>46348</v>
      </c>
      <c r="C363" s="136"/>
      <c r="D363" s="136"/>
      <c r="E363" s="135"/>
      <c r="F363" s="135"/>
      <c r="G363" s="147">
        <f t="shared" si="127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28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29"/>
        <v>0</v>
      </c>
      <c r="AH363" s="136"/>
      <c r="AI363" s="136"/>
      <c r="AJ363" s="136"/>
      <c r="AK363" s="105">
        <f t="shared" si="130"/>
        <v>0</v>
      </c>
      <c r="AL363" s="143"/>
      <c r="AM363" s="143"/>
      <c r="AN363" s="143"/>
      <c r="AO363" s="146"/>
      <c r="AP363" s="224">
        <f t="shared" si="131"/>
        <v>0</v>
      </c>
      <c r="AQ363" s="126"/>
      <c r="AR363" s="274"/>
      <c r="AS363" s="126"/>
      <c r="AT363" s="126"/>
      <c r="AU363" s="126"/>
      <c r="AV363" s="126"/>
      <c r="AW363" s="126"/>
      <c r="AX363" s="394"/>
      <c r="AY363" s="394"/>
      <c r="AZ363" s="394"/>
      <c r="BA363" s="394"/>
      <c r="BB363" s="222">
        <f t="shared" si="132"/>
        <v>0</v>
      </c>
      <c r="BC363" s="140">
        <f t="shared" si="133"/>
        <v>0</v>
      </c>
      <c r="BD363" s="132"/>
      <c r="BE363" s="140">
        <f t="shared" si="134"/>
        <v>0</v>
      </c>
      <c r="BF363" s="141"/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30">
        <f t="shared" si="135"/>
        <v>0</v>
      </c>
      <c r="BU363" s="132"/>
    </row>
    <row r="364" ht="14.25" customHeight="1">
      <c r="A364" s="132"/>
      <c r="B364" s="215">
        <v>46349</v>
      </c>
      <c r="C364" s="136"/>
      <c r="D364" s="136"/>
      <c r="E364" s="135"/>
      <c r="F364" s="135"/>
      <c r="G364" s="147">
        <f t="shared" si="127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28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29"/>
        <v>0</v>
      </c>
      <c r="AH364" s="136"/>
      <c r="AI364" s="136"/>
      <c r="AJ364" s="136"/>
      <c r="AK364" s="105">
        <f t="shared" si="130"/>
        <v>0</v>
      </c>
      <c r="AL364" s="143"/>
      <c r="AM364" s="143"/>
      <c r="AN364" s="143"/>
      <c r="AO364" s="146"/>
      <c r="AP364" s="224">
        <f t="shared" si="131"/>
        <v>0</v>
      </c>
      <c r="AQ364" s="126"/>
      <c r="AR364" s="274"/>
      <c r="AS364" s="126"/>
      <c r="AT364" s="126"/>
      <c r="AU364" s="126"/>
      <c r="AV364" s="126"/>
      <c r="AW364" s="126"/>
      <c r="AX364" s="394"/>
      <c r="AY364" s="394"/>
      <c r="AZ364" s="394"/>
      <c r="BA364" s="394"/>
      <c r="BB364" s="222">
        <f t="shared" si="132"/>
        <v>0</v>
      </c>
      <c r="BC364" s="140">
        <f t="shared" si="133"/>
        <v>0</v>
      </c>
      <c r="BD364" s="132"/>
      <c r="BE364" s="140">
        <f t="shared" si="134"/>
        <v>0</v>
      </c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30">
        <f t="shared" si="135"/>
        <v>0</v>
      </c>
      <c r="BU364" s="132"/>
    </row>
    <row r="365" ht="14.25" customHeight="1">
      <c r="A365" s="132"/>
      <c r="B365" s="215">
        <v>46350</v>
      </c>
      <c r="C365" s="136"/>
      <c r="D365" s="136"/>
      <c r="E365" s="135"/>
      <c r="F365" s="135"/>
      <c r="G365" s="147">
        <f t="shared" si="127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28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29"/>
        <v>0</v>
      </c>
      <c r="AH365" s="136"/>
      <c r="AI365" s="136"/>
      <c r="AJ365" s="136"/>
      <c r="AK365" s="105">
        <f t="shared" si="130"/>
        <v>0</v>
      </c>
      <c r="AL365" s="143"/>
      <c r="AM365" s="143"/>
      <c r="AN365" s="143"/>
      <c r="AO365" s="146"/>
      <c r="AP365" s="224">
        <f t="shared" si="131"/>
        <v>0</v>
      </c>
      <c r="AQ365" s="126"/>
      <c r="AR365" s="274"/>
      <c r="AS365" s="126"/>
      <c r="AT365" s="126"/>
      <c r="AU365" s="126"/>
      <c r="AV365" s="126"/>
      <c r="AW365" s="126"/>
      <c r="AX365" s="394"/>
      <c r="AY365" s="394"/>
      <c r="AZ365" s="394"/>
      <c r="BA365" s="394"/>
      <c r="BB365" s="222">
        <f t="shared" si="132"/>
        <v>0</v>
      </c>
      <c r="BC365" s="140">
        <f t="shared" si="133"/>
        <v>0</v>
      </c>
      <c r="BD365" s="132"/>
      <c r="BE365" s="140">
        <f t="shared" si="134"/>
        <v>0</v>
      </c>
      <c r="BF365" s="141"/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30">
        <f t="shared" si="135"/>
        <v>0</v>
      </c>
      <c r="BU365" s="132"/>
    </row>
    <row r="366" ht="14.25" customHeight="1">
      <c r="A366" s="132"/>
      <c r="B366" s="215">
        <v>46351</v>
      </c>
      <c r="C366" s="136"/>
      <c r="D366" s="136"/>
      <c r="E366" s="135"/>
      <c r="F366" s="135"/>
      <c r="G366" s="147">
        <f t="shared" si="127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28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29"/>
        <v>0</v>
      </c>
      <c r="AH366" s="136"/>
      <c r="AI366" s="136"/>
      <c r="AJ366" s="136"/>
      <c r="AK366" s="105">
        <f t="shared" si="130"/>
        <v>0</v>
      </c>
      <c r="AL366" s="143"/>
      <c r="AM366" s="143"/>
      <c r="AN366" s="143"/>
      <c r="AO366" s="146"/>
      <c r="AP366" s="224">
        <f t="shared" si="131"/>
        <v>0</v>
      </c>
      <c r="AQ366" s="126"/>
      <c r="AR366" s="274"/>
      <c r="AS366" s="126"/>
      <c r="AT366" s="126"/>
      <c r="AU366" s="126"/>
      <c r="AV366" s="126"/>
      <c r="AW366" s="126"/>
      <c r="AX366" s="394"/>
      <c r="AY366" s="394"/>
      <c r="AZ366" s="394"/>
      <c r="BA366" s="394"/>
      <c r="BB366" s="222">
        <f t="shared" si="132"/>
        <v>0</v>
      </c>
      <c r="BC366" s="140">
        <f t="shared" si="133"/>
        <v>0</v>
      </c>
      <c r="BD366" s="132"/>
      <c r="BE366" s="140">
        <f t="shared" si="134"/>
        <v>0</v>
      </c>
      <c r="BF366" s="141"/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30">
        <f t="shared" si="135"/>
        <v>0</v>
      </c>
      <c r="BU366" s="132"/>
    </row>
    <row r="367" ht="14.25" customHeight="1">
      <c r="A367" s="132"/>
      <c r="B367" s="215">
        <v>46352</v>
      </c>
      <c r="C367" s="136"/>
      <c r="D367" s="136"/>
      <c r="E367" s="135"/>
      <c r="F367" s="135"/>
      <c r="G367" s="147">
        <f t="shared" si="127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28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29"/>
        <v>0</v>
      </c>
      <c r="AH367" s="136"/>
      <c r="AI367" s="136"/>
      <c r="AJ367" s="136"/>
      <c r="AK367" s="105">
        <f t="shared" si="130"/>
        <v>0</v>
      </c>
      <c r="AL367" s="143"/>
      <c r="AM367" s="143"/>
      <c r="AN367" s="143"/>
      <c r="AO367" s="146"/>
      <c r="AP367" s="224">
        <f t="shared" si="131"/>
        <v>0</v>
      </c>
      <c r="AQ367" s="126"/>
      <c r="AR367" s="274"/>
      <c r="AS367" s="126"/>
      <c r="AT367" s="126"/>
      <c r="AU367" s="126"/>
      <c r="AV367" s="126"/>
      <c r="AW367" s="126"/>
      <c r="AX367" s="394"/>
      <c r="AY367" s="394"/>
      <c r="AZ367" s="394"/>
      <c r="BA367" s="394"/>
      <c r="BB367" s="222">
        <f t="shared" si="132"/>
        <v>0</v>
      </c>
      <c r="BC367" s="140">
        <f t="shared" si="133"/>
        <v>0</v>
      </c>
      <c r="BD367" s="132"/>
      <c r="BE367" s="140">
        <f t="shared" si="134"/>
        <v>0</v>
      </c>
      <c r="BF367" s="141"/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30">
        <f t="shared" si="135"/>
        <v>0</v>
      </c>
      <c r="BU367" s="132"/>
    </row>
    <row r="368" ht="14.25" customHeight="1">
      <c r="A368" s="132"/>
      <c r="B368" s="215">
        <v>46353</v>
      </c>
      <c r="C368" s="136"/>
      <c r="D368" s="136"/>
      <c r="E368" s="135"/>
      <c r="F368" s="135"/>
      <c r="G368" s="147">
        <f t="shared" si="127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28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29"/>
        <v>0</v>
      </c>
      <c r="AH368" s="136"/>
      <c r="AI368" s="136"/>
      <c r="AJ368" s="136"/>
      <c r="AK368" s="105">
        <f t="shared" si="130"/>
        <v>0</v>
      </c>
      <c r="AL368" s="143"/>
      <c r="AM368" s="143"/>
      <c r="AN368" s="143"/>
      <c r="AO368" s="146"/>
      <c r="AP368" s="224">
        <f t="shared" si="131"/>
        <v>0</v>
      </c>
      <c r="AQ368" s="126"/>
      <c r="AR368" s="274"/>
      <c r="AS368" s="126"/>
      <c r="AT368" s="126"/>
      <c r="AU368" s="126"/>
      <c r="AV368" s="126"/>
      <c r="AW368" s="126"/>
      <c r="AX368" s="394"/>
      <c r="AY368" s="394"/>
      <c r="AZ368" s="394"/>
      <c r="BA368" s="394"/>
      <c r="BB368" s="222">
        <f t="shared" si="132"/>
        <v>0</v>
      </c>
      <c r="BC368" s="140">
        <f t="shared" si="133"/>
        <v>0</v>
      </c>
      <c r="BD368" s="132"/>
      <c r="BE368" s="140">
        <f t="shared" si="134"/>
        <v>0</v>
      </c>
      <c r="BF368" s="141"/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30">
        <f t="shared" si="135"/>
        <v>0</v>
      </c>
      <c r="BU368" s="132"/>
    </row>
    <row r="369" ht="14.25" customHeight="1">
      <c r="A369" s="132"/>
      <c r="B369" s="215">
        <v>46354</v>
      </c>
      <c r="C369" s="136"/>
      <c r="D369" s="136"/>
      <c r="E369" s="135"/>
      <c r="F369" s="135"/>
      <c r="G369" s="147">
        <f t="shared" si="127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28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29"/>
        <v>0</v>
      </c>
      <c r="AH369" s="136"/>
      <c r="AI369" s="136"/>
      <c r="AJ369" s="136"/>
      <c r="AK369" s="105">
        <f t="shared" si="130"/>
        <v>0</v>
      </c>
      <c r="AL369" s="143"/>
      <c r="AM369" s="143"/>
      <c r="AN369" s="143"/>
      <c r="AO369" s="146"/>
      <c r="AP369" s="224">
        <f t="shared" si="131"/>
        <v>0</v>
      </c>
      <c r="AQ369" s="126"/>
      <c r="AR369" s="274"/>
      <c r="AS369" s="126"/>
      <c r="AT369" s="126"/>
      <c r="AU369" s="126"/>
      <c r="AV369" s="126"/>
      <c r="AW369" s="126"/>
      <c r="AX369" s="394"/>
      <c r="AY369" s="394"/>
      <c r="AZ369" s="394"/>
      <c r="BA369" s="394"/>
      <c r="BB369" s="222">
        <f t="shared" si="132"/>
        <v>0</v>
      </c>
      <c r="BC369" s="140">
        <f t="shared" si="133"/>
        <v>0</v>
      </c>
      <c r="BD369" s="132"/>
      <c r="BE369" s="140">
        <f t="shared" si="134"/>
        <v>0</v>
      </c>
      <c r="BF369" s="141"/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30">
        <f t="shared" si="135"/>
        <v>0</v>
      </c>
      <c r="BU369" s="132"/>
    </row>
    <row r="370" ht="14.25" customHeight="1">
      <c r="A370" s="132"/>
      <c r="B370" s="215">
        <v>46355</v>
      </c>
      <c r="C370" s="136"/>
      <c r="D370" s="136"/>
      <c r="E370" s="135"/>
      <c r="F370" s="135"/>
      <c r="G370" s="147">
        <f t="shared" si="127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28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29"/>
        <v>0</v>
      </c>
      <c r="AH370" s="136"/>
      <c r="AI370" s="136"/>
      <c r="AJ370" s="136"/>
      <c r="AK370" s="105">
        <f t="shared" si="130"/>
        <v>0</v>
      </c>
      <c r="AL370" s="143"/>
      <c r="AM370" s="143"/>
      <c r="AN370" s="143"/>
      <c r="AO370" s="146"/>
      <c r="AP370" s="224">
        <f t="shared" si="131"/>
        <v>0</v>
      </c>
      <c r="AQ370" s="126"/>
      <c r="AR370" s="274"/>
      <c r="AS370" s="126"/>
      <c r="AT370" s="126"/>
      <c r="AU370" s="126"/>
      <c r="AV370" s="126"/>
      <c r="AW370" s="126"/>
      <c r="AX370" s="394"/>
      <c r="AY370" s="394"/>
      <c r="AZ370" s="394"/>
      <c r="BA370" s="394"/>
      <c r="BB370" s="222">
        <f t="shared" si="132"/>
        <v>0</v>
      </c>
      <c r="BC370" s="140">
        <f t="shared" si="133"/>
        <v>0</v>
      </c>
      <c r="BD370" s="132"/>
      <c r="BE370" s="140">
        <f t="shared" si="134"/>
        <v>0</v>
      </c>
      <c r="BF370" s="141"/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41"/>
      <c r="BT370" s="130">
        <f t="shared" si="135"/>
        <v>0</v>
      </c>
      <c r="BU370" s="132"/>
    </row>
    <row r="371" ht="14.25" customHeight="1">
      <c r="A371" s="132"/>
      <c r="B371" s="215">
        <v>46356</v>
      </c>
      <c r="C371" s="136"/>
      <c r="D371" s="136"/>
      <c r="E371" s="135"/>
      <c r="F371" s="135"/>
      <c r="G371" s="147">
        <f t="shared" si="127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28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29"/>
        <v>0</v>
      </c>
      <c r="AH371" s="136"/>
      <c r="AI371" s="136"/>
      <c r="AJ371" s="136"/>
      <c r="AK371" s="105">
        <f t="shared" si="130"/>
        <v>0</v>
      </c>
      <c r="AL371" s="143"/>
      <c r="AM371" s="143"/>
      <c r="AN371" s="143"/>
      <c r="AO371" s="146"/>
      <c r="AP371" s="224">
        <f t="shared" si="131"/>
        <v>0</v>
      </c>
      <c r="AQ371" s="138"/>
      <c r="AR371" s="274"/>
      <c r="AS371" s="126"/>
      <c r="AT371" s="126"/>
      <c r="AU371" s="126"/>
      <c r="AV371" s="126"/>
      <c r="AW371" s="126"/>
      <c r="AX371" s="394"/>
      <c r="AY371" s="394"/>
      <c r="AZ371" s="394"/>
      <c r="BA371" s="394"/>
      <c r="BB371" s="222">
        <f t="shared" si="132"/>
        <v>0</v>
      </c>
      <c r="BC371" s="140">
        <f t="shared" si="133"/>
        <v>0</v>
      </c>
      <c r="BD371" s="132"/>
      <c r="BE371" s="140">
        <f t="shared" si="134"/>
        <v>0</v>
      </c>
      <c r="BF371" s="141"/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63"/>
      <c r="BS371" s="141"/>
      <c r="BT371" s="130">
        <f t="shared" si="135"/>
        <v>0</v>
      </c>
      <c r="BU371" s="132"/>
    </row>
    <row r="372" ht="14.25" customHeight="1">
      <c r="A372" s="3"/>
      <c r="B372" s="2" t="s">
        <v>85</v>
      </c>
      <c r="C372" s="166">
        <f ref="C372:T372" t="shared" si="136">SUM(C342:C371)</f>
        <v>0</v>
      </c>
      <c r="D372" s="166">
        <f t="shared" si="136"/>
        <v>0</v>
      </c>
      <c r="E372" s="166">
        <f t="shared" si="136"/>
        <v>0</v>
      </c>
      <c r="F372" s="166">
        <f t="shared" si="136"/>
        <v>0</v>
      </c>
      <c r="G372" s="166">
        <f t="shared" si="136"/>
        <v>0</v>
      </c>
      <c r="H372" s="166">
        <f t="shared" si="136"/>
        <v>0</v>
      </c>
      <c r="I372" s="166">
        <f t="shared" si="136"/>
        <v>0</v>
      </c>
      <c r="J372" s="166">
        <f t="shared" si="136"/>
        <v>0</v>
      </c>
      <c r="K372" s="166">
        <f t="shared" si="136"/>
        <v>0</v>
      </c>
      <c r="L372" s="166">
        <f t="shared" si="136"/>
        <v>0</v>
      </c>
      <c r="M372" s="166">
        <f t="shared" si="136"/>
        <v>0</v>
      </c>
      <c r="N372" s="166">
        <f t="shared" si="136"/>
        <v>0</v>
      </c>
      <c r="O372" s="166">
        <f t="shared" si="136"/>
        <v>0</v>
      </c>
      <c r="P372" s="166">
        <f t="shared" si="136"/>
        <v>0</v>
      </c>
      <c r="Q372" s="166">
        <f t="shared" si="136"/>
        <v>0</v>
      </c>
      <c r="R372" s="166">
        <f t="shared" si="136"/>
        <v>0</v>
      </c>
      <c r="S372" s="166">
        <f t="shared" si="136"/>
        <v>0</v>
      </c>
      <c r="T372" s="166">
        <f t="shared" si="136"/>
        <v>0</v>
      </c>
      <c r="U372" s="166"/>
      <c r="V372" s="166"/>
      <c r="W372" s="166">
        <f ref="W372:AH372" t="shared" si="137">SUM(W342:W371)</f>
        <v>0</v>
      </c>
      <c r="X372" s="166">
        <f t="shared" si="137"/>
        <v>0</v>
      </c>
      <c r="Y372" s="166">
        <f t="shared" si="137"/>
        <v>0</v>
      </c>
      <c r="Z372" s="166">
        <f t="shared" si="137"/>
        <v>0</v>
      </c>
      <c r="AA372" s="166">
        <f t="shared" si="137"/>
        <v>0</v>
      </c>
      <c r="AB372" s="166">
        <f t="shared" si="137"/>
        <v>0</v>
      </c>
      <c r="AC372" s="166">
        <f t="shared" si="137"/>
        <v>0</v>
      </c>
      <c r="AD372" s="166">
        <f t="shared" si="137"/>
        <v>0</v>
      </c>
      <c r="AE372" s="166">
        <f t="shared" si="137"/>
        <v>0</v>
      </c>
      <c r="AF372" s="166">
        <f t="shared" si="137"/>
        <v>0</v>
      </c>
      <c r="AG372" s="166">
        <f t="shared" si="137"/>
        <v>0</v>
      </c>
      <c r="AH372" s="166">
        <f t="shared" si="137"/>
        <v>0</v>
      </c>
      <c r="AI372" s="166"/>
      <c r="AJ372" s="166"/>
      <c r="AK372" s="166">
        <f>SUM(AK342:AK371)</f>
        <v>0</v>
      </c>
      <c r="AL372" s="166"/>
      <c r="AM372" s="166"/>
      <c r="AN372" s="166"/>
      <c r="AO372" s="166"/>
      <c r="AP372" s="166">
        <f ref="AP372:AQ372" t="shared" si="138">SUM(AP342:AP371)</f>
        <v>0</v>
      </c>
      <c r="AQ372" s="165">
        <f t="shared" si="138"/>
        <v>0</v>
      </c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>
        <f ref="BB372:BE372" t="shared" si="139">SUM(BB342:BB371)</f>
        <v>0</v>
      </c>
      <c r="BC372" s="166">
        <f t="shared" si="139"/>
        <v>0</v>
      </c>
      <c r="BD372" s="166">
        <f t="shared" si="139"/>
        <v>0</v>
      </c>
      <c r="BE372" s="166">
        <f t="shared" si="139"/>
        <v>0</v>
      </c>
      <c r="BF372" s="166"/>
      <c r="BG372" s="166"/>
      <c r="BH372" s="166"/>
      <c r="BI372" s="166"/>
      <c r="BJ372" s="166"/>
      <c r="BK372" s="166"/>
      <c r="BL372" s="166"/>
      <c r="BM372" s="166"/>
      <c r="BN372" s="166"/>
      <c r="BO372" s="166">
        <f ref="BO372:BU372" t="shared" si="140">SUM(BO342:BO371)</f>
        <v>0</v>
      </c>
      <c r="BP372" s="166">
        <f t="shared" si="140"/>
        <v>0</v>
      </c>
      <c r="BQ372" s="166">
        <f t="shared" si="140"/>
        <v>0</v>
      </c>
      <c r="BR372" s="166">
        <f t="shared" si="140"/>
        <v>0</v>
      </c>
      <c r="BS372" s="166">
        <f t="shared" si="140"/>
        <v>0</v>
      </c>
      <c r="BT372" s="166">
        <f t="shared" si="140"/>
        <v>0</v>
      </c>
      <c r="BU372" s="166">
        <f t="shared" si="140"/>
        <v>0</v>
      </c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96"/>
      <c r="AH373" s="96"/>
      <c r="AI373" s="3"/>
      <c r="AJ373" s="3"/>
      <c r="AK373" s="1336"/>
      <c r="AL373" s="3"/>
      <c r="AM373" s="3"/>
      <c r="AN373" s="3"/>
      <c r="AO373" s="3"/>
      <c r="AP373" s="41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132"/>
      <c r="BB373" s="1336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</row>
    <row r="374" ht="14.25" customHeight="1">
      <c r="A374" s="1"/>
      <c r="B374" s="2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176"/>
      <c r="AH374" s="176"/>
      <c r="AI374" s="3"/>
      <c r="AJ374" s="3"/>
      <c r="AK374" s="1336"/>
      <c r="AL374" s="3"/>
      <c r="AM374" s="3"/>
      <c r="AN374" s="3"/>
      <c r="AO374" s="3"/>
      <c r="AP374" s="41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132"/>
      <c r="BB374" s="1336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</row>
    <row r="375" ht="14.25" customHeight="1">
      <c r="A375" s="3"/>
      <c r="B375" s="215">
        <v>46357</v>
      </c>
      <c r="C375" s="94"/>
      <c r="D375" s="104"/>
      <c r="E375" s="97"/>
      <c r="F375" s="97"/>
      <c r="G375" s="265">
        <f ref="G375:G405" t="shared" si="141">+C375+D375+E375+F375</f>
        <v>0</v>
      </c>
      <c r="H375" s="187"/>
      <c r="I375" s="186"/>
      <c r="J375" s="186"/>
      <c r="K375" s="186"/>
      <c r="L375" s="186"/>
      <c r="M375" s="186"/>
      <c r="N375" s="186"/>
      <c r="O375" s="186"/>
      <c r="P375" s="186"/>
      <c r="Q375" s="186"/>
      <c r="R375" s="186"/>
      <c r="S375" s="186"/>
      <c r="T375" s="103">
        <f ref="T375:T405" t="shared" si="142">SUM(H375:S375)</f>
        <v>0</v>
      </c>
      <c r="U375" s="186"/>
      <c r="V375" s="186"/>
      <c r="W375" s="186"/>
      <c r="X375" s="186"/>
      <c r="Y375" s="186"/>
      <c r="Z375" s="186"/>
      <c r="AA375" s="186"/>
      <c r="AB375" s="186"/>
      <c r="AC375" s="186"/>
      <c r="AD375" s="186"/>
      <c r="AE375" s="186"/>
      <c r="AF375" s="186"/>
      <c r="AG375" s="103">
        <f ref="AG375:AG405" t="shared" si="143">SUM(U375:AF375)</f>
        <v>0</v>
      </c>
      <c r="AH375" s="104"/>
      <c r="AI375" s="104"/>
      <c r="AJ375" s="104"/>
      <c r="AK375" s="191">
        <f ref="AK375:AK405" t="shared" si="144">SUM(AH375:AJ375)</f>
        <v>0</v>
      </c>
      <c r="AL375" s="186"/>
      <c r="AM375" s="186"/>
      <c r="AN375" s="186"/>
      <c r="AO375" s="193"/>
      <c r="AP375" s="219">
        <f ref="AP375:AP405" t="shared" si="145">+G375-T375-AG375-AK375-AL375-AM375-AN375-AO375</f>
        <v>0</v>
      </c>
      <c r="AQ375" s="109"/>
      <c r="AR375" s="1412"/>
      <c r="AS375" s="109"/>
      <c r="AT375" s="109"/>
      <c r="AU375" s="109"/>
      <c r="AV375" s="109"/>
      <c r="AW375" s="109"/>
      <c r="AX375" s="388"/>
      <c r="AY375" s="388"/>
      <c r="AZ375" s="388"/>
      <c r="BA375" s="388"/>
      <c r="BB375" s="292">
        <f ref="BB375:BB405" t="shared" si="146">SUM(AQ375:BA375)-AZ375</f>
        <v>0</v>
      </c>
      <c r="BC375" s="114">
        <f ref="BC375:BC405" t="shared" si="147">+AP375-BB375</f>
        <v>0</v>
      </c>
      <c r="BD375" s="3"/>
      <c r="BE375" s="114">
        <f ref="BE375:BE405" t="shared" si="148">SUM(BF375:BR375)</f>
        <v>0</v>
      </c>
      <c r="BF375" s="115"/>
      <c r="BG375" s="115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116">
        <f ref="BT375:BT405" t="shared" si="149">+BC375-BE375</f>
        <v>0</v>
      </c>
      <c r="BU375" s="3"/>
    </row>
    <row r="376" ht="14.25" customHeight="1">
      <c r="A376" s="3"/>
      <c r="B376" s="215">
        <v>46358</v>
      </c>
      <c r="C376" s="118"/>
      <c r="D376" s="123"/>
      <c r="E376" s="120"/>
      <c r="F376" s="120"/>
      <c r="G376" s="147">
        <f t="shared" si="141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42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43"/>
        <v>0</v>
      </c>
      <c r="AH376" s="123"/>
      <c r="AI376" s="123"/>
      <c r="AJ376" s="123"/>
      <c r="AK376" s="105">
        <f t="shared" si="144"/>
        <v>0</v>
      </c>
      <c r="AL376" s="143"/>
      <c r="AM376" s="143"/>
      <c r="AN376" s="143"/>
      <c r="AO376" s="146"/>
      <c r="AP376" s="224">
        <f t="shared" si="145"/>
        <v>0</v>
      </c>
      <c r="AQ376" s="126"/>
      <c r="AR376" s="274"/>
      <c r="AS376" s="126"/>
      <c r="AT376" s="126"/>
      <c r="AU376" s="126"/>
      <c r="AV376" s="126"/>
      <c r="AW376" s="126"/>
      <c r="AX376" s="394"/>
      <c r="AY376" s="394"/>
      <c r="AZ376" s="394"/>
      <c r="BA376" s="394"/>
      <c r="BB376" s="222">
        <f t="shared" si="146"/>
        <v>0</v>
      </c>
      <c r="BC376" s="113">
        <f t="shared" si="147"/>
        <v>0</v>
      </c>
      <c r="BD376" s="3"/>
      <c r="BE376" s="113">
        <f t="shared" si="148"/>
        <v>0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30">
        <f t="shared" si="149"/>
        <v>0</v>
      </c>
      <c r="BU376" s="3"/>
    </row>
    <row r="377" ht="14.25" customHeight="1">
      <c r="A377" s="3"/>
      <c r="B377" s="215">
        <v>46359</v>
      </c>
      <c r="C377" s="118"/>
      <c r="D377" s="123"/>
      <c r="E377" s="120"/>
      <c r="F377" s="120"/>
      <c r="G377" s="147">
        <f t="shared" si="141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42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43"/>
        <v>0</v>
      </c>
      <c r="AH377" s="123"/>
      <c r="AI377" s="123"/>
      <c r="AJ377" s="123"/>
      <c r="AK377" s="105">
        <f t="shared" si="144"/>
        <v>0</v>
      </c>
      <c r="AL377" s="143"/>
      <c r="AM377" s="143"/>
      <c r="AN377" s="143"/>
      <c r="AO377" s="146"/>
      <c r="AP377" s="224">
        <f t="shared" si="145"/>
        <v>0</v>
      </c>
      <c r="AQ377" s="126"/>
      <c r="AR377" s="274"/>
      <c r="AS377" s="274"/>
      <c r="AT377" s="126"/>
      <c r="AU377" s="126"/>
      <c r="AV377" s="126"/>
      <c r="AW377" s="126"/>
      <c r="AX377" s="394"/>
      <c r="AY377" s="394"/>
      <c r="AZ377" s="394"/>
      <c r="BA377" s="394"/>
      <c r="BB377" s="222">
        <f t="shared" si="146"/>
        <v>0</v>
      </c>
      <c r="BC377" s="113">
        <f t="shared" si="147"/>
        <v>0</v>
      </c>
      <c r="BD377" s="3"/>
      <c r="BE377" s="113">
        <f t="shared" si="148"/>
        <v>0</v>
      </c>
      <c r="BF377" s="129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30">
        <f t="shared" si="149"/>
        <v>0</v>
      </c>
      <c r="BU377" s="3"/>
    </row>
    <row r="378" ht="14.25" customHeight="1">
      <c r="A378" s="3"/>
      <c r="B378" s="215">
        <v>46360</v>
      </c>
      <c r="C378" s="118"/>
      <c r="D378" s="123"/>
      <c r="E378" s="120"/>
      <c r="F378" s="120"/>
      <c r="G378" s="147">
        <f t="shared" si="141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42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43"/>
        <v>0</v>
      </c>
      <c r="AH378" s="123"/>
      <c r="AI378" s="123"/>
      <c r="AJ378" s="123"/>
      <c r="AK378" s="105">
        <f t="shared" si="144"/>
        <v>0</v>
      </c>
      <c r="AL378" s="143"/>
      <c r="AM378" s="143"/>
      <c r="AN378" s="143"/>
      <c r="AO378" s="146"/>
      <c r="AP378" s="224">
        <f t="shared" si="145"/>
        <v>0</v>
      </c>
      <c r="AQ378" s="126"/>
      <c r="AR378" s="274"/>
      <c r="AS378" s="274"/>
      <c r="AT378" s="126"/>
      <c r="AU378" s="126"/>
      <c r="AV378" s="126"/>
      <c r="AW378" s="126"/>
      <c r="AX378" s="394"/>
      <c r="AY378" s="394"/>
      <c r="AZ378" s="394"/>
      <c r="BA378" s="394"/>
      <c r="BB378" s="222">
        <f t="shared" si="146"/>
        <v>0</v>
      </c>
      <c r="BC378" s="113">
        <f t="shared" si="147"/>
        <v>0</v>
      </c>
      <c r="BD378" s="3"/>
      <c r="BE378" s="113">
        <f t="shared" si="148"/>
        <v>0</v>
      </c>
      <c r="BF378" s="129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30">
        <f t="shared" si="149"/>
        <v>0</v>
      </c>
      <c r="BU378" s="3"/>
    </row>
    <row r="379" ht="14.25" customHeight="1">
      <c r="A379" s="3"/>
      <c r="B379" s="215">
        <v>46361</v>
      </c>
      <c r="C379" s="118"/>
      <c r="D379" s="123"/>
      <c r="E379" s="120"/>
      <c r="F379" s="120"/>
      <c r="G379" s="147">
        <f t="shared" si="141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42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43"/>
        <v>0</v>
      </c>
      <c r="AH379" s="123"/>
      <c r="AI379" s="123"/>
      <c r="AJ379" s="123"/>
      <c r="AK379" s="105">
        <f t="shared" si="144"/>
        <v>0</v>
      </c>
      <c r="AL379" s="143"/>
      <c r="AM379" s="143"/>
      <c r="AN379" s="143"/>
      <c r="AO379" s="146"/>
      <c r="AP379" s="224">
        <f t="shared" si="145"/>
        <v>0</v>
      </c>
      <c r="AQ379" s="126"/>
      <c r="AR379" s="274"/>
      <c r="AS379" s="126"/>
      <c r="AT379" s="126"/>
      <c r="AU379" s="126"/>
      <c r="AV379" s="126"/>
      <c r="AW379" s="126"/>
      <c r="AX379" s="394"/>
      <c r="AY379" s="394"/>
      <c r="AZ379" s="394"/>
      <c r="BA379" s="394"/>
      <c r="BB379" s="222">
        <f t="shared" si="146"/>
        <v>0</v>
      </c>
      <c r="BC379" s="113">
        <f t="shared" si="147"/>
        <v>0</v>
      </c>
      <c r="BD379" s="3"/>
      <c r="BE379" s="113">
        <f t="shared" si="148"/>
        <v>0</v>
      </c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29"/>
      <c r="BT379" s="130">
        <f t="shared" si="149"/>
        <v>0</v>
      </c>
      <c r="BU379" s="3"/>
    </row>
    <row r="380" ht="14.25" customHeight="1">
      <c r="A380" s="3"/>
      <c r="B380" s="215">
        <v>46362</v>
      </c>
      <c r="C380" s="118"/>
      <c r="D380" s="123"/>
      <c r="E380" s="120"/>
      <c r="F380" s="120"/>
      <c r="G380" s="147">
        <f t="shared" si="141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42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43"/>
        <v>0</v>
      </c>
      <c r="AH380" s="123"/>
      <c r="AI380" s="123"/>
      <c r="AJ380" s="123"/>
      <c r="AK380" s="105">
        <f t="shared" si="144"/>
        <v>0</v>
      </c>
      <c r="AL380" s="143"/>
      <c r="AM380" s="143"/>
      <c r="AN380" s="143"/>
      <c r="AO380" s="146"/>
      <c r="AP380" s="224">
        <f t="shared" si="145"/>
        <v>0</v>
      </c>
      <c r="AQ380" s="126"/>
      <c r="AR380" s="274"/>
      <c r="AS380" s="126"/>
      <c r="AT380" s="126"/>
      <c r="AU380" s="126"/>
      <c r="AV380" s="126"/>
      <c r="AW380" s="126"/>
      <c r="AX380" s="394"/>
      <c r="AY380" s="394"/>
      <c r="AZ380" s="394"/>
      <c r="BA380" s="394"/>
      <c r="BB380" s="222">
        <f t="shared" si="146"/>
        <v>0</v>
      </c>
      <c r="BC380" s="113">
        <f t="shared" si="147"/>
        <v>0</v>
      </c>
      <c r="BD380" s="3"/>
      <c r="BE380" s="113">
        <f t="shared" si="148"/>
        <v>0</v>
      </c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29"/>
      <c r="BT380" s="130">
        <f t="shared" si="149"/>
        <v>0</v>
      </c>
      <c r="BU380" s="3"/>
    </row>
    <row r="381" ht="14.25" customHeight="1">
      <c r="A381" s="132"/>
      <c r="B381" s="215">
        <v>46363</v>
      </c>
      <c r="C381" s="133"/>
      <c r="D381" s="136"/>
      <c r="E381" s="135"/>
      <c r="F381" s="135"/>
      <c r="G381" s="147">
        <f t="shared" si="141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42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43"/>
        <v>0</v>
      </c>
      <c r="AH381" s="136"/>
      <c r="AI381" s="136"/>
      <c r="AJ381" s="136"/>
      <c r="AK381" s="105">
        <f t="shared" si="144"/>
        <v>0</v>
      </c>
      <c r="AL381" s="143"/>
      <c r="AM381" s="143"/>
      <c r="AN381" s="143"/>
      <c r="AO381" s="146"/>
      <c r="AP381" s="224">
        <f t="shared" si="145"/>
        <v>0</v>
      </c>
      <c r="AQ381" s="126"/>
      <c r="AR381" s="274"/>
      <c r="AS381" s="126"/>
      <c r="AT381" s="126"/>
      <c r="AU381" s="126"/>
      <c r="AV381" s="126"/>
      <c r="AW381" s="126"/>
      <c r="AX381" s="394"/>
      <c r="AY381" s="394"/>
      <c r="AZ381" s="394"/>
      <c r="BA381" s="394"/>
      <c r="BB381" s="222">
        <f t="shared" si="146"/>
        <v>0</v>
      </c>
      <c r="BC381" s="140">
        <f t="shared" si="147"/>
        <v>0</v>
      </c>
      <c r="BD381" s="132"/>
      <c r="BE381" s="140">
        <f t="shared" si="148"/>
        <v>0</v>
      </c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30">
        <f t="shared" si="149"/>
        <v>0</v>
      </c>
      <c r="BU381" s="132"/>
    </row>
    <row r="382" ht="14.25" customHeight="1">
      <c r="A382" s="132"/>
      <c r="B382" s="215">
        <v>46364</v>
      </c>
      <c r="C382" s="133"/>
      <c r="D382" s="136"/>
      <c r="E382" s="135"/>
      <c r="F382" s="135"/>
      <c r="G382" s="147">
        <f t="shared" si="141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42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43"/>
        <v>0</v>
      </c>
      <c r="AH382" s="136"/>
      <c r="AI382" s="136"/>
      <c r="AJ382" s="136"/>
      <c r="AK382" s="105">
        <f t="shared" si="144"/>
        <v>0</v>
      </c>
      <c r="AL382" s="143"/>
      <c r="AM382" s="143"/>
      <c r="AN382" s="143"/>
      <c r="AO382" s="146"/>
      <c r="AP382" s="224">
        <f t="shared" si="145"/>
        <v>0</v>
      </c>
      <c r="AQ382" s="126"/>
      <c r="AR382" s="274"/>
      <c r="AS382" s="126"/>
      <c r="AT382" s="126"/>
      <c r="AU382" s="126"/>
      <c r="AV382" s="126"/>
      <c r="AW382" s="126"/>
      <c r="AX382" s="394"/>
      <c r="AY382" s="394"/>
      <c r="AZ382" s="394"/>
      <c r="BA382" s="394"/>
      <c r="BB382" s="222">
        <f t="shared" si="146"/>
        <v>0</v>
      </c>
      <c r="BC382" s="140">
        <f t="shared" si="147"/>
        <v>0</v>
      </c>
      <c r="BD382" s="132"/>
      <c r="BE382" s="140">
        <f t="shared" si="148"/>
        <v>0</v>
      </c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30">
        <f t="shared" si="149"/>
        <v>0</v>
      </c>
      <c r="BU382" s="132"/>
    </row>
    <row r="383" ht="14.25" customHeight="1">
      <c r="A383" s="132"/>
      <c r="B383" s="215">
        <v>46365</v>
      </c>
      <c r="C383" s="133"/>
      <c r="D383" s="136"/>
      <c r="E383" s="135"/>
      <c r="F383" s="135"/>
      <c r="G383" s="147">
        <f t="shared" si="141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42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43"/>
        <v>0</v>
      </c>
      <c r="AH383" s="136"/>
      <c r="AI383" s="136"/>
      <c r="AJ383" s="136"/>
      <c r="AK383" s="105">
        <f t="shared" si="144"/>
        <v>0</v>
      </c>
      <c r="AL383" s="143"/>
      <c r="AM383" s="143"/>
      <c r="AN383" s="143"/>
      <c r="AO383" s="146"/>
      <c r="AP383" s="224">
        <f t="shared" si="145"/>
        <v>0</v>
      </c>
      <c r="AQ383" s="126"/>
      <c r="AR383" s="274"/>
      <c r="AS383" s="126"/>
      <c r="AT383" s="126"/>
      <c r="AU383" s="126"/>
      <c r="AV383" s="126"/>
      <c r="AW383" s="126"/>
      <c r="AX383" s="394"/>
      <c r="AY383" s="394"/>
      <c r="AZ383" s="394"/>
      <c r="BA383" s="394"/>
      <c r="BB383" s="222">
        <f t="shared" si="146"/>
        <v>0</v>
      </c>
      <c r="BC383" s="140">
        <f t="shared" si="147"/>
        <v>0</v>
      </c>
      <c r="BD383" s="132"/>
      <c r="BE383" s="140">
        <f t="shared" si="148"/>
        <v>0</v>
      </c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30">
        <f t="shared" si="149"/>
        <v>0</v>
      </c>
      <c r="BU383" s="132"/>
    </row>
    <row r="384" ht="14.25" customHeight="1">
      <c r="A384" s="132"/>
      <c r="B384" s="215">
        <v>46366</v>
      </c>
      <c r="C384" s="133"/>
      <c r="D384" s="136"/>
      <c r="E384" s="135"/>
      <c r="F384" s="135"/>
      <c r="G384" s="147">
        <f t="shared" si="141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42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43"/>
        <v>0</v>
      </c>
      <c r="AH384" s="136"/>
      <c r="AI384" s="136"/>
      <c r="AJ384" s="136"/>
      <c r="AK384" s="105">
        <f t="shared" si="144"/>
        <v>0</v>
      </c>
      <c r="AL384" s="143"/>
      <c r="AM384" s="143"/>
      <c r="AN384" s="143"/>
      <c r="AO384" s="146"/>
      <c r="AP384" s="224">
        <f t="shared" si="145"/>
        <v>0</v>
      </c>
      <c r="AQ384" s="126"/>
      <c r="AR384" s="274"/>
      <c r="AS384" s="126"/>
      <c r="AT384" s="126"/>
      <c r="AU384" s="126"/>
      <c r="AV384" s="126"/>
      <c r="AW384" s="126"/>
      <c r="AX384" s="394"/>
      <c r="AY384" s="394"/>
      <c r="AZ384" s="394"/>
      <c r="BA384" s="394"/>
      <c r="BB384" s="222">
        <f t="shared" si="146"/>
        <v>0</v>
      </c>
      <c r="BC384" s="140">
        <f t="shared" si="147"/>
        <v>0</v>
      </c>
      <c r="BD384" s="132"/>
      <c r="BE384" s="140">
        <f t="shared" si="148"/>
        <v>0</v>
      </c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30">
        <f t="shared" si="149"/>
        <v>0</v>
      </c>
      <c r="BU384" s="132"/>
    </row>
    <row r="385" ht="14.25" customHeight="1">
      <c r="A385" s="132"/>
      <c r="B385" s="215">
        <v>46367</v>
      </c>
      <c r="C385" s="133"/>
      <c r="D385" s="136"/>
      <c r="E385" s="135"/>
      <c r="F385" s="135"/>
      <c r="G385" s="147">
        <f t="shared" si="141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42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43"/>
        <v>0</v>
      </c>
      <c r="AH385" s="136"/>
      <c r="AI385" s="136"/>
      <c r="AJ385" s="136"/>
      <c r="AK385" s="105">
        <f t="shared" si="144"/>
        <v>0</v>
      </c>
      <c r="AL385" s="143"/>
      <c r="AM385" s="143"/>
      <c r="AN385" s="143"/>
      <c r="AO385" s="146"/>
      <c r="AP385" s="224">
        <f t="shared" si="145"/>
        <v>0</v>
      </c>
      <c r="AQ385" s="126"/>
      <c r="AR385" s="274"/>
      <c r="AS385" s="126"/>
      <c r="AT385" s="126"/>
      <c r="AU385" s="126"/>
      <c r="AV385" s="126"/>
      <c r="AW385" s="126"/>
      <c r="AX385" s="394"/>
      <c r="AY385" s="394"/>
      <c r="AZ385" s="394"/>
      <c r="BA385" s="394"/>
      <c r="BB385" s="222">
        <f t="shared" si="146"/>
        <v>0</v>
      </c>
      <c r="BC385" s="140">
        <f t="shared" si="147"/>
        <v>0</v>
      </c>
      <c r="BD385" s="132"/>
      <c r="BE385" s="140">
        <f t="shared" si="148"/>
        <v>0</v>
      </c>
      <c r="BF385" s="141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30">
        <f t="shared" si="149"/>
        <v>0</v>
      </c>
      <c r="BU385" s="132"/>
    </row>
    <row r="386" ht="14.25" customHeight="1">
      <c r="A386" s="132"/>
      <c r="B386" s="215">
        <v>46368</v>
      </c>
      <c r="C386" s="133"/>
      <c r="D386" s="136"/>
      <c r="E386" s="135"/>
      <c r="F386" s="135"/>
      <c r="G386" s="147">
        <f t="shared" si="141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42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43"/>
        <v>0</v>
      </c>
      <c r="AH386" s="136"/>
      <c r="AI386" s="136"/>
      <c r="AJ386" s="136"/>
      <c r="AK386" s="105">
        <f t="shared" si="144"/>
        <v>0</v>
      </c>
      <c r="AL386" s="143"/>
      <c r="AM386" s="143"/>
      <c r="AN386" s="143"/>
      <c r="AO386" s="146"/>
      <c r="AP386" s="224">
        <f t="shared" si="145"/>
        <v>0</v>
      </c>
      <c r="AQ386" s="126"/>
      <c r="AR386" s="274"/>
      <c r="AS386" s="126"/>
      <c r="AT386" s="126"/>
      <c r="AU386" s="126"/>
      <c r="AV386" s="126"/>
      <c r="AW386" s="126"/>
      <c r="AX386" s="394"/>
      <c r="AY386" s="394"/>
      <c r="AZ386" s="394"/>
      <c r="BA386" s="394"/>
      <c r="BB386" s="222">
        <f t="shared" si="146"/>
        <v>0</v>
      </c>
      <c r="BC386" s="140">
        <f t="shared" si="147"/>
        <v>0</v>
      </c>
      <c r="BD386" s="132"/>
      <c r="BE386" s="140">
        <f t="shared" si="148"/>
        <v>0</v>
      </c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30">
        <f t="shared" si="149"/>
        <v>0</v>
      </c>
      <c r="BU386" s="132"/>
    </row>
    <row r="387" ht="14.25" customHeight="1">
      <c r="A387" s="132"/>
      <c r="B387" s="215">
        <v>46369</v>
      </c>
      <c r="C387" s="133"/>
      <c r="D387" s="136"/>
      <c r="E387" s="135"/>
      <c r="F387" s="135"/>
      <c r="G387" s="147">
        <f t="shared" si="141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42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43"/>
        <v>0</v>
      </c>
      <c r="AH387" s="136"/>
      <c r="AI387" s="136"/>
      <c r="AJ387" s="136"/>
      <c r="AK387" s="105">
        <f t="shared" si="144"/>
        <v>0</v>
      </c>
      <c r="AL387" s="143"/>
      <c r="AM387" s="143"/>
      <c r="AN387" s="143"/>
      <c r="AO387" s="146"/>
      <c r="AP387" s="224">
        <f t="shared" si="145"/>
        <v>0</v>
      </c>
      <c r="AQ387" s="126"/>
      <c r="AR387" s="274"/>
      <c r="AS387" s="126"/>
      <c r="AT387" s="126"/>
      <c r="AU387" s="126"/>
      <c r="AV387" s="126"/>
      <c r="AW387" s="126"/>
      <c r="AX387" s="394"/>
      <c r="AY387" s="394"/>
      <c r="AZ387" s="394"/>
      <c r="BA387" s="394"/>
      <c r="BB387" s="222">
        <f t="shared" si="146"/>
        <v>0</v>
      </c>
      <c r="BC387" s="140">
        <f t="shared" si="147"/>
        <v>0</v>
      </c>
      <c r="BD387" s="132"/>
      <c r="BE387" s="140">
        <f t="shared" si="148"/>
        <v>0</v>
      </c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30">
        <f t="shared" si="149"/>
        <v>0</v>
      </c>
      <c r="BU387" s="132"/>
    </row>
    <row r="388" ht="14.25" customHeight="1">
      <c r="A388" s="132"/>
      <c r="B388" s="215">
        <v>46370</v>
      </c>
      <c r="C388" s="133"/>
      <c r="D388" s="136"/>
      <c r="E388" s="135"/>
      <c r="F388" s="135"/>
      <c r="G388" s="147">
        <f t="shared" si="141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42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43"/>
        <v>0</v>
      </c>
      <c r="AH388" s="136"/>
      <c r="AI388" s="136"/>
      <c r="AJ388" s="136"/>
      <c r="AK388" s="105">
        <f t="shared" si="144"/>
        <v>0</v>
      </c>
      <c r="AL388" s="143"/>
      <c r="AM388" s="143"/>
      <c r="AN388" s="143"/>
      <c r="AO388" s="146"/>
      <c r="AP388" s="224">
        <f t="shared" si="145"/>
        <v>0</v>
      </c>
      <c r="AQ388" s="126"/>
      <c r="AR388" s="274"/>
      <c r="AS388" s="126"/>
      <c r="AT388" s="126"/>
      <c r="AU388" s="126"/>
      <c r="AV388" s="126"/>
      <c r="AW388" s="126"/>
      <c r="AX388" s="394"/>
      <c r="AY388" s="394"/>
      <c r="AZ388" s="394"/>
      <c r="BA388" s="394"/>
      <c r="BB388" s="222">
        <f t="shared" si="146"/>
        <v>0</v>
      </c>
      <c r="BC388" s="140">
        <f t="shared" si="147"/>
        <v>0</v>
      </c>
      <c r="BD388" s="132"/>
      <c r="BE388" s="140">
        <f t="shared" si="148"/>
        <v>0</v>
      </c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30">
        <f t="shared" si="149"/>
        <v>0</v>
      </c>
      <c r="BU388" s="132"/>
    </row>
    <row r="389" ht="14.25" customHeight="1">
      <c r="A389" s="132"/>
      <c r="B389" s="215">
        <v>46371</v>
      </c>
      <c r="C389" s="133"/>
      <c r="D389" s="136"/>
      <c r="E389" s="135"/>
      <c r="F389" s="135"/>
      <c r="G389" s="147">
        <f t="shared" si="141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42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43"/>
        <v>0</v>
      </c>
      <c r="AH389" s="136"/>
      <c r="AI389" s="136"/>
      <c r="AJ389" s="136"/>
      <c r="AK389" s="105">
        <f t="shared" si="144"/>
        <v>0</v>
      </c>
      <c r="AL389" s="143"/>
      <c r="AM389" s="143"/>
      <c r="AN389" s="143"/>
      <c r="AO389" s="146"/>
      <c r="AP389" s="224">
        <f t="shared" si="145"/>
        <v>0</v>
      </c>
      <c r="AQ389" s="126"/>
      <c r="AR389" s="274"/>
      <c r="AS389" s="126"/>
      <c r="AT389" s="126"/>
      <c r="AU389" s="126"/>
      <c r="AV389" s="126"/>
      <c r="AW389" s="126"/>
      <c r="AX389" s="394"/>
      <c r="AY389" s="394"/>
      <c r="AZ389" s="394"/>
      <c r="BA389" s="394"/>
      <c r="BB389" s="222">
        <f t="shared" si="146"/>
        <v>0</v>
      </c>
      <c r="BC389" s="140">
        <f t="shared" si="147"/>
        <v>0</v>
      </c>
      <c r="BD389" s="132"/>
      <c r="BE389" s="140">
        <f t="shared" si="148"/>
        <v>0</v>
      </c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30">
        <f t="shared" si="149"/>
        <v>0</v>
      </c>
      <c r="BU389" s="132"/>
    </row>
    <row r="390" ht="14.25" customHeight="1">
      <c r="A390" s="132"/>
      <c r="B390" s="215">
        <v>46372</v>
      </c>
      <c r="C390" s="133"/>
      <c r="D390" s="136"/>
      <c r="E390" s="135"/>
      <c r="F390" s="135"/>
      <c r="G390" s="147">
        <f t="shared" si="141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42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43"/>
        <v>0</v>
      </c>
      <c r="AH390" s="136"/>
      <c r="AI390" s="136"/>
      <c r="AJ390" s="136"/>
      <c r="AK390" s="105">
        <f t="shared" si="144"/>
        <v>0</v>
      </c>
      <c r="AL390" s="143"/>
      <c r="AM390" s="143"/>
      <c r="AN390" s="143"/>
      <c r="AO390" s="146"/>
      <c r="AP390" s="224">
        <f t="shared" si="145"/>
        <v>0</v>
      </c>
      <c r="AQ390" s="126"/>
      <c r="AR390" s="274"/>
      <c r="AS390" s="126"/>
      <c r="AT390" s="126"/>
      <c r="AU390" s="126"/>
      <c r="AV390" s="126"/>
      <c r="AW390" s="126"/>
      <c r="AX390" s="394"/>
      <c r="AY390" s="394"/>
      <c r="AZ390" s="394"/>
      <c r="BA390" s="394"/>
      <c r="BB390" s="222">
        <f t="shared" si="146"/>
        <v>0</v>
      </c>
      <c r="BC390" s="140">
        <f t="shared" si="147"/>
        <v>0</v>
      </c>
      <c r="BD390" s="132"/>
      <c r="BE390" s="140">
        <f t="shared" si="148"/>
        <v>0</v>
      </c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30">
        <f t="shared" si="149"/>
        <v>0</v>
      </c>
      <c r="BU390" s="132"/>
    </row>
    <row r="391" ht="14.25" customHeight="1">
      <c r="A391" s="132"/>
      <c r="B391" s="215">
        <v>46373</v>
      </c>
      <c r="C391" s="133"/>
      <c r="D391" s="136"/>
      <c r="E391" s="135"/>
      <c r="F391" s="135"/>
      <c r="G391" s="147">
        <f t="shared" si="141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42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43"/>
        <v>0</v>
      </c>
      <c r="AH391" s="136"/>
      <c r="AI391" s="136"/>
      <c r="AJ391" s="136"/>
      <c r="AK391" s="105">
        <f t="shared" si="144"/>
        <v>0</v>
      </c>
      <c r="AL391" s="143"/>
      <c r="AM391" s="143"/>
      <c r="AN391" s="143"/>
      <c r="AO391" s="146"/>
      <c r="AP391" s="224">
        <f t="shared" si="145"/>
        <v>0</v>
      </c>
      <c r="AQ391" s="126"/>
      <c r="AR391" s="274"/>
      <c r="AS391" s="126"/>
      <c r="AT391" s="126"/>
      <c r="AU391" s="126"/>
      <c r="AV391" s="126"/>
      <c r="AW391" s="126"/>
      <c r="AX391" s="394"/>
      <c r="AY391" s="394"/>
      <c r="AZ391" s="394"/>
      <c r="BA391" s="394"/>
      <c r="BB391" s="222">
        <f t="shared" si="146"/>
        <v>0</v>
      </c>
      <c r="BC391" s="140">
        <f t="shared" si="147"/>
        <v>0</v>
      </c>
      <c r="BD391" s="132"/>
      <c r="BE391" s="140">
        <f t="shared" si="148"/>
        <v>0</v>
      </c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30">
        <f t="shared" si="149"/>
        <v>0</v>
      </c>
      <c r="BU391" s="132"/>
    </row>
    <row r="392" ht="14.25" customHeight="1">
      <c r="A392" s="132"/>
      <c r="B392" s="215">
        <v>46374</v>
      </c>
      <c r="C392" s="133"/>
      <c r="D392" s="136"/>
      <c r="E392" s="135"/>
      <c r="F392" s="135"/>
      <c r="G392" s="147">
        <f t="shared" si="141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42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43"/>
        <v>0</v>
      </c>
      <c r="AH392" s="136"/>
      <c r="AI392" s="136"/>
      <c r="AJ392" s="136"/>
      <c r="AK392" s="105">
        <f t="shared" si="144"/>
        <v>0</v>
      </c>
      <c r="AL392" s="143"/>
      <c r="AM392" s="143"/>
      <c r="AN392" s="143"/>
      <c r="AO392" s="146"/>
      <c r="AP392" s="224">
        <f t="shared" si="145"/>
        <v>0</v>
      </c>
      <c r="AQ392" s="126"/>
      <c r="AR392" s="274"/>
      <c r="AS392" s="126"/>
      <c r="AT392" s="126"/>
      <c r="AU392" s="126"/>
      <c r="AV392" s="126"/>
      <c r="AW392" s="126"/>
      <c r="AX392" s="394"/>
      <c r="AY392" s="394"/>
      <c r="AZ392" s="394"/>
      <c r="BA392" s="394"/>
      <c r="BB392" s="222">
        <f t="shared" si="146"/>
        <v>0</v>
      </c>
      <c r="BC392" s="140">
        <f t="shared" si="147"/>
        <v>0</v>
      </c>
      <c r="BD392" s="132"/>
      <c r="BE392" s="140">
        <f t="shared" si="148"/>
        <v>0</v>
      </c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30">
        <f t="shared" si="149"/>
        <v>0</v>
      </c>
      <c r="BU392" s="132"/>
    </row>
    <row r="393" ht="14.25" customHeight="1">
      <c r="A393" s="132"/>
      <c r="B393" s="215">
        <v>46375</v>
      </c>
      <c r="C393" s="133"/>
      <c r="D393" s="136"/>
      <c r="E393" s="135"/>
      <c r="F393" s="135"/>
      <c r="G393" s="147">
        <f t="shared" si="141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42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43"/>
        <v>0</v>
      </c>
      <c r="AH393" s="136"/>
      <c r="AI393" s="136"/>
      <c r="AJ393" s="136"/>
      <c r="AK393" s="105">
        <f t="shared" si="144"/>
        <v>0</v>
      </c>
      <c r="AL393" s="143"/>
      <c r="AM393" s="143"/>
      <c r="AN393" s="143"/>
      <c r="AO393" s="146"/>
      <c r="AP393" s="224">
        <f t="shared" si="145"/>
        <v>0</v>
      </c>
      <c r="AQ393" s="126"/>
      <c r="AR393" s="274"/>
      <c r="AS393" s="126"/>
      <c r="AT393" s="126"/>
      <c r="AU393" s="126"/>
      <c r="AV393" s="126"/>
      <c r="AW393" s="126"/>
      <c r="AX393" s="394"/>
      <c r="AY393" s="394"/>
      <c r="AZ393" s="394"/>
      <c r="BA393" s="394"/>
      <c r="BB393" s="222">
        <f t="shared" si="146"/>
        <v>0</v>
      </c>
      <c r="BC393" s="140">
        <f t="shared" si="147"/>
        <v>0</v>
      </c>
      <c r="BD393" s="132"/>
      <c r="BE393" s="140">
        <f t="shared" si="148"/>
        <v>0</v>
      </c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30">
        <f t="shared" si="149"/>
        <v>0</v>
      </c>
      <c r="BU393" s="132"/>
    </row>
    <row r="394" ht="14.25" customHeight="1">
      <c r="A394" s="132"/>
      <c r="B394" s="215">
        <v>46376</v>
      </c>
      <c r="C394" s="133"/>
      <c r="D394" s="136"/>
      <c r="E394" s="135"/>
      <c r="F394" s="135"/>
      <c r="G394" s="147">
        <f t="shared" si="141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42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43"/>
        <v>0</v>
      </c>
      <c r="AH394" s="136"/>
      <c r="AI394" s="136"/>
      <c r="AJ394" s="136"/>
      <c r="AK394" s="105">
        <f t="shared" si="144"/>
        <v>0</v>
      </c>
      <c r="AL394" s="143"/>
      <c r="AM394" s="143"/>
      <c r="AN394" s="143"/>
      <c r="AO394" s="146"/>
      <c r="AP394" s="224">
        <f t="shared" si="145"/>
        <v>0</v>
      </c>
      <c r="AQ394" s="126"/>
      <c r="AR394" s="274"/>
      <c r="AS394" s="126"/>
      <c r="AT394" s="126"/>
      <c r="AU394" s="126"/>
      <c r="AV394" s="126"/>
      <c r="AW394" s="126"/>
      <c r="AX394" s="394"/>
      <c r="AY394" s="394"/>
      <c r="AZ394" s="394"/>
      <c r="BA394" s="394"/>
      <c r="BB394" s="222">
        <f t="shared" si="146"/>
        <v>0</v>
      </c>
      <c r="BC394" s="140">
        <f t="shared" si="147"/>
        <v>0</v>
      </c>
      <c r="BD394" s="132"/>
      <c r="BE394" s="140">
        <f t="shared" si="148"/>
        <v>0</v>
      </c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30">
        <f t="shared" si="149"/>
        <v>0</v>
      </c>
      <c r="BU394" s="132"/>
    </row>
    <row r="395" ht="14.25" customHeight="1">
      <c r="A395" s="132"/>
      <c r="B395" s="215">
        <v>46377</v>
      </c>
      <c r="C395" s="133"/>
      <c r="D395" s="136"/>
      <c r="E395" s="135"/>
      <c r="F395" s="135"/>
      <c r="G395" s="147">
        <f t="shared" si="141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42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43"/>
        <v>0</v>
      </c>
      <c r="AH395" s="136"/>
      <c r="AI395" s="136"/>
      <c r="AJ395" s="136"/>
      <c r="AK395" s="105">
        <f t="shared" si="144"/>
        <v>0</v>
      </c>
      <c r="AL395" s="143"/>
      <c r="AM395" s="143"/>
      <c r="AN395" s="143"/>
      <c r="AO395" s="146"/>
      <c r="AP395" s="224">
        <f t="shared" si="145"/>
        <v>0</v>
      </c>
      <c r="AQ395" s="126"/>
      <c r="AR395" s="274"/>
      <c r="AS395" s="126"/>
      <c r="AT395" s="126"/>
      <c r="AU395" s="126"/>
      <c r="AV395" s="126"/>
      <c r="AW395" s="126"/>
      <c r="AX395" s="394"/>
      <c r="AY395" s="394"/>
      <c r="AZ395" s="394"/>
      <c r="BA395" s="394"/>
      <c r="BB395" s="222">
        <f t="shared" si="146"/>
        <v>0</v>
      </c>
      <c r="BC395" s="140">
        <f t="shared" si="147"/>
        <v>0</v>
      </c>
      <c r="BD395" s="132"/>
      <c r="BE395" s="140">
        <f t="shared" si="148"/>
        <v>0</v>
      </c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30">
        <f t="shared" si="149"/>
        <v>0</v>
      </c>
      <c r="BU395" s="132"/>
    </row>
    <row r="396" ht="14.25" customHeight="1">
      <c r="A396" s="132"/>
      <c r="B396" s="215">
        <v>46378</v>
      </c>
      <c r="C396" s="133"/>
      <c r="D396" s="136"/>
      <c r="E396" s="135"/>
      <c r="F396" s="135"/>
      <c r="G396" s="147">
        <f t="shared" si="141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42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43"/>
        <v>0</v>
      </c>
      <c r="AH396" s="136"/>
      <c r="AI396" s="136"/>
      <c r="AJ396" s="136"/>
      <c r="AK396" s="105">
        <f t="shared" si="144"/>
        <v>0</v>
      </c>
      <c r="AL396" s="143"/>
      <c r="AM396" s="143"/>
      <c r="AN396" s="143"/>
      <c r="AO396" s="146"/>
      <c r="AP396" s="224">
        <f t="shared" si="145"/>
        <v>0</v>
      </c>
      <c r="AQ396" s="126"/>
      <c r="AR396" s="274"/>
      <c r="AS396" s="126"/>
      <c r="AT396" s="126"/>
      <c r="AU396" s="126"/>
      <c r="AV396" s="126"/>
      <c r="AW396" s="126"/>
      <c r="AX396" s="394"/>
      <c r="AY396" s="394"/>
      <c r="AZ396" s="394"/>
      <c r="BA396" s="394"/>
      <c r="BB396" s="222">
        <f t="shared" si="146"/>
        <v>0</v>
      </c>
      <c r="BC396" s="140">
        <f t="shared" si="147"/>
        <v>0</v>
      </c>
      <c r="BD396" s="132"/>
      <c r="BE396" s="140">
        <f t="shared" si="148"/>
        <v>0</v>
      </c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30">
        <f t="shared" si="149"/>
        <v>0</v>
      </c>
      <c r="BU396" s="132"/>
    </row>
    <row r="397" ht="14.25" customHeight="1">
      <c r="A397" s="132"/>
      <c r="B397" s="215">
        <v>46379</v>
      </c>
      <c r="C397" s="133"/>
      <c r="D397" s="136"/>
      <c r="E397" s="135"/>
      <c r="F397" s="135"/>
      <c r="G397" s="147">
        <f t="shared" si="141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42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43"/>
        <v>0</v>
      </c>
      <c r="AH397" s="136"/>
      <c r="AI397" s="136"/>
      <c r="AJ397" s="136"/>
      <c r="AK397" s="105">
        <f t="shared" si="144"/>
        <v>0</v>
      </c>
      <c r="AL397" s="143"/>
      <c r="AM397" s="143"/>
      <c r="AN397" s="143"/>
      <c r="AO397" s="146"/>
      <c r="AP397" s="224">
        <f t="shared" si="145"/>
        <v>0</v>
      </c>
      <c r="AQ397" s="126"/>
      <c r="AR397" s="274"/>
      <c r="AS397" s="126"/>
      <c r="AT397" s="126"/>
      <c r="AU397" s="126"/>
      <c r="AV397" s="126"/>
      <c r="AW397" s="126"/>
      <c r="AX397" s="394"/>
      <c r="AY397" s="394"/>
      <c r="AZ397" s="394"/>
      <c r="BA397" s="394"/>
      <c r="BB397" s="222">
        <f t="shared" si="146"/>
        <v>0</v>
      </c>
      <c r="BC397" s="140">
        <f t="shared" si="147"/>
        <v>0</v>
      </c>
      <c r="BD397" s="132"/>
      <c r="BE397" s="140">
        <f t="shared" si="148"/>
        <v>0</v>
      </c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30">
        <f t="shared" si="149"/>
        <v>0</v>
      </c>
      <c r="BU397" s="132"/>
    </row>
    <row r="398" ht="14.25" customHeight="1">
      <c r="A398" s="132"/>
      <c r="B398" s="215">
        <v>46380</v>
      </c>
      <c r="C398" s="133"/>
      <c r="D398" s="136"/>
      <c r="E398" s="135"/>
      <c r="F398" s="135"/>
      <c r="G398" s="147">
        <f t="shared" si="141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42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43"/>
        <v>0</v>
      </c>
      <c r="AH398" s="136"/>
      <c r="AI398" s="136"/>
      <c r="AJ398" s="136"/>
      <c r="AK398" s="105">
        <f t="shared" si="144"/>
        <v>0</v>
      </c>
      <c r="AL398" s="143"/>
      <c r="AM398" s="143"/>
      <c r="AN398" s="143"/>
      <c r="AO398" s="146"/>
      <c r="AP398" s="224">
        <f t="shared" si="145"/>
        <v>0</v>
      </c>
      <c r="AQ398" s="126"/>
      <c r="AR398" s="274"/>
      <c r="AS398" s="126"/>
      <c r="AT398" s="126"/>
      <c r="AU398" s="126"/>
      <c r="AV398" s="126"/>
      <c r="AW398" s="126"/>
      <c r="AX398" s="394"/>
      <c r="AY398" s="394"/>
      <c r="AZ398" s="394"/>
      <c r="BA398" s="394"/>
      <c r="BB398" s="222">
        <f t="shared" si="146"/>
        <v>0</v>
      </c>
      <c r="BC398" s="140">
        <f t="shared" si="147"/>
        <v>0</v>
      </c>
      <c r="BD398" s="132"/>
      <c r="BE398" s="140">
        <f t="shared" si="148"/>
        <v>0</v>
      </c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30">
        <f t="shared" si="149"/>
        <v>0</v>
      </c>
      <c r="BU398" s="132"/>
    </row>
    <row r="399" ht="14.25" customHeight="1">
      <c r="A399" s="132"/>
      <c r="B399" s="215">
        <v>46381</v>
      </c>
      <c r="C399" s="133"/>
      <c r="D399" s="136"/>
      <c r="E399" s="135"/>
      <c r="F399" s="135"/>
      <c r="G399" s="147">
        <f t="shared" si="141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42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43"/>
        <v>0</v>
      </c>
      <c r="AH399" s="136"/>
      <c r="AI399" s="136"/>
      <c r="AJ399" s="136"/>
      <c r="AK399" s="105">
        <f t="shared" si="144"/>
        <v>0</v>
      </c>
      <c r="AL399" s="143"/>
      <c r="AM399" s="143"/>
      <c r="AN399" s="143"/>
      <c r="AO399" s="146"/>
      <c r="AP399" s="224">
        <f t="shared" si="145"/>
        <v>0</v>
      </c>
      <c r="AQ399" s="126"/>
      <c r="AR399" s="274"/>
      <c r="AS399" s="126"/>
      <c r="AT399" s="126"/>
      <c r="AU399" s="126"/>
      <c r="AV399" s="126"/>
      <c r="AW399" s="126"/>
      <c r="AX399" s="394"/>
      <c r="AY399" s="394"/>
      <c r="AZ399" s="394"/>
      <c r="BA399" s="394"/>
      <c r="BB399" s="222">
        <f t="shared" si="146"/>
        <v>0</v>
      </c>
      <c r="BC399" s="140">
        <f t="shared" si="147"/>
        <v>0</v>
      </c>
      <c r="BD399" s="132"/>
      <c r="BE399" s="140">
        <f t="shared" si="148"/>
        <v>0</v>
      </c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30">
        <f t="shared" si="149"/>
        <v>0</v>
      </c>
      <c r="BU399" s="132"/>
    </row>
    <row r="400" ht="14.25" customHeight="1">
      <c r="A400" s="132"/>
      <c r="B400" s="215">
        <v>46382</v>
      </c>
      <c r="C400" s="133"/>
      <c r="D400" s="136"/>
      <c r="E400" s="135"/>
      <c r="F400" s="135"/>
      <c r="G400" s="147">
        <f t="shared" si="141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42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43"/>
        <v>0</v>
      </c>
      <c r="AH400" s="136"/>
      <c r="AI400" s="136"/>
      <c r="AJ400" s="136"/>
      <c r="AK400" s="105">
        <f t="shared" si="144"/>
        <v>0</v>
      </c>
      <c r="AL400" s="143"/>
      <c r="AM400" s="143"/>
      <c r="AN400" s="143"/>
      <c r="AO400" s="146"/>
      <c r="AP400" s="224">
        <f t="shared" si="145"/>
        <v>0</v>
      </c>
      <c r="AQ400" s="126"/>
      <c r="AR400" s="274"/>
      <c r="AS400" s="126"/>
      <c r="AT400" s="126"/>
      <c r="AU400" s="126"/>
      <c r="AV400" s="126"/>
      <c r="AW400" s="126"/>
      <c r="AX400" s="394"/>
      <c r="AY400" s="394"/>
      <c r="AZ400" s="394"/>
      <c r="BA400" s="394"/>
      <c r="BB400" s="222">
        <f t="shared" si="146"/>
        <v>0</v>
      </c>
      <c r="BC400" s="140">
        <f t="shared" si="147"/>
        <v>0</v>
      </c>
      <c r="BD400" s="132"/>
      <c r="BE400" s="140">
        <f t="shared" si="148"/>
        <v>0</v>
      </c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30">
        <f t="shared" si="149"/>
        <v>0</v>
      </c>
      <c r="BU400" s="132"/>
    </row>
    <row r="401" ht="14.25" customHeight="1">
      <c r="A401" s="132"/>
      <c r="B401" s="215">
        <v>46383</v>
      </c>
      <c r="C401" s="133"/>
      <c r="D401" s="136"/>
      <c r="E401" s="135"/>
      <c r="F401" s="135"/>
      <c r="G401" s="147">
        <f t="shared" si="141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42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43"/>
        <v>0</v>
      </c>
      <c r="AH401" s="136"/>
      <c r="AI401" s="136"/>
      <c r="AJ401" s="136"/>
      <c r="AK401" s="105">
        <f t="shared" si="144"/>
        <v>0</v>
      </c>
      <c r="AL401" s="143"/>
      <c r="AM401" s="143"/>
      <c r="AN401" s="143"/>
      <c r="AO401" s="146"/>
      <c r="AP401" s="224">
        <f t="shared" si="145"/>
        <v>0</v>
      </c>
      <c r="AQ401" s="126"/>
      <c r="AR401" s="274"/>
      <c r="AS401" s="126"/>
      <c r="AT401" s="126"/>
      <c r="AU401" s="126"/>
      <c r="AV401" s="126"/>
      <c r="AW401" s="126"/>
      <c r="AX401" s="394"/>
      <c r="AY401" s="394"/>
      <c r="AZ401" s="394"/>
      <c r="BA401" s="394"/>
      <c r="BB401" s="222">
        <f t="shared" si="146"/>
        <v>0</v>
      </c>
      <c r="BC401" s="140">
        <f t="shared" si="147"/>
        <v>0</v>
      </c>
      <c r="BD401" s="132"/>
      <c r="BE401" s="140">
        <f t="shared" si="148"/>
        <v>0</v>
      </c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30">
        <f t="shared" si="149"/>
        <v>0</v>
      </c>
      <c r="BU401" s="132"/>
    </row>
    <row r="402" ht="14.25" customHeight="1">
      <c r="A402" s="132"/>
      <c r="B402" s="215">
        <v>46384</v>
      </c>
      <c r="C402" s="133"/>
      <c r="D402" s="136"/>
      <c r="E402" s="135"/>
      <c r="F402" s="135"/>
      <c r="G402" s="147">
        <f t="shared" si="141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42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43"/>
        <v>0</v>
      </c>
      <c r="AH402" s="136"/>
      <c r="AI402" s="136"/>
      <c r="AJ402" s="136"/>
      <c r="AK402" s="105">
        <f t="shared" si="144"/>
        <v>0</v>
      </c>
      <c r="AL402" s="143"/>
      <c r="AM402" s="143"/>
      <c r="AN402" s="143"/>
      <c r="AO402" s="146"/>
      <c r="AP402" s="224">
        <f t="shared" si="145"/>
        <v>0</v>
      </c>
      <c r="AQ402" s="126"/>
      <c r="AR402" s="274"/>
      <c r="AS402" s="126"/>
      <c r="AT402" s="126"/>
      <c r="AU402" s="126"/>
      <c r="AV402" s="126"/>
      <c r="AW402" s="126"/>
      <c r="AX402" s="394"/>
      <c r="AY402" s="394"/>
      <c r="AZ402" s="394"/>
      <c r="BA402" s="394"/>
      <c r="BB402" s="222">
        <f t="shared" si="146"/>
        <v>0</v>
      </c>
      <c r="BC402" s="140">
        <f t="shared" si="147"/>
        <v>0</v>
      </c>
      <c r="BD402" s="132"/>
      <c r="BE402" s="140">
        <f t="shared" si="148"/>
        <v>0</v>
      </c>
      <c r="BF402" s="141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30">
        <f t="shared" si="149"/>
        <v>0</v>
      </c>
      <c r="BU402" s="132"/>
    </row>
    <row r="403" ht="15" customHeight="1">
      <c r="A403" s="132"/>
      <c r="B403" s="215">
        <v>46385</v>
      </c>
      <c r="C403" s="133"/>
      <c r="D403" s="136"/>
      <c r="E403" s="135"/>
      <c r="F403" s="135"/>
      <c r="G403" s="147">
        <f t="shared" si="141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42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43"/>
        <v>0</v>
      </c>
      <c r="AH403" s="136"/>
      <c r="AI403" s="136"/>
      <c r="AJ403" s="136"/>
      <c r="AK403" s="105">
        <f t="shared" si="144"/>
        <v>0</v>
      </c>
      <c r="AL403" s="143"/>
      <c r="AM403" s="143"/>
      <c r="AN403" s="143"/>
      <c r="AO403" s="146"/>
      <c r="AP403" s="224">
        <f t="shared" si="145"/>
        <v>0</v>
      </c>
      <c r="AQ403" s="126"/>
      <c r="AR403" s="274"/>
      <c r="AS403" s="126"/>
      <c r="AT403" s="126"/>
      <c r="AU403" s="126"/>
      <c r="AV403" s="126"/>
      <c r="AW403" s="126"/>
      <c r="AX403" s="394"/>
      <c r="AY403" s="394"/>
      <c r="AZ403" s="394"/>
      <c r="BA403" s="394"/>
      <c r="BB403" s="222">
        <f t="shared" si="146"/>
        <v>0</v>
      </c>
      <c r="BC403" s="140">
        <f t="shared" si="147"/>
        <v>0</v>
      </c>
      <c r="BD403" s="132"/>
      <c r="BE403" s="140">
        <f t="shared" si="148"/>
        <v>0</v>
      </c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30">
        <f t="shared" si="149"/>
        <v>0</v>
      </c>
      <c r="BU403" s="132"/>
    </row>
    <row r="404" ht="14.25" customHeight="1">
      <c r="A404" s="132"/>
      <c r="B404" s="215">
        <v>46386</v>
      </c>
      <c r="C404" s="133"/>
      <c r="D404" s="136"/>
      <c r="E404" s="135"/>
      <c r="F404" s="135"/>
      <c r="G404" s="147">
        <f t="shared" si="141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42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43"/>
        <v>0</v>
      </c>
      <c r="AH404" s="136"/>
      <c r="AI404" s="136"/>
      <c r="AJ404" s="136"/>
      <c r="AK404" s="105">
        <f t="shared" si="144"/>
        <v>0</v>
      </c>
      <c r="AL404" s="143"/>
      <c r="AM404" s="143"/>
      <c r="AN404" s="143"/>
      <c r="AO404" s="146"/>
      <c r="AP404" s="224">
        <f t="shared" si="145"/>
        <v>0</v>
      </c>
      <c r="AQ404" s="126"/>
      <c r="AR404" s="274"/>
      <c r="AS404" s="126"/>
      <c r="AT404" s="126"/>
      <c r="AU404" s="126"/>
      <c r="AV404" s="126"/>
      <c r="AW404" s="126"/>
      <c r="AX404" s="394"/>
      <c r="AY404" s="394"/>
      <c r="AZ404" s="394"/>
      <c r="BA404" s="394"/>
      <c r="BB404" s="222">
        <f t="shared" si="146"/>
        <v>0</v>
      </c>
      <c r="BC404" s="140">
        <f t="shared" si="147"/>
        <v>0</v>
      </c>
      <c r="BD404" s="132"/>
      <c r="BE404" s="140">
        <f t="shared" si="148"/>
        <v>0</v>
      </c>
      <c r="BF404" s="141"/>
      <c r="BG404" s="141"/>
      <c r="BH404" s="141"/>
      <c r="BI404" s="141"/>
      <c r="BJ404" s="141"/>
      <c r="BK404" s="141"/>
      <c r="BL404" s="141"/>
      <c r="BM404" s="141"/>
      <c r="BN404" s="141"/>
      <c r="BO404" s="141"/>
      <c r="BP404" s="141"/>
      <c r="BQ404" s="141"/>
      <c r="BR404" s="141"/>
      <c r="BS404" s="141"/>
      <c r="BT404" s="130">
        <f t="shared" si="149"/>
        <v>0</v>
      </c>
      <c r="BU404" s="132"/>
    </row>
    <row r="405" ht="14.25" customHeight="1">
      <c r="A405" s="132"/>
      <c r="B405" s="215">
        <v>46387</v>
      </c>
      <c r="C405" s="153"/>
      <c r="D405" s="159"/>
      <c r="E405" s="156"/>
      <c r="F405" s="156"/>
      <c r="G405" s="147">
        <f t="shared" si="141"/>
        <v>0</v>
      </c>
      <c r="H405" s="612"/>
      <c r="I405" s="157"/>
      <c r="J405" s="143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42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43"/>
        <v>0</v>
      </c>
      <c r="AH405" s="159"/>
      <c r="AI405" s="159"/>
      <c r="AJ405" s="159"/>
      <c r="AK405" s="105">
        <f t="shared" si="144"/>
        <v>0</v>
      </c>
      <c r="AL405" s="157"/>
      <c r="AM405" s="157"/>
      <c r="AN405" s="157"/>
      <c r="AO405" s="160"/>
      <c r="AP405" s="224">
        <f t="shared" si="145"/>
        <v>0</v>
      </c>
      <c r="AQ405" s="138"/>
      <c r="AR405" s="296"/>
      <c r="AS405" s="138"/>
      <c r="AT405" s="138"/>
      <c r="AU405" s="126"/>
      <c r="AV405" s="126"/>
      <c r="AW405" s="138"/>
      <c r="AX405" s="404"/>
      <c r="AY405" s="404"/>
      <c r="AZ405" s="404"/>
      <c r="BA405" s="404"/>
      <c r="BB405" s="222">
        <f t="shared" si="146"/>
        <v>0</v>
      </c>
      <c r="BC405" s="140">
        <f t="shared" si="147"/>
        <v>0</v>
      </c>
      <c r="BD405" s="132"/>
      <c r="BE405" s="162">
        <f t="shared" si="148"/>
        <v>0</v>
      </c>
      <c r="BF405" s="163"/>
      <c r="BG405" s="163"/>
      <c r="BH405" s="163"/>
      <c r="BI405" s="163"/>
      <c r="BJ405" s="163"/>
      <c r="BK405" s="163"/>
      <c r="BL405" s="163"/>
      <c r="BM405" s="163"/>
      <c r="BN405" s="163"/>
      <c r="BO405" s="141"/>
      <c r="BP405" s="163"/>
      <c r="BQ405" s="163"/>
      <c r="BR405" s="163"/>
      <c r="BS405" s="163"/>
      <c r="BT405" s="164">
        <f t="shared" si="149"/>
        <v>0</v>
      </c>
      <c r="BU405" s="132"/>
    </row>
    <row r="406" ht="14.25" customHeight="1">
      <c r="A406" s="3"/>
      <c r="B406" s="2" t="s">
        <v>86</v>
      </c>
      <c r="C406" s="166">
        <f ref="C406:BC406" t="shared" si="150">SUM(C375:C405)</f>
        <v>0</v>
      </c>
      <c r="D406" s="166">
        <f t="shared" si="150"/>
        <v>0</v>
      </c>
      <c r="E406" s="166">
        <f t="shared" si="150"/>
        <v>0</v>
      </c>
      <c r="F406" s="166">
        <f t="shared" si="150"/>
        <v>0</v>
      </c>
      <c r="G406" s="166">
        <f t="shared" si="150"/>
        <v>0</v>
      </c>
      <c r="H406" s="166">
        <f t="shared" si="150"/>
        <v>0</v>
      </c>
      <c r="I406" s="166">
        <f t="shared" si="150"/>
        <v>0</v>
      </c>
      <c r="J406" s="166">
        <f t="shared" si="150"/>
        <v>0</v>
      </c>
      <c r="K406" s="166">
        <f t="shared" si="150"/>
        <v>0</v>
      </c>
      <c r="L406" s="166">
        <f t="shared" si="150"/>
        <v>0</v>
      </c>
      <c r="M406" s="166">
        <f t="shared" si="150"/>
        <v>0</v>
      </c>
      <c r="N406" s="166">
        <f t="shared" si="150"/>
        <v>0</v>
      </c>
      <c r="O406" s="166">
        <f t="shared" si="150"/>
        <v>0</v>
      </c>
      <c r="P406" s="166">
        <f t="shared" si="150"/>
        <v>0</v>
      </c>
      <c r="Q406" s="166">
        <f t="shared" si="150"/>
        <v>0</v>
      </c>
      <c r="R406" s="166">
        <f t="shared" si="150"/>
        <v>0</v>
      </c>
      <c r="S406" s="166">
        <f t="shared" si="150"/>
        <v>0</v>
      </c>
      <c r="T406" s="166">
        <f t="shared" si="150"/>
        <v>0</v>
      </c>
      <c r="U406" s="166">
        <f t="shared" si="150"/>
        <v>0</v>
      </c>
      <c r="V406" s="166">
        <f t="shared" si="150"/>
        <v>0</v>
      </c>
      <c r="W406" s="166">
        <f t="shared" si="150"/>
        <v>0</v>
      </c>
      <c r="X406" s="166">
        <f t="shared" si="150"/>
        <v>0</v>
      </c>
      <c r="Y406" s="166">
        <f t="shared" si="150"/>
        <v>0</v>
      </c>
      <c r="Z406" s="166">
        <f t="shared" si="150"/>
        <v>0</v>
      </c>
      <c r="AA406" s="166">
        <f t="shared" si="150"/>
        <v>0</v>
      </c>
      <c r="AB406" s="166">
        <f t="shared" si="150"/>
        <v>0</v>
      </c>
      <c r="AC406" s="166">
        <f t="shared" si="150"/>
        <v>0</v>
      </c>
      <c r="AD406" s="166">
        <f t="shared" si="150"/>
        <v>0</v>
      </c>
      <c r="AE406" s="166">
        <f t="shared" si="150"/>
        <v>0</v>
      </c>
      <c r="AF406" s="166">
        <f t="shared" si="150"/>
        <v>0</v>
      </c>
      <c r="AG406" s="166">
        <f t="shared" si="150"/>
        <v>0</v>
      </c>
      <c r="AH406" s="166">
        <f t="shared" si="150"/>
        <v>0</v>
      </c>
      <c r="AI406" s="166">
        <f t="shared" si="150"/>
        <v>0</v>
      </c>
      <c r="AJ406" s="166">
        <f t="shared" si="150"/>
        <v>0</v>
      </c>
      <c r="AK406" s="166">
        <f t="shared" si="150"/>
        <v>0</v>
      </c>
      <c r="AL406" s="166">
        <f t="shared" si="150"/>
        <v>0</v>
      </c>
      <c r="AM406" s="166">
        <f t="shared" si="150"/>
        <v>0</v>
      </c>
      <c r="AN406" s="166">
        <f t="shared" si="150"/>
        <v>0</v>
      </c>
      <c r="AO406" s="166">
        <f t="shared" si="150"/>
        <v>0</v>
      </c>
      <c r="AP406" s="166">
        <f t="shared" si="150"/>
        <v>0</v>
      </c>
      <c r="AQ406" s="165">
        <f t="shared" si="150"/>
        <v>0</v>
      </c>
      <c r="AR406" s="166">
        <f t="shared" si="150"/>
        <v>0</v>
      </c>
      <c r="AS406" s="166">
        <f t="shared" si="150"/>
        <v>0</v>
      </c>
      <c r="AT406" s="166">
        <f t="shared" si="150"/>
        <v>0</v>
      </c>
      <c r="AU406" s="166">
        <f t="shared" si="150"/>
        <v>0</v>
      </c>
      <c r="AV406" s="166">
        <f t="shared" si="150"/>
        <v>0</v>
      </c>
      <c r="AW406" s="166">
        <f t="shared" si="150"/>
        <v>0</v>
      </c>
      <c r="AX406" s="166">
        <f t="shared" si="150"/>
        <v>0</v>
      </c>
      <c r="AY406" s="166">
        <f t="shared" si="150"/>
        <v>0</v>
      </c>
      <c r="AZ406" s="166">
        <f t="shared" si="150"/>
        <v>0</v>
      </c>
      <c r="BA406" s="166">
        <f t="shared" si="150"/>
        <v>0</v>
      </c>
      <c r="BB406" s="166">
        <f t="shared" si="150"/>
        <v>0</v>
      </c>
      <c r="BC406" s="166">
        <f t="shared" si="150"/>
        <v>0</v>
      </c>
      <c r="BD406" s="3"/>
      <c r="BE406" s="172">
        <f ref="BE406:BR406" t="shared" si="151">SUM(BE375:BE405)</f>
        <v>0</v>
      </c>
      <c r="BF406" s="165">
        <f t="shared" si="151"/>
        <v>0</v>
      </c>
      <c r="BG406" s="165">
        <f t="shared" si="151"/>
        <v>0</v>
      </c>
      <c r="BH406" s="165">
        <f t="shared" si="151"/>
        <v>0</v>
      </c>
      <c r="BI406" s="165">
        <f t="shared" si="151"/>
        <v>0</v>
      </c>
      <c r="BJ406" s="165">
        <f t="shared" si="151"/>
        <v>0</v>
      </c>
      <c r="BK406" s="165">
        <f t="shared" si="151"/>
        <v>0</v>
      </c>
      <c r="BL406" s="165">
        <f t="shared" si="151"/>
        <v>0</v>
      </c>
      <c r="BM406" s="165">
        <f t="shared" si="151"/>
        <v>0</v>
      </c>
      <c r="BN406" s="165">
        <f t="shared" si="151"/>
        <v>0</v>
      </c>
      <c r="BO406" s="166">
        <f t="shared" si="151"/>
        <v>0</v>
      </c>
      <c r="BP406" s="165">
        <f t="shared" si="151"/>
        <v>0</v>
      </c>
      <c r="BQ406" s="165">
        <f t="shared" si="151"/>
        <v>0</v>
      </c>
      <c r="BR406" s="165">
        <f t="shared" si="151"/>
        <v>0</v>
      </c>
      <c r="BS406" s="165"/>
      <c r="BT406" s="165">
        <f>SUM(BT375:BT405)</f>
        <v>0</v>
      </c>
      <c r="BU406" s="132"/>
    </row>
  </sheetData>
  <pageMargins left="0.7" right="0.7" top="0.75" bottom="0.75" header="0" footer="0"/>
  <pageSetup orientation="portrait"/>
  <headerFooter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BT406"/>
  <sheetViews>
    <sheetView showGridLines="0" zoomScale="42" zoomScaleNormal="42" workbookViewId="0">
      <pane xSplit="2" ySplit="6" topLeftCell="C109" activePane="bottomRight" state="frozen"/>
      <selection pane="topRight" activeCell="C1" sqref="C1"/>
      <selection pane="bottomLeft" activeCell="A7" sqref="A7"/>
      <selection pane="bottomRight" activeCell="AQ140" sqref="AQ140:AQ147"/>
    </sheetView>
  </sheetViews>
  <sheetFormatPr baseColWidth="10" defaultColWidth="14.42578125" defaultRowHeight="15" customHeight="1" x14ac:dyDescent="0.25"/>
  <cols>
    <col min="1" max="1" width="3.7109375" customWidth="1"/>
    <col min="2" max="2" width="9.85546875" customWidth="1"/>
    <col min="3" max="3" width="13.42578125" customWidth="1"/>
    <col min="4" max="4" hidden="1" width="13.42578125" customWidth="1"/>
    <col min="5" max="5" hidden="1" width="12.42578125" customWidth="1"/>
    <col min="6" max="6" hidden="1" width="13.85546875" customWidth="1"/>
    <col min="7" max="7" width="13.42578125" customWidth="1"/>
    <col min="8" max="8" hidden="1" width="12.42578125" customWidth="1"/>
    <col min="9" max="9" hidden="1" width="15.5703125" customWidth="1"/>
    <col min="10" max="10" width="16.42578125" customWidth="1"/>
    <col min="11" max="11" hidden="1" width="14" customWidth="1"/>
    <col min="12" max="12" hidden="1" width="15.28515625" customWidth="1"/>
    <col min="13" max="13" hidden="1" width="10.7109375" customWidth="1"/>
    <col min="14" max="18" hidden="1" width="13.7109375" customWidth="1"/>
    <col min="19" max="19" width="20" customWidth="1"/>
    <col min="20" max="20" width="18" customWidth="1"/>
    <col min="22" max="22" hidden="1" width="12.85546875" customWidth="1"/>
    <col min="23" max="29" hidden="1" width="12.7109375" customWidth="1"/>
    <col min="30" max="30" hidden="1" width="10.28515625" customWidth="1"/>
    <col min="31" max="31" hidden="1" width="8.140625" customWidth="1"/>
    <col min="32" max="32" hidden="1" width="7.42578125" customWidth="1"/>
    <col min="33" max="33" width="12" customWidth="1"/>
    <col min="34" max="35" width="12.85546875" customWidth="1"/>
    <col min="36" max="36" hidden="1" width="12.85546875" customWidth="1"/>
    <col min="37" max="37" width="16.42578125" customWidth="1"/>
    <col min="38" max="38" width="13" customWidth="1"/>
    <col min="39" max="39" width="15.140625" customWidth="1"/>
    <col min="40" max="40" hidden="1" width="15.140625" customWidth="1"/>
    <col min="41" max="41" width="12.7109375" customWidth="1"/>
    <col min="42" max="42" width="13.140625" customWidth="1"/>
    <col min="43" max="44" width="11.85546875" customWidth="1"/>
    <col min="45" max="47" hidden="1" width="11.85546875" customWidth="1"/>
    <col min="48" max="49" width="11.85546875" customWidth="1"/>
    <col min="50" max="51" hidden="1" width="11.85546875" customWidth="1"/>
    <col min="52" max="52" hidden="1" width="13.42578125" customWidth="1"/>
    <col min="53" max="53" width="11.85546875" customWidth="1"/>
    <col min="54" max="54" width="13" customWidth="1"/>
    <col min="55" max="55" width="16.42578125" customWidth="1"/>
    <col min="56" max="56" width="4" customWidth="1"/>
    <col min="57" max="57" width="11.42578125" customWidth="1"/>
    <col min="58" max="60" width="12.7109375" customWidth="1"/>
    <col min="61" max="63" hidden="1" width="12.7109375" customWidth="1"/>
    <col min="64" max="64" hidden="1" width="15" customWidth="1"/>
    <col min="65" max="66" hidden="1" width="14.42578125" customWidth="1"/>
    <col min="67" max="70" width="12.7109375" customWidth="1"/>
    <col min="71" max="71" width="11.42578125" customWidth="1"/>
    <col min="72" max="72" width="4.7109375" customWidth="1"/>
  </cols>
  <sheetData>
    <row r="1" ht="6" customHeight="1">
      <c r="A1" s="1"/>
      <c r="B1" s="2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4"/>
      <c r="AL1" s="3"/>
      <c r="AM1" s="3"/>
      <c r="AN1" s="3"/>
      <c r="AO1" s="3"/>
      <c r="AP1" s="4"/>
      <c r="AQ1" s="132"/>
      <c r="AR1" s="132"/>
      <c r="AS1" s="132"/>
      <c r="AT1" s="3"/>
      <c r="AU1" s="3"/>
      <c r="AV1" s="3"/>
      <c r="AW1" s="132"/>
      <c r="AX1" s="132"/>
      <c r="AY1" s="132"/>
      <c r="AZ1" s="132"/>
      <c r="BA1" s="132"/>
      <c r="BB1" s="4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ht="11.25" customHeight="1">
      <c r="A2" s="313"/>
      <c r="B2" s="314" t="s">
        <v>274</v>
      </c>
      <c r="C2" s="313"/>
      <c r="D2" s="313"/>
      <c r="E2" s="313"/>
      <c r="F2" s="313"/>
      <c r="G2" s="316"/>
      <c r="H2" s="316"/>
      <c r="I2" s="316"/>
      <c r="J2" s="313"/>
      <c r="K2" s="313"/>
      <c r="L2" s="313"/>
      <c r="M2" s="313"/>
      <c r="N2" s="313"/>
      <c r="O2" s="313"/>
      <c r="P2" s="316"/>
      <c r="Q2" s="316"/>
      <c r="R2" s="316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"/>
      <c r="AL2" s="3"/>
      <c r="AM2" s="3"/>
      <c r="AN2" s="3"/>
      <c r="AO2" s="3"/>
      <c r="AP2" s="3"/>
      <c r="AQ2" s="132"/>
      <c r="AR2" s="132"/>
      <c r="AS2" s="132"/>
      <c r="AT2" s="3"/>
      <c r="AU2" s="3"/>
      <c r="AV2" s="3"/>
      <c r="AW2" s="313"/>
      <c r="AX2" s="313"/>
      <c r="AY2" s="313"/>
      <c r="AZ2" s="313"/>
      <c r="BA2" s="313"/>
      <c r="BB2" s="3"/>
      <c r="BC2" s="313"/>
      <c r="BD2" s="313"/>
      <c r="BE2" s="313"/>
      <c r="BF2" s="313"/>
      <c r="BG2" s="313"/>
      <c r="BH2" s="313"/>
      <c r="BI2" s="313"/>
      <c r="BJ2" s="313"/>
      <c r="BK2" s="313"/>
      <c r="BL2" s="313"/>
      <c r="BM2" s="313"/>
      <c r="BN2" s="313"/>
      <c r="BO2" s="313"/>
      <c r="BP2" s="313"/>
      <c r="BQ2" s="313"/>
      <c r="BR2" s="313"/>
      <c r="BS2" s="313"/>
      <c r="BT2" s="313"/>
    </row>
    <row r="3" ht="11.25" customHeight="1">
      <c r="A3" s="14"/>
      <c r="B3" s="20"/>
      <c r="C3" s="689" t="s">
        <v>275</v>
      </c>
      <c r="D3" s="14"/>
      <c r="E3" s="14"/>
      <c r="F3" s="14"/>
      <c r="G3" s="15"/>
      <c r="H3" s="15"/>
      <c r="I3" s="15"/>
      <c r="J3" s="14"/>
      <c r="K3" s="14"/>
      <c r="L3" s="14"/>
      <c r="M3" s="14"/>
      <c r="N3" s="14"/>
      <c r="O3" s="14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4"/>
      <c r="AX3" s="14"/>
      <c r="AY3" s="14"/>
      <c r="AZ3" s="14"/>
      <c r="BA3" s="14"/>
      <c r="BB3" s="16"/>
      <c r="BC3" s="14"/>
      <c r="BD3" s="14"/>
      <c r="BE3" s="14" t="s">
        <v>3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</row>
    <row r="4" ht="6" customHeight="1">
      <c r="A4" s="3"/>
      <c r="B4" s="204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693"/>
      <c r="AA4" s="693"/>
      <c r="AB4" s="693"/>
      <c r="AC4" s="693"/>
      <c r="AD4" s="693"/>
      <c r="AE4" s="693"/>
      <c r="AF4" s="693"/>
      <c r="AG4" s="25" t="s">
        <v>4</v>
      </c>
      <c r="AH4" s="3"/>
      <c r="AI4" s="3"/>
      <c r="AJ4" s="3"/>
      <c r="AK4" s="695" t="s">
        <v>5</v>
      </c>
      <c r="AL4" s="693"/>
      <c r="AM4" s="693"/>
      <c r="AN4" s="693"/>
      <c r="AO4" s="693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175"/>
      <c r="BT4" s="3"/>
    </row>
    <row r="5" ht="13.5" customHeight="1">
      <c r="A5" s="33"/>
      <c r="B5" s="1337" t="s">
        <v>6</v>
      </c>
      <c r="C5" s="566" t="s">
        <v>7</v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10</v>
      </c>
      <c r="N5" s="571" t="s">
        <v>10</v>
      </c>
      <c r="O5" s="571" t="s">
        <v>10</v>
      </c>
      <c r="P5" s="571" t="s">
        <v>10</v>
      </c>
      <c r="Q5" s="571" t="s">
        <v>10</v>
      </c>
      <c r="R5" s="571" t="s">
        <v>10</v>
      </c>
      <c r="S5" s="571" t="s">
        <v>10</v>
      </c>
      <c r="T5" s="571" t="s">
        <v>11</v>
      </c>
      <c r="U5" s="571" t="s">
        <v>12</v>
      </c>
      <c r="V5" s="571" t="s">
        <v>12</v>
      </c>
      <c r="W5" s="571" t="s">
        <v>12</v>
      </c>
      <c r="X5" s="571" t="s">
        <v>12</v>
      </c>
      <c r="Y5" s="571" t="s">
        <v>12</v>
      </c>
      <c r="Z5" s="571" t="s">
        <v>12</v>
      </c>
      <c r="AA5" s="571" t="s">
        <v>12</v>
      </c>
      <c r="AB5" s="571" t="s">
        <v>12</v>
      </c>
      <c r="AC5" s="571" t="s">
        <v>12</v>
      </c>
      <c r="AD5" s="571" t="s">
        <v>12</v>
      </c>
      <c r="AE5" s="571" t="s">
        <v>12</v>
      </c>
      <c r="AF5" s="708" t="s">
        <v>12</v>
      </c>
      <c r="AG5" s="709" t="s">
        <v>12</v>
      </c>
      <c r="AH5" s="572" t="s">
        <v>13</v>
      </c>
      <c r="AI5" s="573" t="s">
        <v>13</v>
      </c>
      <c r="AJ5" s="573" t="s">
        <v>13</v>
      </c>
      <c r="AK5" s="605" t="s">
        <v>14</v>
      </c>
      <c r="AL5" s="574" t="s">
        <v>15</v>
      </c>
      <c r="AM5" s="575" t="s">
        <v>15</v>
      </c>
      <c r="AN5" s="575" t="s">
        <v>15</v>
      </c>
      <c r="AO5" s="576" t="s">
        <v>16</v>
      </c>
      <c r="AP5" s="51" t="s">
        <v>4</v>
      </c>
      <c r="AQ5" s="1393" t="s">
        <v>17</v>
      </c>
      <c r="AR5" s="59" t="s">
        <v>17</v>
      </c>
      <c r="AS5" s="59" t="s">
        <v>20</v>
      </c>
      <c r="AT5" s="59" t="s">
        <v>20</v>
      </c>
      <c r="AU5" s="59" t="s">
        <v>20</v>
      </c>
      <c r="AV5" s="59" t="s">
        <v>20</v>
      </c>
      <c r="AW5" s="715" t="s">
        <v>20</v>
      </c>
      <c r="AX5" s="715" t="s">
        <v>20</v>
      </c>
      <c r="AY5" s="715" t="s">
        <v>21</v>
      </c>
      <c r="AZ5" s="59" t="s">
        <v>22</v>
      </c>
      <c r="BA5" s="59" t="s">
        <v>24</v>
      </c>
      <c r="BB5" s="51" t="s">
        <v>5</v>
      </c>
      <c r="BC5" s="58" t="s">
        <v>25</v>
      </c>
      <c r="BD5" s="33"/>
      <c r="BE5" s="58" t="s">
        <v>4</v>
      </c>
      <c r="BF5" s="59" t="s">
        <v>26</v>
      </c>
      <c r="BG5" s="59" t="s">
        <v>89</v>
      </c>
      <c r="BH5" s="59" t="s">
        <v>90</v>
      </c>
      <c r="BI5" s="59" t="s">
        <v>91</v>
      </c>
      <c r="BJ5" s="59" t="s">
        <v>92</v>
      </c>
      <c r="BK5" s="59" t="s">
        <v>93</v>
      </c>
      <c r="BL5" s="59" t="s">
        <v>94</v>
      </c>
      <c r="BM5" s="59" t="s">
        <v>95</v>
      </c>
      <c r="BN5" s="59" t="s">
        <v>95</v>
      </c>
      <c r="BO5" s="59" t="s">
        <v>27</v>
      </c>
      <c r="BP5" s="59" t="s">
        <v>28</v>
      </c>
      <c r="BQ5" s="59" t="s">
        <v>28</v>
      </c>
      <c r="BR5" s="59" t="s">
        <v>28</v>
      </c>
      <c r="BS5" s="60" t="s">
        <v>29</v>
      </c>
      <c r="BT5" s="33"/>
    </row>
    <row r="6" ht="13.5" customHeight="1">
      <c r="A6" s="33"/>
      <c r="B6" s="1339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276</v>
      </c>
      <c r="I6" s="588" t="s">
        <v>277</v>
      </c>
      <c r="J6" s="588" t="s">
        <v>179</v>
      </c>
      <c r="K6" s="588" t="s">
        <v>53</v>
      </c>
      <c r="L6" s="588" t="s">
        <v>54</v>
      </c>
      <c r="M6" s="588" t="s">
        <v>55</v>
      </c>
      <c r="N6" s="588" t="s">
        <v>56</v>
      </c>
      <c r="O6" s="588" t="s">
        <v>57</v>
      </c>
      <c r="P6" s="588" t="s">
        <v>58</v>
      </c>
      <c r="Q6" s="588" t="s">
        <v>59</v>
      </c>
      <c r="R6" s="588" t="s">
        <v>46</v>
      </c>
      <c r="S6" s="588" t="s">
        <v>278</v>
      </c>
      <c r="T6" s="595" t="s">
        <v>48</v>
      </c>
      <c r="U6" s="733" t="s">
        <v>106</v>
      </c>
      <c r="V6" s="733" t="s">
        <v>75</v>
      </c>
      <c r="W6" s="733" t="s">
        <v>52</v>
      </c>
      <c r="X6" s="733" t="s">
        <v>53</v>
      </c>
      <c r="Y6" s="733" t="s">
        <v>54</v>
      </c>
      <c r="Z6" s="733" t="s">
        <v>55</v>
      </c>
      <c r="AA6" s="733" t="s">
        <v>56</v>
      </c>
      <c r="AB6" s="733" t="s">
        <v>57</v>
      </c>
      <c r="AC6" s="733" t="s">
        <v>58</v>
      </c>
      <c r="AD6" s="733" t="s">
        <v>59</v>
      </c>
      <c r="AE6" s="733" t="s">
        <v>46</v>
      </c>
      <c r="AF6" s="733" t="s">
        <v>47</v>
      </c>
      <c r="AG6" s="595" t="s">
        <v>30</v>
      </c>
      <c r="AH6" s="599" t="s">
        <v>30</v>
      </c>
      <c r="AI6" s="600" t="s">
        <v>31</v>
      </c>
      <c r="AJ6" s="600" t="s">
        <v>32</v>
      </c>
      <c r="AK6" s="90" t="s">
        <v>34</v>
      </c>
      <c r="AL6" s="601" t="s">
        <v>48</v>
      </c>
      <c r="AM6" s="602" t="s">
        <v>31</v>
      </c>
      <c r="AN6" s="602" t="s">
        <v>32</v>
      </c>
      <c r="AO6" s="603" t="s">
        <v>60</v>
      </c>
      <c r="AP6" s="81" t="s">
        <v>61</v>
      </c>
      <c r="AQ6" s="1395" t="s">
        <v>62</v>
      </c>
      <c r="AR6" s="605" t="s">
        <v>64</v>
      </c>
      <c r="AS6" s="90" t="s">
        <v>158</v>
      </c>
      <c r="AT6" s="90" t="s">
        <v>66</v>
      </c>
      <c r="AU6" s="90" t="s">
        <v>67</v>
      </c>
      <c r="AV6" s="90" t="s">
        <v>68</v>
      </c>
      <c r="AW6" s="1345" t="s">
        <v>31</v>
      </c>
      <c r="AX6" s="1345" t="s">
        <v>32</v>
      </c>
      <c r="AY6" s="1345" t="s">
        <v>32</v>
      </c>
      <c r="AZ6" s="605"/>
      <c r="BA6" s="605" t="s">
        <v>69</v>
      </c>
      <c r="BB6" s="81" t="s">
        <v>70</v>
      </c>
      <c r="BC6" s="89" t="s">
        <v>71</v>
      </c>
      <c r="BD6" s="33"/>
      <c r="BE6" s="89" t="s">
        <v>72</v>
      </c>
      <c r="BF6" s="90"/>
      <c r="BG6" s="90" t="s">
        <v>125</v>
      </c>
      <c r="BH6" s="90"/>
      <c r="BI6" s="90" t="s">
        <v>126</v>
      </c>
      <c r="BJ6" s="90" t="s">
        <v>127</v>
      </c>
      <c r="BK6" s="90" t="s">
        <v>128</v>
      </c>
      <c r="BL6" s="90" t="s">
        <v>129</v>
      </c>
      <c r="BM6" s="90" t="s">
        <v>130</v>
      </c>
      <c r="BN6" s="90" t="s">
        <v>131</v>
      </c>
      <c r="BO6" s="90" t="s">
        <v>73</v>
      </c>
      <c r="BP6" s="90" t="s">
        <v>74</v>
      </c>
      <c r="BQ6" s="90" t="s">
        <v>75</v>
      </c>
      <c r="BR6" s="90" t="s">
        <v>52</v>
      </c>
      <c r="BS6" s="91"/>
      <c r="BT6" s="33"/>
    </row>
    <row r="7" ht="14.25" customHeight="1">
      <c r="A7" s="3"/>
      <c r="B7" s="215">
        <v>46023</v>
      </c>
      <c r="C7" s="896">
        <f>1327.35-0-0</f>
      </c>
      <c r="D7" s="104"/>
      <c r="E7" s="97"/>
      <c r="F7" s="97"/>
      <c r="G7" s="147">
        <f ref="G7:G37" t="shared" si="0">+C7+D7+E7+F7</f>
        <v>0</v>
      </c>
      <c r="H7" s="187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03">
        <f ref="T7:T37" t="shared" si="1">SUM(H7:S7)</f>
        <v>0</v>
      </c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03">
        <f ref="AG7:AG37" t="shared" si="2">SUM(U7:AF7)</f>
        <v>0</v>
      </c>
      <c r="AH7" s="1413">
        <v>147</v>
      </c>
      <c r="AI7" s="104"/>
      <c r="AJ7" s="104"/>
      <c r="AK7" s="105">
        <f ref="AK7:AK37" t="shared" si="3">SUM(AH7:AJ7)</f>
        <v>0</v>
      </c>
      <c r="AL7" s="186"/>
      <c r="AM7" s="186"/>
      <c r="AN7" s="186"/>
      <c r="AO7" s="193"/>
      <c r="AP7" s="224">
        <f ref="AP7:AP37" t="shared" si="4">+G7-T7-AG7-AK7-AL7-AM7-AN7-AO7</f>
        <v>0</v>
      </c>
      <c r="AQ7" s="1759">
        <v>1180.3</v>
      </c>
      <c r="AR7" s="1708"/>
      <c r="AS7" s="109"/>
      <c r="AT7" s="109"/>
      <c r="AU7" s="126"/>
      <c r="AV7" s="126"/>
      <c r="AW7" s="109"/>
      <c r="AX7" s="269"/>
      <c r="AY7" s="269"/>
      <c r="AZ7" s="269"/>
      <c r="BA7" s="269"/>
      <c r="BB7" s="222">
        <f ref="BB7:BB37" t="shared" si="5">SUM(AQ7:BA7)-AZ7</f>
        <v>0</v>
      </c>
      <c r="BC7" s="114">
        <f ref="BC7:BC37" t="shared" si="6">+AP7-BB7</f>
        <v>0</v>
      </c>
      <c r="BD7" s="3"/>
      <c r="BE7" s="114">
        <f ref="BE7:BE37" t="shared" si="7">SUM(BF7:BR7)</f>
        <v>0</v>
      </c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052"/>
      <c r="BQ7" s="115"/>
      <c r="BR7" s="115"/>
      <c r="BS7" s="116">
        <f ref="BS7:BS37" t="shared" si="8">+BC7-BE7</f>
        <v>0</v>
      </c>
      <c r="BT7" s="3"/>
    </row>
    <row r="8" ht="14.25" customHeight="1">
      <c r="A8" s="3"/>
      <c r="B8" s="215">
        <v>46024</v>
      </c>
      <c r="C8" s="906">
        <f>2026.55-0-0</f>
      </c>
      <c r="D8" s="123"/>
      <c r="E8" s="120"/>
      <c r="F8" s="120"/>
      <c r="G8" s="147">
        <f t="shared" si="0"/>
        <v>0</v>
      </c>
      <c r="H8" s="144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03">
        <f t="shared" si="1"/>
        <v>0</v>
      </c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03">
        <f t="shared" si="2"/>
        <v>0</v>
      </c>
      <c r="AH8" s="906">
        <v>398.85</v>
      </c>
      <c r="AI8" s="123"/>
      <c r="AJ8" s="123"/>
      <c r="AK8" s="105">
        <f t="shared" si="3"/>
        <v>0</v>
      </c>
      <c r="AL8" s="143"/>
      <c r="AM8" s="143"/>
      <c r="AN8" s="143"/>
      <c r="AO8" s="146"/>
      <c r="AP8" s="224">
        <f t="shared" si="4"/>
        <v>0</v>
      </c>
      <c r="AQ8" s="1760">
        <v>1627.7</v>
      </c>
      <c r="AR8" s="1709"/>
      <c r="AS8" s="126"/>
      <c r="AT8" s="126"/>
      <c r="AU8" s="126"/>
      <c r="AV8" s="126"/>
      <c r="AW8" s="126"/>
      <c r="AX8" s="274"/>
      <c r="AY8" s="274"/>
      <c r="AZ8" s="274"/>
      <c r="BA8" s="274"/>
      <c r="BB8" s="222">
        <f t="shared" si="5"/>
        <v>0</v>
      </c>
      <c r="BC8" s="113">
        <f t="shared" si="6"/>
        <v>0</v>
      </c>
      <c r="BD8" s="3"/>
      <c r="BE8" s="113">
        <f t="shared" si="7"/>
        <v>0</v>
      </c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908"/>
      <c r="BQ8" s="129"/>
      <c r="BR8" s="129"/>
      <c r="BS8" s="130">
        <f t="shared" si="8"/>
        <v>0</v>
      </c>
      <c r="BT8" s="3"/>
    </row>
    <row r="9" ht="14.25" customHeight="1">
      <c r="A9" s="3"/>
      <c r="B9" s="215">
        <v>46025</v>
      </c>
      <c r="C9" s="906">
        <f>844.87-0-0</f>
      </c>
      <c r="D9" s="123"/>
      <c r="E9" s="120"/>
      <c r="F9" s="120"/>
      <c r="G9" s="147">
        <f t="shared" si="0"/>
        <v>0</v>
      </c>
      <c r="H9" s="144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03">
        <f t="shared" si="1"/>
        <v>0</v>
      </c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03">
        <f t="shared" si="2"/>
        <v>0</v>
      </c>
      <c r="AH9" s="915"/>
      <c r="AI9" s="123"/>
      <c r="AJ9" s="123"/>
      <c r="AK9" s="105">
        <f t="shared" si="3"/>
        <v>0</v>
      </c>
      <c r="AL9" s="143"/>
      <c r="AM9" s="143"/>
      <c r="AN9" s="143"/>
      <c r="AO9" s="146"/>
      <c r="AP9" s="224">
        <f t="shared" si="4"/>
        <v>0</v>
      </c>
      <c r="AQ9" s="1760">
        <v>419.9</v>
      </c>
      <c r="AR9" s="1709"/>
      <c r="AS9" s="274"/>
      <c r="AT9" s="126"/>
      <c r="AU9" s="126"/>
      <c r="AV9" s="126"/>
      <c r="AW9" s="126"/>
      <c r="AX9" s="274"/>
      <c r="AY9" s="274"/>
      <c r="AZ9" s="274"/>
      <c r="BA9" s="274"/>
      <c r="BB9" s="222">
        <f t="shared" si="5"/>
        <v>0</v>
      </c>
      <c r="BC9" s="113">
        <f t="shared" si="6"/>
        <v>0</v>
      </c>
      <c r="BD9" s="3"/>
      <c r="BE9" s="113">
        <f t="shared" si="7"/>
        <v>0</v>
      </c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04"/>
      <c r="BQ9" s="129">
        <v>425</v>
      </c>
      <c r="BR9" s="129"/>
      <c r="BS9" s="130">
        <f t="shared" si="8"/>
        <v>0</v>
      </c>
      <c r="BT9" s="3"/>
    </row>
    <row r="10" ht="14.25" customHeight="1">
      <c r="A10" s="3"/>
      <c r="B10" s="215">
        <v>46026</v>
      </c>
      <c r="C10" s="906">
        <f>1590.36-0-0</f>
      </c>
      <c r="D10" s="123"/>
      <c r="E10" s="120"/>
      <c r="F10" s="120"/>
      <c r="G10" s="147">
        <f t="shared" si="0"/>
        <v>0</v>
      </c>
      <c r="H10" s="144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03">
        <f t="shared" si="1"/>
        <v>0</v>
      </c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03">
        <f t="shared" si="2"/>
        <v>0</v>
      </c>
      <c r="AH10" s="911">
        <v>100.5</v>
      </c>
      <c r="AI10" s="123"/>
      <c r="AJ10" s="123"/>
      <c r="AK10" s="105">
        <f t="shared" si="3"/>
        <v>0</v>
      </c>
      <c r="AL10" s="143"/>
      <c r="AM10" s="143"/>
      <c r="AN10" s="143"/>
      <c r="AO10" s="146"/>
      <c r="AP10" s="224">
        <f t="shared" si="4"/>
        <v>0</v>
      </c>
      <c r="AQ10" s="1760">
        <v>1489.8</v>
      </c>
      <c r="AR10" s="1709"/>
      <c r="AS10" s="274"/>
      <c r="AT10" s="126"/>
      <c r="AU10" s="126"/>
      <c r="AV10" s="126"/>
      <c r="AW10" s="126"/>
      <c r="AX10" s="274"/>
      <c r="AY10" s="274"/>
      <c r="AZ10" s="274"/>
      <c r="BA10" s="274"/>
      <c r="BB10" s="222">
        <f t="shared" si="5"/>
        <v>0</v>
      </c>
      <c r="BC10" s="113">
        <f t="shared" si="6"/>
        <v>0</v>
      </c>
      <c r="BD10" s="3"/>
      <c r="BE10" s="113">
        <f t="shared" si="7"/>
        <v>0</v>
      </c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908"/>
      <c r="BQ10" s="129"/>
      <c r="BR10" s="129"/>
      <c r="BS10" s="130">
        <f t="shared" si="8"/>
        <v>0</v>
      </c>
      <c r="BT10" s="3"/>
    </row>
    <row r="11" ht="14.25" customHeight="1">
      <c r="A11" s="3"/>
      <c r="B11" s="215">
        <v>46027</v>
      </c>
      <c r="C11" s="906">
        <f>1109.83-0-0</f>
      </c>
      <c r="D11" s="123"/>
      <c r="E11" s="120"/>
      <c r="F11" s="120"/>
      <c r="G11" s="147">
        <f t="shared" si="0"/>
        <v>0</v>
      </c>
      <c r="H11" s="144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03">
        <f t="shared" si="1"/>
        <v>0</v>
      </c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03">
        <f t="shared" si="2"/>
        <v>0</v>
      </c>
      <c r="AH11" s="911">
        <v>414</v>
      </c>
      <c r="AI11" s="123"/>
      <c r="AJ11" s="123"/>
      <c r="AK11" s="105">
        <f t="shared" si="3"/>
        <v>0</v>
      </c>
      <c r="AL11" s="143"/>
      <c r="AM11" s="143"/>
      <c r="AN11" s="143"/>
      <c r="AO11" s="146"/>
      <c r="AP11" s="224">
        <f t="shared" si="4"/>
        <v>0</v>
      </c>
      <c r="AQ11" s="1760">
        <v>695.8</v>
      </c>
      <c r="AR11" s="1709"/>
      <c r="AS11" s="274"/>
      <c r="AT11" s="126"/>
      <c r="AU11" s="126"/>
      <c r="AV11" s="126"/>
      <c r="AW11" s="126"/>
      <c r="AX11" s="274"/>
      <c r="AY11" s="274"/>
      <c r="AZ11" s="274"/>
      <c r="BA11" s="274"/>
      <c r="BB11" s="222">
        <f t="shared" si="5"/>
        <v>0</v>
      </c>
      <c r="BC11" s="113">
        <f t="shared" si="6"/>
        <v>0</v>
      </c>
      <c r="BD11" s="3"/>
      <c r="BE11" s="113">
        <f t="shared" si="7"/>
        <v>0</v>
      </c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908"/>
      <c r="BQ11" s="129"/>
      <c r="BR11" s="129"/>
      <c r="BS11" s="130">
        <f t="shared" si="8"/>
        <v>0</v>
      </c>
      <c r="BT11" s="3"/>
    </row>
    <row r="12" ht="14.25" customHeight="1">
      <c r="A12" s="3"/>
      <c r="B12" s="215">
        <v>46028</v>
      </c>
      <c r="C12" s="906">
        <f>1567.85-0-0</f>
      </c>
      <c r="D12" s="123"/>
      <c r="E12" s="120"/>
      <c r="F12" s="120"/>
      <c r="G12" s="147">
        <f t="shared" si="0"/>
        <v>0</v>
      </c>
      <c r="H12" s="144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03">
        <f t="shared" si="1"/>
        <v>0</v>
      </c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03">
        <f t="shared" si="2"/>
        <v>0</v>
      </c>
      <c r="AH12" s="915">
        <v>118.5</v>
      </c>
      <c r="AI12" s="123"/>
      <c r="AJ12" s="123"/>
      <c r="AK12" s="105">
        <f t="shared" si="3"/>
        <v>0</v>
      </c>
      <c r="AL12" s="143"/>
      <c r="AM12" s="143"/>
      <c r="AN12" s="143"/>
      <c r="AO12" s="146"/>
      <c r="AP12" s="224">
        <f t="shared" si="4"/>
        <v>0</v>
      </c>
      <c r="AQ12" s="1760">
        <v>1449.3</v>
      </c>
      <c r="AR12" s="1709"/>
      <c r="AS12" s="126"/>
      <c r="AT12" s="126"/>
      <c r="AU12" s="126"/>
      <c r="AV12" s="126"/>
      <c r="AW12" s="126"/>
      <c r="AX12" s="274"/>
      <c r="AY12" s="274"/>
      <c r="AZ12" s="274"/>
      <c r="BA12" s="274"/>
      <c r="BB12" s="222">
        <f t="shared" si="5"/>
        <v>0</v>
      </c>
      <c r="BC12" s="113">
        <f t="shared" si="6"/>
        <v>0</v>
      </c>
      <c r="BD12" s="3"/>
      <c r="BE12" s="113">
        <f t="shared" si="7"/>
        <v>0</v>
      </c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908"/>
      <c r="BQ12" s="129"/>
      <c r="BR12" s="129"/>
      <c r="BS12" s="130">
        <f t="shared" si="8"/>
        <v>0</v>
      </c>
      <c r="BT12" s="3"/>
    </row>
    <row r="13" ht="14.25" customHeight="1">
      <c r="A13" s="3"/>
      <c r="B13" s="215">
        <v>46029</v>
      </c>
      <c r="C13" s="906">
        <f>1053.44-0-0</f>
      </c>
      <c r="D13" s="123"/>
      <c r="E13" s="120"/>
      <c r="F13" s="120"/>
      <c r="G13" s="147">
        <f t="shared" si="0"/>
        <v>0</v>
      </c>
      <c r="H13" s="144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03">
        <f t="shared" si="1"/>
        <v>0</v>
      </c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03">
        <f t="shared" si="2"/>
        <v>0</v>
      </c>
      <c r="AH13" s="911">
        <v>198</v>
      </c>
      <c r="AI13" s="123"/>
      <c r="AJ13" s="123"/>
      <c r="AK13" s="105">
        <f t="shared" si="3"/>
        <v>0</v>
      </c>
      <c r="AL13" s="143"/>
      <c r="AM13" s="143"/>
      <c r="AN13" s="143"/>
      <c r="AO13" s="146"/>
      <c r="AP13" s="224">
        <f t="shared" si="4"/>
        <v>0</v>
      </c>
      <c r="AQ13" s="1760">
        <v>855.4</v>
      </c>
      <c r="AR13" s="1709"/>
      <c r="AS13" s="126"/>
      <c r="AT13" s="126"/>
      <c r="AU13" s="126"/>
      <c r="AV13" s="126"/>
      <c r="AW13" s="126"/>
      <c r="AX13" s="274"/>
      <c r="AY13" s="274"/>
      <c r="AZ13" s="274"/>
      <c r="BA13" s="274"/>
      <c r="BB13" s="222">
        <f t="shared" si="5"/>
        <v>0</v>
      </c>
      <c r="BC13" s="113">
        <f t="shared" si="6"/>
        <v>0</v>
      </c>
      <c r="BD13" s="3"/>
      <c r="BE13" s="113">
        <f t="shared" si="7"/>
        <v>0</v>
      </c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908"/>
      <c r="BQ13" s="129"/>
      <c r="BR13" s="129"/>
      <c r="BS13" s="130">
        <f t="shared" si="8"/>
        <v>0</v>
      </c>
      <c r="BT13" s="3"/>
    </row>
    <row r="14" ht="14.25" customHeight="1">
      <c r="A14" s="3"/>
      <c r="B14" s="215">
        <v>46030</v>
      </c>
      <c r="C14" s="906">
        <f>1541.66-0-0</f>
      </c>
      <c r="D14" s="123"/>
      <c r="E14" s="120"/>
      <c r="F14" s="120"/>
      <c r="G14" s="147">
        <f t="shared" si="0"/>
        <v>0</v>
      </c>
      <c r="H14" s="144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03">
        <f t="shared" si="1"/>
        <v>0</v>
      </c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03">
        <f t="shared" si="2"/>
        <v>0</v>
      </c>
      <c r="AH14" s="915">
        <v>1060</v>
      </c>
      <c r="AI14" s="123"/>
      <c r="AJ14" s="123"/>
      <c r="AK14" s="105">
        <f t="shared" si="3"/>
        <v>0</v>
      </c>
      <c r="AL14" s="143"/>
      <c r="AM14" s="143"/>
      <c r="AN14" s="143"/>
      <c r="AO14" s="146"/>
      <c r="AP14" s="224">
        <f t="shared" si="4"/>
        <v>0</v>
      </c>
      <c r="AQ14" s="1760">
        <v>481.7</v>
      </c>
      <c r="AR14" s="1709"/>
      <c r="AS14" s="126"/>
      <c r="AT14" s="126"/>
      <c r="AU14" s="126"/>
      <c r="AV14" s="126"/>
      <c r="AW14" s="126"/>
      <c r="AX14" s="274"/>
      <c r="AY14" s="274"/>
      <c r="AZ14" s="274"/>
      <c r="BA14" s="274"/>
      <c r="BB14" s="222">
        <f t="shared" si="5"/>
        <v>0</v>
      </c>
      <c r="BC14" s="113">
        <f t="shared" si="6"/>
        <v>0</v>
      </c>
      <c r="BD14" s="3"/>
      <c r="BE14" s="113">
        <f t="shared" si="7"/>
        <v>0</v>
      </c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908"/>
      <c r="BQ14" s="129"/>
      <c r="BR14" s="129"/>
      <c r="BS14" s="130">
        <f t="shared" si="8"/>
        <v>0</v>
      </c>
      <c r="BT14" s="3"/>
    </row>
    <row r="15" ht="14.25" customHeight="1">
      <c r="A15" s="3"/>
      <c r="B15" s="215">
        <v>46031</v>
      </c>
      <c r="C15" s="906">
        <f>1208.58-0-0</f>
      </c>
      <c r="D15" s="123"/>
      <c r="E15" s="120"/>
      <c r="F15" s="120"/>
      <c r="G15" s="147">
        <f t="shared" si="0"/>
        <v>0</v>
      </c>
      <c r="H15" s="144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03">
        <f t="shared" si="1"/>
        <v>0</v>
      </c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03">
        <f t="shared" si="2"/>
        <v>0</v>
      </c>
      <c r="AH15" s="911">
        <v>505.6</v>
      </c>
      <c r="AI15" s="123"/>
      <c r="AJ15" s="123"/>
      <c r="AK15" s="105">
        <f t="shared" si="3"/>
        <v>0</v>
      </c>
      <c r="AL15" s="143"/>
      <c r="AM15" s="143"/>
      <c r="AN15" s="143"/>
      <c r="AO15" s="146"/>
      <c r="AP15" s="224">
        <f t="shared" si="4"/>
        <v>0</v>
      </c>
      <c r="AQ15" s="1760">
        <v>703</v>
      </c>
      <c r="AR15" s="1709"/>
      <c r="AS15" s="126"/>
      <c r="AT15" s="126"/>
      <c r="AU15" s="126"/>
      <c r="AV15" s="126"/>
      <c r="AW15" s="126"/>
      <c r="AX15" s="274"/>
      <c r="AY15" s="274"/>
      <c r="AZ15" s="274"/>
      <c r="BA15" s="274"/>
      <c r="BB15" s="222">
        <f t="shared" si="5"/>
        <v>0</v>
      </c>
      <c r="BC15" s="113">
        <f t="shared" si="6"/>
        <v>0</v>
      </c>
      <c r="BD15" s="3"/>
      <c r="BE15" s="113">
        <f t="shared" si="7"/>
        <v>0</v>
      </c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908"/>
      <c r="BQ15" s="129"/>
      <c r="BR15" s="129"/>
      <c r="BS15" s="130">
        <f t="shared" si="8"/>
        <v>0</v>
      </c>
      <c r="BT15" s="3"/>
    </row>
    <row r="16" ht="14.25" customHeight="1">
      <c r="A16" s="3"/>
      <c r="B16" s="215">
        <v>46032</v>
      </c>
      <c r="C16" s="906">
        <f>2198.83-0-0</f>
      </c>
      <c r="D16" s="123"/>
      <c r="E16" s="120"/>
      <c r="F16" s="120"/>
      <c r="G16" s="147">
        <f t="shared" si="0"/>
        <v>0</v>
      </c>
      <c r="H16" s="144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03">
        <f t="shared" si="1"/>
        <v>0</v>
      </c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03">
        <f t="shared" si="2"/>
        <v>0</v>
      </c>
      <c r="AH16" s="915">
        <v>870</v>
      </c>
      <c r="AI16" s="123"/>
      <c r="AJ16" s="123"/>
      <c r="AK16" s="105">
        <f t="shared" si="3"/>
        <v>0</v>
      </c>
      <c r="AL16" s="143"/>
      <c r="AM16" s="143"/>
      <c r="AN16" s="143"/>
      <c r="AO16" s="146"/>
      <c r="AP16" s="224">
        <f t="shared" si="4"/>
        <v>0</v>
      </c>
      <c r="AQ16" s="1760">
        <v>1328.8</v>
      </c>
      <c r="AR16" s="1709"/>
      <c r="AS16" s="126"/>
      <c r="AT16" s="126"/>
      <c r="AU16" s="126"/>
      <c r="AV16" s="126"/>
      <c r="AW16" s="126"/>
      <c r="AX16" s="274"/>
      <c r="AY16" s="274"/>
      <c r="AZ16" s="274"/>
      <c r="BA16" s="274"/>
      <c r="BB16" s="222">
        <f t="shared" si="5"/>
        <v>0</v>
      </c>
      <c r="BC16" s="113">
        <f t="shared" si="6"/>
        <v>0</v>
      </c>
      <c r="BD16" s="3"/>
      <c r="BE16" s="113">
        <f t="shared" si="7"/>
        <v>0</v>
      </c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908"/>
      <c r="BQ16" s="129"/>
      <c r="BR16" s="129"/>
      <c r="BS16" s="130">
        <f t="shared" si="8"/>
        <v>0</v>
      </c>
      <c r="BT16" s="3"/>
    </row>
    <row r="17" ht="14.25" customHeight="1">
      <c r="A17" s="3"/>
      <c r="B17" s="215">
        <v>46033</v>
      </c>
      <c r="C17" s="906">
        <f>1629.48-0-0</f>
      </c>
      <c r="D17" s="123"/>
      <c r="E17" s="120"/>
      <c r="F17" s="120"/>
      <c r="G17" s="147">
        <f t="shared" si="0"/>
        <v>0</v>
      </c>
      <c r="H17" s="144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03">
        <f t="shared" si="1"/>
        <v>0</v>
      </c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03">
        <f t="shared" si="2"/>
        <v>0</v>
      </c>
      <c r="AH17" s="911">
        <v>334</v>
      </c>
      <c r="AI17" s="123"/>
      <c r="AJ17" s="123"/>
      <c r="AK17" s="105">
        <f t="shared" si="3"/>
        <v>0</v>
      </c>
      <c r="AL17" s="143"/>
      <c r="AM17" s="143"/>
      <c r="AN17" s="143"/>
      <c r="AO17" s="146"/>
      <c r="AP17" s="224">
        <f t="shared" si="4"/>
        <v>0</v>
      </c>
      <c r="AQ17" s="1760">
        <v>1295.5</v>
      </c>
      <c r="AR17" s="1709"/>
      <c r="AS17" s="126"/>
      <c r="AT17" s="126"/>
      <c r="AU17" s="126"/>
      <c r="AV17" s="126"/>
      <c r="AW17" s="126"/>
      <c r="AX17" s="274"/>
      <c r="AY17" s="274"/>
      <c r="AZ17" s="274"/>
      <c r="BA17" s="274"/>
      <c r="BB17" s="222">
        <f t="shared" si="5"/>
        <v>0</v>
      </c>
      <c r="BC17" s="113">
        <f t="shared" si="6"/>
        <v>0</v>
      </c>
      <c r="BD17" s="3"/>
      <c r="BE17" s="113">
        <f t="shared" si="7"/>
        <v>0</v>
      </c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908"/>
      <c r="BQ17" s="129"/>
      <c r="BR17" s="129"/>
      <c r="BS17" s="130">
        <f t="shared" si="8"/>
        <v>0</v>
      </c>
      <c r="BT17" s="3"/>
    </row>
    <row r="18" ht="14.25" customHeight="1">
      <c r="A18" s="3"/>
      <c r="B18" s="215">
        <v>46034</v>
      </c>
      <c r="C18" s="906">
        <f>1302.25-0-0</f>
      </c>
      <c r="D18" s="123"/>
      <c r="E18" s="120"/>
      <c r="F18" s="120"/>
      <c r="G18" s="147">
        <f t="shared" si="0"/>
        <v>0</v>
      </c>
      <c r="H18" s="144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03">
        <f t="shared" si="1"/>
        <v>0</v>
      </c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03">
        <f t="shared" si="2"/>
        <v>0</v>
      </c>
      <c r="AH18" s="911">
        <v>450</v>
      </c>
      <c r="AI18" s="123"/>
      <c r="AJ18" s="123"/>
      <c r="AK18" s="105">
        <f t="shared" si="3"/>
        <v>0</v>
      </c>
      <c r="AL18" s="143"/>
      <c r="AM18" s="143"/>
      <c r="AN18" s="143"/>
      <c r="AO18" s="146"/>
      <c r="AP18" s="224">
        <f t="shared" si="4"/>
        <v>0</v>
      </c>
      <c r="AQ18" s="1760">
        <v>852.2</v>
      </c>
      <c r="AR18" s="1709"/>
      <c r="AS18" s="126"/>
      <c r="AT18" s="126"/>
      <c r="AU18" s="126"/>
      <c r="AV18" s="126"/>
      <c r="AW18" s="126"/>
      <c r="AX18" s="274"/>
      <c r="AY18" s="274"/>
      <c r="AZ18" s="274"/>
      <c r="BA18" s="274"/>
      <c r="BB18" s="222">
        <f t="shared" si="5"/>
        <v>0</v>
      </c>
      <c r="BC18" s="113">
        <f t="shared" si="6"/>
        <v>0</v>
      </c>
      <c r="BD18" s="3"/>
      <c r="BE18" s="113">
        <f t="shared" si="7"/>
        <v>0</v>
      </c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908"/>
      <c r="BQ18" s="129"/>
      <c r="BR18" s="129"/>
      <c r="BS18" s="130">
        <f t="shared" si="8"/>
        <v>0</v>
      </c>
      <c r="BT18" s="3"/>
    </row>
    <row r="19" ht="14.25" customHeight="1">
      <c r="A19" s="3"/>
      <c r="B19" s="215">
        <v>46035</v>
      </c>
      <c r="C19" s="906">
        <f>1473.38-0-0</f>
      </c>
      <c r="D19" s="123"/>
      <c r="E19" s="120"/>
      <c r="F19" s="120"/>
      <c r="G19" s="147">
        <f t="shared" si="0"/>
        <v>0</v>
      </c>
      <c r="H19" s="144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03">
        <f t="shared" si="1"/>
        <v>0</v>
      </c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03">
        <f t="shared" si="2"/>
        <v>0</v>
      </c>
      <c r="AH19" s="915">
        <v>496</v>
      </c>
      <c r="AI19" s="123"/>
      <c r="AJ19" s="123"/>
      <c r="AK19" s="105">
        <f t="shared" si="3"/>
        <v>0</v>
      </c>
      <c r="AL19" s="143"/>
      <c r="AM19" s="143"/>
      <c r="AN19" s="143"/>
      <c r="AO19" s="146"/>
      <c r="AP19" s="224">
        <f t="shared" si="4"/>
        <v>0</v>
      </c>
      <c r="AQ19" s="1760">
        <v>571.3</v>
      </c>
      <c r="AR19" s="1709"/>
      <c r="AS19" s="126"/>
      <c r="AT19" s="126"/>
      <c r="AU19" s="126"/>
      <c r="AV19" s="126"/>
      <c r="AW19" s="126"/>
      <c r="AX19" s="274"/>
      <c r="AY19" s="274"/>
      <c r="AZ19" s="274"/>
      <c r="BA19" s="274"/>
      <c r="BB19" s="222">
        <f t="shared" si="5"/>
        <v>0</v>
      </c>
      <c r="BC19" s="113">
        <f t="shared" si="6"/>
        <v>0</v>
      </c>
      <c r="BD19" s="3"/>
      <c r="BE19" s="113">
        <f t="shared" si="7"/>
        <v>0</v>
      </c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056"/>
      <c r="BQ19" s="129">
        <v>406.1</v>
      </c>
      <c r="BR19" s="129"/>
      <c r="BS19" s="130">
        <f t="shared" si="8"/>
        <v>0</v>
      </c>
      <c r="BT19" s="3"/>
    </row>
    <row r="20" ht="14.25" customHeight="1">
      <c r="A20" s="3"/>
      <c r="B20" s="215">
        <v>46036</v>
      </c>
      <c r="C20" s="906">
        <f>1249.82-0-0</f>
      </c>
      <c r="D20" s="123"/>
      <c r="E20" s="120"/>
      <c r="F20" s="120"/>
      <c r="G20" s="147">
        <f t="shared" si="0"/>
        <v>0</v>
      </c>
      <c r="H20" s="144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03">
        <f t="shared" si="1"/>
        <v>0</v>
      </c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03">
        <f t="shared" si="2"/>
        <v>0</v>
      </c>
      <c r="AH20" s="911">
        <v>50.5</v>
      </c>
      <c r="AI20" s="123"/>
      <c r="AJ20" s="123"/>
      <c r="AK20" s="105">
        <f t="shared" si="3"/>
        <v>0</v>
      </c>
      <c r="AL20" s="143"/>
      <c r="AM20" s="143"/>
      <c r="AN20" s="143"/>
      <c r="AO20" s="146"/>
      <c r="AP20" s="224">
        <f t="shared" si="4"/>
        <v>0</v>
      </c>
      <c r="AQ20" s="1760">
        <v>1199.3</v>
      </c>
      <c r="AR20" s="1709"/>
      <c r="AS20" s="126"/>
      <c r="AT20" s="126"/>
      <c r="AU20" s="126"/>
      <c r="AV20" s="126"/>
      <c r="AW20" s="126"/>
      <c r="AX20" s="274"/>
      <c r="AY20" s="274"/>
      <c r="AZ20" s="274"/>
      <c r="BA20" s="274"/>
      <c r="BB20" s="222">
        <f t="shared" si="5"/>
        <v>0</v>
      </c>
      <c r="BC20" s="113">
        <f t="shared" si="6"/>
        <v>0</v>
      </c>
      <c r="BD20" s="3"/>
      <c r="BE20" s="113">
        <f t="shared" si="7"/>
        <v>0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908"/>
      <c r="BQ20" s="129"/>
      <c r="BR20" s="129"/>
      <c r="BS20" s="130">
        <f t="shared" si="8"/>
        <v>0</v>
      </c>
      <c r="BT20" s="3"/>
    </row>
    <row r="21" ht="14.25" customHeight="1">
      <c r="A21" s="132"/>
      <c r="B21" s="215">
        <v>46037</v>
      </c>
      <c r="C21" s="906">
        <f>1076.15-0-0</f>
      </c>
      <c r="D21" s="136"/>
      <c r="E21" s="135"/>
      <c r="F21" s="135"/>
      <c r="G21" s="147">
        <f t="shared" si="0"/>
        <v>0</v>
      </c>
      <c r="H21" s="144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03">
        <f t="shared" si="1"/>
        <v>0</v>
      </c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03">
        <f t="shared" si="2"/>
        <v>0</v>
      </c>
      <c r="AH21" s="915">
        <v>106</v>
      </c>
      <c r="AI21" s="136"/>
      <c r="AJ21" s="136"/>
      <c r="AK21" s="105">
        <f t="shared" si="3"/>
        <v>0</v>
      </c>
      <c r="AL21" s="143"/>
      <c r="AM21" s="143"/>
      <c r="AN21" s="143"/>
      <c r="AO21" s="146"/>
      <c r="AP21" s="224">
        <f t="shared" si="4"/>
        <v>0</v>
      </c>
      <c r="AQ21" s="1762">
        <v>970.1</v>
      </c>
      <c r="AR21" s="1709"/>
      <c r="AS21" s="126"/>
      <c r="AT21" s="126"/>
      <c r="AU21" s="126"/>
      <c r="AV21" s="126"/>
      <c r="AW21" s="126"/>
      <c r="AX21" s="274"/>
      <c r="AY21" s="274"/>
      <c r="AZ21" s="274"/>
      <c r="BA21" s="274"/>
      <c r="BB21" s="222">
        <f t="shared" si="5"/>
        <v>0</v>
      </c>
      <c r="BC21" s="140">
        <f t="shared" si="6"/>
        <v>0</v>
      </c>
      <c r="BD21" s="132"/>
      <c r="BE21" s="140">
        <f t="shared" si="7"/>
        <v>0</v>
      </c>
      <c r="BF21" s="141"/>
      <c r="BG21" s="141"/>
      <c r="BH21" s="141"/>
      <c r="BI21" s="141"/>
      <c r="BJ21" s="141"/>
      <c r="BK21" s="141"/>
      <c r="BL21" s="141"/>
      <c r="BM21" s="141"/>
      <c r="BN21" s="141"/>
      <c r="BO21" s="141"/>
      <c r="BP21" s="908"/>
      <c r="BQ21" s="141"/>
      <c r="BR21" s="141"/>
      <c r="BS21" s="130">
        <f t="shared" si="8"/>
        <v>0</v>
      </c>
      <c r="BT21" s="132"/>
    </row>
    <row r="22" ht="14.25" customHeight="1">
      <c r="A22" s="132"/>
      <c r="B22" s="215">
        <v>46038</v>
      </c>
      <c r="C22" s="906">
        <f>1510.26-0-0</f>
      </c>
      <c r="D22" s="136"/>
      <c r="E22" s="135"/>
      <c r="F22" s="135"/>
      <c r="G22" s="147">
        <f t="shared" si="0"/>
        <v>0</v>
      </c>
      <c r="H22" s="144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03">
        <f t="shared" si="1"/>
        <v>0</v>
      </c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03">
        <f t="shared" si="2"/>
        <v>0</v>
      </c>
      <c r="AH22" s="911">
        <v>590.51</v>
      </c>
      <c r="AI22" s="136"/>
      <c r="AJ22" s="136"/>
      <c r="AK22" s="105">
        <f t="shared" si="3"/>
        <v>0</v>
      </c>
      <c r="AL22" s="143"/>
      <c r="AM22" s="143"/>
      <c r="AN22" s="143"/>
      <c r="AO22" s="146"/>
      <c r="AP22" s="224">
        <f t="shared" si="4"/>
        <v>0</v>
      </c>
      <c r="AQ22" s="1762">
        <v>919.7</v>
      </c>
      <c r="AR22" s="1709"/>
      <c r="AS22" s="126"/>
      <c r="AT22" s="126"/>
      <c r="AU22" s="126"/>
      <c r="AV22" s="126"/>
      <c r="AW22" s="126"/>
      <c r="AX22" s="274"/>
      <c r="AY22" s="274"/>
      <c r="AZ22" s="274"/>
      <c r="BA22" s="274"/>
      <c r="BB22" s="222">
        <f t="shared" si="5"/>
        <v>0</v>
      </c>
      <c r="BC22" s="140">
        <f t="shared" si="6"/>
        <v>0</v>
      </c>
      <c r="BD22" s="132"/>
      <c r="BE22" s="140">
        <f t="shared" si="7"/>
        <v>0</v>
      </c>
      <c r="BF22" s="141"/>
      <c r="BG22" s="141"/>
      <c r="BH22" s="141"/>
      <c r="BI22" s="141"/>
      <c r="BJ22" s="141"/>
      <c r="BK22" s="141"/>
      <c r="BL22" s="141"/>
      <c r="BM22" s="141"/>
      <c r="BN22" s="141"/>
      <c r="BO22" s="141"/>
      <c r="BP22" s="908"/>
      <c r="BQ22" s="141"/>
      <c r="BR22" s="141"/>
      <c r="BS22" s="130">
        <f t="shared" si="8"/>
        <v>0</v>
      </c>
      <c r="BT22" s="132"/>
    </row>
    <row r="23" ht="14.25" customHeight="1">
      <c r="A23" s="132"/>
      <c r="B23" s="215">
        <v>46039</v>
      </c>
      <c r="C23" s="906">
        <f>1785.07-0-0</f>
      </c>
      <c r="D23" s="136"/>
      <c r="E23" s="135"/>
      <c r="F23" s="135"/>
      <c r="G23" s="147">
        <f t="shared" si="0"/>
        <v>0</v>
      </c>
      <c r="H23" s="144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03">
        <f t="shared" si="1"/>
        <v>0</v>
      </c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03">
        <f t="shared" si="2"/>
        <v>0</v>
      </c>
      <c r="AH23" s="915">
        <v>410</v>
      </c>
      <c r="AI23" s="136"/>
      <c r="AJ23" s="136"/>
      <c r="AK23" s="105">
        <f t="shared" si="3"/>
        <v>0</v>
      </c>
      <c r="AL23" s="143"/>
      <c r="AM23" s="143"/>
      <c r="AN23" s="143"/>
      <c r="AO23" s="146"/>
      <c r="AP23" s="224">
        <f t="shared" si="4"/>
        <v>0</v>
      </c>
      <c r="AQ23" s="1762">
        <v>1375.1</v>
      </c>
      <c r="AR23" s="1709"/>
      <c r="AS23" s="126"/>
      <c r="AT23" s="126"/>
      <c r="AU23" s="126"/>
      <c r="AV23" s="126"/>
      <c r="AW23" s="126"/>
      <c r="AX23" s="274"/>
      <c r="AY23" s="274"/>
      <c r="AZ23" s="274"/>
      <c r="BA23" s="274"/>
      <c r="BB23" s="222">
        <f t="shared" si="5"/>
        <v>0</v>
      </c>
      <c r="BC23" s="140">
        <f t="shared" si="6"/>
        <v>0</v>
      </c>
      <c r="BD23" s="132"/>
      <c r="BE23" s="140">
        <f t="shared" si="7"/>
        <v>0</v>
      </c>
      <c r="BF23" s="141"/>
      <c r="BG23" s="141"/>
      <c r="BH23" s="141"/>
      <c r="BI23" s="141"/>
      <c r="BJ23" s="141"/>
      <c r="BK23" s="141"/>
      <c r="BL23" s="141"/>
      <c r="BM23" s="141"/>
      <c r="BN23" s="141"/>
      <c r="BO23" s="141"/>
      <c r="BP23" s="908"/>
      <c r="BQ23" s="141"/>
      <c r="BR23" s="141"/>
      <c r="BS23" s="130">
        <f t="shared" si="8"/>
        <v>0</v>
      </c>
      <c r="BT23" s="132"/>
    </row>
    <row r="24" ht="14.25" customHeight="1">
      <c r="A24" s="132"/>
      <c r="B24" s="215">
        <v>46040</v>
      </c>
      <c r="C24" s="906">
        <f>2077.28-0-0</f>
      </c>
      <c r="D24" s="136"/>
      <c r="E24" s="135"/>
      <c r="F24" s="135"/>
      <c r="G24" s="147">
        <f t="shared" si="0"/>
        <v>0</v>
      </c>
      <c r="H24" s="144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03">
        <f t="shared" si="1"/>
        <v>0</v>
      </c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03">
        <f t="shared" si="2"/>
        <v>0</v>
      </c>
      <c r="AH24" s="911">
        <v>319.8</v>
      </c>
      <c r="AI24" s="136"/>
      <c r="AJ24" s="136"/>
      <c r="AK24" s="105">
        <f t="shared" si="3"/>
        <v>0</v>
      </c>
      <c r="AL24" s="143"/>
      <c r="AM24" s="143"/>
      <c r="AN24" s="143"/>
      <c r="AO24" s="146"/>
      <c r="AP24" s="224">
        <f t="shared" si="4"/>
        <v>0</v>
      </c>
      <c r="AQ24" s="1762">
        <v>1757.5</v>
      </c>
      <c r="AR24" s="1709"/>
      <c r="AS24" s="126"/>
      <c r="AT24" s="126"/>
      <c r="AU24" s="126"/>
      <c r="AV24" s="126"/>
      <c r="AW24" s="126"/>
      <c r="AX24" s="274"/>
      <c r="AY24" s="274"/>
      <c r="AZ24" s="274"/>
      <c r="BA24" s="274"/>
      <c r="BB24" s="222">
        <f t="shared" si="5"/>
        <v>0</v>
      </c>
      <c r="BC24" s="140">
        <f t="shared" si="6"/>
        <v>0</v>
      </c>
      <c r="BD24" s="132"/>
      <c r="BE24" s="140">
        <f t="shared" si="7"/>
        <v>0</v>
      </c>
      <c r="BF24" s="141"/>
      <c r="BG24" s="141"/>
      <c r="BH24" s="141"/>
      <c r="BI24" s="141"/>
      <c r="BJ24" s="141"/>
      <c r="BK24" s="141"/>
      <c r="BL24" s="141"/>
      <c r="BM24" s="141"/>
      <c r="BN24" s="141"/>
      <c r="BO24" s="141"/>
      <c r="BP24" s="908"/>
      <c r="BQ24" s="141"/>
      <c r="BR24" s="141"/>
      <c r="BS24" s="130">
        <f t="shared" si="8"/>
        <v>0</v>
      </c>
      <c r="BT24" s="132"/>
    </row>
    <row r="25" ht="14.25" customHeight="1">
      <c r="A25" s="132"/>
      <c r="B25" s="215">
        <v>46041</v>
      </c>
      <c r="C25" s="906">
        <f>1336.78-0-0</f>
      </c>
      <c r="D25" s="136"/>
      <c r="E25" s="135"/>
      <c r="F25" s="135"/>
      <c r="G25" s="147">
        <f t="shared" si="0"/>
        <v>0</v>
      </c>
      <c r="H25" s="144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03">
        <f t="shared" si="1"/>
        <v>0</v>
      </c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03">
        <f t="shared" si="2"/>
        <v>0</v>
      </c>
      <c r="AH25" s="911"/>
      <c r="AI25" s="136"/>
      <c r="AJ25" s="136"/>
      <c r="AK25" s="105">
        <f t="shared" si="3"/>
        <v>0</v>
      </c>
      <c r="AL25" s="143"/>
      <c r="AM25" s="143"/>
      <c r="AN25" s="143"/>
      <c r="AO25" s="146"/>
      <c r="AP25" s="224">
        <f t="shared" si="4"/>
        <v>0</v>
      </c>
      <c r="AQ25" s="1762">
        <v>1336.8</v>
      </c>
      <c r="AR25" s="1709"/>
      <c r="AS25" s="126"/>
      <c r="AT25" s="126"/>
      <c r="AU25" s="126"/>
      <c r="AV25" s="126"/>
      <c r="AW25" s="126"/>
      <c r="AX25" s="274"/>
      <c r="AY25" s="274"/>
      <c r="AZ25" s="274"/>
      <c r="BA25" s="274"/>
      <c r="BB25" s="222">
        <f t="shared" si="5"/>
        <v>0</v>
      </c>
      <c r="BC25" s="140">
        <f t="shared" si="6"/>
        <v>0</v>
      </c>
      <c r="BD25" s="132"/>
      <c r="BE25" s="140">
        <f t="shared" si="7"/>
        <v>0</v>
      </c>
      <c r="BF25" s="141"/>
      <c r="BG25" s="141"/>
      <c r="BH25" s="141"/>
      <c r="BI25" s="141"/>
      <c r="BJ25" s="141"/>
      <c r="BK25" s="141"/>
      <c r="BL25" s="141"/>
      <c r="BM25" s="141"/>
      <c r="BN25" s="141"/>
      <c r="BO25" s="141"/>
      <c r="BP25" s="908"/>
      <c r="BQ25" s="141"/>
      <c r="BR25" s="141"/>
      <c r="BS25" s="130">
        <f t="shared" si="8"/>
        <v>0</v>
      </c>
      <c r="BT25" s="132"/>
    </row>
    <row r="26" ht="14.25" customHeight="1">
      <c r="A26" s="132"/>
      <c r="B26" s="215">
        <v>46042</v>
      </c>
      <c r="C26" s="906">
        <f>2651.30-0-0</f>
      </c>
      <c r="D26" s="136"/>
      <c r="E26" s="135"/>
      <c r="F26" s="135"/>
      <c r="G26" s="147">
        <f t="shared" si="0"/>
        <v>0</v>
      </c>
      <c r="H26" s="144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03">
        <f t="shared" si="1"/>
        <v>0</v>
      </c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03">
        <f t="shared" si="2"/>
        <v>0</v>
      </c>
      <c r="AH26" s="915">
        <v>666.32</v>
      </c>
      <c r="AI26" s="136"/>
      <c r="AJ26" s="136"/>
      <c r="AK26" s="105">
        <f t="shared" si="3"/>
        <v>0</v>
      </c>
      <c r="AL26" s="143"/>
      <c r="AM26" s="143"/>
      <c r="AN26" s="143"/>
      <c r="AO26" s="146"/>
      <c r="AP26" s="224">
        <f t="shared" si="4"/>
        <v>0</v>
      </c>
      <c r="AQ26" s="1762">
        <v>1985</v>
      </c>
      <c r="AR26" s="1709"/>
      <c r="AS26" s="126"/>
      <c r="AT26" s="126"/>
      <c r="AU26" s="126"/>
      <c r="AV26" s="126"/>
      <c r="AW26" s="126"/>
      <c r="AX26" s="274"/>
      <c r="AY26" s="274"/>
      <c r="AZ26" s="274"/>
      <c r="BA26" s="274"/>
      <c r="BB26" s="222">
        <f t="shared" si="5"/>
        <v>0</v>
      </c>
      <c r="BC26" s="140">
        <f t="shared" si="6"/>
        <v>0</v>
      </c>
      <c r="BD26" s="132"/>
      <c r="BE26" s="140">
        <f t="shared" si="7"/>
        <v>0</v>
      </c>
      <c r="BF26" s="141"/>
      <c r="BG26" s="141"/>
      <c r="BH26" s="141"/>
      <c r="BI26" s="141"/>
      <c r="BJ26" s="141"/>
      <c r="BK26" s="141"/>
      <c r="BL26" s="141"/>
      <c r="BM26" s="141"/>
      <c r="BN26" s="141"/>
      <c r="BO26" s="141"/>
      <c r="BP26" s="908"/>
      <c r="BQ26" s="141"/>
      <c r="BR26" s="141"/>
      <c r="BS26" s="130">
        <f t="shared" si="8"/>
        <v>0</v>
      </c>
      <c r="BT26" s="132"/>
    </row>
    <row r="27" ht="14.25" customHeight="1">
      <c r="A27" s="132"/>
      <c r="B27" s="215">
        <v>46043</v>
      </c>
      <c r="C27" s="906">
        <f>1676.97-0-0</f>
      </c>
      <c r="D27" s="136"/>
      <c r="E27" s="135"/>
      <c r="F27" s="135"/>
      <c r="G27" s="147">
        <f t="shared" si="0"/>
        <v>0</v>
      </c>
      <c r="H27" s="144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03">
        <f t="shared" si="1"/>
        <v>0</v>
      </c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03">
        <f t="shared" si="2"/>
        <v>0</v>
      </c>
      <c r="AH27" s="911"/>
      <c r="AI27" s="136"/>
      <c r="AJ27" s="136"/>
      <c r="AK27" s="105">
        <f t="shared" si="3"/>
        <v>0</v>
      </c>
      <c r="AL27" s="143"/>
      <c r="AM27" s="143"/>
      <c r="AN27" s="143"/>
      <c r="AO27" s="146"/>
      <c r="AP27" s="224">
        <f t="shared" si="4"/>
        <v>0</v>
      </c>
      <c r="AQ27" s="1762">
        <v>1677</v>
      </c>
      <c r="AR27" s="1709"/>
      <c r="AS27" s="126"/>
      <c r="AT27" s="126"/>
      <c r="AU27" s="126"/>
      <c r="AV27" s="126"/>
      <c r="AW27" s="126"/>
      <c r="AX27" s="274"/>
      <c r="AY27" s="274"/>
      <c r="AZ27" s="274"/>
      <c r="BA27" s="274"/>
      <c r="BB27" s="222">
        <f t="shared" si="5"/>
        <v>0</v>
      </c>
      <c r="BC27" s="140">
        <f t="shared" si="6"/>
        <v>0</v>
      </c>
      <c r="BD27" s="132"/>
      <c r="BE27" s="140">
        <f t="shared" si="7"/>
        <v>0</v>
      </c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908"/>
      <c r="BQ27" s="141"/>
      <c r="BR27" s="141"/>
      <c r="BS27" s="130">
        <f t="shared" si="8"/>
        <v>0</v>
      </c>
      <c r="BT27" s="132"/>
    </row>
    <row r="28" ht="14.25" customHeight="1">
      <c r="A28" s="132"/>
      <c r="B28" s="215">
        <v>46044</v>
      </c>
      <c r="C28" s="906">
        <f>1245.66-0-0</f>
      </c>
      <c r="D28" s="136"/>
      <c r="E28" s="135"/>
      <c r="F28" s="135"/>
      <c r="G28" s="147">
        <f t="shared" si="0"/>
        <v>0</v>
      </c>
      <c r="H28" s="144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03">
        <f t="shared" si="1"/>
        <v>0</v>
      </c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03">
        <f t="shared" si="2"/>
        <v>0</v>
      </c>
      <c r="AH28" s="911">
        <v>86.5</v>
      </c>
      <c r="AI28" s="136"/>
      <c r="AJ28" s="136"/>
      <c r="AK28" s="105">
        <f t="shared" si="3"/>
        <v>0</v>
      </c>
      <c r="AL28" s="143"/>
      <c r="AM28" s="143"/>
      <c r="AN28" s="143"/>
      <c r="AO28" s="146"/>
      <c r="AP28" s="224">
        <f t="shared" si="4"/>
        <v>0</v>
      </c>
      <c r="AQ28" s="1762">
        <v>1159.1</v>
      </c>
      <c r="AR28" s="1709"/>
      <c r="AS28" s="126"/>
      <c r="AT28" s="126"/>
      <c r="AU28" s="126"/>
      <c r="AV28" s="126"/>
      <c r="AW28" s="126"/>
      <c r="AX28" s="274"/>
      <c r="AY28" s="274"/>
      <c r="AZ28" s="274"/>
      <c r="BA28" s="274"/>
      <c r="BB28" s="222">
        <f t="shared" si="5"/>
        <v>0</v>
      </c>
      <c r="BC28" s="140">
        <f t="shared" si="6"/>
        <v>0</v>
      </c>
      <c r="BD28" s="132"/>
      <c r="BE28" s="140">
        <f t="shared" si="7"/>
        <v>0</v>
      </c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914"/>
      <c r="BQ28" s="141"/>
      <c r="BR28" s="141"/>
      <c r="BS28" s="130">
        <f t="shared" si="8"/>
        <v>0</v>
      </c>
      <c r="BT28" s="132"/>
    </row>
    <row r="29" ht="14.25" customHeight="1">
      <c r="A29" s="132"/>
      <c r="B29" s="215">
        <v>46045</v>
      </c>
      <c r="C29" s="906">
        <f>2079.34-0-0</f>
      </c>
      <c r="D29" s="136"/>
      <c r="E29" s="135"/>
      <c r="F29" s="135"/>
      <c r="G29" s="147">
        <f t="shared" si="0"/>
        <v>0</v>
      </c>
      <c r="H29" s="144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03">
        <f t="shared" si="1"/>
        <v>0</v>
      </c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03">
        <f t="shared" si="2"/>
        <v>0</v>
      </c>
      <c r="AH29" s="911">
        <v>701</v>
      </c>
      <c r="AI29" s="136"/>
      <c r="AJ29" s="136"/>
      <c r="AK29" s="105">
        <f t="shared" si="3"/>
        <v>0</v>
      </c>
      <c r="AL29" s="143"/>
      <c r="AM29" s="143"/>
      <c r="AN29" s="143"/>
      <c r="AO29" s="146"/>
      <c r="AP29" s="224">
        <f t="shared" si="4"/>
        <v>0</v>
      </c>
      <c r="AQ29" s="1762">
        <v>1453</v>
      </c>
      <c r="AR29" s="1709"/>
      <c r="AS29" s="126"/>
      <c r="AT29" s="126"/>
      <c r="AU29" s="126"/>
      <c r="AV29" s="126"/>
      <c r="AW29" s="126"/>
      <c r="AX29" s="274"/>
      <c r="AY29" s="274"/>
      <c r="AZ29" s="274"/>
      <c r="BA29" s="274"/>
      <c r="BB29" s="222">
        <f t="shared" si="5"/>
        <v>0</v>
      </c>
      <c r="BC29" s="140">
        <f t="shared" si="6"/>
        <v>0</v>
      </c>
      <c r="BD29" s="132"/>
      <c r="BE29" s="140">
        <f t="shared" si="7"/>
        <v>0</v>
      </c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908"/>
      <c r="BQ29" s="141"/>
      <c r="BR29" s="141"/>
      <c r="BS29" s="130">
        <f t="shared" si="8"/>
        <v>0</v>
      </c>
      <c r="BT29" s="132"/>
    </row>
    <row r="30" ht="14.25" customHeight="1">
      <c r="A30" s="132"/>
      <c r="B30" s="215">
        <v>46046</v>
      </c>
      <c r="C30" s="906">
        <f>1622.38-0-0</f>
      </c>
      <c r="D30" s="136"/>
      <c r="E30" s="135"/>
      <c r="F30" s="135"/>
      <c r="G30" s="147">
        <f t="shared" si="0"/>
        <v>0</v>
      </c>
      <c r="H30" s="144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03">
        <f t="shared" si="1"/>
        <v>0</v>
      </c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03">
        <f t="shared" si="2"/>
        <v>0</v>
      </c>
      <c r="AH30" s="915"/>
      <c r="AI30" s="136"/>
      <c r="AJ30" s="136"/>
      <c r="AK30" s="105">
        <f t="shared" si="3"/>
        <v>0</v>
      </c>
      <c r="AL30" s="143"/>
      <c r="AM30" s="143"/>
      <c r="AN30" s="143"/>
      <c r="AO30" s="146"/>
      <c r="AP30" s="224">
        <f t="shared" si="4"/>
        <v>0</v>
      </c>
      <c r="AQ30" s="1762">
        <v>1272.4</v>
      </c>
      <c r="AR30" s="1709"/>
      <c r="AS30" s="126"/>
      <c r="AT30" s="126"/>
      <c r="AU30" s="126"/>
      <c r="AV30" s="126"/>
      <c r="AW30" s="126"/>
      <c r="AX30" s="274"/>
      <c r="AY30" s="274"/>
      <c r="AZ30" s="274"/>
      <c r="BA30" s="274"/>
      <c r="BB30" s="222">
        <f t="shared" si="5"/>
        <v>0</v>
      </c>
      <c r="BC30" s="140">
        <f t="shared" si="6"/>
        <v>0</v>
      </c>
      <c r="BD30" s="132"/>
      <c r="BE30" s="140">
        <f t="shared" si="7"/>
        <v>0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056"/>
      <c r="BQ30" s="141">
        <v>350</v>
      </c>
      <c r="BR30" s="141"/>
      <c r="BS30" s="130">
        <f t="shared" si="8"/>
        <v>0</v>
      </c>
      <c r="BT30" s="132"/>
    </row>
    <row r="31" ht="14.25" customHeight="1">
      <c r="A31" s="132"/>
      <c r="B31" s="215">
        <v>46047</v>
      </c>
      <c r="C31" s="906">
        <f>1566.46-0-0</f>
      </c>
      <c r="D31" s="136"/>
      <c r="E31" s="135"/>
      <c r="F31" s="135"/>
      <c r="G31" s="147">
        <f t="shared" si="0"/>
        <v>0</v>
      </c>
      <c r="H31" s="144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03">
        <f t="shared" si="1"/>
        <v>0</v>
      </c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03">
        <f t="shared" si="2"/>
        <v>0</v>
      </c>
      <c r="AH31" s="911">
        <v>96</v>
      </c>
      <c r="AI31" s="136"/>
      <c r="AJ31" s="136"/>
      <c r="AK31" s="105">
        <f t="shared" si="3"/>
        <v>0</v>
      </c>
      <c r="AL31" s="143"/>
      <c r="AM31" s="143"/>
      <c r="AN31" s="143"/>
      <c r="AO31" s="146"/>
      <c r="AP31" s="224">
        <f t="shared" si="4"/>
        <v>0</v>
      </c>
      <c r="AQ31" s="1762">
        <v>1470.5</v>
      </c>
      <c r="AR31" s="1709"/>
      <c r="AS31" s="126"/>
      <c r="AT31" s="126"/>
      <c r="AU31" s="126"/>
      <c r="AV31" s="126"/>
      <c r="AW31" s="126"/>
      <c r="AX31" s="274"/>
      <c r="AY31" s="274"/>
      <c r="AZ31" s="274"/>
      <c r="BA31" s="274"/>
      <c r="BB31" s="222">
        <f t="shared" si="5"/>
        <v>0</v>
      </c>
      <c r="BC31" s="140">
        <f t="shared" si="6"/>
        <v>0</v>
      </c>
      <c r="BD31" s="132"/>
      <c r="BE31" s="140">
        <f t="shared" si="7"/>
        <v>0</v>
      </c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908"/>
      <c r="BQ31" s="141"/>
      <c r="BR31" s="141"/>
      <c r="BS31" s="130">
        <f t="shared" si="8"/>
        <v>0</v>
      </c>
      <c r="BT31" s="132"/>
    </row>
    <row r="32" ht="14.25" customHeight="1">
      <c r="A32" s="132"/>
      <c r="B32" s="215">
        <v>46048</v>
      </c>
      <c r="C32" s="906">
        <f>1742.48-0-0</f>
      </c>
      <c r="D32" s="136"/>
      <c r="E32" s="135"/>
      <c r="F32" s="135"/>
      <c r="G32" s="147">
        <f t="shared" si="0"/>
        <v>0</v>
      </c>
      <c r="H32" s="144"/>
      <c r="I32" s="143"/>
      <c r="J32" s="143"/>
      <c r="K32" s="143"/>
      <c r="L32" s="143"/>
      <c r="M32" s="143"/>
      <c r="N32" s="99"/>
      <c r="O32" s="143"/>
      <c r="P32" s="143"/>
      <c r="Q32" s="143"/>
      <c r="R32" s="143"/>
      <c r="S32" s="143"/>
      <c r="T32" s="103">
        <f t="shared" si="1"/>
        <v>0</v>
      </c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03">
        <f t="shared" si="2"/>
        <v>0</v>
      </c>
      <c r="AH32" s="906">
        <v>450</v>
      </c>
      <c r="AI32" s="136"/>
      <c r="AJ32" s="136"/>
      <c r="AK32" s="105">
        <f t="shared" si="3"/>
        <v>0</v>
      </c>
      <c r="AL32" s="143"/>
      <c r="AM32" s="143"/>
      <c r="AN32" s="143"/>
      <c r="AO32" s="146"/>
      <c r="AP32" s="224">
        <f t="shared" si="4"/>
        <v>0</v>
      </c>
      <c r="AQ32" s="1762">
        <v>1292.5</v>
      </c>
      <c r="AR32" s="1709"/>
      <c r="AS32" s="126"/>
      <c r="AT32" s="126"/>
      <c r="AU32" s="126"/>
      <c r="AV32" s="126"/>
      <c r="AW32" s="126"/>
      <c r="AX32" s="274"/>
      <c r="AY32" s="274"/>
      <c r="AZ32" s="274"/>
      <c r="BA32" s="274"/>
      <c r="BB32" s="222">
        <f t="shared" si="5"/>
        <v>0</v>
      </c>
      <c r="BC32" s="140">
        <f t="shared" si="6"/>
        <v>0</v>
      </c>
      <c r="BD32" s="132"/>
      <c r="BE32" s="140">
        <f t="shared" si="7"/>
        <v>0</v>
      </c>
      <c r="BF32" s="141"/>
      <c r="BG32" s="141"/>
      <c r="BH32" s="141"/>
      <c r="BI32" s="141"/>
      <c r="BJ32" s="141"/>
      <c r="BK32" s="141"/>
      <c r="BL32" s="141"/>
      <c r="BM32" s="141"/>
      <c r="BN32" s="141"/>
      <c r="BO32" s="141"/>
      <c r="BP32" s="908"/>
      <c r="BQ32" s="141"/>
      <c r="BR32" s="141"/>
      <c r="BS32" s="130">
        <f t="shared" si="8"/>
        <v>0</v>
      </c>
      <c r="BT32" s="132"/>
    </row>
    <row r="33" ht="14.25" customHeight="1">
      <c r="A33" s="132"/>
      <c r="B33" s="215">
        <v>46049</v>
      </c>
      <c r="C33" s="906">
        <f>1667.52-0-0</f>
      </c>
      <c r="D33" s="136"/>
      <c r="E33" s="135"/>
      <c r="F33" s="135"/>
      <c r="G33" s="147">
        <f t="shared" si="0"/>
        <v>0</v>
      </c>
      <c r="H33" s="144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03">
        <f t="shared" si="1"/>
        <v>0</v>
      </c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03">
        <f t="shared" si="2"/>
        <v>0</v>
      </c>
      <c r="AH33" s="915"/>
      <c r="AI33" s="136"/>
      <c r="AJ33" s="136"/>
      <c r="AK33" s="105">
        <f t="shared" si="3"/>
        <v>0</v>
      </c>
      <c r="AL33" s="143"/>
      <c r="AM33" s="143"/>
      <c r="AN33" s="143"/>
      <c r="AO33" s="146"/>
      <c r="AP33" s="224">
        <f t="shared" si="4"/>
        <v>0</v>
      </c>
      <c r="AQ33" s="1762">
        <v>1667.5</v>
      </c>
      <c r="AR33" s="1709"/>
      <c r="AS33" s="126"/>
      <c r="AT33" s="126"/>
      <c r="AU33" s="126"/>
      <c r="AV33" s="126"/>
      <c r="AW33" s="126"/>
      <c r="AX33" s="274"/>
      <c r="AY33" s="274"/>
      <c r="AZ33" s="274"/>
      <c r="BA33" s="274"/>
      <c r="BB33" s="222">
        <f t="shared" si="5"/>
        <v>0</v>
      </c>
      <c r="BC33" s="140">
        <f t="shared" si="6"/>
        <v>0</v>
      </c>
      <c r="BD33" s="132"/>
      <c r="BE33" s="140">
        <f t="shared" si="7"/>
        <v>0</v>
      </c>
      <c r="BF33" s="141"/>
      <c r="BG33" s="141"/>
      <c r="BH33" s="141"/>
      <c r="BI33" s="141"/>
      <c r="BJ33" s="141"/>
      <c r="BK33" s="141"/>
      <c r="BL33" s="141"/>
      <c r="BM33" s="141"/>
      <c r="BN33" s="141"/>
      <c r="BO33" s="141"/>
      <c r="BP33" s="908"/>
      <c r="BQ33" s="141"/>
      <c r="BR33" s="141"/>
      <c r="BS33" s="130">
        <f t="shared" si="8"/>
        <v>0</v>
      </c>
      <c r="BT33" s="132"/>
    </row>
    <row r="34" ht="14.25" customHeight="1">
      <c r="A34" s="132"/>
      <c r="B34" s="215">
        <v>46050</v>
      </c>
      <c r="C34" s="906">
        <f>1106.80-0-0</f>
      </c>
      <c r="D34" s="136"/>
      <c r="E34" s="135"/>
      <c r="F34" s="135"/>
      <c r="G34" s="147">
        <f t="shared" si="0"/>
        <v>0</v>
      </c>
      <c r="H34" s="144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03">
        <f t="shared" si="1"/>
        <v>0</v>
      </c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03">
        <f t="shared" si="2"/>
        <v>0</v>
      </c>
      <c r="AH34" s="911">
        <v>246.8</v>
      </c>
      <c r="AI34" s="136"/>
      <c r="AJ34" s="136"/>
      <c r="AK34" s="105">
        <f t="shared" si="3"/>
        <v>0</v>
      </c>
      <c r="AL34" s="143"/>
      <c r="AM34" s="143"/>
      <c r="AN34" s="143"/>
      <c r="AO34" s="146"/>
      <c r="AP34" s="224">
        <f t="shared" si="4"/>
        <v>0</v>
      </c>
      <c r="AQ34" s="1762">
        <v>860</v>
      </c>
      <c r="AR34" s="1709"/>
      <c r="AS34" s="126"/>
      <c r="AT34" s="126"/>
      <c r="AU34" s="126"/>
      <c r="AV34" s="126"/>
      <c r="AW34" s="126"/>
      <c r="AX34" s="274"/>
      <c r="AY34" s="274"/>
      <c r="AZ34" s="274"/>
      <c r="BA34" s="274"/>
      <c r="BB34" s="222">
        <f t="shared" si="5"/>
        <v>0</v>
      </c>
      <c r="BC34" s="140">
        <f t="shared" si="6"/>
        <v>0</v>
      </c>
      <c r="BD34" s="132"/>
      <c r="BE34" s="140">
        <f t="shared" si="7"/>
        <v>0</v>
      </c>
      <c r="BF34" s="141"/>
      <c r="BG34" s="141"/>
      <c r="BH34" s="141"/>
      <c r="BI34" s="141"/>
      <c r="BJ34" s="141"/>
      <c r="BK34" s="141"/>
      <c r="BL34" s="141"/>
      <c r="BM34" s="141"/>
      <c r="BN34" s="141"/>
      <c r="BO34" s="141"/>
      <c r="BP34" s="908"/>
      <c r="BQ34" s="141"/>
      <c r="BR34" s="141"/>
      <c r="BS34" s="130">
        <f t="shared" si="8"/>
        <v>0</v>
      </c>
      <c r="BT34" s="132"/>
    </row>
    <row r="35" ht="14.25" customHeight="1">
      <c r="A35" s="132"/>
      <c r="B35" s="215">
        <v>46051</v>
      </c>
      <c r="C35" s="906">
        <f>1980.30-0-0</f>
      </c>
      <c r="D35" s="136"/>
      <c r="E35" s="135"/>
      <c r="F35" s="135"/>
      <c r="G35" s="147">
        <f t="shared" si="0"/>
        <v>0</v>
      </c>
      <c r="H35" s="144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03">
        <f t="shared" si="1"/>
        <v>0</v>
      </c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03">
        <f t="shared" si="2"/>
        <v>0</v>
      </c>
      <c r="AH35" s="911">
        <v>37</v>
      </c>
      <c r="AI35" s="136"/>
      <c r="AJ35" s="136"/>
      <c r="AK35" s="105">
        <f t="shared" si="3"/>
        <v>0</v>
      </c>
      <c r="AL35" s="143"/>
      <c r="AM35" s="143"/>
      <c r="AN35" s="143"/>
      <c r="AO35" s="146"/>
      <c r="AP35" s="224">
        <f t="shared" si="4"/>
        <v>0</v>
      </c>
      <c r="AQ35" s="1762">
        <v>1943.4</v>
      </c>
      <c r="AR35" s="1709"/>
      <c r="AS35" s="126"/>
      <c r="AT35" s="126"/>
      <c r="AU35" s="126"/>
      <c r="AV35" s="126"/>
      <c r="AW35" s="126"/>
      <c r="AX35" s="274"/>
      <c r="AY35" s="274"/>
      <c r="AZ35" s="274"/>
      <c r="BA35" s="274"/>
      <c r="BB35" s="222">
        <f t="shared" si="5"/>
        <v>0</v>
      </c>
      <c r="BC35" s="140">
        <f t="shared" si="6"/>
        <v>0</v>
      </c>
      <c r="BD35" s="132"/>
      <c r="BE35" s="140">
        <f t="shared" si="7"/>
        <v>0</v>
      </c>
      <c r="BF35" s="141"/>
      <c r="BG35" s="141"/>
      <c r="BH35" s="141"/>
      <c r="BI35" s="141"/>
      <c r="BJ35" s="141"/>
      <c r="BK35" s="141"/>
      <c r="BL35" s="141"/>
      <c r="BM35" s="141"/>
      <c r="BN35" s="141"/>
      <c r="BO35" s="141"/>
      <c r="BP35" s="908"/>
      <c r="BQ35" s="141"/>
      <c r="BR35" s="141"/>
      <c r="BS35" s="130">
        <f t="shared" si="8"/>
        <v>0</v>
      </c>
      <c r="BT35" s="132"/>
    </row>
    <row r="36" ht="14.25" customHeight="1">
      <c r="A36" s="132"/>
      <c r="B36" s="215">
        <v>46052</v>
      </c>
      <c r="C36" s="906">
        <f>2083.79-0-0</f>
      </c>
      <c r="D36" s="136"/>
      <c r="E36" s="135"/>
      <c r="F36" s="135"/>
      <c r="G36" s="147">
        <f t="shared" si="0"/>
        <v>0</v>
      </c>
      <c r="H36" s="144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03">
        <f t="shared" si="1"/>
        <v>0</v>
      </c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03">
        <f t="shared" si="2"/>
        <v>0</v>
      </c>
      <c r="AH36" s="911"/>
      <c r="AI36" s="136"/>
      <c r="AJ36" s="136"/>
      <c r="AK36" s="105">
        <f t="shared" si="3"/>
        <v>0</v>
      </c>
      <c r="AL36" s="143"/>
      <c r="AM36" s="143"/>
      <c r="AN36" s="143"/>
      <c r="AO36" s="146"/>
      <c r="AP36" s="224">
        <f t="shared" si="4"/>
        <v>0</v>
      </c>
      <c r="AQ36" s="1762">
        <v>2083.8</v>
      </c>
      <c r="AR36" s="1709"/>
      <c r="AS36" s="126"/>
      <c r="AT36" s="126"/>
      <c r="AU36" s="126"/>
      <c r="AV36" s="126"/>
      <c r="AW36" s="126"/>
      <c r="AX36" s="274"/>
      <c r="AY36" s="274"/>
      <c r="AZ36" s="274"/>
      <c r="BA36" s="274"/>
      <c r="BB36" s="222">
        <f t="shared" si="5"/>
        <v>0</v>
      </c>
      <c r="BC36" s="140">
        <f t="shared" si="6"/>
        <v>0</v>
      </c>
      <c r="BD36" s="132"/>
      <c r="BE36" s="140">
        <f t="shared" si="7"/>
        <v>0</v>
      </c>
      <c r="BF36" s="141"/>
      <c r="BG36" s="141"/>
      <c r="BH36" s="141"/>
      <c r="BI36" s="141"/>
      <c r="BJ36" s="141"/>
      <c r="BK36" s="141"/>
      <c r="BL36" s="141"/>
      <c r="BM36" s="141"/>
      <c r="BN36" s="141"/>
      <c r="BO36" s="141"/>
      <c r="BP36" s="908"/>
      <c r="BQ36" s="141"/>
      <c r="BR36" s="141"/>
      <c r="BS36" s="130">
        <f t="shared" si="8"/>
        <v>0</v>
      </c>
      <c r="BT36" s="132"/>
    </row>
    <row r="37" ht="14.25" customHeight="1">
      <c r="A37" s="132"/>
      <c r="B37" s="215">
        <v>46053</v>
      </c>
      <c r="C37" s="924">
        <f>2257.42-0-0</f>
      </c>
      <c r="D37" s="159"/>
      <c r="E37" s="156"/>
      <c r="F37" s="156"/>
      <c r="G37" s="147">
        <f t="shared" si="0"/>
        <v>0</v>
      </c>
      <c r="H37" s="612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03">
        <f t="shared" si="1"/>
        <v>0</v>
      </c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03">
        <f t="shared" si="2"/>
        <v>0</v>
      </c>
      <c r="AH37" s="1001"/>
      <c r="AI37" s="159"/>
      <c r="AJ37" s="159"/>
      <c r="AK37" s="105">
        <f t="shared" si="3"/>
        <v>0</v>
      </c>
      <c r="AL37" s="157"/>
      <c r="AM37" s="157"/>
      <c r="AN37" s="157"/>
      <c r="AO37" s="160"/>
      <c r="AP37" s="224">
        <f t="shared" si="4"/>
        <v>0</v>
      </c>
      <c r="AQ37" s="1767">
        <v>2257.4</v>
      </c>
      <c r="AR37" s="1709"/>
      <c r="AS37" s="296"/>
      <c r="AT37" s="138"/>
      <c r="AU37" s="126"/>
      <c r="AV37" s="126"/>
      <c r="AW37" s="138"/>
      <c r="AX37" s="296"/>
      <c r="AY37" s="296"/>
      <c r="AZ37" s="296"/>
      <c r="BA37" s="296"/>
      <c r="BB37" s="222">
        <f t="shared" si="5"/>
        <v>0</v>
      </c>
      <c r="BC37" s="162">
        <f t="shared" si="6"/>
        <v>0</v>
      </c>
      <c r="BD37" s="132"/>
      <c r="BE37" s="162">
        <f t="shared" si="7"/>
        <v>0</v>
      </c>
      <c r="BF37" s="163"/>
      <c r="BG37" s="163"/>
      <c r="BH37" s="163"/>
      <c r="BI37" s="163"/>
      <c r="BJ37" s="163"/>
      <c r="BK37" s="163"/>
      <c r="BL37" s="163"/>
      <c r="BM37" s="163"/>
      <c r="BN37" s="163"/>
      <c r="BO37" s="163"/>
      <c r="BP37" s="926"/>
      <c r="BQ37" s="163"/>
      <c r="BR37" s="163"/>
      <c r="BS37" s="164">
        <f t="shared" si="8"/>
        <v>0</v>
      </c>
      <c r="BT37" s="132"/>
    </row>
    <row r="38" ht="14.25" customHeight="1">
      <c r="A38" s="3"/>
      <c r="B38" s="2" t="s">
        <v>177</v>
      </c>
      <c r="C38" s="166">
        <f ref="C38:BC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66">
        <f t="shared" si="9"/>
        <v>0</v>
      </c>
      <c r="AI38" s="166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414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>
        <f t="shared" si="9"/>
        <v>0</v>
      </c>
      <c r="BC38" s="166">
        <f t="shared" si="9"/>
        <v>0</v>
      </c>
      <c r="BD38" s="3"/>
      <c r="BE38" s="172">
        <f ref="BE38:BS38" t="shared" si="10">SUM(BE7:BE37)</f>
        <v>0</v>
      </c>
      <c r="BF38" s="165">
        <f t="shared" si="10"/>
        <v>0</v>
      </c>
      <c r="BG38" s="165">
        <f t="shared" si="10"/>
        <v>0</v>
      </c>
      <c r="BH38" s="165">
        <f t="shared" si="10"/>
        <v>0</v>
      </c>
      <c r="BI38" s="165">
        <f t="shared" si="10"/>
        <v>0</v>
      </c>
      <c r="BJ38" s="165">
        <f t="shared" si="10"/>
        <v>0</v>
      </c>
      <c r="BK38" s="165">
        <f t="shared" si="10"/>
        <v>0</v>
      </c>
      <c r="BL38" s="165">
        <f t="shared" si="10"/>
        <v>0</v>
      </c>
      <c r="BM38" s="165">
        <f t="shared" si="10"/>
        <v>0</v>
      </c>
      <c r="BN38" s="165">
        <f t="shared" si="10"/>
        <v>0</v>
      </c>
      <c r="BO38" s="165">
        <f t="shared" si="10"/>
        <v>0</v>
      </c>
      <c r="BP38" s="165">
        <f t="shared" si="10"/>
        <v>0</v>
      </c>
      <c r="BQ38" s="165">
        <f t="shared" si="10"/>
        <v>0</v>
      </c>
      <c r="BR38" s="165">
        <f t="shared" si="10"/>
        <v>0</v>
      </c>
      <c r="BS38" s="165">
        <f t="shared" si="10"/>
        <v>0</v>
      </c>
      <c r="BT38" s="3"/>
    </row>
    <row r="39" ht="14.25" customHeight="1">
      <c r="A39" s="3"/>
      <c r="B39" s="174"/>
      <c r="C39" s="3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75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4"/>
      <c r="AL39" s="3"/>
      <c r="AM39" s="3"/>
      <c r="AN39" s="3"/>
      <c r="AO39" s="3"/>
      <c r="AP39" s="4"/>
      <c r="AQ39" s="3"/>
      <c r="AR39" s="132"/>
      <c r="AS39" s="132"/>
      <c r="AT39" s="3"/>
      <c r="AU39" s="3"/>
      <c r="AV39" s="3"/>
      <c r="AW39" s="132"/>
      <c r="AX39" s="132"/>
      <c r="AY39" s="132"/>
      <c r="AZ39" s="132"/>
      <c r="BA39" s="132"/>
      <c r="BB39" s="4"/>
      <c r="BC39" s="3"/>
      <c r="BD39" s="3"/>
      <c r="BE39" s="17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173"/>
      <c r="BT39" s="3"/>
    </row>
    <row r="40" ht="14.25" customHeight="1">
      <c r="A40" s="3"/>
      <c r="B40" s="174"/>
      <c r="C40" s="3"/>
      <c r="D40" s="3"/>
      <c r="E40" s="3"/>
      <c r="F40" s="3"/>
      <c r="G40" s="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75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176"/>
      <c r="AH40" s="3"/>
      <c r="AI40" s="3"/>
      <c r="AJ40" s="3"/>
      <c r="AK40" s="4"/>
      <c r="AL40" s="3"/>
      <c r="AM40" s="3"/>
      <c r="AN40" s="3"/>
      <c r="AO40" s="3"/>
      <c r="AP40" s="4"/>
      <c r="AQ40" s="3"/>
      <c r="AR40" s="132"/>
      <c r="AS40" s="132"/>
      <c r="AT40" s="3"/>
      <c r="AU40" s="3"/>
      <c r="AV40" s="3"/>
      <c r="AW40" s="132"/>
      <c r="AX40" s="132"/>
      <c r="AY40" s="132"/>
      <c r="AZ40" s="132"/>
      <c r="BA40" s="132"/>
      <c r="BB40" s="177"/>
      <c r="BC40" s="3"/>
      <c r="BD40" s="3"/>
      <c r="BE40" s="178"/>
      <c r="BF40" s="176"/>
      <c r="BG40" s="176"/>
      <c r="BH40" s="176"/>
      <c r="BI40" s="176"/>
      <c r="BJ40" s="176"/>
      <c r="BK40" s="176"/>
      <c r="BL40" s="176"/>
      <c r="BM40" s="176"/>
      <c r="BN40" s="176"/>
      <c r="BO40" s="176"/>
      <c r="BP40" s="176"/>
      <c r="BQ40" s="176"/>
      <c r="BR40" s="176"/>
      <c r="BS40" s="178"/>
      <c r="BT40" s="3"/>
    </row>
    <row r="41" ht="14.25" customHeight="1">
      <c r="A41" s="3"/>
      <c r="B41" s="215">
        <v>46054</v>
      </c>
      <c r="C41" s="238">
        <f>1616.52-0-0</f>
      </c>
      <c r="D41" s="104"/>
      <c r="E41" s="97"/>
      <c r="F41" s="97"/>
      <c r="G41" s="216">
        <f ref="G41:G69" t="shared" si="11">+C41+D41+E41+F41</f>
        <v>0</v>
      </c>
      <c r="H41" s="187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9">
        <f ref="T41:T69" t="shared" si="12">SUM(H41:S41)</f>
        <v>0</v>
      </c>
      <c r="U41" s="186"/>
      <c r="V41" s="186"/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03">
        <f ref="AG41:AG69" t="shared" si="13">SUM(U41:AF41)</f>
        <v>0</v>
      </c>
      <c r="AH41" s="95">
        <v>227.61</v>
      </c>
      <c r="AI41" s="104"/>
      <c r="AJ41" s="104"/>
      <c r="AK41" s="191">
        <f ref="AK41:AK69" t="shared" si="14">SUM(AH41:AJ41)</f>
        <v>0</v>
      </c>
      <c r="AL41" s="1415"/>
      <c r="AM41" s="186"/>
      <c r="AN41" s="186"/>
      <c r="AO41" s="193"/>
      <c r="AP41" s="620">
        <f ref="AP41:AP69" t="shared" si="15">+G41-T41-AG41-AK41-AL41-AM41-AN41-AO41</f>
        <v>0</v>
      </c>
      <c r="AQ41" s="1541">
        <v>1388.9</v>
      </c>
      <c r="AR41" s="1708"/>
      <c r="AS41" s="1537"/>
      <c r="AT41" s="1537"/>
      <c r="AU41" s="1537"/>
      <c r="AV41" s="1537"/>
      <c r="AW41" s="1537"/>
      <c r="AX41" s="269"/>
      <c r="AY41" s="269"/>
      <c r="AZ41" s="269"/>
      <c r="BA41" s="269"/>
      <c r="BB41" s="222">
        <f ref="BB41:BB69" t="shared" si="16">SUM(AQ41:BA41)-AZ41</f>
        <v>0</v>
      </c>
      <c r="BC41" s="114">
        <f ref="BC41:BC69" t="shared" si="17">+AP41-BB41</f>
        <v>0</v>
      </c>
      <c r="BD41" s="3"/>
      <c r="BE41" s="114">
        <f ref="BE41:BE69" t="shared" si="18">SUM(BF41:BR41)</f>
        <v>0</v>
      </c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115"/>
      <c r="BS41" s="116">
        <f ref="BS41:BS69" t="shared" si="19">+BC41-BE41</f>
        <v>0</v>
      </c>
      <c r="BT41" s="3"/>
    </row>
    <row r="42" ht="14.25" customHeight="1">
      <c r="A42" s="3"/>
      <c r="B42" s="215">
        <v>46055</v>
      </c>
      <c r="C42" s="228">
        <f>1923.82-0-0</f>
      </c>
      <c r="D42" s="123"/>
      <c r="E42" s="120"/>
      <c r="F42" s="120"/>
      <c r="G42" s="147">
        <f t="shared" si="11"/>
        <v>0</v>
      </c>
      <c r="H42" s="144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03">
        <f t="shared" si="12"/>
        <v>0</v>
      </c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03">
        <f t="shared" si="13"/>
        <v>0</v>
      </c>
      <c r="AH42" s="119">
        <v>130.8</v>
      </c>
      <c r="AI42" s="123"/>
      <c r="AJ42" s="123"/>
      <c r="AK42" s="105">
        <f t="shared" si="14"/>
        <v>0</v>
      </c>
      <c r="AL42" s="143"/>
      <c r="AM42" s="143"/>
      <c r="AN42" s="143"/>
      <c r="AO42" s="146"/>
      <c r="AP42" s="621">
        <f t="shared" si="15"/>
        <v>0</v>
      </c>
      <c r="AQ42" s="1580">
        <v>1793</v>
      </c>
      <c r="AR42" s="1709"/>
      <c r="AS42" s="1546"/>
      <c r="AT42" s="1546"/>
      <c r="AU42" s="1546"/>
      <c r="AV42" s="1546"/>
      <c r="AW42" s="1546"/>
      <c r="AX42" s="274"/>
      <c r="AY42" s="274"/>
      <c r="AZ42" s="274"/>
      <c r="BA42" s="274"/>
      <c r="BB42" s="222">
        <f t="shared" si="16"/>
        <v>0</v>
      </c>
      <c r="BC42" s="113">
        <f t="shared" si="17"/>
        <v>0</v>
      </c>
      <c r="BD42" s="3"/>
      <c r="BE42" s="113">
        <f t="shared" si="18"/>
        <v>0</v>
      </c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30">
        <f t="shared" si="19"/>
        <v>0</v>
      </c>
      <c r="BT42" s="3"/>
    </row>
    <row r="43" ht="14.25" customHeight="1">
      <c r="A43" s="3"/>
      <c r="B43" s="215">
        <v>46056</v>
      </c>
      <c r="C43" s="228">
        <f>1907.58-0-0</f>
      </c>
      <c r="D43" s="123"/>
      <c r="E43" s="120"/>
      <c r="F43" s="120"/>
      <c r="G43" s="147">
        <f t="shared" si="11"/>
        <v>0</v>
      </c>
      <c r="H43" s="144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03">
        <f t="shared" si="12"/>
        <v>0</v>
      </c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03">
        <f t="shared" si="13"/>
        <v>0</v>
      </c>
      <c r="AH43" s="119">
        <v>473.01</v>
      </c>
      <c r="AI43" s="123"/>
      <c r="AJ43" s="123"/>
      <c r="AK43" s="105">
        <f t="shared" si="14"/>
        <v>0</v>
      </c>
      <c r="AL43" s="143"/>
      <c r="AM43" s="143"/>
      <c r="AN43" s="143"/>
      <c r="AO43" s="146"/>
      <c r="AP43" s="621">
        <f t="shared" si="15"/>
        <v>0</v>
      </c>
      <c r="AQ43" s="1580">
        <v>1434.6</v>
      </c>
      <c r="AR43" s="1709"/>
      <c r="AS43" s="1709"/>
      <c r="AT43" s="1546"/>
      <c r="AU43" s="1546"/>
      <c r="AV43" s="1546"/>
      <c r="AW43" s="1546"/>
      <c r="AX43" s="274"/>
      <c r="AY43" s="274"/>
      <c r="AZ43" s="274"/>
      <c r="BA43" s="274"/>
      <c r="BB43" s="222">
        <f t="shared" si="16"/>
        <v>0</v>
      </c>
      <c r="BC43" s="113">
        <f t="shared" si="17"/>
        <v>0</v>
      </c>
      <c r="BD43" s="3"/>
      <c r="BE43" s="113">
        <f t="shared" si="18"/>
        <v>0</v>
      </c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30">
        <f t="shared" si="19"/>
        <v>0</v>
      </c>
      <c r="BT43" s="3"/>
    </row>
    <row r="44" ht="14.25" customHeight="1">
      <c r="A44" s="132"/>
      <c r="B44" s="215">
        <v>46057</v>
      </c>
      <c r="C44" s="230">
        <f>1495.72-0-0</f>
      </c>
      <c r="D44" s="136"/>
      <c r="E44" s="135"/>
      <c r="F44" s="135"/>
      <c r="G44" s="147">
        <f t="shared" si="11"/>
        <v>0</v>
      </c>
      <c r="H44" s="144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03">
        <f t="shared" si="12"/>
        <v>0</v>
      </c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03">
        <f t="shared" si="13"/>
        <v>0</v>
      </c>
      <c r="AH44" s="134">
        <v>107</v>
      </c>
      <c r="AI44" s="136"/>
      <c r="AJ44" s="136"/>
      <c r="AK44" s="105">
        <f t="shared" si="14"/>
        <v>0</v>
      </c>
      <c r="AL44" s="143"/>
      <c r="AM44" s="143"/>
      <c r="AN44" s="143"/>
      <c r="AO44" s="146"/>
      <c r="AP44" s="621">
        <f t="shared" si="15"/>
        <v>0</v>
      </c>
      <c r="AQ44" s="1580">
        <v>1388.7</v>
      </c>
      <c r="AR44" s="1709"/>
      <c r="AS44" s="1709"/>
      <c r="AT44" s="1546"/>
      <c r="AU44" s="1546"/>
      <c r="AV44" s="1546"/>
      <c r="AW44" s="1546"/>
      <c r="AX44" s="274"/>
      <c r="AY44" s="274"/>
      <c r="AZ44" s="274"/>
      <c r="BA44" s="274"/>
      <c r="BB44" s="222">
        <f t="shared" si="16"/>
        <v>0</v>
      </c>
      <c r="BC44" s="140">
        <f t="shared" si="17"/>
        <v>0</v>
      </c>
      <c r="BD44" s="132"/>
      <c r="BE44" s="140">
        <f t="shared" si="18"/>
        <v>0</v>
      </c>
      <c r="BF44" s="141"/>
      <c r="BG44" s="141"/>
      <c r="BH44" s="141"/>
      <c r="BI44" s="141"/>
      <c r="BJ44" s="141"/>
      <c r="BK44" s="141"/>
      <c r="BL44" s="141"/>
      <c r="BM44" s="141"/>
      <c r="BN44" s="141"/>
      <c r="BO44" s="141"/>
      <c r="BP44" s="141"/>
      <c r="BQ44" s="141"/>
      <c r="BR44" s="141"/>
      <c r="BS44" s="130">
        <f t="shared" si="19"/>
        <v>0</v>
      </c>
      <c r="BT44" s="132"/>
    </row>
    <row r="45" ht="14.25" customHeight="1">
      <c r="A45" s="132"/>
      <c r="B45" s="215">
        <v>46058</v>
      </c>
      <c r="C45" s="230">
        <f>1728.33-0-0</f>
      </c>
      <c r="D45" s="136"/>
      <c r="E45" s="135"/>
      <c r="F45" s="135"/>
      <c r="G45" s="147">
        <f t="shared" si="11"/>
        <v>0</v>
      </c>
      <c r="H45" s="144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03">
        <f t="shared" si="12"/>
        <v>0</v>
      </c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03">
        <f t="shared" si="13"/>
        <v>0</v>
      </c>
      <c r="AH45" s="134">
        <v>198.5</v>
      </c>
      <c r="AI45" s="136"/>
      <c r="AJ45" s="136"/>
      <c r="AK45" s="105">
        <f t="shared" si="14"/>
        <v>0</v>
      </c>
      <c r="AL45" s="143"/>
      <c r="AM45" s="143"/>
      <c r="AN45" s="143"/>
      <c r="AO45" s="146"/>
      <c r="AP45" s="621">
        <f t="shared" si="15"/>
        <v>0</v>
      </c>
      <c r="AQ45" s="1580">
        <v>1529.9</v>
      </c>
      <c r="AR45" s="1709"/>
      <c r="AS45" s="1546"/>
      <c r="AT45" s="1546"/>
      <c r="AU45" s="1546"/>
      <c r="AV45" s="1546"/>
      <c r="AW45" s="1546"/>
      <c r="AX45" s="274"/>
      <c r="AY45" s="274"/>
      <c r="AZ45" s="274"/>
      <c r="BA45" s="274"/>
      <c r="BB45" s="222">
        <f t="shared" si="16"/>
        <v>0</v>
      </c>
      <c r="BC45" s="140">
        <f t="shared" si="17"/>
        <v>0</v>
      </c>
      <c r="BD45" s="132"/>
      <c r="BE45" s="140">
        <f t="shared" si="18"/>
        <v>0</v>
      </c>
      <c r="BF45" s="141"/>
      <c r="BG45" s="141"/>
      <c r="BH45" s="141"/>
      <c r="BI45" s="141"/>
      <c r="BJ45" s="141"/>
      <c r="BK45" s="141"/>
      <c r="BL45" s="141"/>
      <c r="BM45" s="141"/>
      <c r="BN45" s="141"/>
      <c r="BO45" s="141"/>
      <c r="BP45" s="141"/>
      <c r="BQ45" s="141"/>
      <c r="BR45" s="141"/>
      <c r="BS45" s="130">
        <f t="shared" si="19"/>
        <v>0</v>
      </c>
      <c r="BT45" s="132"/>
    </row>
    <row r="46" ht="14.25" customHeight="1">
      <c r="A46" s="132"/>
      <c r="B46" s="215">
        <v>46059</v>
      </c>
      <c r="C46" s="230">
        <f>1827.27-0-0</f>
      </c>
      <c r="D46" s="136"/>
      <c r="E46" s="135"/>
      <c r="F46" s="135"/>
      <c r="G46" s="147">
        <f t="shared" si="11"/>
        <v>0</v>
      </c>
      <c r="H46" s="144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03">
        <f t="shared" si="12"/>
        <v>0</v>
      </c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03">
        <f t="shared" si="13"/>
        <v>0</v>
      </c>
      <c r="AH46" s="134"/>
      <c r="AI46" s="136"/>
      <c r="AJ46" s="136"/>
      <c r="AK46" s="105">
        <f t="shared" si="14"/>
        <v>0</v>
      </c>
      <c r="AL46" s="143"/>
      <c r="AM46" s="143"/>
      <c r="AN46" s="143"/>
      <c r="AO46" s="146"/>
      <c r="AP46" s="621">
        <f t="shared" si="15"/>
        <v>0</v>
      </c>
      <c r="AQ46" s="1580">
        <v>1827.3</v>
      </c>
      <c r="AR46" s="1709"/>
      <c r="AS46" s="1546"/>
      <c r="AT46" s="1546"/>
      <c r="AU46" s="1546"/>
      <c r="AV46" s="1546"/>
      <c r="AW46" s="1546"/>
      <c r="AX46" s="274"/>
      <c r="AY46" s="274"/>
      <c r="AZ46" s="274"/>
      <c r="BA46" s="274"/>
      <c r="BB46" s="222">
        <f t="shared" si="16"/>
        <v>0</v>
      </c>
      <c r="BC46" s="140">
        <f t="shared" si="17"/>
        <v>0</v>
      </c>
      <c r="BD46" s="132"/>
      <c r="BE46" s="140">
        <f t="shared" si="18"/>
        <v>0</v>
      </c>
      <c r="BF46" s="141"/>
      <c r="BG46" s="141"/>
      <c r="BH46" s="141"/>
      <c r="BI46" s="141"/>
      <c r="BJ46" s="141"/>
      <c r="BK46" s="141"/>
      <c r="BL46" s="141"/>
      <c r="BM46" s="141"/>
      <c r="BN46" s="141"/>
      <c r="BO46" s="141"/>
      <c r="BP46" s="141"/>
      <c r="BQ46" s="141"/>
      <c r="BR46" s="141"/>
      <c r="BS46" s="130">
        <f t="shared" si="19"/>
        <v>0</v>
      </c>
      <c r="BT46" s="132"/>
    </row>
    <row r="47" ht="13.5" customHeight="1">
      <c r="A47" s="132"/>
      <c r="B47" s="215">
        <v>46060</v>
      </c>
      <c r="C47" s="230">
        <f>2108.30-0-0</f>
      </c>
      <c r="D47" s="136"/>
      <c r="E47" s="135"/>
      <c r="F47" s="135"/>
      <c r="G47" s="147">
        <f t="shared" si="11"/>
        <v>0</v>
      </c>
      <c r="H47" s="144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03">
        <f t="shared" si="12"/>
        <v>0</v>
      </c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03">
        <f t="shared" si="13"/>
        <v>0</v>
      </c>
      <c r="AH47" s="134"/>
      <c r="AI47" s="134"/>
      <c r="AJ47" s="136"/>
      <c r="AK47" s="105">
        <f t="shared" si="14"/>
        <v>0</v>
      </c>
      <c r="AL47" s="143"/>
      <c r="AM47" s="143"/>
      <c r="AN47" s="143"/>
      <c r="AO47" s="146"/>
      <c r="AP47" s="621">
        <f t="shared" si="15"/>
        <v>0</v>
      </c>
      <c r="AQ47" s="1580">
        <v>2108.3</v>
      </c>
      <c r="AR47" s="1709"/>
      <c r="AS47" s="1546"/>
      <c r="AT47" s="1546"/>
      <c r="AU47" s="1546"/>
      <c r="AV47" s="1546"/>
      <c r="AW47" s="1546"/>
      <c r="AX47" s="274"/>
      <c r="AY47" s="274"/>
      <c r="AZ47" s="274"/>
      <c r="BA47" s="274"/>
      <c r="BB47" s="222">
        <f t="shared" si="16"/>
        <v>0</v>
      </c>
      <c r="BC47" s="140">
        <f t="shared" si="17"/>
        <v>0</v>
      </c>
      <c r="BD47" s="132"/>
      <c r="BE47" s="140">
        <f t="shared" si="18"/>
        <v>0</v>
      </c>
      <c r="BF47" s="141"/>
      <c r="BG47" s="141"/>
      <c r="BH47" s="141"/>
      <c r="BI47" s="141"/>
      <c r="BJ47" s="141"/>
      <c r="BK47" s="141"/>
      <c r="BL47" s="141"/>
      <c r="BM47" s="141"/>
      <c r="BN47" s="141"/>
      <c r="BO47" s="141"/>
      <c r="BP47" s="141"/>
      <c r="BQ47" s="141"/>
      <c r="BR47" s="141"/>
      <c r="BS47" s="130">
        <f t="shared" si="19"/>
        <v>0</v>
      </c>
      <c r="BT47" s="132"/>
    </row>
    <row r="48" ht="14.25" customHeight="1">
      <c r="A48" s="132"/>
      <c r="B48" s="215">
        <v>46061</v>
      </c>
      <c r="C48" s="230">
        <f>3491.88-0-0</f>
      </c>
      <c r="D48" s="136"/>
      <c r="E48" s="135"/>
      <c r="F48" s="135"/>
      <c r="G48" s="147">
        <f t="shared" si="11"/>
        <v>0</v>
      </c>
      <c r="H48" s="144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03">
        <f t="shared" si="12"/>
        <v>0</v>
      </c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03">
        <f t="shared" si="13"/>
        <v>0</v>
      </c>
      <c r="AH48" s="134">
        <v>713.06</v>
      </c>
      <c r="AI48" s="136"/>
      <c r="AJ48" s="136"/>
      <c r="AK48" s="105">
        <f t="shared" si="14"/>
        <v>0</v>
      </c>
      <c r="AL48" s="143"/>
      <c r="AM48" s="143"/>
      <c r="AN48" s="143"/>
      <c r="AO48" s="146"/>
      <c r="AP48" s="621">
        <f t="shared" si="15"/>
        <v>0</v>
      </c>
      <c r="AQ48" s="1580">
        <v>2778.8</v>
      </c>
      <c r="AR48" s="1709"/>
      <c r="AS48" s="1546"/>
      <c r="AT48" s="1546"/>
      <c r="AU48" s="1546"/>
      <c r="AV48" s="1546"/>
      <c r="AW48" s="1546"/>
      <c r="AX48" s="274"/>
      <c r="AY48" s="274"/>
      <c r="AZ48" s="274"/>
      <c r="BA48" s="274"/>
      <c r="BB48" s="222">
        <f t="shared" si="16"/>
        <v>0</v>
      </c>
      <c r="BC48" s="140">
        <f t="shared" si="17"/>
        <v>0</v>
      </c>
      <c r="BD48" s="132"/>
      <c r="BE48" s="140">
        <f t="shared" si="18"/>
        <v>0</v>
      </c>
      <c r="BF48" s="141"/>
      <c r="BG48" s="141"/>
      <c r="BH48" s="141"/>
      <c r="BI48" s="141"/>
      <c r="BJ48" s="141"/>
      <c r="BK48" s="141"/>
      <c r="BL48" s="141"/>
      <c r="BM48" s="141"/>
      <c r="BN48" s="141"/>
      <c r="BO48" s="141"/>
      <c r="BP48" s="141"/>
      <c r="BQ48" s="141"/>
      <c r="BR48" s="141"/>
      <c r="BS48" s="130">
        <f t="shared" si="19"/>
        <v>0</v>
      </c>
      <c r="BT48" s="132"/>
    </row>
    <row r="49" ht="14.25" customHeight="1">
      <c r="A49" s="132"/>
      <c r="B49" s="215">
        <v>46062</v>
      </c>
      <c r="C49" s="230">
        <f>644.31-0-0</f>
      </c>
      <c r="D49" s="136"/>
      <c r="E49" s="135"/>
      <c r="F49" s="135"/>
      <c r="G49" s="147">
        <f t="shared" si="11"/>
        <v>0</v>
      </c>
      <c r="H49" s="144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03">
        <f t="shared" si="12"/>
        <v>0</v>
      </c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03">
        <f t="shared" si="13"/>
        <v>0</v>
      </c>
      <c r="AH49" s="134"/>
      <c r="AI49" s="136"/>
      <c r="AJ49" s="136"/>
      <c r="AK49" s="105">
        <f t="shared" si="14"/>
        <v>0</v>
      </c>
      <c r="AL49" s="143"/>
      <c r="AM49" s="143"/>
      <c r="AN49" s="143"/>
      <c r="AO49" s="146"/>
      <c r="AP49" s="621">
        <f t="shared" si="15"/>
        <v>0</v>
      </c>
      <c r="AQ49" s="1580">
        <v>444.3</v>
      </c>
      <c r="AR49" s="1709"/>
      <c r="AS49" s="1546"/>
      <c r="AT49" s="1546"/>
      <c r="AU49" s="1546"/>
      <c r="AV49" s="1546"/>
      <c r="AW49" s="1546"/>
      <c r="AX49" s="274"/>
      <c r="AY49" s="274"/>
      <c r="AZ49" s="274"/>
      <c r="BA49" s="274"/>
      <c r="BB49" s="222">
        <f t="shared" si="16"/>
        <v>0</v>
      </c>
      <c r="BC49" s="140">
        <f t="shared" si="17"/>
        <v>0</v>
      </c>
      <c r="BD49" s="132"/>
      <c r="BE49" s="140">
        <f t="shared" si="18"/>
        <v>0</v>
      </c>
      <c r="BF49" s="141"/>
      <c r="BG49" s="141"/>
      <c r="BH49" s="141"/>
      <c r="BI49" s="141"/>
      <c r="BJ49" s="141"/>
      <c r="BK49" s="141"/>
      <c r="BL49" s="141"/>
      <c r="BM49" s="141"/>
      <c r="BN49" s="141"/>
      <c r="BO49" s="141"/>
      <c r="BP49" s="150"/>
      <c r="BQ49" s="141">
        <v>200</v>
      </c>
      <c r="BR49" s="141"/>
      <c r="BS49" s="130">
        <f t="shared" si="19"/>
        <v>0</v>
      </c>
      <c r="BT49" s="132"/>
    </row>
    <row r="50" ht="14.25" customHeight="1">
      <c r="A50" s="132"/>
      <c r="B50" s="215">
        <v>46063</v>
      </c>
      <c r="C50" s="230">
        <f>1790.06-0-0</f>
      </c>
      <c r="D50" s="136"/>
      <c r="E50" s="135"/>
      <c r="F50" s="135"/>
      <c r="G50" s="147">
        <f t="shared" si="11"/>
        <v>0</v>
      </c>
      <c r="H50" s="144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03">
        <f t="shared" si="12"/>
        <v>0</v>
      </c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03">
        <f t="shared" si="13"/>
        <v>0</v>
      </c>
      <c r="AH50" s="134"/>
      <c r="AI50" s="136"/>
      <c r="AJ50" s="136"/>
      <c r="AK50" s="105">
        <f t="shared" si="14"/>
        <v>0</v>
      </c>
      <c r="AL50" s="143"/>
      <c r="AM50" s="143"/>
      <c r="AN50" s="143"/>
      <c r="AO50" s="146"/>
      <c r="AP50" s="621">
        <f t="shared" si="15"/>
        <v>0</v>
      </c>
      <c r="AQ50" s="1580">
        <v>1790</v>
      </c>
      <c r="AR50" s="1709"/>
      <c r="AS50" s="1546"/>
      <c r="AT50" s="1546"/>
      <c r="AU50" s="1546"/>
      <c r="AV50" s="1546"/>
      <c r="AW50" s="1546"/>
      <c r="AX50" s="274"/>
      <c r="AY50" s="274"/>
      <c r="AZ50" s="274"/>
      <c r="BA50" s="274"/>
      <c r="BB50" s="222">
        <f t="shared" si="16"/>
        <v>0</v>
      </c>
      <c r="BC50" s="140">
        <f t="shared" si="17"/>
        <v>0</v>
      </c>
      <c r="BD50" s="132"/>
      <c r="BE50" s="140">
        <f t="shared" si="18"/>
        <v>0</v>
      </c>
      <c r="BF50" s="141"/>
      <c r="BG50" s="141"/>
      <c r="BH50" s="141"/>
      <c r="BI50" s="141"/>
      <c r="BJ50" s="141"/>
      <c r="BK50" s="141"/>
      <c r="BL50" s="141"/>
      <c r="BM50" s="141"/>
      <c r="BN50" s="141"/>
      <c r="BO50" s="141"/>
      <c r="BP50" s="141"/>
      <c r="BQ50" s="141"/>
      <c r="BR50" s="141"/>
      <c r="BS50" s="130">
        <f t="shared" si="19"/>
        <v>0</v>
      </c>
      <c r="BT50" s="132"/>
    </row>
    <row r="51" ht="14.25" customHeight="1">
      <c r="A51" s="132"/>
      <c r="B51" s="215">
        <v>46064</v>
      </c>
      <c r="C51" s="230">
        <f>1291.22-0-0</f>
      </c>
      <c r="D51" s="136"/>
      <c r="E51" s="135"/>
      <c r="F51" s="135"/>
      <c r="G51" s="147">
        <f t="shared" si="11"/>
        <v>0</v>
      </c>
      <c r="H51" s="144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03">
        <f t="shared" si="12"/>
        <v>0</v>
      </c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03">
        <f t="shared" si="13"/>
        <v>0</v>
      </c>
      <c r="AH51" s="134">
        <v>150</v>
      </c>
      <c r="AI51" s="136"/>
      <c r="AJ51" s="136"/>
      <c r="AK51" s="105">
        <f t="shared" si="14"/>
        <v>0</v>
      </c>
      <c r="AL51" s="143"/>
      <c r="AM51" s="143"/>
      <c r="AN51" s="143"/>
      <c r="AO51" s="146"/>
      <c r="AP51" s="621">
        <f t="shared" si="15"/>
        <v>0</v>
      </c>
      <c r="AQ51" s="1580">
        <v>961.3</v>
      </c>
      <c r="AR51" s="1709"/>
      <c r="AS51" s="1546"/>
      <c r="AT51" s="1546"/>
      <c r="AU51" s="1546"/>
      <c r="AV51" s="1546"/>
      <c r="AW51" s="1546"/>
      <c r="AX51" s="274"/>
      <c r="AY51" s="274"/>
      <c r="AZ51" s="274"/>
      <c r="BA51" s="274"/>
      <c r="BB51" s="222">
        <f t="shared" si="16"/>
        <v>0</v>
      </c>
      <c r="BC51" s="140">
        <f t="shared" si="17"/>
        <v>0</v>
      </c>
      <c r="BD51" s="132"/>
      <c r="BE51" s="140">
        <f t="shared" si="18"/>
        <v>0</v>
      </c>
      <c r="BF51" s="141"/>
      <c r="BG51" s="141"/>
      <c r="BH51" s="141"/>
      <c r="BI51" s="141"/>
      <c r="BJ51" s="141"/>
      <c r="BK51" s="141"/>
      <c r="BL51" s="141"/>
      <c r="BM51" s="141"/>
      <c r="BN51" s="141"/>
      <c r="BO51" s="141"/>
      <c r="BP51" s="150"/>
      <c r="BQ51" s="141">
        <v>180</v>
      </c>
      <c r="BR51" s="141"/>
      <c r="BS51" s="130">
        <f t="shared" si="19"/>
        <v>0</v>
      </c>
      <c r="BT51" s="132"/>
    </row>
    <row r="52" ht="14.25" customHeight="1">
      <c r="A52" s="132"/>
      <c r="B52" s="215">
        <v>46065</v>
      </c>
      <c r="C52" s="230">
        <f>1370.75-0-0</f>
      </c>
      <c r="D52" s="136"/>
      <c r="E52" s="135"/>
      <c r="F52" s="135"/>
      <c r="G52" s="147">
        <f t="shared" si="11"/>
        <v>0</v>
      </c>
      <c r="H52" s="144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03">
        <f t="shared" si="12"/>
        <v>0</v>
      </c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03">
        <f t="shared" si="13"/>
        <v>0</v>
      </c>
      <c r="AH52" s="134">
        <v>119.5</v>
      </c>
      <c r="AI52" s="136"/>
      <c r="AJ52" s="136"/>
      <c r="AK52" s="105">
        <f t="shared" si="14"/>
        <v>0</v>
      </c>
      <c r="AL52" s="143"/>
      <c r="AM52" s="143"/>
      <c r="AN52" s="143"/>
      <c r="AO52" s="146"/>
      <c r="AP52" s="621">
        <f t="shared" si="15"/>
        <v>0</v>
      </c>
      <c r="AQ52" s="1580">
        <v>1251.2</v>
      </c>
      <c r="AR52" s="1709"/>
      <c r="AS52" s="1546"/>
      <c r="AT52" s="1546"/>
      <c r="AU52" s="1546"/>
      <c r="AV52" s="1546"/>
      <c r="AW52" s="1546"/>
      <c r="AX52" s="274"/>
      <c r="AY52" s="274"/>
      <c r="AZ52" s="274"/>
      <c r="BA52" s="274"/>
      <c r="BB52" s="222">
        <f t="shared" si="16"/>
        <v>0</v>
      </c>
      <c r="BC52" s="140">
        <f t="shared" si="17"/>
        <v>0</v>
      </c>
      <c r="BD52" s="132"/>
      <c r="BE52" s="140">
        <f t="shared" si="18"/>
        <v>0</v>
      </c>
      <c r="BF52" s="141"/>
      <c r="BG52" s="141"/>
      <c r="BH52" s="141"/>
      <c r="BI52" s="141"/>
      <c r="BJ52" s="141"/>
      <c r="BK52" s="141"/>
      <c r="BL52" s="141"/>
      <c r="BM52" s="141"/>
      <c r="BN52" s="141"/>
      <c r="BO52" s="141"/>
      <c r="BP52" s="141"/>
      <c r="BQ52" s="141"/>
      <c r="BR52" s="141"/>
      <c r="BS52" s="130">
        <f t="shared" si="19"/>
        <v>0</v>
      </c>
      <c r="BT52" s="132"/>
    </row>
    <row r="53" ht="14.25" customHeight="1">
      <c r="A53" s="132"/>
      <c r="B53" s="215">
        <v>46066</v>
      </c>
      <c r="C53" s="230">
        <f>2384.20-0-0</f>
      </c>
      <c r="D53" s="136"/>
      <c r="E53" s="135"/>
      <c r="F53" s="135"/>
      <c r="G53" s="147">
        <f t="shared" si="11"/>
        <v>0</v>
      </c>
      <c r="H53" s="144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03">
        <f t="shared" si="12"/>
        <v>0</v>
      </c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03">
        <f t="shared" si="13"/>
        <v>0</v>
      </c>
      <c r="AH53" s="134">
        <v>295</v>
      </c>
      <c r="AI53" s="136"/>
      <c r="AJ53" s="136"/>
      <c r="AK53" s="105">
        <f t="shared" si="14"/>
        <v>0</v>
      </c>
      <c r="AL53" s="143"/>
      <c r="AM53" s="143"/>
      <c r="AN53" s="143"/>
      <c r="AO53" s="146"/>
      <c r="AP53" s="621">
        <f t="shared" si="15"/>
        <v>0</v>
      </c>
      <c r="AQ53" s="1580">
        <v>2089.2</v>
      </c>
      <c r="AR53" s="1709"/>
      <c r="AS53" s="1546"/>
      <c r="AT53" s="1546"/>
      <c r="AU53" s="1546"/>
      <c r="AV53" s="1546"/>
      <c r="AW53" s="1546"/>
      <c r="AX53" s="274"/>
      <c r="AY53" s="274"/>
      <c r="AZ53" s="274"/>
      <c r="BA53" s="274"/>
      <c r="BB53" s="222">
        <f t="shared" si="16"/>
        <v>0</v>
      </c>
      <c r="BC53" s="140">
        <f t="shared" si="17"/>
        <v>0</v>
      </c>
      <c r="BD53" s="132"/>
      <c r="BE53" s="140">
        <f t="shared" si="18"/>
        <v>0</v>
      </c>
      <c r="BF53" s="141"/>
      <c r="BG53" s="141"/>
      <c r="BH53" s="141"/>
      <c r="BI53" s="141"/>
      <c r="BJ53" s="141"/>
      <c r="BK53" s="141"/>
      <c r="BL53" s="141"/>
      <c r="BM53" s="141"/>
      <c r="BN53" s="141"/>
      <c r="BO53" s="141"/>
      <c r="BP53" s="141"/>
      <c r="BQ53" s="141"/>
      <c r="BR53" s="141"/>
      <c r="BS53" s="130">
        <f t="shared" si="19"/>
        <v>0</v>
      </c>
      <c r="BT53" s="132"/>
    </row>
    <row r="54" ht="14.25" customHeight="1">
      <c r="A54" s="132"/>
      <c r="B54" s="215">
        <v>46067</v>
      </c>
      <c r="C54" s="230">
        <f>1946.83-0-0</f>
      </c>
      <c r="D54" s="136"/>
      <c r="E54" s="135"/>
      <c r="F54" s="135"/>
      <c r="G54" s="147">
        <f t="shared" si="11"/>
        <v>0</v>
      </c>
      <c r="H54" s="144"/>
      <c r="I54" s="143"/>
      <c r="J54" s="143"/>
      <c r="K54" s="143"/>
      <c r="L54" s="140"/>
      <c r="M54" s="143"/>
      <c r="N54" s="143"/>
      <c r="O54" s="143"/>
      <c r="P54" s="143"/>
      <c r="Q54" s="143"/>
      <c r="R54" s="143"/>
      <c r="S54" s="143"/>
      <c r="T54" s="103">
        <f t="shared" si="12"/>
        <v>0</v>
      </c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03">
        <f t="shared" si="13"/>
        <v>0</v>
      </c>
      <c r="AH54" s="134">
        <v>820</v>
      </c>
      <c r="AI54" s="136"/>
      <c r="AJ54" s="136"/>
      <c r="AK54" s="105">
        <f t="shared" si="14"/>
        <v>0</v>
      </c>
      <c r="AL54" s="143"/>
      <c r="AM54" s="143"/>
      <c r="AN54" s="143"/>
      <c r="AO54" s="146"/>
      <c r="AP54" s="621">
        <f t="shared" si="15"/>
        <v>0</v>
      </c>
      <c r="AQ54" s="1580">
        <v>1126.8</v>
      </c>
      <c r="AR54" s="1709"/>
      <c r="AS54" s="1546"/>
      <c r="AT54" s="1546"/>
      <c r="AU54" s="1546"/>
      <c r="AV54" s="1546"/>
      <c r="AW54" s="1546"/>
      <c r="AX54" s="274"/>
      <c r="AY54" s="274"/>
      <c r="AZ54" s="274"/>
      <c r="BA54" s="274"/>
      <c r="BB54" s="222">
        <f t="shared" si="16"/>
        <v>0</v>
      </c>
      <c r="BC54" s="140">
        <f t="shared" si="17"/>
        <v>0</v>
      </c>
      <c r="BD54" s="132"/>
      <c r="BE54" s="140">
        <f t="shared" si="18"/>
        <v>0</v>
      </c>
      <c r="BF54" s="141"/>
      <c r="BG54" s="141"/>
      <c r="BH54" s="141"/>
      <c r="BI54" s="141"/>
      <c r="BJ54" s="141"/>
      <c r="BK54" s="141"/>
      <c r="BL54" s="141"/>
      <c r="BM54" s="141"/>
      <c r="BN54" s="141"/>
      <c r="BO54" s="141"/>
      <c r="BP54" s="141"/>
      <c r="BQ54" s="141"/>
      <c r="BR54" s="141"/>
      <c r="BS54" s="130">
        <f t="shared" si="19"/>
        <v>0</v>
      </c>
      <c r="BT54" s="132"/>
    </row>
    <row r="55" ht="14.25" customHeight="1">
      <c r="A55" s="132"/>
      <c r="B55" s="215">
        <v>46068</v>
      </c>
      <c r="C55" s="230">
        <f>3238.09-0-0</f>
      </c>
      <c r="D55" s="136"/>
      <c r="E55" s="135"/>
      <c r="F55" s="135"/>
      <c r="G55" s="147">
        <f t="shared" si="11"/>
        <v>0</v>
      </c>
      <c r="H55" s="144"/>
      <c r="I55" s="143"/>
      <c r="J55" s="143"/>
      <c r="K55" s="143"/>
      <c r="L55" s="140"/>
      <c r="M55" s="143"/>
      <c r="N55" s="143"/>
      <c r="O55" s="143"/>
      <c r="P55" s="143"/>
      <c r="Q55" s="143"/>
      <c r="R55" s="143"/>
      <c r="S55" s="143"/>
      <c r="T55" s="103">
        <f t="shared" si="12"/>
        <v>0</v>
      </c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  <c r="AF55" s="143"/>
      <c r="AG55" s="103">
        <f t="shared" si="13"/>
        <v>0</v>
      </c>
      <c r="AH55" s="134">
        <v>283.4</v>
      </c>
      <c r="AI55" s="136"/>
      <c r="AJ55" s="136"/>
      <c r="AK55" s="105">
        <f t="shared" si="14"/>
        <v>0</v>
      </c>
      <c r="AL55" s="143"/>
      <c r="AM55" s="143"/>
      <c r="AN55" s="143"/>
      <c r="AO55" s="146"/>
      <c r="AP55" s="621">
        <f t="shared" si="15"/>
        <v>0</v>
      </c>
      <c r="AQ55" s="1580">
        <v>2954.7</v>
      </c>
      <c r="AR55" s="1709"/>
      <c r="AS55" s="1546"/>
      <c r="AT55" s="1546"/>
      <c r="AU55" s="1546"/>
      <c r="AV55" s="1546"/>
      <c r="AW55" s="1546"/>
      <c r="AX55" s="274"/>
      <c r="AY55" s="274"/>
      <c r="AZ55" s="274"/>
      <c r="BA55" s="274"/>
      <c r="BB55" s="222">
        <f t="shared" si="16"/>
        <v>0</v>
      </c>
      <c r="BC55" s="140">
        <f t="shared" si="17"/>
        <v>0</v>
      </c>
      <c r="BD55" s="132"/>
      <c r="BE55" s="140">
        <f t="shared" si="18"/>
        <v>0</v>
      </c>
      <c r="BF55" s="141"/>
      <c r="BG55" s="141"/>
      <c r="BH55" s="141"/>
      <c r="BI55" s="141"/>
      <c r="BJ55" s="141"/>
      <c r="BK55" s="141"/>
      <c r="BL55" s="141"/>
      <c r="BM55" s="141"/>
      <c r="BN55" s="141"/>
      <c r="BO55" s="141"/>
      <c r="BP55" s="141"/>
      <c r="BQ55" s="141"/>
      <c r="BR55" s="141"/>
      <c r="BS55" s="130">
        <f t="shared" si="19"/>
        <v>0</v>
      </c>
      <c r="BT55" s="132"/>
    </row>
    <row r="56" ht="14.25" customHeight="1">
      <c r="A56" s="132"/>
      <c r="B56" s="215">
        <v>46069</v>
      </c>
      <c r="C56" s="230">
        <f>1522.57-0-0</f>
      </c>
      <c r="D56" s="136"/>
      <c r="E56" s="135"/>
      <c r="F56" s="135"/>
      <c r="G56" s="147">
        <f t="shared" si="11"/>
        <v>0</v>
      </c>
      <c r="H56" s="144"/>
      <c r="I56" s="143"/>
      <c r="J56" s="1416"/>
      <c r="K56" s="143"/>
      <c r="L56" s="140"/>
      <c r="M56" s="143"/>
      <c r="N56" s="143"/>
      <c r="O56" s="143"/>
      <c r="P56" s="143"/>
      <c r="Q56" s="143"/>
      <c r="R56" s="143"/>
      <c r="S56" s="143"/>
      <c r="T56" s="103">
        <f t="shared" si="12"/>
        <v>0</v>
      </c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03">
        <f t="shared" si="13"/>
        <v>0</v>
      </c>
      <c r="AH56" s="134">
        <v>292.6</v>
      </c>
      <c r="AI56" s="136"/>
      <c r="AJ56" s="136"/>
      <c r="AK56" s="105">
        <f t="shared" si="14"/>
        <v>0</v>
      </c>
      <c r="AL56" s="143"/>
      <c r="AM56" s="143"/>
      <c r="AN56" s="143"/>
      <c r="AO56" s="146"/>
      <c r="AP56" s="621">
        <f t="shared" si="15"/>
        <v>0</v>
      </c>
      <c r="AQ56" s="1580">
        <v>1230</v>
      </c>
      <c r="AR56" s="1709"/>
      <c r="AS56" s="1546"/>
      <c r="AT56" s="1546"/>
      <c r="AU56" s="1546"/>
      <c r="AV56" s="1546"/>
      <c r="AW56" s="1546"/>
      <c r="AX56" s="274"/>
      <c r="AY56" s="274"/>
      <c r="AZ56" s="274"/>
      <c r="BA56" s="274"/>
      <c r="BB56" s="222">
        <f t="shared" si="16"/>
        <v>0</v>
      </c>
      <c r="BC56" s="140">
        <f t="shared" si="17"/>
        <v>0</v>
      </c>
      <c r="BD56" s="132"/>
      <c r="BE56" s="140">
        <f t="shared" si="18"/>
        <v>0</v>
      </c>
      <c r="BF56" s="141"/>
      <c r="BG56" s="141"/>
      <c r="BH56" s="141"/>
      <c r="BI56" s="141"/>
      <c r="BJ56" s="141"/>
      <c r="BK56" s="141"/>
      <c r="BL56" s="141"/>
      <c r="BM56" s="141"/>
      <c r="BN56" s="141"/>
      <c r="BO56" s="141"/>
      <c r="BP56" s="141"/>
      <c r="BQ56" s="141"/>
      <c r="BR56" s="141"/>
      <c r="BS56" s="130">
        <f t="shared" si="19"/>
        <v>0</v>
      </c>
      <c r="BT56" s="132"/>
    </row>
    <row r="57" ht="14.25" customHeight="1">
      <c r="A57" s="132"/>
      <c r="B57" s="215">
        <v>46070</v>
      </c>
      <c r="C57" s="230">
        <f>700.77-0-0</f>
      </c>
      <c r="D57" s="136"/>
      <c r="E57" s="135"/>
      <c r="F57" s="135"/>
      <c r="G57" s="147">
        <f t="shared" si="11"/>
        <v>0</v>
      </c>
      <c r="H57" s="144"/>
      <c r="I57" s="143"/>
      <c r="J57" s="143"/>
      <c r="K57" s="143"/>
      <c r="L57" s="140"/>
      <c r="M57" s="143"/>
      <c r="N57" s="143"/>
      <c r="O57" s="143"/>
      <c r="P57" s="143"/>
      <c r="Q57" s="143"/>
      <c r="R57" s="143"/>
      <c r="S57" s="143"/>
      <c r="T57" s="103">
        <f t="shared" si="12"/>
        <v>0</v>
      </c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  <c r="AF57" s="143"/>
      <c r="AG57" s="103">
        <f t="shared" si="13"/>
        <v>0</v>
      </c>
      <c r="AH57" s="134">
        <v>190.8</v>
      </c>
      <c r="AI57" s="136"/>
      <c r="AJ57" s="136"/>
      <c r="AK57" s="105">
        <f t="shared" si="14"/>
        <v>0</v>
      </c>
      <c r="AL57" s="143"/>
      <c r="AM57" s="143"/>
      <c r="AN57" s="143"/>
      <c r="AO57" s="146"/>
      <c r="AP57" s="621">
        <f t="shared" si="15"/>
        <v>0</v>
      </c>
      <c r="AQ57" s="1580">
        <v>184.9</v>
      </c>
      <c r="AR57" s="1709"/>
      <c r="AS57" s="1546"/>
      <c r="AT57" s="1546"/>
      <c r="AU57" s="1546"/>
      <c r="AV57" s="1546"/>
      <c r="AW57" s="1546"/>
      <c r="AX57" s="274"/>
      <c r="AY57" s="274"/>
      <c r="AZ57" s="274"/>
      <c r="BA57" s="274"/>
      <c r="BB57" s="222">
        <f t="shared" si="16"/>
        <v>0</v>
      </c>
      <c r="BC57" s="140">
        <f t="shared" si="17"/>
        <v>0</v>
      </c>
      <c r="BD57" s="132"/>
      <c r="BE57" s="140">
        <f t="shared" si="18"/>
        <v>0</v>
      </c>
      <c r="BF57" s="141"/>
      <c r="BG57" s="141"/>
      <c r="BH57" s="141"/>
      <c r="BI57" s="141"/>
      <c r="BJ57" s="141"/>
      <c r="BK57" s="141"/>
      <c r="BL57" s="141"/>
      <c r="BM57" s="141"/>
      <c r="BN57" s="141"/>
      <c r="BO57" s="141"/>
      <c r="BP57" s="150"/>
      <c r="BQ57" s="141">
        <v>325</v>
      </c>
      <c r="BR57" s="141"/>
      <c r="BS57" s="130">
        <f t="shared" si="19"/>
        <v>0</v>
      </c>
      <c r="BT57" s="132"/>
    </row>
    <row r="58" ht="14.25" customHeight="1">
      <c r="A58" s="132"/>
      <c r="B58" s="215">
        <v>46071</v>
      </c>
      <c r="C58" s="230">
        <f>1523.52-0-0</f>
      </c>
      <c r="D58" s="136"/>
      <c r="E58" s="135"/>
      <c r="F58" s="135"/>
      <c r="G58" s="147">
        <f t="shared" si="11"/>
        <v>0</v>
      </c>
      <c r="H58" s="144"/>
      <c r="I58" s="143"/>
      <c r="J58" s="143"/>
      <c r="K58" s="143"/>
      <c r="L58" s="140"/>
      <c r="M58" s="143"/>
      <c r="N58" s="143"/>
      <c r="O58" s="143"/>
      <c r="P58" s="143"/>
      <c r="Q58" s="143"/>
      <c r="R58" s="143"/>
      <c r="S58" s="143"/>
      <c r="T58" s="103">
        <f t="shared" si="12"/>
        <v>0</v>
      </c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  <c r="AF58" s="143"/>
      <c r="AG58" s="103">
        <f t="shared" si="13"/>
        <v>0</v>
      </c>
      <c r="AH58" s="134">
        <v>352</v>
      </c>
      <c r="AI58" s="136"/>
      <c r="AJ58" s="136"/>
      <c r="AK58" s="105">
        <f t="shared" si="14"/>
        <v>0</v>
      </c>
      <c r="AL58" s="143"/>
      <c r="AM58" s="143"/>
      <c r="AN58" s="143"/>
      <c r="AO58" s="146"/>
      <c r="AP58" s="621">
        <f t="shared" si="15"/>
        <v>0</v>
      </c>
      <c r="AQ58" s="1580">
        <v>1171.5</v>
      </c>
      <c r="AR58" s="1709"/>
      <c r="AS58" s="1546"/>
      <c r="AT58" s="1546"/>
      <c r="AU58" s="1546"/>
      <c r="AV58" s="1546"/>
      <c r="AW58" s="1546"/>
      <c r="AX58" s="274"/>
      <c r="AY58" s="274"/>
      <c r="AZ58" s="274"/>
      <c r="BA58" s="274"/>
      <c r="BB58" s="222">
        <f t="shared" si="16"/>
        <v>0</v>
      </c>
      <c r="BC58" s="140">
        <f t="shared" si="17"/>
        <v>0</v>
      </c>
      <c r="BD58" s="132"/>
      <c r="BE58" s="140">
        <f t="shared" si="18"/>
        <v>0</v>
      </c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30">
        <f t="shared" si="19"/>
        <v>0</v>
      </c>
      <c r="BT58" s="132"/>
    </row>
    <row r="59" ht="14.25" customHeight="1">
      <c r="A59" s="132"/>
      <c r="B59" s="215">
        <v>46072</v>
      </c>
      <c r="C59" s="230">
        <f>1339.93-0-0</f>
      </c>
      <c r="D59" s="136"/>
      <c r="E59" s="135"/>
      <c r="F59" s="135"/>
      <c r="G59" s="147">
        <f t="shared" si="11"/>
        <v>0</v>
      </c>
      <c r="H59" s="144"/>
      <c r="I59" s="143"/>
      <c r="J59" s="143"/>
      <c r="K59" s="143"/>
      <c r="L59" s="140"/>
      <c r="M59" s="143"/>
      <c r="N59" s="143"/>
      <c r="O59" s="143"/>
      <c r="P59" s="143"/>
      <c r="Q59" s="143"/>
      <c r="R59" s="143"/>
      <c r="S59" s="143"/>
      <c r="T59" s="103">
        <f t="shared" si="12"/>
        <v>0</v>
      </c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03">
        <f t="shared" si="13"/>
        <v>0</v>
      </c>
      <c r="AH59" s="134">
        <v>250</v>
      </c>
      <c r="AI59" s="136"/>
      <c r="AJ59" s="136"/>
      <c r="AK59" s="105">
        <f t="shared" si="14"/>
        <v>0</v>
      </c>
      <c r="AL59" s="143"/>
      <c r="AM59" s="143"/>
      <c r="AN59" s="143"/>
      <c r="AO59" s="146"/>
      <c r="AP59" s="621">
        <f t="shared" si="15"/>
        <v>0</v>
      </c>
      <c r="AQ59" s="1580">
        <v>1090.4</v>
      </c>
      <c r="AR59" s="1709"/>
      <c r="AS59" s="1546"/>
      <c r="AT59" s="1546"/>
      <c r="AU59" s="1546"/>
      <c r="AV59" s="1546"/>
      <c r="AW59" s="1546"/>
      <c r="AX59" s="274"/>
      <c r="AY59" s="274"/>
      <c r="AZ59" s="274"/>
      <c r="BA59" s="274"/>
      <c r="BB59" s="222">
        <f t="shared" si="16"/>
        <v>0</v>
      </c>
      <c r="BC59" s="140">
        <f t="shared" si="17"/>
        <v>0</v>
      </c>
      <c r="BD59" s="132"/>
      <c r="BE59" s="140">
        <f t="shared" si="18"/>
        <v>0</v>
      </c>
      <c r="BF59" s="141"/>
      <c r="BG59" s="141"/>
      <c r="BH59" s="141"/>
      <c r="BI59" s="141"/>
      <c r="BJ59" s="141"/>
      <c r="BK59" s="141"/>
      <c r="BL59" s="141"/>
      <c r="BM59" s="141"/>
      <c r="BN59" s="141"/>
      <c r="BO59" s="141"/>
      <c r="BP59" s="141"/>
      <c r="BQ59" s="141"/>
      <c r="BR59" s="141"/>
      <c r="BS59" s="130">
        <f t="shared" si="19"/>
        <v>0</v>
      </c>
      <c r="BT59" s="132"/>
    </row>
    <row r="60" ht="14.25" customHeight="1">
      <c r="A60" s="132"/>
      <c r="B60" s="215">
        <v>46073</v>
      </c>
      <c r="C60" s="230">
        <f>2270.91-0-0</f>
      </c>
      <c r="D60" s="136"/>
      <c r="E60" s="135"/>
      <c r="F60" s="135"/>
      <c r="G60" s="147">
        <f t="shared" si="11"/>
        <v>0</v>
      </c>
      <c r="H60" s="144"/>
      <c r="I60" s="143"/>
      <c r="J60" s="143"/>
      <c r="K60" s="143"/>
      <c r="L60" s="140"/>
      <c r="M60" s="143"/>
      <c r="N60" s="143"/>
      <c r="O60" s="143"/>
      <c r="P60" s="143"/>
      <c r="Q60" s="143"/>
      <c r="R60" s="143"/>
      <c r="S60" s="143"/>
      <c r="T60" s="103">
        <f t="shared" si="12"/>
        <v>0</v>
      </c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03">
        <f t="shared" si="13"/>
        <v>0</v>
      </c>
      <c r="AH60" s="134">
        <v>57</v>
      </c>
      <c r="AI60" s="136"/>
      <c r="AJ60" s="136"/>
      <c r="AK60" s="105">
        <f t="shared" si="14"/>
        <v>0</v>
      </c>
      <c r="AL60" s="143"/>
      <c r="AM60" s="143"/>
      <c r="AN60" s="143"/>
      <c r="AO60" s="146"/>
      <c r="AP60" s="621">
        <f t="shared" si="15"/>
        <v>0</v>
      </c>
      <c r="AQ60" s="1580">
        <v>2212.7</v>
      </c>
      <c r="AR60" s="1709"/>
      <c r="AS60" s="1546"/>
      <c r="AT60" s="1546"/>
      <c r="AU60" s="1546"/>
      <c r="AV60" s="1546"/>
      <c r="AW60" s="1546"/>
      <c r="AX60" s="274"/>
      <c r="AY60" s="274"/>
      <c r="AZ60" s="274"/>
      <c r="BA60" s="274"/>
      <c r="BB60" s="222">
        <f t="shared" si="16"/>
        <v>0</v>
      </c>
      <c r="BC60" s="140">
        <f t="shared" si="17"/>
        <v>0</v>
      </c>
      <c r="BD60" s="132"/>
      <c r="BE60" s="140">
        <f t="shared" si="18"/>
        <v>0</v>
      </c>
      <c r="BF60" s="141"/>
      <c r="BG60" s="141"/>
      <c r="BH60" s="141"/>
      <c r="BI60" s="141"/>
      <c r="BJ60" s="141"/>
      <c r="BK60" s="141"/>
      <c r="BL60" s="141"/>
      <c r="BM60" s="141"/>
      <c r="BN60" s="141"/>
      <c r="BO60" s="141"/>
      <c r="BP60" s="141"/>
      <c r="BQ60" s="141"/>
      <c r="BR60" s="141"/>
      <c r="BS60" s="130">
        <f t="shared" si="19"/>
        <v>0</v>
      </c>
      <c r="BT60" s="132"/>
    </row>
    <row r="61" ht="14.25" customHeight="1">
      <c r="A61" s="132"/>
      <c r="B61" s="215">
        <v>46074</v>
      </c>
      <c r="C61" s="230">
        <f>2291.19-0-0</f>
      </c>
      <c r="D61" s="136"/>
      <c r="E61" s="135"/>
      <c r="F61" s="135"/>
      <c r="G61" s="147">
        <f t="shared" si="11"/>
        <v>0</v>
      </c>
      <c r="H61" s="144"/>
      <c r="I61" s="143"/>
      <c r="J61" s="143"/>
      <c r="K61" s="143"/>
      <c r="L61" s="140"/>
      <c r="M61" s="143"/>
      <c r="N61" s="143"/>
      <c r="O61" s="143"/>
      <c r="P61" s="143"/>
      <c r="Q61" s="143"/>
      <c r="R61" s="143"/>
      <c r="S61" s="143"/>
      <c r="T61" s="103">
        <f t="shared" si="12"/>
        <v>0</v>
      </c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03">
        <f t="shared" si="13"/>
        <v>0</v>
      </c>
      <c r="AH61" s="134">
        <v>176</v>
      </c>
      <c r="AI61" s="136"/>
      <c r="AJ61" s="136"/>
      <c r="AK61" s="105">
        <f t="shared" si="14"/>
        <v>0</v>
      </c>
      <c r="AL61" s="143"/>
      <c r="AM61" s="143"/>
      <c r="AN61" s="143"/>
      <c r="AO61" s="146"/>
      <c r="AP61" s="621">
        <f t="shared" si="15"/>
        <v>0</v>
      </c>
      <c r="AQ61" s="1580">
        <v>2115.2</v>
      </c>
      <c r="AR61" s="1709"/>
      <c r="AS61" s="1546"/>
      <c r="AT61" s="1546"/>
      <c r="AU61" s="1546"/>
      <c r="AV61" s="1546"/>
      <c r="AW61" s="1546"/>
      <c r="AX61" s="274"/>
      <c r="AY61" s="274"/>
      <c r="AZ61" s="274"/>
      <c r="BA61" s="274"/>
      <c r="BB61" s="222">
        <f t="shared" si="16"/>
        <v>0</v>
      </c>
      <c r="BC61" s="140">
        <f t="shared" si="17"/>
        <v>0</v>
      </c>
      <c r="BD61" s="132"/>
      <c r="BE61" s="140">
        <f t="shared" si="18"/>
        <v>0</v>
      </c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30">
        <f t="shared" si="19"/>
        <v>0</v>
      </c>
      <c r="BT61" s="132"/>
    </row>
    <row r="62" ht="14.25" customHeight="1">
      <c r="A62" s="132"/>
      <c r="B62" s="215">
        <v>46075</v>
      </c>
      <c r="C62" s="230">
        <f>4450.58-0-0</f>
      </c>
      <c r="D62" s="136"/>
      <c r="E62" s="135"/>
      <c r="F62" s="135"/>
      <c r="G62" s="147">
        <f t="shared" si="11"/>
        <v>0</v>
      </c>
      <c r="H62" s="144"/>
      <c r="I62" s="143"/>
      <c r="J62" s="143"/>
      <c r="K62" s="143"/>
      <c r="L62" s="140"/>
      <c r="M62" s="143"/>
      <c r="N62" s="143"/>
      <c r="O62" s="143"/>
      <c r="P62" s="143"/>
      <c r="Q62" s="143"/>
      <c r="R62" s="143"/>
      <c r="S62" s="143"/>
      <c r="T62" s="103">
        <f t="shared" si="12"/>
        <v>0</v>
      </c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03">
        <f t="shared" si="13"/>
        <v>0</v>
      </c>
      <c r="AH62" s="134">
        <v>1040</v>
      </c>
      <c r="AI62" s="136"/>
      <c r="AJ62" s="136"/>
      <c r="AK62" s="105">
        <f t="shared" si="14"/>
        <v>0</v>
      </c>
      <c r="AL62" s="143"/>
      <c r="AM62" s="143"/>
      <c r="AN62" s="143"/>
      <c r="AO62" s="146"/>
      <c r="AP62" s="621">
        <f t="shared" si="15"/>
        <v>0</v>
      </c>
      <c r="AQ62" s="1580">
        <v>3410.6</v>
      </c>
      <c r="AR62" s="1709"/>
      <c r="AS62" s="1546"/>
      <c r="AT62" s="1546"/>
      <c r="AU62" s="1546"/>
      <c r="AV62" s="1546"/>
      <c r="AW62" s="1546"/>
      <c r="AX62" s="274"/>
      <c r="AY62" s="274"/>
      <c r="AZ62" s="274"/>
      <c r="BA62" s="274"/>
      <c r="BB62" s="222">
        <f t="shared" si="16"/>
        <v>0</v>
      </c>
      <c r="BC62" s="140">
        <f t="shared" si="17"/>
        <v>0</v>
      </c>
      <c r="BD62" s="132"/>
      <c r="BE62" s="140">
        <f t="shared" si="18"/>
        <v>0</v>
      </c>
      <c r="BF62" s="141"/>
      <c r="BG62" s="141"/>
      <c r="BH62" s="141"/>
      <c r="BI62" s="141"/>
      <c r="BJ62" s="141"/>
      <c r="BK62" s="141"/>
      <c r="BL62" s="141"/>
      <c r="BM62" s="141"/>
      <c r="BN62" s="141"/>
      <c r="BO62" s="141"/>
      <c r="BP62" s="141"/>
      <c r="BQ62" s="141"/>
      <c r="BR62" s="141"/>
      <c r="BS62" s="130">
        <f t="shared" si="19"/>
        <v>0</v>
      </c>
      <c r="BT62" s="132"/>
    </row>
    <row r="63" ht="14.25" customHeight="1">
      <c r="A63" s="132"/>
      <c r="B63" s="215">
        <v>46076</v>
      </c>
      <c r="C63" s="230">
        <f>2390.24-0-0</f>
      </c>
      <c r="D63" s="136"/>
      <c r="E63" s="135"/>
      <c r="F63" s="135"/>
      <c r="G63" s="147">
        <f t="shared" si="11"/>
        <v>0</v>
      </c>
      <c r="H63" s="144"/>
      <c r="I63" s="143"/>
      <c r="J63" s="143"/>
      <c r="K63" s="143"/>
      <c r="L63" s="140"/>
      <c r="M63" s="143"/>
      <c r="N63" s="143"/>
      <c r="O63" s="143"/>
      <c r="P63" s="143"/>
      <c r="Q63" s="143"/>
      <c r="R63" s="143"/>
      <c r="S63" s="143"/>
      <c r="T63" s="103">
        <f t="shared" si="12"/>
        <v>0</v>
      </c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03">
        <f t="shared" si="13"/>
        <v>0</v>
      </c>
      <c r="AH63" s="134">
        <v>589</v>
      </c>
      <c r="AI63" s="136"/>
      <c r="AJ63" s="136"/>
      <c r="AK63" s="105">
        <f t="shared" si="14"/>
        <v>0</v>
      </c>
      <c r="AL63" s="143"/>
      <c r="AM63" s="143"/>
      <c r="AN63" s="143"/>
      <c r="AO63" s="146"/>
      <c r="AP63" s="621">
        <f t="shared" si="15"/>
        <v>0</v>
      </c>
      <c r="AQ63" s="1580">
        <v>1801.3</v>
      </c>
      <c r="AR63" s="1709"/>
      <c r="AS63" s="1546"/>
      <c r="AT63" s="1546"/>
      <c r="AU63" s="1546"/>
      <c r="AV63" s="1546"/>
      <c r="AW63" s="1546"/>
      <c r="AX63" s="274"/>
      <c r="AY63" s="274"/>
      <c r="AZ63" s="274"/>
      <c r="BA63" s="274"/>
      <c r="BB63" s="222">
        <f t="shared" si="16"/>
        <v>0</v>
      </c>
      <c r="BC63" s="140">
        <f t="shared" si="17"/>
        <v>0</v>
      </c>
      <c r="BD63" s="132"/>
      <c r="BE63" s="140">
        <f t="shared" si="18"/>
        <v>0</v>
      </c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30">
        <f t="shared" si="19"/>
        <v>0</v>
      </c>
      <c r="BT63" s="132"/>
    </row>
    <row r="64" ht="14.25" customHeight="1">
      <c r="A64" s="132"/>
      <c r="B64" s="215">
        <v>46077</v>
      </c>
      <c r="C64" s="230">
        <f>2684.93-0-0</f>
      </c>
      <c r="D64" s="136"/>
      <c r="E64" s="135"/>
      <c r="F64" s="135"/>
      <c r="G64" s="147">
        <f t="shared" si="11"/>
        <v>0</v>
      </c>
      <c r="H64" s="144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03">
        <f t="shared" si="12"/>
        <v>0</v>
      </c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03">
        <f t="shared" si="13"/>
        <v>0</v>
      </c>
      <c r="AH64" s="134">
        <v>417.5</v>
      </c>
      <c r="AI64" s="136"/>
      <c r="AJ64" s="136"/>
      <c r="AK64" s="105">
        <f t="shared" si="14"/>
        <v>0</v>
      </c>
      <c r="AL64" s="143"/>
      <c r="AM64" s="143"/>
      <c r="AN64" s="143"/>
      <c r="AO64" s="146"/>
      <c r="AP64" s="621">
        <f t="shared" si="15"/>
        <v>0</v>
      </c>
      <c r="AQ64" s="1580">
        <v>2267.4</v>
      </c>
      <c r="AR64" s="1709"/>
      <c r="AS64" s="1548"/>
      <c r="AT64" s="1546"/>
      <c r="AU64" s="1709"/>
      <c r="AV64" s="1546"/>
      <c r="AW64" s="1546"/>
      <c r="AX64" s="274"/>
      <c r="AY64" s="274"/>
      <c r="AZ64" s="274"/>
      <c r="BA64" s="274"/>
      <c r="BB64" s="222">
        <f t="shared" si="16"/>
        <v>0</v>
      </c>
      <c r="BC64" s="140">
        <f t="shared" si="17"/>
        <v>0</v>
      </c>
      <c r="BD64" s="132"/>
      <c r="BE64" s="140">
        <f t="shared" si="18"/>
        <v>0</v>
      </c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30">
        <f t="shared" si="19"/>
        <v>0</v>
      </c>
      <c r="BT64" s="132"/>
    </row>
    <row r="65" ht="14.25" customHeight="1">
      <c r="A65" s="132"/>
      <c r="B65" s="215">
        <v>46078</v>
      </c>
      <c r="C65" s="230">
        <f>1964.38-0-0</f>
      </c>
      <c r="D65" s="136"/>
      <c r="E65" s="135"/>
      <c r="F65" s="135"/>
      <c r="G65" s="147">
        <f t="shared" si="11"/>
        <v>0</v>
      </c>
      <c r="H65" s="144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03">
        <f t="shared" si="12"/>
        <v>0</v>
      </c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03">
        <f t="shared" si="13"/>
        <v>0</v>
      </c>
      <c r="AH65" s="134">
        <v>300</v>
      </c>
      <c r="AI65" s="136"/>
      <c r="AJ65" s="136"/>
      <c r="AK65" s="105">
        <f t="shared" si="14"/>
        <v>0</v>
      </c>
      <c r="AL65" s="143"/>
      <c r="AM65" s="143"/>
      <c r="AN65" s="143"/>
      <c r="AO65" s="146"/>
      <c r="AP65" s="621">
        <f t="shared" si="15"/>
        <v>0</v>
      </c>
      <c r="AQ65" s="1580">
        <v>1664.4</v>
      </c>
      <c r="AR65" s="1709"/>
      <c r="AS65" s="1546"/>
      <c r="AT65" s="1546"/>
      <c r="AU65" s="1546"/>
      <c r="AV65" s="1546"/>
      <c r="AW65" s="1546"/>
      <c r="AX65" s="274"/>
      <c r="AY65" s="274"/>
      <c r="AZ65" s="274"/>
      <c r="BA65" s="274"/>
      <c r="BB65" s="222">
        <f t="shared" si="16"/>
        <v>0</v>
      </c>
      <c r="BC65" s="140">
        <f t="shared" si="17"/>
        <v>0</v>
      </c>
      <c r="BD65" s="132"/>
      <c r="BE65" s="140">
        <f t="shared" si="18"/>
        <v>0</v>
      </c>
      <c r="BF65" s="141"/>
      <c r="BG65" s="141"/>
      <c r="BH65" s="141"/>
      <c r="BI65" s="141"/>
      <c r="BJ65" s="141"/>
      <c r="BK65" s="141"/>
      <c r="BL65" s="141"/>
      <c r="BM65" s="141"/>
      <c r="BN65" s="141"/>
      <c r="BO65" s="141"/>
      <c r="BP65" s="141"/>
      <c r="BQ65" s="141"/>
      <c r="BR65" s="141"/>
      <c r="BS65" s="130">
        <f t="shared" si="19"/>
        <v>0</v>
      </c>
      <c r="BT65" s="132"/>
    </row>
    <row r="66" ht="14.25" customHeight="1">
      <c r="A66" s="132"/>
      <c r="B66" s="215">
        <v>46079</v>
      </c>
      <c r="C66" s="230">
        <f>2235.62-0-0</f>
      </c>
      <c r="D66" s="136"/>
      <c r="E66" s="135"/>
      <c r="F66" s="135"/>
      <c r="G66" s="147">
        <f t="shared" si="11"/>
        <v>0</v>
      </c>
      <c r="H66" s="144"/>
      <c r="I66" s="143"/>
      <c r="J66" s="143"/>
      <c r="K66" s="143"/>
      <c r="L66" s="143"/>
      <c r="M66" s="143"/>
      <c r="N66" s="99"/>
      <c r="O66" s="143"/>
      <c r="P66" s="143"/>
      <c r="Q66" s="143"/>
      <c r="R66" s="143"/>
      <c r="S66" s="143"/>
      <c r="T66" s="103">
        <f t="shared" si="12"/>
        <v>0</v>
      </c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  <c r="AF66" s="143"/>
      <c r="AG66" s="103">
        <f t="shared" si="13"/>
        <v>0</v>
      </c>
      <c r="AH66" s="134">
        <v>733.3</v>
      </c>
      <c r="AI66" s="136"/>
      <c r="AJ66" s="136"/>
      <c r="AK66" s="105">
        <f t="shared" si="14"/>
        <v>0</v>
      </c>
      <c r="AL66" s="143"/>
      <c r="AM66" s="143"/>
      <c r="AN66" s="143"/>
      <c r="AO66" s="146"/>
      <c r="AP66" s="621">
        <f t="shared" si="15"/>
        <v>0</v>
      </c>
      <c r="AQ66" s="1580">
        <v>1177.3</v>
      </c>
      <c r="AR66" s="1709"/>
      <c r="AS66" s="1546"/>
      <c r="AT66" s="1546"/>
      <c r="AU66" s="1546"/>
      <c r="AV66" s="1546"/>
      <c r="AW66" s="1546"/>
      <c r="AX66" s="274"/>
      <c r="AY66" s="274"/>
      <c r="AZ66" s="274"/>
      <c r="BA66" s="274"/>
      <c r="BB66" s="222">
        <f t="shared" si="16"/>
        <v>0</v>
      </c>
      <c r="BC66" s="140">
        <f t="shared" si="17"/>
        <v>0</v>
      </c>
      <c r="BD66" s="132"/>
      <c r="BE66" s="140">
        <f t="shared" si="18"/>
        <v>0</v>
      </c>
      <c r="BF66" s="141"/>
      <c r="BG66" s="141"/>
      <c r="BH66" s="141"/>
      <c r="BI66" s="141"/>
      <c r="BJ66" s="141"/>
      <c r="BK66" s="141"/>
      <c r="BL66" s="141"/>
      <c r="BM66" s="141"/>
      <c r="BN66" s="141"/>
      <c r="BO66" s="141"/>
      <c r="BP66" s="150"/>
      <c r="BQ66" s="141">
        <v>325</v>
      </c>
      <c r="BR66" s="141"/>
      <c r="BS66" s="130">
        <f t="shared" si="19"/>
        <v>0</v>
      </c>
      <c r="BT66" s="132"/>
    </row>
    <row r="67" ht="14.25" customHeight="1">
      <c r="A67" s="132"/>
      <c r="B67" s="215">
        <v>46080</v>
      </c>
      <c r="C67" s="230">
        <f>2831.11-0-0</f>
      </c>
      <c r="D67" s="136"/>
      <c r="E67" s="135"/>
      <c r="F67" s="135"/>
      <c r="G67" s="147">
        <f t="shared" si="11"/>
        <v>0</v>
      </c>
      <c r="H67" s="144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03">
        <f t="shared" si="12"/>
        <v>0</v>
      </c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  <c r="AF67" s="143"/>
      <c r="AG67" s="103">
        <f t="shared" si="13"/>
        <v>0</v>
      </c>
      <c r="AH67" s="134">
        <v>301</v>
      </c>
      <c r="AI67" s="136"/>
      <c r="AJ67" s="136"/>
      <c r="AK67" s="105">
        <f t="shared" si="14"/>
        <v>0</v>
      </c>
      <c r="AL67" s="143"/>
      <c r="AM67" s="143"/>
      <c r="AN67" s="143"/>
      <c r="AO67" s="146"/>
      <c r="AP67" s="621">
        <f t="shared" si="15"/>
        <v>0</v>
      </c>
      <c r="AQ67" s="1580">
        <v>2530.1</v>
      </c>
      <c r="AR67" s="1709"/>
      <c r="AS67" s="1546"/>
      <c r="AT67" s="1546"/>
      <c r="AU67" s="1546"/>
      <c r="AV67" s="1546"/>
      <c r="AW67" s="1546"/>
      <c r="AX67" s="274"/>
      <c r="AY67" s="274"/>
      <c r="AZ67" s="274"/>
      <c r="BA67" s="274"/>
      <c r="BB67" s="222">
        <f t="shared" si="16"/>
        <v>0</v>
      </c>
      <c r="BC67" s="140">
        <f t="shared" si="17"/>
        <v>0</v>
      </c>
      <c r="BD67" s="132"/>
      <c r="BE67" s="140">
        <f t="shared" si="18"/>
        <v>0</v>
      </c>
      <c r="BF67" s="141"/>
      <c r="BG67" s="141"/>
      <c r="BH67" s="141"/>
      <c r="BI67" s="141"/>
      <c r="BJ67" s="141"/>
      <c r="BK67" s="141"/>
      <c r="BL67" s="141"/>
      <c r="BM67" s="141"/>
      <c r="BN67" s="141"/>
      <c r="BO67" s="141"/>
      <c r="BP67" s="141"/>
      <c r="BQ67" s="141"/>
      <c r="BR67" s="141"/>
      <c r="BS67" s="130">
        <f t="shared" si="19"/>
        <v>0</v>
      </c>
      <c r="BT67" s="132"/>
    </row>
    <row r="68" ht="14.25" customHeight="1">
      <c r="A68" s="132"/>
      <c r="B68" s="215">
        <v>46081</v>
      </c>
      <c r="C68" s="230">
        <f>2395.33-0-0</f>
      </c>
      <c r="D68" s="136"/>
      <c r="E68" s="135"/>
      <c r="F68" s="135"/>
      <c r="G68" s="147">
        <f t="shared" si="11"/>
        <v>0</v>
      </c>
      <c r="H68" s="144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03">
        <f t="shared" si="12"/>
        <v>0</v>
      </c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03">
        <f t="shared" si="13"/>
        <v>0</v>
      </c>
      <c r="AH68" s="134">
        <v>258.7</v>
      </c>
      <c r="AI68" s="136"/>
      <c r="AJ68" s="136"/>
      <c r="AK68" s="105">
        <f t="shared" si="14"/>
        <v>0</v>
      </c>
      <c r="AL68" s="143"/>
      <c r="AM68" s="143"/>
      <c r="AN68" s="143"/>
      <c r="AO68" s="146"/>
      <c r="AP68" s="621">
        <f t="shared" si="15"/>
        <v>0</v>
      </c>
      <c r="AQ68" s="1580">
        <v>2137</v>
      </c>
      <c r="AR68" s="1709"/>
      <c r="AS68" s="1546"/>
      <c r="AT68" s="1546"/>
      <c r="AU68" s="1546"/>
      <c r="AV68" s="1546"/>
      <c r="AW68" s="1546"/>
      <c r="AX68" s="274"/>
      <c r="AY68" s="274"/>
      <c r="AZ68" s="274"/>
      <c r="BA68" s="274"/>
      <c r="BB68" s="222">
        <f t="shared" si="16"/>
        <v>0</v>
      </c>
      <c r="BC68" s="140">
        <f t="shared" si="17"/>
        <v>0</v>
      </c>
      <c r="BD68" s="132"/>
      <c r="BE68" s="140">
        <f t="shared" si="18"/>
        <v>0</v>
      </c>
      <c r="BF68" s="141"/>
      <c r="BG68" s="141"/>
      <c r="BH68" s="141"/>
      <c r="BI68" s="141"/>
      <c r="BJ68" s="141"/>
      <c r="BK68" s="141"/>
      <c r="BL68" s="141"/>
      <c r="BM68" s="141"/>
      <c r="BN68" s="141"/>
      <c r="BO68" s="141"/>
      <c r="BP68" s="141"/>
      <c r="BQ68" s="141"/>
      <c r="BR68" s="141"/>
      <c r="BS68" s="130">
        <f t="shared" si="19"/>
        <v>0</v>
      </c>
      <c r="BT68" s="132"/>
    </row>
    <row r="69" ht="14.25" customHeight="1">
      <c r="A69" s="132"/>
      <c r="B69" s="93"/>
      <c r="C69" s="133"/>
      <c r="D69" s="136"/>
      <c r="E69" s="135"/>
      <c r="F69" s="135"/>
      <c r="G69" s="147">
        <f t="shared" si="11"/>
        <v>0</v>
      </c>
      <c r="H69" s="144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03">
        <f t="shared" si="12"/>
        <v>0</v>
      </c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  <c r="AF69" s="143"/>
      <c r="AG69" s="103">
        <f t="shared" si="13"/>
        <v>0</v>
      </c>
      <c r="AH69" s="136"/>
      <c r="AI69" s="136"/>
      <c r="AJ69" s="136"/>
      <c r="AK69" s="105">
        <f t="shared" si="14"/>
        <v>0</v>
      </c>
      <c r="AL69" s="143"/>
      <c r="AM69" s="143"/>
      <c r="AN69" s="143"/>
      <c r="AO69" s="146"/>
      <c r="AP69" s="621">
        <f t="shared" si="15"/>
        <v>0</v>
      </c>
      <c r="AQ69" s="1557"/>
      <c r="AR69" s="1709"/>
      <c r="AS69" s="1546"/>
      <c r="AT69" s="1546"/>
      <c r="AU69" s="1546"/>
      <c r="AV69" s="1546"/>
      <c r="AW69" s="1546"/>
      <c r="AX69" s="274"/>
      <c r="AY69" s="274"/>
      <c r="AZ69" s="274"/>
      <c r="BA69" s="274"/>
      <c r="BB69" s="222">
        <f t="shared" si="16"/>
        <v>0</v>
      </c>
      <c r="BC69" s="140">
        <f t="shared" si="17"/>
        <v>0</v>
      </c>
      <c r="BD69" s="132"/>
      <c r="BE69" s="140">
        <f t="shared" si="18"/>
        <v>0</v>
      </c>
      <c r="BF69" s="141"/>
      <c r="BG69" s="141"/>
      <c r="BH69" s="141"/>
      <c r="BI69" s="141"/>
      <c r="BJ69" s="141"/>
      <c r="BK69" s="141"/>
      <c r="BL69" s="141"/>
      <c r="BM69" s="141"/>
      <c r="BN69" s="141"/>
      <c r="BO69" s="141"/>
      <c r="BP69" s="141"/>
      <c r="BQ69" s="141"/>
      <c r="BR69" s="141"/>
      <c r="BS69" s="130">
        <f t="shared" si="19"/>
        <v>0</v>
      </c>
      <c r="BT69" s="132"/>
    </row>
    <row r="70" ht="14.25" customHeight="1">
      <c r="A70" s="3"/>
      <c r="B70" s="2" t="s">
        <v>258</v>
      </c>
      <c r="C70" s="166">
        <f>SUM(C41:C69)</f>
        <v>0</v>
      </c>
      <c r="D70" s="166">
        <f ref="D70:AP70" t="shared" si="20">SUM(D41:D68)</f>
        <v>0</v>
      </c>
      <c r="E70" s="166">
        <f t="shared" si="20"/>
        <v>0</v>
      </c>
      <c r="F70" s="166">
        <f t="shared" si="20"/>
        <v>0</v>
      </c>
      <c r="G70" s="166">
        <f t="shared" si="20"/>
        <v>0</v>
      </c>
      <c r="H70" s="166">
        <f t="shared" si="20"/>
        <v>0</v>
      </c>
      <c r="I70" s="166">
        <f t="shared" si="20"/>
        <v>0</v>
      </c>
      <c r="J70" s="166">
        <f t="shared" si="20"/>
        <v>0</v>
      </c>
      <c r="K70" s="166">
        <f t="shared" si="20"/>
        <v>0</v>
      </c>
      <c r="L70" s="166">
        <f t="shared" si="20"/>
        <v>0</v>
      </c>
      <c r="M70" s="166">
        <f t="shared" si="20"/>
        <v>0</v>
      </c>
      <c r="N70" s="166">
        <f t="shared" si="20"/>
        <v>0</v>
      </c>
      <c r="O70" s="166">
        <f t="shared" si="20"/>
        <v>0</v>
      </c>
      <c r="P70" s="166">
        <f t="shared" si="20"/>
        <v>0</v>
      </c>
      <c r="Q70" s="166">
        <f t="shared" si="20"/>
        <v>0</v>
      </c>
      <c r="R70" s="166">
        <f t="shared" si="20"/>
        <v>0</v>
      </c>
      <c r="S70" s="166">
        <f t="shared" si="20"/>
        <v>0</v>
      </c>
      <c r="T70" s="166">
        <f t="shared" si="20"/>
        <v>0</v>
      </c>
      <c r="U70" s="166">
        <f t="shared" si="20"/>
        <v>0</v>
      </c>
      <c r="V70" s="166">
        <f t="shared" si="20"/>
        <v>0</v>
      </c>
      <c r="W70" s="166">
        <f t="shared" si="20"/>
        <v>0</v>
      </c>
      <c r="X70" s="166">
        <f t="shared" si="20"/>
        <v>0</v>
      </c>
      <c r="Y70" s="166">
        <f t="shared" si="20"/>
        <v>0</v>
      </c>
      <c r="Z70" s="166">
        <f t="shared" si="20"/>
        <v>0</v>
      </c>
      <c r="AA70" s="166">
        <f t="shared" si="20"/>
        <v>0</v>
      </c>
      <c r="AB70" s="166">
        <f t="shared" si="20"/>
        <v>0</v>
      </c>
      <c r="AC70" s="166">
        <f t="shared" si="20"/>
        <v>0</v>
      </c>
      <c r="AD70" s="166">
        <f t="shared" si="20"/>
        <v>0</v>
      </c>
      <c r="AE70" s="166">
        <f t="shared" si="20"/>
        <v>0</v>
      </c>
      <c r="AF70" s="166">
        <f t="shared" si="20"/>
        <v>0</v>
      </c>
      <c r="AG70" s="166">
        <f t="shared" si="20"/>
        <v>0</v>
      </c>
      <c r="AH70" s="166">
        <f t="shared" si="20"/>
        <v>0</v>
      </c>
      <c r="AI70" s="166">
        <f t="shared" si="20"/>
        <v>0</v>
      </c>
      <c r="AJ70" s="166">
        <f t="shared" si="20"/>
        <v>0</v>
      </c>
      <c r="AK70" s="166">
        <f t="shared" si="20"/>
        <v>0</v>
      </c>
      <c r="AL70" s="166">
        <f t="shared" si="20"/>
        <v>0</v>
      </c>
      <c r="AM70" s="166">
        <f t="shared" si="20"/>
        <v>0</v>
      </c>
      <c r="AN70" s="166">
        <f t="shared" si="20"/>
        <v>0</v>
      </c>
      <c r="AO70" s="166">
        <f t="shared" si="20"/>
        <v>0</v>
      </c>
      <c r="AP70" s="166">
        <f t="shared" si="20"/>
        <v>0</v>
      </c>
      <c r="AQ70" s="1414">
        <f>SUM(AQ41:AQ69)</f>
        <v>0</v>
      </c>
      <c r="AR70" s="166">
        <f ref="AR70:BS70" t="shared" si="21">SUM(AR41:AR68)</f>
        <v>0</v>
      </c>
      <c r="AS70" s="166">
        <f t="shared" si="21"/>
        <v>0</v>
      </c>
      <c r="AT70" s="166">
        <f t="shared" si="21"/>
        <v>0</v>
      </c>
      <c r="AU70" s="166">
        <f t="shared" si="21"/>
        <v>0</v>
      </c>
      <c r="AV70" s="166">
        <f t="shared" si="21"/>
        <v>0</v>
      </c>
      <c r="AW70" s="166">
        <f t="shared" si="21"/>
        <v>0</v>
      </c>
      <c r="AX70" s="166">
        <f t="shared" si="21"/>
        <v>0</v>
      </c>
      <c r="AY70" s="166">
        <f t="shared" si="21"/>
        <v>0</v>
      </c>
      <c r="AZ70" s="166">
        <f t="shared" si="21"/>
        <v>0</v>
      </c>
      <c r="BA70" s="166">
        <f t="shared" si="21"/>
        <v>0</v>
      </c>
      <c r="BB70" s="166">
        <f t="shared" si="21"/>
        <v>0</v>
      </c>
      <c r="BC70" s="166">
        <f t="shared" si="21"/>
        <v>0</v>
      </c>
      <c r="BD70" s="166">
        <f t="shared" si="21"/>
        <v>0</v>
      </c>
      <c r="BE70" s="166">
        <f t="shared" si="21"/>
        <v>0</v>
      </c>
      <c r="BF70" s="166">
        <f t="shared" si="21"/>
        <v>0</v>
      </c>
      <c r="BG70" s="166">
        <f t="shared" si="21"/>
        <v>0</v>
      </c>
      <c r="BH70" s="166">
        <f t="shared" si="21"/>
        <v>0</v>
      </c>
      <c r="BI70" s="166">
        <f t="shared" si="21"/>
        <v>0</v>
      </c>
      <c r="BJ70" s="166">
        <f t="shared" si="21"/>
        <v>0</v>
      </c>
      <c r="BK70" s="166">
        <f t="shared" si="21"/>
        <v>0</v>
      </c>
      <c r="BL70" s="166">
        <f t="shared" si="21"/>
        <v>0</v>
      </c>
      <c r="BM70" s="166">
        <f t="shared" si="21"/>
        <v>0</v>
      </c>
      <c r="BN70" s="166">
        <f t="shared" si="21"/>
        <v>0</v>
      </c>
      <c r="BO70" s="166">
        <f t="shared" si="21"/>
        <v>0</v>
      </c>
      <c r="BP70" s="166">
        <f t="shared" si="21"/>
        <v>0</v>
      </c>
      <c r="BQ70" s="166">
        <f t="shared" si="21"/>
        <v>0</v>
      </c>
      <c r="BR70" s="166">
        <f t="shared" si="21"/>
        <v>0</v>
      </c>
      <c r="BS70" s="166">
        <f t="shared" si="21"/>
        <v>0</v>
      </c>
      <c r="BT70" s="235"/>
    </row>
    <row r="71" ht="14.25" customHeight="1">
      <c r="A71" s="1"/>
      <c r="B71" s="2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4"/>
      <c r="AL71" s="3"/>
      <c r="AM71" s="3"/>
      <c r="AN71" s="3"/>
      <c r="AO71" s="3"/>
      <c r="AP71" s="4"/>
      <c r="AQ71" s="3"/>
      <c r="AR71" s="132"/>
      <c r="AS71" s="132"/>
      <c r="AT71" s="3"/>
      <c r="AU71" s="3"/>
      <c r="AV71" s="3"/>
      <c r="AW71" s="132"/>
      <c r="AX71" s="132"/>
      <c r="AY71" s="132"/>
      <c r="AZ71" s="132"/>
      <c r="BA71" s="132"/>
      <c r="BB71" s="4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ht="14.25" customHeight="1">
      <c r="A72" s="205"/>
      <c r="B72" s="206"/>
      <c r="C72" s="207"/>
      <c r="D72" s="207"/>
      <c r="E72" s="207"/>
      <c r="F72" s="207"/>
      <c r="G72" s="208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9"/>
      <c r="AH72" s="207"/>
      <c r="AI72" s="207"/>
      <c r="AJ72" s="207"/>
      <c r="AK72" s="208"/>
      <c r="AL72" s="207"/>
      <c r="AM72" s="207"/>
      <c r="AN72" s="207"/>
      <c r="AO72" s="207"/>
      <c r="AP72" s="210"/>
      <c r="AQ72" s="207"/>
      <c r="AR72" s="777"/>
      <c r="AS72" s="316"/>
      <c r="AT72" s="207"/>
      <c r="AU72" s="207"/>
      <c r="AV72" s="207"/>
      <c r="AW72" s="316"/>
      <c r="AX72" s="316"/>
      <c r="AY72" s="316"/>
      <c r="AZ72" s="316"/>
      <c r="BA72" s="316"/>
      <c r="BB72" s="214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</row>
    <row r="73" ht="14.25" customHeight="1">
      <c r="A73" s="3"/>
      <c r="B73" s="215">
        <v>46082</v>
      </c>
      <c r="C73" s="95">
        <f>1809.97-0-0</f>
      </c>
      <c r="D73" s="104"/>
      <c r="E73" s="97"/>
      <c r="F73" s="97"/>
      <c r="G73" s="216">
        <f ref="G73:G103" t="shared" si="22">+C73+D73+E73+F73</f>
        <v>0</v>
      </c>
      <c r="H73" s="100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3">
        <f ref="T73:T103" t="shared" si="23">SUM(H73:S73)</f>
        <v>0</v>
      </c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03">
        <f ref="AG73:AG103" t="shared" si="24">SUM(U73:AF73)</f>
        <v>0</v>
      </c>
      <c r="AH73" s="95">
        <v>186.22</v>
      </c>
      <c r="AI73" s="104"/>
      <c r="AJ73" s="104"/>
      <c r="AK73" s="191">
        <f ref="AK73:AK103" t="shared" si="25">SUM(AH73:AJ73)</f>
        <v>0</v>
      </c>
      <c r="AL73" s="186"/>
      <c r="AM73" s="186"/>
      <c r="AN73" s="186"/>
      <c r="AO73" s="193"/>
      <c r="AP73" s="219">
        <f ref="AP73:AP103" t="shared" si="26">+G73-T73-AG73-AK73-AL73-AM73-AN73-AO73</f>
        <v>0</v>
      </c>
      <c r="AQ73" s="1721">
        <v>1623.7</v>
      </c>
      <c r="AR73" s="1708"/>
      <c r="AS73" s="1537"/>
      <c r="AT73" s="1537"/>
      <c r="AU73" s="1537"/>
      <c r="AV73" s="1537"/>
      <c r="AW73" s="1537"/>
      <c r="AX73" s="1708"/>
      <c r="AY73" s="1708"/>
      <c r="AZ73" s="1708"/>
      <c r="BA73" s="1708"/>
      <c r="BB73" s="222">
        <f ref="BB73:BB103" t="shared" si="27">SUM(AQ73:BA73)-AZ73</f>
        <v>0</v>
      </c>
      <c r="BC73" s="114">
        <f ref="BC73:BC103" t="shared" si="28">+AP73-BB73</f>
        <v>0</v>
      </c>
      <c r="BD73" s="3"/>
      <c r="BE73" s="114">
        <f ref="BE73:BE103" t="shared" si="29">SUM(BF73:BR73)</f>
        <v>0</v>
      </c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6">
        <f ref="BS73:BS103" t="shared" si="30">+BC73-BE73</f>
        <v>0</v>
      </c>
      <c r="BT73" s="3"/>
    </row>
    <row r="74" ht="15.75" customHeight="1">
      <c r="A74" s="3"/>
      <c r="B74" s="215">
        <v>46083</v>
      </c>
      <c r="C74" s="119">
        <f>1367.06-0-0</f>
      </c>
      <c r="D74" s="123"/>
      <c r="E74" s="120"/>
      <c r="F74" s="120"/>
      <c r="G74" s="147">
        <f t="shared" si="22"/>
        <v>0</v>
      </c>
      <c r="H74" s="122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103">
        <f t="shared" si="23"/>
        <v>0</v>
      </c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  <c r="AF74" s="143"/>
      <c r="AG74" s="103">
        <f t="shared" si="24"/>
        <v>0</v>
      </c>
      <c r="AH74" s="119"/>
      <c r="AI74" s="123"/>
      <c r="AJ74" s="123"/>
      <c r="AK74" s="105">
        <f t="shared" si="25"/>
        <v>0</v>
      </c>
      <c r="AL74" s="143"/>
      <c r="AM74" s="143"/>
      <c r="AN74" s="143"/>
      <c r="AO74" s="146"/>
      <c r="AP74" s="224">
        <f t="shared" si="26"/>
        <v>0</v>
      </c>
      <c r="AQ74" s="1554">
        <v>1367</v>
      </c>
      <c r="AR74" s="1709"/>
      <c r="AS74" s="1546"/>
      <c r="AT74" s="1546"/>
      <c r="AU74" s="1546"/>
      <c r="AV74" s="1546"/>
      <c r="AW74" s="1546"/>
      <c r="AX74" s="1709"/>
      <c r="AY74" s="1709"/>
      <c r="AZ74" s="1709"/>
      <c r="BA74" s="1709"/>
      <c r="BB74" s="222">
        <f t="shared" si="27"/>
        <v>0</v>
      </c>
      <c r="BC74" s="113">
        <f t="shared" si="28"/>
        <v>0</v>
      </c>
      <c r="BD74" s="3"/>
      <c r="BE74" s="113">
        <f t="shared" si="29"/>
        <v>0</v>
      </c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30">
        <f t="shared" si="30"/>
        <v>0</v>
      </c>
      <c r="BT74" s="3"/>
    </row>
    <row r="75" ht="14.25" customHeight="1">
      <c r="A75" s="3"/>
      <c r="B75" s="215">
        <v>46084</v>
      </c>
      <c r="C75" s="119">
        <f>2778.24-0-0</f>
      </c>
      <c r="D75" s="123"/>
      <c r="E75" s="120"/>
      <c r="F75" s="120"/>
      <c r="G75" s="147">
        <f t="shared" si="22"/>
        <v>0</v>
      </c>
      <c r="H75" s="122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103">
        <f t="shared" si="23"/>
        <v>0</v>
      </c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3"/>
      <c r="AG75" s="103">
        <f t="shared" si="24"/>
        <v>0</v>
      </c>
      <c r="AH75" s="119">
        <v>787.58</v>
      </c>
      <c r="AI75" s="123"/>
      <c r="AJ75" s="123"/>
      <c r="AK75" s="105">
        <f t="shared" si="25"/>
        <v>0</v>
      </c>
      <c r="AL75" s="143"/>
      <c r="AM75" s="143"/>
      <c r="AN75" s="143"/>
      <c r="AO75" s="146"/>
      <c r="AP75" s="224">
        <f t="shared" si="26"/>
        <v>0</v>
      </c>
      <c r="AQ75" s="1554">
        <v>1990.7</v>
      </c>
      <c r="AR75" s="1709"/>
      <c r="AS75" s="1709"/>
      <c r="AT75" s="1546"/>
      <c r="AU75" s="1546"/>
      <c r="AV75" s="1546"/>
      <c r="AW75" s="1546"/>
      <c r="AX75" s="1709"/>
      <c r="AY75" s="1709"/>
      <c r="AZ75" s="1709"/>
      <c r="BA75" s="1709"/>
      <c r="BB75" s="222">
        <f t="shared" si="27"/>
        <v>0</v>
      </c>
      <c r="BC75" s="113">
        <f t="shared" si="28"/>
        <v>0</v>
      </c>
      <c r="BD75" s="3"/>
      <c r="BE75" s="113">
        <f t="shared" si="29"/>
        <v>0</v>
      </c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30">
        <f t="shared" si="30"/>
        <v>0</v>
      </c>
      <c r="BT75" s="3"/>
    </row>
    <row r="76" ht="14.25" customHeight="1">
      <c r="A76" s="3"/>
      <c r="B76" s="215">
        <v>46085</v>
      </c>
      <c r="C76" s="119">
        <f>2435.80-0-0</f>
      </c>
      <c r="D76" s="123"/>
      <c r="E76" s="120"/>
      <c r="F76" s="120"/>
      <c r="G76" s="147">
        <f t="shared" si="22"/>
        <v>0</v>
      </c>
      <c r="H76" s="122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103">
        <f t="shared" si="23"/>
        <v>0</v>
      </c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  <c r="AF76" s="143"/>
      <c r="AG76" s="103">
        <f t="shared" si="24"/>
        <v>0</v>
      </c>
      <c r="AH76" s="119">
        <v>570</v>
      </c>
      <c r="AI76" s="123"/>
      <c r="AJ76" s="123"/>
      <c r="AK76" s="105">
        <f t="shared" si="25"/>
        <v>0</v>
      </c>
      <c r="AL76" s="143"/>
      <c r="AM76" s="143"/>
      <c r="AN76" s="143"/>
      <c r="AO76" s="146"/>
      <c r="AP76" s="224">
        <f t="shared" si="26"/>
        <v>0</v>
      </c>
      <c r="AQ76" s="1554">
        <v>1867.3</v>
      </c>
      <c r="AR76" s="1709"/>
      <c r="AS76" s="1709"/>
      <c r="AT76" s="1546"/>
      <c r="AU76" s="1546"/>
      <c r="AV76" s="1546"/>
      <c r="AW76" s="1546"/>
      <c r="AX76" s="1709"/>
      <c r="AY76" s="1709"/>
      <c r="AZ76" s="1709"/>
      <c r="BA76" s="1709"/>
      <c r="BB76" s="222">
        <f t="shared" si="27"/>
        <v>0</v>
      </c>
      <c r="BC76" s="113">
        <f t="shared" si="28"/>
        <v>0</v>
      </c>
      <c r="BD76" s="3"/>
      <c r="BE76" s="113">
        <f t="shared" si="29"/>
        <v>0</v>
      </c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30">
        <f t="shared" si="30"/>
        <v>0</v>
      </c>
      <c r="BT76" s="3"/>
    </row>
    <row r="77" ht="14.25" customHeight="1">
      <c r="A77" s="3"/>
      <c r="B77" s="215">
        <v>46086</v>
      </c>
      <c r="C77" s="119">
        <f>2283.50-0-0</f>
      </c>
      <c r="D77" s="123"/>
      <c r="E77" s="120"/>
      <c r="F77" s="120"/>
      <c r="G77" s="147">
        <f t="shared" si="22"/>
        <v>0</v>
      </c>
      <c r="H77" s="122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103">
        <f t="shared" si="23"/>
        <v>0</v>
      </c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  <c r="AF77" s="143"/>
      <c r="AG77" s="103">
        <f t="shared" si="24"/>
        <v>0</v>
      </c>
      <c r="AH77" s="119">
        <v>619.81</v>
      </c>
      <c r="AI77" s="123"/>
      <c r="AJ77" s="123"/>
      <c r="AK77" s="105">
        <f t="shared" si="25"/>
        <v>0</v>
      </c>
      <c r="AL77" s="143"/>
      <c r="AM77" s="143"/>
      <c r="AN77" s="143"/>
      <c r="AO77" s="146"/>
      <c r="AP77" s="224">
        <f t="shared" si="26"/>
        <v>0</v>
      </c>
      <c r="AQ77" s="1554">
        <v>1663.7</v>
      </c>
      <c r="AR77" s="1709"/>
      <c r="AS77" s="1546"/>
      <c r="AT77" s="1546"/>
      <c r="AU77" s="1546"/>
      <c r="AV77" s="1546"/>
      <c r="AW77" s="1546"/>
      <c r="AX77" s="1709"/>
      <c r="AY77" s="1709"/>
      <c r="AZ77" s="1709"/>
      <c r="BA77" s="1709"/>
      <c r="BB77" s="222">
        <f t="shared" si="27"/>
        <v>0</v>
      </c>
      <c r="BC77" s="113">
        <f t="shared" si="28"/>
        <v>0</v>
      </c>
      <c r="BD77" s="3"/>
      <c r="BE77" s="113">
        <f t="shared" si="29"/>
        <v>0</v>
      </c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30">
        <f t="shared" si="30"/>
        <v>0</v>
      </c>
      <c r="BT77" s="3"/>
    </row>
    <row r="78" ht="14.25" customHeight="1">
      <c r="A78" s="3"/>
      <c r="B78" s="215">
        <v>46087</v>
      </c>
      <c r="C78" s="119">
        <f>1583.66-0-0</f>
      </c>
      <c r="D78" s="123"/>
      <c r="E78" s="120"/>
      <c r="F78" s="120"/>
      <c r="G78" s="147">
        <f t="shared" si="22"/>
        <v>0</v>
      </c>
      <c r="H78" s="122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103">
        <f t="shared" si="23"/>
        <v>0</v>
      </c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  <c r="AF78" s="143"/>
      <c r="AG78" s="103">
        <f t="shared" si="24"/>
        <v>0</v>
      </c>
      <c r="AH78" s="119">
        <v>150</v>
      </c>
      <c r="AI78" s="123"/>
      <c r="AJ78" s="123"/>
      <c r="AK78" s="105">
        <f t="shared" si="25"/>
        <v>0</v>
      </c>
      <c r="AL78" s="143"/>
      <c r="AM78" s="143"/>
      <c r="AN78" s="143"/>
      <c r="AO78" s="146"/>
      <c r="AP78" s="224">
        <f t="shared" si="26"/>
        <v>0</v>
      </c>
      <c r="AQ78" s="1554">
        <v>1433.7</v>
      </c>
      <c r="AR78" s="1709"/>
      <c r="AS78" s="1546"/>
      <c r="AT78" s="1546"/>
      <c r="AU78" s="1546"/>
      <c r="AV78" s="1546"/>
      <c r="AW78" s="1546"/>
      <c r="AX78" s="1709"/>
      <c r="AY78" s="1709"/>
      <c r="AZ78" s="1709"/>
      <c r="BA78" s="1709"/>
      <c r="BB78" s="222">
        <f t="shared" si="27"/>
        <v>0</v>
      </c>
      <c r="BC78" s="113">
        <f t="shared" si="28"/>
        <v>0</v>
      </c>
      <c r="BD78" s="3"/>
      <c r="BE78" s="113">
        <f t="shared" si="29"/>
        <v>0</v>
      </c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30">
        <f t="shared" si="30"/>
        <v>0</v>
      </c>
      <c r="BT78" s="3"/>
    </row>
    <row r="79" ht="14.25" customHeight="1">
      <c r="A79" s="3"/>
      <c r="B79" s="215">
        <v>46088</v>
      </c>
      <c r="C79" s="119">
        <f>2048.14-0-0</f>
      </c>
      <c r="D79" s="123"/>
      <c r="E79" s="120"/>
      <c r="F79" s="120"/>
      <c r="G79" s="147">
        <f t="shared" si="22"/>
        <v>0</v>
      </c>
      <c r="H79" s="122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103">
        <f t="shared" si="23"/>
        <v>0</v>
      </c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3"/>
      <c r="AG79" s="103">
        <f t="shared" si="24"/>
        <v>0</v>
      </c>
      <c r="AH79" s="119">
        <v>315</v>
      </c>
      <c r="AI79" s="123"/>
      <c r="AJ79" s="123"/>
      <c r="AK79" s="105">
        <f t="shared" si="25"/>
        <v>0</v>
      </c>
      <c r="AL79" s="143"/>
      <c r="AM79" s="143"/>
      <c r="AN79" s="143"/>
      <c r="AO79" s="146"/>
      <c r="AP79" s="224">
        <f t="shared" si="26"/>
        <v>0</v>
      </c>
      <c r="AQ79" s="1554">
        <v>1408.1</v>
      </c>
      <c r="AR79" s="1709"/>
      <c r="AS79" s="1546"/>
      <c r="AT79" s="1546"/>
      <c r="AU79" s="1546"/>
      <c r="AV79" s="1546"/>
      <c r="AW79" s="1546"/>
      <c r="AX79" s="1709"/>
      <c r="AY79" s="1709"/>
      <c r="AZ79" s="1709"/>
      <c r="BA79" s="1709"/>
      <c r="BB79" s="222">
        <f t="shared" si="27"/>
        <v>0</v>
      </c>
      <c r="BC79" s="113">
        <f t="shared" si="28"/>
        <v>0</v>
      </c>
      <c r="BD79" s="3"/>
      <c r="BE79" s="113">
        <f t="shared" si="29"/>
        <v>0</v>
      </c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31"/>
      <c r="BQ79" s="129">
        <v>325</v>
      </c>
      <c r="BR79" s="129"/>
      <c r="BS79" s="130">
        <f t="shared" si="30"/>
        <v>0</v>
      </c>
      <c r="BT79" s="3"/>
    </row>
    <row r="80" ht="14.25" customHeight="1">
      <c r="A80" s="3"/>
      <c r="B80" s="215">
        <v>46089</v>
      </c>
      <c r="C80" s="119">
        <f>2710.52-0-0</f>
      </c>
      <c r="D80" s="123"/>
      <c r="E80" s="120"/>
      <c r="F80" s="120"/>
      <c r="G80" s="147">
        <f t="shared" si="22"/>
        <v>0</v>
      </c>
      <c r="H80" s="122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103">
        <f t="shared" si="23"/>
        <v>0</v>
      </c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  <c r="AF80" s="143"/>
      <c r="AG80" s="103">
        <f t="shared" si="24"/>
        <v>0</v>
      </c>
      <c r="AH80" s="119">
        <v>300</v>
      </c>
      <c r="AI80" s="123"/>
      <c r="AJ80" s="123"/>
      <c r="AK80" s="105">
        <f t="shared" si="25"/>
        <v>0</v>
      </c>
      <c r="AL80" s="143"/>
      <c r="AM80" s="143"/>
      <c r="AN80" s="143"/>
      <c r="AO80" s="146"/>
      <c r="AP80" s="224">
        <f t="shared" si="26"/>
        <v>0</v>
      </c>
      <c r="AQ80" s="1554">
        <v>2410.5</v>
      </c>
      <c r="AR80" s="1709"/>
      <c r="AS80" s="1546"/>
      <c r="AT80" s="1546"/>
      <c r="AU80" s="1546"/>
      <c r="AV80" s="1546"/>
      <c r="AW80" s="1546"/>
      <c r="AX80" s="1709"/>
      <c r="AY80" s="1709"/>
      <c r="AZ80" s="1709"/>
      <c r="BA80" s="1709"/>
      <c r="BB80" s="222">
        <f t="shared" si="27"/>
        <v>0</v>
      </c>
      <c r="BC80" s="113">
        <f t="shared" si="28"/>
        <v>0</v>
      </c>
      <c r="BD80" s="3"/>
      <c r="BE80" s="113">
        <f t="shared" si="29"/>
        <v>0</v>
      </c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30">
        <f t="shared" si="30"/>
        <v>0</v>
      </c>
      <c r="BT80" s="3"/>
    </row>
    <row r="81" ht="14.25" customHeight="1">
      <c r="A81" s="132"/>
      <c r="B81" s="215">
        <v>46090</v>
      </c>
      <c r="C81" s="134">
        <f>2273.09-0-0</f>
      </c>
      <c r="D81" s="136"/>
      <c r="E81" s="135"/>
      <c r="F81" s="135"/>
      <c r="G81" s="147">
        <f t="shared" si="22"/>
        <v>0</v>
      </c>
      <c r="H81" s="122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103">
        <f t="shared" si="23"/>
        <v>0</v>
      </c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03">
        <f t="shared" si="24"/>
        <v>0</v>
      </c>
      <c r="AH81" s="134">
        <v>445</v>
      </c>
      <c r="AI81" s="136"/>
      <c r="AJ81" s="136"/>
      <c r="AK81" s="105">
        <f t="shared" si="25"/>
        <v>0</v>
      </c>
      <c r="AL81" s="143"/>
      <c r="AM81" s="143"/>
      <c r="AN81" s="143"/>
      <c r="AO81" s="146"/>
      <c r="AP81" s="224">
        <f t="shared" si="26"/>
        <v>0</v>
      </c>
      <c r="AQ81" s="1554">
        <v>1828</v>
      </c>
      <c r="AR81" s="1709"/>
      <c r="AS81" s="1546"/>
      <c r="AT81" s="1546"/>
      <c r="AU81" s="1546"/>
      <c r="AV81" s="1546"/>
      <c r="AW81" s="1546"/>
      <c r="AX81" s="1709"/>
      <c r="AY81" s="1709"/>
      <c r="AZ81" s="1709"/>
      <c r="BA81" s="1709"/>
      <c r="BB81" s="222">
        <f t="shared" si="27"/>
        <v>0</v>
      </c>
      <c r="BC81" s="140">
        <f t="shared" si="28"/>
        <v>0</v>
      </c>
      <c r="BD81" s="132"/>
      <c r="BE81" s="140">
        <f t="shared" si="29"/>
        <v>0</v>
      </c>
      <c r="BF81" s="141"/>
      <c r="BG81" s="141"/>
      <c r="BH81" s="141"/>
      <c r="BI81" s="141"/>
      <c r="BJ81" s="141"/>
      <c r="BK81" s="141"/>
      <c r="BL81" s="141"/>
      <c r="BM81" s="141"/>
      <c r="BN81" s="141"/>
      <c r="BO81" s="141"/>
      <c r="BP81" s="141"/>
      <c r="BQ81" s="141"/>
      <c r="BR81" s="141"/>
      <c r="BS81" s="130">
        <f t="shared" si="30"/>
        <v>0</v>
      </c>
      <c r="BT81" s="132"/>
    </row>
    <row r="82" ht="14.25" customHeight="1">
      <c r="A82" s="132"/>
      <c r="B82" s="215">
        <v>46091</v>
      </c>
      <c r="C82" s="134">
        <f>1994.05-0-0</f>
      </c>
      <c r="D82" s="136"/>
      <c r="E82" s="135"/>
      <c r="F82" s="135"/>
      <c r="G82" s="147">
        <f t="shared" si="22"/>
        <v>0</v>
      </c>
      <c r="H82" s="122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103">
        <f t="shared" si="23"/>
        <v>0</v>
      </c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  <c r="AF82" s="143"/>
      <c r="AG82" s="103">
        <f t="shared" si="24"/>
        <v>0</v>
      </c>
      <c r="AH82" s="134">
        <v>343.99</v>
      </c>
      <c r="AI82" s="136"/>
      <c r="AJ82" s="136"/>
      <c r="AK82" s="105">
        <f t="shared" si="25"/>
        <v>0</v>
      </c>
      <c r="AL82" s="143"/>
      <c r="AM82" s="143"/>
      <c r="AN82" s="143"/>
      <c r="AO82" s="146"/>
      <c r="AP82" s="224">
        <f t="shared" si="26"/>
        <v>0</v>
      </c>
      <c r="AQ82" s="1554">
        <v>1650.1</v>
      </c>
      <c r="AR82" s="1709"/>
      <c r="AS82" s="1546"/>
      <c r="AT82" s="1546"/>
      <c r="AU82" s="1546"/>
      <c r="AV82" s="1546"/>
      <c r="AW82" s="1546"/>
      <c r="AX82" s="1709"/>
      <c r="AY82" s="1709"/>
      <c r="AZ82" s="1709"/>
      <c r="BA82" s="1709"/>
      <c r="BB82" s="222">
        <f t="shared" si="27"/>
        <v>0</v>
      </c>
      <c r="BC82" s="140">
        <f t="shared" si="28"/>
        <v>0</v>
      </c>
      <c r="BD82" s="132"/>
      <c r="BE82" s="140">
        <f t="shared" si="29"/>
        <v>0</v>
      </c>
      <c r="BF82" s="141"/>
      <c r="BG82" s="141"/>
      <c r="BH82" s="141"/>
      <c r="BI82" s="141"/>
      <c r="BJ82" s="141"/>
      <c r="BK82" s="141"/>
      <c r="BL82" s="141"/>
      <c r="BM82" s="141"/>
      <c r="BN82" s="141"/>
      <c r="BO82" s="141"/>
      <c r="BP82" s="141"/>
      <c r="BQ82" s="141"/>
      <c r="BR82" s="141"/>
      <c r="BS82" s="130">
        <f t="shared" si="30"/>
        <v>0</v>
      </c>
      <c r="BT82" s="132"/>
    </row>
    <row r="83" ht="14.25" customHeight="1">
      <c r="A83" s="132"/>
      <c r="B83" s="215">
        <v>46092</v>
      </c>
      <c r="C83" s="134">
        <f>2117.66-0-0</f>
      </c>
      <c r="D83" s="136"/>
      <c r="E83" s="135"/>
      <c r="F83" s="135"/>
      <c r="G83" s="147">
        <f t="shared" si="22"/>
        <v>0</v>
      </c>
      <c r="H83" s="122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103">
        <f t="shared" si="23"/>
        <v>0</v>
      </c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03">
        <f t="shared" si="24"/>
        <v>0</v>
      </c>
      <c r="AH83" s="134"/>
      <c r="AI83" s="136"/>
      <c r="AJ83" s="136"/>
      <c r="AK83" s="105">
        <f t="shared" si="25"/>
        <v>0</v>
      </c>
      <c r="AL83" s="143"/>
      <c r="AM83" s="143"/>
      <c r="AN83" s="143"/>
      <c r="AO83" s="146"/>
      <c r="AP83" s="224">
        <f t="shared" si="26"/>
        <v>0</v>
      </c>
      <c r="AQ83" s="1554">
        <v>2117.7</v>
      </c>
      <c r="AR83" s="1709"/>
      <c r="AS83" s="1546"/>
      <c r="AT83" s="1546"/>
      <c r="AU83" s="1546"/>
      <c r="AV83" s="1546"/>
      <c r="AW83" s="1546"/>
      <c r="AX83" s="1709"/>
      <c r="AY83" s="1709"/>
      <c r="AZ83" s="1709"/>
      <c r="BA83" s="1709"/>
      <c r="BB83" s="222">
        <f t="shared" si="27"/>
        <v>0</v>
      </c>
      <c r="BC83" s="140">
        <f t="shared" si="28"/>
        <v>0</v>
      </c>
      <c r="BD83" s="132"/>
      <c r="BE83" s="140">
        <f t="shared" si="29"/>
        <v>0</v>
      </c>
      <c r="BF83" s="141"/>
      <c r="BG83" s="141"/>
      <c r="BH83" s="141"/>
      <c r="BI83" s="141"/>
      <c r="BJ83" s="141"/>
      <c r="BK83" s="141"/>
      <c r="BL83" s="141"/>
      <c r="BM83" s="141"/>
      <c r="BN83" s="141"/>
      <c r="BO83" s="141"/>
      <c r="BP83" s="141"/>
      <c r="BQ83" s="141"/>
      <c r="BR83" s="141"/>
      <c r="BS83" s="130">
        <f t="shared" si="30"/>
        <v>0</v>
      </c>
      <c r="BT83" s="132"/>
    </row>
    <row r="84" ht="14.25" customHeight="1">
      <c r="A84" s="132"/>
      <c r="B84" s="215">
        <v>46093</v>
      </c>
      <c r="C84" s="134">
        <f>2638.86-0-0</f>
      </c>
      <c r="D84" s="136"/>
      <c r="E84" s="135"/>
      <c r="F84" s="135"/>
      <c r="G84" s="147">
        <f t="shared" si="22"/>
        <v>0</v>
      </c>
      <c r="H84" s="122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103">
        <f t="shared" si="23"/>
        <v>0</v>
      </c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  <c r="AF84" s="143"/>
      <c r="AG84" s="103">
        <f t="shared" si="24"/>
        <v>0</v>
      </c>
      <c r="AH84" s="134">
        <v>1151.02</v>
      </c>
      <c r="AI84" s="136"/>
      <c r="AJ84" s="136"/>
      <c r="AK84" s="105">
        <f t="shared" si="25"/>
        <v>0</v>
      </c>
      <c r="AL84" s="143"/>
      <c r="AM84" s="143"/>
      <c r="AN84" s="143"/>
      <c r="AO84" s="146"/>
      <c r="AP84" s="224">
        <f t="shared" si="26"/>
        <v>0</v>
      </c>
      <c r="AQ84" s="1554">
        <v>1487.8</v>
      </c>
      <c r="AR84" s="1709"/>
      <c r="AS84" s="1546"/>
      <c r="AT84" s="1546"/>
      <c r="AU84" s="1546"/>
      <c r="AV84" s="1546"/>
      <c r="AW84" s="1546"/>
      <c r="AX84" s="1709"/>
      <c r="AY84" s="1709"/>
      <c r="AZ84" s="1709"/>
      <c r="BA84" s="1709"/>
      <c r="BB84" s="222">
        <f t="shared" si="27"/>
        <v>0</v>
      </c>
      <c r="BC84" s="140">
        <f t="shared" si="28"/>
        <v>0</v>
      </c>
      <c r="BD84" s="132"/>
      <c r="BE84" s="140">
        <f t="shared" si="29"/>
        <v>0</v>
      </c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30">
        <f t="shared" si="30"/>
        <v>0</v>
      </c>
      <c r="BT84" s="132"/>
    </row>
    <row r="85" ht="14.25" customHeight="1">
      <c r="A85" s="132"/>
      <c r="B85" s="215">
        <v>46094</v>
      </c>
      <c r="C85" s="134">
        <f>1722.01-0-0</f>
      </c>
      <c r="D85" s="136"/>
      <c r="E85" s="135"/>
      <c r="F85" s="135"/>
      <c r="G85" s="147">
        <f t="shared" si="22"/>
        <v>0</v>
      </c>
      <c r="H85" s="122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121"/>
      <c r="T85" s="103">
        <f t="shared" si="23"/>
        <v>0</v>
      </c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03">
        <f t="shared" si="24"/>
        <v>0</v>
      </c>
      <c r="AH85" s="134">
        <v>278.1</v>
      </c>
      <c r="AI85" s="136"/>
      <c r="AJ85" s="136"/>
      <c r="AK85" s="105">
        <f t="shared" si="25"/>
        <v>0</v>
      </c>
      <c r="AL85" s="143"/>
      <c r="AM85" s="143"/>
      <c r="AN85" s="143"/>
      <c r="AO85" s="146"/>
      <c r="AP85" s="224">
        <f t="shared" si="26"/>
        <v>0</v>
      </c>
      <c r="AQ85" s="1554">
        <v>1443.2</v>
      </c>
      <c r="AR85" s="1709"/>
      <c r="AS85" s="1546"/>
      <c r="AT85" s="1546"/>
      <c r="AU85" s="1546"/>
      <c r="AV85" s="1546"/>
      <c r="AW85" s="1546"/>
      <c r="AX85" s="1709"/>
      <c r="AY85" s="1709"/>
      <c r="AZ85" s="1709"/>
      <c r="BA85" s="1709"/>
      <c r="BB85" s="222">
        <f t="shared" si="27"/>
        <v>0</v>
      </c>
      <c r="BC85" s="140">
        <f t="shared" si="28"/>
        <v>0</v>
      </c>
      <c r="BD85" s="132"/>
      <c r="BE85" s="140">
        <f t="shared" si="29"/>
        <v>0</v>
      </c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30">
        <f t="shared" si="30"/>
        <v>0</v>
      </c>
      <c r="BT85" s="132"/>
    </row>
    <row r="86" ht="14.25" customHeight="1">
      <c r="A86" s="132"/>
      <c r="B86" s="215">
        <v>46095</v>
      </c>
      <c r="C86" s="134">
        <f>2192.74-0-0</f>
      </c>
      <c r="D86" s="136"/>
      <c r="E86" s="135"/>
      <c r="F86" s="135"/>
      <c r="G86" s="147">
        <f t="shared" si="22"/>
        <v>0</v>
      </c>
      <c r="H86" s="122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103">
        <f t="shared" si="23"/>
        <v>0</v>
      </c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  <c r="AF86" s="143"/>
      <c r="AG86" s="103">
        <f t="shared" si="24"/>
        <v>0</v>
      </c>
      <c r="AH86" s="134">
        <v>202.8</v>
      </c>
      <c r="AI86" s="136"/>
      <c r="AJ86" s="136"/>
      <c r="AK86" s="105">
        <f t="shared" si="25"/>
        <v>0</v>
      </c>
      <c r="AL86" s="143"/>
      <c r="AM86" s="143"/>
      <c r="AN86" s="143"/>
      <c r="AO86" s="146"/>
      <c r="AP86" s="224">
        <f t="shared" si="26"/>
        <v>0</v>
      </c>
      <c r="AQ86" s="1554">
        <v>1990</v>
      </c>
      <c r="AR86" s="1709"/>
      <c r="AS86" s="1546"/>
      <c r="AT86" s="1546"/>
      <c r="AU86" s="1546"/>
      <c r="AV86" s="1546"/>
      <c r="AW86" s="1546"/>
      <c r="AX86" s="1709"/>
      <c r="AY86" s="1709"/>
      <c r="AZ86" s="1709"/>
      <c r="BA86" s="1709"/>
      <c r="BB86" s="222">
        <f t="shared" si="27"/>
        <v>0</v>
      </c>
      <c r="BC86" s="140">
        <f t="shared" si="28"/>
        <v>0</v>
      </c>
      <c r="BD86" s="132"/>
      <c r="BE86" s="140">
        <f t="shared" si="29"/>
        <v>0</v>
      </c>
      <c r="BF86" s="141"/>
      <c r="BG86" s="141"/>
      <c r="BH86" s="141"/>
      <c r="BI86" s="141"/>
      <c r="BJ86" s="141"/>
      <c r="BK86" s="141"/>
      <c r="BL86" s="141"/>
      <c r="BM86" s="141"/>
      <c r="BN86" s="141"/>
      <c r="BO86" s="141"/>
      <c r="BP86" s="141"/>
      <c r="BQ86" s="141"/>
      <c r="BR86" s="141"/>
      <c r="BS86" s="130">
        <f t="shared" si="30"/>
        <v>0</v>
      </c>
      <c r="BT86" s="132"/>
    </row>
    <row r="87" ht="14.25" customHeight="1">
      <c r="A87" s="132"/>
      <c r="B87" s="215">
        <v>46096</v>
      </c>
      <c r="C87" s="134">
        <f>2259.42-0-0</f>
      </c>
      <c r="D87" s="136"/>
      <c r="E87" s="135"/>
      <c r="F87" s="135"/>
      <c r="G87" s="147">
        <f t="shared" si="22"/>
        <v>0</v>
      </c>
      <c r="H87" s="122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103">
        <f t="shared" si="23"/>
        <v>0</v>
      </c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3"/>
      <c r="AG87" s="103">
        <f t="shared" si="24"/>
        <v>0</v>
      </c>
      <c r="AH87" s="134">
        <v>854.2</v>
      </c>
      <c r="AI87" s="136"/>
      <c r="AJ87" s="136"/>
      <c r="AK87" s="105">
        <f t="shared" si="25"/>
        <v>0</v>
      </c>
      <c r="AL87" s="143"/>
      <c r="AM87" s="143"/>
      <c r="AN87" s="143"/>
      <c r="AO87" s="146"/>
      <c r="AP87" s="224">
        <f t="shared" si="26"/>
        <v>0</v>
      </c>
      <c r="AQ87" s="1554">
        <v>1405.2</v>
      </c>
      <c r="AR87" s="1709"/>
      <c r="AS87" s="1546"/>
      <c r="AT87" s="1546"/>
      <c r="AU87" s="1546"/>
      <c r="AV87" s="1546"/>
      <c r="AW87" s="1546"/>
      <c r="AX87" s="1709"/>
      <c r="AY87" s="1709"/>
      <c r="AZ87" s="1709"/>
      <c r="BA87" s="1709"/>
      <c r="BB87" s="222">
        <f t="shared" si="27"/>
        <v>0</v>
      </c>
      <c r="BC87" s="140">
        <f t="shared" si="28"/>
        <v>0</v>
      </c>
      <c r="BD87" s="132"/>
      <c r="BE87" s="140">
        <f t="shared" si="29"/>
        <v>0</v>
      </c>
      <c r="BF87" s="141"/>
      <c r="BG87" s="141"/>
      <c r="BH87" s="141"/>
      <c r="BI87" s="141"/>
      <c r="BJ87" s="141"/>
      <c r="BK87" s="141"/>
      <c r="BL87" s="141"/>
      <c r="BM87" s="141"/>
      <c r="BN87" s="141"/>
      <c r="BO87" s="141"/>
      <c r="BP87" s="141"/>
      <c r="BQ87" s="141"/>
      <c r="BR87" s="141"/>
      <c r="BS87" s="130">
        <f t="shared" si="30"/>
        <v>0</v>
      </c>
      <c r="BT87" s="132"/>
    </row>
    <row r="88" ht="14.25" customHeight="1">
      <c r="A88" s="132"/>
      <c r="B88" s="215">
        <v>46097</v>
      </c>
      <c r="C88" s="134">
        <f>2069.12-0-0</f>
      </c>
      <c r="D88" s="136"/>
      <c r="E88" s="135"/>
      <c r="F88" s="135"/>
      <c r="G88" s="147">
        <f t="shared" si="22"/>
        <v>0</v>
      </c>
      <c r="H88" s="122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103">
        <f t="shared" si="23"/>
        <v>0</v>
      </c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  <c r="AF88" s="143"/>
      <c r="AG88" s="103">
        <f t="shared" si="24"/>
        <v>0</v>
      </c>
      <c r="AH88" s="134">
        <v>335</v>
      </c>
      <c r="AI88" s="136"/>
      <c r="AJ88" s="136"/>
      <c r="AK88" s="105">
        <f t="shared" si="25"/>
        <v>0</v>
      </c>
      <c r="AL88" s="143"/>
      <c r="AM88" s="143"/>
      <c r="AN88" s="143"/>
      <c r="AO88" s="146"/>
      <c r="AP88" s="224">
        <f t="shared" si="26"/>
        <v>0</v>
      </c>
      <c r="AQ88" s="1554">
        <v>1734.1</v>
      </c>
      <c r="AR88" s="1709"/>
      <c r="AS88" s="1546"/>
      <c r="AT88" s="1546"/>
      <c r="AU88" s="1546"/>
      <c r="AV88" s="1546"/>
      <c r="AW88" s="1546"/>
      <c r="AX88" s="1709"/>
      <c r="AY88" s="1709"/>
      <c r="AZ88" s="1709"/>
      <c r="BA88" s="1709"/>
      <c r="BB88" s="222">
        <f t="shared" si="27"/>
        <v>0</v>
      </c>
      <c r="BC88" s="140">
        <f t="shared" si="28"/>
        <v>0</v>
      </c>
      <c r="BD88" s="132"/>
      <c r="BE88" s="140">
        <f t="shared" si="29"/>
        <v>0</v>
      </c>
      <c r="BF88" s="141"/>
      <c r="BG88" s="141"/>
      <c r="BH88" s="141"/>
      <c r="BI88" s="141"/>
      <c r="BJ88" s="141"/>
      <c r="BK88" s="141"/>
      <c r="BL88" s="141"/>
      <c r="BM88" s="141"/>
      <c r="BN88" s="141"/>
      <c r="BO88" s="141"/>
      <c r="BP88" s="141"/>
      <c r="BQ88" s="141"/>
      <c r="BR88" s="141"/>
      <c r="BS88" s="130">
        <f t="shared" si="30"/>
        <v>0</v>
      </c>
      <c r="BT88" s="132"/>
    </row>
    <row r="89" ht="14.25" customHeight="1">
      <c r="A89" s="132"/>
      <c r="B89" s="215">
        <v>46098</v>
      </c>
      <c r="C89" s="134">
        <f>3167.66-0-0</f>
      </c>
      <c r="D89" s="136"/>
      <c r="E89" s="135"/>
      <c r="F89" s="135"/>
      <c r="G89" s="147">
        <f t="shared" si="22"/>
        <v>0</v>
      </c>
      <c r="H89" s="122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103">
        <f t="shared" si="23"/>
        <v>0</v>
      </c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03">
        <f t="shared" si="24"/>
        <v>0</v>
      </c>
      <c r="AH89" s="134">
        <v>985.46</v>
      </c>
      <c r="AI89" s="136"/>
      <c r="AJ89" s="136"/>
      <c r="AK89" s="105">
        <f t="shared" si="25"/>
        <v>0</v>
      </c>
      <c r="AL89" s="143"/>
      <c r="AM89" s="143"/>
      <c r="AN89" s="143"/>
      <c r="AO89" s="146"/>
      <c r="AP89" s="224">
        <f t="shared" si="26"/>
        <v>0</v>
      </c>
      <c r="AQ89" s="1554">
        <v>2182.2</v>
      </c>
      <c r="AR89" s="1709"/>
      <c r="AS89" s="1546"/>
      <c r="AT89" s="1546"/>
      <c r="AU89" s="1546"/>
      <c r="AV89" s="1546"/>
      <c r="AW89" s="1546"/>
      <c r="AX89" s="1709"/>
      <c r="AY89" s="1709"/>
      <c r="AZ89" s="1709"/>
      <c r="BA89" s="1709"/>
      <c r="BB89" s="222">
        <f t="shared" si="27"/>
        <v>0</v>
      </c>
      <c r="BC89" s="140">
        <f t="shared" si="28"/>
        <v>0</v>
      </c>
      <c r="BD89" s="132"/>
      <c r="BE89" s="140">
        <f t="shared" si="29"/>
        <v>0</v>
      </c>
      <c r="BF89" s="141"/>
      <c r="BG89" s="141"/>
      <c r="BH89" s="141"/>
      <c r="BI89" s="141"/>
      <c r="BJ89" s="141"/>
      <c r="BK89" s="141"/>
      <c r="BL89" s="141"/>
      <c r="BM89" s="141"/>
      <c r="BN89" s="141"/>
      <c r="BO89" s="141"/>
      <c r="BP89" s="141"/>
      <c r="BQ89" s="141"/>
      <c r="BR89" s="141"/>
      <c r="BS89" s="130">
        <f t="shared" si="30"/>
        <v>0</v>
      </c>
      <c r="BT89" s="132"/>
    </row>
    <row r="90" ht="14.25" customHeight="1">
      <c r="A90" s="132"/>
      <c r="B90" s="215">
        <v>46099</v>
      </c>
      <c r="C90" s="134">
        <f>2121.55-0-0</f>
      </c>
      <c r="D90" s="136"/>
      <c r="E90" s="135"/>
      <c r="F90" s="135"/>
      <c r="G90" s="147">
        <f t="shared" si="22"/>
        <v>0</v>
      </c>
      <c r="H90" s="122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103">
        <f t="shared" si="23"/>
        <v>0</v>
      </c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03">
        <f t="shared" si="24"/>
        <v>0</v>
      </c>
      <c r="AH90" s="134">
        <v>734.6</v>
      </c>
      <c r="AI90" s="136"/>
      <c r="AJ90" s="136"/>
      <c r="AK90" s="105">
        <f t="shared" si="25"/>
        <v>0</v>
      </c>
      <c r="AL90" s="143"/>
      <c r="AM90" s="143"/>
      <c r="AN90" s="143"/>
      <c r="AO90" s="146"/>
      <c r="AP90" s="224">
        <f t="shared" si="26"/>
        <v>0</v>
      </c>
      <c r="AQ90" s="1554">
        <v>1387</v>
      </c>
      <c r="AR90" s="1709"/>
      <c r="AS90" s="1546"/>
      <c r="AT90" s="1546"/>
      <c r="AU90" s="1546"/>
      <c r="AV90" s="1546"/>
      <c r="AW90" s="1546"/>
      <c r="AX90" s="1709"/>
      <c r="AY90" s="1709"/>
      <c r="AZ90" s="1709"/>
      <c r="BA90" s="1709"/>
      <c r="BB90" s="222">
        <f t="shared" si="27"/>
        <v>0</v>
      </c>
      <c r="BC90" s="140">
        <f t="shared" si="28"/>
        <v>0</v>
      </c>
      <c r="BD90" s="132"/>
      <c r="BE90" s="140">
        <f t="shared" si="29"/>
        <v>0</v>
      </c>
      <c r="BF90" s="141"/>
      <c r="BG90" s="141"/>
      <c r="BH90" s="141"/>
      <c r="BI90" s="141"/>
      <c r="BJ90" s="141"/>
      <c r="BK90" s="141"/>
      <c r="BL90" s="141"/>
      <c r="BM90" s="141"/>
      <c r="BN90" s="141"/>
      <c r="BO90" s="141"/>
      <c r="BP90" s="141"/>
      <c r="BQ90" s="141"/>
      <c r="BR90" s="141"/>
      <c r="BS90" s="130">
        <f t="shared" si="30"/>
        <v>0</v>
      </c>
      <c r="BT90" s="132"/>
    </row>
    <row r="91" ht="14.25" customHeight="1">
      <c r="A91" s="132"/>
      <c r="B91" s="215">
        <v>46100</v>
      </c>
      <c r="C91" s="134">
        <f>3877.94-0-0</f>
      </c>
      <c r="D91" s="136"/>
      <c r="E91" s="135"/>
      <c r="F91" s="135"/>
      <c r="G91" s="147">
        <f t="shared" si="22"/>
        <v>0</v>
      </c>
      <c r="H91" s="122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103">
        <f t="shared" si="23"/>
        <v>0</v>
      </c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03">
        <f t="shared" si="24"/>
        <v>0</v>
      </c>
      <c r="AH91" s="134">
        <v>974.5</v>
      </c>
      <c r="AI91" s="136"/>
      <c r="AJ91" s="136"/>
      <c r="AK91" s="105">
        <f t="shared" si="25"/>
        <v>0</v>
      </c>
      <c r="AL91" s="143"/>
      <c r="AM91" s="143"/>
      <c r="AN91" s="143"/>
      <c r="AO91" s="146"/>
      <c r="AP91" s="224">
        <f t="shared" si="26"/>
        <v>0</v>
      </c>
      <c r="AQ91" s="1554">
        <v>2580.4</v>
      </c>
      <c r="AR91" s="1709"/>
      <c r="AS91" s="1546"/>
      <c r="AT91" s="1546"/>
      <c r="AU91" s="1546"/>
      <c r="AV91" s="1546"/>
      <c r="AW91" s="1546"/>
      <c r="AX91" s="1709"/>
      <c r="AY91" s="1709"/>
      <c r="AZ91" s="1709"/>
      <c r="BA91" s="1709"/>
      <c r="BB91" s="222">
        <f t="shared" si="27"/>
        <v>0</v>
      </c>
      <c r="BC91" s="140">
        <f t="shared" si="28"/>
        <v>0</v>
      </c>
      <c r="BD91" s="132"/>
      <c r="BE91" s="140">
        <f t="shared" si="29"/>
        <v>0</v>
      </c>
      <c r="BF91" s="141"/>
      <c r="BG91" s="141"/>
      <c r="BH91" s="141"/>
      <c r="BI91" s="141"/>
      <c r="BJ91" s="141"/>
      <c r="BK91" s="141"/>
      <c r="BL91" s="141"/>
      <c r="BM91" s="141"/>
      <c r="BN91" s="141"/>
      <c r="BO91" s="141"/>
      <c r="BP91" s="150"/>
      <c r="BQ91" s="141">
        <v>325</v>
      </c>
      <c r="BR91" s="141"/>
      <c r="BS91" s="130">
        <f t="shared" si="30"/>
        <v>0</v>
      </c>
      <c r="BT91" s="132"/>
    </row>
    <row r="92" ht="14.25" customHeight="1">
      <c r="A92" s="132"/>
      <c r="B92" s="215">
        <v>46101</v>
      </c>
      <c r="C92" s="134">
        <f>1394.77-0-0</f>
      </c>
      <c r="D92" s="136"/>
      <c r="E92" s="135"/>
      <c r="F92" s="135"/>
      <c r="G92" s="147">
        <f t="shared" si="22"/>
        <v>0</v>
      </c>
      <c r="H92" s="122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103">
        <f t="shared" si="23"/>
        <v>0</v>
      </c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03">
        <f t="shared" si="24"/>
        <v>0</v>
      </c>
      <c r="AH92" s="134">
        <v>126.8</v>
      </c>
      <c r="AI92" s="136"/>
      <c r="AJ92" s="136"/>
      <c r="AK92" s="105">
        <f t="shared" si="25"/>
        <v>0</v>
      </c>
      <c r="AL92" s="143"/>
      <c r="AM92" s="143"/>
      <c r="AN92" s="143"/>
      <c r="AO92" s="146"/>
      <c r="AP92" s="224">
        <f t="shared" si="26"/>
        <v>0</v>
      </c>
      <c r="AQ92" s="1554">
        <v>1268</v>
      </c>
      <c r="AR92" s="1709"/>
      <c r="AS92" s="1546"/>
      <c r="AT92" s="1546"/>
      <c r="AU92" s="1546"/>
      <c r="AV92" s="1546"/>
      <c r="AW92" s="1546"/>
      <c r="AX92" s="1709"/>
      <c r="AY92" s="1709"/>
      <c r="AZ92" s="1709"/>
      <c r="BA92" s="1709"/>
      <c r="BB92" s="222">
        <f t="shared" si="27"/>
        <v>0</v>
      </c>
      <c r="BC92" s="140">
        <f t="shared" si="28"/>
        <v>0</v>
      </c>
      <c r="BD92" s="132"/>
      <c r="BE92" s="140">
        <f t="shared" si="29"/>
        <v>0</v>
      </c>
      <c r="BF92" s="141"/>
      <c r="BG92" s="141"/>
      <c r="BH92" s="141"/>
      <c r="BI92" s="141"/>
      <c r="BJ92" s="141"/>
      <c r="BK92" s="141"/>
      <c r="BL92" s="141"/>
      <c r="BM92" s="141"/>
      <c r="BN92" s="141"/>
      <c r="BO92" s="141"/>
      <c r="BP92" s="141"/>
      <c r="BQ92" s="141"/>
      <c r="BR92" s="141"/>
      <c r="BS92" s="130">
        <f t="shared" si="30"/>
        <v>0</v>
      </c>
      <c r="BT92" s="132"/>
    </row>
    <row r="93" ht="14.25" customHeight="1">
      <c r="A93" s="132"/>
      <c r="B93" s="215">
        <v>46102</v>
      </c>
      <c r="C93" s="134">
        <f>3182.56-0-0</f>
      </c>
      <c r="D93" s="136"/>
      <c r="E93" s="135"/>
      <c r="F93" s="135"/>
      <c r="G93" s="147">
        <f t="shared" si="22"/>
        <v>0</v>
      </c>
      <c r="H93" s="122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103">
        <f t="shared" si="23"/>
        <v>0</v>
      </c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03">
        <f t="shared" si="24"/>
        <v>0</v>
      </c>
      <c r="AH93" s="134">
        <v>470.6</v>
      </c>
      <c r="AI93" s="136"/>
      <c r="AJ93" s="136"/>
      <c r="AK93" s="105">
        <f t="shared" si="25"/>
        <v>0</v>
      </c>
      <c r="AL93" s="143"/>
      <c r="AM93" s="143"/>
      <c r="AN93" s="143"/>
      <c r="AO93" s="146"/>
      <c r="AP93" s="224">
        <f t="shared" si="26"/>
        <v>0</v>
      </c>
      <c r="AQ93" s="1554">
        <v>2712</v>
      </c>
      <c r="AR93" s="1709"/>
      <c r="AS93" s="1546"/>
      <c r="AT93" s="1546"/>
      <c r="AU93" s="1546"/>
      <c r="AV93" s="1546"/>
      <c r="AW93" s="1546"/>
      <c r="AX93" s="1709"/>
      <c r="AY93" s="1709"/>
      <c r="AZ93" s="1709"/>
      <c r="BA93" s="1709"/>
      <c r="BB93" s="222">
        <f t="shared" si="27"/>
        <v>0</v>
      </c>
      <c r="BC93" s="140">
        <f t="shared" si="28"/>
        <v>0</v>
      </c>
      <c r="BD93" s="132"/>
      <c r="BE93" s="140">
        <f t="shared" si="29"/>
        <v>0</v>
      </c>
      <c r="BF93" s="141"/>
      <c r="BG93" s="141"/>
      <c r="BH93" s="141"/>
      <c r="BI93" s="141"/>
      <c r="BJ93" s="141"/>
      <c r="BK93" s="141"/>
      <c r="BL93" s="141"/>
      <c r="BM93" s="141"/>
      <c r="BN93" s="141"/>
      <c r="BO93" s="141"/>
      <c r="BP93" s="141"/>
      <c r="BQ93" s="141"/>
      <c r="BR93" s="141"/>
      <c r="BS93" s="130">
        <f t="shared" si="30"/>
        <v>0</v>
      </c>
      <c r="BT93" s="132"/>
    </row>
    <row r="94" ht="14.25" customHeight="1">
      <c r="A94" s="132"/>
      <c r="B94" s="215">
        <v>46103</v>
      </c>
      <c r="C94" s="134">
        <f>2476.90-0-0</f>
      </c>
      <c r="D94" s="136"/>
      <c r="E94" s="135"/>
      <c r="F94" s="135"/>
      <c r="G94" s="147">
        <f t="shared" si="22"/>
        <v>0</v>
      </c>
      <c r="H94" s="122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103">
        <f t="shared" si="23"/>
        <v>0</v>
      </c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  <c r="AF94" s="143"/>
      <c r="AG94" s="103">
        <f t="shared" si="24"/>
        <v>0</v>
      </c>
      <c r="AH94" s="134">
        <v>309</v>
      </c>
      <c r="AI94" s="136"/>
      <c r="AJ94" s="136"/>
      <c r="AK94" s="105">
        <f t="shared" si="25"/>
        <v>0</v>
      </c>
      <c r="AL94" s="143"/>
      <c r="AM94" s="143"/>
      <c r="AN94" s="143"/>
      <c r="AO94" s="146"/>
      <c r="AP94" s="224">
        <f t="shared" si="26"/>
        <v>0</v>
      </c>
      <c r="AQ94" s="1554">
        <v>2167.9</v>
      </c>
      <c r="AR94" s="1709"/>
      <c r="AS94" s="1546"/>
      <c r="AT94" s="1546"/>
      <c r="AU94" s="1546"/>
      <c r="AV94" s="1546"/>
      <c r="AW94" s="1546"/>
      <c r="AX94" s="1709"/>
      <c r="AY94" s="1709"/>
      <c r="AZ94" s="1709"/>
      <c r="BA94" s="1709"/>
      <c r="BB94" s="222">
        <f t="shared" si="27"/>
        <v>0</v>
      </c>
      <c r="BC94" s="140">
        <f t="shared" si="28"/>
        <v>0</v>
      </c>
      <c r="BD94" s="132"/>
      <c r="BE94" s="140">
        <f t="shared" si="29"/>
        <v>0</v>
      </c>
      <c r="BF94" s="141"/>
      <c r="BG94" s="141"/>
      <c r="BH94" s="141"/>
      <c r="BI94" s="141"/>
      <c r="BJ94" s="141"/>
      <c r="BK94" s="141"/>
      <c r="BL94" s="141"/>
      <c r="BM94" s="141"/>
      <c r="BN94" s="141"/>
      <c r="BO94" s="141"/>
      <c r="BP94" s="141"/>
      <c r="BQ94" s="141"/>
      <c r="BR94" s="141"/>
      <c r="BS94" s="130">
        <f t="shared" si="30"/>
        <v>0</v>
      </c>
      <c r="BT94" s="132"/>
    </row>
    <row r="95" ht="14.25" customHeight="1">
      <c r="A95" s="132"/>
      <c r="B95" s="215">
        <v>46104</v>
      </c>
      <c r="C95" s="134">
        <f>2858.36-0-0</f>
      </c>
      <c r="D95" s="136"/>
      <c r="E95" s="135"/>
      <c r="F95" s="135"/>
      <c r="G95" s="147">
        <f t="shared" si="22"/>
        <v>0</v>
      </c>
      <c r="H95" s="122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103">
        <f t="shared" si="23"/>
        <v>0</v>
      </c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3"/>
      <c r="AG95" s="103">
        <f t="shared" si="24"/>
        <v>0</v>
      </c>
      <c r="AH95" s="134">
        <v>589.3</v>
      </c>
      <c r="AI95" s="136"/>
      <c r="AJ95" s="136"/>
      <c r="AK95" s="105">
        <f t="shared" si="25"/>
        <v>0</v>
      </c>
      <c r="AL95" s="143"/>
      <c r="AM95" s="143"/>
      <c r="AN95" s="143"/>
      <c r="AO95" s="146"/>
      <c r="AP95" s="224">
        <f t="shared" si="26"/>
        <v>0</v>
      </c>
      <c r="AQ95" s="1554">
        <v>2269.1</v>
      </c>
      <c r="AR95" s="1709"/>
      <c r="AS95" s="1546"/>
      <c r="AT95" s="1546"/>
      <c r="AU95" s="1546"/>
      <c r="AV95" s="1546"/>
      <c r="AW95" s="1546"/>
      <c r="AX95" s="1709"/>
      <c r="AY95" s="1709"/>
      <c r="AZ95" s="1709"/>
      <c r="BA95" s="1709"/>
      <c r="BB95" s="222">
        <f t="shared" si="27"/>
        <v>0</v>
      </c>
      <c r="BC95" s="140">
        <f t="shared" si="28"/>
        <v>0</v>
      </c>
      <c r="BD95" s="132"/>
      <c r="BE95" s="140">
        <f t="shared" si="29"/>
        <v>0</v>
      </c>
      <c r="BF95" s="141"/>
      <c r="BG95" s="141"/>
      <c r="BH95" s="141"/>
      <c r="BI95" s="141"/>
      <c r="BJ95" s="141"/>
      <c r="BK95" s="141"/>
      <c r="BL95" s="141"/>
      <c r="BM95" s="141"/>
      <c r="BN95" s="141"/>
      <c r="BO95" s="141"/>
      <c r="BP95" s="141"/>
      <c r="BQ95" s="141"/>
      <c r="BR95" s="141"/>
      <c r="BS95" s="130">
        <f t="shared" si="30"/>
        <v>0</v>
      </c>
      <c r="BT95" s="132"/>
    </row>
    <row r="96" ht="14.25" customHeight="1">
      <c r="A96" s="132"/>
      <c r="B96" s="215">
        <v>46105</v>
      </c>
      <c r="C96" s="134">
        <f>3215.78-0-0</f>
      </c>
      <c r="D96" s="136"/>
      <c r="E96" s="135"/>
      <c r="F96" s="135"/>
      <c r="G96" s="147">
        <f t="shared" si="22"/>
        <v>0</v>
      </c>
      <c r="H96" s="122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103">
        <f t="shared" si="23"/>
        <v>0</v>
      </c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03">
        <f t="shared" si="24"/>
        <v>0</v>
      </c>
      <c r="AH96" s="134">
        <v>408</v>
      </c>
      <c r="AI96" s="136"/>
      <c r="AJ96" s="136"/>
      <c r="AK96" s="105">
        <f t="shared" si="25"/>
        <v>0</v>
      </c>
      <c r="AL96" s="143"/>
      <c r="AM96" s="143"/>
      <c r="AN96" s="143"/>
      <c r="AO96" s="146"/>
      <c r="AP96" s="224">
        <f t="shared" si="26"/>
        <v>0</v>
      </c>
      <c r="AQ96" s="1554">
        <v>2807.8</v>
      </c>
      <c r="AR96" s="1709"/>
      <c r="AS96" s="1546"/>
      <c r="AT96" s="1546"/>
      <c r="AU96" s="1546"/>
      <c r="AV96" s="1546"/>
      <c r="AW96" s="1546"/>
      <c r="AX96" s="1709"/>
      <c r="AY96" s="1709"/>
      <c r="AZ96" s="1709"/>
      <c r="BA96" s="1709"/>
      <c r="BB96" s="222">
        <f t="shared" si="27"/>
        <v>0</v>
      </c>
      <c r="BC96" s="140">
        <f t="shared" si="28"/>
        <v>0</v>
      </c>
      <c r="BD96" s="132"/>
      <c r="BE96" s="140">
        <f t="shared" si="29"/>
        <v>0</v>
      </c>
      <c r="BF96" s="141"/>
      <c r="BG96" s="141"/>
      <c r="BH96" s="141"/>
      <c r="BI96" s="141"/>
      <c r="BJ96" s="141"/>
      <c r="BK96" s="141"/>
      <c r="BL96" s="141"/>
      <c r="BM96" s="141"/>
      <c r="BN96" s="141"/>
      <c r="BO96" s="141"/>
      <c r="BP96" s="141"/>
      <c r="BQ96" s="141"/>
      <c r="BR96" s="141"/>
      <c r="BS96" s="130">
        <f t="shared" si="30"/>
        <v>0</v>
      </c>
      <c r="BT96" s="132"/>
    </row>
    <row r="97" ht="14.25" customHeight="1">
      <c r="A97" s="132"/>
      <c r="B97" s="215">
        <v>46106</v>
      </c>
      <c r="C97" s="134">
        <f>1813.44-0-0</f>
      </c>
      <c r="D97" s="136"/>
      <c r="E97" s="135"/>
      <c r="F97" s="135"/>
      <c r="G97" s="147">
        <f t="shared" si="22"/>
        <v>0</v>
      </c>
      <c r="H97" s="122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103">
        <f t="shared" si="23"/>
        <v>0</v>
      </c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03">
        <f t="shared" si="24"/>
        <v>0</v>
      </c>
      <c r="AH97" s="134">
        <v>473.4</v>
      </c>
      <c r="AI97" s="136"/>
      <c r="AJ97" s="136"/>
      <c r="AK97" s="105">
        <f t="shared" si="25"/>
        <v>0</v>
      </c>
      <c r="AL97" s="143"/>
      <c r="AM97" s="143"/>
      <c r="AN97" s="143"/>
      <c r="AO97" s="146"/>
      <c r="AP97" s="224">
        <f t="shared" si="26"/>
        <v>0</v>
      </c>
      <c r="AQ97" s="1554">
        <v>1340</v>
      </c>
      <c r="AR97" s="1709"/>
      <c r="AS97" s="1546"/>
      <c r="AT97" s="1546"/>
      <c r="AU97" s="1546"/>
      <c r="AV97" s="1546"/>
      <c r="AW97" s="1546"/>
      <c r="AX97" s="1709"/>
      <c r="AY97" s="1709"/>
      <c r="AZ97" s="1709"/>
      <c r="BA97" s="1709"/>
      <c r="BB97" s="222">
        <f t="shared" si="27"/>
        <v>0</v>
      </c>
      <c r="BC97" s="140">
        <f t="shared" si="28"/>
        <v>0</v>
      </c>
      <c r="BD97" s="132"/>
      <c r="BE97" s="140">
        <f t="shared" si="29"/>
        <v>0</v>
      </c>
      <c r="BF97" s="141"/>
      <c r="BG97" s="141"/>
      <c r="BH97" s="141"/>
      <c r="BI97" s="141"/>
      <c r="BJ97" s="141"/>
      <c r="BK97" s="141"/>
      <c r="BL97" s="141"/>
      <c r="BM97" s="141"/>
      <c r="BN97" s="141"/>
      <c r="BO97" s="141"/>
      <c r="BP97" s="141"/>
      <c r="BQ97" s="141"/>
      <c r="BR97" s="141"/>
      <c r="BS97" s="130">
        <f t="shared" si="30"/>
        <v>0</v>
      </c>
      <c r="BT97" s="132"/>
    </row>
    <row r="98" ht="14.25" customHeight="1">
      <c r="A98" s="132"/>
      <c r="B98" s="215">
        <v>46107</v>
      </c>
      <c r="C98" s="134">
        <f>2542.21-0-0</f>
      </c>
      <c r="D98" s="136"/>
      <c r="E98" s="135"/>
      <c r="F98" s="135"/>
      <c r="G98" s="147">
        <f t="shared" si="22"/>
        <v>0</v>
      </c>
      <c r="H98" s="122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103">
        <f t="shared" si="23"/>
        <v>0</v>
      </c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03">
        <f t="shared" si="24"/>
        <v>0</v>
      </c>
      <c r="AH98" s="134">
        <v>400</v>
      </c>
      <c r="AI98" s="136"/>
      <c r="AJ98" s="136"/>
      <c r="AK98" s="105">
        <f t="shared" si="25"/>
        <v>0</v>
      </c>
      <c r="AL98" s="143"/>
      <c r="AM98" s="143"/>
      <c r="AN98" s="143"/>
      <c r="AO98" s="146"/>
      <c r="AP98" s="224">
        <f t="shared" si="26"/>
        <v>0</v>
      </c>
      <c r="AQ98" s="1554">
        <v>2142.2</v>
      </c>
      <c r="AR98" s="1709"/>
      <c r="AS98" s="1546"/>
      <c r="AT98" s="1546"/>
      <c r="AU98" s="1546"/>
      <c r="AV98" s="1546"/>
      <c r="AW98" s="1546"/>
      <c r="AX98" s="1709"/>
      <c r="AY98" s="1709"/>
      <c r="AZ98" s="1709"/>
      <c r="BA98" s="1709"/>
      <c r="BB98" s="222">
        <f t="shared" si="27"/>
        <v>0</v>
      </c>
      <c r="BC98" s="140">
        <f t="shared" si="28"/>
        <v>0</v>
      </c>
      <c r="BD98" s="132"/>
      <c r="BE98" s="140">
        <f t="shared" si="29"/>
        <v>0</v>
      </c>
      <c r="BF98" s="141"/>
      <c r="BG98" s="141"/>
      <c r="BH98" s="141"/>
      <c r="BI98" s="141"/>
      <c r="BJ98" s="141"/>
      <c r="BK98" s="141"/>
      <c r="BL98" s="141"/>
      <c r="BM98" s="141"/>
      <c r="BN98" s="141"/>
      <c r="BO98" s="141"/>
      <c r="BP98" s="141"/>
      <c r="BQ98" s="141"/>
      <c r="BR98" s="495"/>
      <c r="BS98" s="130">
        <f t="shared" si="30"/>
        <v>0</v>
      </c>
      <c r="BT98" s="132"/>
    </row>
    <row r="99" ht="14.25" customHeight="1">
      <c r="A99" s="132"/>
      <c r="B99" s="215">
        <v>46108</v>
      </c>
      <c r="C99" s="134">
        <f>1465.54-0-0</f>
      </c>
      <c r="D99" s="136"/>
      <c r="E99" s="135"/>
      <c r="F99" s="135"/>
      <c r="G99" s="147">
        <f t="shared" si="22"/>
        <v>0</v>
      </c>
      <c r="H99" s="122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103">
        <f t="shared" si="23"/>
        <v>0</v>
      </c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03">
        <f t="shared" si="24"/>
        <v>0</v>
      </c>
      <c r="AH99" s="134">
        <v>245</v>
      </c>
      <c r="AI99" s="136"/>
      <c r="AJ99" s="136"/>
      <c r="AK99" s="105">
        <f t="shared" si="25"/>
        <v>0</v>
      </c>
      <c r="AL99" s="136"/>
      <c r="AM99" s="143"/>
      <c r="AN99" s="143"/>
      <c r="AO99" s="146"/>
      <c r="AP99" s="224">
        <f t="shared" si="26"/>
        <v>0</v>
      </c>
      <c r="AQ99" s="1554">
        <v>1220.5</v>
      </c>
      <c r="AR99" s="1709"/>
      <c r="AS99" s="1546"/>
      <c r="AT99" s="1546"/>
      <c r="AU99" s="1546"/>
      <c r="AV99" s="1546"/>
      <c r="AW99" s="1546"/>
      <c r="AX99" s="1709"/>
      <c r="AY99" s="1709"/>
      <c r="AZ99" s="1709"/>
      <c r="BA99" s="1709"/>
      <c r="BB99" s="222">
        <f t="shared" si="27"/>
        <v>0</v>
      </c>
      <c r="BC99" s="140">
        <f t="shared" si="28"/>
        <v>0</v>
      </c>
      <c r="BD99" s="132"/>
      <c r="BE99" s="140">
        <f t="shared" si="29"/>
        <v>0</v>
      </c>
      <c r="BF99" s="141"/>
      <c r="BG99" s="141"/>
      <c r="BH99" s="141"/>
      <c r="BI99" s="141"/>
      <c r="BJ99" s="141"/>
      <c r="BK99" s="141"/>
      <c r="BL99" s="141"/>
      <c r="BM99" s="141"/>
      <c r="BN99" s="141"/>
      <c r="BO99" s="141"/>
      <c r="BP99" s="141"/>
      <c r="BQ99" s="141"/>
      <c r="BR99" s="141"/>
      <c r="BS99" s="130">
        <f t="shared" si="30"/>
        <v>0</v>
      </c>
      <c r="BT99" s="132"/>
    </row>
    <row r="100" ht="14.25" customHeight="1">
      <c r="A100" s="132"/>
      <c r="B100" s="215">
        <v>46109</v>
      </c>
      <c r="C100" s="134">
        <f>2863.46-0-0</f>
      </c>
      <c r="D100" s="136"/>
      <c r="E100" s="135"/>
      <c r="F100" s="135"/>
      <c r="G100" s="147">
        <f t="shared" si="22"/>
        <v>0</v>
      </c>
      <c r="H100" s="122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103">
        <f t="shared" si="23"/>
        <v>0</v>
      </c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03">
        <f t="shared" si="24"/>
        <v>0</v>
      </c>
      <c r="AH100" s="134">
        <v>950.75</v>
      </c>
      <c r="AI100" s="136"/>
      <c r="AJ100" s="136"/>
      <c r="AK100" s="105">
        <f t="shared" si="25"/>
        <v>0</v>
      </c>
      <c r="AL100" s="143"/>
      <c r="AM100" s="143"/>
      <c r="AN100" s="143"/>
      <c r="AO100" s="146"/>
      <c r="AP100" s="224">
        <f t="shared" si="26"/>
        <v>0</v>
      </c>
      <c r="AQ100" s="1554">
        <v>1587.7</v>
      </c>
      <c r="AR100" s="1709"/>
      <c r="AS100" s="1546"/>
      <c r="AT100" s="1546"/>
      <c r="AU100" s="1546"/>
      <c r="AV100" s="1546"/>
      <c r="AW100" s="1546"/>
      <c r="AX100" s="1709"/>
      <c r="AY100" s="1709"/>
      <c r="AZ100" s="1709"/>
      <c r="BA100" s="1709"/>
      <c r="BB100" s="222">
        <f t="shared" si="27"/>
        <v>0</v>
      </c>
      <c r="BC100" s="140">
        <f t="shared" si="28"/>
        <v>0</v>
      </c>
      <c r="BD100" s="132"/>
      <c r="BE100" s="140">
        <f t="shared" si="29"/>
        <v>0</v>
      </c>
      <c r="BF100" s="141"/>
      <c r="BG100" s="141"/>
      <c r="BH100" s="141"/>
      <c r="BI100" s="141"/>
      <c r="BJ100" s="141"/>
      <c r="BK100" s="141"/>
      <c r="BL100" s="141"/>
      <c r="BM100" s="141"/>
      <c r="BN100" s="141"/>
      <c r="BO100" s="141"/>
      <c r="BP100" s="150"/>
      <c r="BQ100" s="141">
        <v>325</v>
      </c>
      <c r="BR100" s="141"/>
      <c r="BS100" s="130">
        <f t="shared" si="30"/>
        <v>0</v>
      </c>
      <c r="BT100" s="132"/>
    </row>
    <row r="101" ht="14.25" customHeight="1">
      <c r="A101" s="132"/>
      <c r="B101" s="215">
        <v>46110</v>
      </c>
      <c r="C101" s="134">
        <f>2753.66-0-0</f>
      </c>
      <c r="D101" s="136"/>
      <c r="E101" s="135"/>
      <c r="F101" s="135"/>
      <c r="G101" s="147">
        <f t="shared" si="22"/>
        <v>0</v>
      </c>
      <c r="H101" s="122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103">
        <f t="shared" si="23"/>
        <v>0</v>
      </c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  <c r="AF101" s="143"/>
      <c r="AG101" s="103">
        <f t="shared" si="24"/>
        <v>0</v>
      </c>
      <c r="AH101" s="134">
        <v>1064.16</v>
      </c>
      <c r="AI101" s="136"/>
      <c r="AJ101" s="136"/>
      <c r="AK101" s="105">
        <f t="shared" si="25"/>
        <v>0</v>
      </c>
      <c r="AL101" s="143"/>
      <c r="AM101" s="143"/>
      <c r="AN101" s="143"/>
      <c r="AO101" s="146"/>
      <c r="AP101" s="224">
        <f t="shared" si="26"/>
        <v>0</v>
      </c>
      <c r="AQ101" s="1554">
        <v>1689.5</v>
      </c>
      <c r="AR101" s="1709"/>
      <c r="AS101" s="1546"/>
      <c r="AT101" s="1546"/>
      <c r="AU101" s="1546"/>
      <c r="AV101" s="1546"/>
      <c r="AW101" s="1546"/>
      <c r="AX101" s="1709"/>
      <c r="AY101" s="1709"/>
      <c r="AZ101" s="1709"/>
      <c r="BA101" s="1709"/>
      <c r="BB101" s="222">
        <f t="shared" si="27"/>
        <v>0</v>
      </c>
      <c r="BC101" s="140">
        <f t="shared" si="28"/>
        <v>0</v>
      </c>
      <c r="BD101" s="132"/>
      <c r="BE101" s="140">
        <f t="shared" si="29"/>
        <v>0</v>
      </c>
      <c r="BF101" s="141"/>
      <c r="BG101" s="141"/>
      <c r="BH101" s="141"/>
      <c r="BI101" s="141"/>
      <c r="BJ101" s="141"/>
      <c r="BK101" s="141"/>
      <c r="BL101" s="141"/>
      <c r="BM101" s="141"/>
      <c r="BN101" s="141"/>
      <c r="BO101" s="141"/>
      <c r="BP101" s="141"/>
      <c r="BQ101" s="141"/>
      <c r="BR101" s="141"/>
      <c r="BS101" s="130">
        <f t="shared" si="30"/>
        <v>0</v>
      </c>
      <c r="BT101" s="132"/>
    </row>
    <row r="102" ht="14.25" customHeight="1">
      <c r="A102" s="132"/>
      <c r="B102" s="215">
        <v>46111</v>
      </c>
      <c r="C102" s="134">
        <f>2650.16-0-0</f>
      </c>
      <c r="D102" s="136"/>
      <c r="E102" s="135"/>
      <c r="F102" s="135"/>
      <c r="G102" s="147">
        <f t="shared" si="22"/>
        <v>0</v>
      </c>
      <c r="H102" s="122"/>
      <c r="I102" s="99"/>
      <c r="J102" s="136"/>
      <c r="K102" s="99"/>
      <c r="L102" s="99"/>
      <c r="M102" s="99"/>
      <c r="N102" s="99"/>
      <c r="O102" s="99"/>
      <c r="P102" s="99"/>
      <c r="Q102" s="99"/>
      <c r="R102" s="99"/>
      <c r="S102" s="99"/>
      <c r="T102" s="103">
        <f t="shared" si="23"/>
        <v>0</v>
      </c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  <c r="AF102" s="143"/>
      <c r="AG102" s="103">
        <f t="shared" si="24"/>
        <v>0</v>
      </c>
      <c r="AH102" s="134">
        <v>920</v>
      </c>
      <c r="AI102" s="136"/>
      <c r="AJ102" s="136"/>
      <c r="AK102" s="105">
        <f t="shared" si="25"/>
        <v>0</v>
      </c>
      <c r="AL102" s="143"/>
      <c r="AM102" s="143"/>
      <c r="AN102" s="143"/>
      <c r="AO102" s="146"/>
      <c r="AP102" s="224">
        <f t="shared" si="26"/>
        <v>0</v>
      </c>
      <c r="AQ102" s="1554">
        <v>1730.2</v>
      </c>
      <c r="AR102" s="1709"/>
      <c r="AS102" s="1546"/>
      <c r="AT102" s="1546"/>
      <c r="AU102" s="1546"/>
      <c r="AV102" s="1546"/>
      <c r="AW102" s="1546"/>
      <c r="AX102" s="1709"/>
      <c r="AY102" s="1709"/>
      <c r="AZ102" s="1709"/>
      <c r="BA102" s="1709"/>
      <c r="BB102" s="222">
        <f t="shared" si="27"/>
        <v>0</v>
      </c>
      <c r="BC102" s="140">
        <f t="shared" si="28"/>
        <v>0</v>
      </c>
      <c r="BD102" s="132"/>
      <c r="BE102" s="140">
        <f t="shared" si="29"/>
        <v>0</v>
      </c>
      <c r="BF102" s="141"/>
      <c r="BG102" s="141"/>
      <c r="BH102" s="141"/>
      <c r="BI102" s="141"/>
      <c r="BJ102" s="141"/>
      <c r="BK102" s="141"/>
      <c r="BL102" s="141"/>
      <c r="BM102" s="141"/>
      <c r="BN102" s="141"/>
      <c r="BO102" s="141"/>
      <c r="BP102" s="141"/>
      <c r="BQ102" s="141"/>
      <c r="BR102" s="141"/>
      <c r="BS102" s="130">
        <f t="shared" si="30"/>
        <v>0</v>
      </c>
      <c r="BT102" s="132"/>
    </row>
    <row r="103" ht="14.25" customHeight="1">
      <c r="A103" s="132"/>
      <c r="B103" s="215">
        <v>46112</v>
      </c>
      <c r="C103" s="154">
        <f>1393.22-0-0</f>
      </c>
      <c r="D103" s="159"/>
      <c r="E103" s="156"/>
      <c r="F103" s="156"/>
      <c r="G103" s="147">
        <f t="shared" si="22"/>
        <v>0</v>
      </c>
      <c r="H103" s="656"/>
      <c r="I103" s="657"/>
      <c r="J103" s="657"/>
      <c r="K103" s="657"/>
      <c r="L103" s="657"/>
      <c r="M103" s="657"/>
      <c r="N103" s="657"/>
      <c r="O103" s="657"/>
      <c r="P103" s="657"/>
      <c r="Q103" s="657"/>
      <c r="R103" s="657"/>
      <c r="S103" s="657"/>
      <c r="T103" s="103">
        <f t="shared" si="23"/>
        <v>0</v>
      </c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03">
        <f t="shared" si="24"/>
        <v>0</v>
      </c>
      <c r="AH103" s="154">
        <v>260</v>
      </c>
      <c r="AI103" s="159"/>
      <c r="AJ103" s="159"/>
      <c r="AK103" s="105">
        <f t="shared" si="25"/>
        <v>0</v>
      </c>
      <c r="AL103" s="157"/>
      <c r="AM103" s="157"/>
      <c r="AN103" s="157"/>
      <c r="AO103" s="160"/>
      <c r="AP103" s="232">
        <f t="shared" si="26"/>
        <v>0</v>
      </c>
      <c r="AQ103" s="1642">
        <v>1133.2</v>
      </c>
      <c r="AR103" s="1720"/>
      <c r="AS103" s="1557"/>
      <c r="AT103" s="1557"/>
      <c r="AU103" s="1546"/>
      <c r="AV103" s="1546"/>
      <c r="AW103" s="1557"/>
      <c r="AX103" s="1720"/>
      <c r="AY103" s="1720"/>
      <c r="AZ103" s="1720"/>
      <c r="BA103" s="1720"/>
      <c r="BB103" s="222">
        <f t="shared" si="27"/>
        <v>0</v>
      </c>
      <c r="BC103" s="162">
        <f t="shared" si="28"/>
        <v>0</v>
      </c>
      <c r="BD103" s="132"/>
      <c r="BE103" s="162">
        <f t="shared" si="29"/>
        <v>0</v>
      </c>
      <c r="BF103" s="163"/>
      <c r="BG103" s="163"/>
      <c r="BH103" s="163"/>
      <c r="BI103" s="163"/>
      <c r="BJ103" s="163"/>
      <c r="BK103" s="163"/>
      <c r="BL103" s="163"/>
      <c r="BM103" s="163"/>
      <c r="BN103" s="163"/>
      <c r="BO103" s="141"/>
      <c r="BP103" s="163"/>
      <c r="BQ103" s="163"/>
      <c r="BR103" s="163"/>
      <c r="BS103" s="164">
        <f t="shared" si="30"/>
        <v>0</v>
      </c>
      <c r="BT103" s="132"/>
    </row>
    <row r="104" ht="14.25" customHeight="1">
      <c r="A104" s="3"/>
      <c r="B104" s="2" t="s">
        <v>259</v>
      </c>
      <c r="C104" s="166">
        <f ref="C104:BC104" t="shared" si="31">SUM(C73:C103)</f>
        <v>0</v>
      </c>
      <c r="D104" s="166">
        <f t="shared" si="31"/>
        <v>0</v>
      </c>
      <c r="E104" s="166">
        <f t="shared" si="31"/>
        <v>0</v>
      </c>
      <c r="F104" s="166">
        <f t="shared" si="31"/>
        <v>0</v>
      </c>
      <c r="G104" s="166">
        <f t="shared" si="31"/>
        <v>0</v>
      </c>
      <c r="H104" s="166">
        <f t="shared" si="31"/>
        <v>0</v>
      </c>
      <c r="I104" s="166">
        <f t="shared" si="31"/>
        <v>0</v>
      </c>
      <c r="J104" s="166">
        <f t="shared" si="31"/>
        <v>0</v>
      </c>
      <c r="K104" s="166">
        <f t="shared" si="31"/>
        <v>0</v>
      </c>
      <c r="L104" s="166">
        <f t="shared" si="31"/>
        <v>0</v>
      </c>
      <c r="M104" s="166">
        <f t="shared" si="31"/>
        <v>0</v>
      </c>
      <c r="N104" s="166">
        <f t="shared" si="31"/>
        <v>0</v>
      </c>
      <c r="O104" s="166">
        <f t="shared" si="31"/>
        <v>0</v>
      </c>
      <c r="P104" s="166">
        <f t="shared" si="31"/>
        <v>0</v>
      </c>
      <c r="Q104" s="166">
        <f t="shared" si="31"/>
        <v>0</v>
      </c>
      <c r="R104" s="166">
        <f t="shared" si="31"/>
        <v>0</v>
      </c>
      <c r="S104" s="166">
        <f t="shared" si="31"/>
        <v>0</v>
      </c>
      <c r="T104" s="166">
        <f t="shared" si="31"/>
        <v>0</v>
      </c>
      <c r="U104" s="166">
        <f t="shared" si="31"/>
        <v>0</v>
      </c>
      <c r="V104" s="166">
        <f t="shared" si="31"/>
        <v>0</v>
      </c>
      <c r="W104" s="166">
        <f t="shared" si="31"/>
        <v>0</v>
      </c>
      <c r="X104" s="166">
        <f t="shared" si="31"/>
        <v>0</v>
      </c>
      <c r="Y104" s="166">
        <f t="shared" si="31"/>
        <v>0</v>
      </c>
      <c r="Z104" s="166">
        <f t="shared" si="31"/>
        <v>0</v>
      </c>
      <c r="AA104" s="166">
        <f t="shared" si="31"/>
        <v>0</v>
      </c>
      <c r="AB104" s="166">
        <f t="shared" si="31"/>
        <v>0</v>
      </c>
      <c r="AC104" s="166">
        <f t="shared" si="31"/>
        <v>0</v>
      </c>
      <c r="AD104" s="166">
        <f t="shared" si="31"/>
        <v>0</v>
      </c>
      <c r="AE104" s="166">
        <f t="shared" si="31"/>
        <v>0</v>
      </c>
      <c r="AF104" s="166">
        <f t="shared" si="31"/>
        <v>0</v>
      </c>
      <c r="AG104" s="166">
        <f t="shared" si="31"/>
        <v>0</v>
      </c>
      <c r="AH104" s="166">
        <f t="shared" si="31"/>
        <v>0</v>
      </c>
      <c r="AI104" s="166">
        <f t="shared" si="31"/>
        <v>0</v>
      </c>
      <c r="AJ104" s="166">
        <f t="shared" si="31"/>
        <v>0</v>
      </c>
      <c r="AK104" s="166">
        <f t="shared" si="31"/>
        <v>0</v>
      </c>
      <c r="AL104" s="166">
        <f t="shared" si="31"/>
        <v>0</v>
      </c>
      <c r="AM104" s="166">
        <f t="shared" si="31"/>
        <v>0</v>
      </c>
      <c r="AN104" s="166">
        <f t="shared" si="31"/>
        <v>0</v>
      </c>
      <c r="AO104" s="166">
        <f t="shared" si="31"/>
        <v>0</v>
      </c>
      <c r="AP104" s="166">
        <f t="shared" si="31"/>
        <v>0</v>
      </c>
      <c r="AQ104" s="165">
        <f t="shared" si="31"/>
        <v>0</v>
      </c>
      <c r="AR104" s="166">
        <f t="shared" si="31"/>
        <v>0</v>
      </c>
      <c r="AS104" s="166">
        <f t="shared" si="31"/>
        <v>0</v>
      </c>
      <c r="AT104" s="166">
        <f t="shared" si="31"/>
        <v>0</v>
      </c>
      <c r="AU104" s="166">
        <f t="shared" si="31"/>
        <v>0</v>
      </c>
      <c r="AV104" s="166">
        <f t="shared" si="31"/>
        <v>0</v>
      </c>
      <c r="AW104" s="166">
        <f t="shared" si="31"/>
        <v>0</v>
      </c>
      <c r="AX104" s="166">
        <f t="shared" si="31"/>
        <v>0</v>
      </c>
      <c r="AY104" s="166">
        <f t="shared" si="31"/>
        <v>0</v>
      </c>
      <c r="AZ104" s="166">
        <f t="shared" si="31"/>
        <v>0</v>
      </c>
      <c r="BA104" s="166">
        <f t="shared" si="31"/>
        <v>0</v>
      </c>
      <c r="BB104" s="166">
        <f t="shared" si="31"/>
        <v>0</v>
      </c>
      <c r="BC104" s="166">
        <f t="shared" si="31"/>
        <v>0</v>
      </c>
      <c r="BD104" s="132"/>
      <c r="BE104" s="166">
        <f ref="BE104:BS104" t="shared" si="32">SUM(BE73:BE103)</f>
        <v>0</v>
      </c>
      <c r="BF104" s="166">
        <f t="shared" si="32"/>
        <v>0</v>
      </c>
      <c r="BG104" s="166">
        <f t="shared" si="32"/>
        <v>0</v>
      </c>
      <c r="BH104" s="166">
        <f t="shared" si="32"/>
        <v>0</v>
      </c>
      <c r="BI104" s="166">
        <f t="shared" si="32"/>
        <v>0</v>
      </c>
      <c r="BJ104" s="166">
        <f t="shared" si="32"/>
        <v>0</v>
      </c>
      <c r="BK104" s="166">
        <f t="shared" si="32"/>
        <v>0</v>
      </c>
      <c r="BL104" s="166">
        <f t="shared" si="32"/>
        <v>0</v>
      </c>
      <c r="BM104" s="166">
        <f t="shared" si="32"/>
        <v>0</v>
      </c>
      <c r="BN104" s="166">
        <f t="shared" si="32"/>
        <v>0</v>
      </c>
      <c r="BO104" s="166">
        <f t="shared" si="32"/>
        <v>0</v>
      </c>
      <c r="BP104" s="166">
        <f t="shared" si="32"/>
        <v>0</v>
      </c>
      <c r="BQ104" s="166">
        <f t="shared" si="32"/>
        <v>0</v>
      </c>
      <c r="BR104" s="166">
        <f t="shared" si="32"/>
        <v>0</v>
      </c>
      <c r="BS104" s="166">
        <f t="shared" si="32"/>
        <v>0</v>
      </c>
      <c r="BT104" s="132"/>
    </row>
    <row r="105" ht="14.25" customHeight="1">
      <c r="A105" s="1"/>
      <c r="B105" s="2"/>
      <c r="C105" s="3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4"/>
      <c r="AL105" s="3"/>
      <c r="AM105" s="3"/>
      <c r="AN105" s="3"/>
      <c r="AO105" s="3"/>
      <c r="AP105" s="4"/>
      <c r="AQ105" s="3"/>
      <c r="AR105" s="132"/>
      <c r="AS105" s="132"/>
      <c r="AT105" s="3"/>
      <c r="AU105" s="3"/>
      <c r="AV105" s="3"/>
      <c r="AW105" s="132"/>
      <c r="AX105" s="132"/>
      <c r="AY105" s="132"/>
      <c r="AZ105" s="132"/>
      <c r="BA105" s="132"/>
      <c r="BB105" s="4"/>
      <c r="BC105" s="3"/>
      <c r="BD105" s="132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ht="14.25" customHeight="1">
      <c r="A106" s="1"/>
      <c r="B106" s="2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176"/>
      <c r="AH106" s="3"/>
      <c r="AI106" s="3"/>
      <c r="AJ106" s="3"/>
      <c r="AK106" s="4"/>
      <c r="AL106" s="3"/>
      <c r="AM106" s="3"/>
      <c r="AN106" s="3"/>
      <c r="AO106" s="3"/>
      <c r="AP106" s="177"/>
      <c r="AQ106" s="4"/>
      <c r="AR106" s="177"/>
      <c r="AS106" s="177"/>
      <c r="AT106" s="177"/>
      <c r="AU106" s="177"/>
      <c r="AV106" s="177"/>
      <c r="AW106" s="177"/>
      <c r="AX106" s="177"/>
      <c r="AY106" s="4"/>
      <c r="AZ106" s="132"/>
      <c r="BA106" s="132"/>
      <c r="BB106" s="177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ht="14.25" customHeight="1">
      <c r="A107" s="3"/>
      <c r="B107" s="215">
        <v>46113</v>
      </c>
      <c r="C107" s="95">
        <f>1945.99-0-0</f>
      </c>
      <c r="D107" s="104"/>
      <c r="E107" s="97"/>
      <c r="F107" s="97"/>
      <c r="G107" s="265">
        <f ref="G107:G136" t="shared" si="33">+C107+D107+E107+F107</f>
        <v>0</v>
      </c>
      <c r="H107" s="187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03">
        <f ref="T107:T136" t="shared" si="34">SUM(H107:S107)</f>
        <v>0</v>
      </c>
      <c r="U107" s="186"/>
      <c r="V107" s="186"/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03">
        <f ref="AG107:AG136" t="shared" si="35">SUM(U107:AF107)</f>
        <v>0</v>
      </c>
      <c r="AH107" s="95">
        <v>455</v>
      </c>
      <c r="AI107" s="104"/>
      <c r="AJ107" s="104"/>
      <c r="AK107" s="191">
        <f ref="AK107:AK136" t="shared" si="36">SUM(AH107:AJ107)</f>
        <v>0</v>
      </c>
      <c r="AL107" s="186"/>
      <c r="AM107" s="186"/>
      <c r="AN107" s="186"/>
      <c r="AO107" s="193"/>
      <c r="AP107" s="224">
        <f ref="AP107:AP136" t="shared" si="37">+G107-T107-AG107-AK107-AL107-AM107-AN107-AO107</f>
        <v>0</v>
      </c>
      <c r="AQ107" s="1870">
        <v>1491</v>
      </c>
      <c r="AR107" s="1708"/>
      <c r="AS107" s="1546"/>
      <c r="AT107" s="1709"/>
      <c r="AU107" s="1546"/>
      <c r="AV107" s="1546"/>
      <c r="AW107" s="1537"/>
      <c r="AX107" s="1708"/>
      <c r="AY107" s="1708"/>
      <c r="AZ107" s="1708"/>
      <c r="BA107" s="1708"/>
      <c r="BB107" s="222">
        <f ref="BB107:BB136" t="shared" si="38">SUM(AQ107:BA107)-AZ107</f>
        <v>0</v>
      </c>
      <c r="BC107" s="114">
        <f ref="BC107:BC136" t="shared" si="39">+AP107-BB107</f>
        <v>0</v>
      </c>
      <c r="BD107" s="3"/>
      <c r="BE107" s="114">
        <f ref="BE107:BE136" t="shared" si="40">SUM(BF107:BR107)</f>
        <v>0</v>
      </c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6">
        <f ref="BS107:BS136" t="shared" si="41">+BC107-BE107</f>
        <v>0</v>
      </c>
      <c r="BT107" s="3"/>
    </row>
    <row r="108" ht="14.25" customHeight="1">
      <c r="A108" s="3"/>
      <c r="B108" s="215">
        <v>46114</v>
      </c>
      <c r="C108" s="119">
        <f>3056.93-0-0</f>
      </c>
      <c r="D108" s="123"/>
      <c r="E108" s="120"/>
      <c r="F108" s="120"/>
      <c r="G108" s="147">
        <f t="shared" si="33"/>
        <v>0</v>
      </c>
      <c r="H108" s="144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03">
        <f t="shared" si="34"/>
        <v>0</v>
      </c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  <c r="AF108" s="143"/>
      <c r="AG108" s="103">
        <f t="shared" si="35"/>
        <v>0</v>
      </c>
      <c r="AH108" s="119">
        <v>435.31</v>
      </c>
      <c r="AI108" s="123"/>
      <c r="AJ108" s="123"/>
      <c r="AK108" s="105">
        <f t="shared" si="36"/>
        <v>0</v>
      </c>
      <c r="AL108" s="143"/>
      <c r="AM108" s="143"/>
      <c r="AN108" s="143"/>
      <c r="AO108" s="146"/>
      <c r="AP108" s="224">
        <f t="shared" si="37"/>
        <v>0</v>
      </c>
      <c r="AQ108" s="1625">
        <v>2621.6</v>
      </c>
      <c r="AR108" s="1709"/>
      <c r="AS108" s="1546"/>
      <c r="AT108" s="1546"/>
      <c r="AU108" s="1546"/>
      <c r="AV108" s="1546"/>
      <c r="AW108" s="1546"/>
      <c r="AX108" s="1709"/>
      <c r="AY108" s="1709"/>
      <c r="AZ108" s="1709"/>
      <c r="BA108" s="1709"/>
      <c r="BB108" s="222">
        <f t="shared" si="38"/>
        <v>0</v>
      </c>
      <c r="BC108" s="113">
        <f t="shared" si="39"/>
        <v>0</v>
      </c>
      <c r="BD108" s="3"/>
      <c r="BE108" s="113">
        <f t="shared" si="40"/>
        <v>0</v>
      </c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30">
        <f t="shared" si="41"/>
        <v>0</v>
      </c>
      <c r="BT108" s="3"/>
    </row>
    <row r="109" ht="14.25" customHeight="1">
      <c r="A109" s="132"/>
      <c r="B109" s="215">
        <v>46115</v>
      </c>
      <c r="C109" s="134">
        <f>2765.26-0-0</f>
      </c>
      <c r="D109" s="136"/>
      <c r="E109" s="135"/>
      <c r="F109" s="135"/>
      <c r="G109" s="147">
        <f t="shared" si="33"/>
        <v>0</v>
      </c>
      <c r="H109" s="144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03">
        <f t="shared" si="34"/>
        <v>0</v>
      </c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03">
        <f t="shared" si="35"/>
        <v>0</v>
      </c>
      <c r="AH109" s="134">
        <v>155</v>
      </c>
      <c r="AI109" s="136"/>
      <c r="AJ109" s="136"/>
      <c r="AK109" s="105">
        <f t="shared" si="36"/>
        <v>0</v>
      </c>
      <c r="AL109" s="143"/>
      <c r="AM109" s="143"/>
      <c r="AN109" s="143"/>
      <c r="AO109" s="146"/>
      <c r="AP109" s="224">
        <f t="shared" si="37"/>
        <v>0</v>
      </c>
      <c r="AQ109" s="1625">
        <v>2610.3</v>
      </c>
      <c r="AR109" s="1709"/>
      <c r="AS109" s="1546"/>
      <c r="AT109" s="1546"/>
      <c r="AU109" s="1546"/>
      <c r="AV109" s="1546"/>
      <c r="AW109" s="1546"/>
      <c r="AX109" s="1709"/>
      <c r="AY109" s="1709"/>
      <c r="AZ109" s="1709"/>
      <c r="BA109" s="1709"/>
      <c r="BB109" s="222">
        <f t="shared" si="38"/>
        <v>0</v>
      </c>
      <c r="BC109" s="140">
        <f t="shared" si="39"/>
        <v>0</v>
      </c>
      <c r="BD109" s="132"/>
      <c r="BE109" s="140">
        <f t="shared" si="40"/>
        <v>0</v>
      </c>
      <c r="BF109" s="141"/>
      <c r="BG109" s="141"/>
      <c r="BH109" s="141"/>
      <c r="BI109" s="141"/>
      <c r="BJ109" s="141"/>
      <c r="BK109" s="141"/>
      <c r="BL109" s="141"/>
      <c r="BM109" s="141"/>
      <c r="BN109" s="141"/>
      <c r="BO109" s="141"/>
      <c r="BP109" s="141"/>
      <c r="BQ109" s="141"/>
      <c r="BR109" s="141"/>
      <c r="BS109" s="130">
        <f t="shared" si="41"/>
        <v>0</v>
      </c>
      <c r="BT109" s="132"/>
    </row>
    <row r="110" ht="14.25" customHeight="1">
      <c r="A110" s="132"/>
      <c r="B110" s="215">
        <v>46116</v>
      </c>
      <c r="C110" s="134">
        <f>3786.93-0-0</f>
      </c>
      <c r="D110" s="136"/>
      <c r="E110" s="135"/>
      <c r="F110" s="135"/>
      <c r="G110" s="147">
        <f t="shared" si="33"/>
        <v>0</v>
      </c>
      <c r="H110" s="144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03">
        <f t="shared" si="34"/>
        <v>0</v>
      </c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  <c r="AF110" s="143"/>
      <c r="AG110" s="103">
        <f t="shared" si="35"/>
        <v>0</v>
      </c>
      <c r="AH110" s="134">
        <v>839.5</v>
      </c>
      <c r="AI110" s="136"/>
      <c r="AJ110" s="136"/>
      <c r="AK110" s="105">
        <f t="shared" si="36"/>
        <v>0</v>
      </c>
      <c r="AL110" s="143"/>
      <c r="AM110" s="143"/>
      <c r="AN110" s="143"/>
      <c r="AO110" s="146"/>
      <c r="AP110" s="224">
        <f t="shared" si="37"/>
        <v>0</v>
      </c>
      <c r="AQ110" s="1625">
        <v>2947.4</v>
      </c>
      <c r="AR110" s="1709"/>
      <c r="AS110" s="1709"/>
      <c r="AT110" s="1546"/>
      <c r="AU110" s="1546"/>
      <c r="AV110" s="1546"/>
      <c r="AW110" s="1546"/>
      <c r="AX110" s="1709"/>
      <c r="AY110" s="1709"/>
      <c r="AZ110" s="1709"/>
      <c r="BA110" s="1709"/>
      <c r="BB110" s="222">
        <f t="shared" si="38"/>
        <v>0</v>
      </c>
      <c r="BC110" s="140">
        <f t="shared" si="39"/>
        <v>0</v>
      </c>
      <c r="BD110" s="132"/>
      <c r="BE110" s="140">
        <f t="shared" si="40"/>
        <v>0</v>
      </c>
      <c r="BF110" s="141"/>
      <c r="BG110" s="141"/>
      <c r="BH110" s="141"/>
      <c r="BI110" s="141"/>
      <c r="BJ110" s="141"/>
      <c r="BK110" s="141"/>
      <c r="BL110" s="141"/>
      <c r="BM110" s="141"/>
      <c r="BN110" s="141"/>
      <c r="BO110" s="141"/>
      <c r="BP110" s="141"/>
      <c r="BQ110" s="141"/>
      <c r="BR110" s="141"/>
      <c r="BS110" s="130">
        <f t="shared" si="41"/>
        <v>0</v>
      </c>
      <c r="BT110" s="132"/>
    </row>
    <row r="111" ht="14.25" customHeight="1">
      <c r="A111" s="132"/>
      <c r="B111" s="215">
        <v>46117</v>
      </c>
      <c r="C111" s="134">
        <f>3503.12-0-0</f>
      </c>
      <c r="D111" s="136"/>
      <c r="E111" s="135"/>
      <c r="F111" s="135"/>
      <c r="G111" s="147">
        <f t="shared" si="33"/>
        <v>0</v>
      </c>
      <c r="H111" s="144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03">
        <f t="shared" si="34"/>
        <v>0</v>
      </c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03">
        <f t="shared" si="35"/>
        <v>0</v>
      </c>
      <c r="AH111" s="134">
        <v>771.5</v>
      </c>
      <c r="AI111" s="136"/>
      <c r="AJ111" s="136"/>
      <c r="AK111" s="105">
        <f t="shared" si="36"/>
        <v>0</v>
      </c>
      <c r="AL111" s="143"/>
      <c r="AM111" s="143"/>
      <c r="AN111" s="143"/>
      <c r="AO111" s="146"/>
      <c r="AP111" s="224">
        <f t="shared" si="37"/>
        <v>0</v>
      </c>
      <c r="AQ111" s="1625">
        <v>2731.6</v>
      </c>
      <c r="AR111" s="1709"/>
      <c r="AS111" s="1709"/>
      <c r="AT111" s="1546"/>
      <c r="AU111" s="1546"/>
      <c r="AV111" s="1546"/>
      <c r="AW111" s="1546"/>
      <c r="AX111" s="1709"/>
      <c r="AY111" s="1709"/>
      <c r="AZ111" s="1709"/>
      <c r="BA111" s="1709"/>
      <c r="BB111" s="222">
        <f t="shared" si="38"/>
        <v>0</v>
      </c>
      <c r="BC111" s="140">
        <f t="shared" si="39"/>
        <v>0</v>
      </c>
      <c r="BD111" s="132"/>
      <c r="BE111" s="140">
        <f t="shared" si="40"/>
        <v>0</v>
      </c>
      <c r="BF111" s="141"/>
      <c r="BG111" s="141"/>
      <c r="BH111" s="141"/>
      <c r="BI111" s="141"/>
      <c r="BJ111" s="141"/>
      <c r="BK111" s="141"/>
      <c r="BL111" s="141"/>
      <c r="BM111" s="141"/>
      <c r="BN111" s="141"/>
      <c r="BO111" s="141"/>
      <c r="BP111" s="141"/>
      <c r="BQ111" s="141"/>
      <c r="BR111" s="141"/>
      <c r="BS111" s="130">
        <f t="shared" si="41"/>
        <v>0</v>
      </c>
      <c r="BT111" s="132"/>
    </row>
    <row r="112" ht="14.25" customHeight="1">
      <c r="A112" s="132"/>
      <c r="B112" s="215">
        <v>46118</v>
      </c>
      <c r="C112" s="134">
        <f>8213.39-0-0</f>
      </c>
      <c r="D112" s="136"/>
      <c r="E112" s="135"/>
      <c r="F112" s="135"/>
      <c r="G112" s="147">
        <f t="shared" si="33"/>
        <v>0</v>
      </c>
      <c r="H112" s="144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03">
        <f t="shared" si="34"/>
        <v>0</v>
      </c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03">
        <f t="shared" si="35"/>
        <v>0</v>
      </c>
      <c r="AH112" s="134">
        <v>1624.5</v>
      </c>
      <c r="AI112" s="136"/>
      <c r="AJ112" s="136"/>
      <c r="AK112" s="105">
        <f t="shared" si="36"/>
        <v>0</v>
      </c>
      <c r="AL112" s="143">
        <v>127.5</v>
      </c>
      <c r="AM112" s="143"/>
      <c r="AN112" s="143"/>
      <c r="AO112" s="146"/>
      <c r="AP112" s="224">
        <f t="shared" si="37"/>
        <v>0</v>
      </c>
      <c r="AQ112" s="1625">
        <v>6461.4</v>
      </c>
      <c r="AR112" s="1709"/>
      <c r="AS112" s="1709"/>
      <c r="AT112" s="1546"/>
      <c r="AU112" s="1546"/>
      <c r="AV112" s="1546"/>
      <c r="AW112" s="1546"/>
      <c r="AX112" s="1709"/>
      <c r="AY112" s="1709"/>
      <c r="AZ112" s="1709"/>
      <c r="BA112" s="1709"/>
      <c r="BB112" s="222">
        <f t="shared" si="38"/>
        <v>0</v>
      </c>
      <c r="BC112" s="140">
        <f t="shared" si="39"/>
        <v>0</v>
      </c>
      <c r="BD112" s="132"/>
      <c r="BE112" s="140">
        <f t="shared" si="40"/>
        <v>0</v>
      </c>
      <c r="BF112" s="141"/>
      <c r="BG112" s="141"/>
      <c r="BH112" s="141"/>
      <c r="BI112" s="141"/>
      <c r="BJ112" s="141"/>
      <c r="BK112" s="141"/>
      <c r="BL112" s="141"/>
      <c r="BM112" s="141"/>
      <c r="BN112" s="141"/>
      <c r="BO112" s="141"/>
      <c r="BP112" s="141"/>
      <c r="BQ112" s="141"/>
      <c r="BR112" s="141"/>
      <c r="BS112" s="130">
        <f t="shared" si="41"/>
        <v>0</v>
      </c>
      <c r="BT112" s="132"/>
    </row>
    <row r="113" ht="14.25" customHeight="1">
      <c r="A113" s="132"/>
      <c r="B113" s="215">
        <v>46119</v>
      </c>
      <c r="C113" s="134">
        <f>2414.72-0-0</f>
      </c>
      <c r="D113" s="136"/>
      <c r="E113" s="135"/>
      <c r="F113" s="135"/>
      <c r="G113" s="147">
        <f t="shared" si="33"/>
        <v>0</v>
      </c>
      <c r="H113" s="144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03">
        <f t="shared" si="34"/>
        <v>0</v>
      </c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03">
        <f t="shared" si="35"/>
        <v>0</v>
      </c>
      <c r="AH113" s="134">
        <v>1068.5</v>
      </c>
      <c r="AI113" s="136"/>
      <c r="AJ113" s="136"/>
      <c r="AK113" s="105">
        <f t="shared" si="36"/>
        <v>0</v>
      </c>
      <c r="AL113" s="143"/>
      <c r="AM113" s="143"/>
      <c r="AN113" s="143"/>
      <c r="AO113" s="146"/>
      <c r="AP113" s="224">
        <f t="shared" si="37"/>
        <v>0</v>
      </c>
      <c r="AQ113" s="1625">
        <v>1346.2</v>
      </c>
      <c r="AR113" s="1709"/>
      <c r="AS113" s="1709"/>
      <c r="AT113" s="1546"/>
      <c r="AU113" s="1546"/>
      <c r="AV113" s="1546"/>
      <c r="AW113" s="1546"/>
      <c r="AX113" s="1709"/>
      <c r="AY113" s="1709"/>
      <c r="AZ113" s="1709"/>
      <c r="BA113" s="1709"/>
      <c r="BB113" s="222">
        <f t="shared" si="38"/>
        <v>0</v>
      </c>
      <c r="BC113" s="140">
        <f t="shared" si="39"/>
        <v>0</v>
      </c>
      <c r="BD113" s="132"/>
      <c r="BE113" s="140">
        <f t="shared" si="40"/>
        <v>0</v>
      </c>
      <c r="BF113" s="141"/>
      <c r="BG113" s="141"/>
      <c r="BH113" s="141"/>
      <c r="BI113" s="141"/>
      <c r="BJ113" s="141"/>
      <c r="BK113" s="141"/>
      <c r="BL113" s="141"/>
      <c r="BM113" s="141"/>
      <c r="BN113" s="141"/>
      <c r="BO113" s="141"/>
      <c r="BP113" s="141"/>
      <c r="BQ113" s="141"/>
      <c r="BR113" s="141"/>
      <c r="BS113" s="130">
        <f t="shared" si="41"/>
        <v>0</v>
      </c>
      <c r="BT113" s="132"/>
    </row>
    <row r="114" ht="14.25" customHeight="1">
      <c r="A114" s="132"/>
      <c r="B114" s="215">
        <v>46120</v>
      </c>
      <c r="C114" s="134">
        <f>2212.25-0-0</f>
      </c>
      <c r="D114" s="136"/>
      <c r="E114" s="135"/>
      <c r="F114" s="135"/>
      <c r="G114" s="147">
        <f t="shared" si="33"/>
        <v>0</v>
      </c>
      <c r="H114" s="144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03">
        <f t="shared" si="34"/>
        <v>0</v>
      </c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03">
        <f t="shared" si="35"/>
        <v>0</v>
      </c>
      <c r="AH114" s="134">
        <v>510</v>
      </c>
      <c r="AI114" s="136"/>
      <c r="AJ114" s="136"/>
      <c r="AK114" s="105">
        <f t="shared" si="36"/>
        <v>0</v>
      </c>
      <c r="AL114" s="143"/>
      <c r="AM114" s="143"/>
      <c r="AN114" s="143"/>
      <c r="AO114" s="146"/>
      <c r="AP114" s="224">
        <f t="shared" si="37"/>
        <v>0</v>
      </c>
      <c r="AQ114" s="1625">
        <v>1377.2</v>
      </c>
      <c r="AR114" s="1709"/>
      <c r="AS114" s="1709"/>
      <c r="AT114" s="1546"/>
      <c r="AU114" s="1546"/>
      <c r="AV114" s="1546"/>
      <c r="AW114" s="1546"/>
      <c r="AX114" s="1709"/>
      <c r="AY114" s="1709"/>
      <c r="AZ114" s="1709"/>
      <c r="BA114" s="1709"/>
      <c r="BB114" s="222">
        <f t="shared" si="38"/>
        <v>0</v>
      </c>
      <c r="BC114" s="140">
        <f t="shared" si="39"/>
        <v>0</v>
      </c>
      <c r="BD114" s="132"/>
      <c r="BE114" s="140">
        <f t="shared" si="40"/>
        <v>0</v>
      </c>
      <c r="BF114" s="141"/>
      <c r="BG114" s="141"/>
      <c r="BH114" s="141"/>
      <c r="BI114" s="141"/>
      <c r="BJ114" s="141"/>
      <c r="BK114" s="141"/>
      <c r="BL114" s="141"/>
      <c r="BM114" s="141"/>
      <c r="BN114" s="141"/>
      <c r="BO114" s="141"/>
      <c r="BP114" s="141"/>
      <c r="BQ114" s="150">
        <v>325</v>
      </c>
      <c r="BR114" s="141"/>
      <c r="BS114" s="130">
        <f t="shared" si="41"/>
        <v>0</v>
      </c>
      <c r="BT114" s="132"/>
    </row>
    <row r="115" ht="14.25" customHeight="1">
      <c r="A115" s="132"/>
      <c r="B115" s="215">
        <v>46121</v>
      </c>
      <c r="C115" s="134">
        <f>1805.23-0-0</f>
      </c>
      <c r="D115" s="136"/>
      <c r="E115" s="135"/>
      <c r="F115" s="135"/>
      <c r="G115" s="147">
        <f t="shared" si="33"/>
        <v>0</v>
      </c>
      <c r="H115" s="144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03">
        <f t="shared" si="34"/>
        <v>0</v>
      </c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03">
        <f t="shared" si="35"/>
        <v>0</v>
      </c>
      <c r="AH115" s="134">
        <v>507</v>
      </c>
      <c r="AI115" s="136"/>
      <c r="AJ115" s="136"/>
      <c r="AK115" s="105">
        <f t="shared" si="36"/>
        <v>0</v>
      </c>
      <c r="AL115" s="143"/>
      <c r="AM115" s="143"/>
      <c r="AN115" s="143"/>
      <c r="AO115" s="146"/>
      <c r="AP115" s="224">
        <f t="shared" si="37"/>
        <v>0</v>
      </c>
      <c r="AQ115" s="1625">
        <v>1308.3</v>
      </c>
      <c r="AR115" s="1709"/>
      <c r="AS115" s="1709"/>
      <c r="AT115" s="1546"/>
      <c r="AU115" s="1546"/>
      <c r="AV115" s="1546"/>
      <c r="AW115" s="1546"/>
      <c r="AX115" s="1709"/>
      <c r="AY115" s="1709"/>
      <c r="AZ115" s="1709"/>
      <c r="BA115" s="1709"/>
      <c r="BB115" s="222">
        <f t="shared" si="38"/>
        <v>0</v>
      </c>
      <c r="BC115" s="140">
        <f t="shared" si="39"/>
        <v>0</v>
      </c>
      <c r="BD115" s="132"/>
      <c r="BE115" s="140">
        <f t="shared" si="40"/>
        <v>0</v>
      </c>
      <c r="BF115" s="141"/>
      <c r="BG115" s="141"/>
      <c r="BH115" s="141"/>
      <c r="BI115" s="141"/>
      <c r="BJ115" s="141"/>
      <c r="BK115" s="141"/>
      <c r="BL115" s="141"/>
      <c r="BM115" s="141"/>
      <c r="BN115" s="141"/>
      <c r="BO115" s="141"/>
      <c r="BP115" s="141"/>
      <c r="BQ115" s="141"/>
      <c r="BR115" s="141"/>
      <c r="BS115" s="130">
        <f t="shared" si="41"/>
        <v>0</v>
      </c>
      <c r="BT115" s="132"/>
    </row>
    <row r="116" ht="14.25" customHeight="1">
      <c r="A116" s="132"/>
      <c r="B116" s="215">
        <v>46122</v>
      </c>
      <c r="C116" s="134">
        <f>2582.04-0-0</f>
      </c>
      <c r="D116" s="136"/>
      <c r="E116" s="135"/>
      <c r="F116" s="135"/>
      <c r="G116" s="147">
        <f t="shared" si="33"/>
        <v>0</v>
      </c>
      <c r="H116" s="144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03">
        <f t="shared" si="34"/>
        <v>0</v>
      </c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  <c r="AF116" s="143"/>
      <c r="AG116" s="103">
        <f t="shared" si="35"/>
        <v>0</v>
      </c>
      <c r="AH116" s="134">
        <v>575.5</v>
      </c>
      <c r="AI116" s="136"/>
      <c r="AJ116" s="136"/>
      <c r="AK116" s="105">
        <f t="shared" si="36"/>
        <v>0</v>
      </c>
      <c r="AL116" s="143"/>
      <c r="AM116" s="143"/>
      <c r="AN116" s="143"/>
      <c r="AO116" s="146"/>
      <c r="AP116" s="224">
        <f t="shared" si="37"/>
        <v>0</v>
      </c>
      <c r="AQ116" s="1625">
        <v>2006.5</v>
      </c>
      <c r="AR116" s="1709"/>
      <c r="AS116" s="1709"/>
      <c r="AT116" s="1546"/>
      <c r="AU116" s="1546"/>
      <c r="AV116" s="1546"/>
      <c r="AW116" s="1546"/>
      <c r="AX116" s="1709"/>
      <c r="AY116" s="1709"/>
      <c r="AZ116" s="1709"/>
      <c r="BA116" s="1709"/>
      <c r="BB116" s="222">
        <f t="shared" si="38"/>
        <v>0</v>
      </c>
      <c r="BC116" s="140">
        <f t="shared" si="39"/>
        <v>0</v>
      </c>
      <c r="BD116" s="132"/>
      <c r="BE116" s="140">
        <f t="shared" si="40"/>
        <v>0</v>
      </c>
      <c r="BF116" s="141"/>
      <c r="BG116" s="141"/>
      <c r="BH116" s="141"/>
      <c r="BI116" s="141"/>
      <c r="BJ116" s="141"/>
      <c r="BK116" s="141"/>
      <c r="BL116" s="141"/>
      <c r="BM116" s="141"/>
      <c r="BN116" s="141"/>
      <c r="BO116" s="141"/>
      <c r="BP116" s="141"/>
      <c r="BQ116" s="141"/>
      <c r="BR116" s="141"/>
      <c r="BS116" s="130">
        <f t="shared" si="41"/>
        <v>0</v>
      </c>
      <c r="BT116" s="132"/>
    </row>
    <row r="117" ht="14.25" customHeight="1">
      <c r="A117" s="132"/>
      <c r="B117" s="215">
        <v>46123</v>
      </c>
      <c r="C117" s="134">
        <f>1417.80-0-0</f>
      </c>
      <c r="D117" s="136"/>
      <c r="E117" s="135"/>
      <c r="F117" s="135"/>
      <c r="G117" s="147">
        <f t="shared" si="33"/>
        <v>0</v>
      </c>
      <c r="H117" s="144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03">
        <f t="shared" si="34"/>
        <v>0</v>
      </c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3"/>
      <c r="AG117" s="103">
        <f t="shared" si="35"/>
        <v>0</v>
      </c>
      <c r="AH117" s="134">
        <v>148.5</v>
      </c>
      <c r="AI117" s="136"/>
      <c r="AJ117" s="136"/>
      <c r="AK117" s="105">
        <f t="shared" si="36"/>
        <v>0</v>
      </c>
      <c r="AL117" s="143"/>
      <c r="AM117" s="143"/>
      <c r="AN117" s="143"/>
      <c r="AO117" s="146"/>
      <c r="AP117" s="224">
        <f t="shared" si="37"/>
        <v>0</v>
      </c>
      <c r="AQ117" s="1625">
        <v>1269.4</v>
      </c>
      <c r="AR117" s="1709"/>
      <c r="AS117" s="1709"/>
      <c r="AT117" s="1546"/>
      <c r="AU117" s="1546"/>
      <c r="AV117" s="1546"/>
      <c r="AW117" s="1546"/>
      <c r="AX117" s="1709"/>
      <c r="AY117" s="1709"/>
      <c r="AZ117" s="1709"/>
      <c r="BA117" s="1709"/>
      <c r="BB117" s="222">
        <f t="shared" si="38"/>
        <v>0</v>
      </c>
      <c r="BC117" s="140">
        <f t="shared" si="39"/>
        <v>0</v>
      </c>
      <c r="BD117" s="132"/>
      <c r="BE117" s="140">
        <f t="shared" si="40"/>
        <v>0</v>
      </c>
      <c r="BF117" s="141"/>
      <c r="BG117" s="141"/>
      <c r="BH117" s="141"/>
      <c r="BI117" s="141"/>
      <c r="BJ117" s="141"/>
      <c r="BK117" s="141"/>
      <c r="BL117" s="141"/>
      <c r="BM117" s="141"/>
      <c r="BN117" s="141"/>
      <c r="BO117" s="141"/>
      <c r="BP117" s="141"/>
      <c r="BQ117" s="141"/>
      <c r="BR117" s="141"/>
      <c r="BS117" s="130">
        <f t="shared" si="41"/>
        <v>0</v>
      </c>
      <c r="BT117" s="132"/>
    </row>
    <row r="118" ht="14.25" customHeight="1">
      <c r="A118" s="132"/>
      <c r="B118" s="215">
        <v>46124</v>
      </c>
      <c r="C118" s="134">
        <f>2145.28-0-0</f>
      </c>
      <c r="D118" s="136"/>
      <c r="E118" s="135"/>
      <c r="F118" s="135"/>
      <c r="G118" s="147">
        <f t="shared" si="33"/>
        <v>0</v>
      </c>
      <c r="H118" s="144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03">
        <f t="shared" si="34"/>
        <v>0</v>
      </c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03">
        <f t="shared" si="35"/>
        <v>0</v>
      </c>
      <c r="AH118" s="134">
        <v>540</v>
      </c>
      <c r="AI118" s="136"/>
      <c r="AJ118" s="136"/>
      <c r="AK118" s="105">
        <f t="shared" si="36"/>
        <v>0</v>
      </c>
      <c r="AL118" s="143"/>
      <c r="AM118" s="143"/>
      <c r="AN118" s="143"/>
      <c r="AO118" s="146"/>
      <c r="AP118" s="224">
        <f t="shared" si="37"/>
        <v>0</v>
      </c>
      <c r="AQ118" s="1625">
        <v>1605.3</v>
      </c>
      <c r="AR118" s="1709"/>
      <c r="AS118" s="1709"/>
      <c r="AT118" s="1546"/>
      <c r="AU118" s="1546"/>
      <c r="AV118" s="1546"/>
      <c r="AW118" s="1546"/>
      <c r="AX118" s="1709"/>
      <c r="AY118" s="1709"/>
      <c r="AZ118" s="1709"/>
      <c r="BA118" s="1709"/>
      <c r="BB118" s="222">
        <f t="shared" si="38"/>
        <v>0</v>
      </c>
      <c r="BC118" s="140">
        <f t="shared" si="39"/>
        <v>0</v>
      </c>
      <c r="BD118" s="132"/>
      <c r="BE118" s="140">
        <f t="shared" si="40"/>
        <v>0</v>
      </c>
      <c r="BF118" s="141"/>
      <c r="BG118" s="141"/>
      <c r="BH118" s="141"/>
      <c r="BI118" s="141"/>
      <c r="BJ118" s="141"/>
      <c r="BK118" s="141"/>
      <c r="BL118" s="141"/>
      <c r="BM118" s="141"/>
      <c r="BN118" s="141"/>
      <c r="BO118" s="141"/>
      <c r="BP118" s="141"/>
      <c r="BQ118" s="141"/>
      <c r="BR118" s="141"/>
      <c r="BS118" s="130">
        <f t="shared" si="41"/>
        <v>0</v>
      </c>
      <c r="BT118" s="132"/>
    </row>
    <row r="119" ht="14.25" customHeight="1">
      <c r="A119" s="132"/>
      <c r="B119" s="215">
        <v>46125</v>
      </c>
      <c r="C119" s="134">
        <f>4742.22-0-0</f>
      </c>
      <c r="D119" s="136"/>
      <c r="E119" s="135"/>
      <c r="F119" s="135"/>
      <c r="G119" s="147">
        <f t="shared" si="33"/>
        <v>0</v>
      </c>
      <c r="H119" s="144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03">
        <f t="shared" si="34"/>
        <v>0</v>
      </c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03">
        <f t="shared" si="35"/>
        <v>0</v>
      </c>
      <c r="AH119" s="134">
        <v>3316</v>
      </c>
      <c r="AI119" s="136"/>
      <c r="AJ119" s="136"/>
      <c r="AK119" s="105">
        <f t="shared" si="36"/>
        <v>0</v>
      </c>
      <c r="AL119" s="145">
        <v>24</v>
      </c>
      <c r="AM119" s="143"/>
      <c r="AN119" s="143"/>
      <c r="AO119" s="146"/>
      <c r="AP119" s="224">
        <f t="shared" si="37"/>
        <v>0</v>
      </c>
      <c r="AQ119" s="1628">
        <v>1378.2</v>
      </c>
      <c r="AR119" s="1709"/>
      <c r="AS119" s="1709"/>
      <c r="AT119" s="1546"/>
      <c r="AU119" s="1546"/>
      <c r="AV119" s="1546"/>
      <c r="AW119" s="1546"/>
      <c r="AX119" s="1709"/>
      <c r="AY119" s="1709"/>
      <c r="AZ119" s="1709"/>
      <c r="BA119" s="1709"/>
      <c r="BB119" s="222">
        <f t="shared" si="38"/>
        <v>0</v>
      </c>
      <c r="BC119" s="140">
        <f t="shared" si="39"/>
        <v>0</v>
      </c>
      <c r="BD119" s="132"/>
      <c r="BE119" s="140">
        <f t="shared" si="40"/>
        <v>0</v>
      </c>
      <c r="BF119" s="141"/>
      <c r="BG119" s="141"/>
      <c r="BH119" s="141"/>
      <c r="BI119" s="141"/>
      <c r="BJ119" s="141"/>
      <c r="BK119" s="141"/>
      <c r="BL119" s="141"/>
      <c r="BM119" s="141"/>
      <c r="BN119" s="141"/>
      <c r="BO119" s="141"/>
      <c r="BP119" s="141"/>
      <c r="BQ119" s="141"/>
      <c r="BR119" s="141"/>
      <c r="BS119" s="130">
        <f t="shared" si="41"/>
        <v>0</v>
      </c>
      <c r="BT119" s="132"/>
    </row>
    <row r="120" ht="14.25" customHeight="1">
      <c r="A120" s="132"/>
      <c r="B120" s="215">
        <v>46126</v>
      </c>
      <c r="C120" s="134">
        <f>3573.31-0-0</f>
      </c>
      <c r="D120" s="136"/>
      <c r="E120" s="135"/>
      <c r="F120" s="135"/>
      <c r="G120" s="147">
        <f t="shared" si="33"/>
        <v>0</v>
      </c>
      <c r="H120" s="144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03">
        <f t="shared" si="34"/>
        <v>0</v>
      </c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03">
        <f t="shared" si="35"/>
        <v>0</v>
      </c>
      <c r="AH120" s="134">
        <v>694</v>
      </c>
      <c r="AI120" s="136"/>
      <c r="AJ120" s="136"/>
      <c r="AK120" s="105">
        <f t="shared" si="36"/>
        <v>0</v>
      </c>
      <c r="AL120" s="143"/>
      <c r="AM120" s="143"/>
      <c r="AN120" s="143"/>
      <c r="AO120" s="146"/>
      <c r="AP120" s="224">
        <f t="shared" si="37"/>
        <v>0</v>
      </c>
      <c r="AQ120" s="1625">
        <v>2879.3</v>
      </c>
      <c r="AR120" s="1709"/>
      <c r="AS120" s="1709"/>
      <c r="AT120" s="1546"/>
      <c r="AU120" s="1546"/>
      <c r="AV120" s="1546"/>
      <c r="AW120" s="1546"/>
      <c r="AX120" s="1709"/>
      <c r="AY120" s="1709"/>
      <c r="AZ120" s="1709"/>
      <c r="BA120" s="1709"/>
      <c r="BB120" s="222">
        <f t="shared" si="38"/>
        <v>0</v>
      </c>
      <c r="BC120" s="140">
        <f t="shared" si="39"/>
        <v>0</v>
      </c>
      <c r="BD120" s="132"/>
      <c r="BE120" s="140">
        <f t="shared" si="40"/>
        <v>0</v>
      </c>
      <c r="BF120" s="141"/>
      <c r="BG120" s="141"/>
      <c r="BH120" s="141"/>
      <c r="BI120" s="141"/>
      <c r="BJ120" s="141"/>
      <c r="BK120" s="141"/>
      <c r="BL120" s="141"/>
      <c r="BM120" s="141"/>
      <c r="BN120" s="141"/>
      <c r="BO120" s="141"/>
      <c r="BP120" s="141"/>
      <c r="BQ120" s="141"/>
      <c r="BR120" s="141"/>
      <c r="BS120" s="130">
        <f t="shared" si="41"/>
        <v>0</v>
      </c>
      <c r="BT120" s="132"/>
    </row>
    <row r="121" ht="14.25" customHeight="1">
      <c r="A121" s="132"/>
      <c r="B121" s="215">
        <v>46127</v>
      </c>
      <c r="C121" s="134">
        <f>1791.24-0-0</f>
      </c>
      <c r="D121" s="136"/>
      <c r="E121" s="135"/>
      <c r="F121" s="135"/>
      <c r="G121" s="147">
        <f t="shared" si="33"/>
        <v>0</v>
      </c>
      <c r="H121" s="144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03">
        <f t="shared" si="34"/>
        <v>0</v>
      </c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03">
        <f t="shared" si="35"/>
        <v>0</v>
      </c>
      <c r="AH121" s="134">
        <v>445</v>
      </c>
      <c r="AI121" s="136"/>
      <c r="AJ121" s="136"/>
      <c r="AK121" s="105">
        <f t="shared" si="36"/>
        <v>0</v>
      </c>
      <c r="AL121" s="143"/>
      <c r="AM121" s="143"/>
      <c r="AN121" s="143"/>
      <c r="AO121" s="146"/>
      <c r="AP121" s="224">
        <f t="shared" si="37"/>
        <v>0</v>
      </c>
      <c r="AQ121" s="1625">
        <v>1346.2</v>
      </c>
      <c r="AR121" s="1709"/>
      <c r="AS121" s="1709"/>
      <c r="AT121" s="1546"/>
      <c r="AU121" s="1546"/>
      <c r="AV121" s="1546"/>
      <c r="AW121" s="1546"/>
      <c r="AX121" s="1709"/>
      <c r="AY121" s="1709"/>
      <c r="AZ121" s="1709"/>
      <c r="BA121" s="1709"/>
      <c r="BB121" s="222">
        <f t="shared" si="38"/>
        <v>0</v>
      </c>
      <c r="BC121" s="140">
        <f t="shared" si="39"/>
        <v>0</v>
      </c>
      <c r="BD121" s="132"/>
      <c r="BE121" s="140">
        <f t="shared" si="40"/>
        <v>0</v>
      </c>
      <c r="BF121" s="141"/>
      <c r="BG121" s="141"/>
      <c r="BH121" s="141"/>
      <c r="BI121" s="141"/>
      <c r="BJ121" s="141"/>
      <c r="BK121" s="141"/>
      <c r="BL121" s="141"/>
      <c r="BM121" s="141"/>
      <c r="BN121" s="141"/>
      <c r="BO121" s="141"/>
      <c r="BP121" s="141"/>
      <c r="BQ121" s="141"/>
      <c r="BR121" s="141"/>
      <c r="BS121" s="130">
        <f t="shared" si="41"/>
        <v>0</v>
      </c>
      <c r="BT121" s="132"/>
    </row>
    <row r="122" ht="14.25" customHeight="1">
      <c r="A122" s="132"/>
      <c r="B122" s="215">
        <v>46128</v>
      </c>
      <c r="C122" s="134">
        <f>1914.50-0-0</f>
      </c>
      <c r="D122" s="136"/>
      <c r="E122" s="135"/>
      <c r="F122" s="135"/>
      <c r="G122" s="147">
        <f t="shared" si="33"/>
        <v>0</v>
      </c>
      <c r="H122" s="144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03">
        <f t="shared" si="34"/>
        <v>0</v>
      </c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03">
        <f t="shared" si="35"/>
        <v>0</v>
      </c>
      <c r="AH122" s="134">
        <v>390</v>
      </c>
      <c r="AI122" s="136"/>
      <c r="AJ122" s="136"/>
      <c r="AK122" s="105">
        <f t="shared" si="36"/>
        <v>0</v>
      </c>
      <c r="AL122" s="143"/>
      <c r="AM122" s="143"/>
      <c r="AN122" s="143"/>
      <c r="AO122" s="146"/>
      <c r="AP122" s="224">
        <f t="shared" si="37"/>
        <v>0</v>
      </c>
      <c r="AQ122" s="1625">
        <v>1524.5</v>
      </c>
      <c r="AR122" s="1709"/>
      <c r="AS122" s="1709"/>
      <c r="AT122" s="1546"/>
      <c r="AU122" s="1546"/>
      <c r="AV122" s="1546"/>
      <c r="AW122" s="1546"/>
      <c r="AX122" s="1709"/>
      <c r="AY122" s="1709"/>
      <c r="AZ122" s="1709"/>
      <c r="BA122" s="1709"/>
      <c r="BB122" s="222">
        <f t="shared" si="38"/>
        <v>0</v>
      </c>
      <c r="BC122" s="140">
        <f t="shared" si="39"/>
        <v>0</v>
      </c>
      <c r="BD122" s="132"/>
      <c r="BE122" s="140">
        <f t="shared" si="40"/>
        <v>0</v>
      </c>
      <c r="BF122" s="141"/>
      <c r="BG122" s="141"/>
      <c r="BH122" s="141"/>
      <c r="BI122" s="141"/>
      <c r="BJ122" s="141"/>
      <c r="BK122" s="141"/>
      <c r="BL122" s="141"/>
      <c r="BM122" s="141"/>
      <c r="BN122" s="141"/>
      <c r="BO122" s="141"/>
      <c r="BP122" s="141"/>
      <c r="BQ122" s="141"/>
      <c r="BR122" s="141"/>
      <c r="BS122" s="130">
        <f t="shared" si="41"/>
        <v>0</v>
      </c>
      <c r="BT122" s="132"/>
    </row>
    <row r="123" ht="14.25" customHeight="1">
      <c r="A123" s="132"/>
      <c r="B123" s="215">
        <v>46129</v>
      </c>
      <c r="C123" s="134">
        <f>5401.00-0-0</f>
      </c>
      <c r="D123" s="136"/>
      <c r="E123" s="135"/>
      <c r="F123" s="135"/>
      <c r="G123" s="147">
        <f t="shared" si="33"/>
        <v>0</v>
      </c>
      <c r="H123" s="144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03">
        <f t="shared" si="34"/>
        <v>0</v>
      </c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  <c r="AF123" s="143"/>
      <c r="AG123" s="103">
        <f t="shared" si="35"/>
        <v>0</v>
      </c>
      <c r="AH123" s="134">
        <v>369</v>
      </c>
      <c r="AI123" s="136"/>
      <c r="AJ123" s="136"/>
      <c r="AK123" s="105">
        <f t="shared" si="36"/>
        <v>0</v>
      </c>
      <c r="AL123" s="143"/>
      <c r="AM123" s="143"/>
      <c r="AN123" s="143"/>
      <c r="AO123" s="146"/>
      <c r="AP123" s="224">
        <f t="shared" si="37"/>
        <v>0</v>
      </c>
      <c r="AQ123" s="1625">
        <v>5032</v>
      </c>
      <c r="AR123" s="1709"/>
      <c r="AS123" s="1709"/>
      <c r="AT123" s="1546"/>
      <c r="AU123" s="1546"/>
      <c r="AV123" s="1546"/>
      <c r="AW123" s="1546"/>
      <c r="AX123" s="1709"/>
      <c r="AY123" s="1709"/>
      <c r="AZ123" s="1709"/>
      <c r="BA123" s="1709"/>
      <c r="BB123" s="222">
        <f t="shared" si="38"/>
        <v>0</v>
      </c>
      <c r="BC123" s="140">
        <f t="shared" si="39"/>
        <v>0</v>
      </c>
      <c r="BD123" s="132"/>
      <c r="BE123" s="140">
        <f t="shared" si="40"/>
        <v>0</v>
      </c>
      <c r="BF123" s="141"/>
      <c r="BG123" s="141"/>
      <c r="BH123" s="141"/>
      <c r="BI123" s="141"/>
      <c r="BJ123" s="141"/>
      <c r="BK123" s="141"/>
      <c r="BL123" s="141"/>
      <c r="BM123" s="141"/>
      <c r="BN123" s="141"/>
      <c r="BO123" s="141"/>
      <c r="BP123" s="141"/>
      <c r="BQ123" s="141"/>
      <c r="BR123" s="141"/>
      <c r="BS123" s="130">
        <f t="shared" si="41"/>
        <v>0</v>
      </c>
      <c r="BT123" s="132"/>
    </row>
    <row r="124" ht="14.25" customHeight="1">
      <c r="A124" s="132"/>
      <c r="B124" s="215">
        <v>46130</v>
      </c>
      <c r="C124" s="134">
        <f>1984.75-0-0</f>
      </c>
      <c r="D124" s="136"/>
      <c r="E124" s="135"/>
      <c r="F124" s="135"/>
      <c r="G124" s="147">
        <f t="shared" si="33"/>
        <v>0</v>
      </c>
      <c r="H124" s="144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03">
        <f t="shared" si="34"/>
        <v>0</v>
      </c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  <c r="AF124" s="143"/>
      <c r="AG124" s="103">
        <f t="shared" si="35"/>
        <v>0</v>
      </c>
      <c r="AH124" s="134">
        <v>456</v>
      </c>
      <c r="AI124" s="136"/>
      <c r="AJ124" s="136"/>
      <c r="AK124" s="105">
        <f t="shared" si="36"/>
        <v>0</v>
      </c>
      <c r="AL124" s="143"/>
      <c r="AM124" s="143"/>
      <c r="AN124" s="143"/>
      <c r="AO124" s="146"/>
      <c r="AP124" s="224">
        <f t="shared" si="37"/>
        <v>0</v>
      </c>
      <c r="AQ124" s="1625">
        <v>1203.8</v>
      </c>
      <c r="AR124" s="1709"/>
      <c r="AS124" s="1709"/>
      <c r="AT124" s="1546"/>
      <c r="AU124" s="1546"/>
      <c r="AV124" s="1626"/>
      <c r="AW124" s="1546"/>
      <c r="AX124" s="1709"/>
      <c r="AY124" s="1709"/>
      <c r="AZ124" s="1709"/>
      <c r="BA124" s="1709"/>
      <c r="BB124" s="222">
        <f t="shared" si="38"/>
        <v>0</v>
      </c>
      <c r="BC124" s="140">
        <f t="shared" si="39"/>
        <v>0</v>
      </c>
      <c r="BD124" s="132"/>
      <c r="BE124" s="140">
        <f t="shared" si="40"/>
        <v>0</v>
      </c>
      <c r="BF124" s="141"/>
      <c r="BG124" s="141"/>
      <c r="BH124" s="141"/>
      <c r="BI124" s="141"/>
      <c r="BJ124" s="141"/>
      <c r="BK124" s="141"/>
      <c r="BL124" s="141"/>
      <c r="BM124" s="141"/>
      <c r="BN124" s="141"/>
      <c r="BO124" s="141"/>
      <c r="BP124" s="141"/>
      <c r="BQ124" s="141">
        <v>325</v>
      </c>
      <c r="BR124" s="141"/>
      <c r="BS124" s="130">
        <f t="shared" si="41"/>
        <v>0</v>
      </c>
      <c r="BT124" s="132"/>
    </row>
    <row r="125" ht="14.25" customHeight="1">
      <c r="A125" s="132"/>
      <c r="B125" s="215">
        <v>46131</v>
      </c>
      <c r="C125" s="134">
        <f>2736.60-0-0</f>
      </c>
      <c r="D125" s="136"/>
      <c r="E125" s="135"/>
      <c r="F125" s="135"/>
      <c r="G125" s="147">
        <f t="shared" si="33"/>
        <v>0</v>
      </c>
      <c r="H125" s="144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03">
        <f t="shared" si="34"/>
        <v>0</v>
      </c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3"/>
      <c r="AG125" s="103">
        <f t="shared" si="35"/>
        <v>0</v>
      </c>
      <c r="AH125" s="134">
        <v>966</v>
      </c>
      <c r="AI125" s="136"/>
      <c r="AJ125" s="136"/>
      <c r="AK125" s="105">
        <f t="shared" si="36"/>
        <v>0</v>
      </c>
      <c r="AL125" s="143"/>
      <c r="AM125" s="143"/>
      <c r="AN125" s="143"/>
      <c r="AO125" s="146"/>
      <c r="AP125" s="224">
        <f t="shared" si="37"/>
        <v>0</v>
      </c>
      <c r="AQ125" s="1625">
        <v>1770.6</v>
      </c>
      <c r="AR125" s="1709"/>
      <c r="AS125" s="1709"/>
      <c r="AT125" s="1546"/>
      <c r="AU125" s="1546"/>
      <c r="AV125" s="1546"/>
      <c r="AW125" s="1546"/>
      <c r="AX125" s="1709"/>
      <c r="AY125" s="1709"/>
      <c r="AZ125" s="1709"/>
      <c r="BA125" s="1709"/>
      <c r="BB125" s="222">
        <f t="shared" si="38"/>
        <v>0</v>
      </c>
      <c r="BC125" s="140">
        <f t="shared" si="39"/>
        <v>0</v>
      </c>
      <c r="BD125" s="132"/>
      <c r="BE125" s="140">
        <f t="shared" si="40"/>
        <v>0</v>
      </c>
      <c r="BF125" s="141"/>
      <c r="BG125" s="141"/>
      <c r="BH125" s="141"/>
      <c r="BI125" s="141"/>
      <c r="BJ125" s="141"/>
      <c r="BK125" s="141"/>
      <c r="BL125" s="141"/>
      <c r="BM125" s="141"/>
      <c r="BN125" s="141"/>
      <c r="BO125" s="141"/>
      <c r="BP125" s="141"/>
      <c r="BQ125" s="141"/>
      <c r="BR125" s="141"/>
      <c r="BS125" s="130">
        <f t="shared" si="41"/>
        <v>0</v>
      </c>
      <c r="BT125" s="132"/>
    </row>
    <row r="126" ht="14.25" customHeight="1">
      <c r="A126" s="132"/>
      <c r="B126" s="215">
        <v>46132</v>
      </c>
      <c r="C126" s="134">
        <f>74224.13-0-0</f>
      </c>
      <c r="D126" s="136"/>
      <c r="E126" s="135"/>
      <c r="F126" s="135"/>
      <c r="G126" s="147">
        <f t="shared" si="33"/>
        <v>0</v>
      </c>
      <c r="H126" s="144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5"/>
      <c r="T126" s="103">
        <f t="shared" si="34"/>
        <v>0</v>
      </c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  <c r="AF126" s="143"/>
      <c r="AG126" s="103">
        <f t="shared" si="35"/>
        <v>0</v>
      </c>
      <c r="AH126" s="134">
        <v>178</v>
      </c>
      <c r="AI126" s="136"/>
      <c r="AJ126" s="136"/>
      <c r="AK126" s="105">
        <f t="shared" si="36"/>
        <v>0</v>
      </c>
      <c r="AL126" s="143"/>
      <c r="AM126" s="143"/>
      <c r="AN126" s="143"/>
      <c r="AO126" s="146"/>
      <c r="AP126" s="224">
        <f t="shared" si="37"/>
        <v>0</v>
      </c>
      <c r="AQ126" s="1625">
        <v>1669.1</v>
      </c>
      <c r="AR126" s="1709"/>
      <c r="AS126" s="1709"/>
      <c r="AT126" s="1546"/>
      <c r="AU126" s="1546"/>
      <c r="AV126" s="1546"/>
      <c r="AW126" s="1546"/>
      <c r="AX126" s="1709"/>
      <c r="AY126" s="1709"/>
      <c r="AZ126" s="1709"/>
      <c r="BA126" s="1709"/>
      <c r="BB126" s="222">
        <f t="shared" si="38"/>
        <v>0</v>
      </c>
      <c r="BC126" s="140">
        <f t="shared" si="39"/>
        <v>0</v>
      </c>
      <c r="BD126" s="132"/>
      <c r="BE126" s="140">
        <f t="shared" si="40"/>
        <v>0</v>
      </c>
      <c r="BF126" s="141"/>
      <c r="BG126" s="141"/>
      <c r="BH126" s="141"/>
      <c r="BI126" s="141"/>
      <c r="BJ126" s="141"/>
      <c r="BK126" s="141"/>
      <c r="BL126" s="141"/>
      <c r="BM126" s="141"/>
      <c r="BN126" s="141"/>
      <c r="BO126" s="141"/>
      <c r="BP126" s="141"/>
      <c r="BQ126" s="141"/>
      <c r="BR126" s="141"/>
      <c r="BS126" s="130">
        <f t="shared" si="41"/>
        <v>0</v>
      </c>
      <c r="BT126" s="132"/>
    </row>
    <row r="127" ht="14.25" customHeight="1">
      <c r="A127" s="132"/>
      <c r="B127" s="215">
        <v>46133</v>
      </c>
      <c r="C127" s="134">
        <f>2425.22-0-0</f>
      </c>
      <c r="D127" s="136"/>
      <c r="E127" s="135"/>
      <c r="F127" s="135"/>
      <c r="G127" s="147">
        <f t="shared" si="33"/>
        <v>0</v>
      </c>
      <c r="H127" s="144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03">
        <f t="shared" si="34"/>
        <v>0</v>
      </c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03">
        <f t="shared" si="35"/>
        <v>0</v>
      </c>
      <c r="AH127" s="134">
        <v>1103</v>
      </c>
      <c r="AI127" s="136"/>
      <c r="AJ127" s="136"/>
      <c r="AK127" s="105">
        <f t="shared" si="36"/>
        <v>0</v>
      </c>
      <c r="AL127" s="143"/>
      <c r="AM127" s="143"/>
      <c r="AN127" s="143"/>
      <c r="AO127" s="146"/>
      <c r="AP127" s="224">
        <f t="shared" si="37"/>
        <v>0</v>
      </c>
      <c r="AQ127" s="1723">
        <v>1322.2</v>
      </c>
      <c r="AR127" s="1709"/>
      <c r="AS127" s="1709"/>
      <c r="AT127" s="1546"/>
      <c r="AU127" s="1546"/>
      <c r="AV127" s="1546"/>
      <c r="AW127" s="1546"/>
      <c r="AX127" s="1709"/>
      <c r="AY127" s="1709"/>
      <c r="AZ127" s="1709"/>
      <c r="BA127" s="1709"/>
      <c r="BB127" s="222">
        <f t="shared" si="38"/>
        <v>0</v>
      </c>
      <c r="BC127" s="140">
        <f t="shared" si="39"/>
        <v>0</v>
      </c>
      <c r="BD127" s="132"/>
      <c r="BE127" s="140">
        <f t="shared" si="40"/>
        <v>0</v>
      </c>
      <c r="BF127" s="141"/>
      <c r="BG127" s="141"/>
      <c r="BH127" s="141"/>
      <c r="BI127" s="141"/>
      <c r="BJ127" s="141"/>
      <c r="BK127" s="141"/>
      <c r="BL127" s="141"/>
      <c r="BM127" s="141"/>
      <c r="BN127" s="141"/>
      <c r="BO127" s="141"/>
      <c r="BP127" s="141"/>
      <c r="BQ127" s="141"/>
      <c r="BR127" s="141"/>
      <c r="BS127" s="130">
        <f t="shared" si="41"/>
        <v>0</v>
      </c>
      <c r="BT127" s="132"/>
    </row>
    <row r="128" ht="14.25" customHeight="1">
      <c r="A128" s="132"/>
      <c r="B128" s="215">
        <v>46134</v>
      </c>
      <c r="C128" s="134">
        <f>1804.22-0-0</f>
      </c>
      <c r="D128" s="136"/>
      <c r="E128" s="135"/>
      <c r="F128" s="135"/>
      <c r="G128" s="147">
        <f t="shared" si="33"/>
        <v>0</v>
      </c>
      <c r="H128" s="144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03">
        <f t="shared" si="34"/>
        <v>0</v>
      </c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  <c r="AF128" s="143"/>
      <c r="AG128" s="103">
        <f t="shared" si="35"/>
        <v>0</v>
      </c>
      <c r="AH128" s="134"/>
      <c r="AI128" s="136"/>
      <c r="AJ128" s="136"/>
      <c r="AK128" s="105">
        <f t="shared" si="36"/>
        <v>0</v>
      </c>
      <c r="AL128" s="143"/>
      <c r="AM128" s="143"/>
      <c r="AN128" s="143"/>
      <c r="AO128" s="146"/>
      <c r="AP128" s="224">
        <f t="shared" si="37"/>
        <v>0</v>
      </c>
      <c r="AQ128" s="1723">
        <v>1804.2</v>
      </c>
      <c r="AR128" s="1709"/>
      <c r="AS128" s="1709"/>
      <c r="AT128" s="1546"/>
      <c r="AU128" s="1546"/>
      <c r="AV128" s="1546"/>
      <c r="AW128" s="1546"/>
      <c r="AX128" s="1709"/>
      <c r="AY128" s="1709"/>
      <c r="AZ128" s="1709"/>
      <c r="BA128" s="1709"/>
      <c r="BB128" s="222">
        <f t="shared" si="38"/>
        <v>0</v>
      </c>
      <c r="BC128" s="140">
        <f t="shared" si="39"/>
        <v>0</v>
      </c>
      <c r="BD128" s="132"/>
      <c r="BE128" s="140">
        <f t="shared" si="40"/>
        <v>0</v>
      </c>
      <c r="BF128" s="141"/>
      <c r="BG128" s="141"/>
      <c r="BH128" s="141"/>
      <c r="BI128" s="141"/>
      <c r="BJ128" s="141"/>
      <c r="BK128" s="141"/>
      <c r="BL128" s="141"/>
      <c r="BM128" s="141"/>
      <c r="BN128" s="141"/>
      <c r="BO128" s="141"/>
      <c r="BP128" s="141"/>
      <c r="BQ128" s="141"/>
      <c r="BR128" s="141"/>
      <c r="BS128" s="130">
        <f t="shared" si="41"/>
        <v>0</v>
      </c>
      <c r="BT128" s="132"/>
    </row>
    <row r="129" ht="14.25" customHeight="1">
      <c r="A129" s="132"/>
      <c r="B129" s="215">
        <v>46135</v>
      </c>
      <c r="C129" s="134">
        <f>1477.14-0-0</f>
      </c>
      <c r="D129" s="136"/>
      <c r="E129" s="135"/>
      <c r="F129" s="135"/>
      <c r="G129" s="147">
        <f t="shared" si="33"/>
        <v>0</v>
      </c>
      <c r="H129" s="144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03">
        <f t="shared" si="34"/>
        <v>0</v>
      </c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3"/>
      <c r="AG129" s="103">
        <f t="shared" si="35"/>
        <v>0</v>
      </c>
      <c r="AH129" s="134">
        <v>487</v>
      </c>
      <c r="AI129" s="136"/>
      <c r="AJ129" s="136"/>
      <c r="AK129" s="105">
        <f t="shared" si="36"/>
        <v>0</v>
      </c>
      <c r="AL129" s="143"/>
      <c r="AM129" s="143"/>
      <c r="AN129" s="143"/>
      <c r="AO129" s="146"/>
      <c r="AP129" s="224">
        <f t="shared" si="37"/>
        <v>0</v>
      </c>
      <c r="AQ129" s="1723">
        <v>950.1</v>
      </c>
      <c r="AR129" s="1709"/>
      <c r="AS129" s="1709"/>
      <c r="AT129" s="1546"/>
      <c r="AU129" s="1546"/>
      <c r="AV129" s="1546"/>
      <c r="AW129" s="1546"/>
      <c r="AX129" s="1709"/>
      <c r="AY129" s="1709"/>
      <c r="AZ129" s="1709"/>
      <c r="BA129" s="1709"/>
      <c r="BB129" s="222">
        <f t="shared" si="38"/>
        <v>0</v>
      </c>
      <c r="BC129" s="140">
        <f t="shared" si="39"/>
        <v>0</v>
      </c>
      <c r="BD129" s="132"/>
      <c r="BE129" s="140">
        <f t="shared" si="40"/>
        <v>0</v>
      </c>
      <c r="BF129" s="141"/>
      <c r="BG129" s="141"/>
      <c r="BH129" s="141"/>
      <c r="BI129" s="141"/>
      <c r="BJ129" s="141"/>
      <c r="BK129" s="141"/>
      <c r="BL129" s="141"/>
      <c r="BM129" s="141"/>
      <c r="BN129" s="141"/>
      <c r="BO129" s="141"/>
      <c r="BP129" s="150"/>
      <c r="BQ129" s="141">
        <v>40</v>
      </c>
      <c r="BR129" s="141"/>
      <c r="BS129" s="130">
        <f t="shared" si="41"/>
        <v>0</v>
      </c>
      <c r="BT129" s="132"/>
    </row>
    <row r="130" ht="14.25" customHeight="1">
      <c r="A130" s="132"/>
      <c r="B130" s="215">
        <v>46136</v>
      </c>
      <c r="C130" s="134">
        <f>1737.20-0-0</f>
      </c>
      <c r="D130" s="136"/>
      <c r="E130" s="135"/>
      <c r="F130" s="135"/>
      <c r="G130" s="147">
        <f t="shared" si="33"/>
        <v>0</v>
      </c>
      <c r="H130" s="144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03">
        <f t="shared" si="34"/>
        <v>0</v>
      </c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  <c r="AF130" s="143"/>
      <c r="AG130" s="103">
        <f t="shared" si="35"/>
        <v>0</v>
      </c>
      <c r="AH130" s="134">
        <v>124.2</v>
      </c>
      <c r="AI130" s="136"/>
      <c r="AJ130" s="136"/>
      <c r="AK130" s="105">
        <f t="shared" si="36"/>
        <v>0</v>
      </c>
      <c r="AL130" s="143"/>
      <c r="AM130" s="143"/>
      <c r="AN130" s="143"/>
      <c r="AO130" s="146"/>
      <c r="AP130" s="224">
        <f t="shared" si="37"/>
        <v>0</v>
      </c>
      <c r="AQ130" s="1723">
        <v>1613</v>
      </c>
      <c r="AR130" s="1709"/>
      <c r="AS130" s="1709"/>
      <c r="AT130" s="1546"/>
      <c r="AU130" s="1546"/>
      <c r="AV130" s="1546"/>
      <c r="AW130" s="1546"/>
      <c r="AX130" s="1709"/>
      <c r="AY130" s="1709"/>
      <c r="AZ130" s="1709"/>
      <c r="BA130" s="1709"/>
      <c r="BB130" s="222">
        <f t="shared" si="38"/>
        <v>0</v>
      </c>
      <c r="BC130" s="140">
        <f t="shared" si="39"/>
        <v>0</v>
      </c>
      <c r="BD130" s="132"/>
      <c r="BE130" s="140">
        <f t="shared" si="40"/>
        <v>0</v>
      </c>
      <c r="BF130" s="141"/>
      <c r="BG130" s="141"/>
      <c r="BH130" s="141"/>
      <c r="BI130" s="141"/>
      <c r="BJ130" s="141"/>
      <c r="BK130" s="141"/>
      <c r="BL130" s="141"/>
      <c r="BM130" s="141"/>
      <c r="BN130" s="141"/>
      <c r="BO130" s="141"/>
      <c r="BP130" s="141"/>
      <c r="BQ130" s="141"/>
      <c r="BR130" s="141"/>
      <c r="BS130" s="130">
        <f t="shared" si="41"/>
        <v>0</v>
      </c>
      <c r="BT130" s="132"/>
    </row>
    <row r="131" ht="14.25" customHeight="1">
      <c r="A131" s="132"/>
      <c r="B131" s="215">
        <v>46137</v>
      </c>
      <c r="C131" s="134">
        <f>2329.91-0-0</f>
      </c>
      <c r="D131" s="136"/>
      <c r="E131" s="135"/>
      <c r="F131" s="135"/>
      <c r="G131" s="147">
        <f t="shared" si="33"/>
        <v>0</v>
      </c>
      <c r="H131" s="144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03">
        <f t="shared" si="34"/>
        <v>0</v>
      </c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3"/>
      <c r="AG131" s="103">
        <f t="shared" si="35"/>
        <v>0</v>
      </c>
      <c r="AH131" s="134">
        <v>324</v>
      </c>
      <c r="AI131" s="136"/>
      <c r="AJ131" s="136"/>
      <c r="AK131" s="105">
        <f t="shared" si="36"/>
        <v>0</v>
      </c>
      <c r="AL131" s="143"/>
      <c r="AM131" s="143"/>
      <c r="AN131" s="143"/>
      <c r="AO131" s="146"/>
      <c r="AP131" s="224">
        <f t="shared" si="37"/>
        <v>0</v>
      </c>
      <c r="AQ131" s="1723">
        <v>2005.9</v>
      </c>
      <c r="AR131" s="1709"/>
      <c r="AS131" s="1709"/>
      <c r="AT131" s="1546"/>
      <c r="AU131" s="1546"/>
      <c r="AV131" s="1546"/>
      <c r="AW131" s="1546"/>
      <c r="AX131" s="1709"/>
      <c r="AY131" s="1709"/>
      <c r="AZ131" s="1709"/>
      <c r="BA131" s="1709"/>
      <c r="BB131" s="222">
        <f t="shared" si="38"/>
        <v>0</v>
      </c>
      <c r="BC131" s="140">
        <f t="shared" si="39"/>
        <v>0</v>
      </c>
      <c r="BD131" s="132"/>
      <c r="BE131" s="140">
        <f t="shared" si="40"/>
        <v>0</v>
      </c>
      <c r="BF131" s="141"/>
      <c r="BG131" s="141"/>
      <c r="BH131" s="141"/>
      <c r="BI131" s="141"/>
      <c r="BJ131" s="141"/>
      <c r="BK131" s="141"/>
      <c r="BL131" s="141"/>
      <c r="BM131" s="141"/>
      <c r="BN131" s="141"/>
      <c r="BO131" s="141"/>
      <c r="BP131" s="141"/>
      <c r="BQ131" s="141"/>
      <c r="BR131" s="141"/>
      <c r="BS131" s="130">
        <f t="shared" si="41"/>
        <v>0</v>
      </c>
      <c r="BT131" s="132"/>
    </row>
    <row r="132" ht="14.25" customHeight="1">
      <c r="A132" s="132"/>
      <c r="B132" s="215">
        <v>46138</v>
      </c>
      <c r="C132" s="134">
        <f>2086.73-0-0</f>
      </c>
      <c r="D132" s="136"/>
      <c r="E132" s="135"/>
      <c r="F132" s="135"/>
      <c r="G132" s="147">
        <f t="shared" si="33"/>
        <v>0</v>
      </c>
      <c r="H132" s="144"/>
      <c r="I132" s="143"/>
      <c r="J132" s="143"/>
      <c r="K132" s="143"/>
      <c r="L132" s="143"/>
      <c r="M132" s="143"/>
      <c r="N132" s="99"/>
      <c r="O132" s="143"/>
      <c r="P132" s="143"/>
      <c r="Q132" s="143"/>
      <c r="R132" s="143"/>
      <c r="S132" s="143"/>
      <c r="T132" s="103">
        <f t="shared" si="34"/>
        <v>0</v>
      </c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03">
        <f t="shared" si="35"/>
        <v>0</v>
      </c>
      <c r="AH132" s="134">
        <v>397.9</v>
      </c>
      <c r="AI132" s="136"/>
      <c r="AJ132" s="136"/>
      <c r="AK132" s="105">
        <f t="shared" si="36"/>
        <v>0</v>
      </c>
      <c r="AL132" s="143"/>
      <c r="AM132" s="143"/>
      <c r="AN132" s="143"/>
      <c r="AO132" s="146"/>
      <c r="AP132" s="224">
        <f t="shared" si="37"/>
        <v>0</v>
      </c>
      <c r="AQ132" s="1723">
        <v>1688.8</v>
      </c>
      <c r="AR132" s="1709"/>
      <c r="AS132" s="1709"/>
      <c r="AT132" s="1546"/>
      <c r="AU132" s="1546"/>
      <c r="AV132" s="1546"/>
      <c r="AW132" s="1546"/>
      <c r="AX132" s="1709"/>
      <c r="AY132" s="1709"/>
      <c r="AZ132" s="1709"/>
      <c r="BA132" s="1709"/>
      <c r="BB132" s="222">
        <f t="shared" si="38"/>
        <v>0</v>
      </c>
      <c r="BC132" s="140">
        <f t="shared" si="39"/>
        <v>0</v>
      </c>
      <c r="BD132" s="132"/>
      <c r="BE132" s="140">
        <f t="shared" si="40"/>
        <v>0</v>
      </c>
      <c r="BF132" s="141"/>
      <c r="BG132" s="141"/>
      <c r="BH132" s="141"/>
      <c r="BI132" s="141"/>
      <c r="BJ132" s="141"/>
      <c r="BK132" s="141"/>
      <c r="BL132" s="141"/>
      <c r="BM132" s="141"/>
      <c r="BN132" s="141"/>
      <c r="BO132" s="141"/>
      <c r="BP132" s="141"/>
      <c r="BQ132" s="141"/>
      <c r="BR132" s="141"/>
      <c r="BS132" s="130">
        <f t="shared" si="41"/>
        <v>0</v>
      </c>
      <c r="BT132" s="132"/>
    </row>
    <row r="133" ht="14.25" customHeight="1">
      <c r="A133" s="132"/>
      <c r="B133" s="215">
        <v>46139</v>
      </c>
      <c r="C133" s="134">
        <f>2088.71-0-0</f>
      </c>
      <c r="D133" s="136"/>
      <c r="E133" s="135"/>
      <c r="F133" s="135"/>
      <c r="G133" s="147">
        <f t="shared" si="33"/>
        <v>0</v>
      </c>
      <c r="H133" s="144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03">
        <f t="shared" si="34"/>
        <v>0</v>
      </c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3"/>
      <c r="AG133" s="103">
        <f t="shared" si="35"/>
        <v>0</v>
      </c>
      <c r="AH133" s="134">
        <v>347.6</v>
      </c>
      <c r="AI133" s="136"/>
      <c r="AJ133" s="136"/>
      <c r="AK133" s="105">
        <f t="shared" si="36"/>
        <v>0</v>
      </c>
      <c r="AL133" s="143"/>
      <c r="AM133" s="143"/>
      <c r="AN133" s="143"/>
      <c r="AO133" s="146"/>
      <c r="AP133" s="224">
        <f t="shared" si="37"/>
        <v>0</v>
      </c>
      <c r="AQ133" s="1723">
        <v>1741.1</v>
      </c>
      <c r="AR133" s="1709"/>
      <c r="AS133" s="1709"/>
      <c r="AT133" s="1546"/>
      <c r="AU133" s="1546"/>
      <c r="AV133" s="1546"/>
      <c r="AW133" s="1546"/>
      <c r="AX133" s="1709"/>
      <c r="AY133" s="1709"/>
      <c r="AZ133" s="1709"/>
      <c r="BA133" s="1709"/>
      <c r="BB133" s="222">
        <f t="shared" si="38"/>
        <v>0</v>
      </c>
      <c r="BC133" s="140">
        <f t="shared" si="39"/>
        <v>0</v>
      </c>
      <c r="BD133" s="132"/>
      <c r="BE133" s="140">
        <f t="shared" si="40"/>
        <v>0</v>
      </c>
      <c r="BF133" s="141"/>
      <c r="BG133" s="141"/>
      <c r="BH133" s="141"/>
      <c r="BI133" s="141"/>
      <c r="BJ133" s="141"/>
      <c r="BK133" s="141"/>
      <c r="BL133" s="141"/>
      <c r="BM133" s="141"/>
      <c r="BN133" s="141"/>
      <c r="BO133" s="141"/>
      <c r="BP133" s="141"/>
      <c r="BQ133" s="141"/>
      <c r="BR133" s="141"/>
      <c r="BS133" s="130">
        <f t="shared" si="41"/>
        <v>0</v>
      </c>
      <c r="BT133" s="132"/>
    </row>
    <row r="134" ht="14.25" customHeight="1">
      <c r="A134" s="132"/>
      <c r="B134" s="215">
        <v>46140</v>
      </c>
      <c r="C134" s="134">
        <f>1784.34-0-0</f>
      </c>
      <c r="D134" s="136"/>
      <c r="E134" s="135"/>
      <c r="F134" s="135"/>
      <c r="G134" s="147">
        <f t="shared" si="33"/>
        <v>0</v>
      </c>
      <c r="H134" s="144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03">
        <f t="shared" si="34"/>
        <v>0</v>
      </c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03">
        <f t="shared" si="35"/>
        <v>0</v>
      </c>
      <c r="AH134" s="134">
        <v>760.97</v>
      </c>
      <c r="AI134" s="136"/>
      <c r="AJ134" s="136"/>
      <c r="AK134" s="105">
        <f t="shared" si="36"/>
        <v>0</v>
      </c>
      <c r="AL134" s="143"/>
      <c r="AM134" s="143"/>
      <c r="AN134" s="143"/>
      <c r="AO134" s="146"/>
      <c r="AP134" s="224">
        <f t="shared" si="37"/>
        <v>0</v>
      </c>
      <c r="AQ134" s="1723">
        <v>1023.4</v>
      </c>
      <c r="AR134" s="1709"/>
      <c r="AS134" s="1709"/>
      <c r="AT134" s="1546"/>
      <c r="AU134" s="1546"/>
      <c r="AV134" s="1546"/>
      <c r="AW134" s="1546"/>
      <c r="AX134" s="1709"/>
      <c r="AY134" s="1709"/>
      <c r="AZ134" s="1709"/>
      <c r="BA134" s="1709"/>
      <c r="BB134" s="222">
        <f t="shared" si="38"/>
        <v>0</v>
      </c>
      <c r="BC134" s="140">
        <f t="shared" si="39"/>
        <v>0</v>
      </c>
      <c r="BD134" s="132"/>
      <c r="BE134" s="140">
        <f t="shared" si="40"/>
        <v>0</v>
      </c>
      <c r="BF134" s="141"/>
      <c r="BG134" s="141"/>
      <c r="BH134" s="141"/>
      <c r="BI134" s="141"/>
      <c r="BJ134" s="141"/>
      <c r="BK134" s="141"/>
      <c r="BL134" s="141"/>
      <c r="BM134" s="141"/>
      <c r="BN134" s="141"/>
      <c r="BO134" s="141"/>
      <c r="BP134" s="141"/>
      <c r="BQ134" s="141"/>
      <c r="BR134" s="141"/>
      <c r="BS134" s="130">
        <f t="shared" si="41"/>
        <v>0</v>
      </c>
      <c r="BT134" s="132"/>
    </row>
    <row r="135" ht="14.25" customHeight="1">
      <c r="A135" s="132"/>
      <c r="B135" s="215">
        <v>46141</v>
      </c>
      <c r="C135" s="134">
        <f>2491.39-0-0</f>
      </c>
      <c r="D135" s="136"/>
      <c r="E135" s="135"/>
      <c r="F135" s="135"/>
      <c r="G135" s="147">
        <f t="shared" si="33"/>
        <v>0</v>
      </c>
      <c r="H135" s="144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03">
        <f t="shared" si="34"/>
        <v>0</v>
      </c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  <c r="AF135" s="143"/>
      <c r="AG135" s="103">
        <f t="shared" si="35"/>
        <v>0</v>
      </c>
      <c r="AH135" s="134">
        <v>584.4</v>
      </c>
      <c r="AI135" s="136"/>
      <c r="AJ135" s="136"/>
      <c r="AK135" s="105">
        <f t="shared" si="36"/>
        <v>0</v>
      </c>
      <c r="AL135" s="143"/>
      <c r="AM135" s="143"/>
      <c r="AN135" s="143"/>
      <c r="AO135" s="146"/>
      <c r="AP135" s="224">
        <f t="shared" si="37"/>
        <v>0</v>
      </c>
      <c r="AQ135" s="1723">
        <v>1907</v>
      </c>
      <c r="AR135" s="1709"/>
      <c r="AS135" s="1709"/>
      <c r="AT135" s="1546"/>
      <c r="AU135" s="1546"/>
      <c r="AV135" s="1546"/>
      <c r="AW135" s="1546"/>
      <c r="AX135" s="1709"/>
      <c r="AY135" s="1709"/>
      <c r="AZ135" s="1709"/>
      <c r="BA135" s="1709"/>
      <c r="BB135" s="222">
        <f t="shared" si="38"/>
        <v>0</v>
      </c>
      <c r="BC135" s="140">
        <f t="shared" si="39"/>
        <v>0</v>
      </c>
      <c r="BD135" s="132"/>
      <c r="BE135" s="140">
        <f t="shared" si="40"/>
        <v>0</v>
      </c>
      <c r="BF135" s="141"/>
      <c r="BG135" s="141"/>
      <c r="BH135" s="141"/>
      <c r="BI135" s="141"/>
      <c r="BJ135" s="141"/>
      <c r="BK135" s="141"/>
      <c r="BL135" s="141"/>
      <c r="BM135" s="141"/>
      <c r="BN135" s="141"/>
      <c r="BO135" s="141"/>
      <c r="BP135" s="141"/>
      <c r="BQ135" s="141"/>
      <c r="BR135" s="141"/>
      <c r="BS135" s="130">
        <f t="shared" si="41"/>
        <v>0</v>
      </c>
      <c r="BT135" s="132"/>
    </row>
    <row r="136" ht="14.25" customHeight="1">
      <c r="A136" s="132"/>
      <c r="B136" s="215">
        <v>46142</v>
      </c>
      <c r="C136" s="134">
        <f>1843.56-0-0</f>
      </c>
      <c r="D136" s="136"/>
      <c r="E136" s="135"/>
      <c r="F136" s="135"/>
      <c r="G136" s="147">
        <f t="shared" si="33"/>
        <v>0</v>
      </c>
      <c r="H136" s="144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03">
        <f t="shared" si="34"/>
        <v>0</v>
      </c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  <c r="AF136" s="143"/>
      <c r="AG136" s="103">
        <f t="shared" si="35"/>
        <v>0</v>
      </c>
      <c r="AH136" s="134">
        <v>519.7</v>
      </c>
      <c r="AI136" s="136"/>
      <c r="AJ136" s="136"/>
      <c r="AK136" s="105">
        <f t="shared" si="36"/>
        <v>0</v>
      </c>
      <c r="AL136" s="143"/>
      <c r="AM136" s="143"/>
      <c r="AN136" s="143"/>
      <c r="AO136" s="146"/>
      <c r="AP136" s="224">
        <f t="shared" si="37"/>
        <v>0</v>
      </c>
      <c r="AQ136" s="1725">
        <v>773.8</v>
      </c>
      <c r="AR136" s="1709"/>
      <c r="AS136" s="1709"/>
      <c r="AT136" s="1546"/>
      <c r="AU136" s="1546"/>
      <c r="AV136" s="1546"/>
      <c r="AW136" s="1546"/>
      <c r="AX136" s="1709"/>
      <c r="AY136" s="1709"/>
      <c r="AZ136" s="1709"/>
      <c r="BA136" s="1709"/>
      <c r="BB136" s="222">
        <f t="shared" si="38"/>
        <v>0</v>
      </c>
      <c r="BC136" s="140">
        <f t="shared" si="39"/>
        <v>0</v>
      </c>
      <c r="BD136" s="132"/>
      <c r="BE136" s="140">
        <f t="shared" si="40"/>
        <v>550</v>
      </c>
      <c r="BF136" s="141"/>
      <c r="BG136" s="141"/>
      <c r="BH136" s="141"/>
      <c r="BI136" s="141"/>
      <c r="BJ136" s="141"/>
      <c r="BK136" s="141"/>
      <c r="BL136" s="141"/>
      <c r="BM136" s="141"/>
      <c r="BN136" s="141"/>
      <c r="BO136" s="141"/>
      <c r="BP136" s="150">
        <v>550</v>
      </c>
      <c r="BQ136" s="141">
        <v>550</v>
      </c>
      <c r="BR136" s="141"/>
      <c r="BS136" s="130">
        <f t="shared" si="41"/>
        <v>-550</v>
      </c>
      <c r="BT136" s="132"/>
    </row>
    <row r="137" ht="14.25" customHeight="1">
      <c r="A137" s="3"/>
      <c r="B137" s="2" t="s">
        <v>273</v>
      </c>
      <c r="C137" s="166">
        <f>SUM(C107:C136)</f>
        <v>0</v>
      </c>
      <c r="D137" s="166">
        <f ref="D137:G137" t="shared" si="42">SUM(D106:D136)</f>
        <v>0</v>
      </c>
      <c r="E137" s="166">
        <f t="shared" si="42"/>
        <v>0</v>
      </c>
      <c r="F137" s="166">
        <f t="shared" si="42"/>
        <v>0</v>
      </c>
      <c r="G137" s="166">
        <f t="shared" si="42"/>
        <v>0</v>
      </c>
      <c r="H137" s="166"/>
      <c r="I137" s="166"/>
      <c r="J137" s="166"/>
      <c r="K137" s="166">
        <f ref="K137:T137" t="shared" si="43">SUM(K106:K136)</f>
        <v>0</v>
      </c>
      <c r="L137" s="166">
        <f t="shared" si="43"/>
        <v>0</v>
      </c>
      <c r="M137" s="166">
        <f t="shared" si="43"/>
        <v>0</v>
      </c>
      <c r="N137" s="166">
        <f t="shared" si="43"/>
        <v>0</v>
      </c>
      <c r="O137" s="166">
        <f t="shared" si="43"/>
        <v>0</v>
      </c>
      <c r="P137" s="166">
        <f t="shared" si="43"/>
        <v>0</v>
      </c>
      <c r="Q137" s="166">
        <f t="shared" si="43"/>
        <v>0</v>
      </c>
      <c r="R137" s="166">
        <f t="shared" si="43"/>
        <v>0</v>
      </c>
      <c r="S137" s="166">
        <f t="shared" si="43"/>
        <v>0</v>
      </c>
      <c r="T137" s="166">
        <f t="shared" si="43"/>
        <v>0</v>
      </c>
      <c r="U137" s="166"/>
      <c r="V137" s="166">
        <f ref="V137:AQ137" t="shared" si="44">SUM(V106:V136)</f>
        <v>0</v>
      </c>
      <c r="W137" s="166">
        <f t="shared" si="44"/>
        <v>0</v>
      </c>
      <c r="X137" s="166">
        <f t="shared" si="44"/>
        <v>0</v>
      </c>
      <c r="Y137" s="166">
        <f t="shared" si="44"/>
        <v>0</v>
      </c>
      <c r="Z137" s="166">
        <f t="shared" si="44"/>
        <v>0</v>
      </c>
      <c r="AA137" s="166">
        <f t="shared" si="44"/>
        <v>0</v>
      </c>
      <c r="AB137" s="166">
        <f t="shared" si="44"/>
        <v>0</v>
      </c>
      <c r="AC137" s="166">
        <f t="shared" si="44"/>
        <v>0</v>
      </c>
      <c r="AD137" s="166">
        <f t="shared" si="44"/>
        <v>0</v>
      </c>
      <c r="AE137" s="166">
        <f t="shared" si="44"/>
        <v>0</v>
      </c>
      <c r="AF137" s="166">
        <f t="shared" si="44"/>
        <v>0</v>
      </c>
      <c r="AG137" s="166">
        <f t="shared" si="44"/>
        <v>0</v>
      </c>
      <c r="AH137" s="166">
        <f t="shared" si="44"/>
        <v>0</v>
      </c>
      <c r="AI137" s="166">
        <f t="shared" si="44"/>
        <v>0</v>
      </c>
      <c r="AJ137" s="166">
        <f t="shared" si="44"/>
        <v>0</v>
      </c>
      <c r="AK137" s="166">
        <f t="shared" si="44"/>
        <v>0</v>
      </c>
      <c r="AL137" s="166">
        <f t="shared" si="44"/>
        <v>0</v>
      </c>
      <c r="AM137" s="166">
        <f t="shared" si="44"/>
        <v>0</v>
      </c>
      <c r="AN137" s="166">
        <f t="shared" si="44"/>
        <v>0</v>
      </c>
      <c r="AO137" s="166">
        <f t="shared" si="44"/>
        <v>0</v>
      </c>
      <c r="AP137" s="166">
        <f t="shared" si="44"/>
        <v>0</v>
      </c>
      <c r="AQ137" s="165">
        <f t="shared" si="44"/>
        <v>0</v>
      </c>
      <c r="AR137" s="166"/>
      <c r="AS137" s="166"/>
      <c r="AT137" s="166"/>
      <c r="AU137" s="166"/>
      <c r="AV137" s="166"/>
      <c r="AW137" s="166"/>
      <c r="AX137" s="166"/>
      <c r="AY137" s="166"/>
      <c r="AZ137" s="166"/>
      <c r="BA137" s="166"/>
      <c r="BB137" s="166">
        <f ref="BB137:BC137" t="shared" si="45">SUM(BB106:BB136)</f>
        <v>0</v>
      </c>
      <c r="BC137" s="166">
        <f t="shared" si="45"/>
        <v>0</v>
      </c>
      <c r="BD137" s="3"/>
      <c r="BE137" s="172">
        <f ref="BE137:BS137" t="shared" si="46">SUM(BE106:BE136)</f>
        <v>550</v>
      </c>
      <c r="BF137" s="166">
        <f t="shared" si="46"/>
        <v>0</v>
      </c>
      <c r="BG137" s="166">
        <f t="shared" si="46"/>
        <v>0</v>
      </c>
      <c r="BH137" s="166">
        <f t="shared" si="46"/>
        <v>0</v>
      </c>
      <c r="BI137" s="166">
        <f t="shared" si="46"/>
        <v>0</v>
      </c>
      <c r="BJ137" s="166">
        <f t="shared" si="46"/>
        <v>0</v>
      </c>
      <c r="BK137" s="166">
        <f t="shared" si="46"/>
        <v>0</v>
      </c>
      <c r="BL137" s="166">
        <f t="shared" si="46"/>
        <v>0</v>
      </c>
      <c r="BM137" s="166">
        <f t="shared" si="46"/>
        <v>0</v>
      </c>
      <c r="BN137" s="166">
        <f t="shared" si="46"/>
        <v>0</v>
      </c>
      <c r="BO137" s="166">
        <f t="shared" si="46"/>
        <v>0</v>
      </c>
      <c r="BP137" s="166">
        <f t="shared" si="46"/>
        <v>550</v>
      </c>
      <c r="BQ137" s="166">
        <f t="shared" si="46"/>
        <v>0</v>
      </c>
      <c r="BR137" s="166">
        <f t="shared" si="46"/>
        <v>0</v>
      </c>
      <c r="BS137" s="166">
        <f t="shared" si="46"/>
        <v>-550</v>
      </c>
      <c r="BT137" s="3"/>
    </row>
    <row r="138" ht="14.25" customHeight="1">
      <c r="A138" s="1"/>
      <c r="B138" s="2"/>
      <c r="C138" s="3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96"/>
      <c r="AH138" s="3"/>
      <c r="AI138" s="3"/>
      <c r="AJ138" s="3"/>
      <c r="AK138" s="4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ht="14.25" customHeight="1">
      <c r="A139" s="1"/>
      <c r="B139" s="2"/>
      <c r="C139" s="3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176"/>
      <c r="AH139" s="3"/>
      <c r="AI139" s="3"/>
      <c r="AJ139" s="3"/>
      <c r="AK139" s="4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ht="14.25" customHeight="1">
      <c r="A140" s="3"/>
      <c r="B140" s="215">
        <v>46143</v>
      </c>
      <c r="C140" s="95"/>
      <c r="D140" s="104"/>
      <c r="E140" s="97"/>
      <c r="F140" s="97"/>
      <c r="G140" s="265">
        <f ref="G140:G170" t="shared" si="47">+C140+D140+E140+F140</f>
        <v>0</v>
      </c>
      <c r="H140" s="187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03">
        <f ref="T140:T170" t="shared" si="48">SUM(H140:S140)</f>
        <v>0</v>
      </c>
      <c r="U140" s="186"/>
      <c r="V140" s="186"/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03">
        <f ref="AG140:AG170" t="shared" si="49">SUM(U140:AF140)</f>
        <v>0</v>
      </c>
      <c r="AH140" s="95"/>
      <c r="AI140" s="104"/>
      <c r="AJ140" s="104"/>
      <c r="AK140" s="191">
        <f ref="AK140:AK170" t="shared" si="50">SUM(AH140:AJ140)</f>
        <v>0</v>
      </c>
      <c r="AL140" s="186"/>
      <c r="AM140" s="186"/>
      <c r="AN140" s="186"/>
      <c r="AO140" s="193"/>
      <c r="AP140" s="219">
        <f ref="AP140:AP170" t="shared" si="51">+G140-T140-AG140-AK140-AL140-AM140-AN140-AO140</f>
        <v>0</v>
      </c>
      <c r="AQ140" s="271"/>
      <c r="AR140" s="269"/>
      <c r="AS140" s="109"/>
      <c r="AT140" s="109"/>
      <c r="AU140" s="109"/>
      <c r="AV140" s="109"/>
      <c r="AW140" s="109"/>
      <c r="AX140" s="269"/>
      <c r="AY140" s="269"/>
      <c r="AZ140" s="269"/>
      <c r="BA140" s="269"/>
      <c r="BB140" s="292">
        <f ref="BB140:BB170" t="shared" si="52">SUM(AQ140:BA140)-AZ140</f>
        <v>0</v>
      </c>
      <c r="BC140" s="114">
        <f ref="BC140:BC170" t="shared" si="53">+AP140-BB140</f>
        <v>0</v>
      </c>
      <c r="BD140" s="3"/>
      <c r="BE140" s="114">
        <f ref="BE140:BE170" t="shared" si="54">SUM(BF140:BR140)</f>
        <v>0</v>
      </c>
      <c r="BF140" s="115"/>
      <c r="BG140" s="115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6">
        <f ref="BS140:BS170" t="shared" si="55">+BC140-BE140</f>
        <v>0</v>
      </c>
      <c r="BT140" s="3"/>
    </row>
    <row r="141" ht="14.25" customHeight="1">
      <c r="A141" s="3"/>
      <c r="B141" s="215">
        <v>46144</v>
      </c>
      <c r="C141" s="119"/>
      <c r="D141" s="123"/>
      <c r="E141" s="120"/>
      <c r="F141" s="120"/>
      <c r="G141" s="147">
        <f t="shared" si="47"/>
        <v>0</v>
      </c>
      <c r="H141" s="144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03">
        <f t="shared" si="48"/>
        <v>0</v>
      </c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3"/>
      <c r="AG141" s="103">
        <f t="shared" si="49"/>
        <v>0</v>
      </c>
      <c r="AH141" s="119"/>
      <c r="AI141" s="123"/>
      <c r="AJ141" s="123"/>
      <c r="AK141" s="105">
        <f t="shared" si="50"/>
        <v>0</v>
      </c>
      <c r="AL141" s="143"/>
      <c r="AM141" s="143"/>
      <c r="AN141" s="143"/>
      <c r="AO141" s="146"/>
      <c r="AP141" s="224">
        <f t="shared" si="51"/>
        <v>0</v>
      </c>
      <c r="AQ141" s="229"/>
      <c r="AR141" s="274"/>
      <c r="AS141" s="126"/>
      <c r="AT141" s="126"/>
      <c r="AU141" s="126"/>
      <c r="AV141" s="126"/>
      <c r="AW141" s="126"/>
      <c r="AX141" s="274"/>
      <c r="AY141" s="274"/>
      <c r="AZ141" s="274"/>
      <c r="BA141" s="274"/>
      <c r="BB141" s="222">
        <f t="shared" si="52"/>
        <v>0</v>
      </c>
      <c r="BC141" s="113">
        <f t="shared" si="53"/>
        <v>0</v>
      </c>
      <c r="BD141" s="3"/>
      <c r="BE141" s="113">
        <f t="shared" si="54"/>
        <v>0</v>
      </c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30">
        <f t="shared" si="55"/>
        <v>0</v>
      </c>
      <c r="BT141" s="3"/>
    </row>
    <row r="142" ht="14.25" customHeight="1">
      <c r="A142" s="3"/>
      <c r="B142" s="215">
        <v>46145</v>
      </c>
      <c r="C142" s="119"/>
      <c r="D142" s="123"/>
      <c r="E142" s="120"/>
      <c r="F142" s="120"/>
      <c r="G142" s="147">
        <f t="shared" si="47"/>
        <v>0</v>
      </c>
      <c r="H142" s="144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03">
        <f t="shared" si="48"/>
        <v>0</v>
      </c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  <c r="AF142" s="143"/>
      <c r="AG142" s="103">
        <f t="shared" si="49"/>
        <v>0</v>
      </c>
      <c r="AH142" s="119"/>
      <c r="AI142" s="123"/>
      <c r="AJ142" s="123"/>
      <c r="AK142" s="105">
        <f t="shared" si="50"/>
        <v>0</v>
      </c>
      <c r="AL142" s="143"/>
      <c r="AM142" s="143"/>
      <c r="AN142" s="143"/>
      <c r="AO142" s="146"/>
      <c r="AP142" s="224">
        <f t="shared" si="51"/>
        <v>0</v>
      </c>
      <c r="AQ142" s="229"/>
      <c r="AR142" s="274"/>
      <c r="AS142" s="126"/>
      <c r="AT142" s="126"/>
      <c r="AU142" s="126"/>
      <c r="AV142" s="126"/>
      <c r="AW142" s="126"/>
      <c r="AX142" s="274"/>
      <c r="AY142" s="274"/>
      <c r="AZ142" s="274"/>
      <c r="BA142" s="274"/>
      <c r="BB142" s="222">
        <f t="shared" si="52"/>
        <v>0</v>
      </c>
      <c r="BC142" s="113">
        <f t="shared" si="53"/>
        <v>0</v>
      </c>
      <c r="BD142" s="3"/>
      <c r="BE142" s="113">
        <f t="shared" si="54"/>
        <v>0</v>
      </c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30">
        <f t="shared" si="55"/>
        <v>0</v>
      </c>
      <c r="BT142" s="3"/>
    </row>
    <row r="143" ht="14.25" customHeight="1">
      <c r="A143" s="3"/>
      <c r="B143" s="215">
        <v>46146</v>
      </c>
      <c r="C143" s="119"/>
      <c r="D143" s="123"/>
      <c r="E143" s="120"/>
      <c r="F143" s="120"/>
      <c r="G143" s="147">
        <f t="shared" si="47"/>
        <v>0</v>
      </c>
      <c r="H143" s="144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03">
        <f t="shared" si="48"/>
        <v>0</v>
      </c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03">
        <f t="shared" si="49"/>
        <v>0</v>
      </c>
      <c r="AH143" s="119"/>
      <c r="AI143" s="123"/>
      <c r="AJ143" s="123"/>
      <c r="AK143" s="105">
        <f t="shared" si="50"/>
        <v>0</v>
      </c>
      <c r="AL143" s="143"/>
      <c r="AM143" s="143"/>
      <c r="AN143" s="143"/>
      <c r="AO143" s="146"/>
      <c r="AP143" s="224">
        <f t="shared" si="51"/>
        <v>0</v>
      </c>
      <c r="AQ143" s="229"/>
      <c r="AR143" s="274"/>
      <c r="AS143" s="126"/>
      <c r="AT143" s="126"/>
      <c r="AU143" s="126"/>
      <c r="AV143" s="126"/>
      <c r="AW143" s="126"/>
      <c r="AX143" s="274"/>
      <c r="AY143" s="274"/>
      <c r="AZ143" s="274"/>
      <c r="BA143" s="274"/>
      <c r="BB143" s="222">
        <f t="shared" si="52"/>
        <v>0</v>
      </c>
      <c r="BC143" s="113">
        <f t="shared" si="53"/>
        <v>0</v>
      </c>
      <c r="BD143" s="3"/>
      <c r="BE143" s="113">
        <f t="shared" si="54"/>
        <v>0</v>
      </c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30">
        <f t="shared" si="55"/>
        <v>0</v>
      </c>
      <c r="BT143" s="3"/>
    </row>
    <row r="144" ht="14.25" customHeight="1">
      <c r="A144" s="3"/>
      <c r="B144" s="215">
        <v>46147</v>
      </c>
      <c r="C144" s="119"/>
      <c r="D144" s="123"/>
      <c r="E144" s="120"/>
      <c r="F144" s="120"/>
      <c r="G144" s="147">
        <f t="shared" si="47"/>
        <v>0</v>
      </c>
      <c r="H144" s="144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03">
        <f t="shared" si="48"/>
        <v>0</v>
      </c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  <c r="AF144" s="143"/>
      <c r="AG144" s="103">
        <f t="shared" si="49"/>
        <v>0</v>
      </c>
      <c r="AH144" s="119"/>
      <c r="AI144" s="123"/>
      <c r="AJ144" s="123"/>
      <c r="AK144" s="105">
        <f t="shared" si="50"/>
        <v>0</v>
      </c>
      <c r="AL144" s="143"/>
      <c r="AM144" s="143"/>
      <c r="AN144" s="143"/>
      <c r="AO144" s="146"/>
      <c r="AP144" s="224">
        <f t="shared" si="51"/>
        <v>0</v>
      </c>
      <c r="AQ144" s="229"/>
      <c r="AR144" s="274"/>
      <c r="AS144" s="126"/>
      <c r="AT144" s="126"/>
      <c r="AU144" s="126"/>
      <c r="AV144" s="126"/>
      <c r="AW144" s="126"/>
      <c r="AX144" s="274"/>
      <c r="AY144" s="274"/>
      <c r="AZ144" s="274"/>
      <c r="BA144" s="274"/>
      <c r="BB144" s="222">
        <f t="shared" si="52"/>
        <v>0</v>
      </c>
      <c r="BC144" s="113">
        <f t="shared" si="53"/>
        <v>0</v>
      </c>
      <c r="BD144" s="3"/>
      <c r="BE144" s="113">
        <f t="shared" si="54"/>
        <v>0</v>
      </c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30">
        <f t="shared" si="55"/>
        <v>0</v>
      </c>
      <c r="BT144" s="3"/>
    </row>
    <row r="145" ht="14.25" customHeight="1">
      <c r="A145" s="3"/>
      <c r="B145" s="215">
        <v>46148</v>
      </c>
      <c r="C145" s="119"/>
      <c r="D145" s="123"/>
      <c r="E145" s="120"/>
      <c r="F145" s="120"/>
      <c r="G145" s="147">
        <f t="shared" si="47"/>
        <v>0</v>
      </c>
      <c r="H145" s="144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03">
        <f t="shared" si="48"/>
        <v>0</v>
      </c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  <c r="AF145" s="143"/>
      <c r="AG145" s="103">
        <f t="shared" si="49"/>
        <v>0</v>
      </c>
      <c r="AH145" s="119"/>
      <c r="AI145" s="123"/>
      <c r="AJ145" s="123"/>
      <c r="AK145" s="105">
        <f t="shared" si="50"/>
        <v>0</v>
      </c>
      <c r="AL145" s="143"/>
      <c r="AM145" s="143"/>
      <c r="AN145" s="143"/>
      <c r="AO145" s="146"/>
      <c r="AP145" s="224">
        <f t="shared" si="51"/>
        <v>0</v>
      </c>
      <c r="AQ145" s="229"/>
      <c r="AR145" s="274"/>
      <c r="AS145" s="126"/>
      <c r="AT145" s="126"/>
      <c r="AU145" s="126"/>
      <c r="AV145" s="126"/>
      <c r="AW145" s="126"/>
      <c r="AX145" s="274"/>
      <c r="AY145" s="274"/>
      <c r="AZ145" s="274"/>
      <c r="BA145" s="274"/>
      <c r="BB145" s="222">
        <f t="shared" si="52"/>
        <v>0</v>
      </c>
      <c r="BC145" s="113">
        <f t="shared" si="53"/>
        <v>0</v>
      </c>
      <c r="BD145" s="3"/>
      <c r="BE145" s="113">
        <f t="shared" si="54"/>
        <v>0</v>
      </c>
      <c r="BF145" s="129"/>
      <c r="BG145" s="129"/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30">
        <f t="shared" si="55"/>
        <v>0</v>
      </c>
      <c r="BT145" s="3"/>
    </row>
    <row r="146" ht="14.25" customHeight="1">
      <c r="A146" s="132"/>
      <c r="B146" s="215">
        <v>46149</v>
      </c>
      <c r="C146" s="136"/>
      <c r="D146" s="136"/>
      <c r="E146" s="135"/>
      <c r="F146" s="135"/>
      <c r="G146" s="147">
        <f t="shared" si="47"/>
        <v>0</v>
      </c>
      <c r="H146" s="144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03">
        <f t="shared" si="48"/>
        <v>0</v>
      </c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  <c r="AF146" s="143"/>
      <c r="AG146" s="103">
        <f t="shared" si="49"/>
        <v>0</v>
      </c>
      <c r="AH146" s="136"/>
      <c r="AI146" s="136"/>
      <c r="AJ146" s="136"/>
      <c r="AK146" s="105">
        <f t="shared" si="50"/>
        <v>0</v>
      </c>
      <c r="AL146" s="143"/>
      <c r="AM146" s="143"/>
      <c r="AN146" s="143"/>
      <c r="AO146" s="146"/>
      <c r="AP146" s="224">
        <f t="shared" si="51"/>
        <v>0</v>
      </c>
      <c r="AQ146" s="126"/>
      <c r="AR146" s="274"/>
      <c r="AS146" s="126"/>
      <c r="AT146" s="126"/>
      <c r="AU146" s="126"/>
      <c r="AV146" s="126"/>
      <c r="AW146" s="126"/>
      <c r="AX146" s="274"/>
      <c r="AY146" s="274"/>
      <c r="AZ146" s="274"/>
      <c r="BA146" s="274"/>
      <c r="BB146" s="222">
        <f t="shared" si="52"/>
        <v>0</v>
      </c>
      <c r="BC146" s="140">
        <f t="shared" si="53"/>
        <v>0</v>
      </c>
      <c r="BD146" s="132"/>
      <c r="BE146" s="140">
        <f t="shared" si="54"/>
        <v>0</v>
      </c>
      <c r="BF146" s="141"/>
      <c r="BG146" s="141"/>
      <c r="BH146" s="141"/>
      <c r="BI146" s="141"/>
      <c r="BJ146" s="141"/>
      <c r="BK146" s="141"/>
      <c r="BL146" s="141"/>
      <c r="BM146" s="141"/>
      <c r="BN146" s="141"/>
      <c r="BO146" s="141"/>
      <c r="BP146" s="141"/>
      <c r="BQ146" s="141"/>
      <c r="BR146" s="141"/>
      <c r="BS146" s="130">
        <f t="shared" si="55"/>
        <v>0</v>
      </c>
      <c r="BT146" s="132"/>
    </row>
    <row r="147" ht="14.25" customHeight="1">
      <c r="A147" s="132"/>
      <c r="B147" s="215">
        <v>46150</v>
      </c>
      <c r="C147" s="136"/>
      <c r="D147" s="136"/>
      <c r="E147" s="135"/>
      <c r="F147" s="135"/>
      <c r="G147" s="147">
        <f t="shared" si="47"/>
        <v>0</v>
      </c>
      <c r="H147" s="144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03">
        <f t="shared" si="48"/>
        <v>0</v>
      </c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3"/>
      <c r="AG147" s="103">
        <f t="shared" si="49"/>
        <v>0</v>
      </c>
      <c r="AH147" s="136"/>
      <c r="AI147" s="136"/>
      <c r="AJ147" s="136"/>
      <c r="AK147" s="105">
        <f t="shared" si="50"/>
        <v>0</v>
      </c>
      <c r="AL147" s="143"/>
      <c r="AM147" s="143"/>
      <c r="AN147" s="143"/>
      <c r="AO147" s="146"/>
      <c r="AP147" s="224">
        <f t="shared" si="51"/>
        <v>0</v>
      </c>
      <c r="AQ147" s="126"/>
      <c r="AR147" s="274"/>
      <c r="AS147" s="126"/>
      <c r="AT147" s="126"/>
      <c r="AU147" s="126"/>
      <c r="AV147" s="126"/>
      <c r="AW147" s="126"/>
      <c r="AX147" s="274"/>
      <c r="AY147" s="274"/>
      <c r="AZ147" s="274"/>
      <c r="BA147" s="274"/>
      <c r="BB147" s="222">
        <f t="shared" si="52"/>
        <v>0</v>
      </c>
      <c r="BC147" s="140">
        <f t="shared" si="53"/>
        <v>0</v>
      </c>
      <c r="BD147" s="132"/>
      <c r="BE147" s="140">
        <f t="shared" si="54"/>
        <v>0</v>
      </c>
      <c r="BF147" s="141"/>
      <c r="BG147" s="141"/>
      <c r="BH147" s="141"/>
      <c r="BI147" s="141"/>
      <c r="BJ147" s="141"/>
      <c r="BK147" s="141"/>
      <c r="BL147" s="141"/>
      <c r="BM147" s="141"/>
      <c r="BN147" s="141"/>
      <c r="BO147" s="141"/>
      <c r="BP147" s="141"/>
      <c r="BQ147" s="141"/>
      <c r="BR147" s="141"/>
      <c r="BS147" s="130">
        <f t="shared" si="55"/>
        <v>0</v>
      </c>
      <c r="BT147" s="132"/>
    </row>
    <row r="148" ht="14.25" customHeight="1">
      <c r="A148" s="132"/>
      <c r="B148" s="215">
        <v>46151</v>
      </c>
      <c r="C148" s="136"/>
      <c r="D148" s="136"/>
      <c r="E148" s="135"/>
      <c r="F148" s="135"/>
      <c r="G148" s="147">
        <f t="shared" si="47"/>
        <v>0</v>
      </c>
      <c r="H148" s="144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03">
        <f t="shared" si="48"/>
        <v>0</v>
      </c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  <c r="AF148" s="143"/>
      <c r="AG148" s="103">
        <f t="shared" si="49"/>
        <v>0</v>
      </c>
      <c r="AH148" s="136"/>
      <c r="AI148" s="136"/>
      <c r="AJ148" s="136"/>
      <c r="AK148" s="105">
        <f t="shared" si="50"/>
        <v>0</v>
      </c>
      <c r="AL148" s="143"/>
      <c r="AM148" s="143"/>
      <c r="AN148" s="143"/>
      <c r="AO148" s="146"/>
      <c r="AP148" s="224">
        <f t="shared" si="51"/>
        <v>0</v>
      </c>
      <c r="AQ148" s="126"/>
      <c r="AR148" s="274"/>
      <c r="AS148" s="126"/>
      <c r="AT148" s="126"/>
      <c r="AU148" s="126"/>
      <c r="AV148" s="126"/>
      <c r="AW148" s="126"/>
      <c r="AX148" s="274"/>
      <c r="AY148" s="274"/>
      <c r="AZ148" s="274"/>
      <c r="BA148" s="274"/>
      <c r="BB148" s="222">
        <f t="shared" si="52"/>
        <v>0</v>
      </c>
      <c r="BC148" s="140">
        <f t="shared" si="53"/>
        <v>0</v>
      </c>
      <c r="BD148" s="132"/>
      <c r="BE148" s="140">
        <f t="shared" si="54"/>
        <v>0</v>
      </c>
      <c r="BF148" s="141"/>
      <c r="BG148" s="141"/>
      <c r="BH148" s="141"/>
      <c r="BI148" s="141"/>
      <c r="BJ148" s="141"/>
      <c r="BK148" s="141"/>
      <c r="BL148" s="141"/>
      <c r="BM148" s="141"/>
      <c r="BN148" s="141"/>
      <c r="BO148" s="141"/>
      <c r="BP148" s="141"/>
      <c r="BQ148" s="141"/>
      <c r="BR148" s="141"/>
      <c r="BS148" s="130">
        <f t="shared" si="55"/>
        <v>0</v>
      </c>
      <c r="BT148" s="132"/>
    </row>
    <row r="149" ht="14.25" customHeight="1">
      <c r="A149" s="132"/>
      <c r="B149" s="215">
        <v>46152</v>
      </c>
      <c r="C149" s="136"/>
      <c r="D149" s="136"/>
      <c r="E149" s="135"/>
      <c r="F149" s="135"/>
      <c r="G149" s="147">
        <f t="shared" si="47"/>
        <v>0</v>
      </c>
      <c r="H149" s="144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03">
        <f t="shared" si="48"/>
        <v>0</v>
      </c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  <c r="AF149" s="143"/>
      <c r="AG149" s="103">
        <f t="shared" si="49"/>
        <v>0</v>
      </c>
      <c r="AH149" s="136"/>
      <c r="AI149" s="136"/>
      <c r="AJ149" s="136"/>
      <c r="AK149" s="105">
        <f t="shared" si="50"/>
        <v>0</v>
      </c>
      <c r="AL149" s="143"/>
      <c r="AM149" s="143"/>
      <c r="AN149" s="143"/>
      <c r="AO149" s="146"/>
      <c r="AP149" s="224">
        <f t="shared" si="51"/>
        <v>0</v>
      </c>
      <c r="AQ149" s="126"/>
      <c r="AR149" s="274"/>
      <c r="AS149" s="126"/>
      <c r="AT149" s="126"/>
      <c r="AU149" s="126"/>
      <c r="AV149" s="126"/>
      <c r="AW149" s="126"/>
      <c r="AX149" s="274"/>
      <c r="AY149" s="274"/>
      <c r="AZ149" s="274"/>
      <c r="BA149" s="274"/>
      <c r="BB149" s="222">
        <f t="shared" si="52"/>
        <v>0</v>
      </c>
      <c r="BC149" s="140">
        <f t="shared" si="53"/>
        <v>0</v>
      </c>
      <c r="BD149" s="132"/>
      <c r="BE149" s="140">
        <f t="shared" si="54"/>
        <v>0</v>
      </c>
      <c r="BF149" s="141"/>
      <c r="BG149" s="141"/>
      <c r="BH149" s="141"/>
      <c r="BI149" s="141"/>
      <c r="BJ149" s="141"/>
      <c r="BK149" s="141"/>
      <c r="BL149" s="141"/>
      <c r="BM149" s="141"/>
      <c r="BN149" s="141"/>
      <c r="BO149" s="141"/>
      <c r="BP149" s="141"/>
      <c r="BQ149" s="141"/>
      <c r="BR149" s="141"/>
      <c r="BS149" s="130">
        <f t="shared" si="55"/>
        <v>0</v>
      </c>
      <c r="BT149" s="132"/>
    </row>
    <row r="150" ht="14.25" customHeight="1">
      <c r="A150" s="132"/>
      <c r="B150" s="215">
        <v>46153</v>
      </c>
      <c r="C150" s="136"/>
      <c r="D150" s="136"/>
      <c r="E150" s="135"/>
      <c r="F150" s="135"/>
      <c r="G150" s="147">
        <f t="shared" si="47"/>
        <v>0</v>
      </c>
      <c r="H150" s="144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03">
        <f t="shared" si="48"/>
        <v>0</v>
      </c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  <c r="AF150" s="143"/>
      <c r="AG150" s="103">
        <f t="shared" si="49"/>
        <v>0</v>
      </c>
      <c r="AH150" s="136"/>
      <c r="AI150" s="136"/>
      <c r="AJ150" s="136"/>
      <c r="AK150" s="105">
        <f t="shared" si="50"/>
        <v>0</v>
      </c>
      <c r="AL150" s="143"/>
      <c r="AM150" s="143"/>
      <c r="AN150" s="143"/>
      <c r="AO150" s="146"/>
      <c r="AP150" s="224">
        <f t="shared" si="51"/>
        <v>0</v>
      </c>
      <c r="AQ150" s="126"/>
      <c r="AR150" s="274"/>
      <c r="AS150" s="126"/>
      <c r="AT150" s="126"/>
      <c r="AU150" s="126"/>
      <c r="AV150" s="126"/>
      <c r="AW150" s="126"/>
      <c r="AX150" s="274"/>
      <c r="AY150" s="274"/>
      <c r="AZ150" s="274"/>
      <c r="BA150" s="274"/>
      <c r="BB150" s="222">
        <f t="shared" si="52"/>
        <v>0</v>
      </c>
      <c r="BC150" s="140">
        <f t="shared" si="53"/>
        <v>0</v>
      </c>
      <c r="BD150" s="132"/>
      <c r="BE150" s="140">
        <f t="shared" si="54"/>
        <v>0</v>
      </c>
      <c r="BF150" s="141"/>
      <c r="BG150" s="141"/>
      <c r="BH150" s="141"/>
      <c r="BI150" s="141"/>
      <c r="BJ150" s="141"/>
      <c r="BK150" s="141"/>
      <c r="BL150" s="141"/>
      <c r="BM150" s="141"/>
      <c r="BN150" s="141"/>
      <c r="BO150" s="141"/>
      <c r="BP150" s="141"/>
      <c r="BQ150" s="141"/>
      <c r="BR150" s="141"/>
      <c r="BS150" s="130">
        <f t="shared" si="55"/>
        <v>0</v>
      </c>
      <c r="BT150" s="132"/>
    </row>
    <row r="151" ht="14.25" customHeight="1">
      <c r="A151" s="132"/>
      <c r="B151" s="215">
        <v>46154</v>
      </c>
      <c r="C151" s="136"/>
      <c r="D151" s="136"/>
      <c r="E151" s="135"/>
      <c r="F151" s="135"/>
      <c r="G151" s="147">
        <f t="shared" si="47"/>
        <v>0</v>
      </c>
      <c r="H151" s="144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03">
        <f t="shared" si="48"/>
        <v>0</v>
      </c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  <c r="AF151" s="143"/>
      <c r="AG151" s="103">
        <f t="shared" si="49"/>
        <v>0</v>
      </c>
      <c r="AH151" s="136"/>
      <c r="AI151" s="136"/>
      <c r="AJ151" s="136"/>
      <c r="AK151" s="105">
        <f t="shared" si="50"/>
        <v>0</v>
      </c>
      <c r="AL151" s="143"/>
      <c r="AM151" s="143"/>
      <c r="AN151" s="143"/>
      <c r="AO151" s="146"/>
      <c r="AP151" s="224">
        <f t="shared" si="51"/>
        <v>0</v>
      </c>
      <c r="AQ151" s="126"/>
      <c r="AR151" s="274"/>
      <c r="AS151" s="126"/>
      <c r="AT151" s="126"/>
      <c r="AU151" s="126"/>
      <c r="AV151" s="126"/>
      <c r="AW151" s="126"/>
      <c r="AX151" s="274"/>
      <c r="AY151" s="274"/>
      <c r="AZ151" s="274"/>
      <c r="BA151" s="274"/>
      <c r="BB151" s="222">
        <f t="shared" si="52"/>
        <v>0</v>
      </c>
      <c r="BC151" s="140">
        <f t="shared" si="53"/>
        <v>0</v>
      </c>
      <c r="BD151" s="132"/>
      <c r="BE151" s="140">
        <f t="shared" si="54"/>
        <v>0</v>
      </c>
      <c r="BF151" s="141"/>
      <c r="BG151" s="141"/>
      <c r="BH151" s="141"/>
      <c r="BI151" s="141"/>
      <c r="BJ151" s="141"/>
      <c r="BK151" s="141"/>
      <c r="BL151" s="141"/>
      <c r="BM151" s="141"/>
      <c r="BN151" s="141"/>
      <c r="BO151" s="141"/>
      <c r="BP151" s="141"/>
      <c r="BQ151" s="141"/>
      <c r="BR151" s="141"/>
      <c r="BS151" s="130">
        <f t="shared" si="55"/>
        <v>0</v>
      </c>
      <c r="BT151" s="132"/>
    </row>
    <row r="152" ht="14.25" customHeight="1">
      <c r="A152" s="132"/>
      <c r="B152" s="215">
        <v>46155</v>
      </c>
      <c r="C152" s="136"/>
      <c r="D152" s="136"/>
      <c r="E152" s="135"/>
      <c r="F152" s="135"/>
      <c r="G152" s="147">
        <f t="shared" si="47"/>
        <v>0</v>
      </c>
      <c r="H152" s="144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03">
        <f t="shared" si="48"/>
        <v>0</v>
      </c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  <c r="AF152" s="143"/>
      <c r="AG152" s="103">
        <f t="shared" si="49"/>
        <v>0</v>
      </c>
      <c r="AH152" s="136"/>
      <c r="AI152" s="136"/>
      <c r="AJ152" s="136"/>
      <c r="AK152" s="105">
        <f t="shared" si="50"/>
        <v>0</v>
      </c>
      <c r="AL152" s="143"/>
      <c r="AM152" s="143"/>
      <c r="AN152" s="143"/>
      <c r="AO152" s="146"/>
      <c r="AP152" s="224">
        <f t="shared" si="51"/>
        <v>0</v>
      </c>
      <c r="AQ152" s="126"/>
      <c r="AR152" s="274"/>
      <c r="AS152" s="126"/>
      <c r="AT152" s="126"/>
      <c r="AU152" s="126"/>
      <c r="AV152" s="126"/>
      <c r="AW152" s="126"/>
      <c r="AX152" s="274"/>
      <c r="AY152" s="274"/>
      <c r="AZ152" s="274"/>
      <c r="BA152" s="274"/>
      <c r="BB152" s="222">
        <f t="shared" si="52"/>
        <v>0</v>
      </c>
      <c r="BC152" s="140">
        <f t="shared" si="53"/>
        <v>0</v>
      </c>
      <c r="BD152" s="132"/>
      <c r="BE152" s="140">
        <f t="shared" si="54"/>
        <v>0</v>
      </c>
      <c r="BF152" s="141"/>
      <c r="BG152" s="141"/>
      <c r="BH152" s="141"/>
      <c r="BI152" s="141"/>
      <c r="BJ152" s="141"/>
      <c r="BK152" s="141"/>
      <c r="BL152" s="141"/>
      <c r="BM152" s="141"/>
      <c r="BN152" s="141"/>
      <c r="BO152" s="141"/>
      <c r="BP152" s="141"/>
      <c r="BQ152" s="141"/>
      <c r="BR152" s="141"/>
      <c r="BS152" s="130">
        <f t="shared" si="55"/>
        <v>0</v>
      </c>
      <c r="BT152" s="132"/>
    </row>
    <row r="153" ht="14.25" customHeight="1">
      <c r="A153" s="132"/>
      <c r="B153" s="215">
        <v>46156</v>
      </c>
      <c r="C153" s="136"/>
      <c r="D153" s="136"/>
      <c r="E153" s="135"/>
      <c r="F153" s="135"/>
      <c r="G153" s="147">
        <f t="shared" si="47"/>
        <v>0</v>
      </c>
      <c r="H153" s="144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03">
        <f t="shared" si="48"/>
        <v>0</v>
      </c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  <c r="AF153" s="143"/>
      <c r="AG153" s="103">
        <f t="shared" si="49"/>
        <v>0</v>
      </c>
      <c r="AH153" s="136"/>
      <c r="AI153" s="136"/>
      <c r="AJ153" s="136"/>
      <c r="AK153" s="105">
        <f t="shared" si="50"/>
        <v>0</v>
      </c>
      <c r="AL153" s="143"/>
      <c r="AM153" s="143"/>
      <c r="AN153" s="143"/>
      <c r="AO153" s="146"/>
      <c r="AP153" s="224">
        <f t="shared" si="51"/>
        <v>0</v>
      </c>
      <c r="AQ153" s="126"/>
      <c r="AR153" s="274"/>
      <c r="AS153" s="126"/>
      <c r="AT153" s="126"/>
      <c r="AU153" s="126"/>
      <c r="AV153" s="126"/>
      <c r="AW153" s="126"/>
      <c r="AX153" s="274"/>
      <c r="AY153" s="274"/>
      <c r="AZ153" s="274"/>
      <c r="BA153" s="274"/>
      <c r="BB153" s="222">
        <f t="shared" si="52"/>
        <v>0</v>
      </c>
      <c r="BC153" s="140">
        <f t="shared" si="53"/>
        <v>0</v>
      </c>
      <c r="BD153" s="132"/>
      <c r="BE153" s="140">
        <f t="shared" si="54"/>
        <v>0</v>
      </c>
      <c r="BF153" s="141"/>
      <c r="BG153" s="141"/>
      <c r="BH153" s="141"/>
      <c r="BI153" s="141"/>
      <c r="BJ153" s="141"/>
      <c r="BK153" s="141"/>
      <c r="BL153" s="141"/>
      <c r="BM153" s="141"/>
      <c r="BN153" s="141"/>
      <c r="BO153" s="141"/>
      <c r="BP153" s="141"/>
      <c r="BQ153" s="141"/>
      <c r="BR153" s="141"/>
      <c r="BS153" s="130">
        <f t="shared" si="55"/>
        <v>0</v>
      </c>
      <c r="BT153" s="132"/>
    </row>
    <row r="154" ht="14.25" customHeight="1">
      <c r="A154" s="132"/>
      <c r="B154" s="215">
        <v>46157</v>
      </c>
      <c r="C154" s="136"/>
      <c r="D154" s="136"/>
      <c r="E154" s="135"/>
      <c r="F154" s="135"/>
      <c r="G154" s="147">
        <f t="shared" si="47"/>
        <v>0</v>
      </c>
      <c r="H154" s="144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03">
        <f t="shared" si="48"/>
        <v>0</v>
      </c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  <c r="AF154" s="143"/>
      <c r="AG154" s="103">
        <f t="shared" si="49"/>
        <v>0</v>
      </c>
      <c r="AH154" s="136"/>
      <c r="AI154" s="136"/>
      <c r="AJ154" s="136"/>
      <c r="AK154" s="105">
        <f t="shared" si="50"/>
        <v>0</v>
      </c>
      <c r="AL154" s="143"/>
      <c r="AM154" s="143"/>
      <c r="AN154" s="143"/>
      <c r="AO154" s="146"/>
      <c r="AP154" s="224">
        <f t="shared" si="51"/>
        <v>0</v>
      </c>
      <c r="AQ154" s="126"/>
      <c r="AR154" s="274"/>
      <c r="AS154" s="126"/>
      <c r="AT154" s="126"/>
      <c r="AU154" s="126"/>
      <c r="AV154" s="126"/>
      <c r="AW154" s="126"/>
      <c r="AX154" s="274"/>
      <c r="AY154" s="274"/>
      <c r="AZ154" s="274"/>
      <c r="BA154" s="274"/>
      <c r="BB154" s="222">
        <f t="shared" si="52"/>
        <v>0</v>
      </c>
      <c r="BC154" s="140">
        <f t="shared" si="53"/>
        <v>0</v>
      </c>
      <c r="BD154" s="132"/>
      <c r="BE154" s="140">
        <f t="shared" si="54"/>
        <v>0</v>
      </c>
      <c r="BF154" s="141"/>
      <c r="BG154" s="141"/>
      <c r="BH154" s="141"/>
      <c r="BI154" s="141"/>
      <c r="BJ154" s="141"/>
      <c r="BK154" s="141"/>
      <c r="BL154" s="141"/>
      <c r="BM154" s="141"/>
      <c r="BN154" s="141"/>
      <c r="BO154" s="141"/>
      <c r="BP154" s="141"/>
      <c r="BQ154" s="141"/>
      <c r="BR154" s="141"/>
      <c r="BS154" s="130">
        <f t="shared" si="55"/>
        <v>0</v>
      </c>
      <c r="BT154" s="132"/>
    </row>
    <row r="155" ht="14.25" customHeight="1">
      <c r="A155" s="132"/>
      <c r="B155" s="215">
        <v>46158</v>
      </c>
      <c r="C155" s="136"/>
      <c r="D155" s="136"/>
      <c r="E155" s="135"/>
      <c r="F155" s="135"/>
      <c r="G155" s="147">
        <f t="shared" si="47"/>
        <v>0</v>
      </c>
      <c r="H155" s="144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03">
        <f t="shared" si="48"/>
        <v>0</v>
      </c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03">
        <f t="shared" si="49"/>
        <v>0</v>
      </c>
      <c r="AH155" s="136"/>
      <c r="AI155" s="136"/>
      <c r="AJ155" s="136"/>
      <c r="AK155" s="105">
        <f t="shared" si="50"/>
        <v>0</v>
      </c>
      <c r="AL155" s="143"/>
      <c r="AM155" s="143"/>
      <c r="AN155" s="143"/>
      <c r="AO155" s="146"/>
      <c r="AP155" s="224">
        <f t="shared" si="51"/>
        <v>0</v>
      </c>
      <c r="AQ155" s="126"/>
      <c r="AR155" s="274"/>
      <c r="AS155" s="126"/>
      <c r="AT155" s="126"/>
      <c r="AU155" s="126"/>
      <c r="AV155" s="126"/>
      <c r="AW155" s="126"/>
      <c r="AX155" s="274"/>
      <c r="AY155" s="274"/>
      <c r="AZ155" s="274"/>
      <c r="BA155" s="274"/>
      <c r="BB155" s="222">
        <f t="shared" si="52"/>
        <v>0</v>
      </c>
      <c r="BC155" s="140">
        <f t="shared" si="53"/>
        <v>0</v>
      </c>
      <c r="BD155" s="132"/>
      <c r="BE155" s="140">
        <f t="shared" si="54"/>
        <v>0</v>
      </c>
      <c r="BF155" s="141"/>
      <c r="BG155" s="141"/>
      <c r="BH155" s="141"/>
      <c r="BI155" s="141"/>
      <c r="BJ155" s="141"/>
      <c r="BK155" s="141"/>
      <c r="BL155" s="141"/>
      <c r="BM155" s="141"/>
      <c r="BN155" s="141"/>
      <c r="BO155" s="141"/>
      <c r="BP155" s="141"/>
      <c r="BQ155" s="141"/>
      <c r="BR155" s="141"/>
      <c r="BS155" s="130">
        <f t="shared" si="55"/>
        <v>0</v>
      </c>
      <c r="BT155" s="132"/>
    </row>
    <row r="156" ht="14.25" customHeight="1">
      <c r="A156" s="132"/>
      <c r="B156" s="215">
        <v>46159</v>
      </c>
      <c r="C156" s="136"/>
      <c r="D156" s="136"/>
      <c r="E156" s="135"/>
      <c r="F156" s="135"/>
      <c r="G156" s="147">
        <f t="shared" si="47"/>
        <v>0</v>
      </c>
      <c r="H156" s="144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03">
        <f t="shared" si="48"/>
        <v>0</v>
      </c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  <c r="AF156" s="143"/>
      <c r="AG156" s="103">
        <f t="shared" si="49"/>
        <v>0</v>
      </c>
      <c r="AH156" s="136"/>
      <c r="AI156" s="136"/>
      <c r="AJ156" s="136"/>
      <c r="AK156" s="105">
        <f t="shared" si="50"/>
        <v>0</v>
      </c>
      <c r="AL156" s="143"/>
      <c r="AM156" s="143"/>
      <c r="AN156" s="143"/>
      <c r="AO156" s="146"/>
      <c r="AP156" s="224">
        <f t="shared" si="51"/>
        <v>0</v>
      </c>
      <c r="AQ156" s="126"/>
      <c r="AR156" s="274"/>
      <c r="AS156" s="126"/>
      <c r="AT156" s="126"/>
      <c r="AU156" s="126"/>
      <c r="AV156" s="126"/>
      <c r="AW156" s="126"/>
      <c r="AX156" s="274"/>
      <c r="AY156" s="274"/>
      <c r="AZ156" s="274"/>
      <c r="BA156" s="274"/>
      <c r="BB156" s="222">
        <f t="shared" si="52"/>
        <v>0</v>
      </c>
      <c r="BC156" s="140">
        <f t="shared" si="53"/>
        <v>0</v>
      </c>
      <c r="BD156" s="132"/>
      <c r="BE156" s="140">
        <f t="shared" si="54"/>
        <v>0</v>
      </c>
      <c r="BF156" s="141"/>
      <c r="BG156" s="141"/>
      <c r="BH156" s="141"/>
      <c r="BI156" s="141"/>
      <c r="BJ156" s="141"/>
      <c r="BK156" s="141"/>
      <c r="BL156" s="141"/>
      <c r="BM156" s="141"/>
      <c r="BN156" s="141"/>
      <c r="BO156" s="141"/>
      <c r="BP156" s="141"/>
      <c r="BQ156" s="141"/>
      <c r="BR156" s="141"/>
      <c r="BS156" s="130">
        <f t="shared" si="55"/>
        <v>0</v>
      </c>
      <c r="BT156" s="132"/>
    </row>
    <row r="157" ht="14.25" customHeight="1">
      <c r="A157" s="132"/>
      <c r="B157" s="215">
        <v>46160</v>
      </c>
      <c r="C157" s="136"/>
      <c r="D157" s="136"/>
      <c r="E157" s="135"/>
      <c r="F157" s="135"/>
      <c r="G157" s="147">
        <f t="shared" si="47"/>
        <v>0</v>
      </c>
      <c r="H157" s="144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03">
        <f t="shared" si="48"/>
        <v>0</v>
      </c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  <c r="AF157" s="143"/>
      <c r="AG157" s="103">
        <f t="shared" si="49"/>
        <v>0</v>
      </c>
      <c r="AH157" s="136"/>
      <c r="AI157" s="136"/>
      <c r="AJ157" s="136"/>
      <c r="AK157" s="105">
        <f t="shared" si="50"/>
        <v>0</v>
      </c>
      <c r="AL157" s="143"/>
      <c r="AM157" s="143"/>
      <c r="AN157" s="143"/>
      <c r="AO157" s="146"/>
      <c r="AP157" s="224">
        <f t="shared" si="51"/>
        <v>0</v>
      </c>
      <c r="AQ157" s="126"/>
      <c r="AR157" s="274"/>
      <c r="AS157" s="126"/>
      <c r="AT157" s="126"/>
      <c r="AU157" s="126"/>
      <c r="AV157" s="126"/>
      <c r="AW157" s="126"/>
      <c r="AX157" s="274"/>
      <c r="AY157" s="274"/>
      <c r="AZ157" s="274"/>
      <c r="BA157" s="274"/>
      <c r="BB157" s="222">
        <f t="shared" si="52"/>
        <v>0</v>
      </c>
      <c r="BC157" s="140">
        <f t="shared" si="53"/>
        <v>0</v>
      </c>
      <c r="BD157" s="132"/>
      <c r="BE157" s="140">
        <f t="shared" si="54"/>
        <v>0</v>
      </c>
      <c r="BF157" s="141"/>
      <c r="BG157" s="141"/>
      <c r="BH157" s="141"/>
      <c r="BI157" s="141"/>
      <c r="BJ157" s="141"/>
      <c r="BK157" s="141"/>
      <c r="BL157" s="141"/>
      <c r="BM157" s="141"/>
      <c r="BN157" s="141"/>
      <c r="BO157" s="141"/>
      <c r="BP157" s="141"/>
      <c r="BQ157" s="141"/>
      <c r="BR157" s="141"/>
      <c r="BS157" s="130">
        <f t="shared" si="55"/>
        <v>0</v>
      </c>
      <c r="BT157" s="132"/>
    </row>
    <row r="158" ht="14.25" customHeight="1">
      <c r="A158" s="132"/>
      <c r="B158" s="215">
        <v>46161</v>
      </c>
      <c r="C158" s="136"/>
      <c r="D158" s="136"/>
      <c r="E158" s="135"/>
      <c r="F158" s="135"/>
      <c r="G158" s="147">
        <f t="shared" si="47"/>
        <v>0</v>
      </c>
      <c r="H158" s="144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03">
        <f t="shared" si="48"/>
        <v>0</v>
      </c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03">
        <f t="shared" si="49"/>
        <v>0</v>
      </c>
      <c r="AH158" s="136"/>
      <c r="AI158" s="136"/>
      <c r="AJ158" s="136"/>
      <c r="AK158" s="105">
        <f t="shared" si="50"/>
        <v>0</v>
      </c>
      <c r="AL158" s="143"/>
      <c r="AM158" s="143"/>
      <c r="AN158" s="143"/>
      <c r="AO158" s="146"/>
      <c r="AP158" s="224">
        <f t="shared" si="51"/>
        <v>0</v>
      </c>
      <c r="AQ158" s="126"/>
      <c r="AR158" s="274"/>
      <c r="AS158" s="126"/>
      <c r="AT158" s="126"/>
      <c r="AU158" s="126"/>
      <c r="AV158" s="126"/>
      <c r="AW158" s="126"/>
      <c r="AX158" s="274"/>
      <c r="AY158" s="274"/>
      <c r="AZ158" s="274"/>
      <c r="BA158" s="274"/>
      <c r="BB158" s="222">
        <f t="shared" si="52"/>
        <v>0</v>
      </c>
      <c r="BC158" s="140">
        <f t="shared" si="53"/>
        <v>0</v>
      </c>
      <c r="BD158" s="132"/>
      <c r="BE158" s="140">
        <f t="shared" si="54"/>
        <v>0</v>
      </c>
      <c r="BF158" s="141"/>
      <c r="BG158" s="141"/>
      <c r="BH158" s="141"/>
      <c r="BI158" s="141"/>
      <c r="BJ158" s="141"/>
      <c r="BK158" s="141"/>
      <c r="BL158" s="141"/>
      <c r="BM158" s="141"/>
      <c r="BN158" s="141"/>
      <c r="BO158" s="141"/>
      <c r="BP158" s="141"/>
      <c r="BQ158" s="141"/>
      <c r="BR158" s="141"/>
      <c r="BS158" s="130">
        <f t="shared" si="55"/>
        <v>0</v>
      </c>
      <c r="BT158" s="132"/>
    </row>
    <row r="159" ht="14.25" customHeight="1">
      <c r="A159" s="132"/>
      <c r="B159" s="215">
        <v>46162</v>
      </c>
      <c r="C159" s="136"/>
      <c r="D159" s="136"/>
      <c r="E159" s="135"/>
      <c r="F159" s="135"/>
      <c r="G159" s="147">
        <f t="shared" si="47"/>
        <v>0</v>
      </c>
      <c r="H159" s="144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03">
        <f t="shared" si="48"/>
        <v>0</v>
      </c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  <c r="AF159" s="143"/>
      <c r="AG159" s="103">
        <f t="shared" si="49"/>
        <v>0</v>
      </c>
      <c r="AH159" s="136"/>
      <c r="AI159" s="136"/>
      <c r="AJ159" s="136"/>
      <c r="AK159" s="105">
        <f t="shared" si="50"/>
        <v>0</v>
      </c>
      <c r="AL159" s="143"/>
      <c r="AM159" s="143"/>
      <c r="AN159" s="143"/>
      <c r="AO159" s="146"/>
      <c r="AP159" s="224">
        <f t="shared" si="51"/>
        <v>0</v>
      </c>
      <c r="AQ159" s="126"/>
      <c r="AR159" s="274"/>
      <c r="AS159" s="126"/>
      <c r="AT159" s="126"/>
      <c r="AU159" s="126"/>
      <c r="AV159" s="126"/>
      <c r="AW159" s="126"/>
      <c r="AX159" s="274"/>
      <c r="AY159" s="274"/>
      <c r="AZ159" s="274"/>
      <c r="BA159" s="274"/>
      <c r="BB159" s="222">
        <f t="shared" si="52"/>
        <v>0</v>
      </c>
      <c r="BC159" s="140">
        <f t="shared" si="53"/>
        <v>0</v>
      </c>
      <c r="BD159" s="132"/>
      <c r="BE159" s="140">
        <f t="shared" si="54"/>
        <v>0</v>
      </c>
      <c r="BF159" s="141"/>
      <c r="BG159" s="141"/>
      <c r="BH159" s="141"/>
      <c r="BI159" s="141"/>
      <c r="BJ159" s="141"/>
      <c r="BK159" s="141"/>
      <c r="BL159" s="141"/>
      <c r="BM159" s="141"/>
      <c r="BN159" s="141"/>
      <c r="BO159" s="141"/>
      <c r="BP159" s="141"/>
      <c r="BQ159" s="141"/>
      <c r="BR159" s="141"/>
      <c r="BS159" s="130">
        <f t="shared" si="55"/>
        <v>0</v>
      </c>
      <c r="BT159" s="132"/>
    </row>
    <row r="160" ht="14.25" customHeight="1">
      <c r="A160" s="132"/>
      <c r="B160" s="215">
        <v>46163</v>
      </c>
      <c r="C160" s="136"/>
      <c r="D160" s="136"/>
      <c r="E160" s="135"/>
      <c r="F160" s="135"/>
      <c r="G160" s="147">
        <f t="shared" si="47"/>
        <v>0</v>
      </c>
      <c r="H160" s="144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03">
        <f t="shared" si="48"/>
        <v>0</v>
      </c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  <c r="AF160" s="143"/>
      <c r="AG160" s="103">
        <f t="shared" si="49"/>
        <v>0</v>
      </c>
      <c r="AH160" s="136"/>
      <c r="AI160" s="136"/>
      <c r="AJ160" s="136"/>
      <c r="AK160" s="105">
        <f t="shared" si="50"/>
        <v>0</v>
      </c>
      <c r="AL160" s="143"/>
      <c r="AM160" s="143"/>
      <c r="AN160" s="143"/>
      <c r="AO160" s="146"/>
      <c r="AP160" s="224">
        <f t="shared" si="51"/>
        <v>0</v>
      </c>
      <c r="AQ160" s="126"/>
      <c r="AR160" s="274"/>
      <c r="AS160" s="126"/>
      <c r="AT160" s="126"/>
      <c r="AU160" s="126"/>
      <c r="AV160" s="126"/>
      <c r="AW160" s="126"/>
      <c r="AX160" s="274"/>
      <c r="AY160" s="274"/>
      <c r="AZ160" s="274"/>
      <c r="BA160" s="274"/>
      <c r="BB160" s="222">
        <f t="shared" si="52"/>
        <v>0</v>
      </c>
      <c r="BC160" s="140">
        <f t="shared" si="53"/>
        <v>0</v>
      </c>
      <c r="BD160" s="132"/>
      <c r="BE160" s="140">
        <f t="shared" si="54"/>
        <v>0</v>
      </c>
      <c r="BF160" s="141"/>
      <c r="BG160" s="141"/>
      <c r="BH160" s="141"/>
      <c r="BI160" s="141"/>
      <c r="BJ160" s="141"/>
      <c r="BK160" s="141"/>
      <c r="BL160" s="141"/>
      <c r="BM160" s="141"/>
      <c r="BN160" s="141"/>
      <c r="BO160" s="141"/>
      <c r="BP160" s="141"/>
      <c r="BQ160" s="141"/>
      <c r="BR160" s="141"/>
      <c r="BS160" s="130">
        <f t="shared" si="55"/>
        <v>0</v>
      </c>
      <c r="BT160" s="132"/>
    </row>
    <row r="161" ht="14.25" customHeight="1">
      <c r="A161" s="132"/>
      <c r="B161" s="215">
        <v>46164</v>
      </c>
      <c r="C161" s="136"/>
      <c r="D161" s="136"/>
      <c r="E161" s="135"/>
      <c r="F161" s="135"/>
      <c r="G161" s="147">
        <f t="shared" si="47"/>
        <v>0</v>
      </c>
      <c r="H161" s="144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03">
        <f t="shared" si="48"/>
        <v>0</v>
      </c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  <c r="AF161" s="143"/>
      <c r="AG161" s="103">
        <f t="shared" si="49"/>
        <v>0</v>
      </c>
      <c r="AH161" s="136"/>
      <c r="AI161" s="136"/>
      <c r="AJ161" s="136"/>
      <c r="AK161" s="105">
        <f t="shared" si="50"/>
        <v>0</v>
      </c>
      <c r="AL161" s="143"/>
      <c r="AM161" s="143"/>
      <c r="AN161" s="143"/>
      <c r="AO161" s="146"/>
      <c r="AP161" s="224">
        <f t="shared" si="51"/>
        <v>0</v>
      </c>
      <c r="AQ161" s="126"/>
      <c r="AR161" s="274"/>
      <c r="AS161" s="126"/>
      <c r="AT161" s="126"/>
      <c r="AU161" s="126"/>
      <c r="AV161" s="126"/>
      <c r="AW161" s="126"/>
      <c r="AX161" s="274"/>
      <c r="AY161" s="274"/>
      <c r="AZ161" s="274"/>
      <c r="BA161" s="274"/>
      <c r="BB161" s="222">
        <f t="shared" si="52"/>
        <v>0</v>
      </c>
      <c r="BC161" s="140">
        <f t="shared" si="53"/>
        <v>0</v>
      </c>
      <c r="BD161" s="132"/>
      <c r="BE161" s="140">
        <f t="shared" si="54"/>
        <v>0</v>
      </c>
      <c r="BF161" s="141"/>
      <c r="BG161" s="141"/>
      <c r="BH161" s="141"/>
      <c r="BI161" s="141"/>
      <c r="BJ161" s="141"/>
      <c r="BK161" s="141"/>
      <c r="BL161" s="141"/>
      <c r="BM161" s="141"/>
      <c r="BN161" s="141"/>
      <c r="BO161" s="141"/>
      <c r="BP161" s="141"/>
      <c r="BQ161" s="141"/>
      <c r="BR161" s="141"/>
      <c r="BS161" s="130">
        <f t="shared" si="55"/>
        <v>0</v>
      </c>
      <c r="BT161" s="132"/>
    </row>
    <row r="162" ht="14.25" customHeight="1">
      <c r="A162" s="132"/>
      <c r="B162" s="215">
        <v>46165</v>
      </c>
      <c r="C162" s="136"/>
      <c r="D162" s="136"/>
      <c r="E162" s="135"/>
      <c r="F162" s="135"/>
      <c r="G162" s="147">
        <f t="shared" si="47"/>
        <v>0</v>
      </c>
      <c r="H162" s="144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03">
        <f t="shared" si="48"/>
        <v>0</v>
      </c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  <c r="AF162" s="143"/>
      <c r="AG162" s="103">
        <f t="shared" si="49"/>
        <v>0</v>
      </c>
      <c r="AH162" s="136"/>
      <c r="AI162" s="136"/>
      <c r="AJ162" s="136"/>
      <c r="AK162" s="105">
        <f t="shared" si="50"/>
        <v>0</v>
      </c>
      <c r="AL162" s="143"/>
      <c r="AM162" s="143"/>
      <c r="AN162" s="143"/>
      <c r="AO162" s="146"/>
      <c r="AP162" s="224">
        <f t="shared" si="51"/>
        <v>0</v>
      </c>
      <c r="AQ162" s="126"/>
      <c r="AR162" s="274"/>
      <c r="AS162" s="126"/>
      <c r="AT162" s="126"/>
      <c r="AU162" s="126"/>
      <c r="AV162" s="126"/>
      <c r="AW162" s="126"/>
      <c r="AX162" s="274"/>
      <c r="AY162" s="274"/>
      <c r="AZ162" s="274"/>
      <c r="BA162" s="274"/>
      <c r="BB162" s="222">
        <f t="shared" si="52"/>
        <v>0</v>
      </c>
      <c r="BC162" s="140">
        <f t="shared" si="53"/>
        <v>0</v>
      </c>
      <c r="BD162" s="132"/>
      <c r="BE162" s="140">
        <f t="shared" si="54"/>
        <v>0</v>
      </c>
      <c r="BF162" s="141"/>
      <c r="BG162" s="141"/>
      <c r="BH162" s="141"/>
      <c r="BI162" s="141"/>
      <c r="BJ162" s="141"/>
      <c r="BK162" s="141"/>
      <c r="BL162" s="141"/>
      <c r="BM162" s="141"/>
      <c r="BN162" s="141"/>
      <c r="BO162" s="141"/>
      <c r="BP162" s="141"/>
      <c r="BQ162" s="141"/>
      <c r="BR162" s="141"/>
      <c r="BS162" s="130">
        <f t="shared" si="55"/>
        <v>0</v>
      </c>
      <c r="BT162" s="132"/>
    </row>
    <row r="163" ht="14.25" customHeight="1">
      <c r="A163" s="132"/>
      <c r="B163" s="215">
        <v>46166</v>
      </c>
      <c r="C163" s="136"/>
      <c r="D163" s="136"/>
      <c r="E163" s="135"/>
      <c r="F163" s="135"/>
      <c r="G163" s="147">
        <f t="shared" si="47"/>
        <v>0</v>
      </c>
      <c r="H163" s="144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03">
        <f t="shared" si="48"/>
        <v>0</v>
      </c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  <c r="AF163" s="143"/>
      <c r="AG163" s="103">
        <f t="shared" si="49"/>
        <v>0</v>
      </c>
      <c r="AH163" s="136"/>
      <c r="AI163" s="136"/>
      <c r="AJ163" s="136"/>
      <c r="AK163" s="105">
        <f t="shared" si="50"/>
        <v>0</v>
      </c>
      <c r="AL163" s="143"/>
      <c r="AM163" s="143"/>
      <c r="AN163" s="143"/>
      <c r="AO163" s="146"/>
      <c r="AP163" s="224">
        <f t="shared" si="51"/>
        <v>0</v>
      </c>
      <c r="AQ163" s="126"/>
      <c r="AR163" s="274"/>
      <c r="AS163" s="126"/>
      <c r="AT163" s="126"/>
      <c r="AU163" s="126"/>
      <c r="AV163" s="126"/>
      <c r="AW163" s="126"/>
      <c r="AX163" s="274"/>
      <c r="AY163" s="274"/>
      <c r="AZ163" s="274"/>
      <c r="BA163" s="274"/>
      <c r="BB163" s="222">
        <f t="shared" si="52"/>
        <v>0</v>
      </c>
      <c r="BC163" s="140">
        <f t="shared" si="53"/>
        <v>0</v>
      </c>
      <c r="BD163" s="132"/>
      <c r="BE163" s="140">
        <f t="shared" si="54"/>
        <v>0</v>
      </c>
      <c r="BF163" s="141"/>
      <c r="BG163" s="141"/>
      <c r="BH163" s="141"/>
      <c r="BI163" s="141"/>
      <c r="BJ163" s="141"/>
      <c r="BK163" s="141"/>
      <c r="BL163" s="141"/>
      <c r="BM163" s="141"/>
      <c r="BN163" s="141"/>
      <c r="BO163" s="141"/>
      <c r="BP163" s="141"/>
      <c r="BQ163" s="141"/>
      <c r="BR163" s="141"/>
      <c r="BS163" s="130">
        <f t="shared" si="55"/>
        <v>0</v>
      </c>
      <c r="BT163" s="132"/>
    </row>
    <row r="164" ht="14.25" customHeight="1">
      <c r="A164" s="132"/>
      <c r="B164" s="215">
        <v>46167</v>
      </c>
      <c r="C164" s="136"/>
      <c r="D164" s="136"/>
      <c r="E164" s="135"/>
      <c r="F164" s="135"/>
      <c r="G164" s="147">
        <f t="shared" si="47"/>
        <v>0</v>
      </c>
      <c r="H164" s="144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03">
        <f t="shared" si="48"/>
        <v>0</v>
      </c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  <c r="AF164" s="143"/>
      <c r="AG164" s="103">
        <f t="shared" si="49"/>
        <v>0</v>
      </c>
      <c r="AH164" s="136"/>
      <c r="AI164" s="136"/>
      <c r="AJ164" s="136"/>
      <c r="AK164" s="105">
        <f t="shared" si="50"/>
        <v>0</v>
      </c>
      <c r="AL164" s="143"/>
      <c r="AM164" s="143"/>
      <c r="AN164" s="143"/>
      <c r="AO164" s="146"/>
      <c r="AP164" s="224">
        <f t="shared" si="51"/>
        <v>0</v>
      </c>
      <c r="AQ164" s="126"/>
      <c r="AR164" s="274"/>
      <c r="AS164" s="126"/>
      <c r="AT164" s="126"/>
      <c r="AU164" s="126"/>
      <c r="AV164" s="126"/>
      <c r="AW164" s="126"/>
      <c r="AX164" s="274"/>
      <c r="AY164" s="274"/>
      <c r="AZ164" s="274"/>
      <c r="BA164" s="274"/>
      <c r="BB164" s="222">
        <f t="shared" si="52"/>
        <v>0</v>
      </c>
      <c r="BC164" s="140">
        <f t="shared" si="53"/>
        <v>0</v>
      </c>
      <c r="BD164" s="132"/>
      <c r="BE164" s="140">
        <f t="shared" si="54"/>
        <v>0</v>
      </c>
      <c r="BF164" s="141"/>
      <c r="BG164" s="141"/>
      <c r="BH164" s="141"/>
      <c r="BI164" s="141"/>
      <c r="BJ164" s="141"/>
      <c r="BK164" s="141"/>
      <c r="BL164" s="141"/>
      <c r="BM164" s="141"/>
      <c r="BN164" s="141"/>
      <c r="BO164" s="141"/>
      <c r="BP164" s="141"/>
      <c r="BQ164" s="141"/>
      <c r="BR164" s="141"/>
      <c r="BS164" s="130">
        <f t="shared" si="55"/>
        <v>0</v>
      </c>
      <c r="BT164" s="132"/>
    </row>
    <row r="165" ht="14.25" customHeight="1">
      <c r="A165" s="132"/>
      <c r="B165" s="215">
        <v>46168</v>
      </c>
      <c r="C165" s="136"/>
      <c r="D165" s="136"/>
      <c r="E165" s="135"/>
      <c r="F165" s="135"/>
      <c r="G165" s="147">
        <f t="shared" si="47"/>
        <v>0</v>
      </c>
      <c r="H165" s="144"/>
      <c r="I165" s="143"/>
      <c r="J165" s="143"/>
      <c r="K165" s="143"/>
      <c r="L165" s="143"/>
      <c r="M165" s="143"/>
      <c r="N165" s="99"/>
      <c r="O165" s="143"/>
      <c r="P165" s="143"/>
      <c r="Q165" s="143"/>
      <c r="R165" s="143"/>
      <c r="S165" s="143"/>
      <c r="T165" s="103">
        <f t="shared" si="48"/>
        <v>0</v>
      </c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  <c r="AF165" s="143"/>
      <c r="AG165" s="103">
        <f t="shared" si="49"/>
        <v>0</v>
      </c>
      <c r="AH165" s="136"/>
      <c r="AI165" s="136"/>
      <c r="AJ165" s="136"/>
      <c r="AK165" s="105">
        <f t="shared" si="50"/>
        <v>0</v>
      </c>
      <c r="AL165" s="143"/>
      <c r="AM165" s="143"/>
      <c r="AN165" s="143"/>
      <c r="AO165" s="146"/>
      <c r="AP165" s="224">
        <f t="shared" si="51"/>
        <v>0</v>
      </c>
      <c r="AQ165" s="126"/>
      <c r="AR165" s="274"/>
      <c r="AS165" s="126"/>
      <c r="AT165" s="126"/>
      <c r="AU165" s="126"/>
      <c r="AV165" s="126"/>
      <c r="AW165" s="126"/>
      <c r="AX165" s="274"/>
      <c r="AY165" s="274"/>
      <c r="AZ165" s="274"/>
      <c r="BA165" s="274"/>
      <c r="BB165" s="222">
        <f t="shared" si="52"/>
        <v>0</v>
      </c>
      <c r="BC165" s="140">
        <f t="shared" si="53"/>
        <v>0</v>
      </c>
      <c r="BD165" s="132"/>
      <c r="BE165" s="140">
        <f t="shared" si="54"/>
        <v>0</v>
      </c>
      <c r="BF165" s="141"/>
      <c r="BG165" s="141"/>
      <c r="BH165" s="141"/>
      <c r="BI165" s="141"/>
      <c r="BJ165" s="141"/>
      <c r="BK165" s="141"/>
      <c r="BL165" s="141"/>
      <c r="BM165" s="141"/>
      <c r="BN165" s="141"/>
      <c r="BO165" s="141"/>
      <c r="BP165" s="141"/>
      <c r="BQ165" s="141"/>
      <c r="BR165" s="141"/>
      <c r="BS165" s="130">
        <f t="shared" si="55"/>
        <v>0</v>
      </c>
      <c r="BT165" s="132"/>
    </row>
    <row r="166" ht="14.25" customHeight="1">
      <c r="A166" s="132"/>
      <c r="B166" s="215">
        <v>46169</v>
      </c>
      <c r="C166" s="136"/>
      <c r="D166" s="136"/>
      <c r="E166" s="135"/>
      <c r="F166" s="135"/>
      <c r="G166" s="147">
        <f t="shared" si="47"/>
        <v>0</v>
      </c>
      <c r="H166" s="144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03">
        <f t="shared" si="48"/>
        <v>0</v>
      </c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  <c r="AF166" s="143"/>
      <c r="AG166" s="103">
        <f t="shared" si="49"/>
        <v>0</v>
      </c>
      <c r="AH166" s="136"/>
      <c r="AI166" s="136"/>
      <c r="AJ166" s="136"/>
      <c r="AK166" s="105">
        <f t="shared" si="50"/>
        <v>0</v>
      </c>
      <c r="AL166" s="143"/>
      <c r="AM166" s="143"/>
      <c r="AN166" s="143"/>
      <c r="AO166" s="146"/>
      <c r="AP166" s="224">
        <f t="shared" si="51"/>
        <v>0</v>
      </c>
      <c r="AQ166" s="126"/>
      <c r="AR166" s="274"/>
      <c r="AS166" s="126"/>
      <c r="AT166" s="126"/>
      <c r="AU166" s="126"/>
      <c r="AV166" s="126"/>
      <c r="AW166" s="126"/>
      <c r="AX166" s="274"/>
      <c r="AY166" s="274"/>
      <c r="AZ166" s="274"/>
      <c r="BA166" s="274"/>
      <c r="BB166" s="222">
        <f t="shared" si="52"/>
        <v>0</v>
      </c>
      <c r="BC166" s="140">
        <f t="shared" si="53"/>
        <v>0</v>
      </c>
      <c r="BD166" s="132"/>
      <c r="BE166" s="140">
        <f t="shared" si="54"/>
        <v>0</v>
      </c>
      <c r="BF166" s="141"/>
      <c r="BG166" s="141"/>
      <c r="BH166" s="141"/>
      <c r="BI166" s="141"/>
      <c r="BJ166" s="141"/>
      <c r="BK166" s="141"/>
      <c r="BL166" s="141"/>
      <c r="BM166" s="141"/>
      <c r="BN166" s="141"/>
      <c r="BO166" s="141"/>
      <c r="BP166" s="141"/>
      <c r="BQ166" s="141"/>
      <c r="BR166" s="141"/>
      <c r="BS166" s="130">
        <f t="shared" si="55"/>
        <v>0</v>
      </c>
      <c r="BT166" s="132"/>
    </row>
    <row r="167" ht="14.25" customHeight="1">
      <c r="A167" s="132"/>
      <c r="B167" s="215">
        <v>46170</v>
      </c>
      <c r="C167" s="136"/>
      <c r="D167" s="136"/>
      <c r="E167" s="135"/>
      <c r="F167" s="135"/>
      <c r="G167" s="147">
        <f t="shared" si="47"/>
        <v>0</v>
      </c>
      <c r="H167" s="144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03">
        <f t="shared" si="48"/>
        <v>0</v>
      </c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  <c r="AF167" s="143"/>
      <c r="AG167" s="103">
        <f t="shared" si="49"/>
        <v>0</v>
      </c>
      <c r="AH167" s="136"/>
      <c r="AI167" s="136"/>
      <c r="AJ167" s="136"/>
      <c r="AK167" s="105">
        <f t="shared" si="50"/>
        <v>0</v>
      </c>
      <c r="AL167" s="143"/>
      <c r="AM167" s="143"/>
      <c r="AN167" s="143"/>
      <c r="AO167" s="146"/>
      <c r="AP167" s="224">
        <f t="shared" si="51"/>
        <v>0</v>
      </c>
      <c r="AQ167" s="126"/>
      <c r="AR167" s="274"/>
      <c r="AS167" s="126"/>
      <c r="AT167" s="126"/>
      <c r="AU167" s="126"/>
      <c r="AV167" s="126"/>
      <c r="AW167" s="126"/>
      <c r="AX167" s="274"/>
      <c r="AY167" s="274"/>
      <c r="AZ167" s="274"/>
      <c r="BA167" s="274"/>
      <c r="BB167" s="222">
        <f t="shared" si="52"/>
        <v>0</v>
      </c>
      <c r="BC167" s="140">
        <f t="shared" si="53"/>
        <v>0</v>
      </c>
      <c r="BD167" s="132"/>
      <c r="BE167" s="140">
        <f t="shared" si="54"/>
        <v>0</v>
      </c>
      <c r="BF167" s="141"/>
      <c r="BG167" s="141"/>
      <c r="BH167" s="141"/>
      <c r="BI167" s="141"/>
      <c r="BJ167" s="141"/>
      <c r="BK167" s="141"/>
      <c r="BL167" s="141"/>
      <c r="BM167" s="141"/>
      <c r="BN167" s="141"/>
      <c r="BO167" s="141"/>
      <c r="BP167" s="141"/>
      <c r="BQ167" s="141"/>
      <c r="BR167" s="141"/>
      <c r="BS167" s="130">
        <f t="shared" si="55"/>
        <v>0</v>
      </c>
      <c r="BT167" s="132"/>
    </row>
    <row r="168" ht="14.25" customHeight="1">
      <c r="A168" s="132"/>
      <c r="B168" s="215">
        <v>46171</v>
      </c>
      <c r="C168" s="136"/>
      <c r="D168" s="136"/>
      <c r="E168" s="135"/>
      <c r="F168" s="135"/>
      <c r="G168" s="147">
        <f t="shared" si="47"/>
        <v>0</v>
      </c>
      <c r="H168" s="144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03">
        <f t="shared" si="48"/>
        <v>0</v>
      </c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  <c r="AF168" s="143"/>
      <c r="AG168" s="103">
        <f t="shared" si="49"/>
        <v>0</v>
      </c>
      <c r="AH168" s="136"/>
      <c r="AI168" s="136"/>
      <c r="AJ168" s="136"/>
      <c r="AK168" s="105">
        <f t="shared" si="50"/>
        <v>0</v>
      </c>
      <c r="AL168" s="143"/>
      <c r="AM168" s="143"/>
      <c r="AN168" s="143"/>
      <c r="AO168" s="146"/>
      <c r="AP168" s="224">
        <f t="shared" si="51"/>
        <v>0</v>
      </c>
      <c r="AQ168" s="126"/>
      <c r="AR168" s="274"/>
      <c r="AS168" s="126"/>
      <c r="AT168" s="126"/>
      <c r="AU168" s="126"/>
      <c r="AV168" s="126"/>
      <c r="AW168" s="126"/>
      <c r="AX168" s="274"/>
      <c r="AY168" s="274"/>
      <c r="AZ168" s="274"/>
      <c r="BA168" s="274"/>
      <c r="BB168" s="222">
        <f t="shared" si="52"/>
        <v>0</v>
      </c>
      <c r="BC168" s="140">
        <f t="shared" si="53"/>
        <v>0</v>
      </c>
      <c r="BD168" s="132"/>
      <c r="BE168" s="140">
        <f t="shared" si="54"/>
        <v>0</v>
      </c>
      <c r="BF168" s="141"/>
      <c r="BG168" s="141"/>
      <c r="BH168" s="141"/>
      <c r="BI168" s="141"/>
      <c r="BJ168" s="141"/>
      <c r="BK168" s="141"/>
      <c r="BL168" s="141"/>
      <c r="BM168" s="141"/>
      <c r="BN168" s="141"/>
      <c r="BO168" s="141"/>
      <c r="BP168" s="141"/>
      <c r="BQ168" s="141"/>
      <c r="BR168" s="141"/>
      <c r="BS168" s="130">
        <f t="shared" si="55"/>
        <v>0</v>
      </c>
      <c r="BT168" s="132"/>
    </row>
    <row r="169" ht="14.25" customHeight="1">
      <c r="A169" s="132"/>
      <c r="B169" s="215">
        <v>46172</v>
      </c>
      <c r="C169" s="136"/>
      <c r="D169" s="136"/>
      <c r="E169" s="135"/>
      <c r="F169" s="135"/>
      <c r="G169" s="147">
        <f t="shared" si="47"/>
        <v>0</v>
      </c>
      <c r="H169" s="144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03">
        <f t="shared" si="48"/>
        <v>0</v>
      </c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  <c r="AF169" s="143"/>
      <c r="AG169" s="103">
        <f t="shared" si="49"/>
        <v>0</v>
      </c>
      <c r="AH169" s="136"/>
      <c r="AI169" s="136"/>
      <c r="AJ169" s="136"/>
      <c r="AK169" s="105">
        <f t="shared" si="50"/>
        <v>0</v>
      </c>
      <c r="AL169" s="143"/>
      <c r="AM169" s="143"/>
      <c r="AN169" s="143"/>
      <c r="AO169" s="146"/>
      <c r="AP169" s="224">
        <f t="shared" si="51"/>
        <v>0</v>
      </c>
      <c r="AQ169" s="126"/>
      <c r="AR169" s="274"/>
      <c r="AS169" s="126"/>
      <c r="AT169" s="126"/>
      <c r="AU169" s="126"/>
      <c r="AV169" s="126"/>
      <c r="AW169" s="126"/>
      <c r="AX169" s="274"/>
      <c r="AY169" s="274"/>
      <c r="AZ169" s="274"/>
      <c r="BA169" s="274"/>
      <c r="BB169" s="222">
        <f t="shared" si="52"/>
        <v>0</v>
      </c>
      <c r="BC169" s="140">
        <f t="shared" si="53"/>
        <v>0</v>
      </c>
      <c r="BD169" s="132"/>
      <c r="BE169" s="140">
        <f t="shared" si="54"/>
        <v>0</v>
      </c>
      <c r="BF169" s="141"/>
      <c r="BG169" s="141"/>
      <c r="BH169" s="141"/>
      <c r="BI169" s="141"/>
      <c r="BJ169" s="141"/>
      <c r="BK169" s="141"/>
      <c r="BL169" s="141"/>
      <c r="BM169" s="141"/>
      <c r="BN169" s="141"/>
      <c r="BO169" s="141"/>
      <c r="BP169" s="141"/>
      <c r="BQ169" s="141"/>
      <c r="BR169" s="141"/>
      <c r="BS169" s="130">
        <f t="shared" si="55"/>
        <v>0</v>
      </c>
      <c r="BT169" s="132"/>
    </row>
    <row r="170" ht="14.25" customHeight="1">
      <c r="A170" s="3"/>
      <c r="B170" s="215">
        <v>46173</v>
      </c>
      <c r="C170" s="278"/>
      <c r="D170" s="278"/>
      <c r="E170" s="279"/>
      <c r="F170" s="279"/>
      <c r="G170" s="147">
        <f t="shared" si="47"/>
        <v>0</v>
      </c>
      <c r="H170" s="612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03">
        <f t="shared" si="48"/>
        <v>0</v>
      </c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03">
        <f t="shared" si="49"/>
        <v>0</v>
      </c>
      <c r="AH170" s="278"/>
      <c r="AI170" s="278"/>
      <c r="AJ170" s="278"/>
      <c r="AK170" s="105">
        <f t="shared" si="50"/>
        <v>0</v>
      </c>
      <c r="AL170" s="157"/>
      <c r="AM170" s="157"/>
      <c r="AN170" s="157"/>
      <c r="AO170" s="160"/>
      <c r="AP170" s="224">
        <f t="shared" si="51"/>
        <v>0</v>
      </c>
      <c r="AQ170" s="138"/>
      <c r="AR170" s="296"/>
      <c r="AS170" s="138"/>
      <c r="AT170" s="138"/>
      <c r="AU170" s="126"/>
      <c r="AV170" s="126"/>
      <c r="AW170" s="138"/>
      <c r="AX170" s="296"/>
      <c r="AY170" s="296"/>
      <c r="AZ170" s="296"/>
      <c r="BA170" s="296"/>
      <c r="BB170" s="222">
        <f t="shared" si="52"/>
        <v>0</v>
      </c>
      <c r="BC170" s="281">
        <f t="shared" si="53"/>
        <v>0</v>
      </c>
      <c r="BD170" s="3"/>
      <c r="BE170" s="281">
        <f t="shared" si="54"/>
        <v>0</v>
      </c>
      <c r="BF170" s="282"/>
      <c r="BG170" s="282"/>
      <c r="BH170" s="282"/>
      <c r="BI170" s="282"/>
      <c r="BJ170" s="282"/>
      <c r="BK170" s="282"/>
      <c r="BL170" s="282"/>
      <c r="BM170" s="282"/>
      <c r="BN170" s="282"/>
      <c r="BO170" s="129"/>
      <c r="BP170" s="282"/>
      <c r="BQ170" s="282"/>
      <c r="BR170" s="282"/>
      <c r="BS170" s="164">
        <f t="shared" si="55"/>
        <v>0</v>
      </c>
      <c r="BT170" s="3"/>
    </row>
    <row r="171" ht="14.25" customHeight="1">
      <c r="A171" s="3"/>
      <c r="B171" s="2" t="s">
        <v>261</v>
      </c>
      <c r="C171" s="166">
        <f ref="C171:G171" t="shared" si="56">SUM(C140:C170)</f>
        <v>0</v>
      </c>
      <c r="D171" s="166">
        <f t="shared" si="56"/>
        <v>0</v>
      </c>
      <c r="E171" s="166">
        <f t="shared" si="56"/>
        <v>0</v>
      </c>
      <c r="F171" s="166">
        <f t="shared" si="56"/>
        <v>0</v>
      </c>
      <c r="G171" s="166">
        <f t="shared" si="56"/>
        <v>0</v>
      </c>
      <c r="H171" s="166"/>
      <c r="I171" s="166"/>
      <c r="J171" s="166"/>
      <c r="K171" s="166">
        <f ref="K171:T171" t="shared" si="57">SUM(K140:K170)</f>
        <v>0</v>
      </c>
      <c r="L171" s="166">
        <f t="shared" si="57"/>
        <v>0</v>
      </c>
      <c r="M171" s="166">
        <f t="shared" si="57"/>
        <v>0</v>
      </c>
      <c r="N171" s="166">
        <f t="shared" si="57"/>
        <v>0</v>
      </c>
      <c r="O171" s="166">
        <f t="shared" si="57"/>
        <v>0</v>
      </c>
      <c r="P171" s="166">
        <f t="shared" si="57"/>
        <v>0</v>
      </c>
      <c r="Q171" s="166">
        <f t="shared" si="57"/>
        <v>0</v>
      </c>
      <c r="R171" s="166">
        <f t="shared" si="57"/>
        <v>0</v>
      </c>
      <c r="S171" s="166">
        <f t="shared" si="57"/>
        <v>0</v>
      </c>
      <c r="T171" s="166">
        <f t="shared" si="57"/>
        <v>0</v>
      </c>
      <c r="U171" s="166"/>
      <c r="V171" s="166">
        <f ref="V171:AL171" t="shared" si="58">SUM(V140:V170)</f>
        <v>0</v>
      </c>
      <c r="W171" s="166">
        <f t="shared" si="58"/>
        <v>0</v>
      </c>
      <c r="X171" s="166">
        <f t="shared" si="58"/>
        <v>0</v>
      </c>
      <c r="Y171" s="166">
        <f t="shared" si="58"/>
        <v>0</v>
      </c>
      <c r="Z171" s="166">
        <f t="shared" si="58"/>
        <v>0</v>
      </c>
      <c r="AA171" s="166">
        <f t="shared" si="58"/>
        <v>0</v>
      </c>
      <c r="AB171" s="166">
        <f t="shared" si="58"/>
        <v>0</v>
      </c>
      <c r="AC171" s="166">
        <f t="shared" si="58"/>
        <v>0</v>
      </c>
      <c r="AD171" s="166">
        <f t="shared" si="58"/>
        <v>0</v>
      </c>
      <c r="AE171" s="166">
        <f t="shared" si="58"/>
        <v>0</v>
      </c>
      <c r="AF171" s="166">
        <f t="shared" si="58"/>
        <v>0</v>
      </c>
      <c r="AG171" s="166">
        <f t="shared" si="58"/>
        <v>0</v>
      </c>
      <c r="AH171" s="166">
        <f t="shared" si="58"/>
        <v>0</v>
      </c>
      <c r="AI171" s="166">
        <f t="shared" si="58"/>
        <v>0</v>
      </c>
      <c r="AJ171" s="166">
        <f t="shared" si="58"/>
        <v>0</v>
      </c>
      <c r="AK171" s="166">
        <f t="shared" si="58"/>
        <v>0</v>
      </c>
      <c r="AL171" s="166">
        <f t="shared" si="58"/>
        <v>0</v>
      </c>
      <c r="AM171" s="166"/>
      <c r="AN171" s="166"/>
      <c r="AO171" s="166"/>
      <c r="AP171" s="166">
        <f ref="AP171:AQ171" t="shared" si="59">SUM(AP140:AP170)</f>
        <v>0</v>
      </c>
      <c r="AQ171" s="165">
        <f t="shared" si="59"/>
        <v>0</v>
      </c>
      <c r="AR171" s="166"/>
      <c r="AS171" s="166"/>
      <c r="AT171" s="166"/>
      <c r="AU171" s="166"/>
      <c r="AV171" s="166"/>
      <c r="AW171" s="166"/>
      <c r="AX171" s="166"/>
      <c r="AY171" s="166"/>
      <c r="AZ171" s="166"/>
      <c r="BA171" s="166"/>
      <c r="BB171" s="166">
        <f ref="BB171:BC171" t="shared" si="60">SUM(BB140:BB170)</f>
        <v>0</v>
      </c>
      <c r="BC171" s="166">
        <f t="shared" si="60"/>
        <v>0</v>
      </c>
      <c r="BD171" s="3"/>
      <c r="BE171" s="172">
        <f ref="BE171:BS171" t="shared" si="61">SUM(BE140:BE170)</f>
        <v>0</v>
      </c>
      <c r="BF171" s="165">
        <f t="shared" si="61"/>
        <v>0</v>
      </c>
      <c r="BG171" s="165">
        <f t="shared" si="61"/>
        <v>0</v>
      </c>
      <c r="BH171" s="165">
        <f t="shared" si="61"/>
        <v>0</v>
      </c>
      <c r="BI171" s="165">
        <f t="shared" si="61"/>
        <v>0</v>
      </c>
      <c r="BJ171" s="165">
        <f t="shared" si="61"/>
        <v>0</v>
      </c>
      <c r="BK171" s="165">
        <f t="shared" si="61"/>
        <v>0</v>
      </c>
      <c r="BL171" s="165">
        <f t="shared" si="61"/>
        <v>0</v>
      </c>
      <c r="BM171" s="165">
        <f t="shared" si="61"/>
        <v>0</v>
      </c>
      <c r="BN171" s="165">
        <f t="shared" si="61"/>
        <v>0</v>
      </c>
      <c r="BO171" s="165">
        <f t="shared" si="61"/>
        <v>0</v>
      </c>
      <c r="BP171" s="165">
        <f t="shared" si="61"/>
        <v>0</v>
      </c>
      <c r="BQ171" s="165">
        <f t="shared" si="61"/>
        <v>0</v>
      </c>
      <c r="BR171" s="165">
        <f t="shared" si="61"/>
        <v>0</v>
      </c>
      <c r="BS171" s="165">
        <f t="shared" si="61"/>
        <v>0</v>
      </c>
      <c r="BT171" s="3"/>
    </row>
    <row r="172" ht="14.25" customHeight="1">
      <c r="A172" s="1"/>
      <c r="B172" s="2"/>
      <c r="C172" s="3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4"/>
      <c r="AL172" s="3"/>
      <c r="AM172" s="3"/>
      <c r="AN172" s="3"/>
      <c r="AO172" s="3"/>
      <c r="AP172" s="4"/>
      <c r="AQ172" s="3"/>
      <c r="AR172" s="132"/>
      <c r="AS172" s="132"/>
      <c r="AT172" s="3"/>
      <c r="AU172" s="3"/>
      <c r="AV172" s="3"/>
      <c r="AW172" s="132"/>
      <c r="AX172" s="132"/>
      <c r="AY172" s="132"/>
      <c r="AZ172" s="132"/>
      <c r="BA172" s="132"/>
      <c r="BB172" s="4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ht="14.25" customHeight="1">
      <c r="A173" s="1"/>
      <c r="B173" s="2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176"/>
      <c r="AH173" s="3"/>
      <c r="AI173" s="3"/>
      <c r="AJ173" s="3"/>
      <c r="AK173" s="4"/>
      <c r="AL173" s="3"/>
      <c r="AM173" s="3"/>
      <c r="AN173" s="3"/>
      <c r="AO173" s="3"/>
      <c r="AP173" s="177"/>
      <c r="AQ173" s="4"/>
      <c r="AR173" s="177"/>
      <c r="AS173" s="177"/>
      <c r="AT173" s="177"/>
      <c r="AU173" s="177"/>
      <c r="AV173" s="177"/>
      <c r="AW173" s="177"/>
      <c r="AX173" s="177"/>
      <c r="AY173" s="177"/>
      <c r="AZ173" s="177"/>
      <c r="BA173" s="132"/>
      <c r="BB173" s="4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ht="14.25" customHeight="1">
      <c r="A174" s="3"/>
      <c r="B174" s="215">
        <v>46174</v>
      </c>
      <c r="C174" s="104"/>
      <c r="D174" s="104"/>
      <c r="E174" s="97"/>
      <c r="F174" s="97"/>
      <c r="G174" s="265">
        <f ref="G174:G175" t="shared" si="62">+C174+D174+E174+F174</f>
        <v>0</v>
      </c>
      <c r="H174" s="187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03">
        <f ref="T174:T203" t="shared" si="63">SUM(H174:S174)</f>
        <v>0</v>
      </c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03">
        <f ref="AG174:AG203" t="shared" si="64">SUM(U174:AF174)</f>
        <v>0</v>
      </c>
      <c r="AH174" s="104"/>
      <c r="AI174" s="104"/>
      <c r="AJ174" s="104"/>
      <c r="AK174" s="191">
        <f ref="AK174:AK203" t="shared" si="65">SUM(AH174:AJ174)</f>
        <v>0</v>
      </c>
      <c r="AL174" s="186"/>
      <c r="AM174" s="186"/>
      <c r="AN174" s="186"/>
      <c r="AO174" s="193"/>
      <c r="AP174" s="224">
        <f ref="AP174:AP203" t="shared" si="66">+G174-T174-AG174-AK174-AL174-AM174-AN174-AO174</f>
        <v>0</v>
      </c>
      <c r="AQ174" s="109"/>
      <c r="AR174" s="269"/>
      <c r="AS174" s="126"/>
      <c r="AT174" s="126"/>
      <c r="AU174" s="126"/>
      <c r="AV174" s="126"/>
      <c r="AW174" s="109"/>
      <c r="AX174" s="269"/>
      <c r="AY174" s="269"/>
      <c r="AZ174" s="269"/>
      <c r="BA174" s="269"/>
      <c r="BB174" s="678">
        <f ref="BB174:BB203" t="shared" si="67">SUM(AQ174:BA174)-AZ174</f>
        <v>0</v>
      </c>
      <c r="BC174" s="1417">
        <f ref="BC174:BC203" t="shared" si="68">+AP174-BB174</f>
        <v>0</v>
      </c>
      <c r="BD174" s="3"/>
      <c r="BE174" s="114">
        <f ref="BE174:BE203" t="shared" si="69">SUM(BF174:BR174)</f>
        <v>0</v>
      </c>
      <c r="BF174" s="115"/>
      <c r="BG174" s="115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6">
        <f ref="BS174:BS203" t="shared" si="70">+BC174-BE174</f>
        <v>0</v>
      </c>
      <c r="BT174" s="3"/>
    </row>
    <row r="175" ht="14.25" customHeight="1">
      <c r="A175" s="3"/>
      <c r="B175" s="215">
        <v>46175</v>
      </c>
      <c r="C175" s="123"/>
      <c r="D175" s="123"/>
      <c r="E175" s="120"/>
      <c r="F175" s="120"/>
      <c r="G175" s="147">
        <f t="shared" si="62"/>
        <v>0</v>
      </c>
      <c r="H175" s="144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03">
        <f t="shared" si="63"/>
        <v>0</v>
      </c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03">
        <f t="shared" si="64"/>
        <v>0</v>
      </c>
      <c r="AH175" s="123"/>
      <c r="AI175" s="123"/>
      <c r="AJ175" s="123"/>
      <c r="AK175" s="105">
        <f t="shared" si="65"/>
        <v>0</v>
      </c>
      <c r="AL175" s="143"/>
      <c r="AM175" s="143"/>
      <c r="AN175" s="143"/>
      <c r="AO175" s="146"/>
      <c r="AP175" s="224">
        <f t="shared" si="66"/>
        <v>0</v>
      </c>
      <c r="AQ175" s="126"/>
      <c r="AR175" s="274"/>
      <c r="AS175" s="126"/>
      <c r="AT175" s="126"/>
      <c r="AU175" s="126"/>
      <c r="AV175" s="126"/>
      <c r="AW175" s="126"/>
      <c r="AX175" s="274"/>
      <c r="AY175" s="274"/>
      <c r="AZ175" s="274"/>
      <c r="BA175" s="274"/>
      <c r="BB175" s="222">
        <f t="shared" si="67"/>
        <v>0</v>
      </c>
      <c r="BC175" s="113">
        <f t="shared" si="68"/>
        <v>0</v>
      </c>
      <c r="BD175" s="3"/>
      <c r="BE175" s="113">
        <f t="shared" si="69"/>
        <v>0</v>
      </c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30">
        <f t="shared" si="70"/>
        <v>0</v>
      </c>
      <c r="BT175" s="3"/>
    </row>
    <row r="176" ht="14.25" customHeight="1">
      <c r="A176" s="3"/>
      <c r="B176" s="215">
        <v>46176</v>
      </c>
      <c r="C176" s="123"/>
      <c r="D176" s="123"/>
      <c r="E176" s="120"/>
      <c r="F176" s="120"/>
      <c r="G176" s="147">
        <f>SUM(C176:F176)</f>
        <v>0</v>
      </c>
      <c r="H176" s="144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3"/>
      <c r="T176" s="103">
        <f t="shared" si="63"/>
        <v>0</v>
      </c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03">
        <f t="shared" si="64"/>
        <v>0</v>
      </c>
      <c r="AH176" s="123"/>
      <c r="AI176" s="123"/>
      <c r="AJ176" s="123"/>
      <c r="AK176" s="105">
        <f t="shared" si="65"/>
        <v>0</v>
      </c>
      <c r="AL176" s="143"/>
      <c r="AM176" s="143"/>
      <c r="AN176" s="143"/>
      <c r="AO176" s="146"/>
      <c r="AP176" s="224">
        <f t="shared" si="66"/>
        <v>0</v>
      </c>
      <c r="AQ176" s="126"/>
      <c r="AR176" s="274"/>
      <c r="AS176" s="126"/>
      <c r="AT176" s="126"/>
      <c r="AU176" s="126"/>
      <c r="AV176" s="126"/>
      <c r="AW176" s="126"/>
      <c r="AX176" s="274"/>
      <c r="AY176" s="274"/>
      <c r="AZ176" s="274"/>
      <c r="BA176" s="274"/>
      <c r="BB176" s="222">
        <f t="shared" si="67"/>
        <v>0</v>
      </c>
      <c r="BC176" s="113">
        <f t="shared" si="68"/>
        <v>0</v>
      </c>
      <c r="BD176" s="3"/>
      <c r="BE176" s="113">
        <f t="shared" si="69"/>
        <v>0</v>
      </c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30">
        <f t="shared" si="70"/>
        <v>0</v>
      </c>
      <c r="BT176" s="3"/>
    </row>
    <row r="177" ht="14.25" customHeight="1">
      <c r="A177" s="3"/>
      <c r="B177" s="215">
        <v>46177</v>
      </c>
      <c r="C177" s="123"/>
      <c r="D177" s="123"/>
      <c r="E177" s="120"/>
      <c r="F177" s="120"/>
      <c r="G177" s="147">
        <f ref="G177:G203" t="shared" si="71">+C177+D177+E177+F177</f>
        <v>0</v>
      </c>
      <c r="H177" s="144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03">
        <f t="shared" si="63"/>
        <v>0</v>
      </c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  <c r="AF177" s="143"/>
      <c r="AG177" s="103">
        <f t="shared" si="64"/>
        <v>0</v>
      </c>
      <c r="AH177" s="123"/>
      <c r="AI177" s="123"/>
      <c r="AJ177" s="123"/>
      <c r="AK177" s="105">
        <f t="shared" si="65"/>
        <v>0</v>
      </c>
      <c r="AL177" s="143"/>
      <c r="AM177" s="143"/>
      <c r="AN177" s="143"/>
      <c r="AO177" s="146"/>
      <c r="AP177" s="224">
        <f t="shared" si="66"/>
        <v>0</v>
      </c>
      <c r="AQ177" s="126"/>
      <c r="AR177" s="274"/>
      <c r="AS177" s="274"/>
      <c r="AT177" s="126"/>
      <c r="AU177" s="126"/>
      <c r="AV177" s="126"/>
      <c r="AW177" s="126"/>
      <c r="AX177" s="274"/>
      <c r="AY177" s="274"/>
      <c r="AZ177" s="274"/>
      <c r="BA177" s="274"/>
      <c r="BB177" s="222">
        <f t="shared" si="67"/>
        <v>0</v>
      </c>
      <c r="BC177" s="113">
        <f t="shared" si="68"/>
        <v>0</v>
      </c>
      <c r="BD177" s="3"/>
      <c r="BE177" s="113">
        <f t="shared" si="69"/>
        <v>0</v>
      </c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30">
        <f t="shared" si="70"/>
        <v>0</v>
      </c>
      <c r="BT177" s="3"/>
    </row>
    <row r="178" ht="14.25" customHeight="1">
      <c r="A178" s="3"/>
      <c r="B178" s="215">
        <v>46178</v>
      </c>
      <c r="C178" s="123"/>
      <c r="D178" s="123"/>
      <c r="E178" s="120"/>
      <c r="F178" s="120"/>
      <c r="G178" s="147">
        <f t="shared" si="71"/>
        <v>0</v>
      </c>
      <c r="H178" s="144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03">
        <f t="shared" si="63"/>
        <v>0</v>
      </c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03">
        <f t="shared" si="64"/>
        <v>0</v>
      </c>
      <c r="AH178" s="123"/>
      <c r="AI178" s="123"/>
      <c r="AJ178" s="123"/>
      <c r="AK178" s="105">
        <f t="shared" si="65"/>
        <v>0</v>
      </c>
      <c r="AL178" s="143"/>
      <c r="AM178" s="143"/>
      <c r="AN178" s="143"/>
      <c r="AO178" s="146"/>
      <c r="AP178" s="224">
        <f t="shared" si="66"/>
        <v>0</v>
      </c>
      <c r="AQ178" s="126"/>
      <c r="AR178" s="274"/>
      <c r="AS178" s="126"/>
      <c r="AT178" s="126"/>
      <c r="AU178" s="126"/>
      <c r="AV178" s="126"/>
      <c r="AW178" s="126"/>
      <c r="AX178" s="274"/>
      <c r="AY178" s="274"/>
      <c r="AZ178" s="274"/>
      <c r="BA178" s="274"/>
      <c r="BB178" s="222">
        <f t="shared" si="67"/>
        <v>0</v>
      </c>
      <c r="BC178" s="113">
        <f t="shared" si="68"/>
        <v>0</v>
      </c>
      <c r="BD178" s="3"/>
      <c r="BE178" s="113">
        <f t="shared" si="69"/>
        <v>0</v>
      </c>
      <c r="BF178" s="129"/>
      <c r="BG178" s="129"/>
      <c r="BH178" s="129"/>
      <c r="BI178" s="129"/>
      <c r="BJ178" s="129"/>
      <c r="BK178" s="129"/>
      <c r="BL178" s="129"/>
      <c r="BM178" s="129"/>
      <c r="BN178" s="129"/>
      <c r="BO178" s="129"/>
      <c r="BP178" s="129"/>
      <c r="BQ178" s="129"/>
      <c r="BR178" s="129"/>
      <c r="BS178" s="130">
        <f t="shared" si="70"/>
        <v>0</v>
      </c>
      <c r="BT178" s="3"/>
    </row>
    <row r="179" ht="14.25" customHeight="1">
      <c r="A179" s="3"/>
      <c r="B179" s="215">
        <v>46179</v>
      </c>
      <c r="C179" s="123"/>
      <c r="D179" s="123"/>
      <c r="E179" s="120"/>
      <c r="F179" s="120"/>
      <c r="G179" s="147">
        <f t="shared" si="71"/>
        <v>0</v>
      </c>
      <c r="H179" s="144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03">
        <f t="shared" si="63"/>
        <v>0</v>
      </c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  <c r="AF179" s="143"/>
      <c r="AG179" s="103">
        <f t="shared" si="64"/>
        <v>0</v>
      </c>
      <c r="AH179" s="123"/>
      <c r="AI179" s="123"/>
      <c r="AJ179" s="123"/>
      <c r="AK179" s="105">
        <f t="shared" si="65"/>
        <v>0</v>
      </c>
      <c r="AL179" s="143"/>
      <c r="AM179" s="143"/>
      <c r="AN179" s="143"/>
      <c r="AO179" s="146"/>
      <c r="AP179" s="224">
        <f t="shared" si="66"/>
        <v>0</v>
      </c>
      <c r="AQ179" s="126"/>
      <c r="AR179" s="274"/>
      <c r="AS179" s="126"/>
      <c r="AT179" s="126"/>
      <c r="AU179" s="126"/>
      <c r="AV179" s="126"/>
      <c r="AW179" s="126"/>
      <c r="AX179" s="274"/>
      <c r="AY179" s="274"/>
      <c r="AZ179" s="274"/>
      <c r="BA179" s="274"/>
      <c r="BB179" s="222">
        <f t="shared" si="67"/>
        <v>0</v>
      </c>
      <c r="BC179" s="113">
        <f t="shared" si="68"/>
        <v>0</v>
      </c>
      <c r="BD179" s="3"/>
      <c r="BE179" s="113">
        <f t="shared" si="69"/>
        <v>0</v>
      </c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30">
        <f t="shared" si="70"/>
        <v>0</v>
      </c>
      <c r="BT179" s="3"/>
    </row>
    <row r="180" ht="14.25" customHeight="1">
      <c r="A180" s="132"/>
      <c r="B180" s="215">
        <v>46180</v>
      </c>
      <c r="C180" s="136"/>
      <c r="D180" s="136"/>
      <c r="E180" s="135"/>
      <c r="F180" s="135"/>
      <c r="G180" s="147">
        <f t="shared" si="71"/>
        <v>0</v>
      </c>
      <c r="H180" s="144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03">
        <f t="shared" si="63"/>
        <v>0</v>
      </c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  <c r="AF180" s="143"/>
      <c r="AG180" s="103">
        <f t="shared" si="64"/>
        <v>0</v>
      </c>
      <c r="AH180" s="136"/>
      <c r="AI180" s="136"/>
      <c r="AJ180" s="136"/>
      <c r="AK180" s="105">
        <f t="shared" si="65"/>
        <v>0</v>
      </c>
      <c r="AL180" s="143"/>
      <c r="AM180" s="143"/>
      <c r="AN180" s="143"/>
      <c r="AO180" s="146"/>
      <c r="AP180" s="224">
        <f t="shared" si="66"/>
        <v>0</v>
      </c>
      <c r="AQ180" s="126"/>
      <c r="AR180" s="274"/>
      <c r="AS180" s="126"/>
      <c r="AT180" s="126"/>
      <c r="AU180" s="126"/>
      <c r="AV180" s="126"/>
      <c r="AW180" s="126"/>
      <c r="AX180" s="274"/>
      <c r="AY180" s="274"/>
      <c r="AZ180" s="274"/>
      <c r="BA180" s="274"/>
      <c r="BB180" s="222">
        <f t="shared" si="67"/>
        <v>0</v>
      </c>
      <c r="BC180" s="140">
        <f t="shared" si="68"/>
        <v>0</v>
      </c>
      <c r="BD180" s="132"/>
      <c r="BE180" s="140">
        <f t="shared" si="69"/>
        <v>0</v>
      </c>
      <c r="BF180" s="141"/>
      <c r="BG180" s="141"/>
      <c r="BH180" s="141"/>
      <c r="BI180" s="141"/>
      <c r="BJ180" s="141"/>
      <c r="BK180" s="141"/>
      <c r="BL180" s="141"/>
      <c r="BM180" s="141"/>
      <c r="BN180" s="141"/>
      <c r="BO180" s="141"/>
      <c r="BP180" s="141"/>
      <c r="BQ180" s="141"/>
      <c r="BR180" s="141"/>
      <c r="BS180" s="130">
        <f t="shared" si="70"/>
        <v>0</v>
      </c>
      <c r="BT180" s="132"/>
    </row>
    <row r="181" ht="14.25" customHeight="1">
      <c r="A181" s="132"/>
      <c r="B181" s="215">
        <v>46181</v>
      </c>
      <c r="C181" s="136"/>
      <c r="D181" s="136"/>
      <c r="E181" s="135"/>
      <c r="F181" s="135"/>
      <c r="G181" s="147">
        <f t="shared" si="71"/>
        <v>0</v>
      </c>
      <c r="H181" s="144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03">
        <f t="shared" si="63"/>
        <v>0</v>
      </c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  <c r="AF181" s="143"/>
      <c r="AG181" s="103">
        <f t="shared" si="64"/>
        <v>0</v>
      </c>
      <c r="AH181" s="136"/>
      <c r="AI181" s="136"/>
      <c r="AJ181" s="136"/>
      <c r="AK181" s="105">
        <f t="shared" si="65"/>
        <v>0</v>
      </c>
      <c r="AL181" s="143"/>
      <c r="AM181" s="143"/>
      <c r="AN181" s="143"/>
      <c r="AO181" s="146"/>
      <c r="AP181" s="224">
        <f t="shared" si="66"/>
        <v>0</v>
      </c>
      <c r="AQ181" s="126"/>
      <c r="AR181" s="274"/>
      <c r="AS181" s="126"/>
      <c r="AT181" s="126"/>
      <c r="AU181" s="126"/>
      <c r="AV181" s="126"/>
      <c r="AW181" s="126"/>
      <c r="AX181" s="274"/>
      <c r="AY181" s="274"/>
      <c r="AZ181" s="274"/>
      <c r="BA181" s="274"/>
      <c r="BB181" s="222">
        <f t="shared" si="67"/>
        <v>0</v>
      </c>
      <c r="BC181" s="140">
        <f t="shared" si="68"/>
        <v>0</v>
      </c>
      <c r="BD181" s="132"/>
      <c r="BE181" s="140">
        <f t="shared" si="69"/>
        <v>0</v>
      </c>
      <c r="BF181" s="141"/>
      <c r="BG181" s="141"/>
      <c r="BH181" s="141"/>
      <c r="BI181" s="141"/>
      <c r="BJ181" s="141"/>
      <c r="BK181" s="141"/>
      <c r="BL181" s="141"/>
      <c r="BM181" s="141"/>
      <c r="BN181" s="141"/>
      <c r="BO181" s="141"/>
      <c r="BP181" s="141"/>
      <c r="BQ181" s="141"/>
      <c r="BR181" s="141"/>
      <c r="BS181" s="130">
        <f t="shared" si="70"/>
        <v>0</v>
      </c>
      <c r="BT181" s="132"/>
    </row>
    <row r="182" ht="14.25" customHeight="1">
      <c r="A182" s="132"/>
      <c r="B182" s="215">
        <v>46182</v>
      </c>
      <c r="C182" s="136"/>
      <c r="D182" s="136"/>
      <c r="E182" s="135"/>
      <c r="F182" s="135"/>
      <c r="G182" s="147">
        <f t="shared" si="71"/>
        <v>0</v>
      </c>
      <c r="H182" s="144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03">
        <f t="shared" si="63"/>
        <v>0</v>
      </c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03">
        <f t="shared" si="64"/>
        <v>0</v>
      </c>
      <c r="AH182" s="136"/>
      <c r="AI182" s="136"/>
      <c r="AJ182" s="136"/>
      <c r="AK182" s="105">
        <f t="shared" si="65"/>
        <v>0</v>
      </c>
      <c r="AL182" s="143"/>
      <c r="AM182" s="143"/>
      <c r="AN182" s="143"/>
      <c r="AO182" s="146"/>
      <c r="AP182" s="224">
        <f t="shared" si="66"/>
        <v>0</v>
      </c>
      <c r="AQ182" s="126"/>
      <c r="AR182" s="274"/>
      <c r="AS182" s="126"/>
      <c r="AT182" s="126"/>
      <c r="AU182" s="126"/>
      <c r="AV182" s="126"/>
      <c r="AW182" s="126"/>
      <c r="AX182" s="274"/>
      <c r="AY182" s="274"/>
      <c r="AZ182" s="274"/>
      <c r="BA182" s="274"/>
      <c r="BB182" s="222">
        <f t="shared" si="67"/>
        <v>0</v>
      </c>
      <c r="BC182" s="140">
        <f t="shared" si="68"/>
        <v>0</v>
      </c>
      <c r="BD182" s="132"/>
      <c r="BE182" s="140">
        <f t="shared" si="69"/>
        <v>0</v>
      </c>
      <c r="BF182" s="141"/>
      <c r="BG182" s="141"/>
      <c r="BH182" s="141"/>
      <c r="BI182" s="141"/>
      <c r="BJ182" s="141"/>
      <c r="BK182" s="141"/>
      <c r="BL182" s="141"/>
      <c r="BM182" s="141"/>
      <c r="BN182" s="141"/>
      <c r="BO182" s="141"/>
      <c r="BP182" s="141"/>
      <c r="BQ182" s="141"/>
      <c r="BR182" s="141"/>
      <c r="BS182" s="130">
        <f t="shared" si="70"/>
        <v>0</v>
      </c>
      <c r="BT182" s="132"/>
    </row>
    <row r="183" ht="14.25" customHeight="1">
      <c r="A183" s="132"/>
      <c r="B183" s="215">
        <v>46183</v>
      </c>
      <c r="C183" s="136"/>
      <c r="D183" s="136"/>
      <c r="E183" s="135"/>
      <c r="F183" s="135"/>
      <c r="G183" s="147">
        <f t="shared" si="71"/>
        <v>0</v>
      </c>
      <c r="H183" s="144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03">
        <f t="shared" si="63"/>
        <v>0</v>
      </c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03">
        <f t="shared" si="64"/>
        <v>0</v>
      </c>
      <c r="AH183" s="136"/>
      <c r="AI183" s="136"/>
      <c r="AJ183" s="136"/>
      <c r="AK183" s="105">
        <f t="shared" si="65"/>
        <v>0</v>
      </c>
      <c r="AL183" s="143"/>
      <c r="AM183" s="143"/>
      <c r="AN183" s="143"/>
      <c r="AO183" s="146"/>
      <c r="AP183" s="224">
        <f t="shared" si="66"/>
        <v>0</v>
      </c>
      <c r="AQ183" s="126"/>
      <c r="AR183" s="274"/>
      <c r="AS183" s="126"/>
      <c r="AT183" s="126"/>
      <c r="AU183" s="126"/>
      <c r="AV183" s="126"/>
      <c r="AW183" s="126"/>
      <c r="AX183" s="274"/>
      <c r="AY183" s="274"/>
      <c r="AZ183" s="274"/>
      <c r="BA183" s="274"/>
      <c r="BB183" s="222">
        <f t="shared" si="67"/>
        <v>0</v>
      </c>
      <c r="BC183" s="140">
        <f t="shared" si="68"/>
        <v>0</v>
      </c>
      <c r="BD183" s="132"/>
      <c r="BE183" s="140">
        <f t="shared" si="69"/>
        <v>0</v>
      </c>
      <c r="BF183" s="141"/>
      <c r="BG183" s="141"/>
      <c r="BH183" s="141"/>
      <c r="BI183" s="141"/>
      <c r="BJ183" s="141"/>
      <c r="BK183" s="141"/>
      <c r="BL183" s="141"/>
      <c r="BM183" s="141"/>
      <c r="BN183" s="141"/>
      <c r="BO183" s="141"/>
      <c r="BP183" s="141"/>
      <c r="BQ183" s="141"/>
      <c r="BR183" s="141"/>
      <c r="BS183" s="130">
        <f t="shared" si="70"/>
        <v>0</v>
      </c>
      <c r="BT183" s="132"/>
    </row>
    <row r="184" ht="14.25" customHeight="1">
      <c r="A184" s="132"/>
      <c r="B184" s="215">
        <v>46184</v>
      </c>
      <c r="C184" s="136"/>
      <c r="D184" s="136"/>
      <c r="E184" s="135"/>
      <c r="F184" s="135"/>
      <c r="G184" s="147">
        <f t="shared" si="71"/>
        <v>0</v>
      </c>
      <c r="H184" s="144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03">
        <f t="shared" si="63"/>
        <v>0</v>
      </c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03">
        <f t="shared" si="64"/>
        <v>0</v>
      </c>
      <c r="AH184" s="136"/>
      <c r="AI184" s="136"/>
      <c r="AJ184" s="136"/>
      <c r="AK184" s="105">
        <f t="shared" si="65"/>
        <v>0</v>
      </c>
      <c r="AL184" s="143"/>
      <c r="AM184" s="143"/>
      <c r="AN184" s="143"/>
      <c r="AO184" s="146"/>
      <c r="AP184" s="224">
        <f t="shared" si="66"/>
        <v>0</v>
      </c>
      <c r="AQ184" s="126"/>
      <c r="AR184" s="274"/>
      <c r="AS184" s="126"/>
      <c r="AT184" s="126"/>
      <c r="AU184" s="126"/>
      <c r="AV184" s="126"/>
      <c r="AW184" s="126"/>
      <c r="AX184" s="274"/>
      <c r="AY184" s="274"/>
      <c r="AZ184" s="274"/>
      <c r="BA184" s="274"/>
      <c r="BB184" s="222">
        <f t="shared" si="67"/>
        <v>0</v>
      </c>
      <c r="BC184" s="140">
        <f t="shared" si="68"/>
        <v>0</v>
      </c>
      <c r="BD184" s="132"/>
      <c r="BE184" s="140">
        <f t="shared" si="69"/>
        <v>0</v>
      </c>
      <c r="BF184" s="141"/>
      <c r="BG184" s="141"/>
      <c r="BH184" s="141"/>
      <c r="BI184" s="141"/>
      <c r="BJ184" s="141"/>
      <c r="BK184" s="141"/>
      <c r="BL184" s="141"/>
      <c r="BM184" s="141"/>
      <c r="BN184" s="141"/>
      <c r="BO184" s="141"/>
      <c r="BP184" s="141"/>
      <c r="BQ184" s="141"/>
      <c r="BR184" s="141"/>
      <c r="BS184" s="130">
        <f t="shared" si="70"/>
        <v>0</v>
      </c>
      <c r="BT184" s="132"/>
    </row>
    <row r="185" ht="14.25" customHeight="1">
      <c r="A185" s="132"/>
      <c r="B185" s="215">
        <v>46185</v>
      </c>
      <c r="C185" s="136"/>
      <c r="D185" s="136"/>
      <c r="E185" s="135"/>
      <c r="F185" s="135"/>
      <c r="G185" s="147">
        <f t="shared" si="71"/>
        <v>0</v>
      </c>
      <c r="H185" s="144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03">
        <f t="shared" si="63"/>
        <v>0</v>
      </c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03">
        <f t="shared" si="64"/>
        <v>0</v>
      </c>
      <c r="AH185" s="136"/>
      <c r="AI185" s="136"/>
      <c r="AJ185" s="136"/>
      <c r="AK185" s="105">
        <f t="shared" si="65"/>
        <v>0</v>
      </c>
      <c r="AL185" s="143"/>
      <c r="AM185" s="143"/>
      <c r="AN185" s="143"/>
      <c r="AO185" s="146"/>
      <c r="AP185" s="224">
        <f t="shared" si="66"/>
        <v>0</v>
      </c>
      <c r="AQ185" s="126"/>
      <c r="AR185" s="274"/>
      <c r="AS185" s="126"/>
      <c r="AT185" s="126"/>
      <c r="AU185" s="126"/>
      <c r="AV185" s="126"/>
      <c r="AW185" s="126"/>
      <c r="AX185" s="274"/>
      <c r="AY185" s="274"/>
      <c r="AZ185" s="274"/>
      <c r="BA185" s="274"/>
      <c r="BB185" s="222">
        <f t="shared" si="67"/>
        <v>0</v>
      </c>
      <c r="BC185" s="140">
        <f t="shared" si="68"/>
        <v>0</v>
      </c>
      <c r="BD185" s="132"/>
      <c r="BE185" s="140">
        <f t="shared" si="69"/>
        <v>0</v>
      </c>
      <c r="BF185" s="141"/>
      <c r="BG185" s="141"/>
      <c r="BH185" s="141"/>
      <c r="BI185" s="141"/>
      <c r="BJ185" s="141"/>
      <c r="BK185" s="141"/>
      <c r="BL185" s="141"/>
      <c r="BM185" s="141"/>
      <c r="BN185" s="141"/>
      <c r="BO185" s="141"/>
      <c r="BP185" s="141"/>
      <c r="BQ185" s="141"/>
      <c r="BR185" s="141"/>
      <c r="BS185" s="130">
        <f t="shared" si="70"/>
        <v>0</v>
      </c>
      <c r="BT185" s="132"/>
    </row>
    <row r="186" ht="14.25" customHeight="1">
      <c r="A186" s="132"/>
      <c r="B186" s="215">
        <v>46186</v>
      </c>
      <c r="C186" s="136"/>
      <c r="D186" s="136"/>
      <c r="E186" s="135"/>
      <c r="F186" s="135"/>
      <c r="G186" s="147">
        <f t="shared" si="71"/>
        <v>0</v>
      </c>
      <c r="H186" s="144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03">
        <f t="shared" si="63"/>
        <v>0</v>
      </c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03">
        <f t="shared" si="64"/>
        <v>0</v>
      </c>
      <c r="AH186" s="136"/>
      <c r="AI186" s="136"/>
      <c r="AJ186" s="136"/>
      <c r="AK186" s="105">
        <f t="shared" si="65"/>
        <v>0</v>
      </c>
      <c r="AL186" s="143"/>
      <c r="AM186" s="143"/>
      <c r="AN186" s="143"/>
      <c r="AO186" s="146"/>
      <c r="AP186" s="224">
        <f t="shared" si="66"/>
        <v>0</v>
      </c>
      <c r="AQ186" s="126"/>
      <c r="AR186" s="274"/>
      <c r="AS186" s="126"/>
      <c r="AT186" s="126"/>
      <c r="AU186" s="126"/>
      <c r="AV186" s="126"/>
      <c r="AW186" s="126"/>
      <c r="AX186" s="274"/>
      <c r="AY186" s="274"/>
      <c r="AZ186" s="274"/>
      <c r="BA186" s="274"/>
      <c r="BB186" s="222">
        <f t="shared" si="67"/>
        <v>0</v>
      </c>
      <c r="BC186" s="140">
        <f t="shared" si="68"/>
        <v>0</v>
      </c>
      <c r="BD186" s="132"/>
      <c r="BE186" s="140">
        <f t="shared" si="69"/>
        <v>0</v>
      </c>
      <c r="BF186" s="141"/>
      <c r="BG186" s="141"/>
      <c r="BH186" s="141"/>
      <c r="BI186" s="141"/>
      <c r="BJ186" s="141"/>
      <c r="BK186" s="141"/>
      <c r="BL186" s="141"/>
      <c r="BM186" s="141"/>
      <c r="BN186" s="141"/>
      <c r="BO186" s="141"/>
      <c r="BP186" s="141"/>
      <c r="BQ186" s="141"/>
      <c r="BR186" s="141"/>
      <c r="BS186" s="130">
        <f t="shared" si="70"/>
        <v>0</v>
      </c>
      <c r="BT186" s="132"/>
    </row>
    <row r="187" ht="14.25" customHeight="1">
      <c r="A187" s="3"/>
      <c r="B187" s="215">
        <v>46187</v>
      </c>
      <c r="C187" s="123"/>
      <c r="D187" s="123"/>
      <c r="E187" s="120"/>
      <c r="F187" s="120"/>
      <c r="G187" s="147">
        <f t="shared" si="71"/>
        <v>0</v>
      </c>
      <c r="H187" s="144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03">
        <f t="shared" si="63"/>
        <v>0</v>
      </c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03">
        <f t="shared" si="64"/>
        <v>0</v>
      </c>
      <c r="AH187" s="123"/>
      <c r="AI187" s="123"/>
      <c r="AJ187" s="123"/>
      <c r="AK187" s="105">
        <f t="shared" si="65"/>
        <v>0</v>
      </c>
      <c r="AL187" s="143"/>
      <c r="AM187" s="143"/>
      <c r="AN187" s="143"/>
      <c r="AO187" s="146"/>
      <c r="AP187" s="224">
        <f t="shared" si="66"/>
        <v>0</v>
      </c>
      <c r="AQ187" s="126"/>
      <c r="AR187" s="274"/>
      <c r="AS187" s="126"/>
      <c r="AT187" s="126"/>
      <c r="AU187" s="126"/>
      <c r="AV187" s="126"/>
      <c r="AW187" s="126"/>
      <c r="AX187" s="274"/>
      <c r="AY187" s="274"/>
      <c r="AZ187" s="274"/>
      <c r="BA187" s="274"/>
      <c r="BB187" s="222">
        <f t="shared" si="67"/>
        <v>0</v>
      </c>
      <c r="BC187" s="113">
        <f t="shared" si="68"/>
        <v>0</v>
      </c>
      <c r="BD187" s="3"/>
      <c r="BE187" s="113">
        <f t="shared" si="69"/>
        <v>0</v>
      </c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30">
        <f t="shared" si="70"/>
        <v>0</v>
      </c>
      <c r="BT187" s="3"/>
    </row>
    <row r="188" ht="14.25" customHeight="1">
      <c r="A188" s="3"/>
      <c r="B188" s="215">
        <v>46188</v>
      </c>
      <c r="C188" s="123"/>
      <c r="D188" s="123"/>
      <c r="E188" s="120"/>
      <c r="F188" s="120"/>
      <c r="G188" s="147">
        <f t="shared" si="71"/>
        <v>0</v>
      </c>
      <c r="H188" s="144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03">
        <f t="shared" si="63"/>
        <v>0</v>
      </c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  <c r="AF188" s="143"/>
      <c r="AG188" s="103">
        <f t="shared" si="64"/>
        <v>0</v>
      </c>
      <c r="AH188" s="123"/>
      <c r="AI188" s="123"/>
      <c r="AJ188" s="123"/>
      <c r="AK188" s="105">
        <f t="shared" si="65"/>
        <v>0</v>
      </c>
      <c r="AL188" s="143"/>
      <c r="AM188" s="143"/>
      <c r="AN188" s="143"/>
      <c r="AO188" s="146"/>
      <c r="AP188" s="224">
        <f t="shared" si="66"/>
        <v>0</v>
      </c>
      <c r="AQ188" s="126"/>
      <c r="AR188" s="274"/>
      <c r="AS188" s="126"/>
      <c r="AT188" s="126"/>
      <c r="AU188" s="126"/>
      <c r="AV188" s="126"/>
      <c r="AW188" s="126"/>
      <c r="AX188" s="274"/>
      <c r="AY188" s="274"/>
      <c r="AZ188" s="274"/>
      <c r="BA188" s="274"/>
      <c r="BB188" s="222">
        <f t="shared" si="67"/>
        <v>0</v>
      </c>
      <c r="BC188" s="113">
        <f t="shared" si="68"/>
        <v>0</v>
      </c>
      <c r="BD188" s="3"/>
      <c r="BE188" s="113">
        <f t="shared" si="69"/>
        <v>0</v>
      </c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30">
        <f t="shared" si="70"/>
        <v>0</v>
      </c>
      <c r="BT188" s="3"/>
    </row>
    <row r="189" ht="14.25" customHeight="1">
      <c r="A189" s="3"/>
      <c r="B189" s="215">
        <v>46189</v>
      </c>
      <c r="C189" s="123"/>
      <c r="D189" s="123"/>
      <c r="E189" s="120"/>
      <c r="F189" s="120"/>
      <c r="G189" s="147">
        <f t="shared" si="71"/>
        <v>0</v>
      </c>
      <c r="H189" s="144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03">
        <f t="shared" si="63"/>
        <v>0</v>
      </c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  <c r="AF189" s="143"/>
      <c r="AG189" s="103">
        <f t="shared" si="64"/>
        <v>0</v>
      </c>
      <c r="AH189" s="123"/>
      <c r="AI189" s="123"/>
      <c r="AJ189" s="123"/>
      <c r="AK189" s="105">
        <f t="shared" si="65"/>
        <v>0</v>
      </c>
      <c r="AL189" s="143"/>
      <c r="AM189" s="143"/>
      <c r="AN189" s="143"/>
      <c r="AO189" s="146"/>
      <c r="AP189" s="224">
        <f t="shared" si="66"/>
        <v>0</v>
      </c>
      <c r="AQ189" s="126"/>
      <c r="AR189" s="274"/>
      <c r="AS189" s="126"/>
      <c r="AT189" s="126"/>
      <c r="AU189" s="126"/>
      <c r="AV189" s="126"/>
      <c r="AW189" s="126"/>
      <c r="AX189" s="274"/>
      <c r="AY189" s="274"/>
      <c r="AZ189" s="274"/>
      <c r="BA189" s="274"/>
      <c r="BB189" s="222">
        <f t="shared" si="67"/>
        <v>0</v>
      </c>
      <c r="BC189" s="113">
        <f t="shared" si="68"/>
        <v>0</v>
      </c>
      <c r="BD189" s="3"/>
      <c r="BE189" s="113">
        <f t="shared" si="69"/>
        <v>0</v>
      </c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30">
        <f t="shared" si="70"/>
        <v>0</v>
      </c>
      <c r="BT189" s="3"/>
    </row>
    <row r="190" ht="14.25" customHeight="1">
      <c r="A190" s="132"/>
      <c r="B190" s="215">
        <v>46190</v>
      </c>
      <c r="C190" s="136"/>
      <c r="D190" s="136"/>
      <c r="E190" s="135"/>
      <c r="F190" s="135"/>
      <c r="G190" s="147">
        <f t="shared" si="71"/>
        <v>0</v>
      </c>
      <c r="H190" s="144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03">
        <f t="shared" si="63"/>
        <v>0</v>
      </c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03">
        <f t="shared" si="64"/>
        <v>0</v>
      </c>
      <c r="AH190" s="136"/>
      <c r="AI190" s="136"/>
      <c r="AJ190" s="136"/>
      <c r="AK190" s="105">
        <f t="shared" si="65"/>
        <v>0</v>
      </c>
      <c r="AL190" s="143"/>
      <c r="AM190" s="143"/>
      <c r="AN190" s="143"/>
      <c r="AO190" s="146"/>
      <c r="AP190" s="224">
        <f t="shared" si="66"/>
        <v>0</v>
      </c>
      <c r="AQ190" s="126"/>
      <c r="AR190" s="274"/>
      <c r="AS190" s="126"/>
      <c r="AT190" s="126"/>
      <c r="AU190" s="126"/>
      <c r="AV190" s="126"/>
      <c r="AW190" s="126"/>
      <c r="AX190" s="274"/>
      <c r="AY190" s="274"/>
      <c r="AZ190" s="274"/>
      <c r="BA190" s="274"/>
      <c r="BB190" s="222">
        <f t="shared" si="67"/>
        <v>0</v>
      </c>
      <c r="BC190" s="140">
        <f t="shared" si="68"/>
        <v>0</v>
      </c>
      <c r="BD190" s="132"/>
      <c r="BE190" s="140">
        <f t="shared" si="69"/>
        <v>0</v>
      </c>
      <c r="BF190" s="141"/>
      <c r="BG190" s="141"/>
      <c r="BH190" s="141"/>
      <c r="BI190" s="141"/>
      <c r="BJ190" s="141"/>
      <c r="BK190" s="141"/>
      <c r="BL190" s="141"/>
      <c r="BM190" s="141"/>
      <c r="BN190" s="141"/>
      <c r="BO190" s="141"/>
      <c r="BP190" s="141"/>
      <c r="BQ190" s="141"/>
      <c r="BR190" s="141"/>
      <c r="BS190" s="130">
        <f t="shared" si="70"/>
        <v>0</v>
      </c>
      <c r="BT190" s="132"/>
    </row>
    <row r="191" ht="14.25" customHeight="1">
      <c r="A191" s="132"/>
      <c r="B191" s="215">
        <v>46191</v>
      </c>
      <c r="C191" s="136"/>
      <c r="D191" s="136"/>
      <c r="E191" s="135"/>
      <c r="F191" s="135"/>
      <c r="G191" s="147">
        <f t="shared" si="71"/>
        <v>0</v>
      </c>
      <c r="H191" s="144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03">
        <f t="shared" si="63"/>
        <v>0</v>
      </c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03">
        <f t="shared" si="64"/>
        <v>0</v>
      </c>
      <c r="AH191" s="136"/>
      <c r="AI191" s="136"/>
      <c r="AJ191" s="136"/>
      <c r="AK191" s="105">
        <f t="shared" si="65"/>
        <v>0</v>
      </c>
      <c r="AL191" s="143"/>
      <c r="AM191" s="143"/>
      <c r="AN191" s="143"/>
      <c r="AO191" s="146"/>
      <c r="AP191" s="224">
        <f t="shared" si="66"/>
        <v>0</v>
      </c>
      <c r="AQ191" s="126"/>
      <c r="AR191" s="274"/>
      <c r="AS191" s="274"/>
      <c r="AT191" s="126"/>
      <c r="AU191" s="126"/>
      <c r="AV191" s="126"/>
      <c r="AW191" s="126"/>
      <c r="AX191" s="274"/>
      <c r="AY191" s="274"/>
      <c r="AZ191" s="274"/>
      <c r="BA191" s="274"/>
      <c r="BB191" s="222">
        <f t="shared" si="67"/>
        <v>0</v>
      </c>
      <c r="BC191" s="140">
        <f t="shared" si="68"/>
        <v>0</v>
      </c>
      <c r="BD191" s="132"/>
      <c r="BE191" s="140">
        <f t="shared" si="69"/>
        <v>0</v>
      </c>
      <c r="BF191" s="141"/>
      <c r="BG191" s="141"/>
      <c r="BH191" s="141"/>
      <c r="BI191" s="141"/>
      <c r="BJ191" s="141"/>
      <c r="BK191" s="141"/>
      <c r="BL191" s="141"/>
      <c r="BM191" s="141"/>
      <c r="BN191" s="141"/>
      <c r="BO191" s="141"/>
      <c r="BP191" s="141"/>
      <c r="BQ191" s="141"/>
      <c r="BR191" s="141"/>
      <c r="BS191" s="130">
        <f t="shared" si="70"/>
        <v>0</v>
      </c>
      <c r="BT191" s="132"/>
    </row>
    <row r="192" ht="14.25" customHeight="1">
      <c r="A192" s="132"/>
      <c r="B192" s="215">
        <v>46192</v>
      </c>
      <c r="C192" s="136"/>
      <c r="D192" s="136"/>
      <c r="E192" s="135"/>
      <c r="F192" s="135"/>
      <c r="G192" s="147">
        <f t="shared" si="71"/>
        <v>0</v>
      </c>
      <c r="H192" s="144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03">
        <f t="shared" si="63"/>
        <v>0</v>
      </c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03">
        <f t="shared" si="64"/>
        <v>0</v>
      </c>
      <c r="AH192" s="136"/>
      <c r="AI192" s="136"/>
      <c r="AJ192" s="136"/>
      <c r="AK192" s="105">
        <f t="shared" si="65"/>
        <v>0</v>
      </c>
      <c r="AL192" s="143"/>
      <c r="AM192" s="143"/>
      <c r="AN192" s="143"/>
      <c r="AO192" s="146"/>
      <c r="AP192" s="224">
        <f t="shared" si="66"/>
        <v>0</v>
      </c>
      <c r="AQ192" s="126"/>
      <c r="AR192" s="274"/>
      <c r="AS192" s="126"/>
      <c r="AT192" s="126"/>
      <c r="AU192" s="126"/>
      <c r="AV192" s="126"/>
      <c r="AW192" s="126"/>
      <c r="AX192" s="274"/>
      <c r="AY192" s="274"/>
      <c r="AZ192" s="274"/>
      <c r="BA192" s="274"/>
      <c r="BB192" s="222">
        <f t="shared" si="67"/>
        <v>0</v>
      </c>
      <c r="BC192" s="140">
        <f t="shared" si="68"/>
        <v>0</v>
      </c>
      <c r="BD192" s="132"/>
      <c r="BE192" s="140">
        <f t="shared" si="69"/>
        <v>0</v>
      </c>
      <c r="BF192" s="141"/>
      <c r="BG192" s="141"/>
      <c r="BH192" s="141"/>
      <c r="BI192" s="141"/>
      <c r="BJ192" s="141"/>
      <c r="BK192" s="141"/>
      <c r="BL192" s="141"/>
      <c r="BM192" s="141"/>
      <c r="BN192" s="141"/>
      <c r="BO192" s="141"/>
      <c r="BP192" s="141"/>
      <c r="BQ192" s="141"/>
      <c r="BR192" s="141"/>
      <c r="BS192" s="130">
        <f t="shared" si="70"/>
        <v>0</v>
      </c>
      <c r="BT192" s="132"/>
    </row>
    <row r="193" ht="14.25" customHeight="1">
      <c r="A193" s="132"/>
      <c r="B193" s="215">
        <v>46193</v>
      </c>
      <c r="C193" s="136"/>
      <c r="D193" s="136"/>
      <c r="E193" s="135"/>
      <c r="F193" s="135"/>
      <c r="G193" s="147">
        <f t="shared" si="71"/>
        <v>0</v>
      </c>
      <c r="H193" s="144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03">
        <f t="shared" si="63"/>
        <v>0</v>
      </c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03">
        <f t="shared" si="64"/>
        <v>0</v>
      </c>
      <c r="AH193" s="136"/>
      <c r="AI193" s="136"/>
      <c r="AJ193" s="136"/>
      <c r="AK193" s="105">
        <f t="shared" si="65"/>
        <v>0</v>
      </c>
      <c r="AL193" s="143"/>
      <c r="AM193" s="143"/>
      <c r="AN193" s="143"/>
      <c r="AO193" s="146"/>
      <c r="AP193" s="224">
        <f t="shared" si="66"/>
        <v>0</v>
      </c>
      <c r="AQ193" s="126"/>
      <c r="AR193" s="274"/>
      <c r="AS193" s="126"/>
      <c r="AT193" s="126"/>
      <c r="AU193" s="126"/>
      <c r="AV193" s="126"/>
      <c r="AW193" s="126"/>
      <c r="AX193" s="274"/>
      <c r="AY193" s="274"/>
      <c r="AZ193" s="274"/>
      <c r="BA193" s="274"/>
      <c r="BB193" s="222">
        <f t="shared" si="67"/>
        <v>0</v>
      </c>
      <c r="BC193" s="140">
        <f t="shared" si="68"/>
        <v>0</v>
      </c>
      <c r="BD193" s="132"/>
      <c r="BE193" s="140">
        <f t="shared" si="69"/>
        <v>0</v>
      </c>
      <c r="BF193" s="141"/>
      <c r="BG193" s="141"/>
      <c r="BH193" s="141"/>
      <c r="BI193" s="141"/>
      <c r="BJ193" s="141"/>
      <c r="BK193" s="141"/>
      <c r="BL193" s="141"/>
      <c r="BM193" s="141"/>
      <c r="BN193" s="141"/>
      <c r="BO193" s="141"/>
      <c r="BP193" s="141"/>
      <c r="BQ193" s="141"/>
      <c r="BR193" s="141"/>
      <c r="BS193" s="130">
        <f t="shared" si="70"/>
        <v>0</v>
      </c>
      <c r="BT193" s="132"/>
    </row>
    <row r="194" ht="14.25" customHeight="1">
      <c r="A194" s="132"/>
      <c r="B194" s="215">
        <v>46194</v>
      </c>
      <c r="C194" s="136"/>
      <c r="D194" s="136"/>
      <c r="E194" s="135"/>
      <c r="F194" s="135"/>
      <c r="G194" s="147">
        <f t="shared" si="71"/>
        <v>0</v>
      </c>
      <c r="H194" s="144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03">
        <f t="shared" si="63"/>
        <v>0</v>
      </c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03">
        <f t="shared" si="64"/>
        <v>0</v>
      </c>
      <c r="AH194" s="136"/>
      <c r="AI194" s="136"/>
      <c r="AJ194" s="136"/>
      <c r="AK194" s="105">
        <f t="shared" si="65"/>
        <v>0</v>
      </c>
      <c r="AL194" s="143"/>
      <c r="AM194" s="143"/>
      <c r="AN194" s="143"/>
      <c r="AO194" s="146"/>
      <c r="AP194" s="224">
        <f t="shared" si="66"/>
        <v>0</v>
      </c>
      <c r="AQ194" s="126"/>
      <c r="AR194" s="274"/>
      <c r="AS194" s="126"/>
      <c r="AT194" s="126"/>
      <c r="AU194" s="126"/>
      <c r="AV194" s="126"/>
      <c r="AW194" s="126"/>
      <c r="AX194" s="274"/>
      <c r="AY194" s="274"/>
      <c r="AZ194" s="274"/>
      <c r="BA194" s="274"/>
      <c r="BB194" s="222">
        <f t="shared" si="67"/>
        <v>0</v>
      </c>
      <c r="BC194" s="140">
        <f t="shared" si="68"/>
        <v>0</v>
      </c>
      <c r="BD194" s="132"/>
      <c r="BE194" s="140">
        <f t="shared" si="69"/>
        <v>0</v>
      </c>
      <c r="BF194" s="141"/>
      <c r="BG194" s="141"/>
      <c r="BH194" s="141"/>
      <c r="BI194" s="141"/>
      <c r="BJ194" s="141"/>
      <c r="BK194" s="141"/>
      <c r="BL194" s="141"/>
      <c r="BM194" s="141"/>
      <c r="BN194" s="141"/>
      <c r="BO194" s="141"/>
      <c r="BP194" s="141"/>
      <c r="BQ194" s="141"/>
      <c r="BR194" s="141"/>
      <c r="BS194" s="130">
        <f t="shared" si="70"/>
        <v>0</v>
      </c>
      <c r="BT194" s="132"/>
    </row>
    <row r="195" ht="14.25" customHeight="1">
      <c r="A195" s="132"/>
      <c r="B195" s="215">
        <v>46195</v>
      </c>
      <c r="C195" s="136"/>
      <c r="D195" s="136"/>
      <c r="E195" s="135"/>
      <c r="F195" s="135"/>
      <c r="G195" s="147">
        <f t="shared" si="71"/>
        <v>0</v>
      </c>
      <c r="H195" s="144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03">
        <f t="shared" si="63"/>
        <v>0</v>
      </c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  <c r="AF195" s="143"/>
      <c r="AG195" s="103">
        <f t="shared" si="64"/>
        <v>0</v>
      </c>
      <c r="AH195" s="136"/>
      <c r="AI195" s="136"/>
      <c r="AJ195" s="136"/>
      <c r="AK195" s="105">
        <f t="shared" si="65"/>
        <v>0</v>
      </c>
      <c r="AL195" s="143"/>
      <c r="AM195" s="143"/>
      <c r="AN195" s="143"/>
      <c r="AO195" s="146"/>
      <c r="AP195" s="224">
        <f t="shared" si="66"/>
        <v>0</v>
      </c>
      <c r="AQ195" s="126"/>
      <c r="AR195" s="274"/>
      <c r="AS195" s="126"/>
      <c r="AT195" s="126"/>
      <c r="AU195" s="126"/>
      <c r="AV195" s="126"/>
      <c r="AW195" s="126"/>
      <c r="AX195" s="274"/>
      <c r="AY195" s="274"/>
      <c r="AZ195" s="274"/>
      <c r="BA195" s="274"/>
      <c r="BB195" s="222">
        <f t="shared" si="67"/>
        <v>0</v>
      </c>
      <c r="BC195" s="140">
        <f t="shared" si="68"/>
        <v>0</v>
      </c>
      <c r="BD195" s="132"/>
      <c r="BE195" s="140">
        <f t="shared" si="69"/>
        <v>0</v>
      </c>
      <c r="BF195" s="141"/>
      <c r="BG195" s="141"/>
      <c r="BH195" s="141"/>
      <c r="BI195" s="141"/>
      <c r="BJ195" s="141"/>
      <c r="BK195" s="141"/>
      <c r="BL195" s="141"/>
      <c r="BM195" s="141"/>
      <c r="BN195" s="141"/>
      <c r="BO195" s="141"/>
      <c r="BP195" s="141"/>
      <c r="BQ195" s="141"/>
      <c r="BR195" s="141"/>
      <c r="BS195" s="130">
        <f t="shared" si="70"/>
        <v>0</v>
      </c>
      <c r="BT195" s="132"/>
    </row>
    <row r="196" ht="14.25" customHeight="1">
      <c r="A196" s="132"/>
      <c r="B196" s="215">
        <v>46196</v>
      </c>
      <c r="C196" s="136"/>
      <c r="D196" s="136"/>
      <c r="E196" s="135"/>
      <c r="F196" s="135"/>
      <c r="G196" s="147">
        <f t="shared" si="71"/>
        <v>0</v>
      </c>
      <c r="H196" s="144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03">
        <f t="shared" si="63"/>
        <v>0</v>
      </c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  <c r="AF196" s="143"/>
      <c r="AG196" s="103">
        <f t="shared" si="64"/>
        <v>0</v>
      </c>
      <c r="AH196" s="136"/>
      <c r="AI196" s="136"/>
      <c r="AJ196" s="136"/>
      <c r="AK196" s="105">
        <f t="shared" si="65"/>
        <v>0</v>
      </c>
      <c r="AL196" s="143"/>
      <c r="AM196" s="143"/>
      <c r="AN196" s="143"/>
      <c r="AO196" s="146"/>
      <c r="AP196" s="224">
        <f t="shared" si="66"/>
        <v>0</v>
      </c>
      <c r="AQ196" s="126"/>
      <c r="AR196" s="274"/>
      <c r="AS196" s="126"/>
      <c r="AT196" s="126"/>
      <c r="AU196" s="126"/>
      <c r="AV196" s="126"/>
      <c r="AW196" s="126"/>
      <c r="AX196" s="274"/>
      <c r="AY196" s="274"/>
      <c r="AZ196" s="274"/>
      <c r="BA196" s="274"/>
      <c r="BB196" s="222">
        <f t="shared" si="67"/>
        <v>0</v>
      </c>
      <c r="BC196" s="140">
        <f t="shared" si="68"/>
        <v>0</v>
      </c>
      <c r="BD196" s="132"/>
      <c r="BE196" s="140">
        <f t="shared" si="69"/>
        <v>0</v>
      </c>
      <c r="BF196" s="141"/>
      <c r="BG196" s="141"/>
      <c r="BH196" s="141"/>
      <c r="BI196" s="141"/>
      <c r="BJ196" s="141"/>
      <c r="BK196" s="141"/>
      <c r="BL196" s="141"/>
      <c r="BM196" s="141"/>
      <c r="BN196" s="141"/>
      <c r="BO196" s="141"/>
      <c r="BP196" s="141"/>
      <c r="BQ196" s="141"/>
      <c r="BR196" s="141"/>
      <c r="BS196" s="130">
        <f t="shared" si="70"/>
        <v>0</v>
      </c>
      <c r="BT196" s="132"/>
    </row>
    <row r="197" ht="14.25" customHeight="1">
      <c r="A197" s="132"/>
      <c r="B197" s="215">
        <v>46197</v>
      </c>
      <c r="C197" s="136"/>
      <c r="D197" s="136"/>
      <c r="E197" s="135"/>
      <c r="F197" s="135"/>
      <c r="G197" s="147">
        <f t="shared" si="71"/>
        <v>0</v>
      </c>
      <c r="H197" s="144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03">
        <f t="shared" si="63"/>
        <v>0</v>
      </c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03">
        <f t="shared" si="64"/>
        <v>0</v>
      </c>
      <c r="AH197" s="136"/>
      <c r="AI197" s="136"/>
      <c r="AJ197" s="136"/>
      <c r="AK197" s="105">
        <f t="shared" si="65"/>
        <v>0</v>
      </c>
      <c r="AL197" s="143"/>
      <c r="AM197" s="143"/>
      <c r="AN197" s="143"/>
      <c r="AO197" s="146"/>
      <c r="AP197" s="224">
        <f t="shared" si="66"/>
        <v>0</v>
      </c>
      <c r="AQ197" s="126"/>
      <c r="AR197" s="274"/>
      <c r="AS197" s="126"/>
      <c r="AT197" s="126"/>
      <c r="AU197" s="126"/>
      <c r="AV197" s="126"/>
      <c r="AW197" s="126"/>
      <c r="AX197" s="274"/>
      <c r="AY197" s="274"/>
      <c r="AZ197" s="274"/>
      <c r="BA197" s="274"/>
      <c r="BB197" s="222">
        <f t="shared" si="67"/>
        <v>0</v>
      </c>
      <c r="BC197" s="140">
        <f t="shared" si="68"/>
        <v>0</v>
      </c>
      <c r="BD197" s="132"/>
      <c r="BE197" s="140">
        <f t="shared" si="69"/>
        <v>0</v>
      </c>
      <c r="BF197" s="141"/>
      <c r="BG197" s="141"/>
      <c r="BH197" s="141"/>
      <c r="BI197" s="141"/>
      <c r="BJ197" s="141"/>
      <c r="BK197" s="141"/>
      <c r="BL197" s="141"/>
      <c r="BM197" s="141"/>
      <c r="BN197" s="141"/>
      <c r="BO197" s="141"/>
      <c r="BP197" s="141"/>
      <c r="BQ197" s="141"/>
      <c r="BR197" s="141"/>
      <c r="BS197" s="130">
        <f t="shared" si="70"/>
        <v>0</v>
      </c>
      <c r="BT197" s="132"/>
    </row>
    <row r="198" ht="14.25" customHeight="1">
      <c r="A198" s="132"/>
      <c r="B198" s="215">
        <v>46198</v>
      </c>
      <c r="C198" s="136"/>
      <c r="D198" s="136"/>
      <c r="E198" s="135"/>
      <c r="F198" s="135"/>
      <c r="G198" s="147">
        <f t="shared" si="71"/>
        <v>0</v>
      </c>
      <c r="H198" s="144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03">
        <f t="shared" si="63"/>
        <v>0</v>
      </c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03">
        <f t="shared" si="64"/>
        <v>0</v>
      </c>
      <c r="AH198" s="136"/>
      <c r="AI198" s="136"/>
      <c r="AJ198" s="136"/>
      <c r="AK198" s="105">
        <f t="shared" si="65"/>
        <v>0</v>
      </c>
      <c r="AL198" s="143"/>
      <c r="AM198" s="143"/>
      <c r="AN198" s="143"/>
      <c r="AO198" s="146"/>
      <c r="AP198" s="224">
        <f t="shared" si="66"/>
        <v>0</v>
      </c>
      <c r="AQ198" s="126"/>
      <c r="AR198" s="274"/>
      <c r="AS198" s="126"/>
      <c r="AT198" s="126"/>
      <c r="AU198" s="126"/>
      <c r="AV198" s="126"/>
      <c r="AW198" s="126"/>
      <c r="AX198" s="274"/>
      <c r="AY198" s="274"/>
      <c r="AZ198" s="274"/>
      <c r="BA198" s="274"/>
      <c r="BB198" s="222">
        <f t="shared" si="67"/>
        <v>0</v>
      </c>
      <c r="BC198" s="140">
        <f t="shared" si="68"/>
        <v>0</v>
      </c>
      <c r="BD198" s="132"/>
      <c r="BE198" s="140">
        <f t="shared" si="69"/>
        <v>0</v>
      </c>
      <c r="BF198" s="141"/>
      <c r="BG198" s="141"/>
      <c r="BH198" s="141"/>
      <c r="BI198" s="141"/>
      <c r="BJ198" s="141"/>
      <c r="BK198" s="141"/>
      <c r="BL198" s="141"/>
      <c r="BM198" s="141"/>
      <c r="BN198" s="141"/>
      <c r="BO198" s="141"/>
      <c r="BP198" s="141"/>
      <c r="BQ198" s="141"/>
      <c r="BR198" s="141"/>
      <c r="BS198" s="130">
        <f t="shared" si="70"/>
        <v>0</v>
      </c>
      <c r="BT198" s="132"/>
    </row>
    <row r="199" ht="14.25" customHeight="1">
      <c r="A199" s="132"/>
      <c r="B199" s="215">
        <v>46199</v>
      </c>
      <c r="C199" s="136"/>
      <c r="D199" s="136"/>
      <c r="E199" s="135"/>
      <c r="F199" s="135"/>
      <c r="G199" s="147">
        <f t="shared" si="71"/>
        <v>0</v>
      </c>
      <c r="H199" s="144"/>
      <c r="I199" s="143"/>
      <c r="J199" s="143"/>
      <c r="K199" s="143"/>
      <c r="L199" s="143"/>
      <c r="M199" s="143"/>
      <c r="N199" s="99"/>
      <c r="O199" s="143"/>
      <c r="P199" s="143"/>
      <c r="Q199" s="143"/>
      <c r="R199" s="143"/>
      <c r="S199" s="143"/>
      <c r="T199" s="103">
        <f t="shared" si="63"/>
        <v>0</v>
      </c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03">
        <f t="shared" si="64"/>
        <v>0</v>
      </c>
      <c r="AH199" s="136"/>
      <c r="AI199" s="136"/>
      <c r="AJ199" s="136"/>
      <c r="AK199" s="105">
        <f t="shared" si="65"/>
        <v>0</v>
      </c>
      <c r="AL199" s="143"/>
      <c r="AM199" s="143"/>
      <c r="AN199" s="143"/>
      <c r="AO199" s="146"/>
      <c r="AP199" s="224">
        <f t="shared" si="66"/>
        <v>0</v>
      </c>
      <c r="AQ199" s="126"/>
      <c r="AR199" s="274"/>
      <c r="AS199" s="126"/>
      <c r="AT199" s="126"/>
      <c r="AU199" s="126"/>
      <c r="AV199" s="126"/>
      <c r="AW199" s="126"/>
      <c r="AX199" s="274"/>
      <c r="AY199" s="274"/>
      <c r="AZ199" s="274"/>
      <c r="BA199" s="274"/>
      <c r="BB199" s="222">
        <f t="shared" si="67"/>
        <v>0</v>
      </c>
      <c r="BC199" s="140">
        <f t="shared" si="68"/>
        <v>0</v>
      </c>
      <c r="BD199" s="132"/>
      <c r="BE199" s="140">
        <f t="shared" si="69"/>
        <v>0</v>
      </c>
      <c r="BF199" s="141"/>
      <c r="BG199" s="141"/>
      <c r="BH199" s="141"/>
      <c r="BI199" s="141"/>
      <c r="BJ199" s="141"/>
      <c r="BK199" s="141"/>
      <c r="BL199" s="141"/>
      <c r="BM199" s="141"/>
      <c r="BN199" s="141"/>
      <c r="BO199" s="141"/>
      <c r="BP199" s="141"/>
      <c r="BQ199" s="141"/>
      <c r="BR199" s="141"/>
      <c r="BS199" s="130">
        <f t="shared" si="70"/>
        <v>0</v>
      </c>
      <c r="BT199" s="132"/>
    </row>
    <row r="200" ht="14.25" customHeight="1">
      <c r="A200" s="132"/>
      <c r="B200" s="215">
        <v>46200</v>
      </c>
      <c r="C200" s="136"/>
      <c r="D200" s="136"/>
      <c r="E200" s="135"/>
      <c r="F200" s="135"/>
      <c r="G200" s="147">
        <f t="shared" si="71"/>
        <v>0</v>
      </c>
      <c r="H200" s="144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03">
        <f t="shared" si="63"/>
        <v>0</v>
      </c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03">
        <f t="shared" si="64"/>
        <v>0</v>
      </c>
      <c r="AH200" s="136"/>
      <c r="AI200" s="136"/>
      <c r="AJ200" s="136"/>
      <c r="AK200" s="105">
        <f t="shared" si="65"/>
        <v>0</v>
      </c>
      <c r="AL200" s="143"/>
      <c r="AM200" s="143"/>
      <c r="AN200" s="143"/>
      <c r="AO200" s="146"/>
      <c r="AP200" s="224">
        <f t="shared" si="66"/>
        <v>0</v>
      </c>
      <c r="AQ200" s="126"/>
      <c r="AR200" s="274"/>
      <c r="AS200" s="126"/>
      <c r="AT200" s="126"/>
      <c r="AU200" s="126"/>
      <c r="AV200" s="126"/>
      <c r="AW200" s="126"/>
      <c r="AX200" s="274"/>
      <c r="AY200" s="274"/>
      <c r="AZ200" s="274"/>
      <c r="BA200" s="274"/>
      <c r="BB200" s="222">
        <f t="shared" si="67"/>
        <v>0</v>
      </c>
      <c r="BC200" s="140">
        <f t="shared" si="68"/>
        <v>0</v>
      </c>
      <c r="BD200" s="132"/>
      <c r="BE200" s="140">
        <f t="shared" si="69"/>
        <v>0</v>
      </c>
      <c r="BF200" s="141"/>
      <c r="BG200" s="141"/>
      <c r="BH200" s="141"/>
      <c r="BI200" s="141"/>
      <c r="BJ200" s="141"/>
      <c r="BK200" s="141"/>
      <c r="BL200" s="141"/>
      <c r="BM200" s="141"/>
      <c r="BN200" s="141"/>
      <c r="BO200" s="141"/>
      <c r="BP200" s="141"/>
      <c r="BQ200" s="141"/>
      <c r="BR200" s="141"/>
      <c r="BS200" s="130">
        <f t="shared" si="70"/>
        <v>0</v>
      </c>
      <c r="BT200" s="132"/>
    </row>
    <row r="201" ht="14.25" customHeight="1">
      <c r="A201" s="132"/>
      <c r="B201" s="215">
        <v>46201</v>
      </c>
      <c r="C201" s="136"/>
      <c r="D201" s="136"/>
      <c r="E201" s="135"/>
      <c r="F201" s="135"/>
      <c r="G201" s="147">
        <f t="shared" si="71"/>
        <v>0</v>
      </c>
      <c r="H201" s="144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03">
        <f t="shared" si="63"/>
        <v>0</v>
      </c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03">
        <f t="shared" si="64"/>
        <v>0</v>
      </c>
      <c r="AH201" s="136"/>
      <c r="AI201" s="136"/>
      <c r="AJ201" s="136"/>
      <c r="AK201" s="105">
        <f t="shared" si="65"/>
        <v>0</v>
      </c>
      <c r="AL201" s="143"/>
      <c r="AM201" s="143"/>
      <c r="AN201" s="143"/>
      <c r="AO201" s="146"/>
      <c r="AP201" s="224">
        <f t="shared" si="66"/>
        <v>0</v>
      </c>
      <c r="AQ201" s="126"/>
      <c r="AR201" s="274"/>
      <c r="AS201" s="126"/>
      <c r="AT201" s="126"/>
      <c r="AU201" s="126"/>
      <c r="AV201" s="126"/>
      <c r="AW201" s="126"/>
      <c r="AX201" s="274"/>
      <c r="AY201" s="274"/>
      <c r="AZ201" s="274"/>
      <c r="BA201" s="274"/>
      <c r="BB201" s="222">
        <f t="shared" si="67"/>
        <v>0</v>
      </c>
      <c r="BC201" s="140">
        <f t="shared" si="68"/>
        <v>0</v>
      </c>
      <c r="BD201" s="132"/>
      <c r="BE201" s="140">
        <f t="shared" si="69"/>
        <v>0</v>
      </c>
      <c r="BF201" s="141"/>
      <c r="BG201" s="141"/>
      <c r="BH201" s="141"/>
      <c r="BI201" s="141"/>
      <c r="BJ201" s="141"/>
      <c r="BK201" s="141"/>
      <c r="BL201" s="141"/>
      <c r="BM201" s="141"/>
      <c r="BN201" s="141"/>
      <c r="BO201" s="141"/>
      <c r="BP201" s="141"/>
      <c r="BQ201" s="141"/>
      <c r="BR201" s="141"/>
      <c r="BS201" s="130">
        <f t="shared" si="70"/>
        <v>0</v>
      </c>
      <c r="BT201" s="132"/>
    </row>
    <row r="202" ht="14.25" customHeight="1">
      <c r="A202" s="132"/>
      <c r="B202" s="215">
        <v>46202</v>
      </c>
      <c r="C202" s="136"/>
      <c r="D202" s="136"/>
      <c r="E202" s="135"/>
      <c r="F202" s="135"/>
      <c r="G202" s="147">
        <f t="shared" si="71"/>
        <v>0</v>
      </c>
      <c r="H202" s="144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03">
        <f t="shared" si="63"/>
        <v>0</v>
      </c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03">
        <f t="shared" si="64"/>
        <v>0</v>
      </c>
      <c r="AH202" s="136"/>
      <c r="AI202" s="136"/>
      <c r="AJ202" s="136"/>
      <c r="AK202" s="105">
        <f t="shared" si="65"/>
        <v>0</v>
      </c>
      <c r="AL202" s="143"/>
      <c r="AM202" s="143"/>
      <c r="AN202" s="143"/>
      <c r="AO202" s="146"/>
      <c r="AP202" s="224">
        <f t="shared" si="66"/>
        <v>0</v>
      </c>
      <c r="AQ202" s="126"/>
      <c r="AR202" s="274"/>
      <c r="AS202" s="126"/>
      <c r="AT202" s="126"/>
      <c r="AU202" s="126"/>
      <c r="AV202" s="126"/>
      <c r="AW202" s="126"/>
      <c r="AX202" s="274"/>
      <c r="AY202" s="274"/>
      <c r="AZ202" s="274"/>
      <c r="BA202" s="274"/>
      <c r="BB202" s="222">
        <f t="shared" si="67"/>
        <v>0</v>
      </c>
      <c r="BC202" s="140">
        <f t="shared" si="68"/>
        <v>0</v>
      </c>
      <c r="BD202" s="132"/>
      <c r="BE202" s="140">
        <f t="shared" si="69"/>
        <v>0</v>
      </c>
      <c r="BF202" s="141"/>
      <c r="BG202" s="141"/>
      <c r="BH202" s="141"/>
      <c r="BI202" s="141"/>
      <c r="BJ202" s="141"/>
      <c r="BK202" s="141"/>
      <c r="BL202" s="141"/>
      <c r="BM202" s="141"/>
      <c r="BN202" s="141"/>
      <c r="BO202" s="141"/>
      <c r="BP202" s="141"/>
      <c r="BQ202" s="141"/>
      <c r="BR202" s="141"/>
      <c r="BS202" s="130">
        <f t="shared" si="70"/>
        <v>0</v>
      </c>
      <c r="BT202" s="132"/>
    </row>
    <row r="203" ht="14.25" customHeight="1">
      <c r="A203" s="132"/>
      <c r="B203" s="215">
        <v>46203</v>
      </c>
      <c r="C203" s="136"/>
      <c r="D203" s="136"/>
      <c r="E203" s="135"/>
      <c r="F203" s="135"/>
      <c r="G203" s="147">
        <f t="shared" si="71"/>
        <v>0</v>
      </c>
      <c r="H203" s="144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03">
        <f t="shared" si="63"/>
        <v>0</v>
      </c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03">
        <f t="shared" si="64"/>
        <v>0</v>
      </c>
      <c r="AH203" s="136"/>
      <c r="AI203" s="136"/>
      <c r="AJ203" s="136"/>
      <c r="AK203" s="105">
        <f t="shared" si="65"/>
        <v>0</v>
      </c>
      <c r="AL203" s="143"/>
      <c r="AM203" s="143"/>
      <c r="AN203" s="143"/>
      <c r="AO203" s="146"/>
      <c r="AP203" s="224">
        <f t="shared" si="66"/>
        <v>0</v>
      </c>
      <c r="AQ203" s="138"/>
      <c r="AR203" s="274"/>
      <c r="AS203" s="126"/>
      <c r="AT203" s="126"/>
      <c r="AU203" s="126"/>
      <c r="AV203" s="126"/>
      <c r="AW203" s="126"/>
      <c r="AX203" s="274"/>
      <c r="AY203" s="274"/>
      <c r="AZ203" s="274"/>
      <c r="BA203" s="274"/>
      <c r="BB203" s="222">
        <f t="shared" si="67"/>
        <v>0</v>
      </c>
      <c r="BC203" s="140">
        <f t="shared" si="68"/>
        <v>0</v>
      </c>
      <c r="BD203" s="132"/>
      <c r="BE203" s="140">
        <f t="shared" si="69"/>
        <v>0</v>
      </c>
      <c r="BF203" s="141"/>
      <c r="BG203" s="141"/>
      <c r="BH203" s="141"/>
      <c r="BI203" s="141"/>
      <c r="BJ203" s="141"/>
      <c r="BK203" s="141"/>
      <c r="BL203" s="141"/>
      <c r="BM203" s="141"/>
      <c r="BN203" s="141"/>
      <c r="BO203" s="141"/>
      <c r="BP203" s="141"/>
      <c r="BQ203" s="141"/>
      <c r="BR203" s="141"/>
      <c r="BS203" s="130">
        <f t="shared" si="70"/>
        <v>0</v>
      </c>
      <c r="BT203" s="132"/>
    </row>
    <row r="204" ht="14.25" customHeight="1">
      <c r="A204" s="3"/>
      <c r="B204" s="2" t="s">
        <v>262</v>
      </c>
      <c r="C204" s="166">
        <f ref="C204:G204" t="shared" si="72">SUM(C174:C203)</f>
        <v>0</v>
      </c>
      <c r="D204" s="166">
        <f t="shared" si="72"/>
        <v>0</v>
      </c>
      <c r="E204" s="166">
        <f t="shared" si="72"/>
        <v>0</v>
      </c>
      <c r="F204" s="166">
        <f t="shared" si="72"/>
        <v>0</v>
      </c>
      <c r="G204" s="166">
        <f t="shared" si="72"/>
        <v>0</v>
      </c>
      <c r="H204" s="166"/>
      <c r="I204" s="166"/>
      <c r="J204" s="166"/>
      <c r="K204" s="166">
        <f ref="K204:T204" t="shared" si="73">SUM(K174:K203)</f>
        <v>0</v>
      </c>
      <c r="L204" s="166">
        <f t="shared" si="73"/>
        <v>0</v>
      </c>
      <c r="M204" s="166">
        <f t="shared" si="73"/>
        <v>0</v>
      </c>
      <c r="N204" s="166">
        <f t="shared" si="73"/>
        <v>0</v>
      </c>
      <c r="O204" s="166">
        <f t="shared" si="73"/>
        <v>0</v>
      </c>
      <c r="P204" s="166">
        <f t="shared" si="73"/>
        <v>0</v>
      </c>
      <c r="Q204" s="166">
        <f t="shared" si="73"/>
        <v>0</v>
      </c>
      <c r="R204" s="166">
        <f t="shared" si="73"/>
        <v>0</v>
      </c>
      <c r="S204" s="166">
        <f t="shared" si="73"/>
        <v>0</v>
      </c>
      <c r="T204" s="166">
        <f t="shared" si="73"/>
        <v>0</v>
      </c>
      <c r="U204" s="166"/>
      <c r="V204" s="166">
        <f ref="V204:AK204" t="shared" si="74">SUM(V174:V203)</f>
        <v>0</v>
      </c>
      <c r="W204" s="166">
        <f t="shared" si="74"/>
        <v>0</v>
      </c>
      <c r="X204" s="166">
        <f t="shared" si="74"/>
        <v>0</v>
      </c>
      <c r="Y204" s="166">
        <f t="shared" si="74"/>
        <v>0</v>
      </c>
      <c r="Z204" s="166">
        <f t="shared" si="74"/>
        <v>0</v>
      </c>
      <c r="AA204" s="166">
        <f t="shared" si="74"/>
        <v>0</v>
      </c>
      <c r="AB204" s="166">
        <f t="shared" si="74"/>
        <v>0</v>
      </c>
      <c r="AC204" s="166">
        <f t="shared" si="74"/>
        <v>0</v>
      </c>
      <c r="AD204" s="166">
        <f t="shared" si="74"/>
        <v>0</v>
      </c>
      <c r="AE204" s="166">
        <f t="shared" si="74"/>
        <v>0</v>
      </c>
      <c r="AF204" s="166">
        <f t="shared" si="74"/>
        <v>0</v>
      </c>
      <c r="AG204" s="166">
        <f t="shared" si="74"/>
        <v>0</v>
      </c>
      <c r="AH204" s="166">
        <f t="shared" si="74"/>
        <v>0</v>
      </c>
      <c r="AI204" s="166">
        <f t="shared" si="74"/>
        <v>0</v>
      </c>
      <c r="AJ204" s="166">
        <f t="shared" si="74"/>
        <v>0</v>
      </c>
      <c r="AK204" s="166">
        <f t="shared" si="74"/>
        <v>0</v>
      </c>
      <c r="AL204" s="166"/>
      <c r="AM204" s="166"/>
      <c r="AN204" s="166"/>
      <c r="AO204" s="166"/>
      <c r="AP204" s="166">
        <f ref="AP204:AQ204" t="shared" si="75">SUM(AP174:AP203)</f>
        <v>0</v>
      </c>
      <c r="AQ204" s="165">
        <f t="shared" si="75"/>
        <v>0</v>
      </c>
      <c r="AR204" s="166"/>
      <c r="AS204" s="166"/>
      <c r="AT204" s="166"/>
      <c r="AU204" s="166"/>
      <c r="AV204" s="166"/>
      <c r="AW204" s="166"/>
      <c r="AX204" s="166"/>
      <c r="AY204" s="166"/>
      <c r="AZ204" s="166"/>
      <c r="BA204" s="166"/>
      <c r="BB204" s="166">
        <f ref="BB204:BC204" t="shared" si="76">SUM(BB174:BB203)</f>
        <v>0</v>
      </c>
      <c r="BC204" s="166">
        <f t="shared" si="76"/>
        <v>0</v>
      </c>
      <c r="BD204" s="132"/>
      <c r="BE204" s="166">
        <f ref="BE204:BS204" t="shared" si="77">SUM(BE174:BE203)</f>
        <v>0</v>
      </c>
      <c r="BF204" s="166">
        <f t="shared" si="77"/>
        <v>0</v>
      </c>
      <c r="BG204" s="166">
        <f t="shared" si="77"/>
        <v>0</v>
      </c>
      <c r="BH204" s="166">
        <f t="shared" si="77"/>
        <v>0</v>
      </c>
      <c r="BI204" s="166">
        <f t="shared" si="77"/>
        <v>0</v>
      </c>
      <c r="BJ204" s="166">
        <f t="shared" si="77"/>
        <v>0</v>
      </c>
      <c r="BK204" s="166">
        <f t="shared" si="77"/>
        <v>0</v>
      </c>
      <c r="BL204" s="166">
        <f t="shared" si="77"/>
        <v>0</v>
      </c>
      <c r="BM204" s="166">
        <f t="shared" si="77"/>
        <v>0</v>
      </c>
      <c r="BN204" s="166">
        <f t="shared" si="77"/>
        <v>0</v>
      </c>
      <c r="BO204" s="166">
        <f t="shared" si="77"/>
        <v>0</v>
      </c>
      <c r="BP204" s="166">
        <f t="shared" si="77"/>
        <v>0</v>
      </c>
      <c r="BQ204" s="166">
        <f t="shared" si="77"/>
        <v>0</v>
      </c>
      <c r="BR204" s="166">
        <f t="shared" si="77"/>
        <v>0</v>
      </c>
      <c r="BS204" s="166">
        <f t="shared" si="77"/>
        <v>0</v>
      </c>
      <c r="BT204" s="3"/>
    </row>
    <row r="205" ht="14.25" customHeight="1">
      <c r="A205" s="1"/>
      <c r="B205" s="2"/>
      <c r="C205" s="3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96"/>
      <c r="AH205" s="3"/>
      <c r="AI205" s="3"/>
      <c r="AJ205" s="3"/>
      <c r="AK205" s="4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ht="14.25" customHeight="1">
      <c r="A206" s="1"/>
      <c r="B206" s="2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176"/>
      <c r="AH206" s="3"/>
      <c r="AI206" s="3"/>
      <c r="AJ206" s="3"/>
      <c r="AK206" s="4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ht="14.25" customHeight="1">
      <c r="A207" s="3"/>
      <c r="B207" s="215">
        <v>46204</v>
      </c>
      <c r="C207" s="104"/>
      <c r="D207" s="104"/>
      <c r="E207" s="97"/>
      <c r="F207" s="97"/>
      <c r="G207" s="216">
        <f ref="G207:G237" t="shared" si="78">+C207+D207+E207+F207</f>
        <v>0</v>
      </c>
      <c r="H207" s="187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03">
        <f ref="T207:T237" t="shared" si="79">SUM(H207:S207)</f>
        <v>0</v>
      </c>
      <c r="U207" s="186"/>
      <c r="V207" s="186"/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03">
        <f ref="AG207:AG237" t="shared" si="80">SUM(U207:AF207)</f>
        <v>0</v>
      </c>
      <c r="AH207" s="104"/>
      <c r="AI207" s="104"/>
      <c r="AJ207" s="104"/>
      <c r="AK207" s="191">
        <f ref="AK207:AK237" t="shared" si="81">SUM(AH207:AJ207)</f>
        <v>0</v>
      </c>
      <c r="AL207" s="186"/>
      <c r="AM207" s="186"/>
      <c r="AN207" s="186"/>
      <c r="AO207" s="193"/>
      <c r="AP207" s="266">
        <f ref="AP207:AP237" t="shared" si="82">+G207-T207-AG207-AK207-AL207-AM207-AN207-AO207</f>
        <v>0</v>
      </c>
      <c r="AQ207" s="109"/>
      <c r="AR207" s="269"/>
      <c r="AS207" s="109"/>
      <c r="AT207" s="269"/>
      <c r="AU207" s="109"/>
      <c r="AV207" s="109"/>
      <c r="AW207" s="109"/>
      <c r="AX207" s="269"/>
      <c r="AY207" s="269"/>
      <c r="AZ207" s="269"/>
      <c r="BA207" s="269"/>
      <c r="BB207" s="292">
        <f ref="BB207:BB237" t="shared" si="83">SUM(AQ207:BA207)-AZ207</f>
        <v>0</v>
      </c>
      <c r="BC207" s="114">
        <f ref="BC207:BC237" t="shared" si="84">+AP207-BB207</f>
        <v>0</v>
      </c>
      <c r="BD207" s="3"/>
      <c r="BE207" s="114">
        <f ref="BE207:BE237" t="shared" si="85">SUM(BF207:BR207)</f>
        <v>0</v>
      </c>
      <c r="BF207" s="115"/>
      <c r="BG207" s="115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6">
        <f ref="BS207:BS237" t="shared" si="86">+BC207-BE207</f>
        <v>0</v>
      </c>
      <c r="BT207" s="3"/>
    </row>
    <row r="208" ht="14.25" customHeight="1">
      <c r="A208" s="3"/>
      <c r="B208" s="215">
        <v>46205</v>
      </c>
      <c r="C208" s="123"/>
      <c r="D208" s="123"/>
      <c r="E208" s="120"/>
      <c r="F208" s="120"/>
      <c r="G208" s="147">
        <f t="shared" si="78"/>
        <v>0</v>
      </c>
      <c r="H208" s="144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03">
        <f t="shared" si="79"/>
        <v>0</v>
      </c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  <c r="AF208" s="143"/>
      <c r="AG208" s="103">
        <f t="shared" si="80"/>
        <v>0</v>
      </c>
      <c r="AH208" s="123"/>
      <c r="AI208" s="123"/>
      <c r="AJ208" s="123"/>
      <c r="AK208" s="105">
        <f t="shared" si="81"/>
        <v>0</v>
      </c>
      <c r="AL208" s="143"/>
      <c r="AM208" s="143"/>
      <c r="AN208" s="143"/>
      <c r="AO208" s="146"/>
      <c r="AP208" s="224">
        <f t="shared" si="82"/>
        <v>0</v>
      </c>
      <c r="AQ208" s="126"/>
      <c r="AR208" s="274"/>
      <c r="AS208" s="126"/>
      <c r="AT208" s="126"/>
      <c r="AU208" s="126"/>
      <c r="AV208" s="126"/>
      <c r="AW208" s="126"/>
      <c r="AX208" s="274"/>
      <c r="AY208" s="274"/>
      <c r="AZ208" s="274"/>
      <c r="BA208" s="274"/>
      <c r="BB208" s="222">
        <f t="shared" si="83"/>
        <v>0</v>
      </c>
      <c r="BC208" s="113">
        <f t="shared" si="84"/>
        <v>0</v>
      </c>
      <c r="BD208" s="3"/>
      <c r="BE208" s="113">
        <f t="shared" si="85"/>
        <v>0</v>
      </c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30">
        <f t="shared" si="86"/>
        <v>0</v>
      </c>
      <c r="BT208" s="3"/>
    </row>
    <row r="209" ht="14.25" customHeight="1">
      <c r="A209" s="3"/>
      <c r="B209" s="215">
        <v>46206</v>
      </c>
      <c r="C209" s="123"/>
      <c r="D209" s="123"/>
      <c r="E209" s="120"/>
      <c r="F209" s="120"/>
      <c r="G209" s="147">
        <f t="shared" si="78"/>
        <v>0</v>
      </c>
      <c r="H209" s="144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03">
        <f t="shared" si="79"/>
        <v>0</v>
      </c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03">
        <f t="shared" si="80"/>
        <v>0</v>
      </c>
      <c r="AH209" s="123"/>
      <c r="AI209" s="123"/>
      <c r="AJ209" s="123"/>
      <c r="AK209" s="105">
        <f t="shared" si="81"/>
        <v>0</v>
      </c>
      <c r="AL209" s="143"/>
      <c r="AM209" s="143"/>
      <c r="AN209" s="143"/>
      <c r="AO209" s="146"/>
      <c r="AP209" s="224">
        <f t="shared" si="82"/>
        <v>0</v>
      </c>
      <c r="AQ209" s="126"/>
      <c r="AR209" s="274"/>
      <c r="AS209" s="274"/>
      <c r="AT209" s="126"/>
      <c r="AU209" s="126"/>
      <c r="AV209" s="126"/>
      <c r="AW209" s="126"/>
      <c r="AX209" s="274"/>
      <c r="AY209" s="274"/>
      <c r="AZ209" s="274"/>
      <c r="BA209" s="274"/>
      <c r="BB209" s="222">
        <f t="shared" si="83"/>
        <v>0</v>
      </c>
      <c r="BC209" s="113">
        <f t="shared" si="84"/>
        <v>0</v>
      </c>
      <c r="BD209" s="3"/>
      <c r="BE209" s="113">
        <f t="shared" si="85"/>
        <v>0</v>
      </c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30">
        <f t="shared" si="86"/>
        <v>0</v>
      </c>
      <c r="BT209" s="3"/>
    </row>
    <row r="210" ht="14.25" customHeight="1">
      <c r="A210" s="3"/>
      <c r="B210" s="215">
        <v>46207</v>
      </c>
      <c r="C210" s="123"/>
      <c r="D210" s="123"/>
      <c r="E210" s="120"/>
      <c r="F210" s="120"/>
      <c r="G210" s="147">
        <f t="shared" si="78"/>
        <v>0</v>
      </c>
      <c r="H210" s="144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03">
        <f t="shared" si="79"/>
        <v>0</v>
      </c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  <c r="AF210" s="143"/>
      <c r="AG210" s="103">
        <f t="shared" si="80"/>
        <v>0</v>
      </c>
      <c r="AH210" s="123"/>
      <c r="AI210" s="123"/>
      <c r="AJ210" s="123"/>
      <c r="AK210" s="105">
        <f t="shared" si="81"/>
        <v>0</v>
      </c>
      <c r="AL210" s="143"/>
      <c r="AM210" s="143"/>
      <c r="AN210" s="143"/>
      <c r="AO210" s="146"/>
      <c r="AP210" s="224">
        <f t="shared" si="82"/>
        <v>0</v>
      </c>
      <c r="AQ210" s="126"/>
      <c r="AR210" s="274"/>
      <c r="AS210" s="274"/>
      <c r="AT210" s="126"/>
      <c r="AU210" s="126"/>
      <c r="AV210" s="126"/>
      <c r="AW210" s="126"/>
      <c r="AX210" s="274"/>
      <c r="AY210" s="274"/>
      <c r="AZ210" s="274"/>
      <c r="BA210" s="274"/>
      <c r="BB210" s="222">
        <f t="shared" si="83"/>
        <v>0</v>
      </c>
      <c r="BC210" s="113">
        <f t="shared" si="84"/>
        <v>0</v>
      </c>
      <c r="BD210" s="3"/>
      <c r="BE210" s="113">
        <f t="shared" si="85"/>
        <v>0</v>
      </c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30">
        <f t="shared" si="86"/>
        <v>0</v>
      </c>
      <c r="BT210" s="3"/>
    </row>
    <row r="211" ht="14.25" customHeight="1">
      <c r="A211" s="3"/>
      <c r="B211" s="215">
        <v>46208</v>
      </c>
      <c r="C211" s="123"/>
      <c r="D211" s="123"/>
      <c r="E211" s="120"/>
      <c r="F211" s="120"/>
      <c r="G211" s="147">
        <f t="shared" si="78"/>
        <v>0</v>
      </c>
      <c r="H211" s="144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03">
        <f t="shared" si="79"/>
        <v>0</v>
      </c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  <c r="AF211" s="143"/>
      <c r="AG211" s="103">
        <f t="shared" si="80"/>
        <v>0</v>
      </c>
      <c r="AH211" s="123"/>
      <c r="AI211" s="123"/>
      <c r="AJ211" s="123"/>
      <c r="AK211" s="105">
        <f t="shared" si="81"/>
        <v>0</v>
      </c>
      <c r="AL211" s="143"/>
      <c r="AM211" s="143"/>
      <c r="AN211" s="143"/>
      <c r="AO211" s="146"/>
      <c r="AP211" s="224">
        <f t="shared" si="82"/>
        <v>0</v>
      </c>
      <c r="AQ211" s="126"/>
      <c r="AR211" s="274"/>
      <c r="AS211" s="126"/>
      <c r="AT211" s="126"/>
      <c r="AU211" s="126"/>
      <c r="AV211" s="126"/>
      <c r="AW211" s="126"/>
      <c r="AX211" s="274"/>
      <c r="AY211" s="274"/>
      <c r="AZ211" s="274"/>
      <c r="BA211" s="274"/>
      <c r="BB211" s="222">
        <f t="shared" si="83"/>
        <v>0</v>
      </c>
      <c r="BC211" s="113">
        <f t="shared" si="84"/>
        <v>0</v>
      </c>
      <c r="BD211" s="3"/>
      <c r="BE211" s="113">
        <f t="shared" si="85"/>
        <v>0</v>
      </c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30">
        <f t="shared" si="86"/>
        <v>0</v>
      </c>
      <c r="BT211" s="3"/>
    </row>
    <row r="212" ht="14.25" customHeight="1">
      <c r="A212" s="132"/>
      <c r="B212" s="215">
        <v>46209</v>
      </c>
      <c r="C212" s="136"/>
      <c r="D212" s="136"/>
      <c r="E212" s="135"/>
      <c r="F212" s="135"/>
      <c r="G212" s="147">
        <f t="shared" si="78"/>
        <v>0</v>
      </c>
      <c r="H212" s="144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03">
        <f t="shared" si="79"/>
        <v>0</v>
      </c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  <c r="AF212" s="143"/>
      <c r="AG212" s="103">
        <f t="shared" si="80"/>
        <v>0</v>
      </c>
      <c r="AH212" s="136"/>
      <c r="AI212" s="136"/>
      <c r="AJ212" s="136"/>
      <c r="AK212" s="105">
        <f t="shared" si="81"/>
        <v>0</v>
      </c>
      <c r="AL212" s="143"/>
      <c r="AM212" s="143"/>
      <c r="AN212" s="143"/>
      <c r="AO212" s="146"/>
      <c r="AP212" s="224">
        <f t="shared" si="82"/>
        <v>0</v>
      </c>
      <c r="AQ212" s="126"/>
      <c r="AR212" s="274"/>
      <c r="AS212" s="126"/>
      <c r="AT212" s="126"/>
      <c r="AU212" s="126"/>
      <c r="AV212" s="126"/>
      <c r="AW212" s="126"/>
      <c r="AX212" s="274"/>
      <c r="AY212" s="274"/>
      <c r="AZ212" s="274"/>
      <c r="BA212" s="274"/>
      <c r="BB212" s="222">
        <f t="shared" si="83"/>
        <v>0</v>
      </c>
      <c r="BC212" s="140">
        <f t="shared" si="84"/>
        <v>0</v>
      </c>
      <c r="BD212" s="132"/>
      <c r="BE212" s="140">
        <f t="shared" si="85"/>
        <v>0</v>
      </c>
      <c r="BF212" s="141"/>
      <c r="BG212" s="141"/>
      <c r="BH212" s="141"/>
      <c r="BI212" s="141"/>
      <c r="BJ212" s="141"/>
      <c r="BK212" s="141"/>
      <c r="BL212" s="141"/>
      <c r="BM212" s="141"/>
      <c r="BN212" s="141"/>
      <c r="BO212" s="309"/>
      <c r="BP212" s="1418"/>
      <c r="BQ212" s="1407"/>
      <c r="BR212" s="152"/>
      <c r="BS212" s="130">
        <f t="shared" si="86"/>
        <v>0</v>
      </c>
      <c r="BT212" s="132"/>
    </row>
    <row r="213" ht="14.25" customHeight="1">
      <c r="A213" s="132"/>
      <c r="B213" s="215">
        <v>46210</v>
      </c>
      <c r="C213" s="136"/>
      <c r="D213" s="136"/>
      <c r="E213" s="135"/>
      <c r="F213" s="135"/>
      <c r="G213" s="147">
        <f t="shared" si="78"/>
        <v>0</v>
      </c>
      <c r="H213" s="144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03">
        <f t="shared" si="79"/>
        <v>0</v>
      </c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  <c r="AF213" s="143"/>
      <c r="AG213" s="103">
        <f t="shared" si="80"/>
        <v>0</v>
      </c>
      <c r="AH213" s="136"/>
      <c r="AI213" s="136"/>
      <c r="AJ213" s="136"/>
      <c r="AK213" s="105">
        <f t="shared" si="81"/>
        <v>0</v>
      </c>
      <c r="AL213" s="143"/>
      <c r="AM213" s="143"/>
      <c r="AN213" s="143"/>
      <c r="AO213" s="146"/>
      <c r="AP213" s="224">
        <f t="shared" si="82"/>
        <v>0</v>
      </c>
      <c r="AQ213" s="126"/>
      <c r="AR213" s="274"/>
      <c r="AS213" s="126"/>
      <c r="AT213" s="126"/>
      <c r="AU213" s="126"/>
      <c r="AV213" s="126"/>
      <c r="AW213" s="126"/>
      <c r="AX213" s="274"/>
      <c r="AY213" s="274"/>
      <c r="AZ213" s="274"/>
      <c r="BA213" s="274"/>
      <c r="BB213" s="222">
        <f t="shared" si="83"/>
        <v>0</v>
      </c>
      <c r="BC213" s="140">
        <f t="shared" si="84"/>
        <v>0</v>
      </c>
      <c r="BD213" s="132"/>
      <c r="BE213" s="140">
        <f t="shared" si="85"/>
        <v>0</v>
      </c>
      <c r="BF213" s="141"/>
      <c r="BG213" s="141"/>
      <c r="BH213" s="141"/>
      <c r="BI213" s="141"/>
      <c r="BJ213" s="141"/>
      <c r="BK213" s="141"/>
      <c r="BL213" s="141"/>
      <c r="BM213" s="141"/>
      <c r="BN213" s="141"/>
      <c r="BO213" s="141"/>
      <c r="BP213" s="141"/>
      <c r="BQ213" s="141"/>
      <c r="BR213" s="141"/>
      <c r="BS213" s="130">
        <f t="shared" si="86"/>
        <v>0</v>
      </c>
      <c r="BT213" s="132"/>
    </row>
    <row r="214" ht="14.25" customHeight="1">
      <c r="A214" s="132"/>
      <c r="B214" s="215">
        <v>46211</v>
      </c>
      <c r="C214" s="136"/>
      <c r="D214" s="136"/>
      <c r="E214" s="135"/>
      <c r="F214" s="135"/>
      <c r="G214" s="147">
        <f t="shared" si="78"/>
        <v>0</v>
      </c>
      <c r="H214" s="144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03">
        <f t="shared" si="79"/>
        <v>0</v>
      </c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  <c r="AF214" s="143"/>
      <c r="AG214" s="103">
        <f t="shared" si="80"/>
        <v>0</v>
      </c>
      <c r="AH214" s="136"/>
      <c r="AI214" s="136"/>
      <c r="AJ214" s="136"/>
      <c r="AK214" s="105">
        <f t="shared" si="81"/>
        <v>0</v>
      </c>
      <c r="AL214" s="143"/>
      <c r="AM214" s="143"/>
      <c r="AN214" s="143"/>
      <c r="AO214" s="146"/>
      <c r="AP214" s="224">
        <f t="shared" si="82"/>
        <v>0</v>
      </c>
      <c r="AQ214" s="126"/>
      <c r="AR214" s="274"/>
      <c r="AS214" s="126"/>
      <c r="AT214" s="126"/>
      <c r="AU214" s="126"/>
      <c r="AV214" s="126"/>
      <c r="AW214" s="126"/>
      <c r="AX214" s="274"/>
      <c r="AY214" s="274"/>
      <c r="AZ214" s="274"/>
      <c r="BA214" s="274"/>
      <c r="BB214" s="222">
        <f t="shared" si="83"/>
        <v>0</v>
      </c>
      <c r="BC214" s="140">
        <f t="shared" si="84"/>
        <v>0</v>
      </c>
      <c r="BD214" s="132"/>
      <c r="BE214" s="140">
        <f t="shared" si="85"/>
        <v>0</v>
      </c>
      <c r="BF214" s="141"/>
      <c r="BG214" s="141"/>
      <c r="BH214" s="141"/>
      <c r="BI214" s="141"/>
      <c r="BJ214" s="141"/>
      <c r="BK214" s="141"/>
      <c r="BL214" s="141"/>
      <c r="BM214" s="141"/>
      <c r="BN214" s="141"/>
      <c r="BO214" s="141"/>
      <c r="BP214" s="141"/>
      <c r="BQ214" s="141"/>
      <c r="BR214" s="141"/>
      <c r="BS214" s="130">
        <f t="shared" si="86"/>
        <v>0</v>
      </c>
      <c r="BT214" s="132"/>
    </row>
    <row r="215" ht="14.25" customHeight="1">
      <c r="A215" s="132"/>
      <c r="B215" s="215">
        <v>46212</v>
      </c>
      <c r="C215" s="136"/>
      <c r="D215" s="136"/>
      <c r="E215" s="135"/>
      <c r="F215" s="135"/>
      <c r="G215" s="147">
        <f t="shared" si="78"/>
        <v>0</v>
      </c>
      <c r="H215" s="144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03">
        <f t="shared" si="79"/>
        <v>0</v>
      </c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  <c r="AF215" s="143"/>
      <c r="AG215" s="103">
        <f t="shared" si="80"/>
        <v>0</v>
      </c>
      <c r="AH215" s="136"/>
      <c r="AI215" s="136"/>
      <c r="AJ215" s="136"/>
      <c r="AK215" s="105">
        <f t="shared" si="81"/>
        <v>0</v>
      </c>
      <c r="AL215" s="143"/>
      <c r="AM215" s="143"/>
      <c r="AN215" s="143"/>
      <c r="AO215" s="146"/>
      <c r="AP215" s="224">
        <f t="shared" si="82"/>
        <v>0</v>
      </c>
      <c r="AQ215" s="126"/>
      <c r="AR215" s="274"/>
      <c r="AS215" s="126"/>
      <c r="AT215" s="126"/>
      <c r="AU215" s="126"/>
      <c r="AV215" s="126"/>
      <c r="AW215" s="126"/>
      <c r="AX215" s="274"/>
      <c r="AY215" s="274"/>
      <c r="AZ215" s="274"/>
      <c r="BA215" s="274"/>
      <c r="BB215" s="222">
        <f t="shared" si="83"/>
        <v>0</v>
      </c>
      <c r="BC215" s="140">
        <f t="shared" si="84"/>
        <v>0</v>
      </c>
      <c r="BD215" s="132"/>
      <c r="BE215" s="140">
        <f t="shared" si="85"/>
        <v>0</v>
      </c>
      <c r="BF215" s="141"/>
      <c r="BG215" s="141"/>
      <c r="BH215" s="141"/>
      <c r="BI215" s="141"/>
      <c r="BJ215" s="141"/>
      <c r="BK215" s="141"/>
      <c r="BL215" s="141"/>
      <c r="BM215" s="141"/>
      <c r="BN215" s="141"/>
      <c r="BO215" s="141"/>
      <c r="BP215" s="141"/>
      <c r="BQ215" s="141"/>
      <c r="BR215" s="141"/>
      <c r="BS215" s="130">
        <f t="shared" si="86"/>
        <v>0</v>
      </c>
      <c r="BT215" s="132"/>
    </row>
    <row r="216" ht="14.25" customHeight="1">
      <c r="A216" s="132"/>
      <c r="B216" s="215">
        <v>46213</v>
      </c>
      <c r="C216" s="136"/>
      <c r="D216" s="136"/>
      <c r="E216" s="135"/>
      <c r="F216" s="135"/>
      <c r="G216" s="147">
        <f t="shared" si="78"/>
        <v>0</v>
      </c>
      <c r="H216" s="144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03">
        <f t="shared" si="79"/>
        <v>0</v>
      </c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  <c r="AF216" s="143"/>
      <c r="AG216" s="103">
        <f t="shared" si="80"/>
        <v>0</v>
      </c>
      <c r="AH216" s="136"/>
      <c r="AI216" s="136"/>
      <c r="AJ216" s="136"/>
      <c r="AK216" s="105">
        <f t="shared" si="81"/>
        <v>0</v>
      </c>
      <c r="AL216" s="143"/>
      <c r="AM216" s="143"/>
      <c r="AN216" s="143"/>
      <c r="AO216" s="146"/>
      <c r="AP216" s="224">
        <f t="shared" si="82"/>
        <v>0</v>
      </c>
      <c r="AQ216" s="126"/>
      <c r="AR216" s="274"/>
      <c r="AS216" s="126"/>
      <c r="AT216" s="126"/>
      <c r="AU216" s="126"/>
      <c r="AV216" s="126"/>
      <c r="AW216" s="126"/>
      <c r="AX216" s="274"/>
      <c r="AY216" s="274"/>
      <c r="AZ216" s="274"/>
      <c r="BA216" s="274"/>
      <c r="BB216" s="222">
        <f t="shared" si="83"/>
        <v>0</v>
      </c>
      <c r="BC216" s="140">
        <f t="shared" si="84"/>
        <v>0</v>
      </c>
      <c r="BD216" s="132"/>
      <c r="BE216" s="140">
        <f t="shared" si="85"/>
        <v>0</v>
      </c>
      <c r="BF216" s="141"/>
      <c r="BG216" s="141"/>
      <c r="BH216" s="141"/>
      <c r="BI216" s="141"/>
      <c r="BJ216" s="141"/>
      <c r="BK216" s="141"/>
      <c r="BL216" s="141"/>
      <c r="BM216" s="141"/>
      <c r="BN216" s="141"/>
      <c r="BO216" s="141"/>
      <c r="BP216" s="141"/>
      <c r="BQ216" s="141"/>
      <c r="BR216" s="141"/>
      <c r="BS216" s="130">
        <f t="shared" si="86"/>
        <v>0</v>
      </c>
      <c r="BT216" s="132"/>
    </row>
    <row r="217" ht="14.25" customHeight="1">
      <c r="A217" s="132"/>
      <c r="B217" s="215">
        <v>46214</v>
      </c>
      <c r="C217" s="136"/>
      <c r="D217" s="136"/>
      <c r="E217" s="135"/>
      <c r="F217" s="135"/>
      <c r="G217" s="147">
        <f t="shared" si="78"/>
        <v>0</v>
      </c>
      <c r="H217" s="144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03">
        <f t="shared" si="79"/>
        <v>0</v>
      </c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  <c r="AF217" s="143"/>
      <c r="AG217" s="103">
        <f t="shared" si="80"/>
        <v>0</v>
      </c>
      <c r="AH217" s="136"/>
      <c r="AI217" s="136"/>
      <c r="AJ217" s="136"/>
      <c r="AK217" s="105">
        <f t="shared" si="81"/>
        <v>0</v>
      </c>
      <c r="AL217" s="143"/>
      <c r="AM217" s="143"/>
      <c r="AN217" s="143"/>
      <c r="AO217" s="146"/>
      <c r="AP217" s="224">
        <f t="shared" si="82"/>
        <v>0</v>
      </c>
      <c r="AQ217" s="126"/>
      <c r="AR217" s="274"/>
      <c r="AS217" s="126"/>
      <c r="AT217" s="126"/>
      <c r="AU217" s="126"/>
      <c r="AV217" s="126"/>
      <c r="AW217" s="126"/>
      <c r="AX217" s="274"/>
      <c r="AY217" s="274"/>
      <c r="AZ217" s="274"/>
      <c r="BA217" s="274"/>
      <c r="BB217" s="222">
        <f t="shared" si="83"/>
        <v>0</v>
      </c>
      <c r="BC217" s="140">
        <f t="shared" si="84"/>
        <v>0</v>
      </c>
      <c r="BD217" s="132"/>
      <c r="BE217" s="140">
        <f t="shared" si="85"/>
        <v>0</v>
      </c>
      <c r="BF217" s="141"/>
      <c r="BG217" s="141"/>
      <c r="BH217" s="141"/>
      <c r="BI217" s="141"/>
      <c r="BJ217" s="141"/>
      <c r="BK217" s="141"/>
      <c r="BL217" s="141"/>
      <c r="BM217" s="141"/>
      <c r="BN217" s="141"/>
      <c r="BO217" s="141"/>
      <c r="BP217" s="141"/>
      <c r="BQ217" s="141"/>
      <c r="BR217" s="141"/>
      <c r="BS217" s="130">
        <f t="shared" si="86"/>
        <v>0</v>
      </c>
      <c r="BT217" s="132"/>
    </row>
    <row r="218" ht="14.25" customHeight="1">
      <c r="A218" s="132"/>
      <c r="B218" s="215">
        <v>46215</v>
      </c>
      <c r="C218" s="136"/>
      <c r="D218" s="136"/>
      <c r="E218" s="135"/>
      <c r="F218" s="135"/>
      <c r="G218" s="147">
        <f t="shared" si="78"/>
        <v>0</v>
      </c>
      <c r="H218" s="144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03">
        <f t="shared" si="79"/>
        <v>0</v>
      </c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  <c r="AF218" s="143"/>
      <c r="AG218" s="103">
        <f t="shared" si="80"/>
        <v>0</v>
      </c>
      <c r="AH218" s="136"/>
      <c r="AI218" s="136"/>
      <c r="AJ218" s="136"/>
      <c r="AK218" s="105">
        <f t="shared" si="81"/>
        <v>0</v>
      </c>
      <c r="AL218" s="143"/>
      <c r="AM218" s="143"/>
      <c r="AN218" s="143"/>
      <c r="AO218" s="146"/>
      <c r="AP218" s="224">
        <f t="shared" si="82"/>
        <v>0</v>
      </c>
      <c r="AQ218" s="126"/>
      <c r="AR218" s="274"/>
      <c r="AS218" s="126"/>
      <c r="AT218" s="126"/>
      <c r="AU218" s="126"/>
      <c r="AV218" s="126"/>
      <c r="AW218" s="126"/>
      <c r="AX218" s="274"/>
      <c r="AY218" s="274"/>
      <c r="AZ218" s="274"/>
      <c r="BA218" s="274"/>
      <c r="BB218" s="222">
        <f t="shared" si="83"/>
        <v>0</v>
      </c>
      <c r="BC218" s="140">
        <f t="shared" si="84"/>
        <v>0</v>
      </c>
      <c r="BD218" s="132"/>
      <c r="BE218" s="140">
        <f t="shared" si="85"/>
        <v>0</v>
      </c>
      <c r="BF218" s="141"/>
      <c r="BG218" s="141"/>
      <c r="BH218" s="141"/>
      <c r="BI218" s="141"/>
      <c r="BJ218" s="141"/>
      <c r="BK218" s="141"/>
      <c r="BL218" s="141"/>
      <c r="BM218" s="141"/>
      <c r="BN218" s="141"/>
      <c r="BO218" s="141"/>
      <c r="BP218" s="141"/>
      <c r="BQ218" s="141"/>
      <c r="BR218" s="141"/>
      <c r="BS218" s="130">
        <f t="shared" si="86"/>
        <v>0</v>
      </c>
      <c r="BT218" s="132"/>
    </row>
    <row r="219" ht="14.25" customHeight="1">
      <c r="A219" s="3"/>
      <c r="B219" s="215">
        <v>46216</v>
      </c>
      <c r="C219" s="123"/>
      <c r="D219" s="123"/>
      <c r="E219" s="120"/>
      <c r="F219" s="120"/>
      <c r="G219" s="147">
        <f t="shared" si="78"/>
        <v>0</v>
      </c>
      <c r="H219" s="144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03">
        <f t="shared" si="79"/>
        <v>0</v>
      </c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  <c r="AF219" s="143"/>
      <c r="AG219" s="103">
        <f t="shared" si="80"/>
        <v>0</v>
      </c>
      <c r="AH219" s="123"/>
      <c r="AI219" s="123"/>
      <c r="AJ219" s="123"/>
      <c r="AK219" s="105">
        <f t="shared" si="81"/>
        <v>0</v>
      </c>
      <c r="AL219" s="143"/>
      <c r="AM219" s="143"/>
      <c r="AN219" s="143"/>
      <c r="AO219" s="146"/>
      <c r="AP219" s="224">
        <f t="shared" si="82"/>
        <v>0</v>
      </c>
      <c r="AQ219" s="126"/>
      <c r="AR219" s="274"/>
      <c r="AS219" s="126"/>
      <c r="AT219" s="126"/>
      <c r="AU219" s="126"/>
      <c r="AV219" s="126"/>
      <c r="AW219" s="126"/>
      <c r="AX219" s="274"/>
      <c r="AY219" s="274"/>
      <c r="AZ219" s="274"/>
      <c r="BA219" s="274"/>
      <c r="BB219" s="222">
        <f t="shared" si="83"/>
        <v>0</v>
      </c>
      <c r="BC219" s="113">
        <f t="shared" si="84"/>
        <v>0</v>
      </c>
      <c r="BD219" s="3"/>
      <c r="BE219" s="113">
        <f t="shared" si="85"/>
        <v>0</v>
      </c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30">
        <f t="shared" si="86"/>
        <v>0</v>
      </c>
      <c r="BT219" s="3"/>
    </row>
    <row r="220" ht="14.25" customHeight="1">
      <c r="A220" s="132"/>
      <c r="B220" s="215">
        <v>46217</v>
      </c>
      <c r="C220" s="136"/>
      <c r="D220" s="136"/>
      <c r="E220" s="135"/>
      <c r="F220" s="135"/>
      <c r="G220" s="147">
        <f t="shared" si="78"/>
        <v>0</v>
      </c>
      <c r="H220" s="144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03">
        <f t="shared" si="79"/>
        <v>0</v>
      </c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  <c r="AF220" s="143"/>
      <c r="AG220" s="103">
        <f t="shared" si="80"/>
        <v>0</v>
      </c>
      <c r="AH220" s="136"/>
      <c r="AI220" s="136"/>
      <c r="AJ220" s="136"/>
      <c r="AK220" s="105">
        <f t="shared" si="81"/>
        <v>0</v>
      </c>
      <c r="AL220" s="143"/>
      <c r="AM220" s="143"/>
      <c r="AN220" s="143"/>
      <c r="AO220" s="146"/>
      <c r="AP220" s="224">
        <f t="shared" si="82"/>
        <v>0</v>
      </c>
      <c r="AQ220" s="126"/>
      <c r="AR220" s="274"/>
      <c r="AS220" s="126"/>
      <c r="AT220" s="126"/>
      <c r="AU220" s="126"/>
      <c r="AV220" s="126"/>
      <c r="AW220" s="126"/>
      <c r="AX220" s="274"/>
      <c r="AY220" s="274"/>
      <c r="AZ220" s="274"/>
      <c r="BA220" s="274"/>
      <c r="BB220" s="222">
        <f t="shared" si="83"/>
        <v>0</v>
      </c>
      <c r="BC220" s="140">
        <f t="shared" si="84"/>
        <v>0</v>
      </c>
      <c r="BD220" s="132"/>
      <c r="BE220" s="140">
        <f t="shared" si="85"/>
        <v>0</v>
      </c>
      <c r="BF220" s="141"/>
      <c r="BG220" s="141"/>
      <c r="BH220" s="141"/>
      <c r="BI220" s="141"/>
      <c r="BJ220" s="141"/>
      <c r="BK220" s="141"/>
      <c r="BL220" s="141"/>
      <c r="BM220" s="141"/>
      <c r="BN220" s="141"/>
      <c r="BO220" s="141"/>
      <c r="BP220" s="141"/>
      <c r="BQ220" s="141"/>
      <c r="BR220" s="141"/>
      <c r="BS220" s="130">
        <f t="shared" si="86"/>
        <v>0</v>
      </c>
      <c r="BT220" s="132"/>
    </row>
    <row r="221" ht="14.25" customHeight="1">
      <c r="A221" s="132"/>
      <c r="B221" s="215">
        <v>46218</v>
      </c>
      <c r="C221" s="136"/>
      <c r="D221" s="136"/>
      <c r="E221" s="135"/>
      <c r="F221" s="135"/>
      <c r="G221" s="147">
        <f t="shared" si="78"/>
        <v>0</v>
      </c>
      <c r="H221" s="144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03">
        <f t="shared" si="79"/>
        <v>0</v>
      </c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  <c r="AF221" s="143"/>
      <c r="AG221" s="103">
        <f t="shared" si="80"/>
        <v>0</v>
      </c>
      <c r="AH221" s="136"/>
      <c r="AI221" s="136"/>
      <c r="AJ221" s="136"/>
      <c r="AK221" s="105">
        <f t="shared" si="81"/>
        <v>0</v>
      </c>
      <c r="AL221" s="143"/>
      <c r="AM221" s="143"/>
      <c r="AN221" s="143"/>
      <c r="AO221" s="146"/>
      <c r="AP221" s="224">
        <f t="shared" si="82"/>
        <v>0</v>
      </c>
      <c r="AQ221" s="126"/>
      <c r="AR221" s="274"/>
      <c r="AS221" s="126"/>
      <c r="AT221" s="126"/>
      <c r="AU221" s="126"/>
      <c r="AV221" s="126"/>
      <c r="AW221" s="126"/>
      <c r="AX221" s="274"/>
      <c r="AY221" s="274"/>
      <c r="AZ221" s="274"/>
      <c r="BA221" s="274"/>
      <c r="BB221" s="222">
        <f t="shared" si="83"/>
        <v>0</v>
      </c>
      <c r="BC221" s="140">
        <f t="shared" si="84"/>
        <v>0</v>
      </c>
      <c r="BD221" s="132"/>
      <c r="BE221" s="140">
        <f t="shared" si="85"/>
        <v>0</v>
      </c>
      <c r="BF221" s="141"/>
      <c r="BG221" s="141"/>
      <c r="BH221" s="141"/>
      <c r="BI221" s="141"/>
      <c r="BJ221" s="141"/>
      <c r="BK221" s="141"/>
      <c r="BL221" s="141"/>
      <c r="BM221" s="141"/>
      <c r="BN221" s="141"/>
      <c r="BO221" s="141"/>
      <c r="BP221" s="141"/>
      <c r="BQ221" s="141"/>
      <c r="BR221" s="141"/>
      <c r="BS221" s="130">
        <f t="shared" si="86"/>
        <v>0</v>
      </c>
      <c r="BT221" s="132"/>
    </row>
    <row r="222" ht="14.25" customHeight="1">
      <c r="A222" s="132"/>
      <c r="B222" s="215">
        <v>46219</v>
      </c>
      <c r="C222" s="136"/>
      <c r="D222" s="136"/>
      <c r="E222" s="135"/>
      <c r="F222" s="135"/>
      <c r="G222" s="147">
        <f t="shared" si="78"/>
        <v>0</v>
      </c>
      <c r="H222" s="144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03">
        <f t="shared" si="79"/>
        <v>0</v>
      </c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  <c r="AF222" s="143"/>
      <c r="AG222" s="103">
        <f t="shared" si="80"/>
        <v>0</v>
      </c>
      <c r="AH222" s="136"/>
      <c r="AI222" s="136"/>
      <c r="AJ222" s="136"/>
      <c r="AK222" s="105">
        <f t="shared" si="81"/>
        <v>0</v>
      </c>
      <c r="AL222" s="143"/>
      <c r="AM222" s="143"/>
      <c r="AN222" s="143"/>
      <c r="AO222" s="146"/>
      <c r="AP222" s="224">
        <f t="shared" si="82"/>
        <v>0</v>
      </c>
      <c r="AQ222" s="126"/>
      <c r="AR222" s="274"/>
      <c r="AS222" s="126"/>
      <c r="AT222" s="126"/>
      <c r="AU222" s="126"/>
      <c r="AV222" s="126"/>
      <c r="AW222" s="126"/>
      <c r="AX222" s="274"/>
      <c r="AY222" s="274"/>
      <c r="AZ222" s="274"/>
      <c r="BA222" s="274"/>
      <c r="BB222" s="222">
        <f t="shared" si="83"/>
        <v>0</v>
      </c>
      <c r="BC222" s="140">
        <f t="shared" si="84"/>
        <v>0</v>
      </c>
      <c r="BD222" s="132"/>
      <c r="BE222" s="140">
        <f t="shared" si="85"/>
        <v>0</v>
      </c>
      <c r="BF222" s="141"/>
      <c r="BG222" s="141"/>
      <c r="BH222" s="141"/>
      <c r="BI222" s="141"/>
      <c r="BJ222" s="141"/>
      <c r="BK222" s="141"/>
      <c r="BL222" s="141"/>
      <c r="BM222" s="141"/>
      <c r="BN222" s="141"/>
      <c r="BO222" s="141"/>
      <c r="BP222" s="141"/>
      <c r="BQ222" s="141"/>
      <c r="BR222" s="141"/>
      <c r="BS222" s="130">
        <f t="shared" si="86"/>
        <v>0</v>
      </c>
      <c r="BT222" s="132"/>
    </row>
    <row r="223" ht="14.25" customHeight="1">
      <c r="A223" s="132"/>
      <c r="B223" s="215">
        <v>46220</v>
      </c>
      <c r="C223" s="136"/>
      <c r="D223" s="136"/>
      <c r="E223" s="135"/>
      <c r="F223" s="135"/>
      <c r="G223" s="147">
        <f t="shared" si="78"/>
        <v>0</v>
      </c>
      <c r="H223" s="144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03">
        <f t="shared" si="79"/>
        <v>0</v>
      </c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03">
        <f t="shared" si="80"/>
        <v>0</v>
      </c>
      <c r="AH223" s="136"/>
      <c r="AI223" s="136"/>
      <c r="AJ223" s="136"/>
      <c r="AK223" s="105">
        <f t="shared" si="81"/>
        <v>0</v>
      </c>
      <c r="AL223" s="143"/>
      <c r="AM223" s="143"/>
      <c r="AN223" s="143"/>
      <c r="AO223" s="146"/>
      <c r="AP223" s="224">
        <f t="shared" si="82"/>
        <v>0</v>
      </c>
      <c r="AQ223" s="126"/>
      <c r="AR223" s="274"/>
      <c r="AS223" s="126"/>
      <c r="AT223" s="126"/>
      <c r="AU223" s="126"/>
      <c r="AV223" s="126"/>
      <c r="AW223" s="126"/>
      <c r="AX223" s="274"/>
      <c r="AY223" s="274"/>
      <c r="AZ223" s="274"/>
      <c r="BA223" s="274"/>
      <c r="BB223" s="222">
        <f t="shared" si="83"/>
        <v>0</v>
      </c>
      <c r="BC223" s="140">
        <f t="shared" si="84"/>
        <v>0</v>
      </c>
      <c r="BD223" s="132"/>
      <c r="BE223" s="140">
        <f t="shared" si="85"/>
        <v>0</v>
      </c>
      <c r="BF223" s="141"/>
      <c r="BG223" s="141"/>
      <c r="BH223" s="141"/>
      <c r="BI223" s="141"/>
      <c r="BJ223" s="141"/>
      <c r="BK223" s="141"/>
      <c r="BL223" s="141"/>
      <c r="BM223" s="141"/>
      <c r="BN223" s="141"/>
      <c r="BO223" s="141"/>
      <c r="BP223" s="141"/>
      <c r="BQ223" s="141"/>
      <c r="BR223" s="141"/>
      <c r="BS223" s="130">
        <f t="shared" si="86"/>
        <v>0</v>
      </c>
      <c r="BT223" s="132"/>
    </row>
    <row r="224" ht="14.25" customHeight="1">
      <c r="A224" s="132"/>
      <c r="B224" s="215">
        <v>46221</v>
      </c>
      <c r="C224" s="136"/>
      <c r="D224" s="136"/>
      <c r="E224" s="135"/>
      <c r="F224" s="135"/>
      <c r="G224" s="147">
        <f t="shared" si="78"/>
        <v>0</v>
      </c>
      <c r="H224" s="144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03">
        <f t="shared" si="79"/>
        <v>0</v>
      </c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/>
      <c r="AG224" s="103">
        <f t="shared" si="80"/>
        <v>0</v>
      </c>
      <c r="AH224" s="136"/>
      <c r="AI224" s="136"/>
      <c r="AJ224" s="136"/>
      <c r="AK224" s="105">
        <f t="shared" si="81"/>
        <v>0</v>
      </c>
      <c r="AL224" s="143"/>
      <c r="AM224" s="143"/>
      <c r="AN224" s="143"/>
      <c r="AO224" s="146"/>
      <c r="AP224" s="224">
        <f t="shared" si="82"/>
        <v>0</v>
      </c>
      <c r="AQ224" s="126"/>
      <c r="AR224" s="274"/>
      <c r="AS224" s="126"/>
      <c r="AT224" s="126"/>
      <c r="AU224" s="126"/>
      <c r="AV224" s="126"/>
      <c r="AW224" s="126"/>
      <c r="AX224" s="274"/>
      <c r="AY224" s="274"/>
      <c r="AZ224" s="274"/>
      <c r="BA224" s="274"/>
      <c r="BB224" s="222">
        <f t="shared" si="83"/>
        <v>0</v>
      </c>
      <c r="BC224" s="140">
        <f t="shared" si="84"/>
        <v>0</v>
      </c>
      <c r="BD224" s="132"/>
      <c r="BE224" s="140">
        <f t="shared" si="85"/>
        <v>0</v>
      </c>
      <c r="BF224" s="141"/>
      <c r="BG224" s="141"/>
      <c r="BH224" s="141"/>
      <c r="BI224" s="141"/>
      <c r="BJ224" s="141"/>
      <c r="BK224" s="141"/>
      <c r="BL224" s="141"/>
      <c r="BM224" s="141"/>
      <c r="BN224" s="141"/>
      <c r="BO224" s="141"/>
      <c r="BP224" s="141"/>
      <c r="BQ224" s="141"/>
      <c r="BR224" s="141"/>
      <c r="BS224" s="130">
        <f t="shared" si="86"/>
        <v>0</v>
      </c>
      <c r="BT224" s="132"/>
    </row>
    <row r="225" ht="14.25" customHeight="1">
      <c r="A225" s="132"/>
      <c r="B225" s="215">
        <v>46222</v>
      </c>
      <c r="C225" s="136"/>
      <c r="D225" s="136"/>
      <c r="E225" s="135"/>
      <c r="F225" s="135"/>
      <c r="G225" s="147">
        <f t="shared" si="78"/>
        <v>0</v>
      </c>
      <c r="H225" s="144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03">
        <f t="shared" si="79"/>
        <v>0</v>
      </c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  <c r="AF225" s="143"/>
      <c r="AG225" s="103">
        <f t="shared" si="80"/>
        <v>0</v>
      </c>
      <c r="AH225" s="136"/>
      <c r="AI225" s="136"/>
      <c r="AJ225" s="136"/>
      <c r="AK225" s="105">
        <f t="shared" si="81"/>
        <v>0</v>
      </c>
      <c r="AL225" s="143"/>
      <c r="AM225" s="143"/>
      <c r="AN225" s="143"/>
      <c r="AO225" s="146"/>
      <c r="AP225" s="224">
        <f t="shared" si="82"/>
        <v>0</v>
      </c>
      <c r="AQ225" s="126"/>
      <c r="AR225" s="274"/>
      <c r="AS225" s="126"/>
      <c r="AT225" s="126"/>
      <c r="AU225" s="126"/>
      <c r="AV225" s="126"/>
      <c r="AW225" s="126"/>
      <c r="AX225" s="274"/>
      <c r="AY225" s="274"/>
      <c r="AZ225" s="274"/>
      <c r="BA225" s="274"/>
      <c r="BB225" s="222">
        <f t="shared" si="83"/>
        <v>0</v>
      </c>
      <c r="BC225" s="140">
        <f t="shared" si="84"/>
        <v>0</v>
      </c>
      <c r="BD225" s="132"/>
      <c r="BE225" s="140">
        <f t="shared" si="85"/>
        <v>0</v>
      </c>
      <c r="BF225" s="141"/>
      <c r="BG225" s="141"/>
      <c r="BH225" s="141"/>
      <c r="BI225" s="141"/>
      <c r="BJ225" s="141"/>
      <c r="BK225" s="141"/>
      <c r="BL225" s="141"/>
      <c r="BM225" s="141"/>
      <c r="BN225" s="141"/>
      <c r="BO225" s="141"/>
      <c r="BP225" s="141"/>
      <c r="BQ225" s="141"/>
      <c r="BR225" s="141"/>
      <c r="BS225" s="130">
        <f t="shared" si="86"/>
        <v>0</v>
      </c>
      <c r="BT225" s="132"/>
    </row>
    <row r="226" ht="14.25" customHeight="1">
      <c r="A226" s="132"/>
      <c r="B226" s="215">
        <v>46223</v>
      </c>
      <c r="C226" s="136"/>
      <c r="D226" s="136"/>
      <c r="E226" s="135"/>
      <c r="F226" s="135"/>
      <c r="G226" s="147">
        <f t="shared" si="78"/>
        <v>0</v>
      </c>
      <c r="H226" s="144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03">
        <f t="shared" si="79"/>
        <v>0</v>
      </c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  <c r="AF226" s="143"/>
      <c r="AG226" s="103">
        <f t="shared" si="80"/>
        <v>0</v>
      </c>
      <c r="AH226" s="136"/>
      <c r="AI226" s="136"/>
      <c r="AJ226" s="136"/>
      <c r="AK226" s="105">
        <f t="shared" si="81"/>
        <v>0</v>
      </c>
      <c r="AL226" s="143"/>
      <c r="AM226" s="143"/>
      <c r="AN226" s="143"/>
      <c r="AO226" s="146"/>
      <c r="AP226" s="224">
        <f t="shared" si="82"/>
        <v>0</v>
      </c>
      <c r="AQ226" s="126"/>
      <c r="AR226" s="274"/>
      <c r="AS226" s="126"/>
      <c r="AT226" s="126"/>
      <c r="AU226" s="126"/>
      <c r="AV226" s="126"/>
      <c r="AW226" s="126"/>
      <c r="AX226" s="274"/>
      <c r="AY226" s="274"/>
      <c r="AZ226" s="274"/>
      <c r="BA226" s="274"/>
      <c r="BB226" s="222">
        <f t="shared" si="83"/>
        <v>0</v>
      </c>
      <c r="BC226" s="140">
        <f t="shared" si="84"/>
        <v>0</v>
      </c>
      <c r="BD226" s="132"/>
      <c r="BE226" s="140">
        <f t="shared" si="85"/>
        <v>0</v>
      </c>
      <c r="BF226" s="141"/>
      <c r="BG226" s="141"/>
      <c r="BH226" s="141"/>
      <c r="BI226" s="141"/>
      <c r="BJ226" s="141"/>
      <c r="BK226" s="141"/>
      <c r="BL226" s="141"/>
      <c r="BM226" s="141"/>
      <c r="BN226" s="141"/>
      <c r="BO226" s="141"/>
      <c r="BP226" s="141"/>
      <c r="BQ226" s="141"/>
      <c r="BR226" s="141"/>
      <c r="BS226" s="130">
        <f t="shared" si="86"/>
        <v>0</v>
      </c>
      <c r="BT226" s="132"/>
    </row>
    <row r="227" ht="14.25" customHeight="1">
      <c r="A227" s="132"/>
      <c r="B227" s="215">
        <v>46224</v>
      </c>
      <c r="C227" s="136"/>
      <c r="D227" s="136"/>
      <c r="E227" s="136"/>
      <c r="F227" s="135"/>
      <c r="G227" s="147">
        <f t="shared" si="78"/>
        <v>0</v>
      </c>
      <c r="H227" s="144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03">
        <f t="shared" si="79"/>
        <v>0</v>
      </c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/>
      <c r="AG227" s="103">
        <f t="shared" si="80"/>
        <v>0</v>
      </c>
      <c r="AH227" s="136"/>
      <c r="AI227" s="136"/>
      <c r="AJ227" s="136"/>
      <c r="AK227" s="105">
        <f t="shared" si="81"/>
        <v>0</v>
      </c>
      <c r="AL227" s="143"/>
      <c r="AM227" s="143"/>
      <c r="AN227" s="143"/>
      <c r="AO227" s="146"/>
      <c r="AP227" s="224">
        <f t="shared" si="82"/>
        <v>0</v>
      </c>
      <c r="AQ227" s="126"/>
      <c r="AR227" s="274"/>
      <c r="AS227" s="126"/>
      <c r="AT227" s="126"/>
      <c r="AU227" s="126"/>
      <c r="AV227" s="126"/>
      <c r="AW227" s="126"/>
      <c r="AX227" s="274"/>
      <c r="AY227" s="274"/>
      <c r="AZ227" s="274"/>
      <c r="BA227" s="274"/>
      <c r="BB227" s="222">
        <f t="shared" si="83"/>
        <v>0</v>
      </c>
      <c r="BC227" s="140">
        <f t="shared" si="84"/>
        <v>0</v>
      </c>
      <c r="BD227" s="132"/>
      <c r="BE227" s="140">
        <f t="shared" si="85"/>
        <v>0</v>
      </c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30">
        <f t="shared" si="86"/>
        <v>0</v>
      </c>
      <c r="BT227" s="132"/>
    </row>
    <row r="228" ht="14.25" customHeight="1">
      <c r="A228" s="132"/>
      <c r="B228" s="215">
        <v>46225</v>
      </c>
      <c r="C228" s="136"/>
      <c r="D228" s="136"/>
      <c r="E228" s="136"/>
      <c r="F228" s="135"/>
      <c r="G228" s="147">
        <f t="shared" si="78"/>
        <v>0</v>
      </c>
      <c r="H228" s="144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03">
        <f t="shared" si="79"/>
        <v>0</v>
      </c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  <c r="AF228" s="143"/>
      <c r="AG228" s="103">
        <f t="shared" si="80"/>
        <v>0</v>
      </c>
      <c r="AH228" s="136"/>
      <c r="AI228" s="136"/>
      <c r="AJ228" s="136"/>
      <c r="AK228" s="105">
        <f t="shared" si="81"/>
        <v>0</v>
      </c>
      <c r="AL228" s="143"/>
      <c r="AM228" s="143"/>
      <c r="AN228" s="143"/>
      <c r="AO228" s="146"/>
      <c r="AP228" s="224">
        <f t="shared" si="82"/>
        <v>0</v>
      </c>
      <c r="AQ228" s="126"/>
      <c r="AR228" s="274"/>
      <c r="AS228" s="126"/>
      <c r="AT228" s="126"/>
      <c r="AU228" s="126"/>
      <c r="AV228" s="126"/>
      <c r="AW228" s="126"/>
      <c r="AX228" s="274"/>
      <c r="AY228" s="274"/>
      <c r="AZ228" s="274"/>
      <c r="BA228" s="274"/>
      <c r="BB228" s="222">
        <f t="shared" si="83"/>
        <v>0</v>
      </c>
      <c r="BC228" s="140">
        <f t="shared" si="84"/>
        <v>0</v>
      </c>
      <c r="BD228" s="132"/>
      <c r="BE228" s="140">
        <f t="shared" si="85"/>
        <v>0</v>
      </c>
      <c r="BF228" s="141"/>
      <c r="BG228" s="141"/>
      <c r="BH228" s="141"/>
      <c r="BI228" s="141"/>
      <c r="BJ228" s="141"/>
      <c r="BK228" s="141"/>
      <c r="BL228" s="141"/>
      <c r="BM228" s="141"/>
      <c r="BN228" s="141"/>
      <c r="BO228" s="141"/>
      <c r="BP228" s="141"/>
      <c r="BQ228" s="141"/>
      <c r="BR228" s="141"/>
      <c r="BS228" s="130">
        <f t="shared" si="86"/>
        <v>0</v>
      </c>
      <c r="BT228" s="132"/>
    </row>
    <row r="229" ht="14.25" customHeight="1">
      <c r="A229" s="132"/>
      <c r="B229" s="215">
        <v>46226</v>
      </c>
      <c r="C229" s="136"/>
      <c r="D229" s="136"/>
      <c r="E229" s="136"/>
      <c r="F229" s="135"/>
      <c r="G229" s="147">
        <f t="shared" si="78"/>
        <v>0</v>
      </c>
      <c r="H229" s="144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03">
        <f t="shared" si="79"/>
        <v>0</v>
      </c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  <c r="AF229" s="143"/>
      <c r="AG229" s="103">
        <f t="shared" si="80"/>
        <v>0</v>
      </c>
      <c r="AH229" s="136"/>
      <c r="AI229" s="136"/>
      <c r="AJ229" s="136"/>
      <c r="AK229" s="105">
        <f t="shared" si="81"/>
        <v>0</v>
      </c>
      <c r="AL229" s="143"/>
      <c r="AM229" s="143"/>
      <c r="AN229" s="143"/>
      <c r="AO229" s="146"/>
      <c r="AP229" s="224">
        <f t="shared" si="82"/>
        <v>0</v>
      </c>
      <c r="AQ229" s="126"/>
      <c r="AR229" s="274"/>
      <c r="AS229" s="126"/>
      <c r="AT229" s="126"/>
      <c r="AU229" s="126"/>
      <c r="AV229" s="126"/>
      <c r="AW229" s="126"/>
      <c r="AX229" s="274"/>
      <c r="AY229" s="274"/>
      <c r="AZ229" s="274"/>
      <c r="BA229" s="274"/>
      <c r="BB229" s="222">
        <f t="shared" si="83"/>
        <v>0</v>
      </c>
      <c r="BC229" s="140">
        <f t="shared" si="84"/>
        <v>0</v>
      </c>
      <c r="BD229" s="132"/>
      <c r="BE229" s="140">
        <f t="shared" si="85"/>
        <v>0</v>
      </c>
      <c r="BF229" s="141"/>
      <c r="BG229" s="141"/>
      <c r="BH229" s="141"/>
      <c r="BI229" s="141"/>
      <c r="BJ229" s="141"/>
      <c r="BK229" s="141"/>
      <c r="BL229" s="141"/>
      <c r="BM229" s="141"/>
      <c r="BN229" s="141"/>
      <c r="BO229" s="141"/>
      <c r="BP229" s="141"/>
      <c r="BQ229" s="141"/>
      <c r="BR229" s="141"/>
      <c r="BS229" s="130">
        <f t="shared" si="86"/>
        <v>0</v>
      </c>
      <c r="BT229" s="132"/>
    </row>
    <row r="230" ht="14.25" customHeight="1">
      <c r="A230" s="132"/>
      <c r="B230" s="215">
        <v>46227</v>
      </c>
      <c r="C230" s="136"/>
      <c r="D230" s="136"/>
      <c r="E230" s="136"/>
      <c r="F230" s="135"/>
      <c r="G230" s="147">
        <f t="shared" si="78"/>
        <v>0</v>
      </c>
      <c r="H230" s="144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03">
        <f t="shared" si="79"/>
        <v>0</v>
      </c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/>
      <c r="AG230" s="103">
        <f t="shared" si="80"/>
        <v>0</v>
      </c>
      <c r="AH230" s="136"/>
      <c r="AI230" s="136"/>
      <c r="AJ230" s="136"/>
      <c r="AK230" s="105">
        <f t="shared" si="81"/>
        <v>0</v>
      </c>
      <c r="AL230" s="143"/>
      <c r="AM230" s="143"/>
      <c r="AN230" s="143"/>
      <c r="AO230" s="146"/>
      <c r="AP230" s="224">
        <f t="shared" si="82"/>
        <v>0</v>
      </c>
      <c r="AQ230" s="126"/>
      <c r="AR230" s="274"/>
      <c r="AS230" s="126"/>
      <c r="AT230" s="126"/>
      <c r="AU230" s="126"/>
      <c r="AV230" s="126"/>
      <c r="AW230" s="126"/>
      <c r="AX230" s="274"/>
      <c r="AY230" s="274"/>
      <c r="AZ230" s="274"/>
      <c r="BA230" s="274"/>
      <c r="BB230" s="222">
        <f t="shared" si="83"/>
        <v>0</v>
      </c>
      <c r="BC230" s="140">
        <f t="shared" si="84"/>
        <v>0</v>
      </c>
      <c r="BD230" s="132"/>
      <c r="BE230" s="140">
        <f t="shared" si="85"/>
        <v>0</v>
      </c>
      <c r="BF230" s="141"/>
      <c r="BG230" s="141"/>
      <c r="BH230" s="141"/>
      <c r="BI230" s="141"/>
      <c r="BJ230" s="141"/>
      <c r="BK230" s="141"/>
      <c r="BL230" s="141"/>
      <c r="BM230" s="141"/>
      <c r="BN230" s="141"/>
      <c r="BO230" s="141"/>
      <c r="BP230" s="141"/>
      <c r="BQ230" s="141"/>
      <c r="BR230" s="141"/>
      <c r="BS230" s="130">
        <f t="shared" si="86"/>
        <v>0</v>
      </c>
      <c r="BT230" s="132"/>
    </row>
    <row r="231" ht="14.25" customHeight="1">
      <c r="A231" s="132"/>
      <c r="B231" s="215">
        <v>46228</v>
      </c>
      <c r="C231" s="136"/>
      <c r="D231" s="136"/>
      <c r="E231" s="136"/>
      <c r="F231" s="135"/>
      <c r="G231" s="147">
        <f t="shared" si="78"/>
        <v>0</v>
      </c>
      <c r="H231" s="144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03">
        <f t="shared" si="79"/>
        <v>0</v>
      </c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  <c r="AF231" s="143"/>
      <c r="AG231" s="103">
        <f t="shared" si="80"/>
        <v>0</v>
      </c>
      <c r="AH231" s="136"/>
      <c r="AI231" s="136"/>
      <c r="AJ231" s="136"/>
      <c r="AK231" s="105">
        <f t="shared" si="81"/>
        <v>0</v>
      </c>
      <c r="AL231" s="143"/>
      <c r="AM231" s="143"/>
      <c r="AN231" s="143"/>
      <c r="AO231" s="146"/>
      <c r="AP231" s="224">
        <f t="shared" si="82"/>
        <v>0</v>
      </c>
      <c r="AQ231" s="126"/>
      <c r="AR231" s="274"/>
      <c r="AS231" s="126"/>
      <c r="AT231" s="126"/>
      <c r="AU231" s="126"/>
      <c r="AV231" s="126"/>
      <c r="AW231" s="126"/>
      <c r="AX231" s="274"/>
      <c r="AY231" s="274"/>
      <c r="AZ231" s="274"/>
      <c r="BA231" s="274"/>
      <c r="BB231" s="222">
        <f t="shared" si="83"/>
        <v>0</v>
      </c>
      <c r="BC231" s="140">
        <f t="shared" si="84"/>
        <v>0</v>
      </c>
      <c r="BD231" s="132"/>
      <c r="BE231" s="140">
        <f t="shared" si="85"/>
        <v>0</v>
      </c>
      <c r="BF231" s="141"/>
      <c r="BG231" s="141"/>
      <c r="BH231" s="141"/>
      <c r="BI231" s="141"/>
      <c r="BJ231" s="141"/>
      <c r="BK231" s="141"/>
      <c r="BL231" s="141"/>
      <c r="BM231" s="141"/>
      <c r="BN231" s="141"/>
      <c r="BO231" s="141"/>
      <c r="BP231" s="141"/>
      <c r="BQ231" s="141"/>
      <c r="BR231" s="141"/>
      <c r="BS231" s="130">
        <f t="shared" si="86"/>
        <v>0</v>
      </c>
      <c r="BT231" s="132"/>
    </row>
    <row r="232" ht="14.25" customHeight="1">
      <c r="A232" s="132"/>
      <c r="B232" s="215">
        <v>46229</v>
      </c>
      <c r="C232" s="136"/>
      <c r="D232" s="136"/>
      <c r="E232" s="135"/>
      <c r="F232" s="135"/>
      <c r="G232" s="147">
        <f t="shared" si="78"/>
        <v>0</v>
      </c>
      <c r="H232" s="144"/>
      <c r="I232" s="143"/>
      <c r="J232" s="143"/>
      <c r="K232" s="143"/>
      <c r="L232" s="143"/>
      <c r="M232" s="143"/>
      <c r="N232" s="99"/>
      <c r="O232" s="143"/>
      <c r="P232" s="143"/>
      <c r="Q232" s="143"/>
      <c r="R232" s="143"/>
      <c r="S232" s="143"/>
      <c r="T232" s="103">
        <f t="shared" si="79"/>
        <v>0</v>
      </c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  <c r="AF232" s="143"/>
      <c r="AG232" s="103">
        <f t="shared" si="80"/>
        <v>0</v>
      </c>
      <c r="AH232" s="136"/>
      <c r="AI232" s="136"/>
      <c r="AJ232" s="136"/>
      <c r="AK232" s="105">
        <f t="shared" si="81"/>
        <v>0</v>
      </c>
      <c r="AL232" s="143"/>
      <c r="AM232" s="143"/>
      <c r="AN232" s="143"/>
      <c r="AO232" s="146"/>
      <c r="AP232" s="224">
        <f t="shared" si="82"/>
        <v>0</v>
      </c>
      <c r="AQ232" s="126"/>
      <c r="AR232" s="274"/>
      <c r="AS232" s="126"/>
      <c r="AT232" s="126"/>
      <c r="AU232" s="126"/>
      <c r="AV232" s="126"/>
      <c r="AW232" s="126"/>
      <c r="AX232" s="274"/>
      <c r="AY232" s="274"/>
      <c r="AZ232" s="274"/>
      <c r="BA232" s="274"/>
      <c r="BB232" s="222">
        <f t="shared" si="83"/>
        <v>0</v>
      </c>
      <c r="BC232" s="140">
        <f t="shared" si="84"/>
        <v>0</v>
      </c>
      <c r="BD232" s="132"/>
      <c r="BE232" s="140">
        <f t="shared" si="85"/>
        <v>0</v>
      </c>
      <c r="BF232" s="141"/>
      <c r="BG232" s="141"/>
      <c r="BH232" s="141"/>
      <c r="BI232" s="141"/>
      <c r="BJ232" s="141"/>
      <c r="BK232" s="141"/>
      <c r="BL232" s="141"/>
      <c r="BM232" s="141"/>
      <c r="BN232" s="141"/>
      <c r="BO232" s="141"/>
      <c r="BP232" s="141"/>
      <c r="BQ232" s="141"/>
      <c r="BR232" s="141"/>
      <c r="BS232" s="130">
        <f t="shared" si="86"/>
        <v>0</v>
      </c>
      <c r="BT232" s="132"/>
    </row>
    <row r="233" ht="14.25" customHeight="1">
      <c r="A233" s="132"/>
      <c r="B233" s="215">
        <v>46230</v>
      </c>
      <c r="C233" s="136"/>
      <c r="D233" s="136"/>
      <c r="E233" s="135"/>
      <c r="F233" s="135"/>
      <c r="G233" s="147">
        <f t="shared" si="78"/>
        <v>0</v>
      </c>
      <c r="H233" s="144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03">
        <f t="shared" si="79"/>
        <v>0</v>
      </c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/>
      <c r="AG233" s="103">
        <f t="shared" si="80"/>
        <v>0</v>
      </c>
      <c r="AH233" s="136"/>
      <c r="AI233" s="136"/>
      <c r="AJ233" s="136"/>
      <c r="AK233" s="105">
        <f t="shared" si="81"/>
        <v>0</v>
      </c>
      <c r="AL233" s="143"/>
      <c r="AM233" s="143"/>
      <c r="AN233" s="143"/>
      <c r="AO233" s="146"/>
      <c r="AP233" s="224">
        <f t="shared" si="82"/>
        <v>0</v>
      </c>
      <c r="AQ233" s="126"/>
      <c r="AR233" s="274"/>
      <c r="AS233" s="126"/>
      <c r="AT233" s="126"/>
      <c r="AU233" s="126"/>
      <c r="AV233" s="126"/>
      <c r="AW233" s="126"/>
      <c r="AX233" s="274"/>
      <c r="AY233" s="274"/>
      <c r="AZ233" s="274"/>
      <c r="BA233" s="274"/>
      <c r="BB233" s="222">
        <f t="shared" si="83"/>
        <v>0</v>
      </c>
      <c r="BC233" s="140">
        <f t="shared" si="84"/>
        <v>0</v>
      </c>
      <c r="BD233" s="132"/>
      <c r="BE233" s="140">
        <f t="shared" si="85"/>
        <v>0</v>
      </c>
      <c r="BF233" s="141"/>
      <c r="BG233" s="141"/>
      <c r="BH233" s="141"/>
      <c r="BI233" s="141"/>
      <c r="BJ233" s="141"/>
      <c r="BK233" s="141"/>
      <c r="BL233" s="141"/>
      <c r="BM233" s="141"/>
      <c r="BN233" s="141"/>
      <c r="BO233" s="141"/>
      <c r="BP233" s="141"/>
      <c r="BQ233" s="141"/>
      <c r="BR233" s="141"/>
      <c r="BS233" s="130">
        <f t="shared" si="86"/>
        <v>0</v>
      </c>
      <c r="BT233" s="132"/>
    </row>
    <row r="234" ht="14.25" customHeight="1">
      <c r="A234" s="132"/>
      <c r="B234" s="215">
        <v>46231</v>
      </c>
      <c r="C234" s="136"/>
      <c r="D234" s="136"/>
      <c r="E234" s="135"/>
      <c r="F234" s="135"/>
      <c r="G234" s="147">
        <f t="shared" si="78"/>
        <v>0</v>
      </c>
      <c r="H234" s="144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03">
        <f t="shared" si="79"/>
        <v>0</v>
      </c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  <c r="AF234" s="143"/>
      <c r="AG234" s="103">
        <f t="shared" si="80"/>
        <v>0</v>
      </c>
      <c r="AH234" s="136"/>
      <c r="AI234" s="136"/>
      <c r="AJ234" s="136"/>
      <c r="AK234" s="105">
        <f t="shared" si="81"/>
        <v>0</v>
      </c>
      <c r="AL234" s="143"/>
      <c r="AM234" s="143"/>
      <c r="AN234" s="143"/>
      <c r="AO234" s="146"/>
      <c r="AP234" s="224">
        <f t="shared" si="82"/>
        <v>0</v>
      </c>
      <c r="AQ234" s="126"/>
      <c r="AR234" s="274"/>
      <c r="AS234" s="126"/>
      <c r="AT234" s="126"/>
      <c r="AU234" s="126"/>
      <c r="AV234" s="126"/>
      <c r="AW234" s="126"/>
      <c r="AX234" s="274"/>
      <c r="AY234" s="274"/>
      <c r="AZ234" s="274"/>
      <c r="BA234" s="274"/>
      <c r="BB234" s="222">
        <f t="shared" si="83"/>
        <v>0</v>
      </c>
      <c r="BC234" s="140">
        <f t="shared" si="84"/>
        <v>0</v>
      </c>
      <c r="BD234" s="132"/>
      <c r="BE234" s="140">
        <f t="shared" si="85"/>
        <v>0</v>
      </c>
      <c r="BF234" s="141"/>
      <c r="BG234" s="141"/>
      <c r="BH234" s="141"/>
      <c r="BI234" s="141"/>
      <c r="BJ234" s="141"/>
      <c r="BK234" s="141"/>
      <c r="BL234" s="141"/>
      <c r="BM234" s="141"/>
      <c r="BN234" s="141"/>
      <c r="BO234" s="141"/>
      <c r="BP234" s="141"/>
      <c r="BQ234" s="141"/>
      <c r="BR234" s="141"/>
      <c r="BS234" s="130">
        <f t="shared" si="86"/>
        <v>0</v>
      </c>
      <c r="BT234" s="132"/>
    </row>
    <row r="235" ht="14.25" customHeight="1">
      <c r="A235" s="132"/>
      <c r="B235" s="215">
        <v>46232</v>
      </c>
      <c r="C235" s="136"/>
      <c r="D235" s="136"/>
      <c r="E235" s="135"/>
      <c r="F235" s="135"/>
      <c r="G235" s="147">
        <f t="shared" si="78"/>
        <v>0</v>
      </c>
      <c r="H235" s="144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03">
        <f t="shared" si="79"/>
        <v>0</v>
      </c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  <c r="AF235" s="143"/>
      <c r="AG235" s="103">
        <f t="shared" si="80"/>
        <v>0</v>
      </c>
      <c r="AH235" s="136"/>
      <c r="AI235" s="136"/>
      <c r="AJ235" s="136"/>
      <c r="AK235" s="105">
        <f t="shared" si="81"/>
        <v>0</v>
      </c>
      <c r="AL235" s="143"/>
      <c r="AM235" s="143"/>
      <c r="AN235" s="143"/>
      <c r="AO235" s="146"/>
      <c r="AP235" s="224">
        <f t="shared" si="82"/>
        <v>0</v>
      </c>
      <c r="AQ235" s="126"/>
      <c r="AR235" s="274"/>
      <c r="AS235" s="126"/>
      <c r="AT235" s="126"/>
      <c r="AU235" s="126"/>
      <c r="AV235" s="126"/>
      <c r="AW235" s="126"/>
      <c r="AX235" s="274"/>
      <c r="AY235" s="274"/>
      <c r="AZ235" s="274"/>
      <c r="BA235" s="274"/>
      <c r="BB235" s="222">
        <f t="shared" si="83"/>
        <v>0</v>
      </c>
      <c r="BC235" s="140">
        <f t="shared" si="84"/>
        <v>0</v>
      </c>
      <c r="BD235" s="132"/>
      <c r="BE235" s="140">
        <f t="shared" si="85"/>
        <v>0</v>
      </c>
      <c r="BF235" s="141"/>
      <c r="BG235" s="141"/>
      <c r="BH235" s="141"/>
      <c r="BI235" s="141"/>
      <c r="BJ235" s="141"/>
      <c r="BK235" s="141"/>
      <c r="BL235" s="141"/>
      <c r="BM235" s="141"/>
      <c r="BN235" s="141"/>
      <c r="BO235" s="141"/>
      <c r="BP235" s="141"/>
      <c r="BQ235" s="141"/>
      <c r="BR235" s="141"/>
      <c r="BS235" s="130">
        <f t="shared" si="86"/>
        <v>0</v>
      </c>
      <c r="BT235" s="132"/>
    </row>
    <row r="236" ht="14.25" customHeight="1">
      <c r="A236" s="132"/>
      <c r="B236" s="215">
        <v>46233</v>
      </c>
      <c r="C236" s="136"/>
      <c r="D236" s="136"/>
      <c r="E236" s="135"/>
      <c r="F236" s="135"/>
      <c r="G236" s="147">
        <f t="shared" si="78"/>
        <v>0</v>
      </c>
      <c r="H236" s="144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03">
        <f t="shared" si="79"/>
        <v>0</v>
      </c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/>
      <c r="AG236" s="103">
        <f t="shared" si="80"/>
        <v>0</v>
      </c>
      <c r="AH236" s="136"/>
      <c r="AI236" s="136"/>
      <c r="AJ236" s="136"/>
      <c r="AK236" s="105">
        <f t="shared" si="81"/>
        <v>0</v>
      </c>
      <c r="AL236" s="143"/>
      <c r="AM236" s="143"/>
      <c r="AN236" s="143"/>
      <c r="AO236" s="146"/>
      <c r="AP236" s="224">
        <f t="shared" si="82"/>
        <v>0</v>
      </c>
      <c r="AQ236" s="126"/>
      <c r="AR236" s="274"/>
      <c r="AS236" s="126"/>
      <c r="AT236" s="126"/>
      <c r="AU236" s="126"/>
      <c r="AV236" s="126"/>
      <c r="AW236" s="126"/>
      <c r="AX236" s="274"/>
      <c r="AY236" s="274"/>
      <c r="AZ236" s="274"/>
      <c r="BA236" s="274"/>
      <c r="BB236" s="222">
        <f t="shared" si="83"/>
        <v>0</v>
      </c>
      <c r="BC236" s="140">
        <f t="shared" si="84"/>
        <v>0</v>
      </c>
      <c r="BD236" s="132"/>
      <c r="BE236" s="140">
        <f t="shared" si="85"/>
        <v>0</v>
      </c>
      <c r="BF236" s="141"/>
      <c r="BG236" s="141"/>
      <c r="BH236" s="141"/>
      <c r="BI236" s="141"/>
      <c r="BJ236" s="141"/>
      <c r="BK236" s="141"/>
      <c r="BL236" s="141"/>
      <c r="BM236" s="141"/>
      <c r="BN236" s="141"/>
      <c r="BO236" s="141"/>
      <c r="BP236" s="141"/>
      <c r="BQ236" s="141"/>
      <c r="BR236" s="141"/>
      <c r="BS236" s="130">
        <f t="shared" si="86"/>
        <v>0</v>
      </c>
      <c r="BT236" s="132"/>
    </row>
    <row r="237" ht="14.25" customHeight="1">
      <c r="A237" s="132"/>
      <c r="B237" s="215">
        <v>46234</v>
      </c>
      <c r="C237" s="159"/>
      <c r="D237" s="159"/>
      <c r="E237" s="156"/>
      <c r="F237" s="156"/>
      <c r="G237" s="147">
        <f t="shared" si="78"/>
        <v>0</v>
      </c>
      <c r="H237" s="612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03">
        <f t="shared" si="79"/>
        <v>0</v>
      </c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03">
        <f t="shared" si="80"/>
        <v>0</v>
      </c>
      <c r="AH237" s="159"/>
      <c r="AI237" s="159"/>
      <c r="AJ237" s="159"/>
      <c r="AK237" s="105">
        <f t="shared" si="81"/>
        <v>0</v>
      </c>
      <c r="AL237" s="157"/>
      <c r="AM237" s="157"/>
      <c r="AN237" s="157"/>
      <c r="AO237" s="160"/>
      <c r="AP237" s="224">
        <f t="shared" si="82"/>
        <v>0</v>
      </c>
      <c r="AQ237" s="138"/>
      <c r="AR237" s="296"/>
      <c r="AS237" s="138"/>
      <c r="AT237" s="138"/>
      <c r="AU237" s="126"/>
      <c r="AV237" s="126"/>
      <c r="AW237" s="138"/>
      <c r="AX237" s="296"/>
      <c r="AY237" s="296"/>
      <c r="AZ237" s="296"/>
      <c r="BA237" s="296"/>
      <c r="BB237" s="222">
        <f t="shared" si="83"/>
        <v>0</v>
      </c>
      <c r="BC237" s="162">
        <f t="shared" si="84"/>
        <v>0</v>
      </c>
      <c r="BD237" s="132"/>
      <c r="BE237" s="162">
        <f t="shared" si="85"/>
        <v>0</v>
      </c>
      <c r="BF237" s="163"/>
      <c r="BG237" s="163"/>
      <c r="BH237" s="163"/>
      <c r="BI237" s="163"/>
      <c r="BJ237" s="163"/>
      <c r="BK237" s="163"/>
      <c r="BL237" s="163"/>
      <c r="BM237" s="163"/>
      <c r="BN237" s="163"/>
      <c r="BO237" s="141"/>
      <c r="BP237" s="163"/>
      <c r="BQ237" s="163"/>
      <c r="BR237" s="163"/>
      <c r="BS237" s="164">
        <f t="shared" si="86"/>
        <v>0</v>
      </c>
      <c r="BT237" s="132"/>
    </row>
    <row r="238" ht="14.25" customHeight="1">
      <c r="A238" s="3"/>
      <c r="B238" s="2" t="s">
        <v>263</v>
      </c>
      <c r="C238" s="166">
        <f ref="C238:G238" t="shared" si="87">SUM(C207:C237)</f>
        <v>0</v>
      </c>
      <c r="D238" s="166">
        <f t="shared" si="87"/>
        <v>0</v>
      </c>
      <c r="E238" s="166">
        <f t="shared" si="87"/>
        <v>0</v>
      </c>
      <c r="F238" s="166">
        <f t="shared" si="87"/>
        <v>0</v>
      </c>
      <c r="G238" s="166">
        <f t="shared" si="87"/>
        <v>0</v>
      </c>
      <c r="H238" s="166"/>
      <c r="I238" s="166"/>
      <c r="J238" s="166"/>
      <c r="K238" s="166">
        <f ref="K238:T238" t="shared" si="88">SUM(K207:K237)</f>
        <v>0</v>
      </c>
      <c r="L238" s="166">
        <f t="shared" si="88"/>
        <v>0</v>
      </c>
      <c r="M238" s="166">
        <f t="shared" si="88"/>
        <v>0</v>
      </c>
      <c r="N238" s="166">
        <f t="shared" si="88"/>
        <v>0</v>
      </c>
      <c r="O238" s="166">
        <f t="shared" si="88"/>
        <v>0</v>
      </c>
      <c r="P238" s="166">
        <f t="shared" si="88"/>
        <v>0</v>
      </c>
      <c r="Q238" s="166">
        <f t="shared" si="88"/>
        <v>0</v>
      </c>
      <c r="R238" s="166">
        <f t="shared" si="88"/>
        <v>0</v>
      </c>
      <c r="S238" s="166">
        <f t="shared" si="88"/>
        <v>0</v>
      </c>
      <c r="T238" s="166">
        <f t="shared" si="88"/>
        <v>0</v>
      </c>
      <c r="U238" s="166"/>
      <c r="V238" s="166">
        <f ref="V238:AK238" t="shared" si="89">SUM(V207:V237)</f>
        <v>0</v>
      </c>
      <c r="W238" s="166">
        <f t="shared" si="89"/>
        <v>0</v>
      </c>
      <c r="X238" s="166">
        <f t="shared" si="89"/>
        <v>0</v>
      </c>
      <c r="Y238" s="166">
        <f t="shared" si="89"/>
        <v>0</v>
      </c>
      <c r="Z238" s="166">
        <f t="shared" si="89"/>
        <v>0</v>
      </c>
      <c r="AA238" s="166">
        <f t="shared" si="89"/>
        <v>0</v>
      </c>
      <c r="AB238" s="166">
        <f t="shared" si="89"/>
        <v>0</v>
      </c>
      <c r="AC238" s="166">
        <f t="shared" si="89"/>
        <v>0</v>
      </c>
      <c r="AD238" s="166">
        <f t="shared" si="89"/>
        <v>0</v>
      </c>
      <c r="AE238" s="166">
        <f t="shared" si="89"/>
        <v>0</v>
      </c>
      <c r="AF238" s="166">
        <f t="shared" si="89"/>
        <v>0</v>
      </c>
      <c r="AG238" s="166">
        <f t="shared" si="89"/>
        <v>0</v>
      </c>
      <c r="AH238" s="166">
        <f t="shared" si="89"/>
        <v>0</v>
      </c>
      <c r="AI238" s="166">
        <f t="shared" si="89"/>
        <v>0</v>
      </c>
      <c r="AJ238" s="166">
        <f t="shared" si="89"/>
        <v>0</v>
      </c>
      <c r="AK238" s="166">
        <f t="shared" si="89"/>
        <v>0</v>
      </c>
      <c r="AL238" s="166"/>
      <c r="AM238" s="166"/>
      <c r="AN238" s="166"/>
      <c r="AO238" s="166"/>
      <c r="AP238" s="166">
        <f ref="AP238:AQ238" t="shared" si="90">SUM(AP207:AP237)</f>
        <v>0</v>
      </c>
      <c r="AQ238" s="165">
        <f t="shared" si="90"/>
        <v>0</v>
      </c>
      <c r="AR238" s="166"/>
      <c r="AS238" s="166"/>
      <c r="AT238" s="166"/>
      <c r="AU238" s="166"/>
      <c r="AV238" s="166"/>
      <c r="AW238" s="166"/>
      <c r="AX238" s="166"/>
      <c r="AY238" s="166"/>
      <c r="AZ238" s="166"/>
      <c r="BA238" s="166"/>
      <c r="BB238" s="166">
        <f ref="BB238:BC238" t="shared" si="91">SUM(BB207:BB237)</f>
        <v>0</v>
      </c>
      <c r="BC238" s="166">
        <f t="shared" si="91"/>
        <v>0</v>
      </c>
      <c r="BD238" s="3"/>
      <c r="BE238" s="172">
        <f ref="BE238:BS238" t="shared" si="92">SUM(BE207:BE237)</f>
        <v>0</v>
      </c>
      <c r="BF238" s="165">
        <f t="shared" si="92"/>
        <v>0</v>
      </c>
      <c r="BG238" s="165">
        <f t="shared" si="92"/>
        <v>0</v>
      </c>
      <c r="BH238" s="165">
        <f t="shared" si="92"/>
        <v>0</v>
      </c>
      <c r="BI238" s="165">
        <f t="shared" si="92"/>
        <v>0</v>
      </c>
      <c r="BJ238" s="165">
        <f t="shared" si="92"/>
        <v>0</v>
      </c>
      <c r="BK238" s="165">
        <f t="shared" si="92"/>
        <v>0</v>
      </c>
      <c r="BL238" s="165">
        <f t="shared" si="92"/>
        <v>0</v>
      </c>
      <c r="BM238" s="165">
        <f t="shared" si="92"/>
        <v>0</v>
      </c>
      <c r="BN238" s="165">
        <f t="shared" si="92"/>
        <v>0</v>
      </c>
      <c r="BO238" s="166">
        <f t="shared" si="92"/>
        <v>0</v>
      </c>
      <c r="BP238" s="165">
        <f t="shared" si="92"/>
        <v>0</v>
      </c>
      <c r="BQ238" s="165">
        <f t="shared" si="92"/>
        <v>0</v>
      </c>
      <c r="BR238" s="165">
        <f t="shared" si="92"/>
        <v>0</v>
      </c>
      <c r="BS238" s="165">
        <f t="shared" si="92"/>
        <v>0</v>
      </c>
      <c r="BT238" s="3"/>
    </row>
    <row r="239" ht="14.25" customHeight="1">
      <c r="A239" s="1"/>
      <c r="B239" s="2"/>
      <c r="C239" s="3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4"/>
      <c r="AL239" s="3"/>
      <c r="AM239" s="3"/>
      <c r="AN239" s="3"/>
      <c r="AO239" s="3"/>
      <c r="AP239" s="4"/>
      <c r="AQ239" s="3"/>
      <c r="AR239" s="132"/>
      <c r="AS239" s="132"/>
      <c r="AT239" s="3"/>
      <c r="AU239" s="3"/>
      <c r="AV239" s="3"/>
      <c r="AW239" s="132"/>
      <c r="AX239" s="132"/>
      <c r="AY239" s="132"/>
      <c r="AZ239" s="132"/>
      <c r="BA239" s="132"/>
      <c r="BB239" s="4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ht="14.25" customHeight="1">
      <c r="A240" s="1"/>
      <c r="B240" s="2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176"/>
      <c r="AH240" s="3"/>
      <c r="AI240" s="3"/>
      <c r="AJ240" s="3"/>
      <c r="AK240" s="4"/>
      <c r="AL240" s="3"/>
      <c r="AM240" s="3"/>
      <c r="AN240" s="3"/>
      <c r="AO240" s="3"/>
      <c r="AP240" s="177"/>
      <c r="AQ240" s="3"/>
      <c r="AR240" s="132"/>
      <c r="AS240" s="132"/>
      <c r="AT240" s="3"/>
      <c r="AU240" s="3"/>
      <c r="AV240" s="3"/>
      <c r="AW240" s="132"/>
      <c r="AX240" s="132"/>
      <c r="AY240" s="132"/>
      <c r="AZ240" s="132"/>
      <c r="BA240" s="132"/>
      <c r="BB240" s="177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ht="14.25" customHeight="1">
      <c r="A241" s="3"/>
      <c r="B241" s="215">
        <v>46235</v>
      </c>
      <c r="C241" s="104"/>
      <c r="D241" s="104"/>
      <c r="E241" s="97"/>
      <c r="F241" s="97"/>
      <c r="G241" s="216">
        <f ref="G241:G271" t="shared" si="93">+C241+D241+E241+F241</f>
        <v>0</v>
      </c>
      <c r="H241" s="187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03">
        <f ref="T241:T271" t="shared" si="94">SUM(H241:S241)</f>
        <v>0</v>
      </c>
      <c r="U241" s="186"/>
      <c r="V241" s="186"/>
      <c r="W241" s="186"/>
      <c r="X241" s="186"/>
      <c r="Y241" s="186"/>
      <c r="Z241" s="186"/>
      <c r="AA241" s="186"/>
      <c r="AB241" s="186"/>
      <c r="AC241" s="186"/>
      <c r="AD241" s="186"/>
      <c r="AE241" s="186"/>
      <c r="AF241" s="186"/>
      <c r="AG241" s="103">
        <f ref="AG241:AG271" t="shared" si="95">SUM(U241:AF241)</f>
        <v>0</v>
      </c>
      <c r="AH241" s="104"/>
      <c r="AI241" s="104"/>
      <c r="AJ241" s="104"/>
      <c r="AK241" s="191">
        <f ref="AK241:AK271" t="shared" si="96">SUM(AH241:AJ241)</f>
        <v>0</v>
      </c>
      <c r="AL241" s="186"/>
      <c r="AM241" s="186"/>
      <c r="AN241" s="186"/>
      <c r="AO241" s="193"/>
      <c r="AP241" s="224">
        <f ref="AP241:AP271" t="shared" si="97">+G241-T241-AG241-AK241-AL241-AM241-AN241-AO241</f>
        <v>0</v>
      </c>
      <c r="AQ241" s="109"/>
      <c r="AR241" s="269"/>
      <c r="AS241" s="109"/>
      <c r="AT241" s="109"/>
      <c r="AU241" s="109"/>
      <c r="AV241" s="109"/>
      <c r="AW241" s="109"/>
      <c r="AX241" s="269"/>
      <c r="AY241" s="269"/>
      <c r="AZ241" s="269"/>
      <c r="BA241" s="269"/>
      <c r="BB241" s="222">
        <f ref="BB241:BB271" t="shared" si="98">SUM(AQ241:BA241)-AZ241</f>
        <v>0</v>
      </c>
      <c r="BC241" s="114">
        <f ref="BC241:BC271" t="shared" si="99">+AP241-BB241</f>
        <v>0</v>
      </c>
      <c r="BD241" s="3"/>
      <c r="BE241" s="114">
        <f ref="BE241:BE271" t="shared" si="100">SUM(BF241:BR241)</f>
        <v>0</v>
      </c>
      <c r="BF241" s="115"/>
      <c r="BG241" s="115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6">
        <f ref="BS241:BS271" t="shared" si="101">+BC241-BE241</f>
        <v>0</v>
      </c>
      <c r="BT241" s="3"/>
    </row>
    <row r="242" ht="14.25" customHeight="1">
      <c r="A242" s="3"/>
      <c r="B242" s="215">
        <v>46236</v>
      </c>
      <c r="C242" s="123"/>
      <c r="D242" s="123"/>
      <c r="E242" s="120"/>
      <c r="F242" s="120"/>
      <c r="G242" s="147">
        <f t="shared" si="93"/>
        <v>0</v>
      </c>
      <c r="H242" s="144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03">
        <f t="shared" si="94"/>
        <v>0</v>
      </c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03">
        <f t="shared" si="95"/>
        <v>0</v>
      </c>
      <c r="AH242" s="123"/>
      <c r="AI242" s="123"/>
      <c r="AJ242" s="123"/>
      <c r="AK242" s="105">
        <f t="shared" si="96"/>
        <v>0</v>
      </c>
      <c r="AL242" s="143"/>
      <c r="AM242" s="143"/>
      <c r="AN242" s="143"/>
      <c r="AO242" s="146"/>
      <c r="AP242" s="224">
        <f t="shared" si="97"/>
        <v>0</v>
      </c>
      <c r="AQ242" s="126"/>
      <c r="AR242" s="274"/>
      <c r="AS242" s="126"/>
      <c r="AT242" s="126"/>
      <c r="AU242" s="126"/>
      <c r="AV242" s="126"/>
      <c r="AW242" s="126"/>
      <c r="AX242" s="274"/>
      <c r="AY242" s="274"/>
      <c r="AZ242" s="274"/>
      <c r="BA242" s="274"/>
      <c r="BB242" s="222">
        <f t="shared" si="98"/>
        <v>0</v>
      </c>
      <c r="BC242" s="113">
        <f t="shared" si="99"/>
        <v>0</v>
      </c>
      <c r="BD242" s="3"/>
      <c r="BE242" s="113">
        <f t="shared" si="100"/>
        <v>0</v>
      </c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30">
        <f t="shared" si="101"/>
        <v>0</v>
      </c>
      <c r="BT242" s="3"/>
    </row>
    <row r="243" ht="14.25" customHeight="1">
      <c r="A243" s="3"/>
      <c r="B243" s="215">
        <v>46237</v>
      </c>
      <c r="C243" s="123"/>
      <c r="D243" s="123"/>
      <c r="E243" s="120"/>
      <c r="F243" s="120"/>
      <c r="G243" s="147">
        <f t="shared" si="93"/>
        <v>0</v>
      </c>
      <c r="H243" s="144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03">
        <f t="shared" si="94"/>
        <v>0</v>
      </c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  <c r="AF243" s="143"/>
      <c r="AG243" s="103">
        <f t="shared" si="95"/>
        <v>0</v>
      </c>
      <c r="AH243" s="123"/>
      <c r="AI243" s="123"/>
      <c r="AJ243" s="123"/>
      <c r="AK243" s="105">
        <f t="shared" si="96"/>
        <v>0</v>
      </c>
      <c r="AL243" s="143"/>
      <c r="AM243" s="143"/>
      <c r="AN243" s="143"/>
      <c r="AO243" s="146"/>
      <c r="AP243" s="224">
        <f t="shared" si="97"/>
        <v>0</v>
      </c>
      <c r="AQ243" s="126"/>
      <c r="AR243" s="274"/>
      <c r="AS243" s="274"/>
      <c r="AT243" s="126"/>
      <c r="AU243" s="126"/>
      <c r="AV243" s="126"/>
      <c r="AW243" s="126"/>
      <c r="AX243" s="274"/>
      <c r="AY243" s="274"/>
      <c r="AZ243" s="274"/>
      <c r="BA243" s="274"/>
      <c r="BB243" s="222">
        <f t="shared" si="98"/>
        <v>0</v>
      </c>
      <c r="BC243" s="113">
        <f t="shared" si="99"/>
        <v>0</v>
      </c>
      <c r="BD243" s="3"/>
      <c r="BE243" s="113">
        <f t="shared" si="100"/>
        <v>0</v>
      </c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30">
        <f t="shared" si="101"/>
        <v>0</v>
      </c>
      <c r="BT243" s="3"/>
    </row>
    <row r="244" ht="14.25" customHeight="1">
      <c r="A244" s="3"/>
      <c r="B244" s="215">
        <v>46238</v>
      </c>
      <c r="C244" s="123"/>
      <c r="D244" s="123"/>
      <c r="E244" s="120"/>
      <c r="F244" s="120"/>
      <c r="G244" s="147">
        <f t="shared" si="93"/>
        <v>0</v>
      </c>
      <c r="H244" s="144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03">
        <f t="shared" si="94"/>
        <v>0</v>
      </c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  <c r="AF244" s="143"/>
      <c r="AG244" s="103">
        <f t="shared" si="95"/>
        <v>0</v>
      </c>
      <c r="AH244" s="123"/>
      <c r="AI244" s="123"/>
      <c r="AJ244" s="123"/>
      <c r="AK244" s="105">
        <f t="shared" si="96"/>
        <v>0</v>
      </c>
      <c r="AL244" s="143"/>
      <c r="AM244" s="143"/>
      <c r="AN244" s="143"/>
      <c r="AO244" s="146"/>
      <c r="AP244" s="224">
        <f t="shared" si="97"/>
        <v>0</v>
      </c>
      <c r="AQ244" s="126"/>
      <c r="AR244" s="274"/>
      <c r="AS244" s="274"/>
      <c r="AT244" s="126"/>
      <c r="AU244" s="126"/>
      <c r="AV244" s="126"/>
      <c r="AW244" s="126"/>
      <c r="AX244" s="274"/>
      <c r="AY244" s="274"/>
      <c r="AZ244" s="274"/>
      <c r="BA244" s="274"/>
      <c r="BB244" s="222">
        <f t="shared" si="98"/>
        <v>0</v>
      </c>
      <c r="BC244" s="113">
        <f t="shared" si="99"/>
        <v>0</v>
      </c>
      <c r="BD244" s="3"/>
      <c r="BE244" s="113">
        <f t="shared" si="100"/>
        <v>0</v>
      </c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30">
        <f t="shared" si="101"/>
        <v>0</v>
      </c>
      <c r="BT244" s="3"/>
    </row>
    <row r="245" ht="14.25" customHeight="1">
      <c r="A245" s="3"/>
      <c r="B245" s="215">
        <v>46239</v>
      </c>
      <c r="C245" s="123"/>
      <c r="D245" s="123"/>
      <c r="E245" s="120"/>
      <c r="F245" s="120"/>
      <c r="G245" s="147">
        <f t="shared" si="93"/>
        <v>0</v>
      </c>
      <c r="H245" s="144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03">
        <f t="shared" si="94"/>
        <v>0</v>
      </c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  <c r="AF245" s="143"/>
      <c r="AG245" s="103">
        <f t="shared" si="95"/>
        <v>0</v>
      </c>
      <c r="AH245" s="123"/>
      <c r="AI245" s="123"/>
      <c r="AJ245" s="123"/>
      <c r="AK245" s="105">
        <f t="shared" si="96"/>
        <v>0</v>
      </c>
      <c r="AL245" s="143"/>
      <c r="AM245" s="143"/>
      <c r="AN245" s="143"/>
      <c r="AO245" s="146"/>
      <c r="AP245" s="224">
        <f t="shared" si="97"/>
        <v>0</v>
      </c>
      <c r="AQ245" s="126"/>
      <c r="AR245" s="274"/>
      <c r="AS245" s="126"/>
      <c r="AT245" s="126"/>
      <c r="AU245" s="126"/>
      <c r="AV245" s="126"/>
      <c r="AW245" s="126"/>
      <c r="AX245" s="274"/>
      <c r="AY245" s="274"/>
      <c r="AZ245" s="274"/>
      <c r="BA245" s="274"/>
      <c r="BB245" s="222">
        <f t="shared" si="98"/>
        <v>0</v>
      </c>
      <c r="BC245" s="113">
        <f t="shared" si="99"/>
        <v>0</v>
      </c>
      <c r="BD245" s="3"/>
      <c r="BE245" s="113">
        <f t="shared" si="100"/>
        <v>0</v>
      </c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30">
        <f t="shared" si="101"/>
        <v>0</v>
      </c>
      <c r="BT245" s="3"/>
    </row>
    <row r="246" ht="14.25" customHeight="1">
      <c r="A246" s="3"/>
      <c r="B246" s="215">
        <v>46240</v>
      </c>
      <c r="C246" s="123"/>
      <c r="D246" s="123"/>
      <c r="E246" s="120"/>
      <c r="F246" s="120"/>
      <c r="G246" s="147">
        <f t="shared" si="93"/>
        <v>0</v>
      </c>
      <c r="H246" s="144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03">
        <f t="shared" si="94"/>
        <v>0</v>
      </c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  <c r="AF246" s="143"/>
      <c r="AG246" s="103">
        <f t="shared" si="95"/>
        <v>0</v>
      </c>
      <c r="AH246" s="123"/>
      <c r="AI246" s="123"/>
      <c r="AJ246" s="123"/>
      <c r="AK246" s="105">
        <f t="shared" si="96"/>
        <v>0</v>
      </c>
      <c r="AL246" s="143"/>
      <c r="AM246" s="143"/>
      <c r="AN246" s="143"/>
      <c r="AO246" s="146"/>
      <c r="AP246" s="224">
        <f t="shared" si="97"/>
        <v>0</v>
      </c>
      <c r="AQ246" s="126"/>
      <c r="AR246" s="274"/>
      <c r="AS246" s="126"/>
      <c r="AT246" s="126"/>
      <c r="AU246" s="126"/>
      <c r="AV246" s="126"/>
      <c r="AW246" s="126"/>
      <c r="AX246" s="274"/>
      <c r="AY246" s="274"/>
      <c r="AZ246" s="274"/>
      <c r="BA246" s="274"/>
      <c r="BB246" s="222">
        <f t="shared" si="98"/>
        <v>0</v>
      </c>
      <c r="BC246" s="113">
        <f t="shared" si="99"/>
        <v>0</v>
      </c>
      <c r="BD246" s="3"/>
      <c r="BE246" s="113">
        <f t="shared" si="100"/>
        <v>0</v>
      </c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30">
        <f t="shared" si="101"/>
        <v>0</v>
      </c>
      <c r="BT246" s="3"/>
    </row>
    <row r="247" ht="14.25" customHeight="1">
      <c r="A247" s="3"/>
      <c r="B247" s="215">
        <v>46241</v>
      </c>
      <c r="C247" s="123"/>
      <c r="D247" s="123"/>
      <c r="E247" s="120"/>
      <c r="F247" s="120"/>
      <c r="G247" s="147">
        <f t="shared" si="93"/>
        <v>0</v>
      </c>
      <c r="H247" s="144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03">
        <f t="shared" si="94"/>
        <v>0</v>
      </c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  <c r="AF247" s="143"/>
      <c r="AG247" s="103">
        <f t="shared" si="95"/>
        <v>0</v>
      </c>
      <c r="AH247" s="123"/>
      <c r="AI247" s="123"/>
      <c r="AJ247" s="123"/>
      <c r="AK247" s="105">
        <f t="shared" si="96"/>
        <v>0</v>
      </c>
      <c r="AL247" s="143"/>
      <c r="AM247" s="143"/>
      <c r="AN247" s="143"/>
      <c r="AO247" s="146"/>
      <c r="AP247" s="224">
        <f t="shared" si="97"/>
        <v>0</v>
      </c>
      <c r="AQ247" s="126"/>
      <c r="AR247" s="274"/>
      <c r="AS247" s="126"/>
      <c r="AT247" s="126"/>
      <c r="AU247" s="126"/>
      <c r="AV247" s="126"/>
      <c r="AW247" s="126"/>
      <c r="AX247" s="274"/>
      <c r="AY247" s="274"/>
      <c r="AZ247" s="274"/>
      <c r="BA247" s="274"/>
      <c r="BB247" s="222">
        <f t="shared" si="98"/>
        <v>0</v>
      </c>
      <c r="BC247" s="113">
        <f t="shared" si="99"/>
        <v>0</v>
      </c>
      <c r="BD247" s="3"/>
      <c r="BE247" s="113">
        <f t="shared" si="100"/>
        <v>0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30">
        <f t="shared" si="101"/>
        <v>0</v>
      </c>
      <c r="BT247" s="3"/>
    </row>
    <row r="248" ht="14.25" customHeight="1">
      <c r="A248" s="3"/>
      <c r="B248" s="215">
        <v>46242</v>
      </c>
      <c r="C248" s="123"/>
      <c r="D248" s="123"/>
      <c r="E248" s="120"/>
      <c r="F248" s="120"/>
      <c r="G248" s="147">
        <f t="shared" si="93"/>
        <v>0</v>
      </c>
      <c r="H248" s="144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03">
        <f t="shared" si="94"/>
        <v>0</v>
      </c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  <c r="AF248" s="143"/>
      <c r="AG248" s="103">
        <f t="shared" si="95"/>
        <v>0</v>
      </c>
      <c r="AH248" s="123"/>
      <c r="AI248" s="123"/>
      <c r="AJ248" s="123"/>
      <c r="AK248" s="105">
        <f t="shared" si="96"/>
        <v>0</v>
      </c>
      <c r="AL248" s="143"/>
      <c r="AM248" s="143"/>
      <c r="AN248" s="143"/>
      <c r="AO248" s="146"/>
      <c r="AP248" s="224">
        <f t="shared" si="97"/>
        <v>0</v>
      </c>
      <c r="AQ248" s="126"/>
      <c r="AR248" s="274"/>
      <c r="AS248" s="126"/>
      <c r="AT248" s="126"/>
      <c r="AU248" s="126"/>
      <c r="AV248" s="126"/>
      <c r="AW248" s="126"/>
      <c r="AX248" s="274"/>
      <c r="AY248" s="274"/>
      <c r="AZ248" s="274"/>
      <c r="BA248" s="274"/>
      <c r="BB248" s="222">
        <f t="shared" si="98"/>
        <v>0</v>
      </c>
      <c r="BC248" s="113">
        <f t="shared" si="99"/>
        <v>0</v>
      </c>
      <c r="BD248" s="3"/>
      <c r="BE248" s="113">
        <f t="shared" si="100"/>
        <v>0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30">
        <f t="shared" si="101"/>
        <v>0</v>
      </c>
      <c r="BT248" s="3"/>
    </row>
    <row r="249" ht="14.25" customHeight="1">
      <c r="A249" s="3"/>
      <c r="B249" s="215">
        <v>46243</v>
      </c>
      <c r="C249" s="123"/>
      <c r="D249" s="123"/>
      <c r="E249" s="120"/>
      <c r="F249" s="120"/>
      <c r="G249" s="147">
        <f t="shared" si="93"/>
        <v>0</v>
      </c>
      <c r="H249" s="144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03">
        <f t="shared" si="94"/>
        <v>0</v>
      </c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03">
        <f t="shared" si="95"/>
        <v>0</v>
      </c>
      <c r="AH249" s="123"/>
      <c r="AI249" s="123"/>
      <c r="AJ249" s="123"/>
      <c r="AK249" s="105">
        <f t="shared" si="96"/>
        <v>0</v>
      </c>
      <c r="AL249" s="143"/>
      <c r="AM249" s="143"/>
      <c r="AN249" s="143"/>
      <c r="AO249" s="146"/>
      <c r="AP249" s="224">
        <f t="shared" si="97"/>
        <v>0</v>
      </c>
      <c r="AQ249" s="126"/>
      <c r="AR249" s="274"/>
      <c r="AS249" s="126"/>
      <c r="AT249" s="126"/>
      <c r="AU249" s="126"/>
      <c r="AV249" s="126"/>
      <c r="AW249" s="126"/>
      <c r="AX249" s="274"/>
      <c r="AY249" s="274"/>
      <c r="AZ249" s="274"/>
      <c r="BA249" s="274"/>
      <c r="BB249" s="222">
        <f t="shared" si="98"/>
        <v>0</v>
      </c>
      <c r="BC249" s="113">
        <f t="shared" si="99"/>
        <v>0</v>
      </c>
      <c r="BD249" s="3"/>
      <c r="BE249" s="113">
        <f t="shared" si="100"/>
        <v>0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30">
        <f t="shared" si="101"/>
        <v>0</v>
      </c>
      <c r="BT249" s="3"/>
    </row>
    <row r="250" ht="14.25" customHeight="1">
      <c r="A250" s="3"/>
      <c r="B250" s="215">
        <v>46244</v>
      </c>
      <c r="C250" s="123"/>
      <c r="D250" s="123"/>
      <c r="E250" s="120"/>
      <c r="F250" s="120"/>
      <c r="G250" s="147">
        <f t="shared" si="93"/>
        <v>0</v>
      </c>
      <c r="H250" s="144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03">
        <f t="shared" si="94"/>
        <v>0</v>
      </c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  <c r="AF250" s="143"/>
      <c r="AG250" s="103">
        <f t="shared" si="95"/>
        <v>0</v>
      </c>
      <c r="AH250" s="123"/>
      <c r="AI250" s="123"/>
      <c r="AJ250" s="123"/>
      <c r="AK250" s="105">
        <f t="shared" si="96"/>
        <v>0</v>
      </c>
      <c r="AL250" s="143"/>
      <c r="AM250" s="143"/>
      <c r="AN250" s="143"/>
      <c r="AO250" s="146"/>
      <c r="AP250" s="224">
        <f t="shared" si="97"/>
        <v>0</v>
      </c>
      <c r="AQ250" s="126"/>
      <c r="AR250" s="274"/>
      <c r="AS250" s="126"/>
      <c r="AT250" s="126"/>
      <c r="AU250" s="126"/>
      <c r="AV250" s="126"/>
      <c r="AW250" s="126"/>
      <c r="AX250" s="274"/>
      <c r="AY250" s="274"/>
      <c r="AZ250" s="274"/>
      <c r="BA250" s="274"/>
      <c r="BB250" s="222">
        <f t="shared" si="98"/>
        <v>0</v>
      </c>
      <c r="BC250" s="113">
        <f t="shared" si="99"/>
        <v>0</v>
      </c>
      <c r="BD250" s="3"/>
      <c r="BE250" s="113">
        <f t="shared" si="100"/>
        <v>0</v>
      </c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30">
        <f t="shared" si="101"/>
        <v>0</v>
      </c>
      <c r="BT250" s="3"/>
    </row>
    <row r="251" ht="14.25" customHeight="1">
      <c r="A251" s="3"/>
      <c r="B251" s="215">
        <v>46245</v>
      </c>
      <c r="C251" s="123"/>
      <c r="D251" s="123"/>
      <c r="E251" s="120"/>
      <c r="F251" s="120"/>
      <c r="G251" s="147">
        <f t="shared" si="93"/>
        <v>0</v>
      </c>
      <c r="H251" s="144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03">
        <f t="shared" si="94"/>
        <v>0</v>
      </c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  <c r="AF251" s="143"/>
      <c r="AG251" s="103">
        <f t="shared" si="95"/>
        <v>0</v>
      </c>
      <c r="AH251" s="123"/>
      <c r="AI251" s="123"/>
      <c r="AJ251" s="123"/>
      <c r="AK251" s="105">
        <f t="shared" si="96"/>
        <v>0</v>
      </c>
      <c r="AL251" s="143"/>
      <c r="AM251" s="143"/>
      <c r="AN251" s="143"/>
      <c r="AO251" s="146"/>
      <c r="AP251" s="224">
        <f t="shared" si="97"/>
        <v>0</v>
      </c>
      <c r="AQ251" s="126"/>
      <c r="AR251" s="274"/>
      <c r="AS251" s="126"/>
      <c r="AT251" s="126"/>
      <c r="AU251" s="126"/>
      <c r="AV251" s="126"/>
      <c r="AW251" s="126"/>
      <c r="AX251" s="274"/>
      <c r="AY251" s="274"/>
      <c r="AZ251" s="274"/>
      <c r="BA251" s="274"/>
      <c r="BB251" s="222">
        <f t="shared" si="98"/>
        <v>0</v>
      </c>
      <c r="BC251" s="113">
        <f t="shared" si="99"/>
        <v>0</v>
      </c>
      <c r="BD251" s="3"/>
      <c r="BE251" s="113">
        <f t="shared" si="100"/>
        <v>0</v>
      </c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30">
        <f t="shared" si="101"/>
        <v>0</v>
      </c>
      <c r="BT251" s="3"/>
    </row>
    <row r="252" ht="14.25" customHeight="1">
      <c r="A252" s="3"/>
      <c r="B252" s="215">
        <v>46246</v>
      </c>
      <c r="C252" s="123"/>
      <c r="D252" s="123"/>
      <c r="E252" s="120"/>
      <c r="F252" s="120"/>
      <c r="G252" s="147">
        <f t="shared" si="93"/>
        <v>0</v>
      </c>
      <c r="H252" s="144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03">
        <f t="shared" si="94"/>
        <v>0</v>
      </c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  <c r="AF252" s="143"/>
      <c r="AG252" s="103">
        <f t="shared" si="95"/>
        <v>0</v>
      </c>
      <c r="AH252" s="123"/>
      <c r="AI252" s="123"/>
      <c r="AJ252" s="123"/>
      <c r="AK252" s="105">
        <f t="shared" si="96"/>
        <v>0</v>
      </c>
      <c r="AL252" s="143"/>
      <c r="AM252" s="143"/>
      <c r="AN252" s="143"/>
      <c r="AO252" s="146"/>
      <c r="AP252" s="224">
        <f t="shared" si="97"/>
        <v>0</v>
      </c>
      <c r="AQ252" s="126"/>
      <c r="AR252" s="274"/>
      <c r="AS252" s="126"/>
      <c r="AT252" s="126"/>
      <c r="AU252" s="126"/>
      <c r="AV252" s="126"/>
      <c r="AW252" s="126"/>
      <c r="AX252" s="274"/>
      <c r="AY252" s="274"/>
      <c r="AZ252" s="274"/>
      <c r="BA252" s="274"/>
      <c r="BB252" s="222">
        <f t="shared" si="98"/>
        <v>0</v>
      </c>
      <c r="BC252" s="113">
        <f t="shared" si="99"/>
        <v>0</v>
      </c>
      <c r="BD252" s="3"/>
      <c r="BE252" s="113">
        <f t="shared" si="100"/>
        <v>0</v>
      </c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30">
        <f t="shared" si="101"/>
        <v>0</v>
      </c>
      <c r="BT252" s="3"/>
    </row>
    <row r="253" ht="14.25" customHeight="1">
      <c r="A253" s="3"/>
      <c r="B253" s="215">
        <v>46247</v>
      </c>
      <c r="C253" s="123"/>
      <c r="D253" s="123"/>
      <c r="E253" s="120"/>
      <c r="F253" s="120"/>
      <c r="G253" s="147">
        <f t="shared" si="93"/>
        <v>0</v>
      </c>
      <c r="H253" s="144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03">
        <f t="shared" si="94"/>
        <v>0</v>
      </c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  <c r="AF253" s="143"/>
      <c r="AG253" s="103">
        <f t="shared" si="95"/>
        <v>0</v>
      </c>
      <c r="AH253" s="123"/>
      <c r="AI253" s="123"/>
      <c r="AJ253" s="123"/>
      <c r="AK253" s="105">
        <f t="shared" si="96"/>
        <v>0</v>
      </c>
      <c r="AL253" s="143"/>
      <c r="AM253" s="143"/>
      <c r="AN253" s="143"/>
      <c r="AO253" s="146"/>
      <c r="AP253" s="224">
        <f t="shared" si="97"/>
        <v>0</v>
      </c>
      <c r="AQ253" s="126"/>
      <c r="AR253" s="274"/>
      <c r="AS253" s="126"/>
      <c r="AT253" s="126"/>
      <c r="AU253" s="126"/>
      <c r="AV253" s="126"/>
      <c r="AW253" s="126"/>
      <c r="AX253" s="274"/>
      <c r="AY253" s="274"/>
      <c r="AZ253" s="274"/>
      <c r="BA253" s="274"/>
      <c r="BB253" s="222">
        <f t="shared" si="98"/>
        <v>0</v>
      </c>
      <c r="BC253" s="113">
        <f t="shared" si="99"/>
        <v>0</v>
      </c>
      <c r="BD253" s="3"/>
      <c r="BE253" s="113">
        <f t="shared" si="100"/>
        <v>0</v>
      </c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30">
        <f t="shared" si="101"/>
        <v>0</v>
      </c>
      <c r="BT253" s="3"/>
    </row>
    <row r="254" ht="14.25" customHeight="1">
      <c r="A254" s="3"/>
      <c r="B254" s="215">
        <v>46248</v>
      </c>
      <c r="C254" s="123"/>
      <c r="D254" s="123"/>
      <c r="E254" s="120"/>
      <c r="F254" s="120"/>
      <c r="G254" s="147">
        <f t="shared" si="93"/>
        <v>0</v>
      </c>
      <c r="H254" s="144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03">
        <f t="shared" si="94"/>
        <v>0</v>
      </c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  <c r="AF254" s="143"/>
      <c r="AG254" s="103">
        <f t="shared" si="95"/>
        <v>0</v>
      </c>
      <c r="AH254" s="123"/>
      <c r="AI254" s="123"/>
      <c r="AJ254" s="123"/>
      <c r="AK254" s="105">
        <f t="shared" si="96"/>
        <v>0</v>
      </c>
      <c r="AL254" s="143"/>
      <c r="AM254" s="143"/>
      <c r="AN254" s="143"/>
      <c r="AO254" s="146"/>
      <c r="AP254" s="224">
        <f t="shared" si="97"/>
        <v>0</v>
      </c>
      <c r="AQ254" s="126"/>
      <c r="AR254" s="274"/>
      <c r="AS254" s="126"/>
      <c r="AT254" s="126"/>
      <c r="AU254" s="126"/>
      <c r="AV254" s="126"/>
      <c r="AW254" s="126"/>
      <c r="AX254" s="274"/>
      <c r="AY254" s="274"/>
      <c r="AZ254" s="274"/>
      <c r="BA254" s="274"/>
      <c r="BB254" s="222">
        <f t="shared" si="98"/>
        <v>0</v>
      </c>
      <c r="BC254" s="113">
        <f t="shared" si="99"/>
        <v>0</v>
      </c>
      <c r="BD254" s="3"/>
      <c r="BE254" s="113">
        <f t="shared" si="100"/>
        <v>0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30">
        <f t="shared" si="101"/>
        <v>0</v>
      </c>
      <c r="BT254" s="3"/>
    </row>
    <row r="255" ht="14.25" customHeight="1">
      <c r="A255" s="132"/>
      <c r="B255" s="215">
        <v>46249</v>
      </c>
      <c r="C255" s="136"/>
      <c r="D255" s="136"/>
      <c r="E255" s="135"/>
      <c r="F255" s="135"/>
      <c r="G255" s="147">
        <f t="shared" si="93"/>
        <v>0</v>
      </c>
      <c r="H255" s="144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03">
        <f t="shared" si="94"/>
        <v>0</v>
      </c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  <c r="AF255" s="143"/>
      <c r="AG255" s="103">
        <f t="shared" si="95"/>
        <v>0</v>
      </c>
      <c r="AH255" s="136"/>
      <c r="AI255" s="136"/>
      <c r="AJ255" s="136"/>
      <c r="AK255" s="105">
        <f t="shared" si="96"/>
        <v>0</v>
      </c>
      <c r="AL255" s="143"/>
      <c r="AM255" s="143"/>
      <c r="AN255" s="143"/>
      <c r="AO255" s="146"/>
      <c r="AP255" s="224">
        <f t="shared" si="97"/>
        <v>0</v>
      </c>
      <c r="AQ255" s="126"/>
      <c r="AR255" s="274"/>
      <c r="AS255" s="126"/>
      <c r="AT255" s="126"/>
      <c r="AU255" s="126"/>
      <c r="AV255" s="126"/>
      <c r="AW255" s="126"/>
      <c r="AX255" s="274"/>
      <c r="AY255" s="274"/>
      <c r="AZ255" s="274"/>
      <c r="BA255" s="274"/>
      <c r="BB255" s="222">
        <f t="shared" si="98"/>
        <v>0</v>
      </c>
      <c r="BC255" s="140">
        <f t="shared" si="99"/>
        <v>0</v>
      </c>
      <c r="BD255" s="132"/>
      <c r="BE255" s="140">
        <f t="shared" si="100"/>
        <v>0</v>
      </c>
      <c r="BF255" s="141"/>
      <c r="BG255" s="141"/>
      <c r="BH255" s="141"/>
      <c r="BI255" s="141"/>
      <c r="BJ255" s="141"/>
      <c r="BK255" s="141"/>
      <c r="BL255" s="141"/>
      <c r="BM255" s="141"/>
      <c r="BN255" s="141"/>
      <c r="BO255" s="141"/>
      <c r="BP255" s="141"/>
      <c r="BQ255" s="141"/>
      <c r="BR255" s="141"/>
      <c r="BS255" s="130">
        <f t="shared" si="101"/>
        <v>0</v>
      </c>
      <c r="BT255" s="132"/>
    </row>
    <row r="256" ht="14.25" customHeight="1">
      <c r="A256" s="132"/>
      <c r="B256" s="215">
        <v>46250</v>
      </c>
      <c r="C256" s="136"/>
      <c r="D256" s="136"/>
      <c r="E256" s="135"/>
      <c r="F256" s="135"/>
      <c r="G256" s="147">
        <f t="shared" si="93"/>
        <v>0</v>
      </c>
      <c r="H256" s="144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03">
        <f t="shared" si="94"/>
        <v>0</v>
      </c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  <c r="AF256" s="143"/>
      <c r="AG256" s="103">
        <f t="shared" si="95"/>
        <v>0</v>
      </c>
      <c r="AH256" s="136"/>
      <c r="AI256" s="136"/>
      <c r="AJ256" s="136"/>
      <c r="AK256" s="105">
        <f t="shared" si="96"/>
        <v>0</v>
      </c>
      <c r="AL256" s="143"/>
      <c r="AM256" s="143"/>
      <c r="AN256" s="143"/>
      <c r="AO256" s="146"/>
      <c r="AP256" s="224">
        <f t="shared" si="97"/>
        <v>0</v>
      </c>
      <c r="AQ256" s="126"/>
      <c r="AR256" s="274"/>
      <c r="AS256" s="126"/>
      <c r="AT256" s="126"/>
      <c r="AU256" s="126"/>
      <c r="AV256" s="126"/>
      <c r="AW256" s="126"/>
      <c r="AX256" s="274"/>
      <c r="AY256" s="274"/>
      <c r="AZ256" s="274"/>
      <c r="BA256" s="274"/>
      <c r="BB256" s="222">
        <f t="shared" si="98"/>
        <v>0</v>
      </c>
      <c r="BC256" s="140">
        <f t="shared" si="99"/>
        <v>0</v>
      </c>
      <c r="BD256" s="132"/>
      <c r="BE256" s="140">
        <f t="shared" si="100"/>
        <v>0</v>
      </c>
      <c r="BF256" s="141"/>
      <c r="BG256" s="141"/>
      <c r="BH256" s="141"/>
      <c r="BI256" s="141"/>
      <c r="BJ256" s="141"/>
      <c r="BK256" s="141"/>
      <c r="BL256" s="141"/>
      <c r="BM256" s="141"/>
      <c r="BN256" s="141"/>
      <c r="BO256" s="141"/>
      <c r="BP256" s="141"/>
      <c r="BQ256" s="141"/>
      <c r="BR256" s="141"/>
      <c r="BS256" s="130">
        <f t="shared" si="101"/>
        <v>0</v>
      </c>
      <c r="BT256" s="132"/>
    </row>
    <row r="257" ht="14.25" customHeight="1">
      <c r="A257" s="132"/>
      <c r="B257" s="215">
        <v>46251</v>
      </c>
      <c r="C257" s="136"/>
      <c r="D257" s="136"/>
      <c r="E257" s="135"/>
      <c r="F257" s="135"/>
      <c r="G257" s="147">
        <f t="shared" si="93"/>
        <v>0</v>
      </c>
      <c r="H257" s="144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03">
        <f t="shared" si="94"/>
        <v>0</v>
      </c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  <c r="AF257" s="143"/>
      <c r="AG257" s="103">
        <f t="shared" si="95"/>
        <v>0</v>
      </c>
      <c r="AH257" s="136"/>
      <c r="AI257" s="136"/>
      <c r="AJ257" s="136"/>
      <c r="AK257" s="105">
        <f t="shared" si="96"/>
        <v>0</v>
      </c>
      <c r="AL257" s="143"/>
      <c r="AM257" s="143"/>
      <c r="AN257" s="143"/>
      <c r="AO257" s="146"/>
      <c r="AP257" s="224">
        <f t="shared" si="97"/>
        <v>0</v>
      </c>
      <c r="AQ257" s="126"/>
      <c r="AR257" s="274"/>
      <c r="AS257" s="126"/>
      <c r="AT257" s="126"/>
      <c r="AU257" s="126"/>
      <c r="AV257" s="126"/>
      <c r="AW257" s="126"/>
      <c r="AX257" s="274"/>
      <c r="AY257" s="274"/>
      <c r="AZ257" s="274"/>
      <c r="BA257" s="274"/>
      <c r="BB257" s="222">
        <f t="shared" si="98"/>
        <v>0</v>
      </c>
      <c r="BC257" s="140">
        <f t="shared" si="99"/>
        <v>0</v>
      </c>
      <c r="BD257" s="132"/>
      <c r="BE257" s="140">
        <f t="shared" si="100"/>
        <v>0</v>
      </c>
      <c r="BF257" s="141"/>
      <c r="BG257" s="141"/>
      <c r="BH257" s="141"/>
      <c r="BI257" s="141"/>
      <c r="BJ257" s="141"/>
      <c r="BK257" s="141"/>
      <c r="BL257" s="141"/>
      <c r="BM257" s="141"/>
      <c r="BN257" s="141"/>
      <c r="BO257" s="141"/>
      <c r="BP257" s="141"/>
      <c r="BQ257" s="141"/>
      <c r="BR257" s="141"/>
      <c r="BS257" s="130">
        <f t="shared" si="101"/>
        <v>0</v>
      </c>
      <c r="BT257" s="132"/>
    </row>
    <row r="258" ht="14.25" customHeight="1">
      <c r="A258" s="132"/>
      <c r="B258" s="215">
        <v>46252</v>
      </c>
      <c r="C258" s="136"/>
      <c r="D258" s="136"/>
      <c r="E258" s="135"/>
      <c r="F258" s="135"/>
      <c r="G258" s="147">
        <f t="shared" si="93"/>
        <v>0</v>
      </c>
      <c r="H258" s="144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03">
        <f t="shared" si="94"/>
        <v>0</v>
      </c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  <c r="AF258" s="143"/>
      <c r="AG258" s="103">
        <f t="shared" si="95"/>
        <v>0</v>
      </c>
      <c r="AH258" s="136"/>
      <c r="AI258" s="136"/>
      <c r="AJ258" s="136"/>
      <c r="AK258" s="105">
        <f t="shared" si="96"/>
        <v>0</v>
      </c>
      <c r="AL258" s="143"/>
      <c r="AM258" s="143"/>
      <c r="AN258" s="143"/>
      <c r="AO258" s="146"/>
      <c r="AP258" s="224">
        <f t="shared" si="97"/>
        <v>0</v>
      </c>
      <c r="AQ258" s="126"/>
      <c r="AR258" s="274"/>
      <c r="AS258" s="126"/>
      <c r="AT258" s="126"/>
      <c r="AU258" s="126"/>
      <c r="AV258" s="126"/>
      <c r="AW258" s="126"/>
      <c r="AX258" s="274"/>
      <c r="AY258" s="274"/>
      <c r="AZ258" s="274"/>
      <c r="BA258" s="274"/>
      <c r="BB258" s="222">
        <f t="shared" si="98"/>
        <v>0</v>
      </c>
      <c r="BC258" s="140">
        <f t="shared" si="99"/>
        <v>0</v>
      </c>
      <c r="BD258" s="132"/>
      <c r="BE258" s="140">
        <f t="shared" si="100"/>
        <v>0</v>
      </c>
      <c r="BF258" s="141"/>
      <c r="BG258" s="141"/>
      <c r="BH258" s="141"/>
      <c r="BI258" s="141"/>
      <c r="BJ258" s="141"/>
      <c r="BK258" s="141"/>
      <c r="BL258" s="141"/>
      <c r="BM258" s="141"/>
      <c r="BN258" s="141"/>
      <c r="BO258" s="141"/>
      <c r="BP258" s="141"/>
      <c r="BQ258" s="141"/>
      <c r="BR258" s="141"/>
      <c r="BS258" s="130">
        <f t="shared" si="101"/>
        <v>0</v>
      </c>
      <c r="BT258" s="132"/>
    </row>
    <row r="259" ht="14.25" customHeight="1">
      <c r="A259" s="132"/>
      <c r="B259" s="215">
        <v>46253</v>
      </c>
      <c r="C259" s="136"/>
      <c r="D259" s="136"/>
      <c r="E259" s="135"/>
      <c r="F259" s="135"/>
      <c r="G259" s="147">
        <f t="shared" si="93"/>
        <v>0</v>
      </c>
      <c r="H259" s="144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03">
        <f t="shared" si="94"/>
        <v>0</v>
      </c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103">
        <f t="shared" si="95"/>
        <v>0</v>
      </c>
      <c r="AH259" s="136"/>
      <c r="AI259" s="136"/>
      <c r="AJ259" s="136"/>
      <c r="AK259" s="105">
        <f t="shared" si="96"/>
        <v>0</v>
      </c>
      <c r="AL259" s="143"/>
      <c r="AM259" s="143"/>
      <c r="AN259" s="143"/>
      <c r="AO259" s="146"/>
      <c r="AP259" s="224">
        <f t="shared" si="97"/>
        <v>0</v>
      </c>
      <c r="AQ259" s="126"/>
      <c r="AR259" s="274"/>
      <c r="AS259" s="126"/>
      <c r="AT259" s="126"/>
      <c r="AU259" s="126"/>
      <c r="AV259" s="126"/>
      <c r="AW259" s="126"/>
      <c r="AX259" s="274"/>
      <c r="AY259" s="274"/>
      <c r="AZ259" s="274"/>
      <c r="BA259" s="274"/>
      <c r="BB259" s="222">
        <f t="shared" si="98"/>
        <v>0</v>
      </c>
      <c r="BC259" s="140">
        <f t="shared" si="99"/>
        <v>0</v>
      </c>
      <c r="BD259" s="132"/>
      <c r="BE259" s="140">
        <f t="shared" si="100"/>
        <v>0</v>
      </c>
      <c r="BF259" s="141"/>
      <c r="BG259" s="141"/>
      <c r="BH259" s="141"/>
      <c r="BI259" s="141"/>
      <c r="BJ259" s="141"/>
      <c r="BK259" s="141"/>
      <c r="BL259" s="141"/>
      <c r="BM259" s="141"/>
      <c r="BN259" s="141"/>
      <c r="BO259" s="141"/>
      <c r="BP259" s="141"/>
      <c r="BQ259" s="141"/>
      <c r="BR259" s="141"/>
      <c r="BS259" s="130">
        <f t="shared" si="101"/>
        <v>0</v>
      </c>
      <c r="BT259" s="132"/>
    </row>
    <row r="260" ht="14.25" customHeight="1">
      <c r="A260" s="132"/>
      <c r="B260" s="215">
        <v>46254</v>
      </c>
      <c r="C260" s="136"/>
      <c r="D260" s="136"/>
      <c r="E260" s="135"/>
      <c r="F260" s="135"/>
      <c r="G260" s="147">
        <f t="shared" si="93"/>
        <v>0</v>
      </c>
      <c r="H260" s="144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03">
        <f t="shared" si="94"/>
        <v>0</v>
      </c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  <c r="AF260" s="143"/>
      <c r="AG260" s="103">
        <f t="shared" si="95"/>
        <v>0</v>
      </c>
      <c r="AH260" s="136"/>
      <c r="AI260" s="136"/>
      <c r="AJ260" s="136"/>
      <c r="AK260" s="105">
        <f t="shared" si="96"/>
        <v>0</v>
      </c>
      <c r="AL260" s="143"/>
      <c r="AM260" s="143"/>
      <c r="AN260" s="143"/>
      <c r="AO260" s="146"/>
      <c r="AP260" s="224">
        <f t="shared" si="97"/>
        <v>0</v>
      </c>
      <c r="AQ260" s="126"/>
      <c r="AR260" s="274"/>
      <c r="AS260" s="126"/>
      <c r="AT260" s="126"/>
      <c r="AU260" s="126"/>
      <c r="AV260" s="126"/>
      <c r="AW260" s="126"/>
      <c r="AX260" s="274"/>
      <c r="AY260" s="274"/>
      <c r="AZ260" s="274"/>
      <c r="BA260" s="274"/>
      <c r="BB260" s="222">
        <f t="shared" si="98"/>
        <v>0</v>
      </c>
      <c r="BC260" s="140">
        <f t="shared" si="99"/>
        <v>0</v>
      </c>
      <c r="BD260" s="132"/>
      <c r="BE260" s="140">
        <f t="shared" si="100"/>
        <v>0</v>
      </c>
      <c r="BF260" s="141"/>
      <c r="BG260" s="141"/>
      <c r="BH260" s="141"/>
      <c r="BI260" s="141"/>
      <c r="BJ260" s="141"/>
      <c r="BK260" s="141"/>
      <c r="BL260" s="141"/>
      <c r="BM260" s="141"/>
      <c r="BN260" s="141"/>
      <c r="BO260" s="141"/>
      <c r="BP260" s="141"/>
      <c r="BQ260" s="141"/>
      <c r="BR260" s="141"/>
      <c r="BS260" s="130">
        <f t="shared" si="101"/>
        <v>0</v>
      </c>
      <c r="BT260" s="132"/>
    </row>
    <row r="261" ht="14.25" customHeight="1">
      <c r="A261" s="132"/>
      <c r="B261" s="215">
        <v>46255</v>
      </c>
      <c r="C261" s="136"/>
      <c r="D261" s="136"/>
      <c r="E261" s="135"/>
      <c r="F261" s="135"/>
      <c r="G261" s="147">
        <f t="shared" si="93"/>
        <v>0</v>
      </c>
      <c r="H261" s="144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03">
        <f t="shared" si="94"/>
        <v>0</v>
      </c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03">
        <f t="shared" si="95"/>
        <v>0</v>
      </c>
      <c r="AH261" s="136"/>
      <c r="AI261" s="136"/>
      <c r="AJ261" s="136"/>
      <c r="AK261" s="105">
        <f t="shared" si="96"/>
        <v>0</v>
      </c>
      <c r="AL261" s="143"/>
      <c r="AM261" s="143"/>
      <c r="AN261" s="143"/>
      <c r="AO261" s="146"/>
      <c r="AP261" s="224">
        <f t="shared" si="97"/>
        <v>0</v>
      </c>
      <c r="AQ261" s="126"/>
      <c r="AR261" s="274"/>
      <c r="AS261" s="126"/>
      <c r="AT261" s="126"/>
      <c r="AU261" s="126"/>
      <c r="AV261" s="126"/>
      <c r="AW261" s="126"/>
      <c r="AX261" s="274"/>
      <c r="AY261" s="274"/>
      <c r="AZ261" s="274"/>
      <c r="BA261" s="274"/>
      <c r="BB261" s="222">
        <f t="shared" si="98"/>
        <v>0</v>
      </c>
      <c r="BC261" s="140">
        <f t="shared" si="99"/>
        <v>0</v>
      </c>
      <c r="BD261" s="132"/>
      <c r="BE261" s="140">
        <f t="shared" si="100"/>
        <v>0</v>
      </c>
      <c r="BF261" s="141"/>
      <c r="BG261" s="141"/>
      <c r="BH261" s="141"/>
      <c r="BI261" s="141"/>
      <c r="BJ261" s="141"/>
      <c r="BK261" s="141"/>
      <c r="BL261" s="141"/>
      <c r="BM261" s="141"/>
      <c r="BN261" s="141"/>
      <c r="BO261" s="141"/>
      <c r="BP261" s="141"/>
      <c r="BQ261" s="141"/>
      <c r="BR261" s="141"/>
      <c r="BS261" s="130">
        <f t="shared" si="101"/>
        <v>0</v>
      </c>
      <c r="BT261" s="132"/>
    </row>
    <row r="262" ht="14.25" customHeight="1">
      <c r="A262" s="132"/>
      <c r="B262" s="215">
        <v>46256</v>
      </c>
      <c r="C262" s="136"/>
      <c r="D262" s="136"/>
      <c r="E262" s="135"/>
      <c r="F262" s="135"/>
      <c r="G262" s="147">
        <f t="shared" si="93"/>
        <v>0</v>
      </c>
      <c r="H262" s="144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03">
        <f t="shared" si="94"/>
        <v>0</v>
      </c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  <c r="AF262" s="143"/>
      <c r="AG262" s="103">
        <f t="shared" si="95"/>
        <v>0</v>
      </c>
      <c r="AH262" s="136"/>
      <c r="AI262" s="136"/>
      <c r="AJ262" s="136"/>
      <c r="AK262" s="105">
        <f t="shared" si="96"/>
        <v>0</v>
      </c>
      <c r="AL262" s="143"/>
      <c r="AM262" s="143"/>
      <c r="AN262" s="143"/>
      <c r="AO262" s="146"/>
      <c r="AP262" s="224">
        <f t="shared" si="97"/>
        <v>0</v>
      </c>
      <c r="AQ262" s="126"/>
      <c r="AR262" s="274"/>
      <c r="AS262" s="126"/>
      <c r="AT262" s="126"/>
      <c r="AU262" s="126"/>
      <c r="AV262" s="126"/>
      <c r="AW262" s="126"/>
      <c r="AX262" s="274"/>
      <c r="AY262" s="274"/>
      <c r="AZ262" s="274"/>
      <c r="BA262" s="274"/>
      <c r="BB262" s="222">
        <f t="shared" si="98"/>
        <v>0</v>
      </c>
      <c r="BC262" s="140">
        <f t="shared" si="99"/>
        <v>0</v>
      </c>
      <c r="BD262" s="132"/>
      <c r="BE262" s="140">
        <f t="shared" si="100"/>
        <v>0</v>
      </c>
      <c r="BF262" s="141"/>
      <c r="BG262" s="141"/>
      <c r="BH262" s="141"/>
      <c r="BI262" s="141"/>
      <c r="BJ262" s="141"/>
      <c r="BK262" s="141"/>
      <c r="BL262" s="141"/>
      <c r="BM262" s="141"/>
      <c r="BN262" s="141"/>
      <c r="BO262" s="141"/>
      <c r="BP262" s="141"/>
      <c r="BQ262" s="141"/>
      <c r="BR262" s="141"/>
      <c r="BS262" s="130">
        <f t="shared" si="101"/>
        <v>0</v>
      </c>
      <c r="BT262" s="132"/>
    </row>
    <row r="263" ht="14.25" customHeight="1">
      <c r="A263" s="132"/>
      <c r="B263" s="215">
        <v>46257</v>
      </c>
      <c r="C263" s="136"/>
      <c r="D263" s="136"/>
      <c r="E263" s="135"/>
      <c r="F263" s="135"/>
      <c r="G263" s="147">
        <f t="shared" si="93"/>
        <v>0</v>
      </c>
      <c r="H263" s="144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03">
        <f t="shared" si="94"/>
        <v>0</v>
      </c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  <c r="AF263" s="143"/>
      <c r="AG263" s="103">
        <f t="shared" si="95"/>
        <v>0</v>
      </c>
      <c r="AH263" s="136"/>
      <c r="AI263" s="136"/>
      <c r="AJ263" s="136"/>
      <c r="AK263" s="105">
        <f t="shared" si="96"/>
        <v>0</v>
      </c>
      <c r="AL263" s="143"/>
      <c r="AM263" s="143"/>
      <c r="AN263" s="143"/>
      <c r="AO263" s="146"/>
      <c r="AP263" s="224">
        <f t="shared" si="97"/>
        <v>0</v>
      </c>
      <c r="AQ263" s="126"/>
      <c r="AR263" s="274"/>
      <c r="AS263" s="126"/>
      <c r="AT263" s="126"/>
      <c r="AU263" s="126"/>
      <c r="AV263" s="126"/>
      <c r="AW263" s="126"/>
      <c r="AX263" s="274"/>
      <c r="AY263" s="274"/>
      <c r="AZ263" s="274"/>
      <c r="BA263" s="274"/>
      <c r="BB263" s="222">
        <f t="shared" si="98"/>
        <v>0</v>
      </c>
      <c r="BC263" s="140">
        <f t="shared" si="99"/>
        <v>0</v>
      </c>
      <c r="BD263" s="132"/>
      <c r="BE263" s="140">
        <f t="shared" si="100"/>
        <v>0</v>
      </c>
      <c r="BF263" s="141"/>
      <c r="BG263" s="141"/>
      <c r="BH263" s="141"/>
      <c r="BI263" s="141"/>
      <c r="BJ263" s="141"/>
      <c r="BK263" s="141"/>
      <c r="BL263" s="141"/>
      <c r="BM263" s="141"/>
      <c r="BN263" s="141"/>
      <c r="BO263" s="141"/>
      <c r="BP263" s="141"/>
      <c r="BQ263" s="141"/>
      <c r="BR263" s="141"/>
      <c r="BS263" s="130">
        <f t="shared" si="101"/>
        <v>0</v>
      </c>
      <c r="BT263" s="132"/>
    </row>
    <row r="264" ht="14.25" customHeight="1">
      <c r="A264" s="132"/>
      <c r="B264" s="215">
        <v>46258</v>
      </c>
      <c r="C264" s="136"/>
      <c r="D264" s="136"/>
      <c r="E264" s="135"/>
      <c r="F264" s="135"/>
      <c r="G264" s="147">
        <f t="shared" si="93"/>
        <v>0</v>
      </c>
      <c r="H264" s="144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03">
        <f t="shared" si="94"/>
        <v>0</v>
      </c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  <c r="AF264" s="143"/>
      <c r="AG264" s="103">
        <f t="shared" si="95"/>
        <v>0</v>
      </c>
      <c r="AH264" s="136"/>
      <c r="AI264" s="136"/>
      <c r="AJ264" s="136"/>
      <c r="AK264" s="105">
        <f t="shared" si="96"/>
        <v>0</v>
      </c>
      <c r="AL264" s="143"/>
      <c r="AM264" s="143"/>
      <c r="AN264" s="143"/>
      <c r="AO264" s="146"/>
      <c r="AP264" s="224">
        <f t="shared" si="97"/>
        <v>0</v>
      </c>
      <c r="AQ264" s="126"/>
      <c r="AR264" s="274"/>
      <c r="AS264" s="126"/>
      <c r="AT264" s="126"/>
      <c r="AU264" s="126"/>
      <c r="AV264" s="126"/>
      <c r="AW264" s="126"/>
      <c r="AX264" s="274"/>
      <c r="AY264" s="274"/>
      <c r="AZ264" s="274"/>
      <c r="BA264" s="274"/>
      <c r="BB264" s="222">
        <f t="shared" si="98"/>
        <v>0</v>
      </c>
      <c r="BC264" s="140">
        <f t="shared" si="99"/>
        <v>0</v>
      </c>
      <c r="BD264" s="132"/>
      <c r="BE264" s="140">
        <f t="shared" si="100"/>
        <v>0</v>
      </c>
      <c r="BF264" s="141"/>
      <c r="BG264" s="141"/>
      <c r="BH264" s="141"/>
      <c r="BI264" s="141"/>
      <c r="BJ264" s="141"/>
      <c r="BK264" s="141"/>
      <c r="BL264" s="141"/>
      <c r="BM264" s="141"/>
      <c r="BN264" s="141"/>
      <c r="BO264" s="141"/>
      <c r="BP264" s="141"/>
      <c r="BQ264" s="141"/>
      <c r="BR264" s="141"/>
      <c r="BS264" s="130">
        <f t="shared" si="101"/>
        <v>0</v>
      </c>
      <c r="BT264" s="132"/>
    </row>
    <row r="265" ht="14.25" customHeight="1">
      <c r="A265" s="132"/>
      <c r="B265" s="215">
        <v>46259</v>
      </c>
      <c r="C265" s="136"/>
      <c r="D265" s="136"/>
      <c r="E265" s="135"/>
      <c r="F265" s="135"/>
      <c r="G265" s="147">
        <f t="shared" si="93"/>
        <v>0</v>
      </c>
      <c r="H265" s="144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03">
        <f t="shared" si="94"/>
        <v>0</v>
      </c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  <c r="AF265" s="143"/>
      <c r="AG265" s="103">
        <f t="shared" si="95"/>
        <v>0</v>
      </c>
      <c r="AH265" s="136"/>
      <c r="AI265" s="136"/>
      <c r="AJ265" s="136"/>
      <c r="AK265" s="105">
        <f t="shared" si="96"/>
        <v>0</v>
      </c>
      <c r="AL265" s="143"/>
      <c r="AM265" s="143"/>
      <c r="AN265" s="143"/>
      <c r="AO265" s="146"/>
      <c r="AP265" s="224">
        <f t="shared" si="97"/>
        <v>0</v>
      </c>
      <c r="AQ265" s="126"/>
      <c r="AR265" s="274"/>
      <c r="AS265" s="126"/>
      <c r="AT265" s="126"/>
      <c r="AU265" s="126"/>
      <c r="AV265" s="126"/>
      <c r="AW265" s="126"/>
      <c r="AX265" s="274"/>
      <c r="AY265" s="274"/>
      <c r="AZ265" s="274"/>
      <c r="BA265" s="274"/>
      <c r="BB265" s="222">
        <f t="shared" si="98"/>
        <v>0</v>
      </c>
      <c r="BC265" s="140">
        <f t="shared" si="99"/>
        <v>0</v>
      </c>
      <c r="BD265" s="132"/>
      <c r="BE265" s="140">
        <f t="shared" si="100"/>
        <v>0</v>
      </c>
      <c r="BF265" s="141"/>
      <c r="BG265" s="141"/>
      <c r="BH265" s="141"/>
      <c r="BI265" s="141"/>
      <c r="BJ265" s="141"/>
      <c r="BK265" s="141"/>
      <c r="BL265" s="141"/>
      <c r="BM265" s="141"/>
      <c r="BN265" s="141"/>
      <c r="BO265" s="141"/>
      <c r="BP265" s="141"/>
      <c r="BQ265" s="141"/>
      <c r="BR265" s="141"/>
      <c r="BS265" s="130">
        <f t="shared" si="101"/>
        <v>0</v>
      </c>
      <c r="BT265" s="132"/>
    </row>
    <row r="266" ht="14.25" customHeight="1">
      <c r="A266" s="132"/>
      <c r="B266" s="215">
        <v>46260</v>
      </c>
      <c r="C266" s="136"/>
      <c r="D266" s="136"/>
      <c r="E266" s="135"/>
      <c r="F266" s="135"/>
      <c r="G266" s="147">
        <f t="shared" si="93"/>
        <v>0</v>
      </c>
      <c r="H266" s="144"/>
      <c r="I266" s="143"/>
      <c r="J266" s="143"/>
      <c r="K266" s="143"/>
      <c r="L266" s="143"/>
      <c r="M266" s="143"/>
      <c r="N266" s="99"/>
      <c r="O266" s="143"/>
      <c r="P266" s="143"/>
      <c r="Q266" s="143"/>
      <c r="R266" s="143"/>
      <c r="S266" s="143"/>
      <c r="T266" s="103">
        <f t="shared" si="94"/>
        <v>0</v>
      </c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  <c r="AF266" s="143"/>
      <c r="AG266" s="103">
        <f t="shared" si="95"/>
        <v>0</v>
      </c>
      <c r="AH266" s="136"/>
      <c r="AI266" s="136"/>
      <c r="AJ266" s="136"/>
      <c r="AK266" s="105">
        <f t="shared" si="96"/>
        <v>0</v>
      </c>
      <c r="AL266" s="143"/>
      <c r="AM266" s="143"/>
      <c r="AN266" s="143"/>
      <c r="AO266" s="146"/>
      <c r="AP266" s="224">
        <f t="shared" si="97"/>
        <v>0</v>
      </c>
      <c r="AQ266" s="126"/>
      <c r="AR266" s="274"/>
      <c r="AS266" s="126"/>
      <c r="AT266" s="126"/>
      <c r="AU266" s="126"/>
      <c r="AV266" s="126"/>
      <c r="AW266" s="126"/>
      <c r="AX266" s="274"/>
      <c r="AY266" s="274"/>
      <c r="AZ266" s="274"/>
      <c r="BA266" s="274"/>
      <c r="BB266" s="222">
        <f t="shared" si="98"/>
        <v>0</v>
      </c>
      <c r="BC266" s="140">
        <f t="shared" si="99"/>
        <v>0</v>
      </c>
      <c r="BD266" s="132"/>
      <c r="BE266" s="140">
        <f t="shared" si="100"/>
        <v>0</v>
      </c>
      <c r="BF266" s="141"/>
      <c r="BG266" s="141"/>
      <c r="BH266" s="141"/>
      <c r="BI266" s="141"/>
      <c r="BJ266" s="141"/>
      <c r="BK266" s="141"/>
      <c r="BL266" s="141"/>
      <c r="BM266" s="141"/>
      <c r="BN266" s="141"/>
      <c r="BO266" s="141"/>
      <c r="BP266" s="141"/>
      <c r="BQ266" s="141"/>
      <c r="BR266" s="141"/>
      <c r="BS266" s="130">
        <f t="shared" si="101"/>
        <v>0</v>
      </c>
      <c r="BT266" s="132"/>
    </row>
    <row r="267" ht="14.25" customHeight="1">
      <c r="A267" s="132"/>
      <c r="B267" s="215">
        <v>46261</v>
      </c>
      <c r="C267" s="136"/>
      <c r="D267" s="136"/>
      <c r="E267" s="135"/>
      <c r="F267" s="135"/>
      <c r="G267" s="147">
        <f t="shared" si="93"/>
        <v>0</v>
      </c>
      <c r="H267" s="144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03">
        <f t="shared" si="94"/>
        <v>0</v>
      </c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  <c r="AF267" s="143"/>
      <c r="AG267" s="103">
        <f t="shared" si="95"/>
        <v>0</v>
      </c>
      <c r="AH267" s="136"/>
      <c r="AI267" s="136"/>
      <c r="AJ267" s="136"/>
      <c r="AK267" s="105">
        <f t="shared" si="96"/>
        <v>0</v>
      </c>
      <c r="AL267" s="143"/>
      <c r="AM267" s="143"/>
      <c r="AN267" s="143"/>
      <c r="AO267" s="146"/>
      <c r="AP267" s="224">
        <f t="shared" si="97"/>
        <v>0</v>
      </c>
      <c r="AQ267" s="126"/>
      <c r="AR267" s="274"/>
      <c r="AS267" s="126"/>
      <c r="AT267" s="126"/>
      <c r="AU267" s="126"/>
      <c r="AV267" s="126"/>
      <c r="AW267" s="126"/>
      <c r="AX267" s="274"/>
      <c r="AY267" s="274"/>
      <c r="AZ267" s="274"/>
      <c r="BA267" s="274"/>
      <c r="BB267" s="222">
        <f t="shared" si="98"/>
        <v>0</v>
      </c>
      <c r="BC267" s="140">
        <f t="shared" si="99"/>
        <v>0</v>
      </c>
      <c r="BD267" s="132"/>
      <c r="BE267" s="140">
        <f t="shared" si="100"/>
        <v>0</v>
      </c>
      <c r="BF267" s="141"/>
      <c r="BG267" s="141"/>
      <c r="BH267" s="141"/>
      <c r="BI267" s="141"/>
      <c r="BJ267" s="141"/>
      <c r="BK267" s="141"/>
      <c r="BL267" s="141"/>
      <c r="BM267" s="141"/>
      <c r="BN267" s="141"/>
      <c r="BO267" s="141"/>
      <c r="BP267" s="141"/>
      <c r="BQ267" s="141"/>
      <c r="BR267" s="141"/>
      <c r="BS267" s="130">
        <f t="shared" si="101"/>
        <v>0</v>
      </c>
      <c r="BT267" s="132"/>
    </row>
    <row r="268" ht="14.25" customHeight="1">
      <c r="A268" s="132"/>
      <c r="B268" s="215">
        <v>46262</v>
      </c>
      <c r="C268" s="136"/>
      <c r="D268" s="136"/>
      <c r="E268" s="135"/>
      <c r="F268" s="135"/>
      <c r="G268" s="147">
        <f t="shared" si="93"/>
        <v>0</v>
      </c>
      <c r="H268" s="144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03">
        <f t="shared" si="94"/>
        <v>0</v>
      </c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  <c r="AF268" s="143"/>
      <c r="AG268" s="103">
        <f t="shared" si="95"/>
        <v>0</v>
      </c>
      <c r="AH268" s="136"/>
      <c r="AI268" s="136"/>
      <c r="AJ268" s="136"/>
      <c r="AK268" s="105">
        <f t="shared" si="96"/>
        <v>0</v>
      </c>
      <c r="AL268" s="143"/>
      <c r="AM268" s="143"/>
      <c r="AN268" s="143"/>
      <c r="AO268" s="146"/>
      <c r="AP268" s="224">
        <f t="shared" si="97"/>
        <v>0</v>
      </c>
      <c r="AQ268" s="126"/>
      <c r="AR268" s="274"/>
      <c r="AS268" s="126"/>
      <c r="AT268" s="126"/>
      <c r="AU268" s="126"/>
      <c r="AV268" s="126"/>
      <c r="AW268" s="126"/>
      <c r="AX268" s="274"/>
      <c r="AY268" s="274"/>
      <c r="AZ268" s="274"/>
      <c r="BA268" s="274"/>
      <c r="BB268" s="222">
        <f t="shared" si="98"/>
        <v>0</v>
      </c>
      <c r="BC268" s="140">
        <f t="shared" si="99"/>
        <v>0</v>
      </c>
      <c r="BD268" s="132"/>
      <c r="BE268" s="140">
        <f t="shared" si="100"/>
        <v>0</v>
      </c>
      <c r="BF268" s="141"/>
      <c r="BG268" s="141"/>
      <c r="BH268" s="141"/>
      <c r="BI268" s="141"/>
      <c r="BJ268" s="141"/>
      <c r="BK268" s="141"/>
      <c r="BL268" s="141"/>
      <c r="BM268" s="141"/>
      <c r="BN268" s="141"/>
      <c r="BO268" s="141"/>
      <c r="BP268" s="141"/>
      <c r="BQ268" s="141"/>
      <c r="BR268" s="141"/>
      <c r="BS268" s="130">
        <f t="shared" si="101"/>
        <v>0</v>
      </c>
      <c r="BT268" s="132"/>
    </row>
    <row r="269" ht="14.25" customHeight="1">
      <c r="A269" s="132"/>
      <c r="B269" s="215">
        <v>46263</v>
      </c>
      <c r="C269" s="136"/>
      <c r="D269" s="136"/>
      <c r="E269" s="135"/>
      <c r="F269" s="135"/>
      <c r="G269" s="147">
        <f t="shared" si="93"/>
        <v>0</v>
      </c>
      <c r="H269" s="144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03">
        <f t="shared" si="94"/>
        <v>0</v>
      </c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  <c r="AF269" s="143"/>
      <c r="AG269" s="103">
        <f t="shared" si="95"/>
        <v>0</v>
      </c>
      <c r="AH269" s="136"/>
      <c r="AI269" s="136"/>
      <c r="AJ269" s="136"/>
      <c r="AK269" s="105">
        <f t="shared" si="96"/>
        <v>0</v>
      </c>
      <c r="AL269" s="143"/>
      <c r="AM269" s="143"/>
      <c r="AN269" s="143"/>
      <c r="AO269" s="146"/>
      <c r="AP269" s="224">
        <f t="shared" si="97"/>
        <v>0</v>
      </c>
      <c r="AQ269" s="126"/>
      <c r="AR269" s="274"/>
      <c r="AS269" s="126"/>
      <c r="AT269" s="126"/>
      <c r="AU269" s="126"/>
      <c r="AV269" s="126"/>
      <c r="AW269" s="126"/>
      <c r="AX269" s="274"/>
      <c r="AY269" s="274"/>
      <c r="AZ269" s="274"/>
      <c r="BA269" s="274"/>
      <c r="BB269" s="222">
        <f t="shared" si="98"/>
        <v>0</v>
      </c>
      <c r="BC269" s="140">
        <f t="shared" si="99"/>
        <v>0</v>
      </c>
      <c r="BD269" s="132"/>
      <c r="BE269" s="140">
        <f t="shared" si="100"/>
        <v>0</v>
      </c>
      <c r="BF269" s="141"/>
      <c r="BG269" s="141"/>
      <c r="BH269" s="141"/>
      <c r="BI269" s="141"/>
      <c r="BJ269" s="141"/>
      <c r="BK269" s="141"/>
      <c r="BL269" s="141"/>
      <c r="BM269" s="141"/>
      <c r="BN269" s="141"/>
      <c r="BO269" s="141"/>
      <c r="BP269" s="141"/>
      <c r="BQ269" s="141"/>
      <c r="BR269" s="141"/>
      <c r="BS269" s="130">
        <f t="shared" si="101"/>
        <v>0</v>
      </c>
      <c r="BT269" s="132"/>
    </row>
    <row r="270" ht="14.25" customHeight="1">
      <c r="A270" s="132"/>
      <c r="B270" s="215">
        <v>46264</v>
      </c>
      <c r="C270" s="136"/>
      <c r="D270" s="136"/>
      <c r="E270" s="135"/>
      <c r="F270" s="135"/>
      <c r="G270" s="147">
        <f t="shared" si="93"/>
        <v>0</v>
      </c>
      <c r="H270" s="144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03">
        <f t="shared" si="94"/>
        <v>0</v>
      </c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  <c r="AF270" s="143"/>
      <c r="AG270" s="103">
        <f t="shared" si="95"/>
        <v>0</v>
      </c>
      <c r="AH270" s="136"/>
      <c r="AI270" s="136"/>
      <c r="AJ270" s="136"/>
      <c r="AK270" s="105">
        <f t="shared" si="96"/>
        <v>0</v>
      </c>
      <c r="AL270" s="143"/>
      <c r="AM270" s="143"/>
      <c r="AN270" s="143"/>
      <c r="AO270" s="146"/>
      <c r="AP270" s="224">
        <f t="shared" si="97"/>
        <v>0</v>
      </c>
      <c r="AQ270" s="126"/>
      <c r="AR270" s="274"/>
      <c r="AS270" s="126"/>
      <c r="AT270" s="126"/>
      <c r="AU270" s="126"/>
      <c r="AV270" s="126"/>
      <c r="AW270" s="126"/>
      <c r="AX270" s="274"/>
      <c r="AY270" s="274"/>
      <c r="AZ270" s="274"/>
      <c r="BA270" s="274"/>
      <c r="BB270" s="222">
        <f t="shared" si="98"/>
        <v>0</v>
      </c>
      <c r="BC270" s="140">
        <f t="shared" si="99"/>
        <v>0</v>
      </c>
      <c r="BD270" s="132"/>
      <c r="BE270" s="140">
        <f t="shared" si="100"/>
        <v>0</v>
      </c>
      <c r="BF270" s="141"/>
      <c r="BG270" s="141"/>
      <c r="BH270" s="141"/>
      <c r="BI270" s="141"/>
      <c r="BJ270" s="141"/>
      <c r="BK270" s="141"/>
      <c r="BL270" s="141"/>
      <c r="BM270" s="141"/>
      <c r="BN270" s="141"/>
      <c r="BO270" s="141"/>
      <c r="BP270" s="141"/>
      <c r="BQ270" s="141"/>
      <c r="BR270" s="141"/>
      <c r="BS270" s="130">
        <f t="shared" si="101"/>
        <v>0</v>
      </c>
      <c r="BT270" s="132"/>
    </row>
    <row r="271" ht="14.25" customHeight="1">
      <c r="A271" s="132"/>
      <c r="B271" s="215">
        <v>46265</v>
      </c>
      <c r="C271" s="159"/>
      <c r="D271" s="159"/>
      <c r="E271" s="156"/>
      <c r="F271" s="156"/>
      <c r="G271" s="147">
        <f t="shared" si="93"/>
        <v>0</v>
      </c>
      <c r="H271" s="612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03">
        <f t="shared" si="94"/>
        <v>0</v>
      </c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03">
        <f t="shared" si="95"/>
        <v>0</v>
      </c>
      <c r="AH271" s="159"/>
      <c r="AI271" s="159"/>
      <c r="AJ271" s="159"/>
      <c r="AK271" s="105">
        <f t="shared" si="96"/>
        <v>0</v>
      </c>
      <c r="AL271" s="157"/>
      <c r="AM271" s="157"/>
      <c r="AN271" s="157"/>
      <c r="AO271" s="160"/>
      <c r="AP271" s="224">
        <f t="shared" si="97"/>
        <v>0</v>
      </c>
      <c r="AQ271" s="138"/>
      <c r="AR271" s="296"/>
      <c r="AS271" s="138"/>
      <c r="AT271" s="138"/>
      <c r="AU271" s="126"/>
      <c r="AV271" s="126"/>
      <c r="AW271" s="138"/>
      <c r="AX271" s="296"/>
      <c r="AY271" s="296"/>
      <c r="AZ271" s="296"/>
      <c r="BA271" s="296"/>
      <c r="BB271" s="222">
        <f t="shared" si="98"/>
        <v>0</v>
      </c>
      <c r="BC271" s="162">
        <f t="shared" si="99"/>
        <v>0</v>
      </c>
      <c r="BD271" s="132"/>
      <c r="BE271" s="162">
        <f t="shared" si="100"/>
        <v>0</v>
      </c>
      <c r="BF271" s="163"/>
      <c r="BG271" s="163"/>
      <c r="BH271" s="163"/>
      <c r="BI271" s="163"/>
      <c r="BJ271" s="163"/>
      <c r="BK271" s="163"/>
      <c r="BL271" s="163"/>
      <c r="BM271" s="163"/>
      <c r="BN271" s="163"/>
      <c r="BO271" s="141"/>
      <c r="BP271" s="163"/>
      <c r="BQ271" s="163"/>
      <c r="BR271" s="163"/>
      <c r="BS271" s="164">
        <f t="shared" si="101"/>
        <v>0</v>
      </c>
      <c r="BT271" s="132"/>
    </row>
    <row r="272" ht="14.25" customHeight="1">
      <c r="A272" s="3"/>
      <c r="B272" s="2" t="s">
        <v>264</v>
      </c>
      <c r="C272" s="166">
        <f ref="C272:G272" t="shared" si="102">SUM(C241:C271)</f>
        <v>0</v>
      </c>
      <c r="D272" s="166">
        <f t="shared" si="102"/>
        <v>0</v>
      </c>
      <c r="E272" s="166">
        <f t="shared" si="102"/>
        <v>0</v>
      </c>
      <c r="F272" s="166">
        <f t="shared" si="102"/>
        <v>0</v>
      </c>
      <c r="G272" s="166">
        <f t="shared" si="102"/>
        <v>0</v>
      </c>
      <c r="H272" s="166"/>
      <c r="I272" s="166"/>
      <c r="J272" s="166"/>
      <c r="K272" s="166">
        <f ref="K272:T272" t="shared" si="103">SUM(K241:K271)</f>
        <v>0</v>
      </c>
      <c r="L272" s="166">
        <f t="shared" si="103"/>
        <v>0</v>
      </c>
      <c r="M272" s="166">
        <f t="shared" si="103"/>
        <v>0</v>
      </c>
      <c r="N272" s="166">
        <f t="shared" si="103"/>
        <v>0</v>
      </c>
      <c r="O272" s="166">
        <f t="shared" si="103"/>
        <v>0</v>
      </c>
      <c r="P272" s="166">
        <f t="shared" si="103"/>
        <v>0</v>
      </c>
      <c r="Q272" s="166">
        <f t="shared" si="103"/>
        <v>0</v>
      </c>
      <c r="R272" s="166">
        <f t="shared" si="103"/>
        <v>0</v>
      </c>
      <c r="S272" s="166">
        <f t="shared" si="103"/>
        <v>0</v>
      </c>
      <c r="T272" s="166">
        <f t="shared" si="103"/>
        <v>0</v>
      </c>
      <c r="U272" s="166"/>
      <c r="V272" s="166">
        <f ref="V272:AK272" t="shared" si="104">SUM(V241:V271)</f>
        <v>0</v>
      </c>
      <c r="W272" s="166">
        <f t="shared" si="104"/>
        <v>0</v>
      </c>
      <c r="X272" s="166">
        <f t="shared" si="104"/>
        <v>0</v>
      </c>
      <c r="Y272" s="166">
        <f t="shared" si="104"/>
        <v>0</v>
      </c>
      <c r="Z272" s="166">
        <f t="shared" si="104"/>
        <v>0</v>
      </c>
      <c r="AA272" s="166">
        <f t="shared" si="104"/>
        <v>0</v>
      </c>
      <c r="AB272" s="166">
        <f t="shared" si="104"/>
        <v>0</v>
      </c>
      <c r="AC272" s="166">
        <f t="shared" si="104"/>
        <v>0</v>
      </c>
      <c r="AD272" s="166">
        <f t="shared" si="104"/>
        <v>0</v>
      </c>
      <c r="AE272" s="166">
        <f t="shared" si="104"/>
        <v>0</v>
      </c>
      <c r="AF272" s="166">
        <f t="shared" si="104"/>
        <v>0</v>
      </c>
      <c r="AG272" s="166">
        <f t="shared" si="104"/>
        <v>0</v>
      </c>
      <c r="AH272" s="166">
        <f t="shared" si="104"/>
        <v>0</v>
      </c>
      <c r="AI272" s="166">
        <f t="shared" si="104"/>
        <v>0</v>
      </c>
      <c r="AJ272" s="166">
        <f t="shared" si="104"/>
        <v>0</v>
      </c>
      <c r="AK272" s="166">
        <f t="shared" si="104"/>
        <v>0</v>
      </c>
      <c r="AL272" s="166"/>
      <c r="AM272" s="166"/>
      <c r="AN272" s="166"/>
      <c r="AO272" s="166"/>
      <c r="AP272" s="166">
        <f ref="AP272:BC272" t="shared" si="105">SUM(AP241:AP271)</f>
        <v>0</v>
      </c>
      <c r="AQ272" s="165">
        <f t="shared" si="105"/>
        <v>0</v>
      </c>
      <c r="AR272" s="166">
        <f t="shared" si="105"/>
        <v>0</v>
      </c>
      <c r="AS272" s="166">
        <f t="shared" si="105"/>
        <v>0</v>
      </c>
      <c r="AT272" s="166">
        <f t="shared" si="105"/>
        <v>0</v>
      </c>
      <c r="AU272" s="166">
        <f t="shared" si="105"/>
        <v>0</v>
      </c>
      <c r="AV272" s="166">
        <f t="shared" si="105"/>
        <v>0</v>
      </c>
      <c r="AW272" s="166">
        <f t="shared" si="105"/>
        <v>0</v>
      </c>
      <c r="AX272" s="166">
        <f t="shared" si="105"/>
        <v>0</v>
      </c>
      <c r="AY272" s="166">
        <f t="shared" si="105"/>
        <v>0</v>
      </c>
      <c r="AZ272" s="166">
        <f t="shared" si="105"/>
        <v>0</v>
      </c>
      <c r="BA272" s="166">
        <f t="shared" si="105"/>
        <v>0</v>
      </c>
      <c r="BB272" s="166">
        <f t="shared" si="105"/>
        <v>0</v>
      </c>
      <c r="BC272" s="166">
        <f t="shared" si="105"/>
        <v>0</v>
      </c>
      <c r="BD272" s="3"/>
      <c r="BE272" s="172">
        <f ref="BE272:BS272" t="shared" si="106">SUM(BE241:BE271)</f>
        <v>0</v>
      </c>
      <c r="BF272" s="165">
        <f t="shared" si="106"/>
        <v>0</v>
      </c>
      <c r="BG272" s="165">
        <f t="shared" si="106"/>
        <v>0</v>
      </c>
      <c r="BH272" s="165">
        <f t="shared" si="106"/>
        <v>0</v>
      </c>
      <c r="BI272" s="165">
        <f t="shared" si="106"/>
        <v>0</v>
      </c>
      <c r="BJ272" s="165">
        <f t="shared" si="106"/>
        <v>0</v>
      </c>
      <c r="BK272" s="165">
        <f t="shared" si="106"/>
        <v>0</v>
      </c>
      <c r="BL272" s="165">
        <f t="shared" si="106"/>
        <v>0</v>
      </c>
      <c r="BM272" s="165">
        <f t="shared" si="106"/>
        <v>0</v>
      </c>
      <c r="BN272" s="165">
        <f t="shared" si="106"/>
        <v>0</v>
      </c>
      <c r="BO272" s="165">
        <f t="shared" si="106"/>
        <v>0</v>
      </c>
      <c r="BP272" s="165">
        <f t="shared" si="106"/>
        <v>0</v>
      </c>
      <c r="BQ272" s="165">
        <f t="shared" si="106"/>
        <v>0</v>
      </c>
      <c r="BR272" s="165">
        <f t="shared" si="106"/>
        <v>0</v>
      </c>
      <c r="BS272" s="165">
        <f t="shared" si="106"/>
        <v>0</v>
      </c>
      <c r="BT272" s="3"/>
    </row>
    <row r="273" ht="14.25" customHeight="1">
      <c r="A273" s="1"/>
      <c r="B273" s="2"/>
      <c r="C273" s="3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4"/>
      <c r="AL273" s="3"/>
      <c r="AM273" s="3"/>
      <c r="AN273" s="3"/>
      <c r="AO273" s="3"/>
      <c r="AP273" s="3"/>
      <c r="AQ273" s="3"/>
      <c r="AR273" s="3"/>
      <c r="AS273" s="3"/>
      <c r="AT273" s="3"/>
      <c r="AU273" s="551"/>
      <c r="AV273" s="551"/>
      <c r="AW273" s="3"/>
      <c r="AX273" s="3"/>
      <c r="AY273" s="3"/>
      <c r="AZ273" s="3"/>
      <c r="BA273" s="132"/>
      <c r="BB273" s="4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ht="14.25" customHeight="1">
      <c r="A274" s="1"/>
      <c r="B274" s="2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176"/>
      <c r="AH274" s="3"/>
      <c r="AI274" s="3"/>
      <c r="AJ274" s="3"/>
      <c r="AK274" s="4"/>
      <c r="AL274" s="3"/>
      <c r="AM274" s="3"/>
      <c r="AN274" s="3"/>
      <c r="AO274" s="3"/>
      <c r="AP274" s="3"/>
      <c r="AQ274" s="3"/>
      <c r="AR274" s="3"/>
      <c r="AS274" s="3"/>
      <c r="AT274" s="3"/>
      <c r="AU274" s="551"/>
      <c r="AV274" s="551"/>
      <c r="AW274" s="3"/>
      <c r="AX274" s="3"/>
      <c r="AY274" s="3"/>
      <c r="AZ274" s="3"/>
      <c r="BA274" s="132"/>
      <c r="BB274" s="177"/>
      <c r="BC274" s="3"/>
      <c r="BD274" s="3"/>
      <c r="BE274" s="3"/>
      <c r="BF274" s="3"/>
      <c r="BG274" s="3"/>
      <c r="BH274" s="3"/>
      <c r="BI274" s="176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ht="14.25" customHeight="1">
      <c r="A275" s="3"/>
      <c r="B275" s="215">
        <v>46266</v>
      </c>
      <c r="C275" s="104"/>
      <c r="D275" s="104"/>
      <c r="E275" s="97"/>
      <c r="F275" s="97"/>
      <c r="G275" s="265">
        <f ref="G275:G304" t="shared" si="107">+C275+D275+E275+F275</f>
        <v>0</v>
      </c>
      <c r="H275" s="187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03">
        <f ref="T275:T304" t="shared" si="108">SUM(H275:S275)</f>
        <v>0</v>
      </c>
      <c r="U275" s="186"/>
      <c r="V275" s="186"/>
      <c r="W275" s="186"/>
      <c r="X275" s="186"/>
      <c r="Y275" s="186"/>
      <c r="Z275" s="186"/>
      <c r="AA275" s="186"/>
      <c r="AB275" s="186"/>
      <c r="AC275" s="186"/>
      <c r="AD275" s="186"/>
      <c r="AE275" s="186"/>
      <c r="AF275" s="186"/>
      <c r="AG275" s="103">
        <f ref="AG275:AG304" t="shared" si="109">SUM(U275:AF275)</f>
        <v>0</v>
      </c>
      <c r="AH275" s="104"/>
      <c r="AI275" s="104"/>
      <c r="AJ275" s="104"/>
      <c r="AK275" s="191">
        <f ref="AK275:AK304" t="shared" si="110">SUM(AH275:AJ275)</f>
        <v>0</v>
      </c>
      <c r="AL275" s="186"/>
      <c r="AM275" s="186"/>
      <c r="AN275" s="186"/>
      <c r="AO275" s="193"/>
      <c r="AP275" s="219">
        <f ref="AP275:AP304" t="shared" si="111">+G275-T275-AG275-AK275-AL275-AM275-AN275-AO275</f>
        <v>0</v>
      </c>
      <c r="AQ275" s="109"/>
      <c r="AR275" s="269"/>
      <c r="AS275" s="109"/>
      <c r="AT275" s="109"/>
      <c r="AU275" s="109"/>
      <c r="AV275" s="109"/>
      <c r="AW275" s="109"/>
      <c r="AX275" s="269"/>
      <c r="AY275" s="269"/>
      <c r="AZ275" s="269"/>
      <c r="BA275" s="269"/>
      <c r="BB275" s="222">
        <f ref="BB275:BB304" t="shared" si="112">SUM(AQ275:BA275)-AZ275</f>
        <v>0</v>
      </c>
      <c r="BC275" s="114">
        <f ref="BC275:BC304" t="shared" si="113">+AP275-BB275</f>
        <v>0</v>
      </c>
      <c r="BD275" s="3"/>
      <c r="BE275" s="114">
        <f ref="BE275:BE304" t="shared" si="114">SUM(BF275:BR275)</f>
        <v>0</v>
      </c>
      <c r="BF275" s="115"/>
      <c r="BG275" s="115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6">
        <f ref="BS275:BS304" t="shared" si="115">+BC275-BE275</f>
        <v>0</v>
      </c>
      <c r="BT275" s="3"/>
    </row>
    <row r="276" ht="14.25" customHeight="1">
      <c r="A276" s="3"/>
      <c r="B276" s="215">
        <v>46267</v>
      </c>
      <c r="C276" s="123"/>
      <c r="D276" s="123"/>
      <c r="E276" s="120"/>
      <c r="F276" s="120"/>
      <c r="G276" s="147">
        <f t="shared" si="107"/>
        <v>0</v>
      </c>
      <c r="H276" s="144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03">
        <f t="shared" si="108"/>
        <v>0</v>
      </c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  <c r="AF276" s="143"/>
      <c r="AG276" s="103">
        <f t="shared" si="109"/>
        <v>0</v>
      </c>
      <c r="AH276" s="123"/>
      <c r="AI276" s="123"/>
      <c r="AJ276" s="123"/>
      <c r="AK276" s="105">
        <f t="shared" si="110"/>
        <v>0</v>
      </c>
      <c r="AL276" s="143"/>
      <c r="AM276" s="143"/>
      <c r="AN276" s="143"/>
      <c r="AO276" s="146"/>
      <c r="AP276" s="224">
        <f t="shared" si="111"/>
        <v>0</v>
      </c>
      <c r="AQ276" s="126"/>
      <c r="AR276" s="274"/>
      <c r="AS276" s="126"/>
      <c r="AT276" s="126"/>
      <c r="AU276" s="126"/>
      <c r="AV276" s="126"/>
      <c r="AW276" s="126"/>
      <c r="AX276" s="274"/>
      <c r="AY276" s="274"/>
      <c r="AZ276" s="274"/>
      <c r="BA276" s="274"/>
      <c r="BB276" s="222">
        <f t="shared" si="112"/>
        <v>0</v>
      </c>
      <c r="BC276" s="113">
        <f t="shared" si="113"/>
        <v>0</v>
      </c>
      <c r="BD276" s="3"/>
      <c r="BE276" s="113">
        <f t="shared" si="114"/>
        <v>0</v>
      </c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30">
        <f t="shared" si="115"/>
        <v>0</v>
      </c>
      <c r="BT276" s="3"/>
    </row>
    <row r="277" ht="14.25" customHeight="1">
      <c r="A277" s="3"/>
      <c r="B277" s="215">
        <v>46268</v>
      </c>
      <c r="C277" s="123"/>
      <c r="D277" s="123"/>
      <c r="E277" s="120"/>
      <c r="F277" s="120"/>
      <c r="G277" s="147">
        <f t="shared" si="107"/>
        <v>0</v>
      </c>
      <c r="H277" s="144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03">
        <f t="shared" si="108"/>
        <v>0</v>
      </c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  <c r="AF277" s="143"/>
      <c r="AG277" s="103">
        <f t="shared" si="109"/>
        <v>0</v>
      </c>
      <c r="AH277" s="123"/>
      <c r="AI277" s="123"/>
      <c r="AJ277" s="123"/>
      <c r="AK277" s="105">
        <f t="shared" si="110"/>
        <v>0</v>
      </c>
      <c r="AL277" s="143"/>
      <c r="AM277" s="143"/>
      <c r="AN277" s="143"/>
      <c r="AO277" s="146"/>
      <c r="AP277" s="224">
        <f t="shared" si="111"/>
        <v>0</v>
      </c>
      <c r="AQ277" s="126"/>
      <c r="AR277" s="274"/>
      <c r="AS277" s="274"/>
      <c r="AT277" s="126"/>
      <c r="AU277" s="126"/>
      <c r="AV277" s="126"/>
      <c r="AW277" s="126"/>
      <c r="AX277" s="274"/>
      <c r="AY277" s="274"/>
      <c r="AZ277" s="274"/>
      <c r="BA277" s="274"/>
      <c r="BB277" s="222">
        <f t="shared" si="112"/>
        <v>0</v>
      </c>
      <c r="BC277" s="113">
        <f t="shared" si="113"/>
        <v>0</v>
      </c>
      <c r="BD277" s="3"/>
      <c r="BE277" s="113">
        <f t="shared" si="114"/>
        <v>0</v>
      </c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30">
        <f t="shared" si="115"/>
        <v>0</v>
      </c>
      <c r="BT277" s="3"/>
    </row>
    <row r="278" ht="14.25" customHeight="1">
      <c r="A278" s="3"/>
      <c r="B278" s="215">
        <v>46269</v>
      </c>
      <c r="C278" s="123"/>
      <c r="D278" s="123"/>
      <c r="E278" s="120"/>
      <c r="F278" s="120"/>
      <c r="G278" s="147">
        <f t="shared" si="107"/>
        <v>0</v>
      </c>
      <c r="H278" s="144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03">
        <f t="shared" si="108"/>
        <v>0</v>
      </c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03">
        <f t="shared" si="109"/>
        <v>0</v>
      </c>
      <c r="AH278" s="123"/>
      <c r="AI278" s="123"/>
      <c r="AJ278" s="123"/>
      <c r="AK278" s="105">
        <f t="shared" si="110"/>
        <v>0</v>
      </c>
      <c r="AL278" s="143"/>
      <c r="AM278" s="143"/>
      <c r="AN278" s="143"/>
      <c r="AO278" s="146"/>
      <c r="AP278" s="224">
        <f t="shared" si="111"/>
        <v>0</v>
      </c>
      <c r="AQ278" s="126"/>
      <c r="AR278" s="274"/>
      <c r="AS278" s="274"/>
      <c r="AT278" s="126"/>
      <c r="AU278" s="126"/>
      <c r="AV278" s="126"/>
      <c r="AW278" s="126"/>
      <c r="AX278" s="274"/>
      <c r="AY278" s="274"/>
      <c r="AZ278" s="274"/>
      <c r="BA278" s="274"/>
      <c r="BB278" s="222">
        <f t="shared" si="112"/>
        <v>0</v>
      </c>
      <c r="BC278" s="113">
        <f t="shared" si="113"/>
        <v>0</v>
      </c>
      <c r="BD278" s="3"/>
      <c r="BE278" s="113">
        <f t="shared" si="114"/>
        <v>0</v>
      </c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30">
        <f t="shared" si="115"/>
        <v>0</v>
      </c>
      <c r="BT278" s="3"/>
    </row>
    <row r="279" ht="14.25" customHeight="1">
      <c r="A279" s="3"/>
      <c r="B279" s="215">
        <v>46270</v>
      </c>
      <c r="C279" s="123"/>
      <c r="D279" s="123"/>
      <c r="E279" s="120"/>
      <c r="F279" s="120"/>
      <c r="G279" s="147">
        <f t="shared" si="107"/>
        <v>0</v>
      </c>
      <c r="H279" s="144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03">
        <f t="shared" si="108"/>
        <v>0</v>
      </c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03">
        <f t="shared" si="109"/>
        <v>0</v>
      </c>
      <c r="AH279" s="123"/>
      <c r="AI279" s="123"/>
      <c r="AJ279" s="123"/>
      <c r="AK279" s="105">
        <f t="shared" si="110"/>
        <v>0</v>
      </c>
      <c r="AL279" s="143"/>
      <c r="AM279" s="143"/>
      <c r="AN279" s="143"/>
      <c r="AO279" s="146"/>
      <c r="AP279" s="224">
        <f t="shared" si="111"/>
        <v>0</v>
      </c>
      <c r="AQ279" s="126"/>
      <c r="AR279" s="274"/>
      <c r="AS279" s="126"/>
      <c r="AT279" s="126"/>
      <c r="AU279" s="126"/>
      <c r="AV279" s="126"/>
      <c r="AW279" s="126"/>
      <c r="AX279" s="274"/>
      <c r="AY279" s="274"/>
      <c r="AZ279" s="274"/>
      <c r="BA279" s="274"/>
      <c r="BB279" s="222">
        <f t="shared" si="112"/>
        <v>0</v>
      </c>
      <c r="BC279" s="113">
        <f t="shared" si="113"/>
        <v>0</v>
      </c>
      <c r="BD279" s="3"/>
      <c r="BE279" s="113">
        <f t="shared" si="114"/>
        <v>0</v>
      </c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30">
        <f t="shared" si="115"/>
        <v>0</v>
      </c>
      <c r="BT279" s="3"/>
    </row>
    <row r="280" ht="14.25" customHeight="1">
      <c r="A280" s="3"/>
      <c r="B280" s="215">
        <v>46271</v>
      </c>
      <c r="C280" s="123"/>
      <c r="D280" s="123"/>
      <c r="E280" s="120"/>
      <c r="F280" s="120"/>
      <c r="G280" s="147">
        <f t="shared" si="107"/>
        <v>0</v>
      </c>
      <c r="H280" s="144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03">
        <f t="shared" si="108"/>
        <v>0</v>
      </c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  <c r="AF280" s="143"/>
      <c r="AG280" s="103">
        <f t="shared" si="109"/>
        <v>0</v>
      </c>
      <c r="AH280" s="123"/>
      <c r="AI280" s="123"/>
      <c r="AJ280" s="123"/>
      <c r="AK280" s="105">
        <f t="shared" si="110"/>
        <v>0</v>
      </c>
      <c r="AL280" s="143"/>
      <c r="AM280" s="143"/>
      <c r="AN280" s="143"/>
      <c r="AO280" s="146"/>
      <c r="AP280" s="224">
        <f t="shared" si="111"/>
        <v>0</v>
      </c>
      <c r="AQ280" s="126"/>
      <c r="AR280" s="274"/>
      <c r="AS280" s="126"/>
      <c r="AT280" s="126"/>
      <c r="AU280" s="126"/>
      <c r="AV280" s="126"/>
      <c r="AW280" s="126"/>
      <c r="AX280" s="274"/>
      <c r="AY280" s="274"/>
      <c r="AZ280" s="274"/>
      <c r="BA280" s="274"/>
      <c r="BB280" s="222">
        <f t="shared" si="112"/>
        <v>0</v>
      </c>
      <c r="BC280" s="113">
        <f t="shared" si="113"/>
        <v>0</v>
      </c>
      <c r="BD280" s="3"/>
      <c r="BE280" s="113">
        <f t="shared" si="114"/>
        <v>0</v>
      </c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30">
        <f t="shared" si="115"/>
        <v>0</v>
      </c>
      <c r="BT280" s="3"/>
    </row>
    <row r="281" ht="14.25" customHeight="1">
      <c r="A281" s="3"/>
      <c r="B281" s="215">
        <v>46272</v>
      </c>
      <c r="C281" s="123"/>
      <c r="D281" s="123"/>
      <c r="E281" s="120"/>
      <c r="F281" s="120"/>
      <c r="G281" s="147">
        <f t="shared" si="107"/>
        <v>0</v>
      </c>
      <c r="H281" s="144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03">
        <f t="shared" si="108"/>
        <v>0</v>
      </c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  <c r="AF281" s="143"/>
      <c r="AG281" s="103">
        <f t="shared" si="109"/>
        <v>0</v>
      </c>
      <c r="AH281" s="123"/>
      <c r="AI281" s="123"/>
      <c r="AJ281" s="123"/>
      <c r="AK281" s="105">
        <f t="shared" si="110"/>
        <v>0</v>
      </c>
      <c r="AL281" s="143"/>
      <c r="AM281" s="143"/>
      <c r="AN281" s="143"/>
      <c r="AO281" s="146"/>
      <c r="AP281" s="224">
        <f t="shared" si="111"/>
        <v>0</v>
      </c>
      <c r="AQ281" s="126"/>
      <c r="AR281" s="274"/>
      <c r="AS281" s="126"/>
      <c r="AT281" s="126"/>
      <c r="AU281" s="126"/>
      <c r="AV281" s="126"/>
      <c r="AW281" s="126"/>
      <c r="AX281" s="274"/>
      <c r="AY281" s="274"/>
      <c r="AZ281" s="274"/>
      <c r="BA281" s="274"/>
      <c r="BB281" s="222">
        <f t="shared" si="112"/>
        <v>0</v>
      </c>
      <c r="BC281" s="113">
        <f t="shared" si="113"/>
        <v>0</v>
      </c>
      <c r="BD281" s="3"/>
      <c r="BE281" s="113">
        <f t="shared" si="114"/>
        <v>0</v>
      </c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30">
        <f t="shared" si="115"/>
        <v>0</v>
      </c>
      <c r="BT281" s="3"/>
    </row>
    <row r="282" ht="14.25" customHeight="1">
      <c r="A282" s="3"/>
      <c r="B282" s="215">
        <v>46273</v>
      </c>
      <c r="C282" s="123"/>
      <c r="D282" s="123"/>
      <c r="E282" s="120"/>
      <c r="F282" s="120"/>
      <c r="G282" s="147">
        <f t="shared" si="107"/>
        <v>0</v>
      </c>
      <c r="H282" s="144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03">
        <f t="shared" si="108"/>
        <v>0</v>
      </c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  <c r="AF282" s="143"/>
      <c r="AG282" s="103">
        <f t="shared" si="109"/>
        <v>0</v>
      </c>
      <c r="AH282" s="123"/>
      <c r="AI282" s="123"/>
      <c r="AJ282" s="123"/>
      <c r="AK282" s="105">
        <f t="shared" si="110"/>
        <v>0</v>
      </c>
      <c r="AL282" s="143"/>
      <c r="AM282" s="143"/>
      <c r="AN282" s="143"/>
      <c r="AO282" s="146"/>
      <c r="AP282" s="224">
        <f t="shared" si="111"/>
        <v>0</v>
      </c>
      <c r="AQ282" s="126"/>
      <c r="AR282" s="274"/>
      <c r="AS282" s="126"/>
      <c r="AT282" s="126"/>
      <c r="AU282" s="126"/>
      <c r="AV282" s="126"/>
      <c r="AW282" s="126"/>
      <c r="AX282" s="274"/>
      <c r="AY282" s="274"/>
      <c r="AZ282" s="274"/>
      <c r="BA282" s="274"/>
      <c r="BB282" s="222">
        <f t="shared" si="112"/>
        <v>0</v>
      </c>
      <c r="BC282" s="113">
        <f t="shared" si="113"/>
        <v>0</v>
      </c>
      <c r="BD282" s="3"/>
      <c r="BE282" s="113">
        <f t="shared" si="114"/>
        <v>0</v>
      </c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30">
        <f t="shared" si="115"/>
        <v>0</v>
      </c>
      <c r="BT282" s="3"/>
    </row>
    <row r="283" ht="14.25" customHeight="1">
      <c r="A283" s="132"/>
      <c r="B283" s="215">
        <v>46274</v>
      </c>
      <c r="C283" s="136"/>
      <c r="D283" s="136"/>
      <c r="E283" s="135"/>
      <c r="F283" s="135"/>
      <c r="G283" s="147">
        <f t="shared" si="107"/>
        <v>0</v>
      </c>
      <c r="H283" s="144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03">
        <f t="shared" si="108"/>
        <v>0</v>
      </c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03">
        <f t="shared" si="109"/>
        <v>0</v>
      </c>
      <c r="AH283" s="136"/>
      <c r="AI283" s="136"/>
      <c r="AJ283" s="136"/>
      <c r="AK283" s="105">
        <f t="shared" si="110"/>
        <v>0</v>
      </c>
      <c r="AL283" s="143"/>
      <c r="AM283" s="143"/>
      <c r="AN283" s="143"/>
      <c r="AO283" s="146"/>
      <c r="AP283" s="224">
        <f t="shared" si="111"/>
        <v>0</v>
      </c>
      <c r="AQ283" s="126"/>
      <c r="AR283" s="274"/>
      <c r="AS283" s="126"/>
      <c r="AT283" s="126"/>
      <c r="AU283" s="126"/>
      <c r="AV283" s="126"/>
      <c r="AW283" s="126"/>
      <c r="AX283" s="274"/>
      <c r="AY283" s="274"/>
      <c r="AZ283" s="274"/>
      <c r="BA283" s="274"/>
      <c r="BB283" s="222">
        <f t="shared" si="112"/>
        <v>0</v>
      </c>
      <c r="BC283" s="140">
        <f t="shared" si="113"/>
        <v>0</v>
      </c>
      <c r="BD283" s="132"/>
      <c r="BE283" s="140">
        <f t="shared" si="114"/>
        <v>0</v>
      </c>
      <c r="BF283" s="141"/>
      <c r="BG283" s="141"/>
      <c r="BH283" s="141"/>
      <c r="BI283" s="141"/>
      <c r="BJ283" s="141"/>
      <c r="BK283" s="141"/>
      <c r="BL283" s="141"/>
      <c r="BM283" s="141"/>
      <c r="BN283" s="141"/>
      <c r="BO283" s="141"/>
      <c r="BP283" s="141"/>
      <c r="BQ283" s="141"/>
      <c r="BR283" s="141"/>
      <c r="BS283" s="130">
        <f t="shared" si="115"/>
        <v>0</v>
      </c>
      <c r="BT283" s="132"/>
    </row>
    <row r="284" ht="14.25" customHeight="1">
      <c r="A284" s="132"/>
      <c r="B284" s="215">
        <v>46275</v>
      </c>
      <c r="C284" s="136"/>
      <c r="D284" s="136"/>
      <c r="E284" s="135"/>
      <c r="F284" s="135"/>
      <c r="G284" s="147">
        <f t="shared" si="107"/>
        <v>0</v>
      </c>
      <c r="H284" s="144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03">
        <f t="shared" si="108"/>
        <v>0</v>
      </c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  <c r="AF284" s="143"/>
      <c r="AG284" s="103">
        <f t="shared" si="109"/>
        <v>0</v>
      </c>
      <c r="AH284" s="136"/>
      <c r="AI284" s="136"/>
      <c r="AJ284" s="136"/>
      <c r="AK284" s="105">
        <f t="shared" si="110"/>
        <v>0</v>
      </c>
      <c r="AL284" s="143"/>
      <c r="AM284" s="143"/>
      <c r="AN284" s="143"/>
      <c r="AO284" s="146"/>
      <c r="AP284" s="224">
        <f t="shared" si="111"/>
        <v>0</v>
      </c>
      <c r="AQ284" s="126"/>
      <c r="AR284" s="274"/>
      <c r="AS284" s="126"/>
      <c r="AT284" s="126"/>
      <c r="AU284" s="126"/>
      <c r="AV284" s="126"/>
      <c r="AW284" s="126"/>
      <c r="AX284" s="274"/>
      <c r="AY284" s="274"/>
      <c r="AZ284" s="274"/>
      <c r="BA284" s="274"/>
      <c r="BB284" s="222">
        <f t="shared" si="112"/>
        <v>0</v>
      </c>
      <c r="BC284" s="140">
        <f t="shared" si="113"/>
        <v>0</v>
      </c>
      <c r="BD284" s="132"/>
      <c r="BE284" s="140">
        <f t="shared" si="114"/>
        <v>0</v>
      </c>
      <c r="BF284" s="141"/>
      <c r="BG284" s="141"/>
      <c r="BH284" s="141"/>
      <c r="BI284" s="141"/>
      <c r="BJ284" s="141"/>
      <c r="BK284" s="141"/>
      <c r="BL284" s="141"/>
      <c r="BM284" s="141"/>
      <c r="BN284" s="141"/>
      <c r="BO284" s="141"/>
      <c r="BP284" s="141"/>
      <c r="BQ284" s="141"/>
      <c r="BR284" s="141"/>
      <c r="BS284" s="130">
        <f t="shared" si="115"/>
        <v>0</v>
      </c>
      <c r="BT284" s="132"/>
    </row>
    <row r="285" ht="14.25" customHeight="1">
      <c r="A285" s="132"/>
      <c r="B285" s="215">
        <v>46276</v>
      </c>
      <c r="C285" s="136"/>
      <c r="D285" s="136"/>
      <c r="E285" s="135"/>
      <c r="F285" s="135"/>
      <c r="G285" s="147">
        <f t="shared" si="107"/>
        <v>0</v>
      </c>
      <c r="H285" s="144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03">
        <f t="shared" si="108"/>
        <v>0</v>
      </c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  <c r="AF285" s="143"/>
      <c r="AG285" s="103">
        <f t="shared" si="109"/>
        <v>0</v>
      </c>
      <c r="AH285" s="136"/>
      <c r="AI285" s="136"/>
      <c r="AJ285" s="136"/>
      <c r="AK285" s="105">
        <f t="shared" si="110"/>
        <v>0</v>
      </c>
      <c r="AL285" s="143"/>
      <c r="AM285" s="143"/>
      <c r="AN285" s="143"/>
      <c r="AO285" s="146"/>
      <c r="AP285" s="224">
        <f t="shared" si="111"/>
        <v>0</v>
      </c>
      <c r="AQ285" s="126"/>
      <c r="AR285" s="274"/>
      <c r="AS285" s="126"/>
      <c r="AT285" s="126"/>
      <c r="AU285" s="126"/>
      <c r="AV285" s="126"/>
      <c r="AW285" s="126"/>
      <c r="AX285" s="274"/>
      <c r="AY285" s="274"/>
      <c r="AZ285" s="274"/>
      <c r="BA285" s="274"/>
      <c r="BB285" s="222">
        <f t="shared" si="112"/>
        <v>0</v>
      </c>
      <c r="BC285" s="140">
        <f t="shared" si="113"/>
        <v>0</v>
      </c>
      <c r="BD285" s="132"/>
      <c r="BE285" s="140">
        <f t="shared" si="114"/>
        <v>0</v>
      </c>
      <c r="BF285" s="141"/>
      <c r="BG285" s="141"/>
      <c r="BH285" s="141"/>
      <c r="BI285" s="141"/>
      <c r="BJ285" s="141"/>
      <c r="BK285" s="141"/>
      <c r="BL285" s="141"/>
      <c r="BM285" s="141"/>
      <c r="BN285" s="141"/>
      <c r="BO285" s="141"/>
      <c r="BP285" s="141"/>
      <c r="BQ285" s="141"/>
      <c r="BR285" s="141"/>
      <c r="BS285" s="130">
        <f t="shared" si="115"/>
        <v>0</v>
      </c>
      <c r="BT285" s="132"/>
    </row>
    <row r="286" ht="14.25" customHeight="1">
      <c r="A286" s="132"/>
      <c r="B286" s="215">
        <v>46277</v>
      </c>
      <c r="C286" s="136"/>
      <c r="D286" s="136"/>
      <c r="E286" s="135"/>
      <c r="F286" s="135"/>
      <c r="G286" s="147">
        <f t="shared" si="107"/>
        <v>0</v>
      </c>
      <c r="H286" s="144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03">
        <f t="shared" si="108"/>
        <v>0</v>
      </c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  <c r="AF286" s="143"/>
      <c r="AG286" s="103">
        <f t="shared" si="109"/>
        <v>0</v>
      </c>
      <c r="AH286" s="136"/>
      <c r="AI286" s="136"/>
      <c r="AJ286" s="136"/>
      <c r="AK286" s="105">
        <f t="shared" si="110"/>
        <v>0</v>
      </c>
      <c r="AL286" s="143"/>
      <c r="AM286" s="143"/>
      <c r="AN286" s="143"/>
      <c r="AO286" s="146"/>
      <c r="AP286" s="224">
        <f t="shared" si="111"/>
        <v>0</v>
      </c>
      <c r="AQ286" s="126"/>
      <c r="AR286" s="274"/>
      <c r="AS286" s="126"/>
      <c r="AT286" s="126"/>
      <c r="AU286" s="126"/>
      <c r="AV286" s="126"/>
      <c r="AW286" s="126"/>
      <c r="AX286" s="274"/>
      <c r="AY286" s="274"/>
      <c r="AZ286" s="274"/>
      <c r="BA286" s="274"/>
      <c r="BB286" s="222">
        <f t="shared" si="112"/>
        <v>0</v>
      </c>
      <c r="BC286" s="140">
        <f t="shared" si="113"/>
        <v>0</v>
      </c>
      <c r="BD286" s="132"/>
      <c r="BE286" s="140">
        <f t="shared" si="114"/>
        <v>0</v>
      </c>
      <c r="BF286" s="141"/>
      <c r="BG286" s="141"/>
      <c r="BH286" s="141"/>
      <c r="BI286" s="141"/>
      <c r="BJ286" s="141"/>
      <c r="BK286" s="141"/>
      <c r="BL286" s="141"/>
      <c r="BM286" s="141"/>
      <c r="BN286" s="141"/>
      <c r="BO286" s="141"/>
      <c r="BP286" s="141"/>
      <c r="BQ286" s="141"/>
      <c r="BR286" s="141"/>
      <c r="BS286" s="130">
        <f t="shared" si="115"/>
        <v>0</v>
      </c>
      <c r="BT286" s="132"/>
    </row>
    <row r="287" ht="14.25" customHeight="1">
      <c r="A287" s="132"/>
      <c r="B287" s="215">
        <v>46278</v>
      </c>
      <c r="C287" s="136"/>
      <c r="D287" s="136"/>
      <c r="E287" s="135"/>
      <c r="F287" s="135"/>
      <c r="G287" s="147">
        <f t="shared" si="107"/>
        <v>0</v>
      </c>
      <c r="H287" s="144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03">
        <f t="shared" si="108"/>
        <v>0</v>
      </c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  <c r="AF287" s="143"/>
      <c r="AG287" s="103">
        <f t="shared" si="109"/>
        <v>0</v>
      </c>
      <c r="AH287" s="136"/>
      <c r="AI287" s="136"/>
      <c r="AJ287" s="136"/>
      <c r="AK287" s="105">
        <f t="shared" si="110"/>
        <v>0</v>
      </c>
      <c r="AL287" s="143"/>
      <c r="AM287" s="143"/>
      <c r="AN287" s="143"/>
      <c r="AO287" s="146"/>
      <c r="AP287" s="224">
        <f t="shared" si="111"/>
        <v>0</v>
      </c>
      <c r="AQ287" s="126"/>
      <c r="AR287" s="274"/>
      <c r="AS287" s="126"/>
      <c r="AT287" s="126"/>
      <c r="AU287" s="126"/>
      <c r="AV287" s="126"/>
      <c r="AW287" s="126"/>
      <c r="AX287" s="274"/>
      <c r="AY287" s="274"/>
      <c r="AZ287" s="274"/>
      <c r="BA287" s="274"/>
      <c r="BB287" s="222">
        <f t="shared" si="112"/>
        <v>0</v>
      </c>
      <c r="BC287" s="140">
        <f t="shared" si="113"/>
        <v>0</v>
      </c>
      <c r="BD287" s="132"/>
      <c r="BE287" s="140">
        <f t="shared" si="114"/>
        <v>0</v>
      </c>
      <c r="BF287" s="141"/>
      <c r="BG287" s="141"/>
      <c r="BH287" s="141"/>
      <c r="BI287" s="141"/>
      <c r="BJ287" s="141"/>
      <c r="BK287" s="141"/>
      <c r="BL287" s="141"/>
      <c r="BM287" s="141"/>
      <c r="BN287" s="141"/>
      <c r="BO287" s="141"/>
      <c r="BP287" s="141"/>
      <c r="BQ287" s="141"/>
      <c r="BR287" s="141"/>
      <c r="BS287" s="130">
        <f t="shared" si="115"/>
        <v>0</v>
      </c>
      <c r="BT287" s="132"/>
    </row>
    <row r="288" ht="14.25" customHeight="1">
      <c r="A288" s="132"/>
      <c r="B288" s="215">
        <v>46279</v>
      </c>
      <c r="C288" s="136"/>
      <c r="D288" s="136"/>
      <c r="E288" s="135"/>
      <c r="F288" s="135"/>
      <c r="G288" s="147">
        <f t="shared" si="107"/>
        <v>0</v>
      </c>
      <c r="H288" s="144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03">
        <f t="shared" si="108"/>
        <v>0</v>
      </c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  <c r="AF288" s="143"/>
      <c r="AG288" s="103">
        <f t="shared" si="109"/>
        <v>0</v>
      </c>
      <c r="AH288" s="136"/>
      <c r="AI288" s="136"/>
      <c r="AJ288" s="136"/>
      <c r="AK288" s="105">
        <f t="shared" si="110"/>
        <v>0</v>
      </c>
      <c r="AL288" s="143"/>
      <c r="AM288" s="143"/>
      <c r="AN288" s="143"/>
      <c r="AO288" s="146"/>
      <c r="AP288" s="224">
        <f t="shared" si="111"/>
        <v>0</v>
      </c>
      <c r="AQ288" s="126"/>
      <c r="AR288" s="274"/>
      <c r="AS288" s="126"/>
      <c r="AT288" s="126"/>
      <c r="AU288" s="126"/>
      <c r="AV288" s="126"/>
      <c r="AW288" s="126"/>
      <c r="AX288" s="274"/>
      <c r="AY288" s="274"/>
      <c r="AZ288" s="274"/>
      <c r="BA288" s="274"/>
      <c r="BB288" s="222">
        <f t="shared" si="112"/>
        <v>0</v>
      </c>
      <c r="BC288" s="140">
        <f t="shared" si="113"/>
        <v>0</v>
      </c>
      <c r="BD288" s="132"/>
      <c r="BE288" s="140">
        <f t="shared" si="114"/>
        <v>0</v>
      </c>
      <c r="BF288" s="141"/>
      <c r="BG288" s="141"/>
      <c r="BH288" s="141"/>
      <c r="BI288" s="141"/>
      <c r="BJ288" s="141"/>
      <c r="BK288" s="141"/>
      <c r="BL288" s="141"/>
      <c r="BM288" s="141"/>
      <c r="BN288" s="141"/>
      <c r="BO288" s="141"/>
      <c r="BP288" s="141"/>
      <c r="BQ288" s="141"/>
      <c r="BR288" s="141"/>
      <c r="BS288" s="130">
        <f t="shared" si="115"/>
        <v>0</v>
      </c>
      <c r="BT288" s="132"/>
    </row>
    <row r="289" ht="14.25" customHeight="1">
      <c r="A289" s="132"/>
      <c r="B289" s="215">
        <v>46280</v>
      </c>
      <c r="C289" s="136"/>
      <c r="D289" s="136"/>
      <c r="E289" s="135"/>
      <c r="F289" s="135"/>
      <c r="G289" s="147">
        <f t="shared" si="107"/>
        <v>0</v>
      </c>
      <c r="H289" s="144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03">
        <f t="shared" si="108"/>
        <v>0</v>
      </c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  <c r="AF289" s="143"/>
      <c r="AG289" s="103">
        <f t="shared" si="109"/>
        <v>0</v>
      </c>
      <c r="AH289" s="136"/>
      <c r="AI289" s="136"/>
      <c r="AJ289" s="136"/>
      <c r="AK289" s="105">
        <f t="shared" si="110"/>
        <v>0</v>
      </c>
      <c r="AL289" s="143"/>
      <c r="AM289" s="143"/>
      <c r="AN289" s="143"/>
      <c r="AO289" s="146"/>
      <c r="AP289" s="224">
        <f t="shared" si="111"/>
        <v>0</v>
      </c>
      <c r="AQ289" s="126"/>
      <c r="AR289" s="274"/>
      <c r="AS289" s="126"/>
      <c r="AT289" s="126"/>
      <c r="AU289" s="126"/>
      <c r="AV289" s="126"/>
      <c r="AW289" s="126"/>
      <c r="AX289" s="274"/>
      <c r="AY289" s="274"/>
      <c r="AZ289" s="274"/>
      <c r="BA289" s="274"/>
      <c r="BB289" s="222">
        <f t="shared" si="112"/>
        <v>0</v>
      </c>
      <c r="BC289" s="140">
        <f t="shared" si="113"/>
        <v>0</v>
      </c>
      <c r="BD289" s="132"/>
      <c r="BE289" s="140">
        <f t="shared" si="114"/>
        <v>0</v>
      </c>
      <c r="BF289" s="141"/>
      <c r="BG289" s="141"/>
      <c r="BH289" s="141"/>
      <c r="BI289" s="141"/>
      <c r="BJ289" s="141"/>
      <c r="BK289" s="141"/>
      <c r="BL289" s="141"/>
      <c r="BM289" s="141"/>
      <c r="BN289" s="141"/>
      <c r="BO289" s="141"/>
      <c r="BP289" s="141"/>
      <c r="BQ289" s="141"/>
      <c r="BR289" s="141"/>
      <c r="BS289" s="130">
        <f t="shared" si="115"/>
        <v>0</v>
      </c>
      <c r="BT289" s="132"/>
    </row>
    <row r="290" ht="14.25" customHeight="1">
      <c r="A290" s="132"/>
      <c r="B290" s="215">
        <v>46281</v>
      </c>
      <c r="C290" s="136"/>
      <c r="D290" s="136"/>
      <c r="E290" s="135"/>
      <c r="F290" s="135"/>
      <c r="G290" s="147">
        <f t="shared" si="107"/>
        <v>0</v>
      </c>
      <c r="H290" s="144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03">
        <f t="shared" si="108"/>
        <v>0</v>
      </c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  <c r="AF290" s="143"/>
      <c r="AG290" s="103">
        <f t="shared" si="109"/>
        <v>0</v>
      </c>
      <c r="AH290" s="136"/>
      <c r="AI290" s="136"/>
      <c r="AJ290" s="136"/>
      <c r="AK290" s="105">
        <f t="shared" si="110"/>
        <v>0</v>
      </c>
      <c r="AL290" s="143"/>
      <c r="AM290" s="143"/>
      <c r="AN290" s="143"/>
      <c r="AO290" s="146"/>
      <c r="AP290" s="224">
        <f t="shared" si="111"/>
        <v>0</v>
      </c>
      <c r="AQ290" s="126"/>
      <c r="AR290" s="274"/>
      <c r="AS290" s="126"/>
      <c r="AT290" s="126"/>
      <c r="AU290" s="126"/>
      <c r="AV290" s="126"/>
      <c r="AW290" s="126"/>
      <c r="AX290" s="274"/>
      <c r="AY290" s="274"/>
      <c r="AZ290" s="274"/>
      <c r="BA290" s="274"/>
      <c r="BB290" s="222">
        <f t="shared" si="112"/>
        <v>0</v>
      </c>
      <c r="BC290" s="140">
        <f t="shared" si="113"/>
        <v>0</v>
      </c>
      <c r="BD290" s="132"/>
      <c r="BE290" s="140">
        <f t="shared" si="114"/>
        <v>0</v>
      </c>
      <c r="BF290" s="141"/>
      <c r="BG290" s="141"/>
      <c r="BH290" s="141"/>
      <c r="BI290" s="141"/>
      <c r="BJ290" s="141"/>
      <c r="BK290" s="141"/>
      <c r="BL290" s="141"/>
      <c r="BM290" s="141"/>
      <c r="BN290" s="141"/>
      <c r="BO290" s="141"/>
      <c r="BP290" s="141"/>
      <c r="BQ290" s="141"/>
      <c r="BR290" s="141"/>
      <c r="BS290" s="130">
        <f t="shared" si="115"/>
        <v>0</v>
      </c>
      <c r="BT290" s="132"/>
    </row>
    <row r="291" ht="14.25" customHeight="1">
      <c r="A291" s="132"/>
      <c r="B291" s="215">
        <v>46282</v>
      </c>
      <c r="C291" s="136"/>
      <c r="D291" s="136"/>
      <c r="E291" s="135"/>
      <c r="F291" s="135"/>
      <c r="G291" s="147">
        <f t="shared" si="107"/>
        <v>0</v>
      </c>
      <c r="H291" s="144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03">
        <f t="shared" si="108"/>
        <v>0</v>
      </c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  <c r="AF291" s="143"/>
      <c r="AG291" s="103">
        <f t="shared" si="109"/>
        <v>0</v>
      </c>
      <c r="AH291" s="136"/>
      <c r="AI291" s="136"/>
      <c r="AJ291" s="136"/>
      <c r="AK291" s="105">
        <f t="shared" si="110"/>
        <v>0</v>
      </c>
      <c r="AL291" s="143"/>
      <c r="AM291" s="143"/>
      <c r="AN291" s="143"/>
      <c r="AO291" s="146"/>
      <c r="AP291" s="224">
        <f t="shared" si="111"/>
        <v>0</v>
      </c>
      <c r="AQ291" s="126"/>
      <c r="AR291" s="274"/>
      <c r="AS291" s="126"/>
      <c r="AT291" s="126"/>
      <c r="AU291" s="126"/>
      <c r="AV291" s="126"/>
      <c r="AW291" s="126"/>
      <c r="AX291" s="274"/>
      <c r="AY291" s="274"/>
      <c r="AZ291" s="274"/>
      <c r="BA291" s="274"/>
      <c r="BB291" s="222">
        <f t="shared" si="112"/>
        <v>0</v>
      </c>
      <c r="BC291" s="140">
        <f t="shared" si="113"/>
        <v>0</v>
      </c>
      <c r="BD291" s="132"/>
      <c r="BE291" s="140">
        <f t="shared" si="114"/>
        <v>0</v>
      </c>
      <c r="BF291" s="141"/>
      <c r="BG291" s="141"/>
      <c r="BH291" s="141"/>
      <c r="BI291" s="141"/>
      <c r="BJ291" s="141"/>
      <c r="BK291" s="141"/>
      <c r="BL291" s="141"/>
      <c r="BM291" s="141"/>
      <c r="BN291" s="141"/>
      <c r="BO291" s="141"/>
      <c r="BP291" s="141"/>
      <c r="BQ291" s="141"/>
      <c r="BR291" s="141"/>
      <c r="BS291" s="130">
        <f t="shared" si="115"/>
        <v>0</v>
      </c>
      <c r="BT291" s="132"/>
    </row>
    <row r="292" ht="14.25" customHeight="1">
      <c r="A292" s="132"/>
      <c r="B292" s="215">
        <v>46283</v>
      </c>
      <c r="C292" s="136"/>
      <c r="D292" s="136"/>
      <c r="E292" s="135"/>
      <c r="F292" s="135"/>
      <c r="G292" s="147">
        <f t="shared" si="107"/>
        <v>0</v>
      </c>
      <c r="H292" s="144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03">
        <f t="shared" si="108"/>
        <v>0</v>
      </c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  <c r="AF292" s="143"/>
      <c r="AG292" s="103">
        <f t="shared" si="109"/>
        <v>0</v>
      </c>
      <c r="AH292" s="136"/>
      <c r="AI292" s="136"/>
      <c r="AJ292" s="136"/>
      <c r="AK292" s="105">
        <f t="shared" si="110"/>
        <v>0</v>
      </c>
      <c r="AL292" s="143"/>
      <c r="AM292" s="143"/>
      <c r="AN292" s="143"/>
      <c r="AO292" s="146"/>
      <c r="AP292" s="224">
        <f t="shared" si="111"/>
        <v>0</v>
      </c>
      <c r="AQ292" s="126"/>
      <c r="AR292" s="274"/>
      <c r="AS292" s="126"/>
      <c r="AT292" s="126"/>
      <c r="AU292" s="126"/>
      <c r="AV292" s="126"/>
      <c r="AW292" s="126"/>
      <c r="AX292" s="274"/>
      <c r="AY292" s="274"/>
      <c r="AZ292" s="274"/>
      <c r="BA292" s="274"/>
      <c r="BB292" s="222">
        <f t="shared" si="112"/>
        <v>0</v>
      </c>
      <c r="BC292" s="140">
        <f t="shared" si="113"/>
        <v>0</v>
      </c>
      <c r="BD292" s="132"/>
      <c r="BE292" s="140">
        <f t="shared" si="114"/>
        <v>0</v>
      </c>
      <c r="BF292" s="141"/>
      <c r="BG292" s="141"/>
      <c r="BH292" s="141"/>
      <c r="BI292" s="141"/>
      <c r="BJ292" s="141"/>
      <c r="BK292" s="141"/>
      <c r="BL292" s="141"/>
      <c r="BM292" s="141"/>
      <c r="BN292" s="141"/>
      <c r="BO292" s="141"/>
      <c r="BP292" s="141"/>
      <c r="BQ292" s="141"/>
      <c r="BR292" s="141"/>
      <c r="BS292" s="130">
        <f t="shared" si="115"/>
        <v>0</v>
      </c>
      <c r="BT292" s="132"/>
    </row>
    <row r="293" ht="14.25" customHeight="1">
      <c r="A293" s="132"/>
      <c r="B293" s="215">
        <v>46284</v>
      </c>
      <c r="C293" s="136"/>
      <c r="D293" s="136"/>
      <c r="E293" s="135"/>
      <c r="F293" s="135"/>
      <c r="G293" s="147">
        <f t="shared" si="107"/>
        <v>0</v>
      </c>
      <c r="H293" s="144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03">
        <f t="shared" si="108"/>
        <v>0</v>
      </c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  <c r="AF293" s="143"/>
      <c r="AG293" s="103">
        <f t="shared" si="109"/>
        <v>0</v>
      </c>
      <c r="AH293" s="136"/>
      <c r="AI293" s="136"/>
      <c r="AJ293" s="136"/>
      <c r="AK293" s="105">
        <f t="shared" si="110"/>
        <v>0</v>
      </c>
      <c r="AL293" s="143"/>
      <c r="AM293" s="143"/>
      <c r="AN293" s="143"/>
      <c r="AO293" s="146"/>
      <c r="AP293" s="224">
        <f t="shared" si="111"/>
        <v>0</v>
      </c>
      <c r="AQ293" s="126"/>
      <c r="AR293" s="274"/>
      <c r="AS293" s="126"/>
      <c r="AT293" s="126"/>
      <c r="AU293" s="126"/>
      <c r="AV293" s="126"/>
      <c r="AW293" s="126"/>
      <c r="AX293" s="274"/>
      <c r="AY293" s="274"/>
      <c r="AZ293" s="274"/>
      <c r="BA293" s="274"/>
      <c r="BB293" s="222">
        <f t="shared" si="112"/>
        <v>0</v>
      </c>
      <c r="BC293" s="140">
        <f t="shared" si="113"/>
        <v>0</v>
      </c>
      <c r="BD293" s="132"/>
      <c r="BE293" s="140">
        <f t="shared" si="114"/>
        <v>0</v>
      </c>
      <c r="BF293" s="141"/>
      <c r="BG293" s="141"/>
      <c r="BH293" s="141"/>
      <c r="BI293" s="141"/>
      <c r="BJ293" s="141"/>
      <c r="BK293" s="141"/>
      <c r="BL293" s="141"/>
      <c r="BM293" s="141"/>
      <c r="BN293" s="141"/>
      <c r="BO293" s="141"/>
      <c r="BP293" s="141"/>
      <c r="BQ293" s="141"/>
      <c r="BR293" s="141"/>
      <c r="BS293" s="130">
        <f t="shared" si="115"/>
        <v>0</v>
      </c>
      <c r="BT293" s="132"/>
    </row>
    <row r="294" ht="14.25" customHeight="1">
      <c r="A294" s="132"/>
      <c r="B294" s="215">
        <v>46285</v>
      </c>
      <c r="C294" s="136"/>
      <c r="D294" s="136"/>
      <c r="E294" s="135"/>
      <c r="F294" s="135"/>
      <c r="G294" s="147">
        <f t="shared" si="107"/>
        <v>0</v>
      </c>
      <c r="H294" s="144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03">
        <f t="shared" si="108"/>
        <v>0</v>
      </c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03">
        <f t="shared" si="109"/>
        <v>0</v>
      </c>
      <c r="AH294" s="136"/>
      <c r="AI294" s="136"/>
      <c r="AJ294" s="136"/>
      <c r="AK294" s="105">
        <f t="shared" si="110"/>
        <v>0</v>
      </c>
      <c r="AL294" s="143"/>
      <c r="AM294" s="143"/>
      <c r="AN294" s="143"/>
      <c r="AO294" s="146"/>
      <c r="AP294" s="224">
        <f t="shared" si="111"/>
        <v>0</v>
      </c>
      <c r="AQ294" s="126"/>
      <c r="AR294" s="274"/>
      <c r="AS294" s="126"/>
      <c r="AT294" s="126"/>
      <c r="AU294" s="126"/>
      <c r="AV294" s="126"/>
      <c r="AW294" s="126"/>
      <c r="AX294" s="274"/>
      <c r="AY294" s="274"/>
      <c r="AZ294" s="274"/>
      <c r="BA294" s="274"/>
      <c r="BB294" s="222">
        <f t="shared" si="112"/>
        <v>0</v>
      </c>
      <c r="BC294" s="140">
        <f t="shared" si="113"/>
        <v>0</v>
      </c>
      <c r="BD294" s="132"/>
      <c r="BE294" s="140">
        <f t="shared" si="114"/>
        <v>0</v>
      </c>
      <c r="BF294" s="141"/>
      <c r="BG294" s="141"/>
      <c r="BH294" s="141"/>
      <c r="BI294" s="141"/>
      <c r="BJ294" s="141"/>
      <c r="BK294" s="141"/>
      <c r="BL294" s="141"/>
      <c r="BM294" s="141"/>
      <c r="BN294" s="141"/>
      <c r="BO294" s="141"/>
      <c r="BP294" s="141"/>
      <c r="BQ294" s="141"/>
      <c r="BR294" s="141"/>
      <c r="BS294" s="130">
        <f t="shared" si="115"/>
        <v>0</v>
      </c>
      <c r="BT294" s="132"/>
    </row>
    <row r="295" ht="14.25" customHeight="1">
      <c r="A295" s="132"/>
      <c r="B295" s="215">
        <v>46286</v>
      </c>
      <c r="C295" s="136"/>
      <c r="D295" s="136"/>
      <c r="E295" s="135"/>
      <c r="F295" s="135"/>
      <c r="G295" s="147">
        <f t="shared" si="107"/>
        <v>0</v>
      </c>
      <c r="H295" s="144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03">
        <f t="shared" si="108"/>
        <v>0</v>
      </c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03">
        <f t="shared" si="109"/>
        <v>0</v>
      </c>
      <c r="AH295" s="136"/>
      <c r="AI295" s="136"/>
      <c r="AJ295" s="136"/>
      <c r="AK295" s="105">
        <f t="shared" si="110"/>
        <v>0</v>
      </c>
      <c r="AL295" s="143"/>
      <c r="AM295" s="143"/>
      <c r="AN295" s="143"/>
      <c r="AO295" s="146"/>
      <c r="AP295" s="224">
        <f t="shared" si="111"/>
        <v>0</v>
      </c>
      <c r="AQ295" s="126"/>
      <c r="AR295" s="274"/>
      <c r="AS295" s="126"/>
      <c r="AT295" s="126"/>
      <c r="AU295" s="126"/>
      <c r="AV295" s="126"/>
      <c r="AW295" s="126"/>
      <c r="AX295" s="274"/>
      <c r="AY295" s="274"/>
      <c r="AZ295" s="274"/>
      <c r="BA295" s="274"/>
      <c r="BB295" s="222">
        <f t="shared" si="112"/>
        <v>0</v>
      </c>
      <c r="BC295" s="140">
        <f t="shared" si="113"/>
        <v>0</v>
      </c>
      <c r="BD295" s="132"/>
      <c r="BE295" s="140">
        <f t="shared" si="114"/>
        <v>0</v>
      </c>
      <c r="BF295" s="141"/>
      <c r="BG295" s="141"/>
      <c r="BH295" s="141"/>
      <c r="BI295" s="141"/>
      <c r="BJ295" s="141"/>
      <c r="BK295" s="141"/>
      <c r="BL295" s="141"/>
      <c r="BM295" s="141"/>
      <c r="BN295" s="141"/>
      <c r="BO295" s="141"/>
      <c r="BP295" s="141"/>
      <c r="BQ295" s="141"/>
      <c r="BR295" s="141"/>
      <c r="BS295" s="130">
        <f t="shared" si="115"/>
        <v>0</v>
      </c>
      <c r="BT295" s="132"/>
    </row>
    <row r="296" ht="14.25" customHeight="1">
      <c r="A296" s="132"/>
      <c r="B296" s="215">
        <v>46287</v>
      </c>
      <c r="C296" s="136"/>
      <c r="D296" s="136"/>
      <c r="E296" s="135"/>
      <c r="F296" s="135"/>
      <c r="G296" s="147">
        <f t="shared" si="107"/>
        <v>0</v>
      </c>
      <c r="H296" s="144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03">
        <f t="shared" si="108"/>
        <v>0</v>
      </c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03">
        <f t="shared" si="109"/>
        <v>0</v>
      </c>
      <c r="AH296" s="136"/>
      <c r="AI296" s="136"/>
      <c r="AJ296" s="136"/>
      <c r="AK296" s="105">
        <f t="shared" si="110"/>
        <v>0</v>
      </c>
      <c r="AL296" s="143"/>
      <c r="AM296" s="143"/>
      <c r="AN296" s="143"/>
      <c r="AO296" s="146"/>
      <c r="AP296" s="224">
        <f t="shared" si="111"/>
        <v>0</v>
      </c>
      <c r="AQ296" s="126"/>
      <c r="AR296" s="274"/>
      <c r="AS296" s="126"/>
      <c r="AT296" s="126"/>
      <c r="AU296" s="126"/>
      <c r="AV296" s="126"/>
      <c r="AW296" s="126"/>
      <c r="AX296" s="274"/>
      <c r="AY296" s="274"/>
      <c r="AZ296" s="274"/>
      <c r="BA296" s="274"/>
      <c r="BB296" s="222">
        <f t="shared" si="112"/>
        <v>0</v>
      </c>
      <c r="BC296" s="140">
        <f t="shared" si="113"/>
        <v>0</v>
      </c>
      <c r="BD296" s="132"/>
      <c r="BE296" s="140">
        <f t="shared" si="114"/>
        <v>0</v>
      </c>
      <c r="BF296" s="141"/>
      <c r="BG296" s="141"/>
      <c r="BH296" s="141"/>
      <c r="BI296" s="141"/>
      <c r="BJ296" s="141"/>
      <c r="BK296" s="141"/>
      <c r="BL296" s="141"/>
      <c r="BM296" s="141"/>
      <c r="BN296" s="141"/>
      <c r="BO296" s="141"/>
      <c r="BP296" s="141"/>
      <c r="BQ296" s="141"/>
      <c r="BR296" s="141"/>
      <c r="BS296" s="130">
        <f t="shared" si="115"/>
        <v>0</v>
      </c>
      <c r="BT296" s="132"/>
    </row>
    <row r="297" ht="14.25" customHeight="1">
      <c r="A297" s="132"/>
      <c r="B297" s="215">
        <v>46288</v>
      </c>
      <c r="C297" s="136"/>
      <c r="D297" s="136"/>
      <c r="E297" s="135"/>
      <c r="F297" s="135"/>
      <c r="G297" s="147">
        <f t="shared" si="107"/>
        <v>0</v>
      </c>
      <c r="H297" s="144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03">
        <f t="shared" si="108"/>
        <v>0</v>
      </c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03">
        <f t="shared" si="109"/>
        <v>0</v>
      </c>
      <c r="AH297" s="136"/>
      <c r="AI297" s="136"/>
      <c r="AJ297" s="136"/>
      <c r="AK297" s="105">
        <f t="shared" si="110"/>
        <v>0</v>
      </c>
      <c r="AL297" s="143"/>
      <c r="AM297" s="143"/>
      <c r="AN297" s="143"/>
      <c r="AO297" s="146"/>
      <c r="AP297" s="224">
        <f t="shared" si="111"/>
        <v>0</v>
      </c>
      <c r="AQ297" s="126"/>
      <c r="AR297" s="274"/>
      <c r="AS297" s="126"/>
      <c r="AT297" s="126"/>
      <c r="AU297" s="126"/>
      <c r="AV297" s="126"/>
      <c r="AW297" s="126"/>
      <c r="AX297" s="274"/>
      <c r="AY297" s="274"/>
      <c r="AZ297" s="274"/>
      <c r="BA297" s="274"/>
      <c r="BB297" s="222">
        <f t="shared" si="112"/>
        <v>0</v>
      </c>
      <c r="BC297" s="140">
        <f t="shared" si="113"/>
        <v>0</v>
      </c>
      <c r="BD297" s="132"/>
      <c r="BE297" s="140">
        <f t="shared" si="114"/>
        <v>0</v>
      </c>
      <c r="BF297" s="141"/>
      <c r="BG297" s="141"/>
      <c r="BH297" s="141"/>
      <c r="BI297" s="141"/>
      <c r="BJ297" s="141"/>
      <c r="BK297" s="141"/>
      <c r="BL297" s="141"/>
      <c r="BM297" s="141"/>
      <c r="BN297" s="141"/>
      <c r="BO297" s="141"/>
      <c r="BP297" s="141"/>
      <c r="BQ297" s="141"/>
      <c r="BR297" s="141"/>
      <c r="BS297" s="130">
        <f t="shared" si="115"/>
        <v>0</v>
      </c>
      <c r="BT297" s="132"/>
    </row>
    <row r="298" ht="14.25" customHeight="1">
      <c r="A298" s="132"/>
      <c r="B298" s="215">
        <v>46289</v>
      </c>
      <c r="C298" s="136"/>
      <c r="D298" s="136"/>
      <c r="E298" s="135"/>
      <c r="F298" s="135"/>
      <c r="G298" s="147">
        <f t="shared" si="107"/>
        <v>0</v>
      </c>
      <c r="H298" s="144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03">
        <f t="shared" si="108"/>
        <v>0</v>
      </c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03">
        <f t="shared" si="109"/>
        <v>0</v>
      </c>
      <c r="AH298" s="136"/>
      <c r="AI298" s="136"/>
      <c r="AJ298" s="136"/>
      <c r="AK298" s="105">
        <f t="shared" si="110"/>
        <v>0</v>
      </c>
      <c r="AL298" s="143"/>
      <c r="AM298" s="143"/>
      <c r="AN298" s="143"/>
      <c r="AO298" s="146"/>
      <c r="AP298" s="224">
        <f t="shared" si="111"/>
        <v>0</v>
      </c>
      <c r="AQ298" s="126"/>
      <c r="AR298" s="274"/>
      <c r="AS298" s="126"/>
      <c r="AT298" s="126"/>
      <c r="AU298" s="126"/>
      <c r="AV298" s="126"/>
      <c r="AW298" s="126"/>
      <c r="AX298" s="274"/>
      <c r="AY298" s="274"/>
      <c r="AZ298" s="274"/>
      <c r="BA298" s="274"/>
      <c r="BB298" s="222">
        <f t="shared" si="112"/>
        <v>0</v>
      </c>
      <c r="BC298" s="140">
        <f t="shared" si="113"/>
        <v>0</v>
      </c>
      <c r="BD298" s="132"/>
      <c r="BE298" s="140">
        <f t="shared" si="114"/>
        <v>0</v>
      </c>
      <c r="BF298" s="141"/>
      <c r="BG298" s="141"/>
      <c r="BH298" s="141"/>
      <c r="BI298" s="141"/>
      <c r="BJ298" s="141"/>
      <c r="BK298" s="141"/>
      <c r="BL298" s="141"/>
      <c r="BM298" s="141"/>
      <c r="BN298" s="141"/>
      <c r="BO298" s="141"/>
      <c r="BP298" s="141"/>
      <c r="BQ298" s="141"/>
      <c r="BR298" s="141"/>
      <c r="BS298" s="130">
        <f t="shared" si="115"/>
        <v>0</v>
      </c>
      <c r="BT298" s="132"/>
    </row>
    <row r="299" ht="14.25" customHeight="1">
      <c r="A299" s="132"/>
      <c r="B299" s="215">
        <v>46290</v>
      </c>
      <c r="C299" s="136"/>
      <c r="D299" s="136"/>
      <c r="E299" s="135"/>
      <c r="F299" s="135"/>
      <c r="G299" s="147">
        <f t="shared" si="107"/>
        <v>0</v>
      </c>
      <c r="H299" s="144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03">
        <f t="shared" si="108"/>
        <v>0</v>
      </c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03">
        <f t="shared" si="109"/>
        <v>0</v>
      </c>
      <c r="AH299" s="136"/>
      <c r="AI299" s="136"/>
      <c r="AJ299" s="136"/>
      <c r="AK299" s="105">
        <f t="shared" si="110"/>
        <v>0</v>
      </c>
      <c r="AL299" s="143"/>
      <c r="AM299" s="143"/>
      <c r="AN299" s="143"/>
      <c r="AO299" s="146"/>
      <c r="AP299" s="224">
        <f t="shared" si="111"/>
        <v>0</v>
      </c>
      <c r="AQ299" s="126"/>
      <c r="AR299" s="274"/>
      <c r="AS299" s="126"/>
      <c r="AT299" s="126"/>
      <c r="AU299" s="126"/>
      <c r="AV299" s="126"/>
      <c r="AW299" s="126"/>
      <c r="AX299" s="274"/>
      <c r="AY299" s="274"/>
      <c r="AZ299" s="274"/>
      <c r="BA299" s="274"/>
      <c r="BB299" s="222">
        <f t="shared" si="112"/>
        <v>0</v>
      </c>
      <c r="BC299" s="140">
        <f t="shared" si="113"/>
        <v>0</v>
      </c>
      <c r="BD299" s="132"/>
      <c r="BE299" s="140">
        <f t="shared" si="114"/>
        <v>0</v>
      </c>
      <c r="BF299" s="141"/>
      <c r="BG299" s="141"/>
      <c r="BH299" s="141"/>
      <c r="BI299" s="141"/>
      <c r="BJ299" s="141"/>
      <c r="BK299" s="141"/>
      <c r="BL299" s="141"/>
      <c r="BM299" s="141"/>
      <c r="BN299" s="141"/>
      <c r="BO299" s="141"/>
      <c r="BP299" s="141"/>
      <c r="BQ299" s="141"/>
      <c r="BR299" s="141"/>
      <c r="BS299" s="130">
        <f t="shared" si="115"/>
        <v>0</v>
      </c>
      <c r="BT299" s="132"/>
    </row>
    <row r="300" ht="14.25" customHeight="1">
      <c r="A300" s="132"/>
      <c r="B300" s="215">
        <v>46291</v>
      </c>
      <c r="C300" s="136"/>
      <c r="D300" s="136"/>
      <c r="E300" s="135"/>
      <c r="F300" s="135"/>
      <c r="G300" s="147">
        <f t="shared" si="107"/>
        <v>0</v>
      </c>
      <c r="H300" s="144"/>
      <c r="I300" s="143"/>
      <c r="J300" s="143"/>
      <c r="K300" s="143"/>
      <c r="L300" s="143"/>
      <c r="M300" s="143"/>
      <c r="N300" s="99"/>
      <c r="O300" s="143"/>
      <c r="P300" s="143"/>
      <c r="Q300" s="143"/>
      <c r="R300" s="143"/>
      <c r="S300" s="143"/>
      <c r="T300" s="103">
        <f t="shared" si="108"/>
        <v>0</v>
      </c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03">
        <f t="shared" si="109"/>
        <v>0</v>
      </c>
      <c r="AH300" s="136"/>
      <c r="AI300" s="136"/>
      <c r="AJ300" s="136"/>
      <c r="AK300" s="105">
        <f t="shared" si="110"/>
        <v>0</v>
      </c>
      <c r="AL300" s="143"/>
      <c r="AM300" s="143"/>
      <c r="AN300" s="143"/>
      <c r="AO300" s="146"/>
      <c r="AP300" s="224">
        <f t="shared" si="111"/>
        <v>0</v>
      </c>
      <c r="AQ300" s="126"/>
      <c r="AR300" s="274"/>
      <c r="AS300" s="126"/>
      <c r="AT300" s="126"/>
      <c r="AU300" s="126"/>
      <c r="AV300" s="126"/>
      <c r="AW300" s="126"/>
      <c r="AX300" s="274"/>
      <c r="AY300" s="274"/>
      <c r="AZ300" s="274"/>
      <c r="BA300" s="274"/>
      <c r="BB300" s="222">
        <f t="shared" si="112"/>
        <v>0</v>
      </c>
      <c r="BC300" s="140">
        <f t="shared" si="113"/>
        <v>0</v>
      </c>
      <c r="BD300" s="132"/>
      <c r="BE300" s="140">
        <f t="shared" si="114"/>
        <v>0</v>
      </c>
      <c r="BF300" s="141"/>
      <c r="BG300" s="141"/>
      <c r="BH300" s="141"/>
      <c r="BI300" s="141"/>
      <c r="BJ300" s="141"/>
      <c r="BK300" s="141"/>
      <c r="BL300" s="141"/>
      <c r="BM300" s="141"/>
      <c r="BN300" s="141"/>
      <c r="BO300" s="141"/>
      <c r="BP300" s="141"/>
      <c r="BQ300" s="141"/>
      <c r="BR300" s="141"/>
      <c r="BS300" s="130">
        <f t="shared" si="115"/>
        <v>0</v>
      </c>
      <c r="BT300" s="132"/>
    </row>
    <row r="301" ht="14.25" customHeight="1">
      <c r="A301" s="132"/>
      <c r="B301" s="215">
        <v>46292</v>
      </c>
      <c r="C301" s="136"/>
      <c r="D301" s="136"/>
      <c r="E301" s="135"/>
      <c r="F301" s="135"/>
      <c r="G301" s="147">
        <f t="shared" si="107"/>
        <v>0</v>
      </c>
      <c r="H301" s="144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03">
        <f t="shared" si="108"/>
        <v>0</v>
      </c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03">
        <f t="shared" si="109"/>
        <v>0</v>
      </c>
      <c r="AH301" s="136"/>
      <c r="AI301" s="136"/>
      <c r="AJ301" s="136"/>
      <c r="AK301" s="105">
        <f t="shared" si="110"/>
        <v>0</v>
      </c>
      <c r="AL301" s="143"/>
      <c r="AM301" s="143"/>
      <c r="AN301" s="143"/>
      <c r="AO301" s="146"/>
      <c r="AP301" s="224">
        <f t="shared" si="111"/>
        <v>0</v>
      </c>
      <c r="AQ301" s="126"/>
      <c r="AR301" s="274"/>
      <c r="AS301" s="126"/>
      <c r="AT301" s="126"/>
      <c r="AU301" s="126"/>
      <c r="AV301" s="126"/>
      <c r="AW301" s="126"/>
      <c r="AX301" s="274"/>
      <c r="AY301" s="274"/>
      <c r="AZ301" s="274"/>
      <c r="BA301" s="274"/>
      <c r="BB301" s="222">
        <f t="shared" si="112"/>
        <v>0</v>
      </c>
      <c r="BC301" s="140">
        <f t="shared" si="113"/>
        <v>0</v>
      </c>
      <c r="BD301" s="132"/>
      <c r="BE301" s="140">
        <f t="shared" si="114"/>
        <v>0</v>
      </c>
      <c r="BF301" s="141"/>
      <c r="BG301" s="141"/>
      <c r="BH301" s="141"/>
      <c r="BI301" s="141"/>
      <c r="BJ301" s="141"/>
      <c r="BK301" s="141"/>
      <c r="BL301" s="141"/>
      <c r="BM301" s="141"/>
      <c r="BN301" s="141"/>
      <c r="BO301" s="141"/>
      <c r="BP301" s="141"/>
      <c r="BQ301" s="141"/>
      <c r="BR301" s="141"/>
      <c r="BS301" s="130">
        <f t="shared" si="115"/>
        <v>0</v>
      </c>
      <c r="BT301" s="132"/>
    </row>
    <row r="302" ht="14.25" customHeight="1">
      <c r="A302" s="132"/>
      <c r="B302" s="215">
        <v>46293</v>
      </c>
      <c r="C302" s="136"/>
      <c r="D302" s="136"/>
      <c r="E302" s="135"/>
      <c r="F302" s="135"/>
      <c r="G302" s="147">
        <f t="shared" si="107"/>
        <v>0</v>
      </c>
      <c r="H302" s="144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03">
        <f t="shared" si="108"/>
        <v>0</v>
      </c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03">
        <f t="shared" si="109"/>
        <v>0</v>
      </c>
      <c r="AH302" s="136"/>
      <c r="AI302" s="136"/>
      <c r="AJ302" s="136"/>
      <c r="AK302" s="105">
        <f t="shared" si="110"/>
        <v>0</v>
      </c>
      <c r="AL302" s="143"/>
      <c r="AM302" s="143"/>
      <c r="AN302" s="143"/>
      <c r="AO302" s="146"/>
      <c r="AP302" s="224">
        <f t="shared" si="111"/>
        <v>0</v>
      </c>
      <c r="AQ302" s="126"/>
      <c r="AR302" s="274"/>
      <c r="AS302" s="126"/>
      <c r="AT302" s="126"/>
      <c r="AU302" s="126"/>
      <c r="AV302" s="126"/>
      <c r="AW302" s="126"/>
      <c r="AX302" s="274"/>
      <c r="AY302" s="274"/>
      <c r="AZ302" s="274"/>
      <c r="BA302" s="274"/>
      <c r="BB302" s="222">
        <f t="shared" si="112"/>
        <v>0</v>
      </c>
      <c r="BC302" s="140">
        <f t="shared" si="113"/>
        <v>0</v>
      </c>
      <c r="BD302" s="132"/>
      <c r="BE302" s="140">
        <f t="shared" si="114"/>
        <v>0</v>
      </c>
      <c r="BF302" s="141"/>
      <c r="BG302" s="141"/>
      <c r="BH302" s="141"/>
      <c r="BI302" s="141"/>
      <c r="BJ302" s="141"/>
      <c r="BK302" s="141"/>
      <c r="BL302" s="141"/>
      <c r="BM302" s="141"/>
      <c r="BN302" s="141"/>
      <c r="BO302" s="141"/>
      <c r="BP302" s="141"/>
      <c r="BQ302" s="141"/>
      <c r="BR302" s="141"/>
      <c r="BS302" s="130">
        <f t="shared" si="115"/>
        <v>0</v>
      </c>
      <c r="BT302" s="132"/>
    </row>
    <row r="303" ht="14.25" customHeight="1">
      <c r="A303" s="132"/>
      <c r="B303" s="215">
        <v>46294</v>
      </c>
      <c r="C303" s="136"/>
      <c r="D303" s="136"/>
      <c r="E303" s="135"/>
      <c r="F303" s="135"/>
      <c r="G303" s="147">
        <f t="shared" si="107"/>
        <v>0</v>
      </c>
      <c r="H303" s="144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03">
        <f t="shared" si="108"/>
        <v>0</v>
      </c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03">
        <f t="shared" si="109"/>
        <v>0</v>
      </c>
      <c r="AH303" s="136"/>
      <c r="AI303" s="136"/>
      <c r="AJ303" s="136"/>
      <c r="AK303" s="105">
        <f t="shared" si="110"/>
        <v>0</v>
      </c>
      <c r="AL303" s="143"/>
      <c r="AM303" s="143"/>
      <c r="AN303" s="143"/>
      <c r="AO303" s="146"/>
      <c r="AP303" s="224">
        <f t="shared" si="111"/>
        <v>0</v>
      </c>
      <c r="AQ303" s="126"/>
      <c r="AR303" s="274"/>
      <c r="AS303" s="126"/>
      <c r="AT303" s="126"/>
      <c r="AU303" s="126"/>
      <c r="AV303" s="126"/>
      <c r="AW303" s="126"/>
      <c r="AX303" s="274"/>
      <c r="AY303" s="274"/>
      <c r="AZ303" s="274"/>
      <c r="BA303" s="274"/>
      <c r="BB303" s="222">
        <f t="shared" si="112"/>
        <v>0</v>
      </c>
      <c r="BC303" s="140">
        <f t="shared" si="113"/>
        <v>0</v>
      </c>
      <c r="BD303" s="132"/>
      <c r="BE303" s="140">
        <f t="shared" si="114"/>
        <v>0</v>
      </c>
      <c r="BF303" s="141"/>
      <c r="BG303" s="141"/>
      <c r="BH303" s="141"/>
      <c r="BI303" s="141"/>
      <c r="BJ303" s="141"/>
      <c r="BK303" s="141"/>
      <c r="BL303" s="141"/>
      <c r="BM303" s="141"/>
      <c r="BN303" s="141"/>
      <c r="BO303" s="141"/>
      <c r="BP303" s="141"/>
      <c r="BQ303" s="141"/>
      <c r="BR303" s="141"/>
      <c r="BS303" s="130">
        <f t="shared" si="115"/>
        <v>0</v>
      </c>
      <c r="BT303" s="132"/>
    </row>
    <row r="304" ht="14.25" customHeight="1">
      <c r="A304" s="132"/>
      <c r="B304" s="215">
        <v>46295</v>
      </c>
      <c r="C304" s="136"/>
      <c r="D304" s="136"/>
      <c r="E304" s="135"/>
      <c r="F304" s="135"/>
      <c r="G304" s="147">
        <f t="shared" si="107"/>
        <v>0</v>
      </c>
      <c r="H304" s="144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03">
        <f t="shared" si="108"/>
        <v>0</v>
      </c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  <c r="AF304" s="143"/>
      <c r="AG304" s="103">
        <f t="shared" si="109"/>
        <v>0</v>
      </c>
      <c r="AH304" s="136"/>
      <c r="AI304" s="136"/>
      <c r="AJ304" s="136"/>
      <c r="AK304" s="105">
        <f t="shared" si="110"/>
        <v>0</v>
      </c>
      <c r="AL304" s="143"/>
      <c r="AM304" s="143"/>
      <c r="AN304" s="143"/>
      <c r="AO304" s="146"/>
      <c r="AP304" s="224">
        <f t="shared" si="111"/>
        <v>0</v>
      </c>
      <c r="AQ304" s="138"/>
      <c r="AR304" s="274"/>
      <c r="AS304" s="126"/>
      <c r="AT304" s="126"/>
      <c r="AU304" s="126"/>
      <c r="AV304" s="126"/>
      <c r="AW304" s="126"/>
      <c r="AX304" s="274"/>
      <c r="AY304" s="274"/>
      <c r="AZ304" s="274"/>
      <c r="BA304" s="274"/>
      <c r="BB304" s="222">
        <f t="shared" si="112"/>
        <v>0</v>
      </c>
      <c r="BC304" s="140">
        <f t="shared" si="113"/>
        <v>0</v>
      </c>
      <c r="BD304" s="132"/>
      <c r="BE304" s="140">
        <f t="shared" si="114"/>
        <v>0</v>
      </c>
      <c r="BF304" s="141"/>
      <c r="BG304" s="141"/>
      <c r="BH304" s="141"/>
      <c r="BI304" s="141"/>
      <c r="BJ304" s="141"/>
      <c r="BK304" s="141"/>
      <c r="BL304" s="141"/>
      <c r="BM304" s="141"/>
      <c r="BN304" s="141"/>
      <c r="BO304" s="141"/>
      <c r="BP304" s="141"/>
      <c r="BQ304" s="141"/>
      <c r="BR304" s="141"/>
      <c r="BS304" s="130">
        <f t="shared" si="115"/>
        <v>0</v>
      </c>
      <c r="BT304" s="132"/>
    </row>
    <row r="305" ht="14.25" customHeight="1">
      <c r="A305" s="3"/>
      <c r="B305" s="2" t="s">
        <v>265</v>
      </c>
      <c r="C305" s="166">
        <f ref="C305:G305" t="shared" si="116">SUM(C274:C304)</f>
        <v>0</v>
      </c>
      <c r="D305" s="166">
        <f t="shared" si="116"/>
        <v>0</v>
      </c>
      <c r="E305" s="166">
        <f t="shared" si="116"/>
        <v>0</v>
      </c>
      <c r="F305" s="166">
        <f t="shared" si="116"/>
        <v>0</v>
      </c>
      <c r="G305" s="166">
        <f t="shared" si="116"/>
        <v>0</v>
      </c>
      <c r="H305" s="166"/>
      <c r="I305" s="166"/>
      <c r="J305" s="166"/>
      <c r="K305" s="166">
        <f ref="K305:T305" t="shared" si="117">SUM(K274:K304)</f>
        <v>0</v>
      </c>
      <c r="L305" s="166">
        <f t="shared" si="117"/>
        <v>0</v>
      </c>
      <c r="M305" s="166">
        <f t="shared" si="117"/>
        <v>0</v>
      </c>
      <c r="N305" s="166">
        <f t="shared" si="117"/>
        <v>0</v>
      </c>
      <c r="O305" s="166">
        <f t="shared" si="117"/>
        <v>0</v>
      </c>
      <c r="P305" s="166">
        <f t="shared" si="117"/>
        <v>0</v>
      </c>
      <c r="Q305" s="166">
        <f t="shared" si="117"/>
        <v>0</v>
      </c>
      <c r="R305" s="166">
        <f t="shared" si="117"/>
        <v>0</v>
      </c>
      <c r="S305" s="166">
        <f t="shared" si="117"/>
        <v>0</v>
      </c>
      <c r="T305" s="166">
        <f t="shared" si="117"/>
        <v>0</v>
      </c>
      <c r="U305" s="166"/>
      <c r="V305" s="166">
        <f ref="V305:AK305" t="shared" si="118">SUM(V274:V304)</f>
        <v>0</v>
      </c>
      <c r="W305" s="166">
        <f t="shared" si="118"/>
        <v>0</v>
      </c>
      <c r="X305" s="166">
        <f t="shared" si="118"/>
        <v>0</v>
      </c>
      <c r="Y305" s="166">
        <f t="shared" si="118"/>
        <v>0</v>
      </c>
      <c r="Z305" s="166">
        <f t="shared" si="118"/>
        <v>0</v>
      </c>
      <c r="AA305" s="166">
        <f t="shared" si="118"/>
        <v>0</v>
      </c>
      <c r="AB305" s="166">
        <f t="shared" si="118"/>
        <v>0</v>
      </c>
      <c r="AC305" s="166">
        <f t="shared" si="118"/>
        <v>0</v>
      </c>
      <c r="AD305" s="166">
        <f t="shared" si="118"/>
        <v>0</v>
      </c>
      <c r="AE305" s="166">
        <f t="shared" si="118"/>
        <v>0</v>
      </c>
      <c r="AF305" s="166">
        <f t="shared" si="118"/>
        <v>0</v>
      </c>
      <c r="AG305" s="166">
        <f t="shared" si="118"/>
        <v>0</v>
      </c>
      <c r="AH305" s="166">
        <f t="shared" si="118"/>
        <v>0</v>
      </c>
      <c r="AI305" s="166">
        <f t="shared" si="118"/>
        <v>0</v>
      </c>
      <c r="AJ305" s="166">
        <f t="shared" si="118"/>
        <v>0</v>
      </c>
      <c r="AK305" s="166">
        <f t="shared" si="118"/>
        <v>0</v>
      </c>
      <c r="AL305" s="166"/>
      <c r="AM305" s="166"/>
      <c r="AN305" s="166"/>
      <c r="AO305" s="166"/>
      <c r="AP305" s="166">
        <f ref="AP305:BC305" t="shared" si="119">SUM(AP274:AP304)</f>
        <v>0</v>
      </c>
      <c r="AQ305" s="165">
        <f t="shared" si="119"/>
        <v>0</v>
      </c>
      <c r="AR305" s="166">
        <f t="shared" si="119"/>
        <v>0</v>
      </c>
      <c r="AS305" s="166">
        <f t="shared" si="119"/>
        <v>0</v>
      </c>
      <c r="AT305" s="166">
        <f t="shared" si="119"/>
        <v>0</v>
      </c>
      <c r="AU305" s="166">
        <f t="shared" si="119"/>
        <v>0</v>
      </c>
      <c r="AV305" s="166">
        <f t="shared" si="119"/>
        <v>0</v>
      </c>
      <c r="AW305" s="166">
        <f t="shared" si="119"/>
        <v>0</v>
      </c>
      <c r="AX305" s="166">
        <f t="shared" si="119"/>
        <v>0</v>
      </c>
      <c r="AY305" s="166">
        <f t="shared" si="119"/>
        <v>0</v>
      </c>
      <c r="AZ305" s="166">
        <f t="shared" si="119"/>
        <v>0</v>
      </c>
      <c r="BA305" s="166">
        <f t="shared" si="119"/>
        <v>0</v>
      </c>
      <c r="BB305" s="166">
        <f t="shared" si="119"/>
        <v>0</v>
      </c>
      <c r="BC305" s="166">
        <f t="shared" si="119"/>
        <v>0</v>
      </c>
      <c r="BD305" s="3"/>
      <c r="BE305" s="172">
        <f ref="BE305:BS305" t="shared" si="120">SUM(BE274:BE304)</f>
        <v>0</v>
      </c>
      <c r="BF305" s="166">
        <f t="shared" si="120"/>
        <v>0</v>
      </c>
      <c r="BG305" s="166">
        <f t="shared" si="120"/>
        <v>0</v>
      </c>
      <c r="BH305" s="166">
        <f t="shared" si="120"/>
        <v>0</v>
      </c>
      <c r="BI305" s="166">
        <f t="shared" si="120"/>
        <v>0</v>
      </c>
      <c r="BJ305" s="166">
        <f t="shared" si="120"/>
        <v>0</v>
      </c>
      <c r="BK305" s="166">
        <f t="shared" si="120"/>
        <v>0</v>
      </c>
      <c r="BL305" s="166">
        <f t="shared" si="120"/>
        <v>0</v>
      </c>
      <c r="BM305" s="166">
        <f t="shared" si="120"/>
        <v>0</v>
      </c>
      <c r="BN305" s="166">
        <f t="shared" si="120"/>
        <v>0</v>
      </c>
      <c r="BO305" s="166">
        <f t="shared" si="120"/>
        <v>0</v>
      </c>
      <c r="BP305" s="166">
        <f t="shared" si="120"/>
        <v>0</v>
      </c>
      <c r="BQ305" s="166">
        <f t="shared" si="120"/>
        <v>0</v>
      </c>
      <c r="BR305" s="166">
        <f t="shared" si="120"/>
        <v>0</v>
      </c>
      <c r="BS305" s="166">
        <f t="shared" si="120"/>
        <v>0</v>
      </c>
      <c r="BT305" s="3"/>
    </row>
    <row r="306" ht="14.25" customHeight="1">
      <c r="A306" s="1"/>
      <c r="B306" s="2"/>
      <c r="C306" s="3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96"/>
      <c r="AH306" s="96"/>
      <c r="AI306" s="3"/>
      <c r="AJ306" s="3"/>
      <c r="AK306" s="4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ht="14.25" customHeight="1">
      <c r="A307" s="1"/>
      <c r="B307" s="2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176"/>
      <c r="AH307" s="176"/>
      <c r="AI307" s="3"/>
      <c r="AJ307" s="3"/>
      <c r="AK307" s="4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ht="14.25" customHeight="1">
      <c r="A308" s="3"/>
      <c r="B308" s="215">
        <v>46296</v>
      </c>
      <c r="C308" s="104"/>
      <c r="D308" s="104"/>
      <c r="E308" s="97"/>
      <c r="F308" s="97"/>
      <c r="G308" s="216">
        <f ref="G308:G338" t="shared" si="121">+C308+D308+E308+F308</f>
        <v>0</v>
      </c>
      <c r="H308" s="187"/>
      <c r="I308" s="186"/>
      <c r="J308" s="186"/>
      <c r="K308" s="186"/>
      <c r="L308" s="186"/>
      <c r="M308" s="186"/>
      <c r="N308" s="186"/>
      <c r="O308" s="186"/>
      <c r="P308" s="186"/>
      <c r="Q308" s="186"/>
      <c r="R308" s="186"/>
      <c r="S308" s="186"/>
      <c r="T308" s="103">
        <f ref="T308:T338" t="shared" si="122">SUM(H308:S308)</f>
        <v>0</v>
      </c>
      <c r="U308" s="186"/>
      <c r="V308" s="186"/>
      <c r="W308" s="186"/>
      <c r="X308" s="186"/>
      <c r="Y308" s="186"/>
      <c r="Z308" s="186"/>
      <c r="AA308" s="186"/>
      <c r="AB308" s="186"/>
      <c r="AC308" s="186"/>
      <c r="AD308" s="186"/>
      <c r="AE308" s="186"/>
      <c r="AF308" s="186"/>
      <c r="AG308" s="103">
        <f ref="AG308:AG338" t="shared" si="123">SUM(U308:AF308)</f>
        <v>0</v>
      </c>
      <c r="AH308" s="104"/>
      <c r="AI308" s="104"/>
      <c r="AJ308" s="104"/>
      <c r="AK308" s="191">
        <f ref="AK308:AK338" t="shared" si="124">SUM(AH308:AJ308)</f>
        <v>0</v>
      </c>
      <c r="AL308" s="186"/>
      <c r="AM308" s="186"/>
      <c r="AN308" s="186"/>
      <c r="AO308" s="193"/>
      <c r="AP308" s="266">
        <f ref="AP308:AP338" t="shared" si="125">+G308-T308-AG308-AK308-AL308-AM308-AN308-AO308</f>
        <v>0</v>
      </c>
      <c r="AQ308" s="109"/>
      <c r="AR308" s="269"/>
      <c r="AS308" s="109"/>
      <c r="AT308" s="109"/>
      <c r="AU308" s="109"/>
      <c r="AV308" s="109"/>
      <c r="AW308" s="109"/>
      <c r="AX308" s="269"/>
      <c r="AY308" s="269"/>
      <c r="AZ308" s="269"/>
      <c r="BA308" s="269"/>
      <c r="BB308" s="292">
        <f ref="BB308:BB338" t="shared" si="126">SUM(AQ308:BA308)-AZ308</f>
        <v>0</v>
      </c>
      <c r="BC308" s="114">
        <f ref="BC308:BC338" t="shared" si="127">+AP308-BB308</f>
        <v>0</v>
      </c>
      <c r="BD308" s="3"/>
      <c r="BE308" s="114">
        <f ref="BE308:BE338" t="shared" si="128">SUM(BF308:BR308)</f>
        <v>0</v>
      </c>
      <c r="BF308" s="115"/>
      <c r="BG308" s="115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6">
        <f ref="BS308:BS338" t="shared" si="129">+BC308-BE308</f>
        <v>0</v>
      </c>
      <c r="BT308" s="3"/>
    </row>
    <row r="309" ht="14.25" customHeight="1">
      <c r="A309" s="3"/>
      <c r="B309" s="215">
        <v>46297</v>
      </c>
      <c r="C309" s="123"/>
      <c r="D309" s="123"/>
      <c r="E309" s="120"/>
      <c r="F309" s="120"/>
      <c r="G309" s="147">
        <f t="shared" si="121"/>
        <v>0</v>
      </c>
      <c r="H309" s="144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03">
        <f t="shared" si="122"/>
        <v>0</v>
      </c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  <c r="AF309" s="143"/>
      <c r="AG309" s="103">
        <f t="shared" si="123"/>
        <v>0</v>
      </c>
      <c r="AH309" s="123"/>
      <c r="AI309" s="123"/>
      <c r="AJ309" s="123"/>
      <c r="AK309" s="105">
        <f t="shared" si="124"/>
        <v>0</v>
      </c>
      <c r="AL309" s="143"/>
      <c r="AM309" s="143"/>
      <c r="AN309" s="143"/>
      <c r="AO309" s="146"/>
      <c r="AP309" s="224">
        <f t="shared" si="125"/>
        <v>0</v>
      </c>
      <c r="AQ309" s="126"/>
      <c r="AR309" s="274"/>
      <c r="AS309" s="126"/>
      <c r="AT309" s="126"/>
      <c r="AU309" s="126"/>
      <c r="AV309" s="126"/>
      <c r="AW309" s="126"/>
      <c r="AX309" s="274"/>
      <c r="AY309" s="274"/>
      <c r="AZ309" s="274"/>
      <c r="BA309" s="274"/>
      <c r="BB309" s="222">
        <f t="shared" si="126"/>
        <v>0</v>
      </c>
      <c r="BC309" s="113">
        <f t="shared" si="127"/>
        <v>0</v>
      </c>
      <c r="BD309" s="3"/>
      <c r="BE309" s="113">
        <f t="shared" si="128"/>
        <v>0</v>
      </c>
      <c r="BF309" s="129"/>
      <c r="BG309" s="129"/>
      <c r="BH309" s="129"/>
      <c r="BI309" s="129"/>
      <c r="BJ309" s="129"/>
      <c r="BK309" s="129"/>
      <c r="BL309" s="129"/>
      <c r="BM309" s="129"/>
      <c r="BN309" s="129"/>
      <c r="BO309" s="129"/>
      <c r="BP309" s="129"/>
      <c r="BQ309" s="129"/>
      <c r="BR309" s="129"/>
      <c r="BS309" s="130">
        <f t="shared" si="129"/>
        <v>0</v>
      </c>
      <c r="BT309" s="3"/>
    </row>
    <row r="310" ht="14.25" customHeight="1">
      <c r="A310" s="3"/>
      <c r="B310" s="215">
        <v>46298</v>
      </c>
      <c r="C310" s="123"/>
      <c r="D310" s="123"/>
      <c r="E310" s="120"/>
      <c r="F310" s="120"/>
      <c r="G310" s="147">
        <f t="shared" si="121"/>
        <v>0</v>
      </c>
      <c r="H310" s="144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03">
        <f t="shared" si="122"/>
        <v>0</v>
      </c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  <c r="AF310" s="143"/>
      <c r="AG310" s="103">
        <f t="shared" si="123"/>
        <v>0</v>
      </c>
      <c r="AH310" s="123"/>
      <c r="AI310" s="123"/>
      <c r="AJ310" s="123"/>
      <c r="AK310" s="105">
        <f t="shared" si="124"/>
        <v>0</v>
      </c>
      <c r="AL310" s="143"/>
      <c r="AM310" s="143"/>
      <c r="AN310" s="143"/>
      <c r="AO310" s="146"/>
      <c r="AP310" s="224">
        <f t="shared" si="125"/>
        <v>0</v>
      </c>
      <c r="AQ310" s="126"/>
      <c r="AR310" s="274"/>
      <c r="AS310" s="274"/>
      <c r="AT310" s="126"/>
      <c r="AU310" s="126"/>
      <c r="AV310" s="126"/>
      <c r="AW310" s="126"/>
      <c r="AX310" s="274"/>
      <c r="AY310" s="274"/>
      <c r="AZ310" s="274"/>
      <c r="BA310" s="274"/>
      <c r="BB310" s="222">
        <f t="shared" si="126"/>
        <v>0</v>
      </c>
      <c r="BC310" s="113">
        <f t="shared" si="127"/>
        <v>0</v>
      </c>
      <c r="BD310" s="3"/>
      <c r="BE310" s="113">
        <f t="shared" si="128"/>
        <v>0</v>
      </c>
      <c r="BF310" s="129"/>
      <c r="BG310" s="129"/>
      <c r="BH310" s="129"/>
      <c r="BI310" s="129"/>
      <c r="BJ310" s="129"/>
      <c r="BK310" s="129"/>
      <c r="BL310" s="129"/>
      <c r="BM310" s="129"/>
      <c r="BN310" s="129"/>
      <c r="BO310" s="129"/>
      <c r="BP310" s="129"/>
      <c r="BQ310" s="129"/>
      <c r="BR310" s="129"/>
      <c r="BS310" s="130">
        <f t="shared" si="129"/>
        <v>0</v>
      </c>
      <c r="BT310" s="3"/>
    </row>
    <row r="311" ht="14.25" customHeight="1">
      <c r="A311" s="3"/>
      <c r="B311" s="215">
        <v>46299</v>
      </c>
      <c r="C311" s="123"/>
      <c r="D311" s="123"/>
      <c r="E311" s="120"/>
      <c r="F311" s="120"/>
      <c r="G311" s="147">
        <f t="shared" si="121"/>
        <v>0</v>
      </c>
      <c r="H311" s="144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03">
        <f t="shared" si="122"/>
        <v>0</v>
      </c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  <c r="AF311" s="143"/>
      <c r="AG311" s="103">
        <f t="shared" si="123"/>
        <v>0</v>
      </c>
      <c r="AH311" s="123"/>
      <c r="AI311" s="123"/>
      <c r="AJ311" s="123"/>
      <c r="AK311" s="105">
        <f t="shared" si="124"/>
        <v>0</v>
      </c>
      <c r="AL311" s="143"/>
      <c r="AM311" s="143"/>
      <c r="AN311" s="143"/>
      <c r="AO311" s="146"/>
      <c r="AP311" s="224">
        <f t="shared" si="125"/>
        <v>0</v>
      </c>
      <c r="AQ311" s="126"/>
      <c r="AR311" s="274"/>
      <c r="AS311" s="274"/>
      <c r="AT311" s="126"/>
      <c r="AU311" s="126"/>
      <c r="AV311" s="126"/>
      <c r="AW311" s="126"/>
      <c r="AX311" s="274"/>
      <c r="AY311" s="274"/>
      <c r="AZ311" s="274"/>
      <c r="BA311" s="274"/>
      <c r="BB311" s="222">
        <f t="shared" si="126"/>
        <v>0</v>
      </c>
      <c r="BC311" s="113">
        <f t="shared" si="127"/>
        <v>0</v>
      </c>
      <c r="BD311" s="3"/>
      <c r="BE311" s="113">
        <f t="shared" si="128"/>
        <v>0</v>
      </c>
      <c r="BF311" s="129"/>
      <c r="BG311" s="129"/>
      <c r="BH311" s="129"/>
      <c r="BI311" s="129"/>
      <c r="BJ311" s="129"/>
      <c r="BK311" s="129"/>
      <c r="BL311" s="129"/>
      <c r="BM311" s="129"/>
      <c r="BN311" s="129"/>
      <c r="BO311" s="129"/>
      <c r="BP311" s="129"/>
      <c r="BQ311" s="129"/>
      <c r="BR311" s="129"/>
      <c r="BS311" s="130">
        <f t="shared" si="129"/>
        <v>0</v>
      </c>
      <c r="BT311" s="3"/>
    </row>
    <row r="312" ht="14.25" customHeight="1">
      <c r="A312" s="3"/>
      <c r="B312" s="215">
        <v>46300</v>
      </c>
      <c r="C312" s="123"/>
      <c r="D312" s="123"/>
      <c r="E312" s="120"/>
      <c r="F312" s="120"/>
      <c r="G312" s="147">
        <f t="shared" si="121"/>
        <v>0</v>
      </c>
      <c r="H312" s="144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03">
        <f t="shared" si="122"/>
        <v>0</v>
      </c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  <c r="AF312" s="143"/>
      <c r="AG312" s="103">
        <f t="shared" si="123"/>
        <v>0</v>
      </c>
      <c r="AH312" s="123"/>
      <c r="AI312" s="123"/>
      <c r="AJ312" s="123"/>
      <c r="AK312" s="105">
        <f t="shared" si="124"/>
        <v>0</v>
      </c>
      <c r="AL312" s="143"/>
      <c r="AM312" s="143"/>
      <c r="AN312" s="143"/>
      <c r="AO312" s="146"/>
      <c r="AP312" s="224">
        <f t="shared" si="125"/>
        <v>0</v>
      </c>
      <c r="AQ312" s="126"/>
      <c r="AR312" s="274"/>
      <c r="AS312" s="126"/>
      <c r="AT312" s="126"/>
      <c r="AU312" s="126"/>
      <c r="AV312" s="126"/>
      <c r="AW312" s="126"/>
      <c r="AX312" s="274"/>
      <c r="AY312" s="274"/>
      <c r="AZ312" s="274"/>
      <c r="BA312" s="274"/>
      <c r="BB312" s="222">
        <f t="shared" si="126"/>
        <v>0</v>
      </c>
      <c r="BC312" s="113">
        <f t="shared" si="127"/>
        <v>0</v>
      </c>
      <c r="BD312" s="3"/>
      <c r="BE312" s="113">
        <f t="shared" si="128"/>
        <v>0</v>
      </c>
      <c r="BF312" s="129"/>
      <c r="BG312" s="129"/>
      <c r="BH312" s="129"/>
      <c r="BI312" s="129"/>
      <c r="BJ312" s="129"/>
      <c r="BK312" s="129"/>
      <c r="BL312" s="129"/>
      <c r="BM312" s="129"/>
      <c r="BN312" s="129"/>
      <c r="BO312" s="129"/>
      <c r="BP312" s="129"/>
      <c r="BQ312" s="129"/>
      <c r="BR312" s="129"/>
      <c r="BS312" s="130">
        <f t="shared" si="129"/>
        <v>0</v>
      </c>
      <c r="BT312" s="3"/>
    </row>
    <row r="313" ht="14.25" customHeight="1">
      <c r="A313" s="3"/>
      <c r="B313" s="215">
        <v>46301</v>
      </c>
      <c r="C313" s="123"/>
      <c r="D313" s="123"/>
      <c r="E313" s="120"/>
      <c r="F313" s="120"/>
      <c r="G313" s="147">
        <f t="shared" si="121"/>
        <v>0</v>
      </c>
      <c r="H313" s="144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03">
        <f t="shared" si="122"/>
        <v>0</v>
      </c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  <c r="AF313" s="143"/>
      <c r="AG313" s="103">
        <f t="shared" si="123"/>
        <v>0</v>
      </c>
      <c r="AH313" s="123"/>
      <c r="AI313" s="123"/>
      <c r="AJ313" s="123"/>
      <c r="AK313" s="105">
        <f t="shared" si="124"/>
        <v>0</v>
      </c>
      <c r="AL313" s="143"/>
      <c r="AM313" s="143"/>
      <c r="AN313" s="143"/>
      <c r="AO313" s="146"/>
      <c r="AP313" s="224">
        <f t="shared" si="125"/>
        <v>0</v>
      </c>
      <c r="AQ313" s="126"/>
      <c r="AR313" s="274"/>
      <c r="AS313" s="126"/>
      <c r="AT313" s="126"/>
      <c r="AU313" s="126"/>
      <c r="AV313" s="126"/>
      <c r="AW313" s="126"/>
      <c r="AX313" s="274"/>
      <c r="AY313" s="274"/>
      <c r="AZ313" s="274"/>
      <c r="BA313" s="274"/>
      <c r="BB313" s="222">
        <f t="shared" si="126"/>
        <v>0</v>
      </c>
      <c r="BC313" s="113">
        <f t="shared" si="127"/>
        <v>0</v>
      </c>
      <c r="BD313" s="3"/>
      <c r="BE313" s="113">
        <f t="shared" si="128"/>
        <v>0</v>
      </c>
      <c r="BF313" s="129"/>
      <c r="BG313" s="129"/>
      <c r="BH313" s="129"/>
      <c r="BI313" s="129"/>
      <c r="BJ313" s="129"/>
      <c r="BK313" s="129"/>
      <c r="BL313" s="129"/>
      <c r="BM313" s="129"/>
      <c r="BN313" s="129"/>
      <c r="BO313" s="129"/>
      <c r="BP313" s="129"/>
      <c r="BQ313" s="129"/>
      <c r="BR313" s="129"/>
      <c r="BS313" s="130">
        <f t="shared" si="129"/>
        <v>0</v>
      </c>
      <c r="BT313" s="3"/>
    </row>
    <row r="314" ht="14.25" customHeight="1">
      <c r="A314" s="132"/>
      <c r="B314" s="215">
        <v>46302</v>
      </c>
      <c r="C314" s="136"/>
      <c r="D314" s="136"/>
      <c r="E314" s="135"/>
      <c r="F314" s="135"/>
      <c r="G314" s="147">
        <f t="shared" si="121"/>
        <v>0</v>
      </c>
      <c r="H314" s="144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03">
        <f t="shared" si="122"/>
        <v>0</v>
      </c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  <c r="AF314" s="143"/>
      <c r="AG314" s="103">
        <f t="shared" si="123"/>
        <v>0</v>
      </c>
      <c r="AH314" s="136"/>
      <c r="AI314" s="136"/>
      <c r="AJ314" s="136"/>
      <c r="AK314" s="105">
        <f t="shared" si="124"/>
        <v>0</v>
      </c>
      <c r="AL314" s="143"/>
      <c r="AM314" s="143"/>
      <c r="AN314" s="143"/>
      <c r="AO314" s="146"/>
      <c r="AP314" s="224">
        <f t="shared" si="125"/>
        <v>0</v>
      </c>
      <c r="AQ314" s="126"/>
      <c r="AR314" s="274"/>
      <c r="AS314" s="126"/>
      <c r="AT314" s="126"/>
      <c r="AU314" s="126"/>
      <c r="AV314" s="126"/>
      <c r="AW314" s="126"/>
      <c r="AX314" s="274"/>
      <c r="AY314" s="274"/>
      <c r="AZ314" s="274"/>
      <c r="BA314" s="274"/>
      <c r="BB314" s="222">
        <f t="shared" si="126"/>
        <v>0</v>
      </c>
      <c r="BC314" s="140">
        <f t="shared" si="127"/>
        <v>0</v>
      </c>
      <c r="BD314" s="132"/>
      <c r="BE314" s="140">
        <f t="shared" si="128"/>
        <v>0</v>
      </c>
      <c r="BF314" s="141"/>
      <c r="BG314" s="141"/>
      <c r="BH314" s="141"/>
      <c r="BI314" s="141"/>
      <c r="BJ314" s="141"/>
      <c r="BK314" s="141"/>
      <c r="BL314" s="141"/>
      <c r="BM314" s="141"/>
      <c r="BN314" s="141"/>
      <c r="BO314" s="141"/>
      <c r="BP314" s="141"/>
      <c r="BQ314" s="141"/>
      <c r="BR314" s="141"/>
      <c r="BS314" s="130">
        <f t="shared" si="129"/>
        <v>0</v>
      </c>
      <c r="BT314" s="132"/>
    </row>
    <row r="315" ht="14.25" customHeight="1">
      <c r="A315" s="132"/>
      <c r="B315" s="215">
        <v>46303</v>
      </c>
      <c r="C315" s="136"/>
      <c r="D315" s="136"/>
      <c r="E315" s="135"/>
      <c r="F315" s="135"/>
      <c r="G315" s="147">
        <f t="shared" si="121"/>
        <v>0</v>
      </c>
      <c r="H315" s="144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03">
        <f t="shared" si="122"/>
        <v>0</v>
      </c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  <c r="AF315" s="143"/>
      <c r="AG315" s="103">
        <f t="shared" si="123"/>
        <v>0</v>
      </c>
      <c r="AH315" s="136"/>
      <c r="AI315" s="136"/>
      <c r="AJ315" s="136"/>
      <c r="AK315" s="105">
        <f t="shared" si="124"/>
        <v>0</v>
      </c>
      <c r="AL315" s="143"/>
      <c r="AM315" s="143"/>
      <c r="AN315" s="143"/>
      <c r="AO315" s="146"/>
      <c r="AP315" s="224">
        <f t="shared" si="125"/>
        <v>0</v>
      </c>
      <c r="AQ315" s="126"/>
      <c r="AR315" s="274"/>
      <c r="AS315" s="126"/>
      <c r="AT315" s="126"/>
      <c r="AU315" s="126"/>
      <c r="AV315" s="126"/>
      <c r="AW315" s="126"/>
      <c r="AX315" s="274"/>
      <c r="AY315" s="274"/>
      <c r="AZ315" s="274"/>
      <c r="BA315" s="274"/>
      <c r="BB315" s="222">
        <f t="shared" si="126"/>
        <v>0</v>
      </c>
      <c r="BC315" s="140">
        <f t="shared" si="127"/>
        <v>0</v>
      </c>
      <c r="BD315" s="132"/>
      <c r="BE315" s="140">
        <f t="shared" si="128"/>
        <v>0</v>
      </c>
      <c r="BF315" s="141"/>
      <c r="BG315" s="141"/>
      <c r="BH315" s="141"/>
      <c r="BI315" s="141"/>
      <c r="BJ315" s="141"/>
      <c r="BK315" s="141"/>
      <c r="BL315" s="141"/>
      <c r="BM315" s="141"/>
      <c r="BN315" s="141"/>
      <c r="BO315" s="141"/>
      <c r="BP315" s="141"/>
      <c r="BQ315" s="141"/>
      <c r="BR315" s="141"/>
      <c r="BS315" s="130">
        <f t="shared" si="129"/>
        <v>0</v>
      </c>
      <c r="BT315" s="132"/>
    </row>
    <row r="316" ht="14.25" customHeight="1">
      <c r="A316" s="132"/>
      <c r="B316" s="215">
        <v>46304</v>
      </c>
      <c r="C316" s="136"/>
      <c r="D316" s="136"/>
      <c r="E316" s="135"/>
      <c r="F316" s="135"/>
      <c r="G316" s="147">
        <f t="shared" si="121"/>
        <v>0</v>
      </c>
      <c r="H316" s="144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03">
        <f t="shared" si="122"/>
        <v>0</v>
      </c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  <c r="AF316" s="143"/>
      <c r="AG316" s="103">
        <f t="shared" si="123"/>
        <v>0</v>
      </c>
      <c r="AH316" s="136"/>
      <c r="AI316" s="136"/>
      <c r="AJ316" s="136"/>
      <c r="AK316" s="105">
        <f t="shared" si="124"/>
        <v>0</v>
      </c>
      <c r="AL316" s="143"/>
      <c r="AM316" s="143"/>
      <c r="AN316" s="143"/>
      <c r="AO316" s="146"/>
      <c r="AP316" s="224">
        <f t="shared" si="125"/>
        <v>0</v>
      </c>
      <c r="AQ316" s="126"/>
      <c r="AR316" s="274"/>
      <c r="AS316" s="126"/>
      <c r="AT316" s="126"/>
      <c r="AU316" s="126"/>
      <c r="AV316" s="126"/>
      <c r="AW316" s="126"/>
      <c r="AX316" s="274"/>
      <c r="AY316" s="274"/>
      <c r="AZ316" s="274"/>
      <c r="BA316" s="274"/>
      <c r="BB316" s="222">
        <f t="shared" si="126"/>
        <v>0</v>
      </c>
      <c r="BC316" s="140">
        <f t="shared" si="127"/>
        <v>0</v>
      </c>
      <c r="BD316" s="132"/>
      <c r="BE316" s="140">
        <f t="shared" si="128"/>
        <v>0</v>
      </c>
      <c r="BF316" s="141"/>
      <c r="BG316" s="141"/>
      <c r="BH316" s="141"/>
      <c r="BI316" s="141"/>
      <c r="BJ316" s="141"/>
      <c r="BK316" s="141"/>
      <c r="BL316" s="141"/>
      <c r="BM316" s="141"/>
      <c r="BN316" s="141"/>
      <c r="BO316" s="141"/>
      <c r="BP316" s="141"/>
      <c r="BQ316" s="141"/>
      <c r="BR316" s="141"/>
      <c r="BS316" s="130">
        <f t="shared" si="129"/>
        <v>0</v>
      </c>
      <c r="BT316" s="132"/>
    </row>
    <row r="317" ht="14.25" customHeight="1">
      <c r="A317" s="132"/>
      <c r="B317" s="215">
        <v>46305</v>
      </c>
      <c r="C317" s="136"/>
      <c r="D317" s="136"/>
      <c r="E317" s="135"/>
      <c r="F317" s="135"/>
      <c r="G317" s="147">
        <f t="shared" si="121"/>
        <v>0</v>
      </c>
      <c r="H317" s="144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03">
        <f t="shared" si="122"/>
        <v>0</v>
      </c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  <c r="AF317" s="143"/>
      <c r="AG317" s="103">
        <f t="shared" si="123"/>
        <v>0</v>
      </c>
      <c r="AH317" s="136"/>
      <c r="AI317" s="136"/>
      <c r="AJ317" s="136"/>
      <c r="AK317" s="105">
        <f t="shared" si="124"/>
        <v>0</v>
      </c>
      <c r="AL317" s="143"/>
      <c r="AM317" s="143"/>
      <c r="AN317" s="143"/>
      <c r="AO317" s="146"/>
      <c r="AP317" s="224">
        <f t="shared" si="125"/>
        <v>0</v>
      </c>
      <c r="AQ317" s="126"/>
      <c r="AR317" s="274"/>
      <c r="AS317" s="126"/>
      <c r="AT317" s="126"/>
      <c r="AU317" s="126"/>
      <c r="AV317" s="126"/>
      <c r="AW317" s="126"/>
      <c r="AX317" s="274"/>
      <c r="AY317" s="274"/>
      <c r="AZ317" s="274"/>
      <c r="BA317" s="274"/>
      <c r="BB317" s="222">
        <f t="shared" si="126"/>
        <v>0</v>
      </c>
      <c r="BC317" s="140">
        <f t="shared" si="127"/>
        <v>0</v>
      </c>
      <c r="BD317" s="132"/>
      <c r="BE317" s="140">
        <f t="shared" si="128"/>
        <v>0</v>
      </c>
      <c r="BF317" s="141"/>
      <c r="BG317" s="141"/>
      <c r="BH317" s="141"/>
      <c r="BI317" s="141"/>
      <c r="BJ317" s="141"/>
      <c r="BK317" s="141"/>
      <c r="BL317" s="141"/>
      <c r="BM317" s="141"/>
      <c r="BN317" s="141"/>
      <c r="BO317" s="141"/>
      <c r="BP317" s="141"/>
      <c r="BQ317" s="141"/>
      <c r="BR317" s="141"/>
      <c r="BS317" s="130">
        <f t="shared" si="129"/>
        <v>0</v>
      </c>
      <c r="BT317" s="132"/>
    </row>
    <row r="318" ht="14.25" customHeight="1">
      <c r="A318" s="132"/>
      <c r="B318" s="215">
        <v>46306</v>
      </c>
      <c r="C318" s="136"/>
      <c r="D318" s="136"/>
      <c r="E318" s="135"/>
      <c r="F318" s="135"/>
      <c r="G318" s="147">
        <f t="shared" si="121"/>
        <v>0</v>
      </c>
      <c r="H318" s="144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03">
        <f t="shared" si="122"/>
        <v>0</v>
      </c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  <c r="AF318" s="143"/>
      <c r="AG318" s="103">
        <f t="shared" si="123"/>
        <v>0</v>
      </c>
      <c r="AH318" s="136"/>
      <c r="AI318" s="136"/>
      <c r="AJ318" s="136"/>
      <c r="AK318" s="105">
        <f t="shared" si="124"/>
        <v>0</v>
      </c>
      <c r="AL318" s="143"/>
      <c r="AM318" s="143"/>
      <c r="AN318" s="143"/>
      <c r="AO318" s="146"/>
      <c r="AP318" s="224">
        <f t="shared" si="125"/>
        <v>0</v>
      </c>
      <c r="AQ318" s="126"/>
      <c r="AR318" s="274"/>
      <c r="AS318" s="126"/>
      <c r="AT318" s="126"/>
      <c r="AU318" s="126"/>
      <c r="AV318" s="126"/>
      <c r="AW318" s="126"/>
      <c r="AX318" s="274"/>
      <c r="AY318" s="274"/>
      <c r="AZ318" s="274"/>
      <c r="BA318" s="274"/>
      <c r="BB318" s="222">
        <f t="shared" si="126"/>
        <v>0</v>
      </c>
      <c r="BC318" s="140">
        <f t="shared" si="127"/>
        <v>0</v>
      </c>
      <c r="BD318" s="132"/>
      <c r="BE318" s="140">
        <f t="shared" si="128"/>
        <v>0</v>
      </c>
      <c r="BF318" s="141"/>
      <c r="BG318" s="141"/>
      <c r="BH318" s="141"/>
      <c r="BI318" s="141"/>
      <c r="BJ318" s="141"/>
      <c r="BK318" s="141"/>
      <c r="BL318" s="141"/>
      <c r="BM318" s="141"/>
      <c r="BN318" s="141"/>
      <c r="BO318" s="141"/>
      <c r="BP318" s="141"/>
      <c r="BQ318" s="141"/>
      <c r="BR318" s="141"/>
      <c r="BS318" s="130">
        <f t="shared" si="129"/>
        <v>0</v>
      </c>
      <c r="BT318" s="132"/>
    </row>
    <row r="319" ht="14.25" customHeight="1">
      <c r="A319" s="132"/>
      <c r="B319" s="215">
        <v>46307</v>
      </c>
      <c r="C319" s="136"/>
      <c r="D319" s="136"/>
      <c r="E319" s="135"/>
      <c r="F319" s="135"/>
      <c r="G319" s="147">
        <f t="shared" si="121"/>
        <v>0</v>
      </c>
      <c r="H319" s="144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03">
        <f t="shared" si="122"/>
        <v>0</v>
      </c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  <c r="AF319" s="143"/>
      <c r="AG319" s="103">
        <f t="shared" si="123"/>
        <v>0</v>
      </c>
      <c r="AH319" s="136"/>
      <c r="AI319" s="136"/>
      <c r="AJ319" s="136"/>
      <c r="AK319" s="105">
        <f t="shared" si="124"/>
        <v>0</v>
      </c>
      <c r="AL319" s="143"/>
      <c r="AM319" s="143"/>
      <c r="AN319" s="143"/>
      <c r="AO319" s="146"/>
      <c r="AP319" s="224">
        <f t="shared" si="125"/>
        <v>0</v>
      </c>
      <c r="AQ319" s="126"/>
      <c r="AR319" s="274"/>
      <c r="AS319" s="126"/>
      <c r="AT319" s="126"/>
      <c r="AU319" s="126"/>
      <c r="AV319" s="126"/>
      <c r="AW319" s="126"/>
      <c r="AX319" s="274"/>
      <c r="AY319" s="274"/>
      <c r="AZ319" s="274"/>
      <c r="BA319" s="274"/>
      <c r="BB319" s="222">
        <f t="shared" si="126"/>
        <v>0</v>
      </c>
      <c r="BC319" s="140">
        <f t="shared" si="127"/>
        <v>0</v>
      </c>
      <c r="BD319" s="132"/>
      <c r="BE319" s="140">
        <f t="shared" si="128"/>
        <v>0</v>
      </c>
      <c r="BF319" s="141"/>
      <c r="BG319" s="141"/>
      <c r="BH319" s="141"/>
      <c r="BI319" s="141"/>
      <c r="BJ319" s="141"/>
      <c r="BK319" s="141"/>
      <c r="BL319" s="141"/>
      <c r="BM319" s="141"/>
      <c r="BN319" s="141"/>
      <c r="BO319" s="141"/>
      <c r="BP319" s="141"/>
      <c r="BQ319" s="141"/>
      <c r="BR319" s="141"/>
      <c r="BS319" s="130">
        <f t="shared" si="129"/>
        <v>0</v>
      </c>
      <c r="BT319" s="132"/>
    </row>
    <row r="320" ht="14.25" customHeight="1">
      <c r="A320" s="132"/>
      <c r="B320" s="215">
        <v>46308</v>
      </c>
      <c r="C320" s="136"/>
      <c r="D320" s="136"/>
      <c r="E320" s="135"/>
      <c r="F320" s="135"/>
      <c r="G320" s="147">
        <f t="shared" si="121"/>
        <v>0</v>
      </c>
      <c r="H320" s="144"/>
      <c r="I320" s="143"/>
      <c r="J320" s="231"/>
      <c r="K320" s="143"/>
      <c r="L320" s="143"/>
      <c r="M320" s="143"/>
      <c r="N320" s="143"/>
      <c r="O320" s="143"/>
      <c r="P320" s="143"/>
      <c r="Q320" s="143"/>
      <c r="R320" s="143"/>
      <c r="S320" s="143"/>
      <c r="T320" s="103">
        <f t="shared" si="122"/>
        <v>0</v>
      </c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  <c r="AF320" s="143"/>
      <c r="AG320" s="103">
        <f t="shared" si="123"/>
        <v>0</v>
      </c>
      <c r="AH320" s="136"/>
      <c r="AI320" s="136"/>
      <c r="AJ320" s="136"/>
      <c r="AK320" s="105">
        <f t="shared" si="124"/>
        <v>0</v>
      </c>
      <c r="AL320" s="143"/>
      <c r="AM320" s="143"/>
      <c r="AN320" s="143"/>
      <c r="AO320" s="146"/>
      <c r="AP320" s="224">
        <f t="shared" si="125"/>
        <v>0</v>
      </c>
      <c r="AQ320" s="126"/>
      <c r="AR320" s="274"/>
      <c r="AS320" s="126"/>
      <c r="AT320" s="126"/>
      <c r="AU320" s="126"/>
      <c r="AV320" s="126"/>
      <c r="AW320" s="126"/>
      <c r="AX320" s="274"/>
      <c r="AY320" s="274"/>
      <c r="AZ320" s="274"/>
      <c r="BA320" s="274"/>
      <c r="BB320" s="222">
        <f t="shared" si="126"/>
        <v>0</v>
      </c>
      <c r="BC320" s="140">
        <f t="shared" si="127"/>
        <v>0</v>
      </c>
      <c r="BD320" s="132"/>
      <c r="BE320" s="140">
        <f t="shared" si="128"/>
        <v>0</v>
      </c>
      <c r="BF320" s="141"/>
      <c r="BG320" s="141"/>
      <c r="BH320" s="141"/>
      <c r="BI320" s="141"/>
      <c r="BJ320" s="141"/>
      <c r="BK320" s="141"/>
      <c r="BL320" s="141"/>
      <c r="BM320" s="141"/>
      <c r="BN320" s="141"/>
      <c r="BO320" s="141"/>
      <c r="BP320" s="141"/>
      <c r="BQ320" s="141"/>
      <c r="BR320" s="141"/>
      <c r="BS320" s="130">
        <f t="shared" si="129"/>
        <v>0</v>
      </c>
      <c r="BT320" s="132"/>
    </row>
    <row r="321" ht="14.25" customHeight="1">
      <c r="A321" s="132"/>
      <c r="B321" s="215">
        <v>46309</v>
      </c>
      <c r="C321" s="136"/>
      <c r="D321" s="136"/>
      <c r="E321" s="135"/>
      <c r="F321" s="135"/>
      <c r="G321" s="147">
        <f t="shared" si="121"/>
        <v>0</v>
      </c>
      <c r="H321" s="144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03">
        <f t="shared" si="122"/>
        <v>0</v>
      </c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  <c r="AF321" s="143"/>
      <c r="AG321" s="103">
        <f t="shared" si="123"/>
        <v>0</v>
      </c>
      <c r="AH321" s="136"/>
      <c r="AI321" s="136"/>
      <c r="AJ321" s="136"/>
      <c r="AK321" s="105">
        <f t="shared" si="124"/>
        <v>0</v>
      </c>
      <c r="AL321" s="143"/>
      <c r="AM321" s="143"/>
      <c r="AN321" s="143"/>
      <c r="AO321" s="146"/>
      <c r="AP321" s="224">
        <f t="shared" si="125"/>
        <v>0</v>
      </c>
      <c r="AQ321" s="126"/>
      <c r="AR321" s="274"/>
      <c r="AS321" s="126"/>
      <c r="AT321" s="126"/>
      <c r="AU321" s="126"/>
      <c r="AV321" s="126"/>
      <c r="AW321" s="126"/>
      <c r="AX321" s="274"/>
      <c r="AY321" s="274"/>
      <c r="AZ321" s="274"/>
      <c r="BA321" s="274"/>
      <c r="BB321" s="222">
        <f t="shared" si="126"/>
        <v>0</v>
      </c>
      <c r="BC321" s="140">
        <f t="shared" si="127"/>
        <v>0</v>
      </c>
      <c r="BD321" s="132"/>
      <c r="BE321" s="140">
        <f t="shared" si="128"/>
        <v>0</v>
      </c>
      <c r="BF321" s="141"/>
      <c r="BG321" s="141"/>
      <c r="BH321" s="141"/>
      <c r="BI321" s="141"/>
      <c r="BJ321" s="141"/>
      <c r="BK321" s="141"/>
      <c r="BL321" s="141"/>
      <c r="BM321" s="141"/>
      <c r="BN321" s="141"/>
      <c r="BO321" s="141"/>
      <c r="BP321" s="141"/>
      <c r="BQ321" s="141"/>
      <c r="BR321" s="141"/>
      <c r="BS321" s="130">
        <f t="shared" si="129"/>
        <v>0</v>
      </c>
      <c r="BT321" s="132"/>
    </row>
    <row r="322" ht="14.25" customHeight="1">
      <c r="A322" s="132"/>
      <c r="B322" s="215">
        <v>46310</v>
      </c>
      <c r="C322" s="136"/>
      <c r="D322" s="136"/>
      <c r="E322" s="135"/>
      <c r="F322" s="135"/>
      <c r="G322" s="147">
        <f t="shared" si="121"/>
        <v>0</v>
      </c>
      <c r="H322" s="144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03">
        <f t="shared" si="122"/>
        <v>0</v>
      </c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  <c r="AF322" s="143"/>
      <c r="AG322" s="103">
        <f t="shared" si="123"/>
        <v>0</v>
      </c>
      <c r="AH322" s="136"/>
      <c r="AI322" s="136"/>
      <c r="AJ322" s="136"/>
      <c r="AK322" s="105">
        <f t="shared" si="124"/>
        <v>0</v>
      </c>
      <c r="AL322" s="143"/>
      <c r="AM322" s="143"/>
      <c r="AN322" s="143"/>
      <c r="AO322" s="146"/>
      <c r="AP322" s="224">
        <f t="shared" si="125"/>
        <v>0</v>
      </c>
      <c r="AQ322" s="126"/>
      <c r="AR322" s="274"/>
      <c r="AS322" s="126"/>
      <c r="AT322" s="126"/>
      <c r="AU322" s="126"/>
      <c r="AV322" s="126"/>
      <c r="AW322" s="126"/>
      <c r="AX322" s="274"/>
      <c r="AY322" s="274"/>
      <c r="AZ322" s="274"/>
      <c r="BA322" s="274"/>
      <c r="BB322" s="222">
        <f t="shared" si="126"/>
        <v>0</v>
      </c>
      <c r="BC322" s="140">
        <f t="shared" si="127"/>
        <v>0</v>
      </c>
      <c r="BD322" s="132"/>
      <c r="BE322" s="140">
        <f t="shared" si="128"/>
        <v>0</v>
      </c>
      <c r="BF322" s="141"/>
      <c r="BG322" s="141"/>
      <c r="BH322" s="141"/>
      <c r="BI322" s="141"/>
      <c r="BJ322" s="141"/>
      <c r="BK322" s="141"/>
      <c r="BL322" s="141"/>
      <c r="BM322" s="141"/>
      <c r="BN322" s="141"/>
      <c r="BO322" s="141"/>
      <c r="BP322" s="141"/>
      <c r="BQ322" s="141"/>
      <c r="BR322" s="141"/>
      <c r="BS322" s="130">
        <f t="shared" si="129"/>
        <v>0</v>
      </c>
      <c r="BT322" s="132"/>
    </row>
    <row r="323" ht="14.25" customHeight="1">
      <c r="A323" s="132"/>
      <c r="B323" s="215">
        <v>46311</v>
      </c>
      <c r="C323" s="136"/>
      <c r="D323" s="136"/>
      <c r="E323" s="135"/>
      <c r="F323" s="135"/>
      <c r="G323" s="147">
        <f t="shared" si="121"/>
        <v>0</v>
      </c>
      <c r="H323" s="144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03">
        <f t="shared" si="122"/>
        <v>0</v>
      </c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  <c r="AF323" s="143"/>
      <c r="AG323" s="103">
        <f t="shared" si="123"/>
        <v>0</v>
      </c>
      <c r="AH323" s="136"/>
      <c r="AI323" s="136"/>
      <c r="AJ323" s="136"/>
      <c r="AK323" s="105">
        <f t="shared" si="124"/>
        <v>0</v>
      </c>
      <c r="AL323" s="143"/>
      <c r="AM323" s="143"/>
      <c r="AN323" s="143"/>
      <c r="AO323" s="146"/>
      <c r="AP323" s="224">
        <f t="shared" si="125"/>
        <v>0</v>
      </c>
      <c r="AQ323" s="126"/>
      <c r="AR323" s="274"/>
      <c r="AS323" s="126"/>
      <c r="AT323" s="126"/>
      <c r="AU323" s="126"/>
      <c r="AV323" s="126"/>
      <c r="AW323" s="126"/>
      <c r="AX323" s="274"/>
      <c r="AY323" s="274"/>
      <c r="AZ323" s="274"/>
      <c r="BA323" s="274"/>
      <c r="BB323" s="222">
        <f t="shared" si="126"/>
        <v>0</v>
      </c>
      <c r="BC323" s="140">
        <f t="shared" si="127"/>
        <v>0</v>
      </c>
      <c r="BD323" s="132"/>
      <c r="BE323" s="140">
        <f t="shared" si="128"/>
        <v>0</v>
      </c>
      <c r="BF323" s="141"/>
      <c r="BG323" s="141"/>
      <c r="BH323" s="141"/>
      <c r="BI323" s="141"/>
      <c r="BJ323" s="141"/>
      <c r="BK323" s="141"/>
      <c r="BL323" s="141"/>
      <c r="BM323" s="141"/>
      <c r="BN323" s="141"/>
      <c r="BO323" s="141"/>
      <c r="BP323" s="141"/>
      <c r="BQ323" s="141"/>
      <c r="BR323" s="141"/>
      <c r="BS323" s="130">
        <f t="shared" si="129"/>
        <v>0</v>
      </c>
      <c r="BT323" s="132"/>
    </row>
    <row r="324" ht="14.25" customHeight="1">
      <c r="A324" s="132"/>
      <c r="B324" s="215">
        <v>46312</v>
      </c>
      <c r="C324" s="136"/>
      <c r="D324" s="136"/>
      <c r="E324" s="135"/>
      <c r="F324" s="135"/>
      <c r="G324" s="147">
        <f t="shared" si="121"/>
        <v>0</v>
      </c>
      <c r="H324" s="144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03">
        <f t="shared" si="122"/>
        <v>0</v>
      </c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  <c r="AF324" s="143"/>
      <c r="AG324" s="103">
        <f t="shared" si="123"/>
        <v>0</v>
      </c>
      <c r="AH324" s="136"/>
      <c r="AI324" s="136"/>
      <c r="AJ324" s="136"/>
      <c r="AK324" s="105">
        <f t="shared" si="124"/>
        <v>0</v>
      </c>
      <c r="AL324" s="143"/>
      <c r="AM324" s="143"/>
      <c r="AN324" s="143"/>
      <c r="AO324" s="146"/>
      <c r="AP324" s="224">
        <f t="shared" si="125"/>
        <v>0</v>
      </c>
      <c r="AQ324" s="126"/>
      <c r="AR324" s="274"/>
      <c r="AS324" s="126"/>
      <c r="AT324" s="126"/>
      <c r="AU324" s="126"/>
      <c r="AV324" s="126"/>
      <c r="AW324" s="126"/>
      <c r="AX324" s="274"/>
      <c r="AY324" s="274"/>
      <c r="AZ324" s="274"/>
      <c r="BA324" s="274"/>
      <c r="BB324" s="222">
        <f t="shared" si="126"/>
        <v>0</v>
      </c>
      <c r="BC324" s="140">
        <f t="shared" si="127"/>
        <v>0</v>
      </c>
      <c r="BD324" s="132"/>
      <c r="BE324" s="140">
        <f t="shared" si="128"/>
        <v>0</v>
      </c>
      <c r="BF324" s="141"/>
      <c r="BG324" s="141"/>
      <c r="BH324" s="141"/>
      <c r="BI324" s="141"/>
      <c r="BJ324" s="141"/>
      <c r="BK324" s="141"/>
      <c r="BL324" s="141"/>
      <c r="BM324" s="141"/>
      <c r="BN324" s="141"/>
      <c r="BO324" s="141"/>
      <c r="BP324" s="141"/>
      <c r="BQ324" s="141"/>
      <c r="BR324" s="141"/>
      <c r="BS324" s="130">
        <f t="shared" si="129"/>
        <v>0</v>
      </c>
      <c r="BT324" s="132"/>
    </row>
    <row r="325" ht="14.25" customHeight="1">
      <c r="A325" s="132"/>
      <c r="B325" s="215">
        <v>46313</v>
      </c>
      <c r="C325" s="136"/>
      <c r="D325" s="136"/>
      <c r="E325" s="135"/>
      <c r="F325" s="135"/>
      <c r="G325" s="147">
        <f t="shared" si="121"/>
        <v>0</v>
      </c>
      <c r="H325" s="144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03">
        <f t="shared" si="122"/>
        <v>0</v>
      </c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  <c r="AF325" s="143"/>
      <c r="AG325" s="103">
        <f t="shared" si="123"/>
        <v>0</v>
      </c>
      <c r="AH325" s="136"/>
      <c r="AI325" s="136"/>
      <c r="AJ325" s="136"/>
      <c r="AK325" s="105">
        <f t="shared" si="124"/>
        <v>0</v>
      </c>
      <c r="AL325" s="143"/>
      <c r="AM325" s="143"/>
      <c r="AN325" s="143"/>
      <c r="AO325" s="146"/>
      <c r="AP325" s="224">
        <f t="shared" si="125"/>
        <v>0</v>
      </c>
      <c r="AQ325" s="126"/>
      <c r="AR325" s="274"/>
      <c r="AS325" s="126"/>
      <c r="AT325" s="126"/>
      <c r="AU325" s="126"/>
      <c r="AV325" s="126"/>
      <c r="AW325" s="126"/>
      <c r="AX325" s="274"/>
      <c r="AY325" s="274"/>
      <c r="AZ325" s="274"/>
      <c r="BA325" s="274"/>
      <c r="BB325" s="222">
        <f t="shared" si="126"/>
        <v>0</v>
      </c>
      <c r="BC325" s="140">
        <f t="shared" si="127"/>
        <v>0</v>
      </c>
      <c r="BD325" s="132"/>
      <c r="BE325" s="140">
        <f t="shared" si="128"/>
        <v>0</v>
      </c>
      <c r="BF325" s="141"/>
      <c r="BG325" s="141"/>
      <c r="BH325" s="141"/>
      <c r="BI325" s="141"/>
      <c r="BJ325" s="141"/>
      <c r="BK325" s="141"/>
      <c r="BL325" s="141"/>
      <c r="BM325" s="141"/>
      <c r="BN325" s="141"/>
      <c r="BO325" s="141"/>
      <c r="BP325" s="141"/>
      <c r="BQ325" s="141"/>
      <c r="BR325" s="141"/>
      <c r="BS325" s="130">
        <f t="shared" si="129"/>
        <v>0</v>
      </c>
      <c r="BT325" s="132"/>
    </row>
    <row r="326" ht="14.25" customHeight="1">
      <c r="A326" s="132"/>
      <c r="B326" s="215">
        <v>46314</v>
      </c>
      <c r="C326" s="136"/>
      <c r="D326" s="136"/>
      <c r="E326" s="135"/>
      <c r="F326" s="135"/>
      <c r="G326" s="147">
        <f t="shared" si="121"/>
        <v>0</v>
      </c>
      <c r="H326" s="144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03">
        <f t="shared" si="122"/>
        <v>0</v>
      </c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  <c r="AF326" s="143"/>
      <c r="AG326" s="103">
        <f t="shared" si="123"/>
        <v>0</v>
      </c>
      <c r="AH326" s="136"/>
      <c r="AI326" s="136"/>
      <c r="AJ326" s="136"/>
      <c r="AK326" s="105">
        <f t="shared" si="124"/>
        <v>0</v>
      </c>
      <c r="AL326" s="143"/>
      <c r="AM326" s="143"/>
      <c r="AN326" s="143"/>
      <c r="AO326" s="146"/>
      <c r="AP326" s="224">
        <f t="shared" si="125"/>
        <v>0</v>
      </c>
      <c r="AQ326" s="126"/>
      <c r="AR326" s="274"/>
      <c r="AS326" s="126"/>
      <c r="AT326" s="126"/>
      <c r="AU326" s="126"/>
      <c r="AV326" s="126"/>
      <c r="AW326" s="126"/>
      <c r="AX326" s="274"/>
      <c r="AY326" s="274"/>
      <c r="AZ326" s="274"/>
      <c r="BA326" s="274"/>
      <c r="BB326" s="222">
        <f t="shared" si="126"/>
        <v>0</v>
      </c>
      <c r="BC326" s="140">
        <f t="shared" si="127"/>
        <v>0</v>
      </c>
      <c r="BD326" s="132"/>
      <c r="BE326" s="140">
        <f t="shared" si="128"/>
        <v>0</v>
      </c>
      <c r="BF326" s="141"/>
      <c r="BG326" s="141"/>
      <c r="BH326" s="141"/>
      <c r="BI326" s="141"/>
      <c r="BJ326" s="141"/>
      <c r="BK326" s="141"/>
      <c r="BL326" s="141"/>
      <c r="BM326" s="141"/>
      <c r="BN326" s="141"/>
      <c r="BO326" s="141"/>
      <c r="BP326" s="141"/>
      <c r="BQ326" s="141"/>
      <c r="BR326" s="141"/>
      <c r="BS326" s="130">
        <f t="shared" si="129"/>
        <v>0</v>
      </c>
      <c r="BT326" s="132"/>
    </row>
    <row r="327" ht="14.25" customHeight="1">
      <c r="A327" s="132"/>
      <c r="B327" s="215">
        <v>46315</v>
      </c>
      <c r="C327" s="136"/>
      <c r="D327" s="136"/>
      <c r="E327" s="135"/>
      <c r="F327" s="135"/>
      <c r="G327" s="147">
        <f t="shared" si="121"/>
        <v>0</v>
      </c>
      <c r="H327" s="144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03">
        <f t="shared" si="122"/>
        <v>0</v>
      </c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03">
        <f t="shared" si="123"/>
        <v>0</v>
      </c>
      <c r="AH327" s="136"/>
      <c r="AI327" s="136"/>
      <c r="AJ327" s="136"/>
      <c r="AK327" s="105">
        <f t="shared" si="124"/>
        <v>0</v>
      </c>
      <c r="AL327" s="143"/>
      <c r="AM327" s="143"/>
      <c r="AN327" s="143"/>
      <c r="AO327" s="146"/>
      <c r="AP327" s="224">
        <f t="shared" si="125"/>
        <v>0</v>
      </c>
      <c r="AQ327" s="126"/>
      <c r="AR327" s="274"/>
      <c r="AS327" s="126"/>
      <c r="AT327" s="126"/>
      <c r="AU327" s="126"/>
      <c r="AV327" s="126"/>
      <c r="AW327" s="126"/>
      <c r="AX327" s="274"/>
      <c r="AY327" s="274"/>
      <c r="AZ327" s="274"/>
      <c r="BA327" s="274"/>
      <c r="BB327" s="222">
        <f t="shared" si="126"/>
        <v>0</v>
      </c>
      <c r="BC327" s="140">
        <f t="shared" si="127"/>
        <v>0</v>
      </c>
      <c r="BD327" s="132"/>
      <c r="BE327" s="140">
        <f t="shared" si="128"/>
        <v>0</v>
      </c>
      <c r="BF327" s="141"/>
      <c r="BG327" s="141"/>
      <c r="BH327" s="141"/>
      <c r="BI327" s="141"/>
      <c r="BJ327" s="141"/>
      <c r="BK327" s="141"/>
      <c r="BL327" s="141"/>
      <c r="BM327" s="141"/>
      <c r="BN327" s="141"/>
      <c r="BO327" s="141"/>
      <c r="BP327" s="141"/>
      <c r="BQ327" s="141"/>
      <c r="BR327" s="141"/>
      <c r="BS327" s="130">
        <f t="shared" si="129"/>
        <v>0</v>
      </c>
      <c r="BT327" s="132"/>
    </row>
    <row r="328" ht="14.25" customHeight="1">
      <c r="A328" s="132"/>
      <c r="B328" s="215">
        <v>46316</v>
      </c>
      <c r="C328" s="136"/>
      <c r="D328" s="136"/>
      <c r="E328" s="135"/>
      <c r="F328" s="135"/>
      <c r="G328" s="147">
        <f t="shared" si="121"/>
        <v>0</v>
      </c>
      <c r="H328" s="144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03">
        <f t="shared" si="122"/>
        <v>0</v>
      </c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03">
        <f t="shared" si="123"/>
        <v>0</v>
      </c>
      <c r="AH328" s="136"/>
      <c r="AI328" s="136"/>
      <c r="AJ328" s="136"/>
      <c r="AK328" s="105">
        <f t="shared" si="124"/>
        <v>0</v>
      </c>
      <c r="AL328" s="143"/>
      <c r="AM328" s="143"/>
      <c r="AN328" s="143"/>
      <c r="AO328" s="146"/>
      <c r="AP328" s="224">
        <f t="shared" si="125"/>
        <v>0</v>
      </c>
      <c r="AQ328" s="126"/>
      <c r="AR328" s="274"/>
      <c r="AS328" s="126"/>
      <c r="AT328" s="126"/>
      <c r="AU328" s="126"/>
      <c r="AV328" s="126"/>
      <c r="AW328" s="126"/>
      <c r="AX328" s="274"/>
      <c r="AY328" s="274"/>
      <c r="AZ328" s="274"/>
      <c r="BA328" s="274"/>
      <c r="BB328" s="222">
        <f t="shared" si="126"/>
        <v>0</v>
      </c>
      <c r="BC328" s="140">
        <f t="shared" si="127"/>
        <v>0</v>
      </c>
      <c r="BD328" s="132"/>
      <c r="BE328" s="140">
        <f t="shared" si="128"/>
        <v>0</v>
      </c>
      <c r="BF328" s="141"/>
      <c r="BG328" s="141"/>
      <c r="BH328" s="141"/>
      <c r="BI328" s="141"/>
      <c r="BJ328" s="141"/>
      <c r="BK328" s="141"/>
      <c r="BL328" s="141"/>
      <c r="BM328" s="141"/>
      <c r="BN328" s="141"/>
      <c r="BO328" s="141"/>
      <c r="BP328" s="141"/>
      <c r="BQ328" s="141"/>
      <c r="BR328" s="141"/>
      <c r="BS328" s="130">
        <f t="shared" si="129"/>
        <v>0</v>
      </c>
      <c r="BT328" s="132"/>
    </row>
    <row r="329" ht="14.25" customHeight="1">
      <c r="A329" s="132"/>
      <c r="B329" s="215">
        <v>46317</v>
      </c>
      <c r="C329" s="136"/>
      <c r="D329" s="136"/>
      <c r="E329" s="135"/>
      <c r="F329" s="135"/>
      <c r="G329" s="147">
        <f t="shared" si="121"/>
        <v>0</v>
      </c>
      <c r="H329" s="144"/>
      <c r="I329" s="132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03">
        <f t="shared" si="122"/>
        <v>0</v>
      </c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03">
        <f t="shared" si="123"/>
        <v>0</v>
      </c>
      <c r="AH329" s="136"/>
      <c r="AI329" s="136"/>
      <c r="AJ329" s="136"/>
      <c r="AK329" s="105">
        <f t="shared" si="124"/>
        <v>0</v>
      </c>
      <c r="AL329" s="143"/>
      <c r="AM329" s="143"/>
      <c r="AN329" s="143"/>
      <c r="AO329" s="146"/>
      <c r="AP329" s="224">
        <f t="shared" si="125"/>
        <v>0</v>
      </c>
      <c r="AQ329" s="126"/>
      <c r="AR329" s="274"/>
      <c r="AS329" s="126"/>
      <c r="AT329" s="126"/>
      <c r="AU329" s="126"/>
      <c r="AV329" s="126"/>
      <c r="AW329" s="126"/>
      <c r="AX329" s="274"/>
      <c r="AY329" s="274"/>
      <c r="AZ329" s="274"/>
      <c r="BA329" s="274"/>
      <c r="BB329" s="222">
        <f t="shared" si="126"/>
        <v>0</v>
      </c>
      <c r="BC329" s="140">
        <f t="shared" si="127"/>
        <v>0</v>
      </c>
      <c r="BD329" s="132"/>
      <c r="BE329" s="140">
        <f t="shared" si="128"/>
        <v>0</v>
      </c>
      <c r="BF329" s="141"/>
      <c r="BG329" s="141"/>
      <c r="BH329" s="141"/>
      <c r="BI329" s="141"/>
      <c r="BJ329" s="141"/>
      <c r="BK329" s="141"/>
      <c r="BL329" s="141"/>
      <c r="BM329" s="141"/>
      <c r="BN329" s="141"/>
      <c r="BO329" s="141"/>
      <c r="BP329" s="141"/>
      <c r="BQ329" s="141"/>
      <c r="BR329" s="141"/>
      <c r="BS329" s="130">
        <f t="shared" si="129"/>
        <v>0</v>
      </c>
      <c r="BT329" s="132"/>
    </row>
    <row r="330" ht="14.25" customHeight="1">
      <c r="A330" s="132"/>
      <c r="B330" s="215">
        <v>46318</v>
      </c>
      <c r="C330" s="136"/>
      <c r="D330" s="136"/>
      <c r="E330" s="135"/>
      <c r="F330" s="135"/>
      <c r="G330" s="147">
        <f t="shared" si="121"/>
        <v>0</v>
      </c>
      <c r="H330" s="144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03">
        <f t="shared" si="122"/>
        <v>0</v>
      </c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03">
        <f t="shared" si="123"/>
        <v>0</v>
      </c>
      <c r="AH330" s="136"/>
      <c r="AI330" s="136"/>
      <c r="AJ330" s="136"/>
      <c r="AK330" s="105">
        <f t="shared" si="124"/>
        <v>0</v>
      </c>
      <c r="AL330" s="143"/>
      <c r="AM330" s="143"/>
      <c r="AN330" s="143"/>
      <c r="AO330" s="146"/>
      <c r="AP330" s="224">
        <f t="shared" si="125"/>
        <v>0</v>
      </c>
      <c r="AQ330" s="126"/>
      <c r="AR330" s="274"/>
      <c r="AS330" s="126"/>
      <c r="AT330" s="126"/>
      <c r="AU330" s="126"/>
      <c r="AV330" s="126"/>
      <c r="AW330" s="126"/>
      <c r="AX330" s="274"/>
      <c r="AY330" s="274"/>
      <c r="AZ330" s="274"/>
      <c r="BA330" s="274"/>
      <c r="BB330" s="222">
        <f t="shared" si="126"/>
        <v>0</v>
      </c>
      <c r="BC330" s="140">
        <f t="shared" si="127"/>
        <v>0</v>
      </c>
      <c r="BD330" s="132"/>
      <c r="BE330" s="140">
        <f t="shared" si="128"/>
        <v>0</v>
      </c>
      <c r="BF330" s="141"/>
      <c r="BG330" s="141"/>
      <c r="BH330" s="141"/>
      <c r="BI330" s="141"/>
      <c r="BJ330" s="141"/>
      <c r="BK330" s="141"/>
      <c r="BL330" s="141"/>
      <c r="BM330" s="141"/>
      <c r="BN330" s="141"/>
      <c r="BO330" s="141"/>
      <c r="BP330" s="141"/>
      <c r="BQ330" s="141"/>
      <c r="BR330" s="141"/>
      <c r="BS330" s="130">
        <f t="shared" si="129"/>
        <v>0</v>
      </c>
      <c r="BT330" s="132"/>
    </row>
    <row r="331" ht="14.25" customHeight="1">
      <c r="A331" s="132"/>
      <c r="B331" s="215">
        <v>46319</v>
      </c>
      <c r="C331" s="136"/>
      <c r="D331" s="136"/>
      <c r="E331" s="135"/>
      <c r="F331" s="135"/>
      <c r="G331" s="147">
        <f t="shared" si="121"/>
        <v>0</v>
      </c>
      <c r="H331" s="144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03">
        <f t="shared" si="122"/>
        <v>0</v>
      </c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03">
        <f t="shared" si="123"/>
        <v>0</v>
      </c>
      <c r="AH331" s="136"/>
      <c r="AI331" s="136"/>
      <c r="AJ331" s="136"/>
      <c r="AK331" s="105">
        <f t="shared" si="124"/>
        <v>0</v>
      </c>
      <c r="AL331" s="143"/>
      <c r="AM331" s="143"/>
      <c r="AN331" s="143"/>
      <c r="AO331" s="146"/>
      <c r="AP331" s="224">
        <f t="shared" si="125"/>
        <v>0</v>
      </c>
      <c r="AQ331" s="126"/>
      <c r="AR331" s="274"/>
      <c r="AS331" s="126"/>
      <c r="AT331" s="126"/>
      <c r="AU331" s="126"/>
      <c r="AV331" s="126"/>
      <c r="AW331" s="126"/>
      <c r="AX331" s="274"/>
      <c r="AY331" s="274"/>
      <c r="AZ331" s="274"/>
      <c r="BA331" s="274"/>
      <c r="BB331" s="222">
        <f t="shared" si="126"/>
        <v>0</v>
      </c>
      <c r="BC331" s="140">
        <f t="shared" si="127"/>
        <v>0</v>
      </c>
      <c r="BD331" s="132"/>
      <c r="BE331" s="140">
        <f t="shared" si="128"/>
        <v>0</v>
      </c>
      <c r="BF331" s="141"/>
      <c r="BG331" s="141"/>
      <c r="BH331" s="141"/>
      <c r="BI331" s="141"/>
      <c r="BJ331" s="141"/>
      <c r="BK331" s="141"/>
      <c r="BL331" s="141"/>
      <c r="BM331" s="141"/>
      <c r="BN331" s="141"/>
      <c r="BO331" s="141"/>
      <c r="BP331" s="141"/>
      <c r="BQ331" s="141"/>
      <c r="BR331" s="141"/>
      <c r="BS331" s="130">
        <f t="shared" si="129"/>
        <v>0</v>
      </c>
      <c r="BT331" s="132"/>
    </row>
    <row r="332" ht="14.25" customHeight="1">
      <c r="A332" s="132"/>
      <c r="B332" s="215">
        <v>46320</v>
      </c>
      <c r="C332" s="136"/>
      <c r="D332" s="136"/>
      <c r="E332" s="135"/>
      <c r="F332" s="135"/>
      <c r="G332" s="147">
        <f t="shared" si="121"/>
        <v>0</v>
      </c>
      <c r="H332" s="144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03">
        <f t="shared" si="122"/>
        <v>0</v>
      </c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  <c r="AF332" s="143"/>
      <c r="AG332" s="103">
        <f t="shared" si="123"/>
        <v>0</v>
      </c>
      <c r="AH332" s="136"/>
      <c r="AI332" s="136"/>
      <c r="AJ332" s="136"/>
      <c r="AK332" s="105">
        <f t="shared" si="124"/>
        <v>0</v>
      </c>
      <c r="AL332" s="143"/>
      <c r="AM332" s="143"/>
      <c r="AN332" s="143"/>
      <c r="AO332" s="146"/>
      <c r="AP332" s="224">
        <f t="shared" si="125"/>
        <v>0</v>
      </c>
      <c r="AQ332" s="126"/>
      <c r="AR332" s="274"/>
      <c r="AS332" s="126"/>
      <c r="AT332" s="126"/>
      <c r="AU332" s="126"/>
      <c r="AV332" s="126"/>
      <c r="AW332" s="126"/>
      <c r="AX332" s="274"/>
      <c r="AY332" s="274"/>
      <c r="AZ332" s="274"/>
      <c r="BA332" s="274"/>
      <c r="BB332" s="222">
        <f t="shared" si="126"/>
        <v>0</v>
      </c>
      <c r="BC332" s="140">
        <f t="shared" si="127"/>
        <v>0</v>
      </c>
      <c r="BD332" s="132"/>
      <c r="BE332" s="140">
        <f t="shared" si="128"/>
        <v>0</v>
      </c>
      <c r="BF332" s="141"/>
      <c r="BG332" s="141"/>
      <c r="BH332" s="141"/>
      <c r="BI332" s="141"/>
      <c r="BJ332" s="141"/>
      <c r="BK332" s="141"/>
      <c r="BL332" s="141"/>
      <c r="BM332" s="141"/>
      <c r="BN332" s="141"/>
      <c r="BO332" s="141"/>
      <c r="BP332" s="141"/>
      <c r="BQ332" s="141"/>
      <c r="BR332" s="141"/>
      <c r="BS332" s="130">
        <f t="shared" si="129"/>
        <v>0</v>
      </c>
      <c r="BT332" s="132"/>
    </row>
    <row r="333" ht="14.25" customHeight="1">
      <c r="A333" s="132"/>
      <c r="B333" s="215">
        <v>46321</v>
      </c>
      <c r="C333" s="136"/>
      <c r="D333" s="136"/>
      <c r="E333" s="135"/>
      <c r="F333" s="135"/>
      <c r="G333" s="147">
        <f t="shared" si="121"/>
        <v>0</v>
      </c>
      <c r="H333" s="144"/>
      <c r="I333" s="143"/>
      <c r="J333" s="143"/>
      <c r="K333" s="143"/>
      <c r="L333" s="143"/>
      <c r="M333" s="143"/>
      <c r="N333" s="99"/>
      <c r="O333" s="143"/>
      <c r="P333" s="143"/>
      <c r="Q333" s="143"/>
      <c r="R333" s="143"/>
      <c r="S333" s="143"/>
      <c r="T333" s="103">
        <f t="shared" si="122"/>
        <v>0</v>
      </c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03">
        <f t="shared" si="123"/>
        <v>0</v>
      </c>
      <c r="AH333" s="136"/>
      <c r="AI333" s="136"/>
      <c r="AJ333" s="136"/>
      <c r="AK333" s="105">
        <f t="shared" si="124"/>
        <v>0</v>
      </c>
      <c r="AL333" s="143"/>
      <c r="AM333" s="143"/>
      <c r="AN333" s="143"/>
      <c r="AO333" s="146"/>
      <c r="AP333" s="224">
        <f t="shared" si="125"/>
        <v>0</v>
      </c>
      <c r="AQ333" s="126"/>
      <c r="AR333" s="274"/>
      <c r="AS333" s="126"/>
      <c r="AT333" s="126"/>
      <c r="AU333" s="126"/>
      <c r="AV333" s="126"/>
      <c r="AW333" s="126"/>
      <c r="AX333" s="274"/>
      <c r="AY333" s="274"/>
      <c r="AZ333" s="274"/>
      <c r="BA333" s="274"/>
      <c r="BB333" s="222">
        <f t="shared" si="126"/>
        <v>0</v>
      </c>
      <c r="BC333" s="140">
        <f t="shared" si="127"/>
        <v>0</v>
      </c>
      <c r="BD333" s="132"/>
      <c r="BE333" s="140">
        <f t="shared" si="128"/>
        <v>0</v>
      </c>
      <c r="BF333" s="141"/>
      <c r="BG333" s="141"/>
      <c r="BH333" s="141"/>
      <c r="BI333" s="141"/>
      <c r="BJ333" s="141"/>
      <c r="BK333" s="141"/>
      <c r="BL333" s="141"/>
      <c r="BM333" s="141"/>
      <c r="BN333" s="141"/>
      <c r="BO333" s="141"/>
      <c r="BP333" s="141"/>
      <c r="BQ333" s="141"/>
      <c r="BR333" s="141"/>
      <c r="BS333" s="130">
        <f t="shared" si="129"/>
        <v>0</v>
      </c>
      <c r="BT333" s="132"/>
    </row>
    <row r="334" ht="14.25" customHeight="1">
      <c r="A334" s="132"/>
      <c r="B334" s="215">
        <v>46322</v>
      </c>
      <c r="C334" s="136"/>
      <c r="D334" s="136"/>
      <c r="E334" s="135"/>
      <c r="F334" s="135"/>
      <c r="G334" s="147">
        <f t="shared" si="121"/>
        <v>0</v>
      </c>
      <c r="H334" s="144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03">
        <f t="shared" si="122"/>
        <v>0</v>
      </c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03">
        <f t="shared" si="123"/>
        <v>0</v>
      </c>
      <c r="AH334" s="136"/>
      <c r="AI334" s="136"/>
      <c r="AJ334" s="136"/>
      <c r="AK334" s="105">
        <f t="shared" si="124"/>
        <v>0</v>
      </c>
      <c r="AL334" s="143"/>
      <c r="AM334" s="143"/>
      <c r="AN334" s="143"/>
      <c r="AO334" s="146"/>
      <c r="AP334" s="224">
        <f t="shared" si="125"/>
        <v>0</v>
      </c>
      <c r="AQ334" s="126"/>
      <c r="AR334" s="274"/>
      <c r="AS334" s="126"/>
      <c r="AT334" s="126"/>
      <c r="AU334" s="126"/>
      <c r="AV334" s="126"/>
      <c r="AW334" s="126"/>
      <c r="AX334" s="274"/>
      <c r="AY334" s="274"/>
      <c r="AZ334" s="274"/>
      <c r="BA334" s="274"/>
      <c r="BB334" s="222">
        <f t="shared" si="126"/>
        <v>0</v>
      </c>
      <c r="BC334" s="140">
        <f t="shared" si="127"/>
        <v>0</v>
      </c>
      <c r="BD334" s="132"/>
      <c r="BE334" s="140">
        <f t="shared" si="128"/>
        <v>0</v>
      </c>
      <c r="BF334" s="141"/>
      <c r="BG334" s="141"/>
      <c r="BH334" s="141"/>
      <c r="BI334" s="141"/>
      <c r="BJ334" s="141"/>
      <c r="BK334" s="141"/>
      <c r="BL334" s="141"/>
      <c r="BM334" s="141"/>
      <c r="BN334" s="141"/>
      <c r="BO334" s="141"/>
      <c r="BP334" s="141"/>
      <c r="BQ334" s="141"/>
      <c r="BR334" s="141"/>
      <c r="BS334" s="130">
        <f t="shared" si="129"/>
        <v>0</v>
      </c>
      <c r="BT334" s="132"/>
    </row>
    <row r="335" ht="14.25" customHeight="1">
      <c r="A335" s="132"/>
      <c r="B335" s="215">
        <v>46323</v>
      </c>
      <c r="C335" s="136"/>
      <c r="D335" s="136"/>
      <c r="E335" s="135"/>
      <c r="F335" s="135"/>
      <c r="G335" s="147">
        <f t="shared" si="121"/>
        <v>0</v>
      </c>
      <c r="H335" s="144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03">
        <f t="shared" si="122"/>
        <v>0</v>
      </c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  <c r="AF335" s="143"/>
      <c r="AG335" s="103">
        <f t="shared" si="123"/>
        <v>0</v>
      </c>
      <c r="AH335" s="136"/>
      <c r="AI335" s="136"/>
      <c r="AJ335" s="136"/>
      <c r="AK335" s="105">
        <f t="shared" si="124"/>
        <v>0</v>
      </c>
      <c r="AL335" s="143"/>
      <c r="AM335" s="143"/>
      <c r="AN335" s="143"/>
      <c r="AO335" s="146"/>
      <c r="AP335" s="224">
        <f t="shared" si="125"/>
        <v>0</v>
      </c>
      <c r="AQ335" s="126"/>
      <c r="AR335" s="274"/>
      <c r="AS335" s="126"/>
      <c r="AT335" s="126"/>
      <c r="AU335" s="126"/>
      <c r="AV335" s="126"/>
      <c r="AW335" s="126"/>
      <c r="AX335" s="274"/>
      <c r="AY335" s="274"/>
      <c r="AZ335" s="274"/>
      <c r="BA335" s="274"/>
      <c r="BB335" s="222">
        <f t="shared" si="126"/>
        <v>0</v>
      </c>
      <c r="BC335" s="140">
        <f t="shared" si="127"/>
        <v>0</v>
      </c>
      <c r="BD335" s="132"/>
      <c r="BE335" s="140">
        <f t="shared" si="128"/>
        <v>0</v>
      </c>
      <c r="BF335" s="141"/>
      <c r="BG335" s="141"/>
      <c r="BH335" s="141"/>
      <c r="BI335" s="141"/>
      <c r="BJ335" s="141"/>
      <c r="BK335" s="141"/>
      <c r="BL335" s="141"/>
      <c r="BM335" s="141"/>
      <c r="BN335" s="141"/>
      <c r="BO335" s="141"/>
      <c r="BP335" s="141"/>
      <c r="BQ335" s="141"/>
      <c r="BR335" s="141"/>
      <c r="BS335" s="130">
        <f t="shared" si="129"/>
        <v>0</v>
      </c>
      <c r="BT335" s="132"/>
    </row>
    <row r="336" ht="14.25" customHeight="1">
      <c r="A336" s="132"/>
      <c r="B336" s="215">
        <v>46324</v>
      </c>
      <c r="C336" s="136"/>
      <c r="D336" s="136"/>
      <c r="E336" s="135"/>
      <c r="F336" s="135"/>
      <c r="G336" s="147">
        <f t="shared" si="121"/>
        <v>0</v>
      </c>
      <c r="H336" s="144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03">
        <f t="shared" si="122"/>
        <v>0</v>
      </c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03">
        <f t="shared" si="123"/>
        <v>0</v>
      </c>
      <c r="AH336" s="136"/>
      <c r="AI336" s="136"/>
      <c r="AJ336" s="136"/>
      <c r="AK336" s="105">
        <f t="shared" si="124"/>
        <v>0</v>
      </c>
      <c r="AL336" s="143"/>
      <c r="AM336" s="143"/>
      <c r="AN336" s="143"/>
      <c r="AO336" s="146"/>
      <c r="AP336" s="224">
        <f t="shared" si="125"/>
        <v>0</v>
      </c>
      <c r="AQ336" s="126"/>
      <c r="AR336" s="274"/>
      <c r="AS336" s="126"/>
      <c r="AT336" s="126"/>
      <c r="AU336" s="126"/>
      <c r="AV336" s="126"/>
      <c r="AW336" s="126"/>
      <c r="AX336" s="274"/>
      <c r="AY336" s="274"/>
      <c r="AZ336" s="274"/>
      <c r="BA336" s="274"/>
      <c r="BB336" s="222">
        <f t="shared" si="126"/>
        <v>0</v>
      </c>
      <c r="BC336" s="140">
        <f t="shared" si="127"/>
        <v>0</v>
      </c>
      <c r="BD336" s="132"/>
      <c r="BE336" s="140">
        <f t="shared" si="128"/>
        <v>0</v>
      </c>
      <c r="BF336" s="141"/>
      <c r="BG336" s="141"/>
      <c r="BH336" s="141"/>
      <c r="BI336" s="141"/>
      <c r="BJ336" s="141"/>
      <c r="BK336" s="141"/>
      <c r="BL336" s="141"/>
      <c r="BM336" s="141"/>
      <c r="BN336" s="141"/>
      <c r="BO336" s="141"/>
      <c r="BP336" s="141"/>
      <c r="BQ336" s="141"/>
      <c r="BR336" s="141"/>
      <c r="BS336" s="130">
        <f t="shared" si="129"/>
        <v>0</v>
      </c>
      <c r="BT336" s="132"/>
    </row>
    <row r="337" ht="14.25" customHeight="1">
      <c r="A337" s="132"/>
      <c r="B337" s="215">
        <v>46325</v>
      </c>
      <c r="C337" s="136"/>
      <c r="D337" s="136"/>
      <c r="E337" s="135"/>
      <c r="F337" s="135"/>
      <c r="G337" s="98">
        <f t="shared" si="121"/>
        <v>0</v>
      </c>
      <c r="H337" s="1419"/>
      <c r="I337" s="144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03">
        <f t="shared" si="122"/>
        <v>0</v>
      </c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03">
        <f t="shared" si="123"/>
        <v>0</v>
      </c>
      <c r="AH337" s="136"/>
      <c r="AI337" s="136"/>
      <c r="AJ337" s="136"/>
      <c r="AK337" s="105">
        <f t="shared" si="124"/>
        <v>0</v>
      </c>
      <c r="AL337" s="143"/>
      <c r="AM337" s="143"/>
      <c r="AN337" s="143"/>
      <c r="AO337" s="146"/>
      <c r="AP337" s="224">
        <f t="shared" si="125"/>
        <v>0</v>
      </c>
      <c r="AQ337" s="126"/>
      <c r="AR337" s="274"/>
      <c r="AS337" s="126"/>
      <c r="AT337" s="126"/>
      <c r="AU337" s="126"/>
      <c r="AV337" s="126"/>
      <c r="AW337" s="126"/>
      <c r="AX337" s="274"/>
      <c r="AY337" s="274"/>
      <c r="AZ337" s="274"/>
      <c r="BA337" s="274"/>
      <c r="BB337" s="222">
        <f t="shared" si="126"/>
        <v>0</v>
      </c>
      <c r="BC337" s="140">
        <f t="shared" si="127"/>
        <v>0</v>
      </c>
      <c r="BD337" s="132"/>
      <c r="BE337" s="140">
        <f t="shared" si="128"/>
        <v>0</v>
      </c>
      <c r="BF337" s="141"/>
      <c r="BG337" s="141"/>
      <c r="BH337" s="141"/>
      <c r="BI337" s="141"/>
      <c r="BJ337" s="141"/>
      <c r="BK337" s="141"/>
      <c r="BL337" s="141"/>
      <c r="BM337" s="141"/>
      <c r="BN337" s="141"/>
      <c r="BO337" s="141"/>
      <c r="BP337" s="141"/>
      <c r="BQ337" s="141"/>
      <c r="BR337" s="141"/>
      <c r="BS337" s="130">
        <f t="shared" si="129"/>
        <v>0</v>
      </c>
      <c r="BT337" s="132"/>
    </row>
    <row r="338" ht="14.25" customHeight="1">
      <c r="A338" s="132"/>
      <c r="B338" s="215">
        <v>46326</v>
      </c>
      <c r="C338" s="159"/>
      <c r="D338" s="159"/>
      <c r="E338" s="156"/>
      <c r="F338" s="156"/>
      <c r="G338" s="147">
        <f t="shared" si="121"/>
        <v>0</v>
      </c>
      <c r="H338" s="612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03">
        <f t="shared" si="122"/>
        <v>0</v>
      </c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03">
        <f t="shared" si="123"/>
        <v>0</v>
      </c>
      <c r="AH338" s="159"/>
      <c r="AI338" s="159"/>
      <c r="AJ338" s="159"/>
      <c r="AK338" s="105">
        <f t="shared" si="124"/>
        <v>0</v>
      </c>
      <c r="AL338" s="157"/>
      <c r="AM338" s="157"/>
      <c r="AN338" s="157"/>
      <c r="AO338" s="160"/>
      <c r="AP338" s="224">
        <f t="shared" si="125"/>
        <v>0</v>
      </c>
      <c r="AQ338" s="138"/>
      <c r="AR338" s="296"/>
      <c r="AS338" s="126"/>
      <c r="AT338" s="138"/>
      <c r="AU338" s="126"/>
      <c r="AV338" s="126"/>
      <c r="AW338" s="138"/>
      <c r="AX338" s="296"/>
      <c r="AY338" s="296"/>
      <c r="AZ338" s="296"/>
      <c r="BA338" s="296"/>
      <c r="BB338" s="222">
        <f t="shared" si="126"/>
        <v>0</v>
      </c>
      <c r="BC338" s="162">
        <f t="shared" si="127"/>
        <v>0</v>
      </c>
      <c r="BD338" s="132"/>
      <c r="BE338" s="162">
        <f t="shared" si="128"/>
        <v>0</v>
      </c>
      <c r="BF338" s="163"/>
      <c r="BG338" s="163"/>
      <c r="BH338" s="163"/>
      <c r="BI338" s="163"/>
      <c r="BJ338" s="163"/>
      <c r="BK338" s="163"/>
      <c r="BL338" s="163"/>
      <c r="BM338" s="163"/>
      <c r="BN338" s="163"/>
      <c r="BO338" s="141"/>
      <c r="BP338" s="163"/>
      <c r="BQ338" s="163"/>
      <c r="BR338" s="163"/>
      <c r="BS338" s="164">
        <f t="shared" si="129"/>
        <v>0</v>
      </c>
      <c r="BT338" s="132"/>
    </row>
    <row r="339" ht="14.25" customHeight="1">
      <c r="A339" s="3"/>
      <c r="B339" s="2" t="s">
        <v>84</v>
      </c>
      <c r="C339" s="166">
        <f ref="C339:G339" t="shared" si="130">SUM(C308:C338)</f>
        <v>0</v>
      </c>
      <c r="D339" s="166">
        <f t="shared" si="130"/>
        <v>0</v>
      </c>
      <c r="E339" s="166">
        <f t="shared" si="130"/>
        <v>0</v>
      </c>
      <c r="F339" s="166">
        <f t="shared" si="130"/>
        <v>0</v>
      </c>
      <c r="G339" s="166">
        <f t="shared" si="130"/>
        <v>0</v>
      </c>
      <c r="H339" s="166"/>
      <c r="I339" s="166"/>
      <c r="J339" s="166"/>
      <c r="K339" s="166">
        <f ref="K339:T339" t="shared" si="131">SUM(K308:K338)</f>
        <v>0</v>
      </c>
      <c r="L339" s="166">
        <f t="shared" si="131"/>
        <v>0</v>
      </c>
      <c r="M339" s="166">
        <f t="shared" si="131"/>
        <v>0</v>
      </c>
      <c r="N339" s="166">
        <f t="shared" si="131"/>
        <v>0</v>
      </c>
      <c r="O339" s="166">
        <f t="shared" si="131"/>
        <v>0</v>
      </c>
      <c r="P339" s="166">
        <f t="shared" si="131"/>
        <v>0</v>
      </c>
      <c r="Q339" s="166">
        <f t="shared" si="131"/>
        <v>0</v>
      </c>
      <c r="R339" s="166">
        <f t="shared" si="131"/>
        <v>0</v>
      </c>
      <c r="S339" s="166">
        <f t="shared" si="131"/>
        <v>0</v>
      </c>
      <c r="T339" s="166">
        <f t="shared" si="131"/>
        <v>0</v>
      </c>
      <c r="U339" s="166"/>
      <c r="V339" s="166">
        <f ref="V339:AK339" t="shared" si="132">SUM(V308:V338)</f>
        <v>0</v>
      </c>
      <c r="W339" s="166">
        <f t="shared" si="132"/>
        <v>0</v>
      </c>
      <c r="X339" s="166">
        <f t="shared" si="132"/>
        <v>0</v>
      </c>
      <c r="Y339" s="166">
        <f t="shared" si="132"/>
        <v>0</v>
      </c>
      <c r="Z339" s="166">
        <f t="shared" si="132"/>
        <v>0</v>
      </c>
      <c r="AA339" s="166">
        <f t="shared" si="132"/>
        <v>0</v>
      </c>
      <c r="AB339" s="166">
        <f t="shared" si="132"/>
        <v>0</v>
      </c>
      <c r="AC339" s="166">
        <f t="shared" si="132"/>
        <v>0</v>
      </c>
      <c r="AD339" s="166">
        <f t="shared" si="132"/>
        <v>0</v>
      </c>
      <c r="AE339" s="166">
        <f t="shared" si="132"/>
        <v>0</v>
      </c>
      <c r="AF339" s="166">
        <f t="shared" si="132"/>
        <v>0</v>
      </c>
      <c r="AG339" s="166">
        <f t="shared" si="132"/>
        <v>0</v>
      </c>
      <c r="AH339" s="166">
        <f t="shared" si="132"/>
        <v>0</v>
      </c>
      <c r="AI339" s="166">
        <f t="shared" si="132"/>
        <v>0</v>
      </c>
      <c r="AJ339" s="166">
        <f t="shared" si="132"/>
        <v>0</v>
      </c>
      <c r="AK339" s="166">
        <f t="shared" si="132"/>
        <v>0</v>
      </c>
      <c r="AL339" s="166"/>
      <c r="AM339" s="166"/>
      <c r="AN339" s="166"/>
      <c r="AO339" s="166"/>
      <c r="AP339" s="166">
        <f ref="AP339:BC339" t="shared" si="133">SUM(AP308:AP338)</f>
        <v>0</v>
      </c>
      <c r="AQ339" s="166">
        <f t="shared" si="133"/>
        <v>0</v>
      </c>
      <c r="AR339" s="166">
        <f t="shared" si="133"/>
        <v>0</v>
      </c>
      <c r="AS339" s="166">
        <f t="shared" si="133"/>
        <v>0</v>
      </c>
      <c r="AT339" s="166">
        <f t="shared" si="133"/>
        <v>0</v>
      </c>
      <c r="AU339" s="166">
        <f t="shared" si="133"/>
        <v>0</v>
      </c>
      <c r="AV339" s="166">
        <f t="shared" si="133"/>
        <v>0</v>
      </c>
      <c r="AW339" s="166">
        <f t="shared" si="133"/>
        <v>0</v>
      </c>
      <c r="AX339" s="166">
        <f t="shared" si="133"/>
        <v>0</v>
      </c>
      <c r="AY339" s="166">
        <f t="shared" si="133"/>
        <v>0</v>
      </c>
      <c r="AZ339" s="166">
        <f t="shared" si="133"/>
        <v>0</v>
      </c>
      <c r="BA339" s="166">
        <f t="shared" si="133"/>
        <v>0</v>
      </c>
      <c r="BB339" s="166">
        <f t="shared" si="133"/>
        <v>0</v>
      </c>
      <c r="BC339" s="166">
        <f t="shared" si="133"/>
        <v>0</v>
      </c>
      <c r="BD339" s="3"/>
      <c r="BE339" s="172">
        <f ref="BE339:BS339" t="shared" si="134">SUM(BE308:BE338)</f>
        <v>0</v>
      </c>
      <c r="BF339" s="165">
        <f t="shared" si="134"/>
        <v>0</v>
      </c>
      <c r="BG339" s="165">
        <f t="shared" si="134"/>
        <v>0</v>
      </c>
      <c r="BH339" s="165">
        <f t="shared" si="134"/>
        <v>0</v>
      </c>
      <c r="BI339" s="165">
        <f t="shared" si="134"/>
        <v>0</v>
      </c>
      <c r="BJ339" s="165">
        <f t="shared" si="134"/>
        <v>0</v>
      </c>
      <c r="BK339" s="165">
        <f t="shared" si="134"/>
        <v>0</v>
      </c>
      <c r="BL339" s="165">
        <f t="shared" si="134"/>
        <v>0</v>
      </c>
      <c r="BM339" s="165">
        <f t="shared" si="134"/>
        <v>0</v>
      </c>
      <c r="BN339" s="165">
        <f t="shared" si="134"/>
        <v>0</v>
      </c>
      <c r="BO339" s="165">
        <f t="shared" si="134"/>
        <v>0</v>
      </c>
      <c r="BP339" s="165">
        <f t="shared" si="134"/>
        <v>0</v>
      </c>
      <c r="BQ339" s="165">
        <f t="shared" si="134"/>
        <v>0</v>
      </c>
      <c r="BR339" s="165">
        <f t="shared" si="134"/>
        <v>0</v>
      </c>
      <c r="BS339" s="165">
        <f t="shared" si="134"/>
        <v>0</v>
      </c>
      <c r="BT339" s="3"/>
    </row>
    <row r="340" ht="14.25" customHeight="1">
      <c r="A340" s="1"/>
      <c r="B340" s="2"/>
      <c r="C340" s="3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4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4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ht="14.25" customHeight="1">
      <c r="A341" s="1"/>
      <c r="B341" s="2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176"/>
      <c r="AH341" s="3"/>
      <c r="AI341" s="3"/>
      <c r="AJ341" s="3"/>
      <c r="AK341" s="4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05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ht="14.25" customHeight="1">
      <c r="A342" s="132"/>
      <c r="B342" s="215">
        <v>46327</v>
      </c>
      <c r="C342" s="190"/>
      <c r="D342" s="190"/>
      <c r="E342" s="182"/>
      <c r="F342" s="182"/>
      <c r="G342" s="265">
        <f ref="G342:G371" t="shared" si="135">+C342+D342+E342+F342</f>
        <v>0</v>
      </c>
      <c r="H342" s="187"/>
      <c r="I342" s="186"/>
      <c r="J342" s="186"/>
      <c r="K342" s="186"/>
      <c r="L342" s="186"/>
      <c r="M342" s="186"/>
      <c r="N342" s="186"/>
      <c r="O342" s="186"/>
      <c r="P342" s="186"/>
      <c r="Q342" s="186"/>
      <c r="R342" s="186"/>
      <c r="S342" s="186"/>
      <c r="T342" s="103">
        <f ref="T342:T371" t="shared" si="136">SUM(H342:S342)</f>
        <v>0</v>
      </c>
      <c r="U342" s="186"/>
      <c r="V342" s="186"/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03">
        <f ref="AG342:AG371" t="shared" si="137">SUM(U342:AF342)</f>
        <v>0</v>
      </c>
      <c r="AH342" s="190"/>
      <c r="AI342" s="190"/>
      <c r="AJ342" s="190"/>
      <c r="AK342" s="191">
        <f ref="AK342:AK371" t="shared" si="138">SUM(AH342:AJ342)</f>
        <v>0</v>
      </c>
      <c r="AL342" s="186"/>
      <c r="AM342" s="186"/>
      <c r="AN342" s="186"/>
      <c r="AO342" s="193"/>
      <c r="AP342" s="266">
        <f ref="AP342:AP371" t="shared" si="139">+G342-T342-AG342-AK342-AL342-AM342-AN342-AO342</f>
        <v>0</v>
      </c>
      <c r="AQ342" s="109"/>
      <c r="AR342" s="269"/>
      <c r="AS342" s="109"/>
      <c r="AT342" s="109"/>
      <c r="AU342" s="109"/>
      <c r="AV342" s="109"/>
      <c r="AW342" s="109"/>
      <c r="AX342" s="269"/>
      <c r="AY342" s="269"/>
      <c r="AZ342" s="269"/>
      <c r="BA342" s="269"/>
      <c r="BB342" s="222">
        <f ref="BB342:BB371" t="shared" si="140">SUM(AQ342:BA342)-AZ342</f>
        <v>0</v>
      </c>
      <c r="BC342" s="195">
        <f ref="BC342:BC371" t="shared" si="141">+AP342-BB342</f>
        <v>0</v>
      </c>
      <c r="BD342" s="132"/>
      <c r="BE342" s="195">
        <f ref="BE342:BE371" t="shared" si="142">SUM(BF342:BR342)</f>
        <v>0</v>
      </c>
      <c r="BF342" s="196"/>
      <c r="BG342" s="196"/>
      <c r="BH342" s="196"/>
      <c r="BI342" s="196"/>
      <c r="BJ342" s="196"/>
      <c r="BK342" s="196"/>
      <c r="BL342" s="196"/>
      <c r="BM342" s="196"/>
      <c r="BN342" s="196"/>
      <c r="BO342" s="196"/>
      <c r="BP342" s="196"/>
      <c r="BQ342" s="196"/>
      <c r="BR342" s="196"/>
      <c r="BS342" s="116">
        <f ref="BS342:BS371" t="shared" si="143">+BC342-BE342</f>
        <v>0</v>
      </c>
      <c r="BT342" s="132"/>
    </row>
    <row r="343" ht="14.25" customHeight="1">
      <c r="A343" s="132"/>
      <c r="B343" s="215">
        <v>46328</v>
      </c>
      <c r="C343" s="136"/>
      <c r="D343" s="136"/>
      <c r="E343" s="135"/>
      <c r="F343" s="135"/>
      <c r="G343" s="147">
        <f t="shared" si="135"/>
        <v>0</v>
      </c>
      <c r="H343" s="144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03">
        <f t="shared" si="136"/>
        <v>0</v>
      </c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  <c r="AF343" s="143"/>
      <c r="AG343" s="103">
        <f t="shared" si="137"/>
        <v>0</v>
      </c>
      <c r="AH343" s="136"/>
      <c r="AI343" s="136"/>
      <c r="AJ343" s="136"/>
      <c r="AK343" s="105">
        <f t="shared" si="138"/>
        <v>0</v>
      </c>
      <c r="AL343" s="143"/>
      <c r="AM343" s="143"/>
      <c r="AN343" s="143"/>
      <c r="AO343" s="146"/>
      <c r="AP343" s="224">
        <f t="shared" si="139"/>
        <v>0</v>
      </c>
      <c r="AQ343" s="126"/>
      <c r="AR343" s="274"/>
      <c r="AS343" s="126"/>
      <c r="AT343" s="126"/>
      <c r="AU343" s="126"/>
      <c r="AV343" s="126"/>
      <c r="AW343" s="126"/>
      <c r="AX343" s="274"/>
      <c r="AY343" s="274"/>
      <c r="AZ343" s="274"/>
      <c r="BA343" s="274"/>
      <c r="BB343" s="222">
        <f t="shared" si="140"/>
        <v>0</v>
      </c>
      <c r="BC343" s="140">
        <f t="shared" si="141"/>
        <v>0</v>
      </c>
      <c r="BD343" s="132"/>
      <c r="BE343" s="140">
        <f t="shared" si="142"/>
        <v>0</v>
      </c>
      <c r="BF343" s="141"/>
      <c r="BG343" s="141"/>
      <c r="BH343" s="141"/>
      <c r="BI343" s="141"/>
      <c r="BJ343" s="141"/>
      <c r="BK343" s="141"/>
      <c r="BL343" s="141"/>
      <c r="BM343" s="141"/>
      <c r="BN343" s="141"/>
      <c r="BO343" s="141"/>
      <c r="BP343" s="141"/>
      <c r="BQ343" s="141"/>
      <c r="BR343" s="141"/>
      <c r="BS343" s="130">
        <f t="shared" si="143"/>
        <v>0</v>
      </c>
      <c r="BT343" s="132"/>
    </row>
    <row r="344" ht="14.25" customHeight="1">
      <c r="A344" s="132"/>
      <c r="B344" s="215">
        <v>46329</v>
      </c>
      <c r="C344" s="136"/>
      <c r="D344" s="136"/>
      <c r="E344" s="135"/>
      <c r="F344" s="135"/>
      <c r="G344" s="147">
        <f t="shared" si="135"/>
        <v>0</v>
      </c>
      <c r="H344" s="144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03">
        <f t="shared" si="136"/>
        <v>0</v>
      </c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  <c r="AF344" s="143"/>
      <c r="AG344" s="103">
        <f t="shared" si="137"/>
        <v>0</v>
      </c>
      <c r="AH344" s="136"/>
      <c r="AI344" s="136"/>
      <c r="AJ344" s="136"/>
      <c r="AK344" s="105">
        <f t="shared" si="138"/>
        <v>0</v>
      </c>
      <c r="AL344" s="143"/>
      <c r="AM344" s="143"/>
      <c r="AN344" s="143"/>
      <c r="AO344" s="146"/>
      <c r="AP344" s="224">
        <f t="shared" si="139"/>
        <v>0</v>
      </c>
      <c r="AQ344" s="126"/>
      <c r="AR344" s="274"/>
      <c r="AS344" s="126"/>
      <c r="AT344" s="126"/>
      <c r="AU344" s="126"/>
      <c r="AV344" s="126"/>
      <c r="AW344" s="126"/>
      <c r="AX344" s="274"/>
      <c r="AY344" s="274"/>
      <c r="AZ344" s="274"/>
      <c r="BA344" s="274"/>
      <c r="BB344" s="222">
        <f t="shared" si="140"/>
        <v>0</v>
      </c>
      <c r="BC344" s="140">
        <f t="shared" si="141"/>
        <v>0</v>
      </c>
      <c r="BD344" s="132"/>
      <c r="BE344" s="140">
        <f t="shared" si="142"/>
        <v>0</v>
      </c>
      <c r="BF344" s="141"/>
      <c r="BG344" s="141"/>
      <c r="BH344" s="141"/>
      <c r="BI344" s="141"/>
      <c r="BJ344" s="141"/>
      <c r="BK344" s="141"/>
      <c r="BL344" s="141"/>
      <c r="BM344" s="141"/>
      <c r="BN344" s="141"/>
      <c r="BO344" s="141"/>
      <c r="BP344" s="495"/>
      <c r="BQ344" s="141"/>
      <c r="BR344" s="495"/>
      <c r="BS344" s="130">
        <f t="shared" si="143"/>
        <v>0</v>
      </c>
      <c r="BT344" s="132"/>
    </row>
    <row r="345" ht="14.25" customHeight="1">
      <c r="A345" s="132"/>
      <c r="B345" s="215">
        <v>46330</v>
      </c>
      <c r="C345" s="136"/>
      <c r="D345" s="136"/>
      <c r="E345" s="135"/>
      <c r="F345" s="135"/>
      <c r="G345" s="147">
        <f t="shared" si="135"/>
        <v>0</v>
      </c>
      <c r="H345" s="144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03">
        <f t="shared" si="136"/>
        <v>0</v>
      </c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  <c r="AF345" s="143"/>
      <c r="AG345" s="103">
        <f t="shared" si="137"/>
        <v>0</v>
      </c>
      <c r="AH345" s="136"/>
      <c r="AI345" s="136"/>
      <c r="AJ345" s="136"/>
      <c r="AK345" s="105">
        <f t="shared" si="138"/>
        <v>0</v>
      </c>
      <c r="AL345" s="143"/>
      <c r="AM345" s="143"/>
      <c r="AN345" s="143"/>
      <c r="AO345" s="146"/>
      <c r="AP345" s="224">
        <f t="shared" si="139"/>
        <v>0</v>
      </c>
      <c r="AQ345" s="126"/>
      <c r="AR345" s="274"/>
      <c r="AS345" s="274"/>
      <c r="AT345" s="126"/>
      <c r="AU345" s="126"/>
      <c r="AV345" s="126"/>
      <c r="AW345" s="126"/>
      <c r="AX345" s="274"/>
      <c r="AY345" s="274"/>
      <c r="AZ345" s="274"/>
      <c r="BA345" s="274"/>
      <c r="BB345" s="222">
        <f t="shared" si="140"/>
        <v>0</v>
      </c>
      <c r="BC345" s="140">
        <f t="shared" si="141"/>
        <v>0</v>
      </c>
      <c r="BD345" s="132"/>
      <c r="BE345" s="140">
        <f t="shared" si="142"/>
        <v>0</v>
      </c>
      <c r="BF345" s="141"/>
      <c r="BG345" s="141"/>
      <c r="BH345" s="141"/>
      <c r="BI345" s="141"/>
      <c r="BJ345" s="141"/>
      <c r="BK345" s="141"/>
      <c r="BL345" s="141"/>
      <c r="BM345" s="141"/>
      <c r="BN345" s="141"/>
      <c r="BO345" s="141"/>
      <c r="BP345" s="141"/>
      <c r="BQ345" s="141"/>
      <c r="BR345" s="141"/>
      <c r="BS345" s="130">
        <f t="shared" si="143"/>
        <v>0</v>
      </c>
      <c r="BT345" s="132"/>
    </row>
    <row r="346" ht="14.25" customHeight="1">
      <c r="A346" s="132"/>
      <c r="B346" s="215">
        <v>46331</v>
      </c>
      <c r="C346" s="136"/>
      <c r="D346" s="136"/>
      <c r="E346" s="135"/>
      <c r="F346" s="135"/>
      <c r="G346" s="147">
        <f t="shared" si="135"/>
        <v>0</v>
      </c>
      <c r="H346" s="144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03">
        <f t="shared" si="136"/>
        <v>0</v>
      </c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  <c r="AF346" s="143"/>
      <c r="AG346" s="103">
        <f t="shared" si="137"/>
        <v>0</v>
      </c>
      <c r="AH346" s="136"/>
      <c r="AI346" s="136"/>
      <c r="AJ346" s="136"/>
      <c r="AK346" s="105">
        <f t="shared" si="138"/>
        <v>0</v>
      </c>
      <c r="AL346" s="143"/>
      <c r="AM346" s="143"/>
      <c r="AN346" s="143"/>
      <c r="AO346" s="146"/>
      <c r="AP346" s="224">
        <f t="shared" si="139"/>
        <v>0</v>
      </c>
      <c r="AQ346" s="126"/>
      <c r="AR346" s="274"/>
      <c r="AS346" s="126"/>
      <c r="AT346" s="126"/>
      <c r="AU346" s="126"/>
      <c r="AV346" s="126"/>
      <c r="AW346" s="126"/>
      <c r="AX346" s="274"/>
      <c r="AY346" s="274"/>
      <c r="AZ346" s="274"/>
      <c r="BA346" s="274"/>
      <c r="BB346" s="222">
        <f t="shared" si="140"/>
        <v>0</v>
      </c>
      <c r="BC346" s="140">
        <f t="shared" si="141"/>
        <v>0</v>
      </c>
      <c r="BD346" s="132"/>
      <c r="BE346" s="140">
        <f t="shared" si="142"/>
        <v>0</v>
      </c>
      <c r="BF346" s="141"/>
      <c r="BG346" s="141"/>
      <c r="BH346" s="141"/>
      <c r="BI346" s="141"/>
      <c r="BJ346" s="141"/>
      <c r="BK346" s="141"/>
      <c r="BL346" s="141"/>
      <c r="BM346" s="141"/>
      <c r="BN346" s="141"/>
      <c r="BO346" s="141"/>
      <c r="BP346" s="141"/>
      <c r="BQ346" s="141"/>
      <c r="BR346" s="141"/>
      <c r="BS346" s="130">
        <f t="shared" si="143"/>
        <v>0</v>
      </c>
      <c r="BT346" s="132"/>
    </row>
    <row r="347" ht="14.25" customHeight="1">
      <c r="A347" s="132"/>
      <c r="B347" s="215">
        <v>46332</v>
      </c>
      <c r="C347" s="136"/>
      <c r="D347" s="136"/>
      <c r="E347" s="135"/>
      <c r="F347" s="135"/>
      <c r="G347" s="147">
        <f t="shared" si="135"/>
        <v>0</v>
      </c>
      <c r="H347" s="144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03">
        <f t="shared" si="136"/>
        <v>0</v>
      </c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  <c r="AF347" s="143"/>
      <c r="AG347" s="103">
        <f t="shared" si="137"/>
        <v>0</v>
      </c>
      <c r="AH347" s="136"/>
      <c r="AI347" s="136"/>
      <c r="AJ347" s="136"/>
      <c r="AK347" s="105">
        <f t="shared" si="138"/>
        <v>0</v>
      </c>
      <c r="AL347" s="143"/>
      <c r="AM347" s="143"/>
      <c r="AN347" s="143"/>
      <c r="AO347" s="146"/>
      <c r="AP347" s="224">
        <f t="shared" si="139"/>
        <v>0</v>
      </c>
      <c r="AQ347" s="126"/>
      <c r="AR347" s="274"/>
      <c r="AS347" s="126"/>
      <c r="AT347" s="126"/>
      <c r="AU347" s="126"/>
      <c r="AV347" s="126"/>
      <c r="AW347" s="126"/>
      <c r="AX347" s="274"/>
      <c r="AY347" s="274"/>
      <c r="AZ347" s="274"/>
      <c r="BA347" s="274"/>
      <c r="BB347" s="222">
        <f t="shared" si="140"/>
        <v>0</v>
      </c>
      <c r="BC347" s="140">
        <f t="shared" si="141"/>
        <v>0</v>
      </c>
      <c r="BD347" s="132"/>
      <c r="BE347" s="140">
        <f t="shared" si="142"/>
        <v>0</v>
      </c>
      <c r="BF347" s="141"/>
      <c r="BG347" s="141"/>
      <c r="BH347" s="141"/>
      <c r="BI347" s="141"/>
      <c r="BJ347" s="141"/>
      <c r="BK347" s="141"/>
      <c r="BL347" s="141"/>
      <c r="BM347" s="141"/>
      <c r="BN347" s="141"/>
      <c r="BO347" s="141"/>
      <c r="BP347" s="141"/>
      <c r="BQ347" s="141"/>
      <c r="BR347" s="141"/>
      <c r="BS347" s="130">
        <f t="shared" si="143"/>
        <v>0</v>
      </c>
      <c r="BT347" s="132"/>
    </row>
    <row r="348" ht="14.25" customHeight="1">
      <c r="A348" s="132"/>
      <c r="B348" s="215">
        <v>46333</v>
      </c>
      <c r="C348" s="136"/>
      <c r="D348" s="136"/>
      <c r="E348" s="135"/>
      <c r="F348" s="135"/>
      <c r="G348" s="147">
        <f t="shared" si="135"/>
        <v>0</v>
      </c>
      <c r="H348" s="144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03">
        <f t="shared" si="136"/>
        <v>0</v>
      </c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  <c r="AF348" s="143"/>
      <c r="AG348" s="103">
        <f t="shared" si="137"/>
        <v>0</v>
      </c>
      <c r="AH348" s="136"/>
      <c r="AI348" s="136"/>
      <c r="AJ348" s="136"/>
      <c r="AK348" s="105">
        <f t="shared" si="138"/>
        <v>0</v>
      </c>
      <c r="AL348" s="143"/>
      <c r="AM348" s="143"/>
      <c r="AN348" s="143"/>
      <c r="AO348" s="146"/>
      <c r="AP348" s="224">
        <f t="shared" si="139"/>
        <v>0</v>
      </c>
      <c r="AQ348" s="126"/>
      <c r="AR348" s="274"/>
      <c r="AS348" s="126"/>
      <c r="AT348" s="126"/>
      <c r="AU348" s="126"/>
      <c r="AV348" s="126"/>
      <c r="AW348" s="126"/>
      <c r="AX348" s="274"/>
      <c r="AY348" s="274"/>
      <c r="AZ348" s="274"/>
      <c r="BA348" s="274"/>
      <c r="BB348" s="222">
        <f t="shared" si="140"/>
        <v>0</v>
      </c>
      <c r="BC348" s="140">
        <f t="shared" si="141"/>
        <v>0</v>
      </c>
      <c r="BD348" s="132"/>
      <c r="BE348" s="140">
        <f t="shared" si="142"/>
        <v>0</v>
      </c>
      <c r="BF348" s="141"/>
      <c r="BG348" s="141"/>
      <c r="BH348" s="141"/>
      <c r="BI348" s="141"/>
      <c r="BJ348" s="141"/>
      <c r="BK348" s="141"/>
      <c r="BL348" s="141"/>
      <c r="BM348" s="141"/>
      <c r="BN348" s="141"/>
      <c r="BO348" s="141"/>
      <c r="BP348" s="141"/>
      <c r="BQ348" s="141"/>
      <c r="BR348" s="141"/>
      <c r="BS348" s="130">
        <f t="shared" si="143"/>
        <v>0</v>
      </c>
      <c r="BT348" s="132"/>
    </row>
    <row r="349" ht="14.25" customHeight="1">
      <c r="A349" s="132"/>
      <c r="B349" s="215">
        <v>46334</v>
      </c>
      <c r="C349" s="136"/>
      <c r="D349" s="136"/>
      <c r="E349" s="135"/>
      <c r="F349" s="135"/>
      <c r="G349" s="147">
        <f t="shared" si="135"/>
        <v>0</v>
      </c>
      <c r="H349" s="144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03">
        <f t="shared" si="136"/>
        <v>0</v>
      </c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  <c r="AF349" s="143"/>
      <c r="AG349" s="103">
        <f t="shared" si="137"/>
        <v>0</v>
      </c>
      <c r="AH349" s="136"/>
      <c r="AI349" s="136"/>
      <c r="AJ349" s="136"/>
      <c r="AK349" s="105">
        <f t="shared" si="138"/>
        <v>0</v>
      </c>
      <c r="AL349" s="143"/>
      <c r="AM349" s="143"/>
      <c r="AN349" s="143"/>
      <c r="AO349" s="146"/>
      <c r="AP349" s="224">
        <f t="shared" si="139"/>
        <v>0</v>
      </c>
      <c r="AQ349" s="126"/>
      <c r="AR349" s="274"/>
      <c r="AS349" s="126"/>
      <c r="AT349" s="126"/>
      <c r="AU349" s="126"/>
      <c r="AV349" s="126"/>
      <c r="AW349" s="126"/>
      <c r="AX349" s="274"/>
      <c r="AY349" s="274"/>
      <c r="AZ349" s="274"/>
      <c r="BA349" s="274"/>
      <c r="BB349" s="222">
        <f t="shared" si="140"/>
        <v>0</v>
      </c>
      <c r="BC349" s="140">
        <f t="shared" si="141"/>
        <v>0</v>
      </c>
      <c r="BD349" s="132"/>
      <c r="BE349" s="140">
        <f t="shared" si="142"/>
        <v>0</v>
      </c>
      <c r="BF349" s="141"/>
      <c r="BG349" s="141"/>
      <c r="BH349" s="141"/>
      <c r="BI349" s="141"/>
      <c r="BJ349" s="141"/>
      <c r="BK349" s="141"/>
      <c r="BL349" s="141"/>
      <c r="BM349" s="141"/>
      <c r="BN349" s="141"/>
      <c r="BO349" s="141"/>
      <c r="BP349" s="141"/>
      <c r="BQ349" s="141"/>
      <c r="BR349" s="141"/>
      <c r="BS349" s="130">
        <f t="shared" si="143"/>
        <v>0</v>
      </c>
      <c r="BT349" s="132"/>
    </row>
    <row r="350" ht="14.25" customHeight="1">
      <c r="A350" s="132"/>
      <c r="B350" s="215">
        <v>46335</v>
      </c>
      <c r="C350" s="136"/>
      <c r="D350" s="136"/>
      <c r="E350" s="135"/>
      <c r="F350" s="135"/>
      <c r="G350" s="147">
        <f t="shared" si="135"/>
        <v>0</v>
      </c>
      <c r="H350" s="144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03">
        <f t="shared" si="136"/>
        <v>0</v>
      </c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  <c r="AF350" s="143"/>
      <c r="AG350" s="103">
        <f t="shared" si="137"/>
        <v>0</v>
      </c>
      <c r="AH350" s="136"/>
      <c r="AI350" s="136"/>
      <c r="AJ350" s="136"/>
      <c r="AK350" s="105">
        <f t="shared" si="138"/>
        <v>0</v>
      </c>
      <c r="AL350" s="143"/>
      <c r="AM350" s="143"/>
      <c r="AN350" s="143"/>
      <c r="AO350" s="146"/>
      <c r="AP350" s="224">
        <f t="shared" si="139"/>
        <v>0</v>
      </c>
      <c r="AQ350" s="126"/>
      <c r="AR350" s="274"/>
      <c r="AS350" s="126"/>
      <c r="AT350" s="126"/>
      <c r="AU350" s="126"/>
      <c r="AV350" s="126"/>
      <c r="AW350" s="126"/>
      <c r="AX350" s="274"/>
      <c r="AY350" s="274"/>
      <c r="AZ350" s="274"/>
      <c r="BA350" s="274"/>
      <c r="BB350" s="222">
        <f t="shared" si="140"/>
        <v>0</v>
      </c>
      <c r="BC350" s="140">
        <f t="shared" si="141"/>
        <v>0</v>
      </c>
      <c r="BD350" s="132"/>
      <c r="BE350" s="140">
        <f t="shared" si="142"/>
        <v>0</v>
      </c>
      <c r="BF350" s="141"/>
      <c r="BG350" s="141"/>
      <c r="BH350" s="141"/>
      <c r="BI350" s="141"/>
      <c r="BJ350" s="141"/>
      <c r="BK350" s="141"/>
      <c r="BL350" s="141"/>
      <c r="BM350" s="141"/>
      <c r="BN350" s="141"/>
      <c r="BO350" s="141"/>
      <c r="BP350" s="141"/>
      <c r="BQ350" s="141"/>
      <c r="BR350" s="141"/>
      <c r="BS350" s="130">
        <f t="shared" si="143"/>
        <v>0</v>
      </c>
      <c r="BT350" s="132"/>
    </row>
    <row r="351" ht="14.25" customHeight="1">
      <c r="A351" s="132"/>
      <c r="B351" s="215">
        <v>46336</v>
      </c>
      <c r="C351" s="136"/>
      <c r="D351" s="136"/>
      <c r="E351" s="135"/>
      <c r="F351" s="135"/>
      <c r="G351" s="147">
        <f t="shared" si="135"/>
        <v>0</v>
      </c>
      <c r="H351" s="144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03">
        <f t="shared" si="136"/>
        <v>0</v>
      </c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  <c r="AF351" s="143"/>
      <c r="AG351" s="103">
        <f t="shared" si="137"/>
        <v>0</v>
      </c>
      <c r="AH351" s="136"/>
      <c r="AI351" s="136"/>
      <c r="AJ351" s="136"/>
      <c r="AK351" s="105">
        <f t="shared" si="138"/>
        <v>0</v>
      </c>
      <c r="AL351" s="143"/>
      <c r="AM351" s="143"/>
      <c r="AN351" s="143"/>
      <c r="AO351" s="146"/>
      <c r="AP351" s="224">
        <f t="shared" si="139"/>
        <v>0</v>
      </c>
      <c r="AQ351" s="126"/>
      <c r="AR351" s="274"/>
      <c r="AS351" s="126"/>
      <c r="AT351" s="126"/>
      <c r="AU351" s="126"/>
      <c r="AV351" s="126"/>
      <c r="AW351" s="126"/>
      <c r="AX351" s="274"/>
      <c r="AY351" s="274"/>
      <c r="AZ351" s="274"/>
      <c r="BA351" s="274"/>
      <c r="BB351" s="222">
        <f t="shared" si="140"/>
        <v>0</v>
      </c>
      <c r="BC351" s="140">
        <f t="shared" si="141"/>
        <v>0</v>
      </c>
      <c r="BD351" s="132"/>
      <c r="BE351" s="140">
        <f t="shared" si="142"/>
        <v>0</v>
      </c>
      <c r="BF351" s="141"/>
      <c r="BG351" s="141"/>
      <c r="BH351" s="141"/>
      <c r="BI351" s="141"/>
      <c r="BJ351" s="141"/>
      <c r="BK351" s="141"/>
      <c r="BL351" s="141"/>
      <c r="BM351" s="141"/>
      <c r="BN351" s="141"/>
      <c r="BO351" s="141"/>
      <c r="BP351" s="141"/>
      <c r="BQ351" s="141"/>
      <c r="BR351" s="141"/>
      <c r="BS351" s="130">
        <f t="shared" si="143"/>
        <v>0</v>
      </c>
      <c r="BT351" s="132"/>
    </row>
    <row r="352" ht="14.25" customHeight="1">
      <c r="A352" s="132"/>
      <c r="B352" s="215">
        <v>46337</v>
      </c>
      <c r="C352" s="136"/>
      <c r="D352" s="136"/>
      <c r="E352" s="135"/>
      <c r="F352" s="135"/>
      <c r="G352" s="147">
        <f t="shared" si="135"/>
        <v>0</v>
      </c>
      <c r="H352" s="144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03">
        <f t="shared" si="136"/>
        <v>0</v>
      </c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  <c r="AF352" s="143"/>
      <c r="AG352" s="103">
        <f t="shared" si="137"/>
        <v>0</v>
      </c>
      <c r="AH352" s="136"/>
      <c r="AI352" s="136"/>
      <c r="AJ352" s="136"/>
      <c r="AK352" s="105">
        <f t="shared" si="138"/>
        <v>0</v>
      </c>
      <c r="AL352" s="143"/>
      <c r="AM352" s="143"/>
      <c r="AN352" s="143"/>
      <c r="AO352" s="146"/>
      <c r="AP352" s="224">
        <f t="shared" si="139"/>
        <v>0</v>
      </c>
      <c r="AQ352" s="126"/>
      <c r="AR352" s="274"/>
      <c r="AS352" s="126"/>
      <c r="AT352" s="126"/>
      <c r="AU352" s="126"/>
      <c r="AV352" s="126"/>
      <c r="AW352" s="126"/>
      <c r="AX352" s="274"/>
      <c r="AY352" s="274"/>
      <c r="AZ352" s="274"/>
      <c r="BA352" s="274"/>
      <c r="BB352" s="222">
        <f t="shared" si="140"/>
        <v>0</v>
      </c>
      <c r="BC352" s="140">
        <f t="shared" si="141"/>
        <v>0</v>
      </c>
      <c r="BD352" s="132"/>
      <c r="BE352" s="140">
        <f t="shared" si="142"/>
        <v>0</v>
      </c>
      <c r="BF352" s="141"/>
      <c r="BG352" s="141"/>
      <c r="BH352" s="141"/>
      <c r="BI352" s="141"/>
      <c r="BJ352" s="141"/>
      <c r="BK352" s="141"/>
      <c r="BL352" s="141"/>
      <c r="BM352" s="141"/>
      <c r="BN352" s="141"/>
      <c r="BO352" s="141"/>
      <c r="BP352" s="141"/>
      <c r="BQ352" s="141"/>
      <c r="BR352" s="141"/>
      <c r="BS352" s="130">
        <f t="shared" si="143"/>
        <v>0</v>
      </c>
      <c r="BT352" s="132"/>
    </row>
    <row r="353" ht="14.25" customHeight="1">
      <c r="A353" s="132"/>
      <c r="B353" s="215">
        <v>46338</v>
      </c>
      <c r="C353" s="136"/>
      <c r="D353" s="136"/>
      <c r="E353" s="135"/>
      <c r="F353" s="135"/>
      <c r="G353" s="147">
        <f t="shared" si="135"/>
        <v>0</v>
      </c>
      <c r="H353" s="144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03">
        <f t="shared" si="136"/>
        <v>0</v>
      </c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  <c r="AF353" s="143"/>
      <c r="AG353" s="103">
        <f t="shared" si="137"/>
        <v>0</v>
      </c>
      <c r="AH353" s="136"/>
      <c r="AI353" s="136"/>
      <c r="AJ353" s="136"/>
      <c r="AK353" s="105">
        <f t="shared" si="138"/>
        <v>0</v>
      </c>
      <c r="AL353" s="143"/>
      <c r="AM353" s="143"/>
      <c r="AN353" s="143"/>
      <c r="AO353" s="146"/>
      <c r="AP353" s="224">
        <f t="shared" si="139"/>
        <v>0</v>
      </c>
      <c r="AQ353" s="126"/>
      <c r="AR353" s="274"/>
      <c r="AS353" s="126"/>
      <c r="AT353" s="126"/>
      <c r="AU353" s="126"/>
      <c r="AV353" s="126"/>
      <c r="AW353" s="126"/>
      <c r="AX353" s="274"/>
      <c r="AY353" s="274"/>
      <c r="AZ353" s="274"/>
      <c r="BA353" s="274"/>
      <c r="BB353" s="222">
        <f t="shared" si="140"/>
        <v>0</v>
      </c>
      <c r="BC353" s="140">
        <f t="shared" si="141"/>
        <v>0</v>
      </c>
      <c r="BD353" s="132"/>
      <c r="BE353" s="140">
        <f t="shared" si="142"/>
        <v>0</v>
      </c>
      <c r="BF353" s="141"/>
      <c r="BG353" s="141"/>
      <c r="BH353" s="141"/>
      <c r="BI353" s="141"/>
      <c r="BJ353" s="141"/>
      <c r="BK353" s="141"/>
      <c r="BL353" s="141"/>
      <c r="BM353" s="141"/>
      <c r="BN353" s="141"/>
      <c r="BO353" s="141"/>
      <c r="BP353" s="141"/>
      <c r="BQ353" s="141"/>
      <c r="BR353" s="141"/>
      <c r="BS353" s="130">
        <f t="shared" si="143"/>
        <v>0</v>
      </c>
      <c r="BT353" s="132"/>
    </row>
    <row r="354" ht="14.25" customHeight="1">
      <c r="A354" s="132"/>
      <c r="B354" s="215">
        <v>46339</v>
      </c>
      <c r="C354" s="136"/>
      <c r="D354" s="136"/>
      <c r="E354" s="135"/>
      <c r="F354" s="135"/>
      <c r="G354" s="147">
        <f t="shared" si="135"/>
        <v>0</v>
      </c>
      <c r="H354" s="144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03">
        <f t="shared" si="136"/>
        <v>0</v>
      </c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  <c r="AF354" s="143"/>
      <c r="AG354" s="103">
        <f t="shared" si="137"/>
        <v>0</v>
      </c>
      <c r="AH354" s="136"/>
      <c r="AI354" s="136"/>
      <c r="AJ354" s="136"/>
      <c r="AK354" s="105">
        <f t="shared" si="138"/>
        <v>0</v>
      </c>
      <c r="AL354" s="143"/>
      <c r="AM354" s="143"/>
      <c r="AN354" s="143"/>
      <c r="AO354" s="146"/>
      <c r="AP354" s="224">
        <f t="shared" si="139"/>
        <v>0</v>
      </c>
      <c r="AQ354" s="126"/>
      <c r="AR354" s="274"/>
      <c r="AS354" s="126"/>
      <c r="AT354" s="126"/>
      <c r="AU354" s="126"/>
      <c r="AV354" s="126"/>
      <c r="AW354" s="126"/>
      <c r="AX354" s="274"/>
      <c r="AY354" s="274"/>
      <c r="AZ354" s="274"/>
      <c r="BA354" s="274"/>
      <c r="BB354" s="222">
        <f t="shared" si="140"/>
        <v>0</v>
      </c>
      <c r="BC354" s="140">
        <f t="shared" si="141"/>
        <v>0</v>
      </c>
      <c r="BD354" s="132"/>
      <c r="BE354" s="140">
        <f t="shared" si="142"/>
        <v>0</v>
      </c>
      <c r="BF354" s="141"/>
      <c r="BG354" s="141"/>
      <c r="BH354" s="141"/>
      <c r="BI354" s="141"/>
      <c r="BJ354" s="141"/>
      <c r="BK354" s="141"/>
      <c r="BL354" s="141"/>
      <c r="BM354" s="141"/>
      <c r="BN354" s="141"/>
      <c r="BO354" s="141"/>
      <c r="BP354" s="141"/>
      <c r="BQ354" s="141"/>
      <c r="BR354" s="141"/>
      <c r="BS354" s="130">
        <f t="shared" si="143"/>
        <v>0</v>
      </c>
      <c r="BT354" s="132"/>
    </row>
    <row r="355" ht="14.25" customHeight="1">
      <c r="A355" s="132"/>
      <c r="B355" s="215">
        <v>46340</v>
      </c>
      <c r="C355" s="136"/>
      <c r="D355" s="136"/>
      <c r="E355" s="135"/>
      <c r="F355" s="135"/>
      <c r="G355" s="147">
        <f t="shared" si="135"/>
        <v>0</v>
      </c>
      <c r="H355" s="144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03">
        <f t="shared" si="136"/>
        <v>0</v>
      </c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  <c r="AF355" s="143"/>
      <c r="AG355" s="103">
        <f t="shared" si="137"/>
        <v>0</v>
      </c>
      <c r="AH355" s="136"/>
      <c r="AI355" s="136"/>
      <c r="AJ355" s="136"/>
      <c r="AK355" s="105">
        <f t="shared" si="138"/>
        <v>0</v>
      </c>
      <c r="AL355" s="143"/>
      <c r="AM355" s="143"/>
      <c r="AN355" s="143"/>
      <c r="AO355" s="146"/>
      <c r="AP355" s="224">
        <f t="shared" si="139"/>
        <v>0</v>
      </c>
      <c r="AQ355" s="126"/>
      <c r="AR355" s="274"/>
      <c r="AS355" s="126"/>
      <c r="AT355" s="126"/>
      <c r="AU355" s="126"/>
      <c r="AV355" s="126"/>
      <c r="AW355" s="126"/>
      <c r="AX355" s="274"/>
      <c r="AY355" s="274"/>
      <c r="AZ355" s="274"/>
      <c r="BA355" s="274"/>
      <c r="BB355" s="222">
        <f t="shared" si="140"/>
        <v>0</v>
      </c>
      <c r="BC355" s="140">
        <f t="shared" si="141"/>
        <v>0</v>
      </c>
      <c r="BD355" s="132"/>
      <c r="BE355" s="140">
        <f t="shared" si="142"/>
        <v>0</v>
      </c>
      <c r="BF355" s="141"/>
      <c r="BG355" s="141"/>
      <c r="BH355" s="141"/>
      <c r="BI355" s="141"/>
      <c r="BJ355" s="141"/>
      <c r="BK355" s="141"/>
      <c r="BL355" s="141"/>
      <c r="BM355" s="141"/>
      <c r="BN355" s="141"/>
      <c r="BO355" s="141"/>
      <c r="BP355" s="141"/>
      <c r="BQ355" s="141"/>
      <c r="BR355" s="141"/>
      <c r="BS355" s="130">
        <f t="shared" si="143"/>
        <v>0</v>
      </c>
      <c r="BT355" s="132"/>
    </row>
    <row r="356" ht="14.25" customHeight="1">
      <c r="A356" s="132"/>
      <c r="B356" s="215">
        <v>46341</v>
      </c>
      <c r="C356" s="136"/>
      <c r="D356" s="136"/>
      <c r="E356" s="135"/>
      <c r="F356" s="135"/>
      <c r="G356" s="147">
        <f t="shared" si="135"/>
        <v>0</v>
      </c>
      <c r="H356" s="144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03">
        <f t="shared" si="136"/>
        <v>0</v>
      </c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  <c r="AF356" s="143"/>
      <c r="AG356" s="103">
        <f t="shared" si="137"/>
        <v>0</v>
      </c>
      <c r="AH356" s="136"/>
      <c r="AI356" s="136"/>
      <c r="AJ356" s="136"/>
      <c r="AK356" s="105">
        <f t="shared" si="138"/>
        <v>0</v>
      </c>
      <c r="AL356" s="143"/>
      <c r="AM356" s="143"/>
      <c r="AN356" s="143"/>
      <c r="AO356" s="146"/>
      <c r="AP356" s="224">
        <f t="shared" si="139"/>
        <v>0</v>
      </c>
      <c r="AQ356" s="126"/>
      <c r="AR356" s="274"/>
      <c r="AS356" s="126"/>
      <c r="AT356" s="126"/>
      <c r="AU356" s="126"/>
      <c r="AV356" s="126"/>
      <c r="AW356" s="126"/>
      <c r="AX356" s="274"/>
      <c r="AY356" s="274"/>
      <c r="AZ356" s="274"/>
      <c r="BA356" s="274"/>
      <c r="BB356" s="222">
        <f t="shared" si="140"/>
        <v>0</v>
      </c>
      <c r="BC356" s="140">
        <f t="shared" si="141"/>
        <v>0</v>
      </c>
      <c r="BD356" s="132"/>
      <c r="BE356" s="140">
        <f t="shared" si="142"/>
        <v>0</v>
      </c>
      <c r="BF356" s="141"/>
      <c r="BG356" s="141"/>
      <c r="BH356" s="141"/>
      <c r="BI356" s="141"/>
      <c r="BJ356" s="141"/>
      <c r="BK356" s="141"/>
      <c r="BL356" s="141"/>
      <c r="BM356" s="141"/>
      <c r="BN356" s="141"/>
      <c r="BO356" s="141"/>
      <c r="BP356" s="141"/>
      <c r="BQ356" s="141"/>
      <c r="BR356" s="141"/>
      <c r="BS356" s="130">
        <f t="shared" si="143"/>
        <v>0</v>
      </c>
      <c r="BT356" s="132"/>
    </row>
    <row r="357" ht="14.25" customHeight="1">
      <c r="A357" s="132"/>
      <c r="B357" s="215">
        <v>46342</v>
      </c>
      <c r="C357" s="136"/>
      <c r="D357" s="136"/>
      <c r="E357" s="135"/>
      <c r="F357" s="135"/>
      <c r="G357" s="147">
        <f t="shared" si="135"/>
        <v>0</v>
      </c>
      <c r="H357" s="144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03">
        <f t="shared" si="136"/>
        <v>0</v>
      </c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  <c r="AF357" s="143"/>
      <c r="AG357" s="103">
        <f t="shared" si="137"/>
        <v>0</v>
      </c>
      <c r="AH357" s="136"/>
      <c r="AI357" s="136"/>
      <c r="AJ357" s="136"/>
      <c r="AK357" s="105">
        <f t="shared" si="138"/>
        <v>0</v>
      </c>
      <c r="AL357" s="143"/>
      <c r="AM357" s="143"/>
      <c r="AN357" s="143"/>
      <c r="AO357" s="146"/>
      <c r="AP357" s="224">
        <f t="shared" si="139"/>
        <v>0</v>
      </c>
      <c r="AQ357" s="126"/>
      <c r="AR357" s="274"/>
      <c r="AS357" s="126"/>
      <c r="AT357" s="126"/>
      <c r="AU357" s="126"/>
      <c r="AV357" s="126"/>
      <c r="AW357" s="126"/>
      <c r="AX357" s="274"/>
      <c r="AY357" s="274"/>
      <c r="AZ357" s="274"/>
      <c r="BA357" s="274"/>
      <c r="BB357" s="222">
        <f t="shared" si="140"/>
        <v>0</v>
      </c>
      <c r="BC357" s="140">
        <f t="shared" si="141"/>
        <v>0</v>
      </c>
      <c r="BD357" s="132"/>
      <c r="BE357" s="140">
        <f t="shared" si="142"/>
        <v>0</v>
      </c>
      <c r="BF357" s="141"/>
      <c r="BG357" s="141"/>
      <c r="BH357" s="141"/>
      <c r="BI357" s="141"/>
      <c r="BJ357" s="141"/>
      <c r="BK357" s="141"/>
      <c r="BL357" s="141"/>
      <c r="BM357" s="141"/>
      <c r="BN357" s="141"/>
      <c r="BO357" s="141"/>
      <c r="BP357" s="141"/>
      <c r="BQ357" s="141"/>
      <c r="BR357" s="141"/>
      <c r="BS357" s="130">
        <f t="shared" si="143"/>
        <v>0</v>
      </c>
      <c r="BT357" s="132"/>
    </row>
    <row r="358" ht="14.25" customHeight="1">
      <c r="A358" s="132"/>
      <c r="B358" s="215">
        <v>46343</v>
      </c>
      <c r="C358" s="136"/>
      <c r="D358" s="136"/>
      <c r="E358" s="135"/>
      <c r="F358" s="135"/>
      <c r="G358" s="147">
        <f t="shared" si="135"/>
        <v>0</v>
      </c>
      <c r="H358" s="144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03">
        <f t="shared" si="136"/>
        <v>0</v>
      </c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  <c r="AF358" s="143"/>
      <c r="AG358" s="103">
        <f t="shared" si="137"/>
        <v>0</v>
      </c>
      <c r="AH358" s="136"/>
      <c r="AI358" s="136"/>
      <c r="AJ358" s="136"/>
      <c r="AK358" s="105">
        <f t="shared" si="138"/>
        <v>0</v>
      </c>
      <c r="AL358" s="143"/>
      <c r="AM358" s="143"/>
      <c r="AN358" s="143"/>
      <c r="AO358" s="146"/>
      <c r="AP358" s="224">
        <f t="shared" si="139"/>
        <v>0</v>
      </c>
      <c r="AQ358" s="126"/>
      <c r="AR358" s="274"/>
      <c r="AS358" s="126"/>
      <c r="AT358" s="126"/>
      <c r="AU358" s="126"/>
      <c r="AV358" s="126"/>
      <c r="AW358" s="126"/>
      <c r="AX358" s="274"/>
      <c r="AY358" s="274"/>
      <c r="AZ358" s="274"/>
      <c r="BA358" s="274"/>
      <c r="BB358" s="222">
        <f t="shared" si="140"/>
        <v>0</v>
      </c>
      <c r="BC358" s="140">
        <f t="shared" si="141"/>
        <v>0</v>
      </c>
      <c r="BD358" s="132"/>
      <c r="BE358" s="140">
        <f t="shared" si="142"/>
        <v>0</v>
      </c>
      <c r="BF358" s="141"/>
      <c r="BG358" s="141"/>
      <c r="BH358" s="141"/>
      <c r="BI358" s="141"/>
      <c r="BJ358" s="141"/>
      <c r="BK358" s="141"/>
      <c r="BL358" s="141"/>
      <c r="BM358" s="141"/>
      <c r="BN358" s="141"/>
      <c r="BO358" s="141"/>
      <c r="BP358" s="141"/>
      <c r="BQ358" s="141"/>
      <c r="BR358" s="141"/>
      <c r="BS358" s="130">
        <f t="shared" si="143"/>
        <v>0</v>
      </c>
      <c r="BT358" s="132"/>
    </row>
    <row r="359" ht="14.25" customHeight="1">
      <c r="A359" s="132"/>
      <c r="B359" s="215">
        <v>46344</v>
      </c>
      <c r="C359" s="136"/>
      <c r="D359" s="136"/>
      <c r="E359" s="135"/>
      <c r="F359" s="135"/>
      <c r="G359" s="147">
        <f t="shared" si="135"/>
        <v>0</v>
      </c>
      <c r="H359" s="144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03">
        <f t="shared" si="136"/>
        <v>0</v>
      </c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  <c r="AF359" s="143"/>
      <c r="AG359" s="103">
        <f t="shared" si="137"/>
        <v>0</v>
      </c>
      <c r="AH359" s="136"/>
      <c r="AI359" s="136"/>
      <c r="AJ359" s="136"/>
      <c r="AK359" s="105">
        <f t="shared" si="138"/>
        <v>0</v>
      </c>
      <c r="AL359" s="143"/>
      <c r="AM359" s="143"/>
      <c r="AN359" s="143"/>
      <c r="AO359" s="146"/>
      <c r="AP359" s="224">
        <f t="shared" si="139"/>
        <v>0</v>
      </c>
      <c r="AQ359" s="126"/>
      <c r="AR359" s="274"/>
      <c r="AS359" s="126"/>
      <c r="AT359" s="126"/>
      <c r="AU359" s="126"/>
      <c r="AV359" s="126"/>
      <c r="AW359" s="126"/>
      <c r="AX359" s="274"/>
      <c r="AY359" s="274"/>
      <c r="AZ359" s="274"/>
      <c r="BA359" s="274"/>
      <c r="BB359" s="222">
        <f t="shared" si="140"/>
        <v>0</v>
      </c>
      <c r="BC359" s="140">
        <f t="shared" si="141"/>
        <v>0</v>
      </c>
      <c r="BD359" s="132"/>
      <c r="BE359" s="140">
        <f t="shared" si="142"/>
        <v>0</v>
      </c>
      <c r="BF359" s="141"/>
      <c r="BG359" s="141"/>
      <c r="BH359" s="141"/>
      <c r="BI359" s="141"/>
      <c r="BJ359" s="141"/>
      <c r="BK359" s="141"/>
      <c r="BL359" s="141"/>
      <c r="BM359" s="141"/>
      <c r="BN359" s="141"/>
      <c r="BO359" s="141"/>
      <c r="BP359" s="141"/>
      <c r="BQ359" s="141"/>
      <c r="BR359" s="141"/>
      <c r="BS359" s="130">
        <f t="shared" si="143"/>
        <v>0</v>
      </c>
      <c r="BT359" s="132"/>
    </row>
    <row r="360" ht="14.25" customHeight="1">
      <c r="A360" s="132"/>
      <c r="B360" s="215">
        <v>46345</v>
      </c>
      <c r="C360" s="136"/>
      <c r="D360" s="136"/>
      <c r="E360" s="135"/>
      <c r="F360" s="135"/>
      <c r="G360" s="147">
        <f t="shared" si="135"/>
        <v>0</v>
      </c>
      <c r="H360" s="144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03">
        <f t="shared" si="136"/>
        <v>0</v>
      </c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  <c r="AF360" s="143"/>
      <c r="AG360" s="103">
        <f t="shared" si="137"/>
        <v>0</v>
      </c>
      <c r="AH360" s="136"/>
      <c r="AI360" s="136"/>
      <c r="AJ360" s="136"/>
      <c r="AK360" s="105">
        <f t="shared" si="138"/>
        <v>0</v>
      </c>
      <c r="AL360" s="143"/>
      <c r="AM360" s="143"/>
      <c r="AN360" s="143"/>
      <c r="AO360" s="146"/>
      <c r="AP360" s="224">
        <f t="shared" si="139"/>
        <v>0</v>
      </c>
      <c r="AQ360" s="126"/>
      <c r="AR360" s="274"/>
      <c r="AS360" s="126"/>
      <c r="AT360" s="126"/>
      <c r="AU360" s="126"/>
      <c r="AV360" s="126"/>
      <c r="AW360" s="126"/>
      <c r="AX360" s="274"/>
      <c r="AY360" s="274"/>
      <c r="AZ360" s="274"/>
      <c r="BA360" s="274"/>
      <c r="BB360" s="222">
        <f t="shared" si="140"/>
        <v>0</v>
      </c>
      <c r="BC360" s="140">
        <f t="shared" si="141"/>
        <v>0</v>
      </c>
      <c r="BD360" s="132"/>
      <c r="BE360" s="140">
        <f t="shared" si="142"/>
        <v>0</v>
      </c>
      <c r="BF360" s="141"/>
      <c r="BG360" s="141"/>
      <c r="BH360" s="141"/>
      <c r="BI360" s="141"/>
      <c r="BJ360" s="141"/>
      <c r="BK360" s="141"/>
      <c r="BL360" s="141"/>
      <c r="BM360" s="141"/>
      <c r="BN360" s="141"/>
      <c r="BO360" s="141"/>
      <c r="BP360" s="141"/>
      <c r="BQ360" s="141"/>
      <c r="BR360" s="141"/>
      <c r="BS360" s="130">
        <f t="shared" si="143"/>
        <v>0</v>
      </c>
      <c r="BT360" s="132"/>
    </row>
    <row r="361" ht="14.25" customHeight="1">
      <c r="A361" s="132"/>
      <c r="B361" s="215">
        <v>46346</v>
      </c>
      <c r="C361" s="136"/>
      <c r="D361" s="136"/>
      <c r="E361" s="135"/>
      <c r="F361" s="135"/>
      <c r="G361" s="147">
        <f t="shared" si="135"/>
        <v>0</v>
      </c>
      <c r="H361" s="144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03">
        <f t="shared" si="136"/>
        <v>0</v>
      </c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  <c r="AF361" s="143"/>
      <c r="AG361" s="103">
        <f t="shared" si="137"/>
        <v>0</v>
      </c>
      <c r="AH361" s="136"/>
      <c r="AI361" s="136"/>
      <c r="AJ361" s="136"/>
      <c r="AK361" s="105">
        <f t="shared" si="138"/>
        <v>0</v>
      </c>
      <c r="AL361" s="143"/>
      <c r="AM361" s="143"/>
      <c r="AN361" s="143"/>
      <c r="AO361" s="146"/>
      <c r="AP361" s="224">
        <f t="shared" si="139"/>
        <v>0</v>
      </c>
      <c r="AQ361" s="126"/>
      <c r="AR361" s="274"/>
      <c r="AS361" s="126"/>
      <c r="AT361" s="126"/>
      <c r="AU361" s="126"/>
      <c r="AV361" s="126"/>
      <c r="AW361" s="126"/>
      <c r="AX361" s="274"/>
      <c r="AY361" s="274"/>
      <c r="AZ361" s="274"/>
      <c r="BA361" s="274"/>
      <c r="BB361" s="222">
        <f t="shared" si="140"/>
        <v>0</v>
      </c>
      <c r="BC361" s="140">
        <f t="shared" si="141"/>
        <v>0</v>
      </c>
      <c r="BD361" s="132"/>
      <c r="BE361" s="140">
        <f t="shared" si="142"/>
        <v>0</v>
      </c>
      <c r="BF361" s="141"/>
      <c r="BG361" s="141"/>
      <c r="BH361" s="141"/>
      <c r="BI361" s="141"/>
      <c r="BJ361" s="141"/>
      <c r="BK361" s="141"/>
      <c r="BL361" s="141"/>
      <c r="BM361" s="141"/>
      <c r="BN361" s="141"/>
      <c r="BO361" s="141"/>
      <c r="BP361" s="141"/>
      <c r="BQ361" s="141"/>
      <c r="BR361" s="141"/>
      <c r="BS361" s="130">
        <f t="shared" si="143"/>
        <v>0</v>
      </c>
      <c r="BT361" s="132"/>
    </row>
    <row r="362" ht="14.25" customHeight="1">
      <c r="A362" s="132"/>
      <c r="B362" s="215">
        <v>46347</v>
      </c>
      <c r="C362" s="136"/>
      <c r="D362" s="136"/>
      <c r="E362" s="135"/>
      <c r="F362" s="135"/>
      <c r="G362" s="147">
        <f t="shared" si="135"/>
        <v>0</v>
      </c>
      <c r="H362" s="144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03">
        <f t="shared" si="136"/>
        <v>0</v>
      </c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  <c r="AF362" s="143"/>
      <c r="AG362" s="103">
        <f t="shared" si="137"/>
        <v>0</v>
      </c>
      <c r="AH362" s="136"/>
      <c r="AI362" s="136"/>
      <c r="AJ362" s="136"/>
      <c r="AK362" s="105">
        <f t="shared" si="138"/>
        <v>0</v>
      </c>
      <c r="AL362" s="143"/>
      <c r="AM362" s="143"/>
      <c r="AN362" s="143"/>
      <c r="AO362" s="146"/>
      <c r="AP362" s="224">
        <f t="shared" si="139"/>
        <v>0</v>
      </c>
      <c r="AQ362" s="126"/>
      <c r="AR362" s="274"/>
      <c r="AS362" s="126"/>
      <c r="AT362" s="126"/>
      <c r="AU362" s="126"/>
      <c r="AV362" s="126"/>
      <c r="AW362" s="126"/>
      <c r="AX362" s="274"/>
      <c r="AY362" s="274"/>
      <c r="AZ362" s="274"/>
      <c r="BA362" s="274"/>
      <c r="BB362" s="222">
        <f t="shared" si="140"/>
        <v>0</v>
      </c>
      <c r="BC362" s="140">
        <f t="shared" si="141"/>
        <v>0</v>
      </c>
      <c r="BD362" s="132"/>
      <c r="BE362" s="140">
        <f t="shared" si="142"/>
        <v>0</v>
      </c>
      <c r="BF362" s="141"/>
      <c r="BG362" s="141"/>
      <c r="BH362" s="141"/>
      <c r="BI362" s="141"/>
      <c r="BJ362" s="141"/>
      <c r="BK362" s="141"/>
      <c r="BL362" s="141"/>
      <c r="BM362" s="141"/>
      <c r="BN362" s="141"/>
      <c r="BO362" s="141"/>
      <c r="BP362" s="141"/>
      <c r="BQ362" s="141"/>
      <c r="BR362" s="141"/>
      <c r="BS362" s="130">
        <f t="shared" si="143"/>
        <v>0</v>
      </c>
      <c r="BT362" s="132"/>
    </row>
    <row r="363" ht="14.25" customHeight="1">
      <c r="A363" s="132"/>
      <c r="B363" s="215">
        <v>46348</v>
      </c>
      <c r="C363" s="136"/>
      <c r="D363" s="136"/>
      <c r="E363" s="135"/>
      <c r="F363" s="135"/>
      <c r="G363" s="147">
        <f t="shared" si="135"/>
        <v>0</v>
      </c>
      <c r="H363" s="144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03">
        <f t="shared" si="136"/>
        <v>0</v>
      </c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  <c r="AF363" s="143"/>
      <c r="AG363" s="103">
        <f t="shared" si="137"/>
        <v>0</v>
      </c>
      <c r="AH363" s="136"/>
      <c r="AI363" s="136"/>
      <c r="AJ363" s="136"/>
      <c r="AK363" s="105">
        <f t="shared" si="138"/>
        <v>0</v>
      </c>
      <c r="AL363" s="143"/>
      <c r="AM363" s="143"/>
      <c r="AN363" s="143"/>
      <c r="AO363" s="146"/>
      <c r="AP363" s="224">
        <f t="shared" si="139"/>
        <v>0</v>
      </c>
      <c r="AQ363" s="126"/>
      <c r="AR363" s="274"/>
      <c r="AS363" s="126"/>
      <c r="AT363" s="126"/>
      <c r="AU363" s="126"/>
      <c r="AV363" s="126"/>
      <c r="AW363" s="126"/>
      <c r="AX363" s="274"/>
      <c r="AY363" s="274"/>
      <c r="AZ363" s="274"/>
      <c r="BA363" s="274"/>
      <c r="BB363" s="222">
        <f t="shared" si="140"/>
        <v>0</v>
      </c>
      <c r="BC363" s="140">
        <f t="shared" si="141"/>
        <v>0</v>
      </c>
      <c r="BD363" s="132"/>
      <c r="BE363" s="140">
        <f t="shared" si="142"/>
        <v>0</v>
      </c>
      <c r="BF363" s="141"/>
      <c r="BG363" s="141"/>
      <c r="BH363" s="141"/>
      <c r="BI363" s="141"/>
      <c r="BJ363" s="141"/>
      <c r="BK363" s="141"/>
      <c r="BL363" s="141"/>
      <c r="BM363" s="141"/>
      <c r="BN363" s="141"/>
      <c r="BO363" s="141"/>
      <c r="BP363" s="141"/>
      <c r="BQ363" s="141"/>
      <c r="BR363" s="141"/>
      <c r="BS363" s="130">
        <f t="shared" si="143"/>
        <v>0</v>
      </c>
      <c r="BT363" s="132"/>
    </row>
    <row r="364" ht="14.25" customHeight="1">
      <c r="A364" s="132"/>
      <c r="B364" s="215">
        <v>46349</v>
      </c>
      <c r="C364" s="136"/>
      <c r="D364" s="136"/>
      <c r="E364" s="135"/>
      <c r="F364" s="135"/>
      <c r="G364" s="147">
        <f t="shared" si="135"/>
        <v>0</v>
      </c>
      <c r="H364" s="144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03">
        <f t="shared" si="136"/>
        <v>0</v>
      </c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  <c r="AF364" s="143"/>
      <c r="AG364" s="103">
        <f t="shared" si="137"/>
        <v>0</v>
      </c>
      <c r="AH364" s="136"/>
      <c r="AI364" s="136"/>
      <c r="AJ364" s="136"/>
      <c r="AK364" s="105">
        <f t="shared" si="138"/>
        <v>0</v>
      </c>
      <c r="AL364" s="143"/>
      <c r="AM364" s="143"/>
      <c r="AN364" s="143"/>
      <c r="AO364" s="146"/>
      <c r="AP364" s="224">
        <f t="shared" si="139"/>
        <v>0</v>
      </c>
      <c r="AQ364" s="126"/>
      <c r="AR364" s="274"/>
      <c r="AS364" s="126"/>
      <c r="AT364" s="126"/>
      <c r="AU364" s="126"/>
      <c r="AV364" s="126"/>
      <c r="AW364" s="126"/>
      <c r="AX364" s="274"/>
      <c r="AY364" s="274"/>
      <c r="AZ364" s="274"/>
      <c r="BA364" s="274"/>
      <c r="BB364" s="222">
        <f t="shared" si="140"/>
        <v>0</v>
      </c>
      <c r="BC364" s="140">
        <f t="shared" si="141"/>
        <v>0</v>
      </c>
      <c r="BD364" s="132"/>
      <c r="BE364" s="140">
        <f t="shared" si="142"/>
        <v>0</v>
      </c>
      <c r="BF364" s="141"/>
      <c r="BG364" s="141"/>
      <c r="BH364" s="141"/>
      <c r="BI364" s="141"/>
      <c r="BJ364" s="141"/>
      <c r="BK364" s="141"/>
      <c r="BL364" s="141"/>
      <c r="BM364" s="141"/>
      <c r="BN364" s="141"/>
      <c r="BO364" s="141"/>
      <c r="BP364" s="141"/>
      <c r="BQ364" s="141"/>
      <c r="BR364" s="141"/>
      <c r="BS364" s="130">
        <f t="shared" si="143"/>
        <v>0</v>
      </c>
      <c r="BT364" s="132"/>
    </row>
    <row r="365" ht="14.25" customHeight="1">
      <c r="A365" s="132"/>
      <c r="B365" s="215">
        <v>46350</v>
      </c>
      <c r="C365" s="136"/>
      <c r="D365" s="136"/>
      <c r="E365" s="135"/>
      <c r="F365" s="135"/>
      <c r="G365" s="147">
        <f t="shared" si="135"/>
        <v>0</v>
      </c>
      <c r="H365" s="144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03">
        <f t="shared" si="136"/>
        <v>0</v>
      </c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  <c r="AF365" s="143"/>
      <c r="AG365" s="103">
        <f t="shared" si="137"/>
        <v>0</v>
      </c>
      <c r="AH365" s="136"/>
      <c r="AI365" s="136"/>
      <c r="AJ365" s="136"/>
      <c r="AK365" s="105">
        <f t="shared" si="138"/>
        <v>0</v>
      </c>
      <c r="AL365" s="143"/>
      <c r="AM365" s="143"/>
      <c r="AN365" s="143"/>
      <c r="AO365" s="146"/>
      <c r="AP365" s="224">
        <f t="shared" si="139"/>
        <v>0</v>
      </c>
      <c r="AQ365" s="126"/>
      <c r="AR365" s="274"/>
      <c r="AS365" s="126"/>
      <c r="AT365" s="126"/>
      <c r="AU365" s="126"/>
      <c r="AV365" s="126"/>
      <c r="AW365" s="126"/>
      <c r="AX365" s="274"/>
      <c r="AY365" s="274"/>
      <c r="AZ365" s="274"/>
      <c r="BA365" s="274"/>
      <c r="BB365" s="222">
        <f t="shared" si="140"/>
        <v>0</v>
      </c>
      <c r="BC365" s="140">
        <f t="shared" si="141"/>
        <v>0</v>
      </c>
      <c r="BD365" s="132"/>
      <c r="BE365" s="140">
        <f t="shared" si="142"/>
        <v>0</v>
      </c>
      <c r="BF365" s="141"/>
      <c r="BG365" s="141"/>
      <c r="BH365" s="141"/>
      <c r="BI365" s="141"/>
      <c r="BJ365" s="141"/>
      <c r="BK365" s="141"/>
      <c r="BL365" s="141"/>
      <c r="BM365" s="141"/>
      <c r="BN365" s="141"/>
      <c r="BO365" s="141"/>
      <c r="BP365" s="141"/>
      <c r="BQ365" s="141"/>
      <c r="BR365" s="141"/>
      <c r="BS365" s="130">
        <f t="shared" si="143"/>
        <v>0</v>
      </c>
      <c r="BT365" s="132"/>
    </row>
    <row r="366" ht="14.25" customHeight="1">
      <c r="A366" s="132"/>
      <c r="B366" s="215">
        <v>46351</v>
      </c>
      <c r="C366" s="136"/>
      <c r="D366" s="136"/>
      <c r="E366" s="135"/>
      <c r="F366" s="135"/>
      <c r="G366" s="147">
        <f t="shared" si="135"/>
        <v>0</v>
      </c>
      <c r="H366" s="144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03">
        <f t="shared" si="136"/>
        <v>0</v>
      </c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  <c r="AF366" s="143"/>
      <c r="AG366" s="103">
        <f t="shared" si="137"/>
        <v>0</v>
      </c>
      <c r="AH366" s="136"/>
      <c r="AI366" s="136"/>
      <c r="AJ366" s="136"/>
      <c r="AK366" s="105">
        <f t="shared" si="138"/>
        <v>0</v>
      </c>
      <c r="AL366" s="143"/>
      <c r="AM366" s="143"/>
      <c r="AN366" s="143"/>
      <c r="AO366" s="146"/>
      <c r="AP366" s="224">
        <f t="shared" si="139"/>
        <v>0</v>
      </c>
      <c r="AQ366" s="126"/>
      <c r="AR366" s="274"/>
      <c r="AS366" s="126"/>
      <c r="AT366" s="126"/>
      <c r="AU366" s="126"/>
      <c r="AV366" s="126"/>
      <c r="AW366" s="126"/>
      <c r="AX366" s="274"/>
      <c r="AY366" s="274"/>
      <c r="AZ366" s="274"/>
      <c r="BA366" s="274"/>
      <c r="BB366" s="222">
        <f t="shared" si="140"/>
        <v>0</v>
      </c>
      <c r="BC366" s="140">
        <f t="shared" si="141"/>
        <v>0</v>
      </c>
      <c r="BD366" s="132"/>
      <c r="BE366" s="140">
        <f t="shared" si="142"/>
        <v>0</v>
      </c>
      <c r="BF366" s="141"/>
      <c r="BG366" s="141"/>
      <c r="BH366" s="141"/>
      <c r="BI366" s="141"/>
      <c r="BJ366" s="141"/>
      <c r="BK366" s="141"/>
      <c r="BL366" s="141"/>
      <c r="BM366" s="141"/>
      <c r="BN366" s="141"/>
      <c r="BO366" s="141"/>
      <c r="BP366" s="141"/>
      <c r="BQ366" s="141"/>
      <c r="BR366" s="141"/>
      <c r="BS366" s="130">
        <f t="shared" si="143"/>
        <v>0</v>
      </c>
      <c r="BT366" s="132"/>
    </row>
    <row r="367" ht="14.25" customHeight="1">
      <c r="A367" s="132"/>
      <c r="B367" s="215">
        <v>46352</v>
      </c>
      <c r="C367" s="136"/>
      <c r="D367" s="136"/>
      <c r="E367" s="135"/>
      <c r="F367" s="135"/>
      <c r="G367" s="147">
        <f t="shared" si="135"/>
        <v>0</v>
      </c>
      <c r="H367" s="144"/>
      <c r="I367" s="143"/>
      <c r="J367" s="143"/>
      <c r="K367" s="143"/>
      <c r="L367" s="143"/>
      <c r="M367" s="143"/>
      <c r="N367" s="99"/>
      <c r="O367" s="143"/>
      <c r="P367" s="143"/>
      <c r="Q367" s="143"/>
      <c r="R367" s="143"/>
      <c r="S367" s="143"/>
      <c r="T367" s="103">
        <f t="shared" si="136"/>
        <v>0</v>
      </c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  <c r="AF367" s="143"/>
      <c r="AG367" s="103">
        <f t="shared" si="137"/>
        <v>0</v>
      </c>
      <c r="AH367" s="136"/>
      <c r="AI367" s="136"/>
      <c r="AJ367" s="136"/>
      <c r="AK367" s="105">
        <f t="shared" si="138"/>
        <v>0</v>
      </c>
      <c r="AL367" s="143"/>
      <c r="AM367" s="143"/>
      <c r="AN367" s="143"/>
      <c r="AO367" s="146"/>
      <c r="AP367" s="224">
        <f t="shared" si="139"/>
        <v>0</v>
      </c>
      <c r="AQ367" s="126"/>
      <c r="AR367" s="274"/>
      <c r="AS367" s="126"/>
      <c r="AT367" s="126"/>
      <c r="AU367" s="126"/>
      <c r="AV367" s="126"/>
      <c r="AW367" s="126"/>
      <c r="AX367" s="274"/>
      <c r="AY367" s="274"/>
      <c r="AZ367" s="274"/>
      <c r="BA367" s="274"/>
      <c r="BB367" s="222">
        <f t="shared" si="140"/>
        <v>0</v>
      </c>
      <c r="BC367" s="140">
        <f t="shared" si="141"/>
        <v>0</v>
      </c>
      <c r="BD367" s="132"/>
      <c r="BE367" s="140">
        <f t="shared" si="142"/>
        <v>0</v>
      </c>
      <c r="BF367" s="141"/>
      <c r="BG367" s="141"/>
      <c r="BH367" s="141"/>
      <c r="BI367" s="141"/>
      <c r="BJ367" s="141"/>
      <c r="BK367" s="141"/>
      <c r="BL367" s="141"/>
      <c r="BM367" s="141"/>
      <c r="BN367" s="141"/>
      <c r="BO367" s="141"/>
      <c r="BP367" s="141"/>
      <c r="BQ367" s="141"/>
      <c r="BR367" s="141"/>
      <c r="BS367" s="130">
        <f t="shared" si="143"/>
        <v>0</v>
      </c>
      <c r="BT367" s="132"/>
    </row>
    <row r="368" ht="14.25" customHeight="1">
      <c r="A368" s="132"/>
      <c r="B368" s="215">
        <v>46353</v>
      </c>
      <c r="C368" s="136"/>
      <c r="D368" s="136"/>
      <c r="E368" s="135"/>
      <c r="F368" s="135"/>
      <c r="G368" s="147">
        <f t="shared" si="135"/>
        <v>0</v>
      </c>
      <c r="H368" s="144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03">
        <f t="shared" si="136"/>
        <v>0</v>
      </c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  <c r="AF368" s="143"/>
      <c r="AG368" s="103">
        <f t="shared" si="137"/>
        <v>0</v>
      </c>
      <c r="AH368" s="136"/>
      <c r="AI368" s="136"/>
      <c r="AJ368" s="136"/>
      <c r="AK368" s="105">
        <f t="shared" si="138"/>
        <v>0</v>
      </c>
      <c r="AL368" s="143"/>
      <c r="AM368" s="143"/>
      <c r="AN368" s="143"/>
      <c r="AO368" s="146"/>
      <c r="AP368" s="224">
        <f t="shared" si="139"/>
        <v>0</v>
      </c>
      <c r="AQ368" s="126"/>
      <c r="AR368" s="274"/>
      <c r="AS368" s="126"/>
      <c r="AT368" s="126"/>
      <c r="AU368" s="126"/>
      <c r="AV368" s="126"/>
      <c r="AW368" s="126"/>
      <c r="AX368" s="274"/>
      <c r="AY368" s="274"/>
      <c r="AZ368" s="274"/>
      <c r="BA368" s="274"/>
      <c r="BB368" s="222">
        <f t="shared" si="140"/>
        <v>0</v>
      </c>
      <c r="BC368" s="140">
        <f t="shared" si="141"/>
        <v>0</v>
      </c>
      <c r="BD368" s="132"/>
      <c r="BE368" s="140">
        <f t="shared" si="142"/>
        <v>0</v>
      </c>
      <c r="BF368" s="141"/>
      <c r="BG368" s="141"/>
      <c r="BH368" s="141"/>
      <c r="BI368" s="141"/>
      <c r="BJ368" s="141"/>
      <c r="BK368" s="141"/>
      <c r="BL368" s="141"/>
      <c r="BM368" s="141"/>
      <c r="BN368" s="141"/>
      <c r="BO368" s="141"/>
      <c r="BP368" s="141"/>
      <c r="BQ368" s="141"/>
      <c r="BR368" s="141"/>
      <c r="BS368" s="130">
        <f t="shared" si="143"/>
        <v>0</v>
      </c>
      <c r="BT368" s="132"/>
    </row>
    <row r="369" ht="14.25" customHeight="1">
      <c r="A369" s="132"/>
      <c r="B369" s="215">
        <v>46354</v>
      </c>
      <c r="C369" s="136"/>
      <c r="D369" s="136"/>
      <c r="E369" s="135"/>
      <c r="F369" s="135"/>
      <c r="G369" s="147">
        <f t="shared" si="135"/>
        <v>0</v>
      </c>
      <c r="H369" s="144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03">
        <f t="shared" si="136"/>
        <v>0</v>
      </c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  <c r="AF369" s="143"/>
      <c r="AG369" s="103">
        <f t="shared" si="137"/>
        <v>0</v>
      </c>
      <c r="AH369" s="136"/>
      <c r="AI369" s="136"/>
      <c r="AJ369" s="136"/>
      <c r="AK369" s="105">
        <f t="shared" si="138"/>
        <v>0</v>
      </c>
      <c r="AL369" s="143"/>
      <c r="AM369" s="143"/>
      <c r="AN369" s="143"/>
      <c r="AO369" s="146"/>
      <c r="AP369" s="224">
        <f t="shared" si="139"/>
        <v>0</v>
      </c>
      <c r="AQ369" s="126"/>
      <c r="AR369" s="274"/>
      <c r="AS369" s="126"/>
      <c r="AT369" s="126"/>
      <c r="AU369" s="126"/>
      <c r="AV369" s="126"/>
      <c r="AW369" s="126"/>
      <c r="AX369" s="274"/>
      <c r="AY369" s="274"/>
      <c r="AZ369" s="274"/>
      <c r="BA369" s="274"/>
      <c r="BB369" s="222">
        <f t="shared" si="140"/>
        <v>0</v>
      </c>
      <c r="BC369" s="140">
        <f t="shared" si="141"/>
        <v>0</v>
      </c>
      <c r="BD369" s="132"/>
      <c r="BE369" s="140">
        <f t="shared" si="142"/>
        <v>0</v>
      </c>
      <c r="BF369" s="141"/>
      <c r="BG369" s="141"/>
      <c r="BH369" s="141"/>
      <c r="BI369" s="141"/>
      <c r="BJ369" s="141"/>
      <c r="BK369" s="141"/>
      <c r="BL369" s="141"/>
      <c r="BM369" s="141"/>
      <c r="BN369" s="141"/>
      <c r="BO369" s="141"/>
      <c r="BP369" s="141"/>
      <c r="BQ369" s="141"/>
      <c r="BR369" s="141"/>
      <c r="BS369" s="130">
        <f t="shared" si="143"/>
        <v>0</v>
      </c>
      <c r="BT369" s="132"/>
    </row>
    <row r="370" ht="14.25" customHeight="1">
      <c r="A370" s="132"/>
      <c r="B370" s="215">
        <v>46355</v>
      </c>
      <c r="C370" s="136"/>
      <c r="D370" s="136"/>
      <c r="E370" s="135"/>
      <c r="F370" s="135"/>
      <c r="G370" s="147">
        <f t="shared" si="135"/>
        <v>0</v>
      </c>
      <c r="H370" s="144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03">
        <f t="shared" si="136"/>
        <v>0</v>
      </c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  <c r="AF370" s="143"/>
      <c r="AG370" s="103">
        <f t="shared" si="137"/>
        <v>0</v>
      </c>
      <c r="AH370" s="136"/>
      <c r="AI370" s="136"/>
      <c r="AJ370" s="136"/>
      <c r="AK370" s="105">
        <f t="shared" si="138"/>
        <v>0</v>
      </c>
      <c r="AL370" s="143"/>
      <c r="AM370" s="143"/>
      <c r="AN370" s="143"/>
      <c r="AO370" s="146"/>
      <c r="AP370" s="224">
        <f t="shared" si="139"/>
        <v>0</v>
      </c>
      <c r="AQ370" s="126"/>
      <c r="AR370" s="274"/>
      <c r="AS370" s="126"/>
      <c r="AT370" s="126"/>
      <c r="AU370" s="126"/>
      <c r="AV370" s="126"/>
      <c r="AW370" s="126"/>
      <c r="AX370" s="274"/>
      <c r="AY370" s="274"/>
      <c r="AZ370" s="274"/>
      <c r="BA370" s="274"/>
      <c r="BB370" s="222">
        <f t="shared" si="140"/>
        <v>0</v>
      </c>
      <c r="BC370" s="140">
        <f t="shared" si="141"/>
        <v>0</v>
      </c>
      <c r="BD370" s="132"/>
      <c r="BE370" s="140">
        <f t="shared" si="142"/>
        <v>0</v>
      </c>
      <c r="BF370" s="141"/>
      <c r="BG370" s="141"/>
      <c r="BH370" s="141"/>
      <c r="BI370" s="141"/>
      <c r="BJ370" s="141"/>
      <c r="BK370" s="141"/>
      <c r="BL370" s="141"/>
      <c r="BM370" s="141"/>
      <c r="BN370" s="141"/>
      <c r="BO370" s="141"/>
      <c r="BP370" s="141"/>
      <c r="BQ370" s="141"/>
      <c r="BR370" s="141"/>
      <c r="BS370" s="130">
        <f t="shared" si="143"/>
        <v>0</v>
      </c>
      <c r="BT370" s="132"/>
    </row>
    <row r="371" ht="14.25" customHeight="1">
      <c r="A371" s="132"/>
      <c r="B371" s="215">
        <v>46356</v>
      </c>
      <c r="C371" s="136"/>
      <c r="D371" s="136"/>
      <c r="E371" s="135"/>
      <c r="F371" s="135"/>
      <c r="G371" s="147">
        <f t="shared" si="135"/>
        <v>0</v>
      </c>
      <c r="H371" s="144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03">
        <f t="shared" si="136"/>
        <v>0</v>
      </c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  <c r="AF371" s="143"/>
      <c r="AG371" s="103">
        <f t="shared" si="137"/>
        <v>0</v>
      </c>
      <c r="AH371" s="136"/>
      <c r="AI371" s="136"/>
      <c r="AJ371" s="136"/>
      <c r="AK371" s="105">
        <f t="shared" si="138"/>
        <v>0</v>
      </c>
      <c r="AL371" s="143"/>
      <c r="AM371" s="143"/>
      <c r="AN371" s="143"/>
      <c r="AO371" s="146"/>
      <c r="AP371" s="224">
        <f t="shared" si="139"/>
        <v>0</v>
      </c>
      <c r="AQ371" s="138"/>
      <c r="AR371" s="274"/>
      <c r="AS371" s="126"/>
      <c r="AT371" s="126"/>
      <c r="AU371" s="126"/>
      <c r="AV371" s="126"/>
      <c r="AW371" s="126"/>
      <c r="AX371" s="274"/>
      <c r="AY371" s="274"/>
      <c r="AZ371" s="274"/>
      <c r="BA371" s="274"/>
      <c r="BB371" s="222">
        <f t="shared" si="140"/>
        <v>0</v>
      </c>
      <c r="BC371" s="140">
        <f t="shared" si="141"/>
        <v>0</v>
      </c>
      <c r="BD371" s="132"/>
      <c r="BE371" s="140">
        <f t="shared" si="142"/>
        <v>0</v>
      </c>
      <c r="BF371" s="141"/>
      <c r="BG371" s="141"/>
      <c r="BH371" s="141"/>
      <c r="BI371" s="141"/>
      <c r="BJ371" s="141"/>
      <c r="BK371" s="141"/>
      <c r="BL371" s="141"/>
      <c r="BM371" s="141"/>
      <c r="BN371" s="141"/>
      <c r="BO371" s="141"/>
      <c r="BP371" s="141"/>
      <c r="BQ371" s="141"/>
      <c r="BR371" s="141"/>
      <c r="BS371" s="130">
        <f t="shared" si="143"/>
        <v>0</v>
      </c>
      <c r="BT371" s="132"/>
    </row>
    <row r="372" ht="14.25" customHeight="1">
      <c r="A372" s="3"/>
      <c r="B372" s="2" t="s">
        <v>85</v>
      </c>
      <c r="C372" s="166">
        <f ref="C372:G372" t="shared" si="144">SUM(C342:C371)</f>
        <v>0</v>
      </c>
      <c r="D372" s="166">
        <f t="shared" si="144"/>
        <v>0</v>
      </c>
      <c r="E372" s="166">
        <f t="shared" si="144"/>
        <v>0</v>
      </c>
      <c r="F372" s="166">
        <f t="shared" si="144"/>
        <v>0</v>
      </c>
      <c r="G372" s="166">
        <f t="shared" si="144"/>
        <v>0</v>
      </c>
      <c r="H372" s="166"/>
      <c r="I372" s="166"/>
      <c r="J372" s="166"/>
      <c r="K372" s="166">
        <f ref="K372:T372" t="shared" si="145">SUM(K342:K371)</f>
        <v>0</v>
      </c>
      <c r="L372" s="166">
        <f t="shared" si="145"/>
        <v>0</v>
      </c>
      <c r="M372" s="166">
        <f t="shared" si="145"/>
        <v>0</v>
      </c>
      <c r="N372" s="166">
        <f t="shared" si="145"/>
        <v>0</v>
      </c>
      <c r="O372" s="166">
        <f t="shared" si="145"/>
        <v>0</v>
      </c>
      <c r="P372" s="166">
        <f t="shared" si="145"/>
        <v>0</v>
      </c>
      <c r="Q372" s="166">
        <f t="shared" si="145"/>
        <v>0</v>
      </c>
      <c r="R372" s="166">
        <f t="shared" si="145"/>
        <v>0</v>
      </c>
      <c r="S372" s="166">
        <f t="shared" si="145"/>
        <v>0</v>
      </c>
      <c r="T372" s="166">
        <f t="shared" si="145"/>
        <v>0</v>
      </c>
      <c r="U372" s="166"/>
      <c r="V372" s="166">
        <f ref="V372:AQ372" t="shared" si="146">SUM(V342:V371)</f>
        <v>0</v>
      </c>
      <c r="W372" s="166">
        <f t="shared" si="146"/>
        <v>0</v>
      </c>
      <c r="X372" s="166">
        <f t="shared" si="146"/>
        <v>0</v>
      </c>
      <c r="Y372" s="166">
        <f t="shared" si="146"/>
        <v>0</v>
      </c>
      <c r="Z372" s="166">
        <f t="shared" si="146"/>
        <v>0</v>
      </c>
      <c r="AA372" s="166">
        <f t="shared" si="146"/>
        <v>0</v>
      </c>
      <c r="AB372" s="166">
        <f t="shared" si="146"/>
        <v>0</v>
      </c>
      <c r="AC372" s="166">
        <f t="shared" si="146"/>
        <v>0</v>
      </c>
      <c r="AD372" s="166">
        <f t="shared" si="146"/>
        <v>0</v>
      </c>
      <c r="AE372" s="166">
        <f t="shared" si="146"/>
        <v>0</v>
      </c>
      <c r="AF372" s="166">
        <f t="shared" si="146"/>
        <v>0</v>
      </c>
      <c r="AG372" s="166">
        <f t="shared" si="146"/>
        <v>0</v>
      </c>
      <c r="AH372" s="166">
        <f t="shared" si="146"/>
        <v>0</v>
      </c>
      <c r="AI372" s="166">
        <f t="shared" si="146"/>
        <v>0</v>
      </c>
      <c r="AJ372" s="166">
        <f t="shared" si="146"/>
        <v>0</v>
      </c>
      <c r="AK372" s="166">
        <f t="shared" si="146"/>
        <v>0</v>
      </c>
      <c r="AL372" s="166">
        <f t="shared" si="146"/>
        <v>0</v>
      </c>
      <c r="AM372" s="166">
        <f t="shared" si="146"/>
        <v>0</v>
      </c>
      <c r="AN372" s="166">
        <f t="shared" si="146"/>
        <v>0</v>
      </c>
      <c r="AO372" s="166">
        <f t="shared" si="146"/>
        <v>0</v>
      </c>
      <c r="AP372" s="166">
        <f t="shared" si="146"/>
        <v>0</v>
      </c>
      <c r="AQ372" s="165">
        <f t="shared" si="146"/>
        <v>0</v>
      </c>
      <c r="AR372" s="166"/>
      <c r="AS372" s="166"/>
      <c r="AT372" s="166"/>
      <c r="AU372" s="166"/>
      <c r="AV372" s="166"/>
      <c r="AW372" s="166"/>
      <c r="AX372" s="166"/>
      <c r="AY372" s="166"/>
      <c r="AZ372" s="166"/>
      <c r="BA372" s="166"/>
      <c r="BB372" s="166">
        <f ref="BB372:BC372" t="shared" si="147">SUM(BB342:BB371)</f>
        <v>0</v>
      </c>
      <c r="BC372" s="166">
        <f t="shared" si="147"/>
        <v>0</v>
      </c>
      <c r="BD372" s="3"/>
      <c r="BE372" s="172">
        <f ref="BE372:BS372" t="shared" si="148">SUM(BE341:BE371)</f>
        <v>0</v>
      </c>
      <c r="BF372" s="165">
        <f t="shared" si="148"/>
        <v>0</v>
      </c>
      <c r="BG372" s="165">
        <f t="shared" si="148"/>
        <v>0</v>
      </c>
      <c r="BH372" s="165">
        <f t="shared" si="148"/>
        <v>0</v>
      </c>
      <c r="BI372" s="165">
        <f t="shared" si="148"/>
        <v>0</v>
      </c>
      <c r="BJ372" s="165">
        <f t="shared" si="148"/>
        <v>0</v>
      </c>
      <c r="BK372" s="165">
        <f t="shared" si="148"/>
        <v>0</v>
      </c>
      <c r="BL372" s="165">
        <f t="shared" si="148"/>
        <v>0</v>
      </c>
      <c r="BM372" s="165">
        <f t="shared" si="148"/>
        <v>0</v>
      </c>
      <c r="BN372" s="165">
        <f t="shared" si="148"/>
        <v>0</v>
      </c>
      <c r="BO372" s="165">
        <f t="shared" si="148"/>
        <v>0</v>
      </c>
      <c r="BP372" s="165">
        <f t="shared" si="148"/>
        <v>0</v>
      </c>
      <c r="BQ372" s="165">
        <f t="shared" si="148"/>
        <v>0</v>
      </c>
      <c r="BR372" s="165">
        <f t="shared" si="148"/>
        <v>0</v>
      </c>
      <c r="BS372" s="165">
        <f t="shared" si="148"/>
        <v>0</v>
      </c>
      <c r="BT372" s="3"/>
    </row>
    <row r="373" ht="14.25" customHeight="1">
      <c r="A373" s="1"/>
      <c r="B373" s="2"/>
      <c r="C373" s="3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96"/>
      <c r="AI373" s="3"/>
      <c r="AJ373" s="3"/>
      <c r="AK373" s="4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132"/>
      <c r="BB373" s="4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ht="14.25" customHeight="1">
      <c r="A374" s="1189"/>
      <c r="B374" s="2"/>
      <c r="C374" s="176"/>
      <c r="D374" s="176"/>
      <c r="E374" s="176"/>
      <c r="F374" s="176"/>
      <c r="G374" s="305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  <c r="AF374" s="176"/>
      <c r="AG374" s="176"/>
      <c r="AH374" s="176"/>
      <c r="AI374" s="176"/>
      <c r="AJ374" s="176"/>
      <c r="AK374" s="305"/>
      <c r="AL374" s="176"/>
      <c r="AM374" s="176"/>
      <c r="AN374" s="176"/>
      <c r="AO374" s="176"/>
      <c r="AP374" s="176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132"/>
      <c r="BB374" s="305"/>
      <c r="BC374" s="176"/>
      <c r="BD374" s="176"/>
      <c r="BE374" s="176"/>
      <c r="BF374" s="176"/>
      <c r="BG374" s="176"/>
      <c r="BH374" s="176"/>
      <c r="BI374" s="176"/>
      <c r="BJ374" s="176"/>
      <c r="BK374" s="176"/>
      <c r="BL374" s="176"/>
      <c r="BM374" s="176"/>
      <c r="BN374" s="176"/>
      <c r="BO374" s="176"/>
      <c r="BP374" s="176"/>
      <c r="BQ374" s="176"/>
      <c r="BR374" s="176"/>
      <c r="BS374" s="176"/>
      <c r="BT374" s="176"/>
    </row>
    <row r="375" ht="14.25" customHeight="1">
      <c r="A375" s="3"/>
      <c r="B375" s="215">
        <v>46357</v>
      </c>
      <c r="C375" s="123"/>
      <c r="D375" s="123"/>
      <c r="E375" s="120"/>
      <c r="F375" s="120"/>
      <c r="G375" s="147">
        <f ref="G375:G405" t="shared" si="149">+C375+D375+E375+F375</f>
        <v>0</v>
      </c>
      <c r="H375" s="144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03">
        <f ref="T375:T405" t="shared" si="150">SUM(H375:S375)</f>
        <v>0</v>
      </c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  <c r="AF375" s="143"/>
      <c r="AG375" s="103">
        <f ref="AG375:AG405" t="shared" si="151">SUM(U375:AF375)</f>
        <v>0</v>
      </c>
      <c r="AH375" s="123"/>
      <c r="AI375" s="123"/>
      <c r="AJ375" s="123"/>
      <c r="AK375" s="105">
        <f ref="AK375:AK405" t="shared" si="152">SUM(AH375:AJ375)</f>
        <v>0</v>
      </c>
      <c r="AL375" s="143"/>
      <c r="AM375" s="143"/>
      <c r="AN375" s="143"/>
      <c r="AO375" s="146"/>
      <c r="AP375" s="224">
        <f ref="AP375:AP405" t="shared" si="153">+G375-T375-AG375-AK375-AL375-AM375-AN375-AO375</f>
        <v>0</v>
      </c>
      <c r="AQ375" s="109"/>
      <c r="AR375" s="269"/>
      <c r="AS375" s="109"/>
      <c r="AT375" s="109"/>
      <c r="AU375" s="109"/>
      <c r="AV375" s="109"/>
      <c r="AW375" s="109"/>
      <c r="AX375" s="269"/>
      <c r="AY375" s="269"/>
      <c r="AZ375" s="269"/>
      <c r="BA375" s="269"/>
      <c r="BB375" s="222">
        <f ref="BB375:BB405" t="shared" si="154">SUM(AQ375:BA375)-AZ375</f>
        <v>0</v>
      </c>
      <c r="BC375" s="113">
        <f ref="BC375:BC405" t="shared" si="155">+AP375-BB375</f>
        <v>0</v>
      </c>
      <c r="BD375" s="3"/>
      <c r="BE375" s="113">
        <f ref="BE375:BE405" t="shared" si="156">SUM(BF375:BR375)</f>
        <v>0</v>
      </c>
      <c r="BF375" s="129"/>
      <c r="BG375" s="129"/>
      <c r="BH375" s="129"/>
      <c r="BI375" s="129"/>
      <c r="BJ375" s="129"/>
      <c r="BK375" s="129"/>
      <c r="BL375" s="129"/>
      <c r="BM375" s="129"/>
      <c r="BN375" s="129"/>
      <c r="BO375" s="129"/>
      <c r="BP375" s="129"/>
      <c r="BQ375" s="129"/>
      <c r="BR375" s="129"/>
      <c r="BS375" s="130">
        <f ref="BS375:BS405" t="shared" si="157">+BC375-BE375</f>
        <v>0</v>
      </c>
      <c r="BT375" s="3"/>
    </row>
    <row r="376" ht="14.25" customHeight="1">
      <c r="A376" s="3"/>
      <c r="B376" s="215">
        <v>46358</v>
      </c>
      <c r="C376" s="123"/>
      <c r="D376" s="123"/>
      <c r="E376" s="120"/>
      <c r="F376" s="120"/>
      <c r="G376" s="147">
        <f t="shared" si="149"/>
        <v>0</v>
      </c>
      <c r="H376" s="144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03">
        <f t="shared" si="150"/>
        <v>0</v>
      </c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  <c r="AF376" s="143"/>
      <c r="AG376" s="103">
        <f t="shared" si="151"/>
        <v>0</v>
      </c>
      <c r="AH376" s="123"/>
      <c r="AI376" s="123"/>
      <c r="AJ376" s="123"/>
      <c r="AK376" s="105">
        <f t="shared" si="152"/>
        <v>0</v>
      </c>
      <c r="AL376" s="143"/>
      <c r="AM376" s="143"/>
      <c r="AN376" s="143"/>
      <c r="AO376" s="146"/>
      <c r="AP376" s="224">
        <f t="shared" si="153"/>
        <v>0</v>
      </c>
      <c r="AQ376" s="126"/>
      <c r="AR376" s="274"/>
      <c r="AS376" s="126"/>
      <c r="AT376" s="126"/>
      <c r="AU376" s="126"/>
      <c r="AV376" s="126"/>
      <c r="AW376" s="126"/>
      <c r="AX376" s="274"/>
      <c r="AY376" s="274"/>
      <c r="AZ376" s="274"/>
      <c r="BA376" s="274"/>
      <c r="BB376" s="222">
        <f t="shared" si="154"/>
        <v>0</v>
      </c>
      <c r="BC376" s="113">
        <f t="shared" si="155"/>
        <v>0</v>
      </c>
      <c r="BD376" s="3"/>
      <c r="BE376" s="113">
        <f t="shared" si="156"/>
        <v>0</v>
      </c>
      <c r="BF376" s="129"/>
      <c r="BG376" s="129"/>
      <c r="BH376" s="129"/>
      <c r="BI376" s="129"/>
      <c r="BJ376" s="129"/>
      <c r="BK376" s="129"/>
      <c r="BL376" s="129"/>
      <c r="BM376" s="129"/>
      <c r="BN376" s="129"/>
      <c r="BO376" s="129"/>
      <c r="BP376" s="129"/>
      <c r="BQ376" s="129"/>
      <c r="BR376" s="129"/>
      <c r="BS376" s="130">
        <f t="shared" si="157"/>
        <v>0</v>
      </c>
      <c r="BT376" s="3"/>
    </row>
    <row r="377" ht="14.25" customHeight="1">
      <c r="A377" s="3"/>
      <c r="B377" s="215">
        <v>46359</v>
      </c>
      <c r="C377" s="123"/>
      <c r="D377" s="123"/>
      <c r="E377" s="120"/>
      <c r="F377" s="120"/>
      <c r="G377" s="147">
        <f t="shared" si="149"/>
        <v>0</v>
      </c>
      <c r="H377" s="144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03">
        <f t="shared" si="150"/>
        <v>0</v>
      </c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  <c r="AF377" s="143"/>
      <c r="AG377" s="103">
        <f t="shared" si="151"/>
        <v>0</v>
      </c>
      <c r="AH377" s="123"/>
      <c r="AI377" s="123"/>
      <c r="AJ377" s="123"/>
      <c r="AK377" s="105">
        <f t="shared" si="152"/>
        <v>0</v>
      </c>
      <c r="AL377" s="143"/>
      <c r="AM377" s="143"/>
      <c r="AN377" s="143"/>
      <c r="AO377" s="146"/>
      <c r="AP377" s="224">
        <f t="shared" si="153"/>
        <v>0</v>
      </c>
      <c r="AQ377" s="126"/>
      <c r="AR377" s="274"/>
      <c r="AS377" s="274"/>
      <c r="AT377" s="126"/>
      <c r="AU377" s="126"/>
      <c r="AV377" s="126"/>
      <c r="AW377" s="126"/>
      <c r="AX377" s="274"/>
      <c r="AY377" s="274"/>
      <c r="AZ377" s="274"/>
      <c r="BA377" s="274"/>
      <c r="BB377" s="222">
        <f t="shared" si="154"/>
        <v>0</v>
      </c>
      <c r="BC377" s="113">
        <f t="shared" si="155"/>
        <v>0</v>
      </c>
      <c r="BD377" s="3"/>
      <c r="BE377" s="113">
        <f t="shared" si="156"/>
        <v>0</v>
      </c>
      <c r="BF377" s="129"/>
      <c r="BG377" s="129"/>
      <c r="BH377" s="129"/>
      <c r="BI377" s="129"/>
      <c r="BJ377" s="129"/>
      <c r="BK377" s="129"/>
      <c r="BL377" s="129"/>
      <c r="BM377" s="129"/>
      <c r="BN377" s="129"/>
      <c r="BO377" s="129"/>
      <c r="BP377" s="129"/>
      <c r="BQ377" s="129"/>
      <c r="BR377" s="129"/>
      <c r="BS377" s="130">
        <f t="shared" si="157"/>
        <v>0</v>
      </c>
      <c r="BT377" s="3"/>
    </row>
    <row r="378" ht="14.25" customHeight="1">
      <c r="A378" s="3"/>
      <c r="B378" s="215">
        <v>46360</v>
      </c>
      <c r="C378" s="123"/>
      <c r="D378" s="123"/>
      <c r="E378" s="120"/>
      <c r="F378" s="120"/>
      <c r="G378" s="147">
        <f t="shared" si="149"/>
        <v>0</v>
      </c>
      <c r="H378" s="144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03">
        <f t="shared" si="150"/>
        <v>0</v>
      </c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  <c r="AF378" s="143"/>
      <c r="AG378" s="103">
        <f t="shared" si="151"/>
        <v>0</v>
      </c>
      <c r="AH378" s="123"/>
      <c r="AI378" s="123"/>
      <c r="AJ378" s="123"/>
      <c r="AK378" s="105">
        <f t="shared" si="152"/>
        <v>0</v>
      </c>
      <c r="AL378" s="143"/>
      <c r="AM378" s="143"/>
      <c r="AN378" s="143"/>
      <c r="AO378" s="146"/>
      <c r="AP378" s="224">
        <f t="shared" si="153"/>
        <v>0</v>
      </c>
      <c r="AQ378" s="126"/>
      <c r="AR378" s="274"/>
      <c r="AS378" s="274"/>
      <c r="AT378" s="126"/>
      <c r="AU378" s="126"/>
      <c r="AV378" s="126"/>
      <c r="AW378" s="126"/>
      <c r="AX378" s="274"/>
      <c r="AY378" s="274"/>
      <c r="AZ378" s="274"/>
      <c r="BA378" s="274"/>
      <c r="BB378" s="222">
        <f t="shared" si="154"/>
        <v>0</v>
      </c>
      <c r="BC378" s="113">
        <f t="shared" si="155"/>
        <v>0</v>
      </c>
      <c r="BD378" s="3"/>
      <c r="BE378" s="113">
        <f t="shared" si="156"/>
        <v>0</v>
      </c>
      <c r="BF378" s="129"/>
      <c r="BG378" s="129"/>
      <c r="BH378" s="129"/>
      <c r="BI378" s="129"/>
      <c r="BJ378" s="129"/>
      <c r="BK378" s="129"/>
      <c r="BL378" s="129"/>
      <c r="BM378" s="129"/>
      <c r="BN378" s="129"/>
      <c r="BO378" s="129"/>
      <c r="BP378" s="129"/>
      <c r="BQ378" s="129"/>
      <c r="BR378" s="129"/>
      <c r="BS378" s="130">
        <f t="shared" si="157"/>
        <v>0</v>
      </c>
      <c r="BT378" s="3"/>
    </row>
    <row r="379" ht="14.25" customHeight="1">
      <c r="A379" s="3"/>
      <c r="B379" s="215">
        <v>46361</v>
      </c>
      <c r="C379" s="123"/>
      <c r="D379" s="123"/>
      <c r="E379" s="120"/>
      <c r="F379" s="120"/>
      <c r="G379" s="147">
        <f t="shared" si="149"/>
        <v>0</v>
      </c>
      <c r="H379" s="144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03">
        <f t="shared" si="150"/>
        <v>0</v>
      </c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  <c r="AF379" s="143"/>
      <c r="AG379" s="103">
        <f t="shared" si="151"/>
        <v>0</v>
      </c>
      <c r="AH379" s="123"/>
      <c r="AI379" s="123"/>
      <c r="AJ379" s="123"/>
      <c r="AK379" s="105">
        <f t="shared" si="152"/>
        <v>0</v>
      </c>
      <c r="AL379" s="143"/>
      <c r="AM379" s="143"/>
      <c r="AN379" s="143"/>
      <c r="AO379" s="146"/>
      <c r="AP379" s="224">
        <f t="shared" si="153"/>
        <v>0</v>
      </c>
      <c r="AQ379" s="126"/>
      <c r="AR379" s="274"/>
      <c r="AS379" s="126"/>
      <c r="AT379" s="126"/>
      <c r="AU379" s="126"/>
      <c r="AV379" s="126"/>
      <c r="AW379" s="126"/>
      <c r="AX379" s="274"/>
      <c r="AY379" s="274"/>
      <c r="AZ379" s="274"/>
      <c r="BA379" s="274"/>
      <c r="BB379" s="222">
        <f t="shared" si="154"/>
        <v>0</v>
      </c>
      <c r="BC379" s="113">
        <f t="shared" si="155"/>
        <v>0</v>
      </c>
      <c r="BD379" s="3"/>
      <c r="BE379" s="113">
        <f t="shared" si="156"/>
        <v>0</v>
      </c>
      <c r="BF379" s="129"/>
      <c r="BG379" s="129"/>
      <c r="BH379" s="129"/>
      <c r="BI379" s="129"/>
      <c r="BJ379" s="129"/>
      <c r="BK379" s="129"/>
      <c r="BL379" s="129"/>
      <c r="BM379" s="129"/>
      <c r="BN379" s="129"/>
      <c r="BO379" s="129"/>
      <c r="BP379" s="129"/>
      <c r="BQ379" s="129"/>
      <c r="BR379" s="129"/>
      <c r="BS379" s="130">
        <f t="shared" si="157"/>
        <v>0</v>
      </c>
      <c r="BT379" s="3"/>
    </row>
    <row r="380" ht="14.25" customHeight="1">
      <c r="A380" s="3"/>
      <c r="B380" s="215">
        <v>46362</v>
      </c>
      <c r="C380" s="123"/>
      <c r="D380" s="123"/>
      <c r="E380" s="120"/>
      <c r="F380" s="120"/>
      <c r="G380" s="147">
        <f t="shared" si="149"/>
        <v>0</v>
      </c>
      <c r="H380" s="144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03">
        <f t="shared" si="150"/>
        <v>0</v>
      </c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  <c r="AF380" s="143"/>
      <c r="AG380" s="103">
        <f t="shared" si="151"/>
        <v>0</v>
      </c>
      <c r="AH380" s="123"/>
      <c r="AI380" s="123"/>
      <c r="AJ380" s="123"/>
      <c r="AK380" s="105">
        <f t="shared" si="152"/>
        <v>0</v>
      </c>
      <c r="AL380" s="143"/>
      <c r="AM380" s="143"/>
      <c r="AN380" s="143"/>
      <c r="AO380" s="146"/>
      <c r="AP380" s="224">
        <f t="shared" si="153"/>
        <v>0</v>
      </c>
      <c r="AQ380" s="126"/>
      <c r="AR380" s="274"/>
      <c r="AS380" s="126"/>
      <c r="AT380" s="126"/>
      <c r="AU380" s="126"/>
      <c r="AV380" s="126"/>
      <c r="AW380" s="126"/>
      <c r="AX380" s="274"/>
      <c r="AY380" s="274"/>
      <c r="AZ380" s="274"/>
      <c r="BA380" s="274"/>
      <c r="BB380" s="222">
        <f t="shared" si="154"/>
        <v>0</v>
      </c>
      <c r="BC380" s="113">
        <f t="shared" si="155"/>
        <v>0</v>
      </c>
      <c r="BD380" s="3"/>
      <c r="BE380" s="113">
        <f t="shared" si="156"/>
        <v>0</v>
      </c>
      <c r="BF380" s="129"/>
      <c r="BG380" s="129"/>
      <c r="BH380" s="129"/>
      <c r="BI380" s="129"/>
      <c r="BJ380" s="129"/>
      <c r="BK380" s="129"/>
      <c r="BL380" s="129"/>
      <c r="BM380" s="129"/>
      <c r="BN380" s="129"/>
      <c r="BO380" s="129"/>
      <c r="BP380" s="129"/>
      <c r="BQ380" s="129"/>
      <c r="BR380" s="129"/>
      <c r="BS380" s="130">
        <f t="shared" si="157"/>
        <v>0</v>
      </c>
      <c r="BT380" s="3"/>
    </row>
    <row r="381" ht="14.25" customHeight="1">
      <c r="A381" s="132"/>
      <c r="B381" s="215">
        <v>46363</v>
      </c>
      <c r="C381" s="136"/>
      <c r="D381" s="136"/>
      <c r="E381" s="135"/>
      <c r="F381" s="135"/>
      <c r="G381" s="147">
        <f t="shared" si="149"/>
        <v>0</v>
      </c>
      <c r="H381" s="144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03">
        <f t="shared" si="150"/>
        <v>0</v>
      </c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  <c r="AF381" s="143"/>
      <c r="AG381" s="103">
        <f t="shared" si="151"/>
        <v>0</v>
      </c>
      <c r="AH381" s="136"/>
      <c r="AI381" s="136"/>
      <c r="AJ381" s="136"/>
      <c r="AK381" s="105">
        <f t="shared" si="152"/>
        <v>0</v>
      </c>
      <c r="AL381" s="143"/>
      <c r="AM381" s="143"/>
      <c r="AN381" s="143"/>
      <c r="AO381" s="146"/>
      <c r="AP381" s="224">
        <f t="shared" si="153"/>
        <v>0</v>
      </c>
      <c r="AQ381" s="126"/>
      <c r="AR381" s="274"/>
      <c r="AS381" s="126"/>
      <c r="AT381" s="126"/>
      <c r="AU381" s="126"/>
      <c r="AV381" s="126"/>
      <c r="AW381" s="126"/>
      <c r="AX381" s="274"/>
      <c r="AY381" s="274"/>
      <c r="AZ381" s="274"/>
      <c r="BA381" s="274"/>
      <c r="BB381" s="222">
        <f t="shared" si="154"/>
        <v>0</v>
      </c>
      <c r="BC381" s="140">
        <f t="shared" si="155"/>
        <v>0</v>
      </c>
      <c r="BD381" s="132"/>
      <c r="BE381" s="140">
        <f t="shared" si="156"/>
        <v>0</v>
      </c>
      <c r="BF381" s="141"/>
      <c r="BG381" s="141"/>
      <c r="BH381" s="141"/>
      <c r="BI381" s="141"/>
      <c r="BJ381" s="141"/>
      <c r="BK381" s="141"/>
      <c r="BL381" s="141"/>
      <c r="BM381" s="141"/>
      <c r="BN381" s="141"/>
      <c r="BO381" s="141"/>
      <c r="BP381" s="141"/>
      <c r="BQ381" s="141"/>
      <c r="BR381" s="141"/>
      <c r="BS381" s="130">
        <f t="shared" si="157"/>
        <v>0</v>
      </c>
      <c r="BT381" s="132"/>
    </row>
    <row r="382" ht="14.25" customHeight="1">
      <c r="A382" s="132"/>
      <c r="B382" s="215">
        <v>46364</v>
      </c>
      <c r="C382" s="136"/>
      <c r="D382" s="136"/>
      <c r="E382" s="135"/>
      <c r="F382" s="135"/>
      <c r="G382" s="147">
        <f t="shared" si="149"/>
        <v>0</v>
      </c>
      <c r="H382" s="144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03">
        <f t="shared" si="150"/>
        <v>0</v>
      </c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  <c r="AF382" s="143"/>
      <c r="AG382" s="103">
        <f t="shared" si="151"/>
        <v>0</v>
      </c>
      <c r="AH382" s="136"/>
      <c r="AI382" s="136"/>
      <c r="AJ382" s="136"/>
      <c r="AK382" s="105">
        <f t="shared" si="152"/>
        <v>0</v>
      </c>
      <c r="AL382" s="143"/>
      <c r="AM382" s="143"/>
      <c r="AN382" s="143"/>
      <c r="AO382" s="146"/>
      <c r="AP382" s="224">
        <f t="shared" si="153"/>
        <v>0</v>
      </c>
      <c r="AQ382" s="126"/>
      <c r="AR382" s="274"/>
      <c r="AS382" s="126"/>
      <c r="AT382" s="126"/>
      <c r="AU382" s="126"/>
      <c r="AV382" s="126"/>
      <c r="AW382" s="126"/>
      <c r="AX382" s="274"/>
      <c r="AY382" s="274"/>
      <c r="AZ382" s="274"/>
      <c r="BA382" s="274"/>
      <c r="BB382" s="222">
        <f t="shared" si="154"/>
        <v>0</v>
      </c>
      <c r="BC382" s="140">
        <f t="shared" si="155"/>
        <v>0</v>
      </c>
      <c r="BD382" s="132"/>
      <c r="BE382" s="140">
        <f t="shared" si="156"/>
        <v>0</v>
      </c>
      <c r="BF382" s="141"/>
      <c r="BG382" s="141"/>
      <c r="BH382" s="141"/>
      <c r="BI382" s="141"/>
      <c r="BJ382" s="141"/>
      <c r="BK382" s="141"/>
      <c r="BL382" s="141"/>
      <c r="BM382" s="141"/>
      <c r="BN382" s="141"/>
      <c r="BO382" s="141"/>
      <c r="BP382" s="141"/>
      <c r="BQ382" s="141"/>
      <c r="BR382" s="141"/>
      <c r="BS382" s="130">
        <f t="shared" si="157"/>
        <v>0</v>
      </c>
      <c r="BT382" s="132"/>
    </row>
    <row r="383" ht="14.25" customHeight="1">
      <c r="A383" s="132"/>
      <c r="B383" s="215">
        <v>46365</v>
      </c>
      <c r="C383" s="136"/>
      <c r="D383" s="136"/>
      <c r="E383" s="135"/>
      <c r="F383" s="135"/>
      <c r="G383" s="147">
        <f t="shared" si="149"/>
        <v>0</v>
      </c>
      <c r="H383" s="144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03">
        <f t="shared" si="150"/>
        <v>0</v>
      </c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  <c r="AF383" s="143"/>
      <c r="AG383" s="103">
        <f t="shared" si="151"/>
        <v>0</v>
      </c>
      <c r="AH383" s="136"/>
      <c r="AI383" s="136"/>
      <c r="AJ383" s="136"/>
      <c r="AK383" s="105">
        <f t="shared" si="152"/>
        <v>0</v>
      </c>
      <c r="AL383" s="143"/>
      <c r="AM383" s="143"/>
      <c r="AN383" s="143"/>
      <c r="AO383" s="146"/>
      <c r="AP383" s="224">
        <f t="shared" si="153"/>
        <v>0</v>
      </c>
      <c r="AQ383" s="126"/>
      <c r="AR383" s="274"/>
      <c r="AS383" s="126"/>
      <c r="AT383" s="126"/>
      <c r="AU383" s="126"/>
      <c r="AV383" s="126"/>
      <c r="AW383" s="126"/>
      <c r="AX383" s="274"/>
      <c r="AY383" s="274"/>
      <c r="AZ383" s="274"/>
      <c r="BA383" s="274"/>
      <c r="BB383" s="222">
        <f t="shared" si="154"/>
        <v>0</v>
      </c>
      <c r="BC383" s="140">
        <f t="shared" si="155"/>
        <v>0</v>
      </c>
      <c r="BD383" s="132"/>
      <c r="BE383" s="140">
        <f t="shared" si="156"/>
        <v>0</v>
      </c>
      <c r="BF383" s="141"/>
      <c r="BG383" s="141"/>
      <c r="BH383" s="141"/>
      <c r="BI383" s="141"/>
      <c r="BJ383" s="141"/>
      <c r="BK383" s="141"/>
      <c r="BL383" s="141"/>
      <c r="BM383" s="141"/>
      <c r="BN383" s="141"/>
      <c r="BO383" s="141"/>
      <c r="BP383" s="141"/>
      <c r="BQ383" s="141"/>
      <c r="BR383" s="141"/>
      <c r="BS383" s="130">
        <f t="shared" si="157"/>
        <v>0</v>
      </c>
      <c r="BT383" s="132"/>
    </row>
    <row r="384" ht="14.25" customHeight="1">
      <c r="A384" s="132"/>
      <c r="B384" s="215">
        <v>46366</v>
      </c>
      <c r="C384" s="136"/>
      <c r="D384" s="136"/>
      <c r="E384" s="135"/>
      <c r="F384" s="135"/>
      <c r="G384" s="147">
        <f t="shared" si="149"/>
        <v>0</v>
      </c>
      <c r="H384" s="144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03">
        <f t="shared" si="150"/>
        <v>0</v>
      </c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  <c r="AF384" s="143"/>
      <c r="AG384" s="103">
        <f t="shared" si="151"/>
        <v>0</v>
      </c>
      <c r="AH384" s="136"/>
      <c r="AI384" s="136"/>
      <c r="AJ384" s="136"/>
      <c r="AK384" s="105">
        <f t="shared" si="152"/>
        <v>0</v>
      </c>
      <c r="AL384" s="143"/>
      <c r="AM384" s="143"/>
      <c r="AN384" s="143"/>
      <c r="AO384" s="146"/>
      <c r="AP384" s="224">
        <f t="shared" si="153"/>
        <v>0</v>
      </c>
      <c r="AQ384" s="126"/>
      <c r="AR384" s="274"/>
      <c r="AS384" s="126"/>
      <c r="AT384" s="126"/>
      <c r="AU384" s="126"/>
      <c r="AV384" s="126"/>
      <c r="AW384" s="126"/>
      <c r="AX384" s="274"/>
      <c r="AY384" s="274"/>
      <c r="AZ384" s="274"/>
      <c r="BA384" s="274"/>
      <c r="BB384" s="222">
        <f t="shared" si="154"/>
        <v>0</v>
      </c>
      <c r="BC384" s="140">
        <f t="shared" si="155"/>
        <v>0</v>
      </c>
      <c r="BD384" s="132"/>
      <c r="BE384" s="140">
        <f t="shared" si="156"/>
        <v>0</v>
      </c>
      <c r="BF384" s="141"/>
      <c r="BG384" s="141"/>
      <c r="BH384" s="141"/>
      <c r="BI384" s="141"/>
      <c r="BJ384" s="141"/>
      <c r="BK384" s="141"/>
      <c r="BL384" s="141"/>
      <c r="BM384" s="141"/>
      <c r="BN384" s="141"/>
      <c r="BO384" s="141"/>
      <c r="BP384" s="141"/>
      <c r="BQ384" s="141"/>
      <c r="BR384" s="141"/>
      <c r="BS384" s="130">
        <f t="shared" si="157"/>
        <v>0</v>
      </c>
      <c r="BT384" s="132"/>
    </row>
    <row r="385" ht="14.25" customHeight="1">
      <c r="A385" s="132"/>
      <c r="B385" s="215">
        <v>46367</v>
      </c>
      <c r="C385" s="136"/>
      <c r="D385" s="136"/>
      <c r="E385" s="135"/>
      <c r="F385" s="135"/>
      <c r="G385" s="147">
        <f t="shared" si="149"/>
        <v>0</v>
      </c>
      <c r="H385" s="144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03">
        <f t="shared" si="150"/>
        <v>0</v>
      </c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  <c r="AF385" s="143"/>
      <c r="AG385" s="103">
        <f t="shared" si="151"/>
        <v>0</v>
      </c>
      <c r="AH385" s="136"/>
      <c r="AI385" s="136"/>
      <c r="AJ385" s="136"/>
      <c r="AK385" s="105">
        <f t="shared" si="152"/>
        <v>0</v>
      </c>
      <c r="AL385" s="143"/>
      <c r="AM385" s="143"/>
      <c r="AN385" s="143"/>
      <c r="AO385" s="146"/>
      <c r="AP385" s="224">
        <f t="shared" si="153"/>
        <v>0</v>
      </c>
      <c r="AQ385" s="126"/>
      <c r="AR385" s="274"/>
      <c r="AS385" s="126"/>
      <c r="AT385" s="126"/>
      <c r="AU385" s="126"/>
      <c r="AV385" s="126"/>
      <c r="AW385" s="126"/>
      <c r="AX385" s="274"/>
      <c r="AY385" s="274"/>
      <c r="AZ385" s="274"/>
      <c r="BA385" s="274"/>
      <c r="BB385" s="222">
        <f t="shared" si="154"/>
        <v>0</v>
      </c>
      <c r="BC385" s="140">
        <f t="shared" si="155"/>
        <v>0</v>
      </c>
      <c r="BD385" s="132"/>
      <c r="BE385" s="140">
        <f t="shared" si="156"/>
        <v>0</v>
      </c>
      <c r="BF385" s="141"/>
      <c r="BG385" s="141"/>
      <c r="BH385" s="141"/>
      <c r="BI385" s="141"/>
      <c r="BJ385" s="141"/>
      <c r="BK385" s="141"/>
      <c r="BL385" s="141"/>
      <c r="BM385" s="141"/>
      <c r="BN385" s="141"/>
      <c r="BO385" s="141"/>
      <c r="BP385" s="141"/>
      <c r="BQ385" s="141"/>
      <c r="BR385" s="141"/>
      <c r="BS385" s="130">
        <f t="shared" si="157"/>
        <v>0</v>
      </c>
      <c r="BT385" s="132"/>
    </row>
    <row r="386" ht="14.25" customHeight="1">
      <c r="A386" s="132"/>
      <c r="B386" s="215">
        <v>46368</v>
      </c>
      <c r="C386" s="136"/>
      <c r="D386" s="136"/>
      <c r="E386" s="135"/>
      <c r="F386" s="135"/>
      <c r="G386" s="147">
        <f t="shared" si="149"/>
        <v>0</v>
      </c>
      <c r="H386" s="144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03">
        <f t="shared" si="150"/>
        <v>0</v>
      </c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  <c r="AF386" s="143"/>
      <c r="AG386" s="103">
        <f t="shared" si="151"/>
        <v>0</v>
      </c>
      <c r="AH386" s="136"/>
      <c r="AI386" s="136"/>
      <c r="AJ386" s="136"/>
      <c r="AK386" s="105">
        <f t="shared" si="152"/>
        <v>0</v>
      </c>
      <c r="AL386" s="143"/>
      <c r="AM386" s="143"/>
      <c r="AN386" s="143"/>
      <c r="AO386" s="146"/>
      <c r="AP386" s="224">
        <f t="shared" si="153"/>
        <v>0</v>
      </c>
      <c r="AQ386" s="126"/>
      <c r="AR386" s="274"/>
      <c r="AS386" s="126"/>
      <c r="AT386" s="126"/>
      <c r="AU386" s="126"/>
      <c r="AV386" s="126"/>
      <c r="AW386" s="126"/>
      <c r="AX386" s="274"/>
      <c r="AY386" s="274"/>
      <c r="AZ386" s="274"/>
      <c r="BA386" s="274"/>
      <c r="BB386" s="222">
        <f t="shared" si="154"/>
        <v>0</v>
      </c>
      <c r="BC386" s="140">
        <f t="shared" si="155"/>
        <v>0</v>
      </c>
      <c r="BD386" s="132"/>
      <c r="BE386" s="140">
        <f t="shared" si="156"/>
        <v>0</v>
      </c>
      <c r="BF386" s="141"/>
      <c r="BG386" s="141"/>
      <c r="BH386" s="141"/>
      <c r="BI386" s="141"/>
      <c r="BJ386" s="141"/>
      <c r="BK386" s="141"/>
      <c r="BL386" s="141"/>
      <c r="BM386" s="141"/>
      <c r="BN386" s="141"/>
      <c r="BO386" s="141"/>
      <c r="BP386" s="141"/>
      <c r="BQ386" s="141"/>
      <c r="BR386" s="141"/>
      <c r="BS386" s="130">
        <f t="shared" si="157"/>
        <v>0</v>
      </c>
      <c r="BT386" s="132"/>
    </row>
    <row r="387" ht="14.25" customHeight="1">
      <c r="A387" s="132"/>
      <c r="B387" s="215">
        <v>46369</v>
      </c>
      <c r="C387" s="136"/>
      <c r="D387" s="136"/>
      <c r="E387" s="135"/>
      <c r="F387" s="135"/>
      <c r="G387" s="147">
        <f t="shared" si="149"/>
        <v>0</v>
      </c>
      <c r="H387" s="144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03">
        <f t="shared" si="150"/>
        <v>0</v>
      </c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  <c r="AF387" s="143"/>
      <c r="AG387" s="103">
        <f t="shared" si="151"/>
        <v>0</v>
      </c>
      <c r="AH387" s="136"/>
      <c r="AI387" s="136"/>
      <c r="AJ387" s="136"/>
      <c r="AK387" s="105">
        <f t="shared" si="152"/>
        <v>0</v>
      </c>
      <c r="AL387" s="143"/>
      <c r="AM387" s="143"/>
      <c r="AN387" s="143"/>
      <c r="AO387" s="146"/>
      <c r="AP387" s="224">
        <f t="shared" si="153"/>
        <v>0</v>
      </c>
      <c r="AQ387" s="126"/>
      <c r="AR387" s="274"/>
      <c r="AS387" s="126"/>
      <c r="AT387" s="126"/>
      <c r="AU387" s="126"/>
      <c r="AV387" s="126"/>
      <c r="AW387" s="126"/>
      <c r="AX387" s="274"/>
      <c r="AY387" s="274"/>
      <c r="AZ387" s="274"/>
      <c r="BA387" s="274"/>
      <c r="BB387" s="222">
        <f t="shared" si="154"/>
        <v>0</v>
      </c>
      <c r="BC387" s="140">
        <f t="shared" si="155"/>
        <v>0</v>
      </c>
      <c r="BD387" s="132"/>
      <c r="BE387" s="140">
        <f t="shared" si="156"/>
        <v>0</v>
      </c>
      <c r="BF387" s="141"/>
      <c r="BG387" s="141"/>
      <c r="BH387" s="141"/>
      <c r="BI387" s="141"/>
      <c r="BJ387" s="141"/>
      <c r="BK387" s="141"/>
      <c r="BL387" s="141"/>
      <c r="BM387" s="141"/>
      <c r="BN387" s="141"/>
      <c r="BO387" s="141"/>
      <c r="BP387" s="141"/>
      <c r="BQ387" s="141"/>
      <c r="BR387" s="141"/>
      <c r="BS387" s="130">
        <f t="shared" si="157"/>
        <v>0</v>
      </c>
      <c r="BT387" s="132"/>
    </row>
    <row r="388" ht="14.25" customHeight="1">
      <c r="A388" s="132"/>
      <c r="B388" s="215">
        <v>46370</v>
      </c>
      <c r="C388" s="136"/>
      <c r="D388" s="136"/>
      <c r="E388" s="135"/>
      <c r="F388" s="135"/>
      <c r="G388" s="147">
        <f t="shared" si="149"/>
        <v>0</v>
      </c>
      <c r="H388" s="144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03">
        <f t="shared" si="150"/>
        <v>0</v>
      </c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  <c r="AF388" s="143"/>
      <c r="AG388" s="103">
        <f t="shared" si="151"/>
        <v>0</v>
      </c>
      <c r="AH388" s="136"/>
      <c r="AI388" s="136"/>
      <c r="AJ388" s="136"/>
      <c r="AK388" s="105">
        <f t="shared" si="152"/>
        <v>0</v>
      </c>
      <c r="AL388" s="143"/>
      <c r="AM388" s="143"/>
      <c r="AN388" s="143"/>
      <c r="AO388" s="146"/>
      <c r="AP388" s="224">
        <f t="shared" si="153"/>
        <v>0</v>
      </c>
      <c r="AQ388" s="126"/>
      <c r="AR388" s="274"/>
      <c r="AS388" s="126"/>
      <c r="AT388" s="126"/>
      <c r="AU388" s="126"/>
      <c r="AV388" s="126"/>
      <c r="AW388" s="126"/>
      <c r="AX388" s="274"/>
      <c r="AY388" s="274"/>
      <c r="AZ388" s="274"/>
      <c r="BA388" s="274"/>
      <c r="BB388" s="222">
        <f t="shared" si="154"/>
        <v>0</v>
      </c>
      <c r="BC388" s="140">
        <f t="shared" si="155"/>
        <v>0</v>
      </c>
      <c r="BD388" s="132"/>
      <c r="BE388" s="140">
        <f t="shared" si="156"/>
        <v>0</v>
      </c>
      <c r="BF388" s="141"/>
      <c r="BG388" s="141"/>
      <c r="BH388" s="141"/>
      <c r="BI388" s="141"/>
      <c r="BJ388" s="141"/>
      <c r="BK388" s="141"/>
      <c r="BL388" s="141"/>
      <c r="BM388" s="141"/>
      <c r="BN388" s="141"/>
      <c r="BO388" s="141"/>
      <c r="BP388" s="141"/>
      <c r="BQ388" s="141"/>
      <c r="BR388" s="141"/>
      <c r="BS388" s="130">
        <f t="shared" si="157"/>
        <v>0</v>
      </c>
      <c r="BT388" s="132"/>
    </row>
    <row r="389" ht="14.25" customHeight="1">
      <c r="A389" s="132"/>
      <c r="B389" s="215">
        <v>46371</v>
      </c>
      <c r="C389" s="136"/>
      <c r="D389" s="136"/>
      <c r="E389" s="135"/>
      <c r="F389" s="135"/>
      <c r="G389" s="147">
        <f t="shared" si="149"/>
        <v>0</v>
      </c>
      <c r="H389" s="144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03">
        <f t="shared" si="150"/>
        <v>0</v>
      </c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  <c r="AF389" s="143"/>
      <c r="AG389" s="103">
        <f t="shared" si="151"/>
        <v>0</v>
      </c>
      <c r="AH389" s="136"/>
      <c r="AI389" s="136"/>
      <c r="AJ389" s="136"/>
      <c r="AK389" s="105">
        <f t="shared" si="152"/>
        <v>0</v>
      </c>
      <c r="AL389" s="143"/>
      <c r="AM389" s="143"/>
      <c r="AN389" s="143"/>
      <c r="AO389" s="146"/>
      <c r="AP389" s="224">
        <f t="shared" si="153"/>
        <v>0</v>
      </c>
      <c r="AQ389" s="126"/>
      <c r="AR389" s="274"/>
      <c r="AS389" s="126"/>
      <c r="AT389" s="126"/>
      <c r="AU389" s="126"/>
      <c r="AV389" s="126"/>
      <c r="AW389" s="126"/>
      <c r="AX389" s="274"/>
      <c r="AY389" s="274"/>
      <c r="AZ389" s="274"/>
      <c r="BA389" s="274"/>
      <c r="BB389" s="222">
        <f t="shared" si="154"/>
        <v>0</v>
      </c>
      <c r="BC389" s="140">
        <f t="shared" si="155"/>
        <v>0</v>
      </c>
      <c r="BD389" s="132"/>
      <c r="BE389" s="140">
        <f t="shared" si="156"/>
        <v>0</v>
      </c>
      <c r="BF389" s="141"/>
      <c r="BG389" s="141"/>
      <c r="BH389" s="141"/>
      <c r="BI389" s="141"/>
      <c r="BJ389" s="141"/>
      <c r="BK389" s="141"/>
      <c r="BL389" s="141"/>
      <c r="BM389" s="141"/>
      <c r="BN389" s="141"/>
      <c r="BO389" s="141"/>
      <c r="BP389" s="141"/>
      <c r="BQ389" s="141"/>
      <c r="BR389" s="141"/>
      <c r="BS389" s="130">
        <f t="shared" si="157"/>
        <v>0</v>
      </c>
      <c r="BT389" s="132"/>
    </row>
    <row r="390" ht="14.25" customHeight="1">
      <c r="A390" s="132"/>
      <c r="B390" s="215">
        <v>46372</v>
      </c>
      <c r="C390" s="136"/>
      <c r="D390" s="136"/>
      <c r="E390" s="135"/>
      <c r="F390" s="135"/>
      <c r="G390" s="147">
        <f t="shared" si="149"/>
        <v>0</v>
      </c>
      <c r="H390" s="144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03">
        <f t="shared" si="150"/>
        <v>0</v>
      </c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  <c r="AF390" s="143"/>
      <c r="AG390" s="103">
        <f t="shared" si="151"/>
        <v>0</v>
      </c>
      <c r="AH390" s="136"/>
      <c r="AI390" s="136"/>
      <c r="AJ390" s="136"/>
      <c r="AK390" s="105">
        <f t="shared" si="152"/>
        <v>0</v>
      </c>
      <c r="AL390" s="143"/>
      <c r="AM390" s="143"/>
      <c r="AN390" s="143"/>
      <c r="AO390" s="146"/>
      <c r="AP390" s="224">
        <f t="shared" si="153"/>
        <v>0</v>
      </c>
      <c r="AQ390" s="126"/>
      <c r="AR390" s="274"/>
      <c r="AS390" s="126"/>
      <c r="AT390" s="126"/>
      <c r="AU390" s="126"/>
      <c r="AV390" s="126"/>
      <c r="AW390" s="126"/>
      <c r="AX390" s="274"/>
      <c r="AY390" s="274"/>
      <c r="AZ390" s="274"/>
      <c r="BA390" s="274"/>
      <c r="BB390" s="222">
        <f t="shared" si="154"/>
        <v>0</v>
      </c>
      <c r="BC390" s="140">
        <f t="shared" si="155"/>
        <v>0</v>
      </c>
      <c r="BD390" s="132"/>
      <c r="BE390" s="140">
        <f t="shared" si="156"/>
        <v>0</v>
      </c>
      <c r="BF390" s="141"/>
      <c r="BG390" s="141"/>
      <c r="BH390" s="141"/>
      <c r="BI390" s="141"/>
      <c r="BJ390" s="141"/>
      <c r="BK390" s="141"/>
      <c r="BL390" s="141"/>
      <c r="BM390" s="141"/>
      <c r="BN390" s="141"/>
      <c r="BO390" s="141"/>
      <c r="BP390" s="141"/>
      <c r="BQ390" s="141"/>
      <c r="BR390" s="141"/>
      <c r="BS390" s="130">
        <f t="shared" si="157"/>
        <v>0</v>
      </c>
      <c r="BT390" s="132"/>
    </row>
    <row r="391" ht="14.25" customHeight="1">
      <c r="A391" s="132"/>
      <c r="B391" s="215">
        <v>46373</v>
      </c>
      <c r="C391" s="136"/>
      <c r="D391" s="136"/>
      <c r="E391" s="135"/>
      <c r="F391" s="135"/>
      <c r="G391" s="147">
        <f t="shared" si="149"/>
        <v>0</v>
      </c>
      <c r="H391" s="144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03">
        <f t="shared" si="150"/>
        <v>0</v>
      </c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  <c r="AF391" s="143"/>
      <c r="AG391" s="103">
        <f t="shared" si="151"/>
        <v>0</v>
      </c>
      <c r="AH391" s="136"/>
      <c r="AI391" s="136"/>
      <c r="AJ391" s="136"/>
      <c r="AK391" s="105">
        <f t="shared" si="152"/>
        <v>0</v>
      </c>
      <c r="AL391" s="143"/>
      <c r="AM391" s="143"/>
      <c r="AN391" s="143"/>
      <c r="AO391" s="146"/>
      <c r="AP391" s="224">
        <f t="shared" si="153"/>
        <v>0</v>
      </c>
      <c r="AQ391" s="126"/>
      <c r="AR391" s="274"/>
      <c r="AS391" s="126"/>
      <c r="AT391" s="126"/>
      <c r="AU391" s="126"/>
      <c r="AV391" s="126"/>
      <c r="AW391" s="126"/>
      <c r="AX391" s="274"/>
      <c r="AY391" s="274"/>
      <c r="AZ391" s="274"/>
      <c r="BA391" s="274"/>
      <c r="BB391" s="222">
        <f t="shared" si="154"/>
        <v>0</v>
      </c>
      <c r="BC391" s="140">
        <f t="shared" si="155"/>
        <v>0</v>
      </c>
      <c r="BD391" s="132"/>
      <c r="BE391" s="140">
        <f t="shared" si="156"/>
        <v>0</v>
      </c>
      <c r="BF391" s="141"/>
      <c r="BG391" s="141"/>
      <c r="BH391" s="141"/>
      <c r="BI391" s="141"/>
      <c r="BJ391" s="141"/>
      <c r="BK391" s="141"/>
      <c r="BL391" s="141"/>
      <c r="BM391" s="141"/>
      <c r="BN391" s="141"/>
      <c r="BO391" s="141"/>
      <c r="BP391" s="141"/>
      <c r="BQ391" s="141"/>
      <c r="BR391" s="141"/>
      <c r="BS391" s="130">
        <f t="shared" si="157"/>
        <v>0</v>
      </c>
      <c r="BT391" s="132"/>
    </row>
    <row r="392" ht="14.25" customHeight="1">
      <c r="A392" s="132"/>
      <c r="B392" s="215">
        <v>46374</v>
      </c>
      <c r="C392" s="136"/>
      <c r="D392" s="136"/>
      <c r="E392" s="135"/>
      <c r="F392" s="135"/>
      <c r="G392" s="147">
        <f t="shared" si="149"/>
        <v>0</v>
      </c>
      <c r="H392" s="144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03">
        <f t="shared" si="150"/>
        <v>0</v>
      </c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  <c r="AF392" s="143"/>
      <c r="AG392" s="103">
        <f t="shared" si="151"/>
        <v>0</v>
      </c>
      <c r="AH392" s="136"/>
      <c r="AI392" s="136"/>
      <c r="AJ392" s="136"/>
      <c r="AK392" s="105">
        <f t="shared" si="152"/>
        <v>0</v>
      </c>
      <c r="AL392" s="143"/>
      <c r="AM392" s="143"/>
      <c r="AN392" s="143"/>
      <c r="AO392" s="146"/>
      <c r="AP392" s="224">
        <f t="shared" si="153"/>
        <v>0</v>
      </c>
      <c r="AQ392" s="126"/>
      <c r="AR392" s="274"/>
      <c r="AS392" s="126"/>
      <c r="AT392" s="126"/>
      <c r="AU392" s="126"/>
      <c r="AV392" s="126"/>
      <c r="AW392" s="126"/>
      <c r="AX392" s="274"/>
      <c r="AY392" s="274"/>
      <c r="AZ392" s="274"/>
      <c r="BA392" s="274"/>
      <c r="BB392" s="222">
        <f t="shared" si="154"/>
        <v>0</v>
      </c>
      <c r="BC392" s="140">
        <f t="shared" si="155"/>
        <v>0</v>
      </c>
      <c r="BD392" s="132"/>
      <c r="BE392" s="140">
        <f t="shared" si="156"/>
        <v>0</v>
      </c>
      <c r="BF392" s="141"/>
      <c r="BG392" s="141"/>
      <c r="BH392" s="141"/>
      <c r="BI392" s="141"/>
      <c r="BJ392" s="141"/>
      <c r="BK392" s="141"/>
      <c r="BL392" s="141"/>
      <c r="BM392" s="141"/>
      <c r="BN392" s="141"/>
      <c r="BO392" s="141"/>
      <c r="BP392" s="141"/>
      <c r="BQ392" s="141"/>
      <c r="BR392" s="141"/>
      <c r="BS392" s="130">
        <f t="shared" si="157"/>
        <v>0</v>
      </c>
      <c r="BT392" s="132"/>
    </row>
    <row r="393" ht="14.25" customHeight="1">
      <c r="A393" s="132"/>
      <c r="B393" s="215">
        <v>46375</v>
      </c>
      <c r="C393" s="136"/>
      <c r="D393" s="136"/>
      <c r="E393" s="135"/>
      <c r="F393" s="135"/>
      <c r="G393" s="147">
        <f t="shared" si="149"/>
        <v>0</v>
      </c>
      <c r="H393" s="144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03">
        <f t="shared" si="150"/>
        <v>0</v>
      </c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  <c r="AF393" s="143"/>
      <c r="AG393" s="103">
        <f t="shared" si="151"/>
        <v>0</v>
      </c>
      <c r="AH393" s="136"/>
      <c r="AI393" s="136"/>
      <c r="AJ393" s="136"/>
      <c r="AK393" s="105">
        <f t="shared" si="152"/>
        <v>0</v>
      </c>
      <c r="AL393" s="143"/>
      <c r="AM393" s="143"/>
      <c r="AN393" s="143"/>
      <c r="AO393" s="146"/>
      <c r="AP393" s="224">
        <f t="shared" si="153"/>
        <v>0</v>
      </c>
      <c r="AQ393" s="126"/>
      <c r="AR393" s="274"/>
      <c r="AS393" s="126"/>
      <c r="AT393" s="126"/>
      <c r="AU393" s="126"/>
      <c r="AV393" s="126"/>
      <c r="AW393" s="126"/>
      <c r="AX393" s="274"/>
      <c r="AY393" s="274"/>
      <c r="AZ393" s="274"/>
      <c r="BA393" s="274"/>
      <c r="BB393" s="222">
        <f t="shared" si="154"/>
        <v>0</v>
      </c>
      <c r="BC393" s="140">
        <f t="shared" si="155"/>
        <v>0</v>
      </c>
      <c r="BD393" s="132"/>
      <c r="BE393" s="140">
        <f t="shared" si="156"/>
        <v>0</v>
      </c>
      <c r="BF393" s="141"/>
      <c r="BG393" s="141"/>
      <c r="BH393" s="141"/>
      <c r="BI393" s="141"/>
      <c r="BJ393" s="141"/>
      <c r="BK393" s="141"/>
      <c r="BL393" s="141"/>
      <c r="BM393" s="141"/>
      <c r="BN393" s="141"/>
      <c r="BO393" s="141"/>
      <c r="BP393" s="141"/>
      <c r="BQ393" s="141"/>
      <c r="BR393" s="141"/>
      <c r="BS393" s="130">
        <f t="shared" si="157"/>
        <v>0</v>
      </c>
      <c r="BT393" s="132"/>
    </row>
    <row r="394" ht="14.25" customHeight="1">
      <c r="A394" s="132"/>
      <c r="B394" s="215">
        <v>46376</v>
      </c>
      <c r="C394" s="136"/>
      <c r="D394" s="136"/>
      <c r="E394" s="135"/>
      <c r="F394" s="135"/>
      <c r="G394" s="147">
        <f t="shared" si="149"/>
        <v>0</v>
      </c>
      <c r="H394" s="144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03">
        <f t="shared" si="150"/>
        <v>0</v>
      </c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  <c r="AF394" s="143"/>
      <c r="AG394" s="103">
        <f t="shared" si="151"/>
        <v>0</v>
      </c>
      <c r="AH394" s="136"/>
      <c r="AI394" s="136"/>
      <c r="AJ394" s="136"/>
      <c r="AK394" s="105">
        <f t="shared" si="152"/>
        <v>0</v>
      </c>
      <c r="AL394" s="143"/>
      <c r="AM394" s="143"/>
      <c r="AN394" s="143"/>
      <c r="AO394" s="146"/>
      <c r="AP394" s="224">
        <f t="shared" si="153"/>
        <v>0</v>
      </c>
      <c r="AQ394" s="126"/>
      <c r="AR394" s="274"/>
      <c r="AS394" s="126"/>
      <c r="AT394" s="126"/>
      <c r="AU394" s="126"/>
      <c r="AV394" s="126"/>
      <c r="AW394" s="126"/>
      <c r="AX394" s="274"/>
      <c r="AY394" s="274"/>
      <c r="AZ394" s="274"/>
      <c r="BA394" s="274"/>
      <c r="BB394" s="222">
        <f t="shared" si="154"/>
        <v>0</v>
      </c>
      <c r="BC394" s="140">
        <f t="shared" si="155"/>
        <v>0</v>
      </c>
      <c r="BD394" s="132"/>
      <c r="BE394" s="140">
        <f t="shared" si="156"/>
        <v>0</v>
      </c>
      <c r="BF394" s="141"/>
      <c r="BG394" s="141"/>
      <c r="BH394" s="141"/>
      <c r="BI394" s="141"/>
      <c r="BJ394" s="141"/>
      <c r="BK394" s="141"/>
      <c r="BL394" s="141"/>
      <c r="BM394" s="141"/>
      <c r="BN394" s="141"/>
      <c r="BO394" s="141"/>
      <c r="BP394" s="141"/>
      <c r="BQ394" s="141"/>
      <c r="BR394" s="141"/>
      <c r="BS394" s="130">
        <f t="shared" si="157"/>
        <v>0</v>
      </c>
      <c r="BT394" s="132"/>
    </row>
    <row r="395" ht="14.25" customHeight="1">
      <c r="A395" s="132"/>
      <c r="B395" s="215">
        <v>46377</v>
      </c>
      <c r="C395" s="136"/>
      <c r="D395" s="136"/>
      <c r="E395" s="135"/>
      <c r="F395" s="135"/>
      <c r="G395" s="147">
        <f t="shared" si="149"/>
        <v>0</v>
      </c>
      <c r="H395" s="144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03">
        <f t="shared" si="150"/>
        <v>0</v>
      </c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  <c r="AF395" s="143"/>
      <c r="AG395" s="103">
        <f t="shared" si="151"/>
        <v>0</v>
      </c>
      <c r="AH395" s="136"/>
      <c r="AI395" s="136"/>
      <c r="AJ395" s="136"/>
      <c r="AK395" s="105">
        <f t="shared" si="152"/>
        <v>0</v>
      </c>
      <c r="AL395" s="143"/>
      <c r="AM395" s="143"/>
      <c r="AN395" s="143"/>
      <c r="AO395" s="146"/>
      <c r="AP395" s="224">
        <f t="shared" si="153"/>
        <v>0</v>
      </c>
      <c r="AQ395" s="126"/>
      <c r="AR395" s="274"/>
      <c r="AS395" s="126"/>
      <c r="AT395" s="126"/>
      <c r="AU395" s="126"/>
      <c r="AV395" s="126"/>
      <c r="AW395" s="126"/>
      <c r="AX395" s="274"/>
      <c r="AY395" s="274"/>
      <c r="AZ395" s="274"/>
      <c r="BA395" s="274"/>
      <c r="BB395" s="222">
        <f t="shared" si="154"/>
        <v>0</v>
      </c>
      <c r="BC395" s="140">
        <f t="shared" si="155"/>
        <v>0</v>
      </c>
      <c r="BD395" s="132"/>
      <c r="BE395" s="140">
        <f t="shared" si="156"/>
        <v>0</v>
      </c>
      <c r="BF395" s="141"/>
      <c r="BG395" s="141"/>
      <c r="BH395" s="141"/>
      <c r="BI395" s="141"/>
      <c r="BJ395" s="141"/>
      <c r="BK395" s="141"/>
      <c r="BL395" s="141"/>
      <c r="BM395" s="141"/>
      <c r="BN395" s="141"/>
      <c r="BO395" s="141"/>
      <c r="BP395" s="141"/>
      <c r="BQ395" s="141"/>
      <c r="BR395" s="141"/>
      <c r="BS395" s="130">
        <f t="shared" si="157"/>
        <v>0</v>
      </c>
      <c r="BT395" s="132"/>
    </row>
    <row r="396" ht="14.25" customHeight="1">
      <c r="A396" s="132"/>
      <c r="B396" s="215">
        <v>46378</v>
      </c>
      <c r="C396" s="136"/>
      <c r="D396" s="136"/>
      <c r="E396" s="135"/>
      <c r="F396" s="135"/>
      <c r="G396" s="147">
        <f t="shared" si="149"/>
        <v>0</v>
      </c>
      <c r="H396" s="144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03">
        <f t="shared" si="150"/>
        <v>0</v>
      </c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  <c r="AF396" s="143"/>
      <c r="AG396" s="103">
        <f t="shared" si="151"/>
        <v>0</v>
      </c>
      <c r="AH396" s="136"/>
      <c r="AI396" s="136"/>
      <c r="AJ396" s="136"/>
      <c r="AK396" s="105">
        <f t="shared" si="152"/>
        <v>0</v>
      </c>
      <c r="AL396" s="143"/>
      <c r="AM396" s="143"/>
      <c r="AN396" s="143"/>
      <c r="AO396" s="146"/>
      <c r="AP396" s="224">
        <f t="shared" si="153"/>
        <v>0</v>
      </c>
      <c r="AQ396" s="126"/>
      <c r="AR396" s="274"/>
      <c r="AS396" s="126"/>
      <c r="AT396" s="126"/>
      <c r="AU396" s="126"/>
      <c r="AV396" s="126"/>
      <c r="AW396" s="126"/>
      <c r="AX396" s="274"/>
      <c r="AY396" s="274"/>
      <c r="AZ396" s="274"/>
      <c r="BA396" s="274"/>
      <c r="BB396" s="222">
        <f t="shared" si="154"/>
        <v>0</v>
      </c>
      <c r="BC396" s="140">
        <f t="shared" si="155"/>
        <v>0</v>
      </c>
      <c r="BD396" s="132"/>
      <c r="BE396" s="140">
        <f t="shared" si="156"/>
        <v>0</v>
      </c>
      <c r="BF396" s="141"/>
      <c r="BG396" s="141"/>
      <c r="BH396" s="141"/>
      <c r="BI396" s="141"/>
      <c r="BJ396" s="141"/>
      <c r="BK396" s="141"/>
      <c r="BL396" s="141"/>
      <c r="BM396" s="141"/>
      <c r="BN396" s="141"/>
      <c r="BO396" s="141"/>
      <c r="BP396" s="141"/>
      <c r="BQ396" s="141"/>
      <c r="BR396" s="141"/>
      <c r="BS396" s="130">
        <f t="shared" si="157"/>
        <v>0</v>
      </c>
      <c r="BT396" s="132"/>
    </row>
    <row r="397" ht="14.25" customHeight="1">
      <c r="A397" s="132"/>
      <c r="B397" s="215">
        <v>46379</v>
      </c>
      <c r="C397" s="136"/>
      <c r="D397" s="136"/>
      <c r="E397" s="135"/>
      <c r="F397" s="135"/>
      <c r="G397" s="147">
        <f t="shared" si="149"/>
        <v>0</v>
      </c>
      <c r="H397" s="144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03">
        <f t="shared" si="150"/>
        <v>0</v>
      </c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  <c r="AF397" s="143"/>
      <c r="AG397" s="103">
        <f t="shared" si="151"/>
        <v>0</v>
      </c>
      <c r="AH397" s="136"/>
      <c r="AI397" s="136"/>
      <c r="AJ397" s="136"/>
      <c r="AK397" s="105">
        <f t="shared" si="152"/>
        <v>0</v>
      </c>
      <c r="AL397" s="143"/>
      <c r="AM397" s="143"/>
      <c r="AN397" s="143"/>
      <c r="AO397" s="146"/>
      <c r="AP397" s="224">
        <f t="shared" si="153"/>
        <v>0</v>
      </c>
      <c r="AQ397" s="126"/>
      <c r="AR397" s="274"/>
      <c r="AS397" s="126"/>
      <c r="AT397" s="126"/>
      <c r="AU397" s="126"/>
      <c r="AV397" s="126"/>
      <c r="AW397" s="126"/>
      <c r="AX397" s="274"/>
      <c r="AY397" s="274"/>
      <c r="AZ397" s="274"/>
      <c r="BA397" s="274"/>
      <c r="BB397" s="222">
        <f t="shared" si="154"/>
        <v>0</v>
      </c>
      <c r="BC397" s="140">
        <f t="shared" si="155"/>
        <v>0</v>
      </c>
      <c r="BD397" s="132"/>
      <c r="BE397" s="140">
        <f t="shared" si="156"/>
        <v>0</v>
      </c>
      <c r="BF397" s="141"/>
      <c r="BG397" s="141"/>
      <c r="BH397" s="141"/>
      <c r="BI397" s="141"/>
      <c r="BJ397" s="141"/>
      <c r="BK397" s="141"/>
      <c r="BL397" s="141"/>
      <c r="BM397" s="141"/>
      <c r="BN397" s="141"/>
      <c r="BO397" s="141"/>
      <c r="BP397" s="141"/>
      <c r="BQ397" s="141"/>
      <c r="BR397" s="141"/>
      <c r="BS397" s="130">
        <f t="shared" si="157"/>
        <v>0</v>
      </c>
      <c r="BT397" s="132"/>
    </row>
    <row r="398" ht="14.25" customHeight="1">
      <c r="A398" s="132"/>
      <c r="B398" s="215">
        <v>46380</v>
      </c>
      <c r="C398" s="136"/>
      <c r="D398" s="136"/>
      <c r="E398" s="135"/>
      <c r="F398" s="135"/>
      <c r="G398" s="147">
        <f t="shared" si="149"/>
        <v>0</v>
      </c>
      <c r="H398" s="144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03">
        <f t="shared" si="150"/>
        <v>0</v>
      </c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  <c r="AF398" s="143"/>
      <c r="AG398" s="103">
        <f t="shared" si="151"/>
        <v>0</v>
      </c>
      <c r="AH398" s="136"/>
      <c r="AI398" s="136"/>
      <c r="AJ398" s="136"/>
      <c r="AK398" s="105">
        <f t="shared" si="152"/>
        <v>0</v>
      </c>
      <c r="AL398" s="143"/>
      <c r="AM398" s="143"/>
      <c r="AN398" s="143"/>
      <c r="AO398" s="146"/>
      <c r="AP398" s="224">
        <f t="shared" si="153"/>
        <v>0</v>
      </c>
      <c r="AQ398" s="126"/>
      <c r="AR398" s="274"/>
      <c r="AS398" s="126"/>
      <c r="AT398" s="126"/>
      <c r="AU398" s="126"/>
      <c r="AV398" s="126"/>
      <c r="AW398" s="126"/>
      <c r="AX398" s="274"/>
      <c r="AY398" s="274"/>
      <c r="AZ398" s="274"/>
      <c r="BA398" s="274"/>
      <c r="BB398" s="222">
        <f t="shared" si="154"/>
        <v>0</v>
      </c>
      <c r="BC398" s="140">
        <f t="shared" si="155"/>
        <v>0</v>
      </c>
      <c r="BD398" s="132"/>
      <c r="BE398" s="140">
        <f t="shared" si="156"/>
        <v>0</v>
      </c>
      <c r="BF398" s="141"/>
      <c r="BG398" s="141"/>
      <c r="BH398" s="141"/>
      <c r="BI398" s="141"/>
      <c r="BJ398" s="141"/>
      <c r="BK398" s="141"/>
      <c r="BL398" s="141"/>
      <c r="BM398" s="141"/>
      <c r="BN398" s="141"/>
      <c r="BO398" s="141"/>
      <c r="BP398" s="141"/>
      <c r="BQ398" s="141"/>
      <c r="BR398" s="141"/>
      <c r="BS398" s="130">
        <f t="shared" si="157"/>
        <v>0</v>
      </c>
      <c r="BT398" s="132"/>
    </row>
    <row r="399" ht="14.25" customHeight="1">
      <c r="A399" s="132"/>
      <c r="B399" s="215">
        <v>46381</v>
      </c>
      <c r="C399" s="136"/>
      <c r="D399" s="136"/>
      <c r="E399" s="135"/>
      <c r="F399" s="135"/>
      <c r="G399" s="147">
        <f t="shared" si="149"/>
        <v>0</v>
      </c>
      <c r="H399" s="144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03">
        <f t="shared" si="150"/>
        <v>0</v>
      </c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  <c r="AF399" s="143"/>
      <c r="AG399" s="103">
        <f t="shared" si="151"/>
        <v>0</v>
      </c>
      <c r="AH399" s="136"/>
      <c r="AI399" s="136"/>
      <c r="AJ399" s="136"/>
      <c r="AK399" s="105">
        <f t="shared" si="152"/>
        <v>0</v>
      </c>
      <c r="AL399" s="143"/>
      <c r="AM399" s="143"/>
      <c r="AN399" s="143"/>
      <c r="AO399" s="146"/>
      <c r="AP399" s="224">
        <f t="shared" si="153"/>
        <v>0</v>
      </c>
      <c r="AQ399" s="126"/>
      <c r="AR399" s="274"/>
      <c r="AS399" s="126"/>
      <c r="AT399" s="126"/>
      <c r="AU399" s="126"/>
      <c r="AV399" s="126"/>
      <c r="AW399" s="126"/>
      <c r="AX399" s="274"/>
      <c r="AY399" s="274"/>
      <c r="AZ399" s="274"/>
      <c r="BA399" s="274"/>
      <c r="BB399" s="222">
        <f t="shared" si="154"/>
        <v>0</v>
      </c>
      <c r="BC399" s="140">
        <f t="shared" si="155"/>
        <v>0</v>
      </c>
      <c r="BD399" s="132"/>
      <c r="BE399" s="140">
        <f t="shared" si="156"/>
        <v>0</v>
      </c>
      <c r="BF399" s="141"/>
      <c r="BG399" s="141"/>
      <c r="BH399" s="141"/>
      <c r="BI399" s="141"/>
      <c r="BJ399" s="141"/>
      <c r="BK399" s="141"/>
      <c r="BL399" s="141"/>
      <c r="BM399" s="141"/>
      <c r="BN399" s="141"/>
      <c r="BO399" s="141"/>
      <c r="BP399" s="141"/>
      <c r="BQ399" s="141"/>
      <c r="BR399" s="141"/>
      <c r="BS399" s="130">
        <f t="shared" si="157"/>
        <v>0</v>
      </c>
      <c r="BT399" s="132"/>
    </row>
    <row r="400" ht="14.25" customHeight="1">
      <c r="A400" s="132"/>
      <c r="B400" s="215">
        <v>46382</v>
      </c>
      <c r="C400" s="136"/>
      <c r="D400" s="136"/>
      <c r="E400" s="135"/>
      <c r="F400" s="135"/>
      <c r="G400" s="147">
        <f t="shared" si="149"/>
        <v>0</v>
      </c>
      <c r="H400" s="144"/>
      <c r="I400" s="143"/>
      <c r="J400" s="143"/>
      <c r="K400" s="143"/>
      <c r="L400" s="143"/>
      <c r="M400" s="143"/>
      <c r="N400" s="99"/>
      <c r="O400" s="143"/>
      <c r="P400" s="143"/>
      <c r="Q400" s="143"/>
      <c r="R400" s="143"/>
      <c r="S400" s="143"/>
      <c r="T400" s="103">
        <f t="shared" si="150"/>
        <v>0</v>
      </c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  <c r="AF400" s="143"/>
      <c r="AG400" s="103">
        <f t="shared" si="151"/>
        <v>0</v>
      </c>
      <c r="AH400" s="136"/>
      <c r="AI400" s="136"/>
      <c r="AJ400" s="136"/>
      <c r="AK400" s="105">
        <f t="shared" si="152"/>
        <v>0</v>
      </c>
      <c r="AL400" s="143"/>
      <c r="AM400" s="143"/>
      <c r="AN400" s="143"/>
      <c r="AO400" s="146"/>
      <c r="AP400" s="224">
        <f t="shared" si="153"/>
        <v>0</v>
      </c>
      <c r="AQ400" s="126"/>
      <c r="AR400" s="274"/>
      <c r="AS400" s="126"/>
      <c r="AT400" s="126"/>
      <c r="AU400" s="126"/>
      <c r="AV400" s="126"/>
      <c r="AW400" s="126"/>
      <c r="AX400" s="274"/>
      <c r="AY400" s="274"/>
      <c r="AZ400" s="274"/>
      <c r="BA400" s="274"/>
      <c r="BB400" s="222">
        <f t="shared" si="154"/>
        <v>0</v>
      </c>
      <c r="BC400" s="140">
        <f t="shared" si="155"/>
        <v>0</v>
      </c>
      <c r="BD400" s="132"/>
      <c r="BE400" s="140">
        <f t="shared" si="156"/>
        <v>0</v>
      </c>
      <c r="BF400" s="141"/>
      <c r="BG400" s="141"/>
      <c r="BH400" s="141"/>
      <c r="BI400" s="141"/>
      <c r="BJ400" s="141"/>
      <c r="BK400" s="141"/>
      <c r="BL400" s="141"/>
      <c r="BM400" s="141"/>
      <c r="BN400" s="141"/>
      <c r="BO400" s="141"/>
      <c r="BP400" s="141"/>
      <c r="BQ400" s="141"/>
      <c r="BR400" s="141"/>
      <c r="BS400" s="130">
        <f t="shared" si="157"/>
        <v>0</v>
      </c>
      <c r="BT400" s="132"/>
    </row>
    <row r="401" ht="14.25" customHeight="1">
      <c r="A401" s="132"/>
      <c r="B401" s="215">
        <v>46383</v>
      </c>
      <c r="C401" s="136"/>
      <c r="D401" s="136"/>
      <c r="E401" s="135"/>
      <c r="F401" s="135"/>
      <c r="G401" s="147">
        <f t="shared" si="149"/>
        <v>0</v>
      </c>
      <c r="H401" s="144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03">
        <f t="shared" si="150"/>
        <v>0</v>
      </c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  <c r="AF401" s="143"/>
      <c r="AG401" s="103">
        <f t="shared" si="151"/>
        <v>0</v>
      </c>
      <c r="AH401" s="136"/>
      <c r="AI401" s="136"/>
      <c r="AJ401" s="136"/>
      <c r="AK401" s="105">
        <f t="shared" si="152"/>
        <v>0</v>
      </c>
      <c r="AL401" s="143"/>
      <c r="AM401" s="143"/>
      <c r="AN401" s="143"/>
      <c r="AO401" s="146"/>
      <c r="AP401" s="224">
        <f t="shared" si="153"/>
        <v>0</v>
      </c>
      <c r="AQ401" s="126"/>
      <c r="AR401" s="274"/>
      <c r="AS401" s="126"/>
      <c r="AT401" s="126"/>
      <c r="AU401" s="126"/>
      <c r="AV401" s="126"/>
      <c r="AW401" s="126"/>
      <c r="AX401" s="274"/>
      <c r="AY401" s="274"/>
      <c r="AZ401" s="274"/>
      <c r="BA401" s="274"/>
      <c r="BB401" s="222">
        <f t="shared" si="154"/>
        <v>0</v>
      </c>
      <c r="BC401" s="140">
        <f t="shared" si="155"/>
        <v>0</v>
      </c>
      <c r="BD401" s="132"/>
      <c r="BE401" s="140">
        <f t="shared" si="156"/>
        <v>0</v>
      </c>
      <c r="BF401" s="141"/>
      <c r="BG401" s="141"/>
      <c r="BH401" s="141"/>
      <c r="BI401" s="141"/>
      <c r="BJ401" s="141"/>
      <c r="BK401" s="141"/>
      <c r="BL401" s="141"/>
      <c r="BM401" s="141"/>
      <c r="BN401" s="141"/>
      <c r="BO401" s="141"/>
      <c r="BP401" s="141"/>
      <c r="BQ401" s="141"/>
      <c r="BR401" s="141"/>
      <c r="BS401" s="130">
        <f t="shared" si="157"/>
        <v>0</v>
      </c>
      <c r="BT401" s="132"/>
    </row>
    <row r="402" ht="14.25" customHeight="1">
      <c r="A402" s="132"/>
      <c r="B402" s="215">
        <v>46384</v>
      </c>
      <c r="C402" s="136"/>
      <c r="D402" s="136"/>
      <c r="E402" s="135"/>
      <c r="F402" s="135"/>
      <c r="G402" s="147">
        <f t="shared" si="149"/>
        <v>0</v>
      </c>
      <c r="H402" s="144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03">
        <f t="shared" si="150"/>
        <v>0</v>
      </c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  <c r="AF402" s="143"/>
      <c r="AG402" s="103">
        <f t="shared" si="151"/>
        <v>0</v>
      </c>
      <c r="AH402" s="136"/>
      <c r="AI402" s="136"/>
      <c r="AJ402" s="136"/>
      <c r="AK402" s="105">
        <f t="shared" si="152"/>
        <v>0</v>
      </c>
      <c r="AL402" s="143"/>
      <c r="AM402" s="143"/>
      <c r="AN402" s="143"/>
      <c r="AO402" s="146"/>
      <c r="AP402" s="224">
        <f t="shared" si="153"/>
        <v>0</v>
      </c>
      <c r="AQ402" s="126"/>
      <c r="AR402" s="274"/>
      <c r="AS402" s="126"/>
      <c r="AT402" s="126"/>
      <c r="AU402" s="126"/>
      <c r="AV402" s="126"/>
      <c r="AW402" s="126"/>
      <c r="AX402" s="274"/>
      <c r="AY402" s="274"/>
      <c r="AZ402" s="274"/>
      <c r="BA402" s="274"/>
      <c r="BB402" s="222">
        <f t="shared" si="154"/>
        <v>0</v>
      </c>
      <c r="BC402" s="140">
        <f t="shared" si="155"/>
        <v>0</v>
      </c>
      <c r="BD402" s="132"/>
      <c r="BE402" s="140">
        <f t="shared" si="156"/>
        <v>0</v>
      </c>
      <c r="BF402" s="141"/>
      <c r="BG402" s="141"/>
      <c r="BH402" s="141"/>
      <c r="BI402" s="141"/>
      <c r="BJ402" s="141"/>
      <c r="BK402" s="141"/>
      <c r="BL402" s="141"/>
      <c r="BM402" s="141"/>
      <c r="BN402" s="141"/>
      <c r="BO402" s="141"/>
      <c r="BP402" s="141"/>
      <c r="BQ402" s="141"/>
      <c r="BR402" s="141"/>
      <c r="BS402" s="130">
        <f t="shared" si="157"/>
        <v>0</v>
      </c>
      <c r="BT402" s="132"/>
    </row>
    <row r="403" ht="14.25" customHeight="1">
      <c r="A403" s="132"/>
      <c r="B403" s="215">
        <v>46385</v>
      </c>
      <c r="C403" s="136"/>
      <c r="D403" s="136"/>
      <c r="E403" s="135"/>
      <c r="F403" s="135"/>
      <c r="G403" s="147">
        <f t="shared" si="149"/>
        <v>0</v>
      </c>
      <c r="H403" s="144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03">
        <f t="shared" si="150"/>
        <v>0</v>
      </c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  <c r="AF403" s="143"/>
      <c r="AG403" s="103">
        <f t="shared" si="151"/>
        <v>0</v>
      </c>
      <c r="AH403" s="136"/>
      <c r="AI403" s="136"/>
      <c r="AJ403" s="136"/>
      <c r="AK403" s="105">
        <f t="shared" si="152"/>
        <v>0</v>
      </c>
      <c r="AL403" s="143"/>
      <c r="AM403" s="143"/>
      <c r="AN403" s="143"/>
      <c r="AO403" s="146"/>
      <c r="AP403" s="224">
        <f t="shared" si="153"/>
        <v>0</v>
      </c>
      <c r="AQ403" s="126"/>
      <c r="AR403" s="274"/>
      <c r="AS403" s="126"/>
      <c r="AT403" s="126"/>
      <c r="AU403" s="126"/>
      <c r="AV403" s="126"/>
      <c r="AW403" s="126"/>
      <c r="AX403" s="274"/>
      <c r="AY403" s="274"/>
      <c r="AZ403" s="274"/>
      <c r="BA403" s="274"/>
      <c r="BB403" s="222">
        <f t="shared" si="154"/>
        <v>0</v>
      </c>
      <c r="BC403" s="140">
        <f t="shared" si="155"/>
        <v>0</v>
      </c>
      <c r="BD403" s="132"/>
      <c r="BE403" s="140">
        <f t="shared" si="156"/>
        <v>0</v>
      </c>
      <c r="BF403" s="141"/>
      <c r="BG403" s="141"/>
      <c r="BH403" s="141"/>
      <c r="BI403" s="141"/>
      <c r="BJ403" s="141"/>
      <c r="BK403" s="141"/>
      <c r="BL403" s="141"/>
      <c r="BM403" s="141"/>
      <c r="BN403" s="141"/>
      <c r="BO403" s="141"/>
      <c r="BP403" s="141"/>
      <c r="BQ403" s="141"/>
      <c r="BR403" s="141"/>
      <c r="BS403" s="130">
        <f t="shared" si="157"/>
        <v>0</v>
      </c>
      <c r="BT403" s="132"/>
    </row>
    <row r="404" ht="14.25" customHeight="1">
      <c r="A404" s="3"/>
      <c r="B404" s="215">
        <v>46386</v>
      </c>
      <c r="C404" s="123"/>
      <c r="D404" s="123"/>
      <c r="E404" s="120"/>
      <c r="F404" s="120"/>
      <c r="G404" s="147">
        <f t="shared" si="149"/>
        <v>0</v>
      </c>
      <c r="H404" s="144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03">
        <f t="shared" si="150"/>
        <v>0</v>
      </c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  <c r="AF404" s="143"/>
      <c r="AG404" s="103">
        <f t="shared" si="151"/>
        <v>0</v>
      </c>
      <c r="AH404" s="123"/>
      <c r="AI404" s="123"/>
      <c r="AJ404" s="123"/>
      <c r="AK404" s="105">
        <f t="shared" si="152"/>
        <v>0</v>
      </c>
      <c r="AL404" s="143"/>
      <c r="AM404" s="143"/>
      <c r="AN404" s="143"/>
      <c r="AO404" s="146"/>
      <c r="AP404" s="224">
        <f t="shared" si="153"/>
        <v>0</v>
      </c>
      <c r="AQ404" s="126"/>
      <c r="AR404" s="274"/>
      <c r="AS404" s="126"/>
      <c r="AT404" s="126"/>
      <c r="AU404" s="126"/>
      <c r="AV404" s="126"/>
      <c r="AW404" s="126"/>
      <c r="AX404" s="274"/>
      <c r="AY404" s="274"/>
      <c r="AZ404" s="274"/>
      <c r="BA404" s="274"/>
      <c r="BB404" s="222">
        <f t="shared" si="154"/>
        <v>0</v>
      </c>
      <c r="BC404" s="113">
        <f t="shared" si="155"/>
        <v>0</v>
      </c>
      <c r="BD404" s="3"/>
      <c r="BE404" s="113">
        <f t="shared" si="156"/>
        <v>0</v>
      </c>
      <c r="BF404" s="129"/>
      <c r="BG404" s="129"/>
      <c r="BH404" s="129"/>
      <c r="BI404" s="129"/>
      <c r="BJ404" s="129"/>
      <c r="BK404" s="129"/>
      <c r="BL404" s="129"/>
      <c r="BM404" s="129"/>
      <c r="BN404" s="129"/>
      <c r="BO404" s="129"/>
      <c r="BP404" s="129"/>
      <c r="BQ404" s="129"/>
      <c r="BR404" s="129"/>
      <c r="BS404" s="130">
        <f t="shared" si="157"/>
        <v>0</v>
      </c>
      <c r="BT404" s="3"/>
    </row>
    <row r="405" ht="14.25" customHeight="1">
      <c r="A405" s="3"/>
      <c r="B405" s="215">
        <v>46387</v>
      </c>
      <c r="C405" s="278"/>
      <c r="D405" s="278"/>
      <c r="E405" s="279"/>
      <c r="F405" s="279"/>
      <c r="G405" s="147">
        <f t="shared" si="149"/>
        <v>0</v>
      </c>
      <c r="H405" s="612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03">
        <f t="shared" si="150"/>
        <v>0</v>
      </c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03">
        <f t="shared" si="151"/>
        <v>0</v>
      </c>
      <c r="AH405" s="278"/>
      <c r="AI405" s="278"/>
      <c r="AJ405" s="278"/>
      <c r="AK405" s="105">
        <f t="shared" si="152"/>
        <v>0</v>
      </c>
      <c r="AL405" s="157"/>
      <c r="AM405" s="157"/>
      <c r="AN405" s="157"/>
      <c r="AO405" s="160"/>
      <c r="AP405" s="224">
        <f t="shared" si="153"/>
        <v>0</v>
      </c>
      <c r="AQ405" s="138"/>
      <c r="AR405" s="296"/>
      <c r="AS405" s="138"/>
      <c r="AT405" s="138"/>
      <c r="AU405" s="126"/>
      <c r="AV405" s="126"/>
      <c r="AW405" s="138"/>
      <c r="AX405" s="296"/>
      <c r="AY405" s="296"/>
      <c r="AZ405" s="296"/>
      <c r="BA405" s="296"/>
      <c r="BB405" s="222">
        <f t="shared" si="154"/>
        <v>0</v>
      </c>
      <c r="BC405" s="281">
        <f t="shared" si="155"/>
        <v>0</v>
      </c>
      <c r="BD405" s="3"/>
      <c r="BE405" s="281">
        <f t="shared" si="156"/>
        <v>0</v>
      </c>
      <c r="BF405" s="282"/>
      <c r="BG405" s="282"/>
      <c r="BH405" s="282"/>
      <c r="BI405" s="282"/>
      <c r="BJ405" s="282"/>
      <c r="BK405" s="282"/>
      <c r="BL405" s="282"/>
      <c r="BM405" s="282"/>
      <c r="BN405" s="282"/>
      <c r="BO405" s="129"/>
      <c r="BP405" s="282"/>
      <c r="BQ405" s="282"/>
      <c r="BR405" s="282"/>
      <c r="BS405" s="164">
        <f t="shared" si="157"/>
        <v>0</v>
      </c>
      <c r="BT405" s="3"/>
    </row>
    <row r="406" ht="14.25" customHeight="1">
      <c r="A406" s="3"/>
      <c r="B406" s="2" t="s">
        <v>86</v>
      </c>
      <c r="C406" s="166">
        <f ref="C406:BC406" t="shared" si="158">SUM(C375:C405)</f>
        <v>0</v>
      </c>
      <c r="D406" s="166">
        <f t="shared" si="158"/>
        <v>0</v>
      </c>
      <c r="E406" s="166">
        <f t="shared" si="158"/>
        <v>0</v>
      </c>
      <c r="F406" s="166">
        <f t="shared" si="158"/>
        <v>0</v>
      </c>
      <c r="G406" s="166">
        <f t="shared" si="158"/>
        <v>0</v>
      </c>
      <c r="H406" s="166">
        <f t="shared" si="158"/>
        <v>0</v>
      </c>
      <c r="I406" s="166">
        <f t="shared" si="158"/>
        <v>0</v>
      </c>
      <c r="J406" s="166">
        <f t="shared" si="158"/>
        <v>0</v>
      </c>
      <c r="K406" s="166">
        <f t="shared" si="158"/>
        <v>0</v>
      </c>
      <c r="L406" s="166">
        <f t="shared" si="158"/>
        <v>0</v>
      </c>
      <c r="M406" s="166">
        <f t="shared" si="158"/>
        <v>0</v>
      </c>
      <c r="N406" s="166">
        <f t="shared" si="158"/>
        <v>0</v>
      </c>
      <c r="O406" s="166">
        <f t="shared" si="158"/>
        <v>0</v>
      </c>
      <c r="P406" s="166">
        <f t="shared" si="158"/>
        <v>0</v>
      </c>
      <c r="Q406" s="166">
        <f t="shared" si="158"/>
        <v>0</v>
      </c>
      <c r="R406" s="166">
        <f t="shared" si="158"/>
        <v>0</v>
      </c>
      <c r="S406" s="166">
        <f t="shared" si="158"/>
        <v>0</v>
      </c>
      <c r="T406" s="166">
        <f t="shared" si="158"/>
        <v>0</v>
      </c>
      <c r="U406" s="166">
        <f t="shared" si="158"/>
        <v>0</v>
      </c>
      <c r="V406" s="166">
        <f t="shared" si="158"/>
        <v>0</v>
      </c>
      <c r="W406" s="166">
        <f t="shared" si="158"/>
        <v>0</v>
      </c>
      <c r="X406" s="166">
        <f t="shared" si="158"/>
        <v>0</v>
      </c>
      <c r="Y406" s="166">
        <f t="shared" si="158"/>
        <v>0</v>
      </c>
      <c r="Z406" s="166">
        <f t="shared" si="158"/>
        <v>0</v>
      </c>
      <c r="AA406" s="166">
        <f t="shared" si="158"/>
        <v>0</v>
      </c>
      <c r="AB406" s="166">
        <f t="shared" si="158"/>
        <v>0</v>
      </c>
      <c r="AC406" s="166">
        <f t="shared" si="158"/>
        <v>0</v>
      </c>
      <c r="AD406" s="166">
        <f t="shared" si="158"/>
        <v>0</v>
      </c>
      <c r="AE406" s="166">
        <f t="shared" si="158"/>
        <v>0</v>
      </c>
      <c r="AF406" s="166">
        <f t="shared" si="158"/>
        <v>0</v>
      </c>
      <c r="AG406" s="166">
        <f t="shared" si="158"/>
        <v>0</v>
      </c>
      <c r="AH406" s="166">
        <f t="shared" si="158"/>
        <v>0</v>
      </c>
      <c r="AI406" s="166">
        <f t="shared" si="158"/>
        <v>0</v>
      </c>
      <c r="AJ406" s="166">
        <f t="shared" si="158"/>
        <v>0</v>
      </c>
      <c r="AK406" s="166">
        <f t="shared" si="158"/>
        <v>0</v>
      </c>
      <c r="AL406" s="166">
        <f t="shared" si="158"/>
        <v>0</v>
      </c>
      <c r="AM406" s="166">
        <f t="shared" si="158"/>
        <v>0</v>
      </c>
      <c r="AN406" s="166">
        <f t="shared" si="158"/>
        <v>0</v>
      </c>
      <c r="AO406" s="166">
        <f t="shared" si="158"/>
        <v>0</v>
      </c>
      <c r="AP406" s="166">
        <f t="shared" si="158"/>
        <v>0</v>
      </c>
      <c r="AQ406" s="165">
        <f t="shared" si="158"/>
        <v>0</v>
      </c>
      <c r="AR406" s="166">
        <f t="shared" si="158"/>
        <v>0</v>
      </c>
      <c r="AS406" s="166">
        <f t="shared" si="158"/>
        <v>0</v>
      </c>
      <c r="AT406" s="166">
        <f t="shared" si="158"/>
        <v>0</v>
      </c>
      <c r="AU406" s="166">
        <f t="shared" si="158"/>
        <v>0</v>
      </c>
      <c r="AV406" s="166">
        <f t="shared" si="158"/>
        <v>0</v>
      </c>
      <c r="AW406" s="166">
        <f t="shared" si="158"/>
        <v>0</v>
      </c>
      <c r="AX406" s="166">
        <f t="shared" si="158"/>
        <v>0</v>
      </c>
      <c r="AY406" s="166">
        <f t="shared" si="158"/>
        <v>0</v>
      </c>
      <c r="AZ406" s="166">
        <f t="shared" si="158"/>
        <v>0</v>
      </c>
      <c r="BA406" s="166">
        <f t="shared" si="158"/>
        <v>0</v>
      </c>
      <c r="BB406" s="166">
        <f t="shared" si="158"/>
        <v>0</v>
      </c>
      <c r="BC406" s="166">
        <f t="shared" si="158"/>
        <v>0</v>
      </c>
      <c r="BD406" s="3"/>
      <c r="BE406" s="172">
        <f ref="BE406:BS406" t="shared" si="159">SUM(BE375:BE405)</f>
        <v>0</v>
      </c>
      <c r="BF406" s="165">
        <f t="shared" si="159"/>
        <v>0</v>
      </c>
      <c r="BG406" s="165">
        <f t="shared" si="159"/>
        <v>0</v>
      </c>
      <c r="BH406" s="165">
        <f t="shared" si="159"/>
        <v>0</v>
      </c>
      <c r="BI406" s="165">
        <f t="shared" si="159"/>
        <v>0</v>
      </c>
      <c r="BJ406" s="165">
        <f t="shared" si="159"/>
        <v>0</v>
      </c>
      <c r="BK406" s="165">
        <f t="shared" si="159"/>
        <v>0</v>
      </c>
      <c r="BL406" s="165">
        <f t="shared" si="159"/>
        <v>0</v>
      </c>
      <c r="BM406" s="165">
        <f t="shared" si="159"/>
        <v>0</v>
      </c>
      <c r="BN406" s="165">
        <f t="shared" si="159"/>
        <v>0</v>
      </c>
      <c r="BO406" s="165">
        <f t="shared" si="159"/>
        <v>0</v>
      </c>
      <c r="BP406" s="165">
        <f t="shared" si="159"/>
        <v>0</v>
      </c>
      <c r="BQ406" s="165">
        <f t="shared" si="159"/>
        <v>0</v>
      </c>
      <c r="BR406" s="165">
        <f t="shared" si="159"/>
        <v>0</v>
      </c>
      <c r="BS406" s="165">
        <f t="shared" si="159"/>
        <v>0</v>
      </c>
      <c r="BT406" s="3"/>
    </row>
  </sheetData>
  <pageMargins left="0.7" right="0.7" top="0.75" bottom="0.75" header="0" footer="0"/>
  <pageSetup orientation="portrait"/>
  <headerFooter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BY405"/>
  <sheetViews>
    <sheetView tabSelected="1" zoomScale="51" zoomScaleNormal="51" workbookViewId="0">
      <pane xSplit="2" ySplit="5" topLeftCell="C94" activePane="bottomRight" state="frozen"/>
      <selection pane="topRight" activeCell="B1" sqref="B1"/>
      <selection pane="bottomLeft" activeCell="A6" sqref="A6"/>
      <selection pane="bottomRight" sqref="A1:A1048576"/>
    </sheetView>
  </sheetViews>
  <sheetFormatPr baseColWidth="10" defaultColWidth="14.42578125" defaultRowHeight="15" customHeight="1" x14ac:dyDescent="0.25"/>
  <cols>
    <col min="1" max="1" width="14.42578125" customWidth="1" style="1920"/>
    <col min="2" max="2" width="16.7109375" customWidth="1"/>
    <col min="3" max="3" width="12.140625" customWidth="1"/>
    <col min="4" max="4" width="12.7109375" customWidth="1"/>
    <col min="5" max="5" hidden="1" width="11.42578125" customWidth="1"/>
    <col min="6" max="6" hidden="1" width="10.140625" customWidth="1"/>
    <col min="7" max="7" width="15.42578125" customWidth="1"/>
    <col min="8" max="8" width="13" customWidth="1"/>
    <col min="9" max="9" width="17.28515625" customWidth="1"/>
    <col min="10" max="10" width="14.28515625" customWidth="1"/>
    <col min="11" max="11" width="29.28515625" customWidth="1"/>
    <col min="12" max="12" width="20.28515625" customWidth="1"/>
    <col min="13" max="13" width="10.42578125" customWidth="1"/>
    <col min="14" max="14" width="15.85546875" customWidth="1"/>
    <col min="17" max="17" width="10.42578125" customWidth="1"/>
    <col min="18" max="18" width="12" customWidth="1"/>
    <col min="19" max="19" hidden="1" width="12" customWidth="1"/>
    <col min="20" max="21" width="15.28515625" customWidth="1"/>
    <col min="22" max="22" width="17.85546875" customWidth="1"/>
    <col min="23" max="23" width="13.28515625" customWidth="1"/>
    <col min="24" max="24" width="12.28515625" customWidth="1"/>
    <col min="25" max="26" width="13.28515625" customWidth="1"/>
    <col min="27" max="27" width="18.7109375" customWidth="1"/>
    <col min="28" max="34" hidden="1" width="18.7109375" customWidth="1"/>
    <col min="35" max="35" width="13.85546875" customWidth="1"/>
    <col min="36" max="36" hidden="1" width="18.7109375" customWidth="1"/>
    <col min="37" max="38" width="18.7109375" customWidth="1"/>
    <col min="39" max="39" width="12.140625" customWidth="1"/>
    <col min="40" max="41" hidden="1" width="11.42578125" customWidth="1"/>
    <col min="42" max="42" width="12.7109375" customWidth="1"/>
    <col min="43" max="43" width="10.7109375" customWidth="1"/>
    <col min="44" max="45" hidden="1" width="10.7109375" customWidth="1"/>
    <col min="46" max="48" width="10.7109375" customWidth="1"/>
    <col min="49" max="49" width="10.140625" customWidth="1"/>
    <col min="50" max="50" hidden="1" width="12.85546875" customWidth="1"/>
    <col min="51" max="51" hidden="1" width="13.140625" customWidth="1"/>
    <col min="52" max="52" hidden="1" width="10.7109375" customWidth="1"/>
    <col min="53" max="53" width="10.7109375" customWidth="1"/>
    <col min="54" max="58" hidden="1" width="10.7109375" customWidth="1"/>
    <col min="59" max="59" width="10.7109375" customWidth="1"/>
    <col min="60" max="60" width="13" customWidth="1"/>
    <col min="61" max="61" width="5" customWidth="1"/>
    <col min="62" max="67" width="10.7109375" customWidth="1"/>
    <col min="68" max="68" hidden="1" width="10.42578125" customWidth="1"/>
    <col min="69" max="69" hidden="1" width="13.28515625" customWidth="1"/>
    <col min="70" max="71" hidden="1" width="12.85546875" customWidth="1"/>
    <col min="72" max="77" width="10.7109375" customWidth="1"/>
  </cols>
  <sheetData>
    <row r="1" ht="10.5" customHeight="1">
      <c r="B1" s="313"/>
      <c r="C1" s="314" t="s">
        <v>279</v>
      </c>
      <c r="D1" s="313"/>
      <c r="E1" s="313"/>
      <c r="F1" s="313"/>
      <c r="G1" s="313"/>
      <c r="H1" s="316"/>
      <c r="I1" s="316"/>
      <c r="J1" s="316"/>
      <c r="K1" s="313"/>
      <c r="L1" s="313"/>
      <c r="M1" s="313"/>
      <c r="N1" s="313"/>
      <c r="O1" s="313"/>
      <c r="P1" s="313"/>
      <c r="Q1" s="313"/>
      <c r="R1" s="316"/>
      <c r="S1" s="316"/>
      <c r="T1" s="316"/>
      <c r="U1" s="316"/>
      <c r="V1" s="316"/>
      <c r="W1" s="316"/>
      <c r="X1" s="313"/>
      <c r="Y1" s="318"/>
      <c r="Z1" s="318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"/>
      <c r="AR1" s="3"/>
      <c r="AS1" s="3"/>
      <c r="AT1" s="3"/>
      <c r="AU1" s="3"/>
      <c r="AV1" s="3"/>
      <c r="AW1" s="132"/>
      <c r="AX1" s="132"/>
      <c r="AY1" s="132"/>
      <c r="AZ1" s="3"/>
      <c r="BA1" s="3"/>
      <c r="BB1" s="3"/>
      <c r="BC1" s="313"/>
      <c r="BD1" s="313"/>
      <c r="BE1" s="313"/>
      <c r="BF1" s="313"/>
      <c r="BG1" s="313"/>
      <c r="BH1" s="3"/>
      <c r="BI1" s="313"/>
      <c r="BJ1" s="313"/>
      <c r="BK1" s="313"/>
      <c r="BL1" s="313"/>
      <c r="BM1" s="313"/>
      <c r="BN1" s="313"/>
      <c r="BO1" s="313"/>
      <c r="BP1" s="313"/>
      <c r="BQ1" s="313"/>
      <c r="BR1" s="313"/>
      <c r="BS1" s="313"/>
      <c r="BT1" s="313"/>
      <c r="BU1" s="313"/>
      <c r="BV1" s="313"/>
      <c r="BW1" s="313"/>
      <c r="BX1" s="313"/>
      <c r="BY1" s="313"/>
    </row>
    <row r="2" ht="12" customHeight="1">
      <c r="B2" s="314"/>
      <c r="C2" s="315" t="s">
        <v>280</v>
      </c>
      <c r="D2" s="313"/>
      <c r="E2" s="313"/>
      <c r="F2" s="313"/>
      <c r="G2" s="316"/>
      <c r="H2" s="316"/>
      <c r="I2" s="313"/>
      <c r="J2" s="313"/>
      <c r="K2" s="316"/>
      <c r="L2" s="316"/>
      <c r="M2" s="313"/>
      <c r="N2" s="313"/>
      <c r="O2" s="313"/>
      <c r="P2" s="313"/>
      <c r="Q2" s="313"/>
      <c r="R2" s="316"/>
      <c r="S2" s="316"/>
      <c r="T2" s="316"/>
      <c r="U2" s="316"/>
      <c r="V2" s="313"/>
      <c r="W2" s="313"/>
      <c r="X2" s="313"/>
      <c r="Y2" s="318"/>
      <c r="Z2" s="318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13"/>
      <c r="BC2" s="313"/>
      <c r="BD2" s="313"/>
      <c r="BE2" s="313"/>
      <c r="BF2" s="313"/>
      <c r="BG2" s="3"/>
      <c r="BH2" s="313"/>
      <c r="BI2" s="313"/>
      <c r="BJ2" s="313" t="s">
        <v>3</v>
      </c>
      <c r="BK2" s="313"/>
      <c r="BL2" s="313"/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</row>
    <row r="3" ht="19.5" customHeight="1">
      <c r="B3" s="1420"/>
      <c r="C3" s="1"/>
      <c r="D3" s="3"/>
      <c r="E3" s="3"/>
      <c r="F3" s="3"/>
      <c r="G3" s="693"/>
      <c r="H3" s="693"/>
      <c r="I3" s="693"/>
      <c r="J3" s="693"/>
      <c r="K3" s="693"/>
      <c r="L3" s="693"/>
      <c r="M3" s="693"/>
      <c r="N3" s="693"/>
      <c r="O3" s="693"/>
      <c r="P3" s="693"/>
      <c r="Q3" s="693"/>
      <c r="R3" s="693"/>
      <c r="S3" s="693"/>
      <c r="T3" s="693"/>
      <c r="U3" s="693"/>
      <c r="V3" s="1421" t="s">
        <v>281</v>
      </c>
      <c r="W3" s="693"/>
      <c r="X3" s="693"/>
      <c r="Y3" s="694"/>
      <c r="Z3" s="694"/>
      <c r="AA3" s="693"/>
      <c r="AB3" s="693"/>
      <c r="AC3" s="693"/>
      <c r="AD3" s="693"/>
      <c r="AE3" s="693"/>
      <c r="AF3" s="693"/>
      <c r="AG3" s="693"/>
      <c r="AH3" s="693"/>
      <c r="AI3" s="693"/>
      <c r="AJ3" s="693"/>
      <c r="AK3" s="693"/>
      <c r="AL3" s="1422"/>
      <c r="AM3" s="3"/>
      <c r="AN3" s="3"/>
      <c r="AO3" s="3"/>
      <c r="AP3" s="4"/>
      <c r="AQ3" s="693"/>
      <c r="AR3" s="693"/>
      <c r="AS3" s="693"/>
      <c r="AT3" s="693"/>
      <c r="AU3" s="175"/>
      <c r="AV3" s="175"/>
      <c r="AW3" s="175"/>
      <c r="AX3" s="175"/>
      <c r="AY3" s="175"/>
      <c r="AZ3" s="175"/>
      <c r="BA3" s="175"/>
      <c r="BB3" s="175"/>
      <c r="BC3" s="175"/>
      <c r="BD3" s="175"/>
      <c r="BE3" s="175"/>
      <c r="BF3" s="175"/>
      <c r="BG3" s="175"/>
      <c r="BH3" s="175"/>
      <c r="BI3" s="175"/>
      <c r="BJ3" s="175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175"/>
      <c r="BY3" s="3"/>
    </row>
    <row r="4" ht="12" customHeight="1">
      <c r="B4" s="1337" t="s">
        <v>6</v>
      </c>
      <c r="C4" s="566" t="s">
        <v>7</v>
      </c>
      <c r="D4" s="566" t="s">
        <v>7</v>
      </c>
      <c r="E4" s="567" t="s">
        <v>8</v>
      </c>
      <c r="F4" s="568" t="s">
        <v>9</v>
      </c>
      <c r="G4" s="61" t="s">
        <v>8</v>
      </c>
      <c r="H4" s="1423" t="s">
        <v>10</v>
      </c>
      <c r="I4" s="1424" t="s">
        <v>10</v>
      </c>
      <c r="J4" s="1424" t="s">
        <v>10</v>
      </c>
      <c r="K4" s="1424" t="s">
        <v>10</v>
      </c>
      <c r="L4" s="1424" t="s">
        <v>10</v>
      </c>
      <c r="M4" s="1424" t="s">
        <v>10</v>
      </c>
      <c r="N4" s="1424" t="s">
        <v>10</v>
      </c>
      <c r="O4" s="1424" t="s">
        <v>10</v>
      </c>
      <c r="P4" s="1424"/>
      <c r="Q4" s="1424" t="s">
        <v>10</v>
      </c>
      <c r="R4" s="1424"/>
      <c r="S4" s="1424" t="s">
        <v>10</v>
      </c>
      <c r="T4" s="1424" t="s">
        <v>10</v>
      </c>
      <c r="U4" s="1424"/>
      <c r="V4" s="1424" t="s">
        <v>10</v>
      </c>
      <c r="W4" s="1424"/>
      <c r="X4" s="571" t="s">
        <v>5</v>
      </c>
      <c r="Y4" s="571" t="s">
        <v>12</v>
      </c>
      <c r="Z4" s="571" t="s">
        <v>12</v>
      </c>
      <c r="AA4" s="571" t="s">
        <v>12</v>
      </c>
      <c r="AB4" s="571" t="s">
        <v>12</v>
      </c>
      <c r="AC4" s="571" t="s">
        <v>12</v>
      </c>
      <c r="AD4" s="571" t="s">
        <v>12</v>
      </c>
      <c r="AE4" s="571" t="s">
        <v>12</v>
      </c>
      <c r="AF4" s="571" t="s">
        <v>12</v>
      </c>
      <c r="AG4" s="571" t="s">
        <v>12</v>
      </c>
      <c r="AH4" s="571" t="s">
        <v>12</v>
      </c>
      <c r="AI4" s="571" t="s">
        <v>12</v>
      </c>
      <c r="AJ4" s="571" t="s">
        <v>12</v>
      </c>
      <c r="AK4" s="708" t="s">
        <v>12</v>
      </c>
      <c r="AL4" s="571" t="s">
        <v>4</v>
      </c>
      <c r="AM4" s="572" t="s">
        <v>13</v>
      </c>
      <c r="AN4" s="573" t="s">
        <v>13</v>
      </c>
      <c r="AO4" s="573" t="s">
        <v>13</v>
      </c>
      <c r="AP4" s="59" t="s">
        <v>5</v>
      </c>
      <c r="AQ4" s="574" t="s">
        <v>15</v>
      </c>
      <c r="AR4" s="1195" t="s">
        <v>15</v>
      </c>
      <c r="AS4" s="1195" t="s">
        <v>15</v>
      </c>
      <c r="AT4" s="576" t="s">
        <v>16</v>
      </c>
      <c r="AU4" s="51" t="s">
        <v>4</v>
      </c>
      <c r="AV4" s="59" t="s">
        <v>17</v>
      </c>
      <c r="AW4" s="59" t="s">
        <v>17</v>
      </c>
      <c r="AX4" s="59" t="s">
        <v>20</v>
      </c>
      <c r="AY4" s="59" t="s">
        <v>20</v>
      </c>
      <c r="AZ4" s="59" t="s">
        <v>20</v>
      </c>
      <c r="BA4" s="59" t="s">
        <v>20</v>
      </c>
      <c r="BB4" s="715" t="s">
        <v>20</v>
      </c>
      <c r="BC4" s="715" t="s">
        <v>20</v>
      </c>
      <c r="BD4" s="715" t="s">
        <v>21</v>
      </c>
      <c r="BE4" s="59" t="s">
        <v>22</v>
      </c>
      <c r="BF4" s="580" t="s">
        <v>24</v>
      </c>
      <c r="BG4" s="566" t="s">
        <v>5</v>
      </c>
      <c r="BH4" s="58" t="s">
        <v>25</v>
      </c>
      <c r="BI4" s="33"/>
      <c r="BJ4" s="58" t="s">
        <v>4</v>
      </c>
      <c r="BK4" s="59" t="s">
        <v>26</v>
      </c>
      <c r="BL4" s="59" t="s">
        <v>89</v>
      </c>
      <c r="BM4" s="59" t="s">
        <v>90</v>
      </c>
      <c r="BN4" s="59" t="s">
        <v>91</v>
      </c>
      <c r="BO4" s="59" t="s">
        <v>92</v>
      </c>
      <c r="BP4" s="59" t="s">
        <v>93</v>
      </c>
      <c r="BQ4" s="59" t="s">
        <v>94</v>
      </c>
      <c r="BR4" s="59" t="s">
        <v>95</v>
      </c>
      <c r="BS4" s="59" t="s">
        <v>95</v>
      </c>
      <c r="BT4" s="59" t="s">
        <v>27</v>
      </c>
      <c r="BU4" s="59" t="s">
        <v>28</v>
      </c>
      <c r="BV4" s="59" t="s">
        <v>28</v>
      </c>
      <c r="BW4" s="59" t="s">
        <v>28</v>
      </c>
      <c r="BX4" s="60" t="s">
        <v>29</v>
      </c>
      <c r="BY4" s="33"/>
    </row>
    <row r="5" ht="21.75" customHeight="1">
      <c r="B5" s="1339"/>
      <c r="C5" s="584" t="s">
        <v>30</v>
      </c>
      <c r="D5" s="584" t="s">
        <v>31</v>
      </c>
      <c r="E5" s="585" t="s">
        <v>32</v>
      </c>
      <c r="F5" s="586" t="s">
        <v>33</v>
      </c>
      <c r="G5" s="92" t="s">
        <v>34</v>
      </c>
      <c r="H5" s="1874" t="s">
        <v>282</v>
      </c>
      <c r="I5" s="1875" t="s">
        <v>283</v>
      </c>
      <c r="J5" s="1874" t="s">
        <v>147</v>
      </c>
      <c r="K5" s="1875" t="s">
        <v>284</v>
      </c>
      <c r="L5" s="1874" t="s">
        <v>285</v>
      </c>
      <c r="M5" s="1874" t="s">
        <v>286</v>
      </c>
      <c r="N5" s="1874" t="s">
        <v>287</v>
      </c>
      <c r="O5" s="1875" t="s">
        <v>288</v>
      </c>
      <c r="P5" s="1875" t="s">
        <v>289</v>
      </c>
      <c r="Q5" s="1874" t="s">
        <v>290</v>
      </c>
      <c r="R5" s="1874" t="s">
        <v>291</v>
      </c>
      <c r="S5" s="1874" t="s">
        <v>292</v>
      </c>
      <c r="T5" s="1874" t="s">
        <v>190</v>
      </c>
      <c r="U5" s="1875" t="s">
        <v>293</v>
      </c>
      <c r="V5" s="1875" t="s">
        <v>294</v>
      </c>
      <c r="W5" s="1875" t="s">
        <v>295</v>
      </c>
      <c r="X5" s="595" t="s">
        <v>296</v>
      </c>
      <c r="Y5" s="733" t="s">
        <v>297</v>
      </c>
      <c r="Z5" s="733" t="s">
        <v>298</v>
      </c>
      <c r="AA5" s="1342" t="s">
        <v>299</v>
      </c>
      <c r="AB5" s="733" t="s">
        <v>52</v>
      </c>
      <c r="AC5" s="733" t="s">
        <v>53</v>
      </c>
      <c r="AD5" s="733" t="s">
        <v>54</v>
      </c>
      <c r="AE5" s="733" t="s">
        <v>55</v>
      </c>
      <c r="AF5" s="733" t="s">
        <v>56</v>
      </c>
      <c r="AG5" s="733" t="s">
        <v>57</v>
      </c>
      <c r="AH5" s="733" t="s">
        <v>58</v>
      </c>
      <c r="AI5" s="733" t="s">
        <v>300</v>
      </c>
      <c r="AJ5" s="733" t="s">
        <v>46</v>
      </c>
      <c r="AK5" s="1342" t="s">
        <v>301</v>
      </c>
      <c r="AL5" s="595" t="s">
        <v>12</v>
      </c>
      <c r="AM5" s="599" t="s">
        <v>30</v>
      </c>
      <c r="AN5" s="600" t="s">
        <v>31</v>
      </c>
      <c r="AO5" s="600" t="s">
        <v>32</v>
      </c>
      <c r="AP5" s="90" t="s">
        <v>302</v>
      </c>
      <c r="AQ5" s="601" t="s">
        <v>48</v>
      </c>
      <c r="AR5" s="602" t="s">
        <v>31</v>
      </c>
      <c r="AS5" s="602" t="s">
        <v>32</v>
      </c>
      <c r="AT5" s="603" t="s">
        <v>60</v>
      </c>
      <c r="AU5" s="81" t="s">
        <v>61</v>
      </c>
      <c r="AV5" s="605" t="s">
        <v>62</v>
      </c>
      <c r="AW5" s="90" t="s">
        <v>64</v>
      </c>
      <c r="AX5" s="90" t="s">
        <v>158</v>
      </c>
      <c r="AY5" s="90" t="s">
        <v>66</v>
      </c>
      <c r="AZ5" s="90" t="s">
        <v>67</v>
      </c>
      <c r="BA5" s="90" t="s">
        <v>68</v>
      </c>
      <c r="BB5" s="1345" t="s">
        <v>31</v>
      </c>
      <c r="BC5" s="1345" t="s">
        <v>32</v>
      </c>
      <c r="BD5" s="739" t="s">
        <v>32</v>
      </c>
      <c r="BE5" s="605"/>
      <c r="BF5" s="606" t="s">
        <v>69</v>
      </c>
      <c r="BG5" s="584" t="s">
        <v>70</v>
      </c>
      <c r="BH5" s="89" t="s">
        <v>71</v>
      </c>
      <c r="BI5" s="33"/>
      <c r="BJ5" s="89" t="s">
        <v>72</v>
      </c>
      <c r="BK5" s="90"/>
      <c r="BL5" s="90" t="s">
        <v>125</v>
      </c>
      <c r="BM5" s="90"/>
      <c r="BN5" s="90" t="s">
        <v>126</v>
      </c>
      <c r="BO5" s="90" t="s">
        <v>127</v>
      </c>
      <c r="BP5" s="90" t="s">
        <v>128</v>
      </c>
      <c r="BQ5" s="90" t="s">
        <v>129</v>
      </c>
      <c r="BR5" s="90" t="s">
        <v>130</v>
      </c>
      <c r="BS5" s="90" t="s">
        <v>131</v>
      </c>
      <c r="BT5" s="90" t="s">
        <v>73</v>
      </c>
      <c r="BU5" s="605" t="s">
        <v>74</v>
      </c>
      <c r="BV5" s="90" t="s">
        <v>75</v>
      </c>
      <c r="BW5" s="90" t="s">
        <v>52</v>
      </c>
      <c r="BX5" s="91"/>
      <c r="BY5" s="33"/>
    </row>
    <row r="6" ht="15.75">
      <c r="B6" s="215">
        <v>46023</v>
      </c>
      <c r="C6" s="1425">
        <f>6692.87-0-0</f>
      </c>
      <c r="D6" s="104"/>
      <c r="E6" s="97"/>
      <c r="F6" s="97"/>
      <c r="G6" s="1871">
        <f ref="G6:G36" t="shared" si="0">+C6+D6+E6+F6</f>
        <v>0</v>
      </c>
      <c r="H6" s="1885"/>
      <c r="I6" s="1881"/>
      <c r="J6" s="1888"/>
      <c r="K6" s="1882"/>
      <c r="L6" s="1888"/>
      <c r="M6" s="1881"/>
      <c r="N6" s="1888"/>
      <c r="O6" s="1881"/>
      <c r="P6" s="1885"/>
      <c r="Q6" s="1881"/>
      <c r="R6" s="1885"/>
      <c r="S6" s="1881"/>
      <c r="T6" s="1882"/>
      <c r="U6" s="1896"/>
      <c r="V6" s="1881"/>
      <c r="W6" s="1885"/>
      <c r="X6" s="1873">
        <f ref="X6:X36" t="shared" si="1">SUM(H6:V6)</f>
        <v>0</v>
      </c>
      <c r="Y6" s="619"/>
      <c r="Z6" s="619"/>
      <c r="AA6" s="186"/>
      <c r="AB6" s="186"/>
      <c r="AC6" s="186"/>
      <c r="AD6" s="186"/>
      <c r="AE6" s="186"/>
      <c r="AF6" s="186"/>
      <c r="AG6" s="186"/>
      <c r="AH6" s="186"/>
      <c r="AI6" s="186"/>
      <c r="AJ6" s="186"/>
      <c r="AK6" s="1426"/>
      <c r="AL6" s="103">
        <f ref="AL6:AL36" t="shared" si="2">SUM(Y6:AK6)</f>
        <v>0</v>
      </c>
      <c r="AM6" s="1427">
        <v>1299.84</v>
      </c>
      <c r="AN6" s="104"/>
      <c r="AO6" s="104"/>
      <c r="AP6" s="105">
        <f ref="AP6:AP36" t="shared" si="3">SUM(AM6:AO6)</f>
        <v>0</v>
      </c>
      <c r="AQ6" s="101"/>
      <c r="AR6" s="101"/>
      <c r="AS6" s="101"/>
      <c r="AT6" s="106"/>
      <c r="AU6" s="266">
        <f ref="AU6:AU36" t="shared" si="4">+G6-X6-AL6-AP6-AQ6-AR6-AS6-AT6</f>
        <v>0</v>
      </c>
      <c r="AV6" s="1898">
        <v>5393</v>
      </c>
      <c r="AW6" s="1708"/>
      <c r="AX6" s="1537"/>
      <c r="AY6" s="1537"/>
      <c r="AZ6" s="1537"/>
      <c r="BA6" s="1537"/>
      <c r="BB6" s="196"/>
      <c r="BC6" s="490"/>
      <c r="BD6" s="490"/>
      <c r="BE6" s="490"/>
      <c r="BF6" s="490"/>
      <c r="BG6" s="222">
        <f ref="BG6:BG36" t="shared" si="5">SUM(AV6:BF6)-BE6</f>
        <v>0</v>
      </c>
      <c r="BH6" s="114">
        <f ref="BH6:BH36" t="shared" si="6">+AU6-BG6</f>
        <v>0</v>
      </c>
      <c r="BI6" s="3"/>
      <c r="BJ6" s="114">
        <f ref="BJ6:BJ36" t="shared" si="7">SUM(BK6:BW6)</f>
        <v>0</v>
      </c>
      <c r="BK6" s="115"/>
      <c r="BL6" s="115"/>
      <c r="BM6" s="115"/>
      <c r="BN6" s="115"/>
      <c r="BO6" s="115"/>
      <c r="BP6" s="115"/>
      <c r="BQ6" s="115"/>
      <c r="BR6" s="115"/>
      <c r="BS6" s="115"/>
      <c r="BT6" s="453"/>
      <c r="BU6" s="1428"/>
      <c r="BV6" s="249"/>
      <c r="BW6" s="115"/>
      <c r="BX6" s="116">
        <f ref="BX6:BX36" t="shared" si="8">+BH6-BJ6</f>
        <v>0</v>
      </c>
      <c r="BY6" s="3"/>
    </row>
    <row r="7" ht="15.75">
      <c r="B7" s="215">
        <v>46024</v>
      </c>
      <c r="C7" s="1429">
        <f>11680.35-0-0</f>
      </c>
      <c r="D7" s="123"/>
      <c r="E7" s="120"/>
      <c r="F7" s="120"/>
      <c r="G7" s="1872">
        <f t="shared" si="0"/>
        <v>0</v>
      </c>
      <c r="H7" s="1886"/>
      <c r="I7" s="1876"/>
      <c r="J7" s="1889">
        <v>936.15</v>
      </c>
      <c r="K7" s="1877"/>
      <c r="L7" s="1890"/>
      <c r="M7" s="1876"/>
      <c r="N7" s="1890">
        <v>208</v>
      </c>
      <c r="O7" s="1876"/>
      <c r="P7" s="1886"/>
      <c r="Q7" s="1876"/>
      <c r="R7" s="1886"/>
      <c r="S7" s="1876"/>
      <c r="T7" s="1877"/>
      <c r="U7" s="1890"/>
      <c r="V7" s="1876"/>
      <c r="W7" s="1886"/>
      <c r="X7" s="1873">
        <f t="shared" si="1"/>
        <v>0</v>
      </c>
      <c r="Y7" s="611"/>
      <c r="Z7" s="611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0">
        <v>20</v>
      </c>
      <c r="AL7" s="103">
        <f t="shared" si="2"/>
        <v>0</v>
      </c>
      <c r="AM7" s="1431">
        <v>1405.41</v>
      </c>
      <c r="AN7" s="123"/>
      <c r="AO7" s="123"/>
      <c r="AP7" s="105">
        <f t="shared" si="3"/>
        <v>0</v>
      </c>
      <c r="AQ7" s="99"/>
      <c r="AR7" s="99"/>
      <c r="AS7" s="99"/>
      <c r="AT7" s="124"/>
      <c r="AU7" s="224">
        <f t="shared" si="4"/>
        <v>0</v>
      </c>
      <c r="AV7" s="1899">
        <v>9110.8</v>
      </c>
      <c r="AW7" s="1709"/>
      <c r="AX7" s="1546"/>
      <c r="AY7" s="1546"/>
      <c r="AZ7" s="1546"/>
      <c r="BA7" s="1546"/>
      <c r="BB7" s="141"/>
      <c r="BC7" s="152"/>
      <c r="BD7" s="152"/>
      <c r="BE7" s="152"/>
      <c r="BF7" s="152"/>
      <c r="BG7" s="222">
        <f t="shared" si="5"/>
        <v>0</v>
      </c>
      <c r="BH7" s="113">
        <f t="shared" si="6"/>
        <v>0</v>
      </c>
      <c r="BI7" s="3"/>
      <c r="BJ7" s="113">
        <f t="shared" si="7"/>
        <v>0</v>
      </c>
      <c r="BK7" s="129"/>
      <c r="BL7" s="129"/>
      <c r="BM7" s="129"/>
      <c r="BN7" s="129"/>
      <c r="BO7" s="129"/>
      <c r="BP7" s="129"/>
      <c r="BQ7" s="129"/>
      <c r="BR7" s="129"/>
      <c r="BS7" s="129"/>
      <c r="BT7" s="452"/>
      <c r="BU7" s="1432"/>
      <c r="BV7" s="255"/>
      <c r="BW7" s="129"/>
      <c r="BX7" s="130">
        <f t="shared" si="8"/>
        <v>0</v>
      </c>
      <c r="BY7" s="3"/>
    </row>
    <row r="8" ht="15.75">
      <c r="B8" s="215">
        <v>46025</v>
      </c>
      <c r="C8" s="1429">
        <f>11995.07-0-0</f>
      </c>
      <c r="D8" s="123"/>
      <c r="E8" s="120"/>
      <c r="F8" s="120"/>
      <c r="G8" s="1872">
        <f t="shared" si="0"/>
        <v>0</v>
      </c>
      <c r="H8" s="1886"/>
      <c r="I8" s="1876"/>
      <c r="J8" s="1890">
        <v>175.19</v>
      </c>
      <c r="K8" s="1877"/>
      <c r="L8" s="1891"/>
      <c r="M8" s="1876"/>
      <c r="N8" s="1890">
        <v>145</v>
      </c>
      <c r="O8" s="1876"/>
      <c r="P8" s="1886"/>
      <c r="Q8" s="1876"/>
      <c r="R8" s="1886"/>
      <c r="S8" s="1876"/>
      <c r="T8" s="1877"/>
      <c r="U8" s="1890"/>
      <c r="V8" s="1876"/>
      <c r="W8" s="1886"/>
      <c r="X8" s="1873">
        <f t="shared" si="1"/>
        <v>0</v>
      </c>
      <c r="Y8" s="611"/>
      <c r="Z8" s="611"/>
      <c r="AA8" s="143"/>
      <c r="AB8" s="143"/>
      <c r="AC8" s="143"/>
      <c r="AD8" s="143"/>
      <c r="AE8" s="143"/>
      <c r="AF8" s="143"/>
      <c r="AG8" s="143"/>
      <c r="AH8" s="143"/>
      <c r="AI8" s="145">
        <v>40</v>
      </c>
      <c r="AJ8" s="143"/>
      <c r="AK8" s="1430">
        <v>20</v>
      </c>
      <c r="AL8" s="103">
        <f t="shared" si="2"/>
        <v>0</v>
      </c>
      <c r="AM8" s="1431">
        <v>1580.54</v>
      </c>
      <c r="AN8" s="123"/>
      <c r="AO8" s="123"/>
      <c r="AP8" s="105">
        <f t="shared" si="3"/>
        <v>0</v>
      </c>
      <c r="AQ8" s="99"/>
      <c r="AR8" s="99"/>
      <c r="AS8" s="99"/>
      <c r="AT8" s="124"/>
      <c r="AU8" s="224">
        <f t="shared" si="4"/>
        <v>0</v>
      </c>
      <c r="AV8" s="1899">
        <v>10034.3</v>
      </c>
      <c r="AW8" s="1709"/>
      <c r="AX8" s="1546"/>
      <c r="AY8" s="1546"/>
      <c r="AZ8" s="1546"/>
      <c r="BA8" s="1546"/>
      <c r="BB8" s="141"/>
      <c r="BC8" s="152"/>
      <c r="BD8" s="152"/>
      <c r="BE8" s="152"/>
      <c r="BF8" s="152"/>
      <c r="BG8" s="222">
        <f t="shared" si="5"/>
        <v>0</v>
      </c>
      <c r="BH8" s="113">
        <f t="shared" si="6"/>
        <v>0</v>
      </c>
      <c r="BI8" s="3"/>
      <c r="BJ8" s="113">
        <f t="shared" si="7"/>
        <v>0</v>
      </c>
      <c r="BK8" s="129"/>
      <c r="BL8" s="129"/>
      <c r="BM8" s="129"/>
      <c r="BN8" s="129"/>
      <c r="BO8" s="129"/>
      <c r="BP8" s="129"/>
      <c r="BQ8" s="129"/>
      <c r="BR8" s="129"/>
      <c r="BS8" s="129"/>
      <c r="BT8" s="452"/>
      <c r="BU8" s="1433"/>
      <c r="BV8" s="255"/>
      <c r="BW8" s="129"/>
      <c r="BX8" s="130">
        <f t="shared" si="8"/>
        <v>0</v>
      </c>
      <c r="BY8" s="3"/>
    </row>
    <row r="9" ht="15.75">
      <c r="B9" s="215">
        <v>46026</v>
      </c>
      <c r="C9" s="1429">
        <f>9563.35-0-0</f>
      </c>
      <c r="D9" s="123"/>
      <c r="E9" s="120"/>
      <c r="F9" s="120"/>
      <c r="G9" s="1872">
        <f t="shared" si="0"/>
        <v>0</v>
      </c>
      <c r="H9" s="1886"/>
      <c r="I9" s="1876"/>
      <c r="J9" s="1890">
        <v>870</v>
      </c>
      <c r="K9" s="1877"/>
      <c r="L9" s="1891"/>
      <c r="M9" s="1876"/>
      <c r="N9" s="1891"/>
      <c r="O9" s="1876"/>
      <c r="P9" s="1886"/>
      <c r="Q9" s="1876"/>
      <c r="R9" s="1886"/>
      <c r="S9" s="1876"/>
      <c r="T9" s="1877"/>
      <c r="U9" s="1890"/>
      <c r="V9" s="1876"/>
      <c r="W9" s="1886"/>
      <c r="X9" s="1873">
        <f t="shared" si="1"/>
        <v>0</v>
      </c>
      <c r="Y9" s="611"/>
      <c r="Z9" s="611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4"/>
      <c r="AL9" s="103">
        <f t="shared" si="2"/>
        <v>0</v>
      </c>
      <c r="AM9" s="1431">
        <v>1070.72</v>
      </c>
      <c r="AN9" s="123"/>
      <c r="AO9" s="123"/>
      <c r="AP9" s="105">
        <f t="shared" si="3"/>
        <v>0</v>
      </c>
      <c r="AQ9" s="99"/>
      <c r="AR9" s="99"/>
      <c r="AS9" s="99"/>
      <c r="AT9" s="124"/>
      <c r="AU9" s="224">
        <f t="shared" si="4"/>
        <v>0</v>
      </c>
      <c r="AV9" s="1899">
        <v>7622.6</v>
      </c>
      <c r="AW9" s="1709"/>
      <c r="AX9" s="1546"/>
      <c r="AY9" s="1546"/>
      <c r="AZ9" s="1546"/>
      <c r="BA9" s="1546"/>
      <c r="BB9" s="141"/>
      <c r="BC9" s="152"/>
      <c r="BD9" s="152"/>
      <c r="BE9" s="152"/>
      <c r="BF9" s="152"/>
      <c r="BG9" s="222">
        <f t="shared" si="5"/>
        <v>0</v>
      </c>
      <c r="BH9" s="113">
        <f t="shared" si="6"/>
        <v>0</v>
      </c>
      <c r="BI9" s="3"/>
      <c r="BJ9" s="113">
        <f t="shared" si="7"/>
        <v>0</v>
      </c>
      <c r="BK9" s="129"/>
      <c r="BL9" s="129"/>
      <c r="BM9" s="129"/>
      <c r="BN9" s="129"/>
      <c r="BO9" s="129"/>
      <c r="BP9" s="129"/>
      <c r="BQ9" s="129"/>
      <c r="BR9" s="129"/>
      <c r="BS9" s="129"/>
      <c r="BT9" s="452"/>
      <c r="BU9" s="1432"/>
      <c r="BV9" s="255"/>
      <c r="BW9" s="129"/>
      <c r="BX9" s="130">
        <f t="shared" si="8"/>
        <v>0</v>
      </c>
      <c r="BY9" s="3"/>
    </row>
    <row r="10" ht="15.75">
      <c r="B10" s="215">
        <v>46027</v>
      </c>
      <c r="C10" s="1429">
        <f>15301.51-0-0</f>
      </c>
      <c r="D10" s="136"/>
      <c r="E10" s="135"/>
      <c r="F10" s="135"/>
      <c r="G10" s="1872">
        <f t="shared" si="0"/>
        <v>0</v>
      </c>
      <c r="H10" s="1886"/>
      <c r="I10" s="1876"/>
      <c r="J10" s="1891">
        <v>3910.7</v>
      </c>
      <c r="K10" s="1877"/>
      <c r="L10" s="1891"/>
      <c r="M10" s="1879"/>
      <c r="N10" s="1891"/>
      <c r="O10" s="1876"/>
      <c r="P10" s="1886"/>
      <c r="Q10" s="1876"/>
      <c r="R10" s="1886"/>
      <c r="S10" s="1876"/>
      <c r="T10" s="1877"/>
      <c r="U10" s="1891"/>
      <c r="V10" s="1876"/>
      <c r="W10" s="1886"/>
      <c r="X10" s="1873">
        <f t="shared" si="1"/>
        <v>0</v>
      </c>
      <c r="Y10" s="611"/>
      <c r="Z10" s="611"/>
      <c r="AA10" s="143"/>
      <c r="AB10" s="143"/>
      <c r="AC10" s="143"/>
      <c r="AD10" s="143"/>
      <c r="AE10" s="143"/>
      <c r="AF10" s="143"/>
      <c r="AG10" s="143"/>
      <c r="AH10" s="143"/>
      <c r="AI10" s="145">
        <v>35</v>
      </c>
      <c r="AJ10" s="143"/>
      <c r="AK10" s="1434"/>
      <c r="AL10" s="103">
        <f t="shared" si="2"/>
        <v>0</v>
      </c>
      <c r="AM10" s="1435">
        <v>1398.89</v>
      </c>
      <c r="AN10" s="136"/>
      <c r="AO10" s="136"/>
      <c r="AP10" s="105">
        <f t="shared" si="3"/>
        <v>0</v>
      </c>
      <c r="AQ10" s="99"/>
      <c r="AR10" s="99"/>
      <c r="AS10" s="99"/>
      <c r="AT10" s="124"/>
      <c r="AU10" s="224">
        <f t="shared" si="4"/>
        <v>0</v>
      </c>
      <c r="AV10" s="1899">
        <v>9956.9</v>
      </c>
      <c r="AW10" s="1709"/>
      <c r="AX10" s="1546"/>
      <c r="AY10" s="1546"/>
      <c r="AZ10" s="1546"/>
      <c r="BA10" s="1546"/>
      <c r="BB10" s="141"/>
      <c r="BC10" s="152"/>
      <c r="BD10" s="152"/>
      <c r="BE10" s="152"/>
      <c r="BF10" s="152"/>
      <c r="BG10" s="222">
        <f t="shared" si="5"/>
        <v>0</v>
      </c>
      <c r="BH10" s="140">
        <f t="shared" si="6"/>
        <v>0</v>
      </c>
      <c r="BI10" s="132"/>
      <c r="BJ10" s="140">
        <f t="shared" si="7"/>
        <v>0</v>
      </c>
      <c r="BK10" s="141"/>
      <c r="BL10" s="141"/>
      <c r="BM10" s="141"/>
      <c r="BN10" s="141"/>
      <c r="BO10" s="141"/>
      <c r="BP10" s="141"/>
      <c r="BQ10" s="141"/>
      <c r="BR10" s="141"/>
      <c r="BS10" s="141"/>
      <c r="BT10" s="309"/>
      <c r="BU10" s="1432"/>
      <c r="BV10" s="152"/>
      <c r="BW10" s="141"/>
      <c r="BX10" s="130">
        <f t="shared" si="8"/>
        <v>0</v>
      </c>
      <c r="BY10" s="132"/>
    </row>
    <row r="11" ht="15.75">
      <c r="B11" s="215">
        <v>46028</v>
      </c>
      <c r="C11" s="1429">
        <f>13169.76-0-0</f>
      </c>
      <c r="D11" s="136"/>
      <c r="E11" s="135"/>
      <c r="F11" s="135"/>
      <c r="G11" s="1872">
        <f t="shared" si="0"/>
        <v>0</v>
      </c>
      <c r="H11" s="1886"/>
      <c r="I11" s="1876"/>
      <c r="J11" s="1890">
        <v>454.62</v>
      </c>
      <c r="K11" s="1877"/>
      <c r="L11" s="1891"/>
      <c r="M11" s="1876"/>
      <c r="N11" s="1890"/>
      <c r="O11" s="1876"/>
      <c r="P11" s="1886"/>
      <c r="Q11" s="1876"/>
      <c r="R11" s="1886"/>
      <c r="S11" s="1876"/>
      <c r="T11" s="1877">
        <v>129.38</v>
      </c>
      <c r="U11" s="1890"/>
      <c r="V11" s="1876"/>
      <c r="W11" s="1886"/>
      <c r="X11" s="1873">
        <f t="shared" si="1"/>
        <v>0</v>
      </c>
      <c r="Y11" s="611"/>
      <c r="Z11" s="611"/>
      <c r="AA11" s="143"/>
      <c r="AB11" s="143"/>
      <c r="AC11" s="143"/>
      <c r="AD11" s="143"/>
      <c r="AE11" s="143"/>
      <c r="AF11" s="143"/>
      <c r="AG11" s="143"/>
      <c r="AH11" s="143"/>
      <c r="AI11" s="145">
        <v>25</v>
      </c>
      <c r="AJ11" s="143"/>
      <c r="AK11" s="1434"/>
      <c r="AL11" s="103">
        <f t="shared" si="2"/>
        <v>0</v>
      </c>
      <c r="AM11" s="1431">
        <v>1941.14</v>
      </c>
      <c r="AN11" s="136"/>
      <c r="AO11" s="136"/>
      <c r="AP11" s="105">
        <f t="shared" si="3"/>
        <v>0</v>
      </c>
      <c r="AQ11" s="99"/>
      <c r="AR11" s="99"/>
      <c r="AS11" s="99"/>
      <c r="AT11" s="124"/>
      <c r="AU11" s="224">
        <f t="shared" si="4"/>
        <v>0</v>
      </c>
      <c r="AV11" s="1899">
        <v>10619.6</v>
      </c>
      <c r="AW11" s="1709"/>
      <c r="AX11" s="1546"/>
      <c r="AY11" s="1546"/>
      <c r="AZ11" s="1546"/>
      <c r="BA11" s="1546"/>
      <c r="BB11" s="141"/>
      <c r="BC11" s="152"/>
      <c r="BD11" s="152"/>
      <c r="BE11" s="152"/>
      <c r="BF11" s="152"/>
      <c r="BG11" s="222">
        <f t="shared" si="5"/>
        <v>0</v>
      </c>
      <c r="BH11" s="140">
        <f t="shared" si="6"/>
        <v>0</v>
      </c>
      <c r="BI11" s="132"/>
      <c r="BJ11" s="140">
        <f t="shared" si="7"/>
        <v>0</v>
      </c>
      <c r="BK11" s="141"/>
      <c r="BL11" s="141"/>
      <c r="BM11" s="141"/>
      <c r="BN11" s="141"/>
      <c r="BO11" s="141"/>
      <c r="BP11" s="141"/>
      <c r="BQ11" s="141"/>
      <c r="BR11" s="141"/>
      <c r="BS11" s="141"/>
      <c r="BT11" s="309"/>
      <c r="BU11" s="1432"/>
      <c r="BV11" s="152"/>
      <c r="BW11" s="141"/>
      <c r="BX11" s="130">
        <f t="shared" si="8"/>
        <v>0</v>
      </c>
      <c r="BY11" s="132"/>
    </row>
    <row r="12" ht="15.75">
      <c r="B12" s="215">
        <v>46029</v>
      </c>
      <c r="C12" s="1429">
        <f>15217.93-0-0</f>
      </c>
      <c r="D12" s="136"/>
      <c r="E12" s="135"/>
      <c r="F12" s="135"/>
      <c r="G12" s="1872">
        <f t="shared" si="0"/>
        <v>0</v>
      </c>
      <c r="H12" s="1886"/>
      <c r="I12" s="1876"/>
      <c r="J12" s="1890">
        <v>166.15</v>
      </c>
      <c r="K12" s="1877"/>
      <c r="L12" s="1891"/>
      <c r="M12" s="1876"/>
      <c r="N12" s="1890">
        <v>145</v>
      </c>
      <c r="O12" s="1876"/>
      <c r="P12" s="1886"/>
      <c r="Q12" s="1876"/>
      <c r="R12" s="1886"/>
      <c r="S12" s="1876"/>
      <c r="T12" s="1877"/>
      <c r="U12" s="1891"/>
      <c r="V12" s="1876"/>
      <c r="W12" s="1886"/>
      <c r="X12" s="1873">
        <f t="shared" si="1"/>
        <v>0</v>
      </c>
      <c r="Y12" s="611"/>
      <c r="Z12" s="611"/>
      <c r="AA12" s="143"/>
      <c r="AB12" s="143"/>
      <c r="AC12" s="143"/>
      <c r="AD12" s="143"/>
      <c r="AE12" s="143"/>
      <c r="AF12" s="143"/>
      <c r="AG12" s="143"/>
      <c r="AH12" s="143"/>
      <c r="AI12" s="145">
        <v>5</v>
      </c>
      <c r="AJ12" s="143"/>
      <c r="AK12" s="1430">
        <v>20</v>
      </c>
      <c r="AL12" s="103">
        <f t="shared" si="2"/>
        <v>0</v>
      </c>
      <c r="AM12" s="1431">
        <v>3232.33</v>
      </c>
      <c r="AN12" s="136"/>
      <c r="AO12" s="136"/>
      <c r="AP12" s="105">
        <f t="shared" si="3"/>
        <v>0</v>
      </c>
      <c r="AQ12" s="99"/>
      <c r="AR12" s="99"/>
      <c r="AS12" s="99"/>
      <c r="AT12" s="124"/>
      <c r="AU12" s="224">
        <f t="shared" si="4"/>
        <v>0</v>
      </c>
      <c r="AV12" s="1899">
        <v>11649.5</v>
      </c>
      <c r="AW12" s="1709"/>
      <c r="AX12" s="1546"/>
      <c r="AY12" s="1546"/>
      <c r="AZ12" s="1546"/>
      <c r="BA12" s="1546"/>
      <c r="BB12" s="141"/>
      <c r="BC12" s="152"/>
      <c r="BD12" s="152"/>
      <c r="BE12" s="152"/>
      <c r="BF12" s="152"/>
      <c r="BG12" s="222">
        <f t="shared" si="5"/>
        <v>0</v>
      </c>
      <c r="BH12" s="140">
        <f t="shared" si="6"/>
        <v>0</v>
      </c>
      <c r="BI12" s="132"/>
      <c r="BJ12" s="140">
        <f t="shared" si="7"/>
        <v>0</v>
      </c>
      <c r="BK12" s="141"/>
      <c r="BL12" s="141"/>
      <c r="BM12" s="141"/>
      <c r="BN12" s="141"/>
      <c r="BO12" s="141"/>
      <c r="BP12" s="141"/>
      <c r="BQ12" s="141"/>
      <c r="BR12" s="141"/>
      <c r="BS12" s="141"/>
      <c r="BT12" s="309"/>
      <c r="BU12" s="1432"/>
      <c r="BV12" s="152"/>
      <c r="BW12" s="141"/>
      <c r="BX12" s="130">
        <f t="shared" si="8"/>
        <v>0</v>
      </c>
      <c r="BY12" s="132"/>
    </row>
    <row r="13" ht="14.25" customHeight="1">
      <c r="B13" s="215">
        <v>46030</v>
      </c>
      <c r="C13" s="1429">
        <f>12614.84-0-0</f>
      </c>
      <c r="D13" s="136"/>
      <c r="E13" s="135"/>
      <c r="F13" s="135"/>
      <c r="G13" s="1872">
        <f t="shared" si="0"/>
        <v>0</v>
      </c>
      <c r="H13" s="1886"/>
      <c r="I13" s="1876"/>
      <c r="J13" s="1890">
        <v>1469.08</v>
      </c>
      <c r="K13" s="1877">
        <v>195</v>
      </c>
      <c r="L13" s="1891"/>
      <c r="M13" s="1876"/>
      <c r="N13" s="1890">
        <v>208</v>
      </c>
      <c r="O13" s="1876"/>
      <c r="P13" s="1886"/>
      <c r="Q13" s="1876"/>
      <c r="R13" s="1886"/>
      <c r="S13" s="1876"/>
      <c r="T13" s="1877"/>
      <c r="U13" s="1890"/>
      <c r="V13" s="1876"/>
      <c r="W13" s="1886"/>
      <c r="X13" s="1873">
        <f t="shared" si="1"/>
        <v>0</v>
      </c>
      <c r="Y13" s="611"/>
      <c r="Z13" s="611"/>
      <c r="AA13" s="143"/>
      <c r="AB13" s="143"/>
      <c r="AC13" s="143"/>
      <c r="AD13" s="143"/>
      <c r="AE13" s="143"/>
      <c r="AF13" s="143"/>
      <c r="AG13" s="143"/>
      <c r="AH13" s="143"/>
      <c r="AI13" s="145">
        <v>15</v>
      </c>
      <c r="AJ13" s="143"/>
      <c r="AK13" s="1434"/>
      <c r="AL13" s="103">
        <f t="shared" si="2"/>
        <v>0</v>
      </c>
      <c r="AM13" s="1431">
        <v>1790.76</v>
      </c>
      <c r="AN13" s="136"/>
      <c r="AO13" s="136"/>
      <c r="AP13" s="105">
        <f t="shared" si="3"/>
        <v>0</v>
      </c>
      <c r="AQ13" s="99"/>
      <c r="AR13" s="99"/>
      <c r="AS13" s="99"/>
      <c r="AT13" s="124"/>
      <c r="AU13" s="224">
        <f t="shared" si="4"/>
        <v>0</v>
      </c>
      <c r="AV13" s="1899">
        <v>8937</v>
      </c>
      <c r="AW13" s="1709"/>
      <c r="AX13" s="1546"/>
      <c r="AY13" s="1546"/>
      <c r="AZ13" s="1709"/>
      <c r="BA13" s="1546"/>
      <c r="BB13" s="141"/>
      <c r="BC13" s="152"/>
      <c r="BD13" s="152"/>
      <c r="BE13" s="152"/>
      <c r="BF13" s="152"/>
      <c r="BG13" s="222">
        <f t="shared" si="5"/>
        <v>0</v>
      </c>
      <c r="BH13" s="140">
        <f t="shared" si="6"/>
        <v>0</v>
      </c>
      <c r="BI13" s="132"/>
      <c r="BJ13" s="140">
        <f t="shared" si="7"/>
        <v>0</v>
      </c>
      <c r="BK13" s="141"/>
      <c r="BL13" s="309"/>
      <c r="BM13" s="141"/>
      <c r="BN13" s="141"/>
      <c r="BO13" s="141"/>
      <c r="BP13" s="141"/>
      <c r="BQ13" s="141"/>
      <c r="BR13" s="141"/>
      <c r="BS13" s="141"/>
      <c r="BT13" s="309"/>
      <c r="BU13" s="1432"/>
      <c r="BV13" s="152"/>
      <c r="BW13" s="141"/>
      <c r="BX13" s="130">
        <f t="shared" si="8"/>
        <v>0</v>
      </c>
      <c r="BY13" s="132"/>
    </row>
    <row r="14" ht="15.75">
      <c r="B14" s="215">
        <v>46031</v>
      </c>
      <c r="C14" s="1429">
        <f>14224.30-0-0</f>
      </c>
      <c r="D14" s="136"/>
      <c r="E14" s="135"/>
      <c r="F14" s="135"/>
      <c r="G14" s="1872">
        <f t="shared" si="0"/>
        <v>0</v>
      </c>
      <c r="H14" s="1886"/>
      <c r="I14" s="1876"/>
      <c r="J14" s="1890">
        <v>1607.31</v>
      </c>
      <c r="K14" s="1878"/>
      <c r="L14" s="1891"/>
      <c r="M14" s="1876"/>
      <c r="N14" s="1891">
        <v>145</v>
      </c>
      <c r="O14" s="1876"/>
      <c r="P14" s="1886"/>
      <c r="Q14" s="1876"/>
      <c r="R14" s="1886"/>
      <c r="S14" s="1876"/>
      <c r="T14" s="1877"/>
      <c r="U14" s="1890"/>
      <c r="V14" s="1876"/>
      <c r="W14" s="1886"/>
      <c r="X14" s="1873">
        <f t="shared" si="1"/>
        <v>0</v>
      </c>
      <c r="Y14" s="611"/>
      <c r="Z14" s="611"/>
      <c r="AA14" s="143"/>
      <c r="AB14" s="143"/>
      <c r="AC14" s="143"/>
      <c r="AD14" s="143"/>
      <c r="AE14" s="143"/>
      <c r="AF14" s="143"/>
      <c r="AG14" s="143"/>
      <c r="AH14" s="143"/>
      <c r="AI14" s="145">
        <v>25</v>
      </c>
      <c r="AJ14" s="143"/>
      <c r="AK14" s="1430">
        <v>40</v>
      </c>
      <c r="AL14" s="103">
        <f t="shared" si="2"/>
        <v>0</v>
      </c>
      <c r="AM14" s="1431">
        <v>1734.48</v>
      </c>
      <c r="AN14" s="136"/>
      <c r="AO14" s="136"/>
      <c r="AP14" s="105">
        <f t="shared" si="3"/>
        <v>0</v>
      </c>
      <c r="AQ14" s="99"/>
      <c r="AR14" s="99"/>
      <c r="AS14" s="99"/>
      <c r="AT14" s="124"/>
      <c r="AU14" s="224">
        <f t="shared" si="4"/>
        <v>0</v>
      </c>
      <c r="AV14" s="1899">
        <v>10672.5</v>
      </c>
      <c r="AW14" s="1709"/>
      <c r="AX14" s="1546"/>
      <c r="AY14" s="1546"/>
      <c r="AZ14" s="1709"/>
      <c r="BA14" s="1546"/>
      <c r="BB14" s="141"/>
      <c r="BC14" s="152"/>
      <c r="BD14" s="152"/>
      <c r="BE14" s="152"/>
      <c r="BF14" s="152"/>
      <c r="BG14" s="222">
        <f t="shared" si="5"/>
        <v>0</v>
      </c>
      <c r="BH14" s="140">
        <f t="shared" si="6"/>
        <v>0</v>
      </c>
      <c r="BI14" s="132"/>
      <c r="BJ14" s="140">
        <f t="shared" si="7"/>
        <v>0</v>
      </c>
      <c r="BK14" s="141"/>
      <c r="BL14" s="141"/>
      <c r="BM14" s="141"/>
      <c r="BN14" s="141"/>
      <c r="BO14" s="141"/>
      <c r="BP14" s="141"/>
      <c r="BQ14" s="141"/>
      <c r="BR14" s="141"/>
      <c r="BS14" s="141"/>
      <c r="BT14" s="309"/>
      <c r="BU14" s="1432"/>
      <c r="BV14" s="152"/>
      <c r="BW14" s="141"/>
      <c r="BX14" s="130">
        <f t="shared" si="8"/>
        <v>0</v>
      </c>
      <c r="BY14" s="132"/>
    </row>
    <row r="15" ht="15.75">
      <c r="B15" s="215">
        <v>46032</v>
      </c>
      <c r="C15" s="1429">
        <f>13039.52-0-0</f>
      </c>
      <c r="D15" s="136"/>
      <c r="E15" s="135"/>
      <c r="F15" s="135"/>
      <c r="G15" s="1872">
        <f t="shared" si="0"/>
        <v>0</v>
      </c>
      <c r="H15" s="1886"/>
      <c r="I15" s="1876"/>
      <c r="J15" s="1890">
        <v>118.02</v>
      </c>
      <c r="K15" s="1877"/>
      <c r="L15" s="1891"/>
      <c r="M15" s="1876"/>
      <c r="N15" s="1890">
        <v>145</v>
      </c>
      <c r="O15" s="1876"/>
      <c r="P15" s="1886"/>
      <c r="Q15" s="1876"/>
      <c r="R15" s="1886"/>
      <c r="S15" s="1876"/>
      <c r="T15" s="1877">
        <v>156</v>
      </c>
      <c r="U15" s="1890"/>
      <c r="V15" s="1876"/>
      <c r="W15" s="1886"/>
      <c r="X15" s="1873">
        <f t="shared" si="1"/>
        <v>0</v>
      </c>
      <c r="Y15" s="611"/>
      <c r="Z15" s="611"/>
      <c r="AA15" s="143"/>
      <c r="AB15" s="143"/>
      <c r="AC15" s="143"/>
      <c r="AD15" s="143"/>
      <c r="AE15" s="143"/>
      <c r="AF15" s="143"/>
      <c r="AG15" s="143"/>
      <c r="AH15" s="143"/>
      <c r="AI15" s="145">
        <v>15</v>
      </c>
      <c r="AJ15" s="143"/>
      <c r="AK15" s="1430">
        <v>20</v>
      </c>
      <c r="AL15" s="103">
        <f t="shared" si="2"/>
        <v>0</v>
      </c>
      <c r="AM15" s="1431">
        <v>1426.81</v>
      </c>
      <c r="AN15" s="136"/>
      <c r="AO15" s="136"/>
      <c r="AP15" s="105">
        <f t="shared" si="3"/>
        <v>0</v>
      </c>
      <c r="AQ15" s="99"/>
      <c r="AR15" s="99"/>
      <c r="AS15" s="99"/>
      <c r="AT15" s="124"/>
      <c r="AU15" s="224">
        <f t="shared" si="4"/>
        <v>0</v>
      </c>
      <c r="AV15" s="1899">
        <v>11158.7</v>
      </c>
      <c r="AW15" s="1709"/>
      <c r="AX15" s="1546"/>
      <c r="AY15" s="1546"/>
      <c r="AZ15" s="1709"/>
      <c r="BA15" s="1546"/>
      <c r="BB15" s="141"/>
      <c r="BC15" s="152"/>
      <c r="BD15" s="152"/>
      <c r="BE15" s="152"/>
      <c r="BF15" s="152"/>
      <c r="BG15" s="222">
        <f t="shared" si="5"/>
        <v>0</v>
      </c>
      <c r="BH15" s="140">
        <f t="shared" si="6"/>
        <v>0</v>
      </c>
      <c r="BI15" s="132"/>
      <c r="BJ15" s="140">
        <f t="shared" si="7"/>
        <v>0</v>
      </c>
      <c r="BK15" s="141"/>
      <c r="BL15" s="141"/>
      <c r="BM15" s="141"/>
      <c r="BN15" s="141"/>
      <c r="BO15" s="141"/>
      <c r="BP15" s="141"/>
      <c r="BQ15" s="141"/>
      <c r="BR15" s="141"/>
      <c r="BS15" s="141"/>
      <c r="BT15" s="309"/>
      <c r="BU15" s="1432"/>
      <c r="BV15" s="152"/>
      <c r="BW15" s="141"/>
      <c r="BX15" s="130">
        <f t="shared" si="8"/>
        <v>0</v>
      </c>
      <c r="BY15" s="132"/>
    </row>
    <row r="16" ht="15.75">
      <c r="B16" s="215">
        <v>46033</v>
      </c>
      <c r="C16" s="1429">
        <f>7955.53-0-0</f>
      </c>
      <c r="D16" s="136"/>
      <c r="E16" s="135"/>
      <c r="F16" s="135"/>
      <c r="G16" s="1872">
        <f t="shared" si="0"/>
        <v>0</v>
      </c>
      <c r="H16" s="1886"/>
      <c r="I16" s="1876"/>
      <c r="J16" s="1890"/>
      <c r="K16" s="1877"/>
      <c r="L16" s="1891"/>
      <c r="M16" s="1876"/>
      <c r="N16" s="1891"/>
      <c r="O16" s="1876"/>
      <c r="P16" s="1886"/>
      <c r="Q16" s="1876"/>
      <c r="R16" s="1886"/>
      <c r="S16" s="1876"/>
      <c r="T16" s="1877"/>
      <c r="U16" s="1891">
        <v>3.9</v>
      </c>
      <c r="V16" s="1876"/>
      <c r="W16" s="1886"/>
      <c r="X16" s="1873">
        <f t="shared" si="1"/>
        <v>0</v>
      </c>
      <c r="Y16" s="611"/>
      <c r="Z16" s="611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6"/>
      <c r="AL16" s="103">
        <f t="shared" si="2"/>
        <v>0</v>
      </c>
      <c r="AM16" s="1431">
        <v>622.04</v>
      </c>
      <c r="AN16" s="136"/>
      <c r="AO16" s="136"/>
      <c r="AP16" s="105">
        <f t="shared" si="3"/>
        <v>0</v>
      </c>
      <c r="AQ16" s="99"/>
      <c r="AR16" s="99"/>
      <c r="AS16" s="99"/>
      <c r="AT16" s="124"/>
      <c r="AU16" s="224">
        <f t="shared" si="4"/>
        <v>0</v>
      </c>
      <c r="AV16" s="1899">
        <v>7329.6</v>
      </c>
      <c r="AW16" s="1709"/>
      <c r="AX16" s="1546"/>
      <c r="AY16" s="1546"/>
      <c r="AZ16" s="1709"/>
      <c r="BA16" s="1546"/>
      <c r="BB16" s="141"/>
      <c r="BC16" s="152"/>
      <c r="BD16" s="152"/>
      <c r="BE16" s="152"/>
      <c r="BF16" s="152"/>
      <c r="BG16" s="222">
        <f t="shared" si="5"/>
        <v>0</v>
      </c>
      <c r="BH16" s="140">
        <f t="shared" si="6"/>
        <v>0</v>
      </c>
      <c r="BI16" s="132"/>
      <c r="BJ16" s="140">
        <f t="shared" si="7"/>
        <v>0</v>
      </c>
      <c r="BK16" s="141"/>
      <c r="BL16" s="141"/>
      <c r="BM16" s="141"/>
      <c r="BN16" s="141"/>
      <c r="BO16" s="141"/>
      <c r="BP16" s="141"/>
      <c r="BQ16" s="141"/>
      <c r="BR16" s="141"/>
      <c r="BS16" s="141"/>
      <c r="BT16" s="309"/>
      <c r="BU16" s="1432"/>
      <c r="BV16" s="152"/>
      <c r="BW16" s="141"/>
      <c r="BX16" s="130">
        <f t="shared" si="8"/>
        <v>0</v>
      </c>
      <c r="BY16" s="132"/>
    </row>
    <row r="17" ht="15.75">
      <c r="B17" s="215">
        <v>46034</v>
      </c>
      <c r="C17" s="1429">
        <f>13781.39-0-0</f>
      </c>
      <c r="D17" s="136"/>
      <c r="E17" s="135"/>
      <c r="F17" s="135"/>
      <c r="G17" s="1872">
        <f t="shared" si="0"/>
        <v>0</v>
      </c>
      <c r="H17" s="1886"/>
      <c r="I17" s="1876"/>
      <c r="J17" s="1891">
        <v>878.19</v>
      </c>
      <c r="K17" s="1877"/>
      <c r="L17" s="1891"/>
      <c r="M17" s="1876"/>
      <c r="N17" s="1891"/>
      <c r="O17" s="1876"/>
      <c r="P17" s="1886"/>
      <c r="Q17" s="1876"/>
      <c r="R17" s="1886"/>
      <c r="S17" s="1876"/>
      <c r="T17" s="1877"/>
      <c r="U17" s="1891"/>
      <c r="V17" s="1876"/>
      <c r="W17" s="1886"/>
      <c r="X17" s="1873">
        <f t="shared" si="1"/>
        <v>0</v>
      </c>
      <c r="Y17" s="611"/>
      <c r="Z17" s="611"/>
      <c r="AA17" s="143"/>
      <c r="AB17" s="143"/>
      <c r="AC17" s="143"/>
      <c r="AD17" s="143"/>
      <c r="AE17" s="143"/>
      <c r="AF17" s="143"/>
      <c r="AG17" s="143"/>
      <c r="AH17" s="143"/>
      <c r="AI17" s="145">
        <v>35</v>
      </c>
      <c r="AJ17" s="143"/>
      <c r="AK17" s="1437">
        <v>20</v>
      </c>
      <c r="AL17" s="103">
        <f t="shared" si="2"/>
        <v>0</v>
      </c>
      <c r="AM17" s="1431">
        <v>1878.32</v>
      </c>
      <c r="AN17" s="136"/>
      <c r="AO17" s="136"/>
      <c r="AP17" s="105">
        <f t="shared" si="3"/>
        <v>0</v>
      </c>
      <c r="AQ17" s="99"/>
      <c r="AR17" s="99"/>
      <c r="AS17" s="99"/>
      <c r="AT17" s="124"/>
      <c r="AU17" s="224">
        <f t="shared" si="4"/>
        <v>0</v>
      </c>
      <c r="AV17" s="1899">
        <v>10969.9</v>
      </c>
      <c r="AW17" s="1709"/>
      <c r="AX17" s="1546"/>
      <c r="AY17" s="1546"/>
      <c r="AZ17" s="1709"/>
      <c r="BA17" s="1546"/>
      <c r="BB17" s="141"/>
      <c r="BC17" s="152"/>
      <c r="BD17" s="152"/>
      <c r="BE17" s="152"/>
      <c r="BF17" s="152"/>
      <c r="BG17" s="222">
        <f t="shared" si="5"/>
        <v>0</v>
      </c>
      <c r="BH17" s="140">
        <f t="shared" si="6"/>
        <v>0</v>
      </c>
      <c r="BI17" s="132"/>
      <c r="BJ17" s="140">
        <f t="shared" si="7"/>
        <v>0</v>
      </c>
      <c r="BK17" s="141"/>
      <c r="BL17" s="141"/>
      <c r="BM17" s="141"/>
      <c r="BN17" s="141"/>
      <c r="BO17" s="141"/>
      <c r="BP17" s="141"/>
      <c r="BQ17" s="141"/>
      <c r="BR17" s="141"/>
      <c r="BS17" s="141"/>
      <c r="BT17" s="309"/>
      <c r="BU17" s="1432"/>
      <c r="BV17" s="152"/>
      <c r="BW17" s="141"/>
      <c r="BX17" s="130">
        <f t="shared" si="8"/>
        <v>0</v>
      </c>
      <c r="BY17" s="132"/>
    </row>
    <row r="18" ht="15.75">
      <c r="B18" s="215">
        <v>46035</v>
      </c>
      <c r="C18" s="1429">
        <f>11667.36-0-0</f>
      </c>
      <c r="D18" s="136"/>
      <c r="E18" s="135"/>
      <c r="F18" s="135"/>
      <c r="G18" s="1872">
        <f t="shared" si="0"/>
        <v>0</v>
      </c>
      <c r="H18" s="1886"/>
      <c r="I18" s="1876"/>
      <c r="J18" s="1891">
        <v>491.77</v>
      </c>
      <c r="K18" s="1877"/>
      <c r="L18" s="1891"/>
      <c r="M18" s="1876"/>
      <c r="N18" s="1890">
        <v>145</v>
      </c>
      <c r="O18" s="1876"/>
      <c r="P18" s="1886"/>
      <c r="Q18" s="1876"/>
      <c r="R18" s="1886"/>
      <c r="S18" s="1876"/>
      <c r="T18" s="1877"/>
      <c r="U18" s="1891"/>
      <c r="V18" s="1876"/>
      <c r="W18" s="1886"/>
      <c r="X18" s="1873">
        <f t="shared" si="1"/>
        <v>0</v>
      </c>
      <c r="Y18" s="611"/>
      <c r="Z18" s="611"/>
      <c r="AA18" s="143"/>
      <c r="AB18" s="143"/>
      <c r="AC18" s="143"/>
      <c r="AD18" s="143"/>
      <c r="AE18" s="143"/>
      <c r="AF18" s="143"/>
      <c r="AG18" s="143"/>
      <c r="AH18" s="143"/>
      <c r="AI18" s="145">
        <v>15</v>
      </c>
      <c r="AJ18" s="143"/>
      <c r="AK18" s="1430">
        <v>40</v>
      </c>
      <c r="AL18" s="103">
        <f t="shared" si="2"/>
        <v>0</v>
      </c>
      <c r="AM18" s="1435">
        <v>1491.5</v>
      </c>
      <c r="AN18" s="136"/>
      <c r="AO18" s="136"/>
      <c r="AP18" s="105">
        <f t="shared" si="3"/>
        <v>0</v>
      </c>
      <c r="AQ18" s="99"/>
      <c r="AR18" s="99"/>
      <c r="AS18" s="99"/>
      <c r="AT18" s="124"/>
      <c r="AU18" s="224">
        <f t="shared" si="4"/>
        <v>0</v>
      </c>
      <c r="AV18" s="1899">
        <v>9484.1</v>
      </c>
      <c r="AW18" s="1709"/>
      <c r="AX18" s="1546"/>
      <c r="AY18" s="1546"/>
      <c r="AZ18" s="1709"/>
      <c r="BA18" s="1546"/>
      <c r="BB18" s="141"/>
      <c r="BC18" s="152"/>
      <c r="BD18" s="152"/>
      <c r="BE18" s="152"/>
      <c r="BF18" s="152"/>
      <c r="BG18" s="222">
        <f t="shared" si="5"/>
        <v>0</v>
      </c>
      <c r="BH18" s="140">
        <f t="shared" si="6"/>
        <v>0</v>
      </c>
      <c r="BI18" s="132"/>
      <c r="BJ18" s="140">
        <f t="shared" si="7"/>
        <v>0</v>
      </c>
      <c r="BK18" s="141"/>
      <c r="BL18" s="141"/>
      <c r="BM18" s="141"/>
      <c r="BN18" s="141"/>
      <c r="BO18" s="141"/>
      <c r="BP18" s="141"/>
      <c r="BQ18" s="141"/>
      <c r="BR18" s="141"/>
      <c r="BS18" s="141"/>
      <c r="BT18" s="309"/>
      <c r="BU18" s="1432"/>
      <c r="BV18" s="152"/>
      <c r="BW18" s="141"/>
      <c r="BX18" s="130">
        <f t="shared" si="8"/>
        <v>0</v>
      </c>
      <c r="BY18" s="132"/>
    </row>
    <row r="19" ht="15.75">
      <c r="B19" s="215">
        <v>46036</v>
      </c>
      <c r="C19" s="1429">
        <f>13415.54-0-0</f>
      </c>
      <c r="D19" s="136"/>
      <c r="E19" s="135"/>
      <c r="F19" s="135"/>
      <c r="G19" s="1872">
        <f t="shared" si="0"/>
        <v>0</v>
      </c>
      <c r="H19" s="1886"/>
      <c r="I19" s="1876"/>
      <c r="J19" s="1890">
        <v>79.24</v>
      </c>
      <c r="K19" s="1877">
        <v>195</v>
      </c>
      <c r="L19" s="1891"/>
      <c r="M19" s="1876"/>
      <c r="N19" s="1890">
        <v>353</v>
      </c>
      <c r="O19" s="1876"/>
      <c r="P19" s="1886"/>
      <c r="Q19" s="1876"/>
      <c r="R19" s="1886"/>
      <c r="S19" s="1876"/>
      <c r="T19" s="1877"/>
      <c r="U19" s="1890"/>
      <c r="V19" s="1876"/>
      <c r="W19" s="1886"/>
      <c r="X19" s="1873">
        <f t="shared" si="1"/>
        <v>0</v>
      </c>
      <c r="Y19" s="611"/>
      <c r="Z19" s="611"/>
      <c r="AA19" s="143"/>
      <c r="AB19" s="143"/>
      <c r="AC19" s="143"/>
      <c r="AD19" s="143"/>
      <c r="AE19" s="143"/>
      <c r="AF19" s="143"/>
      <c r="AG19" s="143"/>
      <c r="AH19" s="143"/>
      <c r="AI19" s="145">
        <v>20</v>
      </c>
      <c r="AJ19" s="143"/>
      <c r="AK19" s="1430">
        <v>120</v>
      </c>
      <c r="AL19" s="103">
        <f t="shared" si="2"/>
        <v>0</v>
      </c>
      <c r="AM19" s="1431">
        <v>1506.91</v>
      </c>
      <c r="AN19" s="136"/>
      <c r="AO19" s="136"/>
      <c r="AP19" s="105">
        <f t="shared" si="3"/>
        <v>0</v>
      </c>
      <c r="AQ19" s="99"/>
      <c r="AR19" s="99"/>
      <c r="AS19" s="99"/>
      <c r="AT19" s="124"/>
      <c r="AU19" s="224">
        <f t="shared" si="4"/>
        <v>0</v>
      </c>
      <c r="AV19" s="1899">
        <v>11141.4</v>
      </c>
      <c r="AW19" s="1709"/>
      <c r="AX19" s="1546"/>
      <c r="AY19" s="1546"/>
      <c r="AZ19" s="1709"/>
      <c r="BA19" s="1546"/>
      <c r="BB19" s="141"/>
      <c r="BC19" s="152"/>
      <c r="BD19" s="152"/>
      <c r="BE19" s="152"/>
      <c r="BF19" s="152"/>
      <c r="BG19" s="222">
        <f t="shared" si="5"/>
        <v>0</v>
      </c>
      <c r="BH19" s="140">
        <f t="shared" si="6"/>
        <v>0</v>
      </c>
      <c r="BI19" s="132"/>
      <c r="BJ19" s="140">
        <f t="shared" si="7"/>
        <v>0</v>
      </c>
      <c r="BK19" s="141"/>
      <c r="BL19" s="141"/>
      <c r="BM19" s="141"/>
      <c r="BN19" s="141"/>
      <c r="BO19" s="141"/>
      <c r="BP19" s="141"/>
      <c r="BQ19" s="141"/>
      <c r="BR19" s="141"/>
      <c r="BS19" s="141"/>
      <c r="BT19" s="309"/>
      <c r="BU19" s="1432"/>
      <c r="BV19" s="152"/>
      <c r="BW19" s="141"/>
      <c r="BX19" s="130">
        <f t="shared" si="8"/>
        <v>0</v>
      </c>
      <c r="BY19" s="132"/>
    </row>
    <row r="20" ht="15.75">
      <c r="B20" s="215">
        <v>46037</v>
      </c>
      <c r="C20" s="1429">
        <f>12375.14-0-0</f>
      </c>
      <c r="D20" s="136"/>
      <c r="E20" s="135"/>
      <c r="F20" s="135"/>
      <c r="G20" s="1872">
        <f t="shared" si="0"/>
        <v>0</v>
      </c>
      <c r="H20" s="1886"/>
      <c r="I20" s="1876"/>
      <c r="J20" s="1889">
        <v>144.36</v>
      </c>
      <c r="K20" s="1877"/>
      <c r="L20" s="1890"/>
      <c r="M20" s="1876"/>
      <c r="N20" s="1890"/>
      <c r="O20" s="1876"/>
      <c r="P20" s="1886"/>
      <c r="Q20" s="1876"/>
      <c r="R20" s="1886"/>
      <c r="S20" s="1876"/>
      <c r="T20" s="1878"/>
      <c r="U20" s="1890"/>
      <c r="V20" s="1876"/>
      <c r="W20" s="1886"/>
      <c r="X20" s="1873">
        <f t="shared" si="1"/>
        <v>0</v>
      </c>
      <c r="Y20" s="611"/>
      <c r="Z20" s="611"/>
      <c r="AA20" s="143"/>
      <c r="AB20" s="143"/>
      <c r="AC20" s="143"/>
      <c r="AD20" s="143"/>
      <c r="AE20" s="143"/>
      <c r="AF20" s="143"/>
      <c r="AG20" s="143"/>
      <c r="AH20" s="143"/>
      <c r="AI20" s="145">
        <v>30</v>
      </c>
      <c r="AJ20" s="143"/>
      <c r="AK20" s="1430">
        <v>20</v>
      </c>
      <c r="AL20" s="103">
        <f t="shared" si="2"/>
        <v>0</v>
      </c>
      <c r="AM20" s="1435">
        <v>1899.72</v>
      </c>
      <c r="AN20" s="136"/>
      <c r="AO20" s="136"/>
      <c r="AP20" s="105">
        <f t="shared" si="3"/>
        <v>0</v>
      </c>
      <c r="AQ20" s="99"/>
      <c r="AR20" s="99"/>
      <c r="AS20" s="99"/>
      <c r="AT20" s="124"/>
      <c r="AU20" s="224">
        <f t="shared" si="4"/>
        <v>0</v>
      </c>
      <c r="AV20" s="1793">
        <v>10281.1</v>
      </c>
      <c r="AW20" s="1709"/>
      <c r="AX20" s="1546"/>
      <c r="AY20" s="1546"/>
      <c r="AZ20" s="1709"/>
      <c r="BA20" s="1546"/>
      <c r="BB20" s="141"/>
      <c r="BC20" s="152"/>
      <c r="BD20" s="152"/>
      <c r="BE20" s="152"/>
      <c r="BF20" s="152"/>
      <c r="BG20" s="222">
        <f t="shared" si="5"/>
        <v>0</v>
      </c>
      <c r="BH20" s="140">
        <f t="shared" si="6"/>
        <v>0</v>
      </c>
      <c r="BI20" s="132"/>
      <c r="BJ20" s="140">
        <f t="shared" si="7"/>
        <v>0</v>
      </c>
      <c r="BK20" s="141"/>
      <c r="BL20" s="309"/>
      <c r="BM20" s="141"/>
      <c r="BN20" s="141"/>
      <c r="BO20" s="141"/>
      <c r="BP20" s="141"/>
      <c r="BQ20" s="141"/>
      <c r="BR20" s="141"/>
      <c r="BS20" s="141"/>
      <c r="BT20" s="309"/>
      <c r="BU20" s="1432"/>
      <c r="BV20" s="152"/>
      <c r="BW20" s="141"/>
      <c r="BX20" s="130">
        <f t="shared" si="8"/>
        <v>0</v>
      </c>
      <c r="BY20" s="132"/>
    </row>
    <row r="21" ht="15.75" customHeight="1">
      <c r="B21" s="215">
        <v>46038</v>
      </c>
      <c r="C21" s="1429">
        <f>12644.78-0-0</f>
      </c>
      <c r="D21" s="136"/>
      <c r="E21" s="135"/>
      <c r="F21" s="135"/>
      <c r="G21" s="1872">
        <f t="shared" si="0"/>
        <v>0</v>
      </c>
      <c r="H21" s="1886"/>
      <c r="I21" s="1876"/>
      <c r="J21" s="1890">
        <v>20.04</v>
      </c>
      <c r="K21" s="1877"/>
      <c r="L21" s="1891"/>
      <c r="M21" s="1876"/>
      <c r="N21" s="1890">
        <v>145</v>
      </c>
      <c r="O21" s="1876"/>
      <c r="P21" s="1886"/>
      <c r="Q21" s="1876"/>
      <c r="R21" s="1886"/>
      <c r="S21" s="1876"/>
      <c r="T21" s="1877">
        <v>175.47</v>
      </c>
      <c r="U21" s="1890"/>
      <c r="V21" s="1876"/>
      <c r="W21" s="1886"/>
      <c r="X21" s="1873">
        <f t="shared" si="1"/>
        <v>0</v>
      </c>
      <c r="Y21" s="611"/>
      <c r="Z21" s="611"/>
      <c r="AA21" s="143"/>
      <c r="AB21" s="143"/>
      <c r="AC21" s="143"/>
      <c r="AD21" s="143"/>
      <c r="AE21" s="143"/>
      <c r="AF21" s="143"/>
      <c r="AG21" s="143"/>
      <c r="AH21" s="143"/>
      <c r="AI21" s="145">
        <v>15</v>
      </c>
      <c r="AJ21" s="143"/>
      <c r="AK21" s="1437">
        <v>40</v>
      </c>
      <c r="AL21" s="103">
        <f t="shared" si="2"/>
        <v>0</v>
      </c>
      <c r="AM21" s="1431">
        <v>1757.7</v>
      </c>
      <c r="AN21" s="136"/>
      <c r="AO21" s="136"/>
      <c r="AP21" s="105">
        <f t="shared" si="3"/>
        <v>0</v>
      </c>
      <c r="AQ21" s="99"/>
      <c r="AR21" s="99"/>
      <c r="AS21" s="99"/>
      <c r="AT21" s="124"/>
      <c r="AU21" s="224">
        <f t="shared" si="4"/>
        <v>0</v>
      </c>
      <c r="AV21" s="1793">
        <v>10491.6</v>
      </c>
      <c r="AW21" s="1709"/>
      <c r="AX21" s="1546"/>
      <c r="AY21" s="1546"/>
      <c r="AZ21" s="1546"/>
      <c r="BA21" s="1546"/>
      <c r="BB21" s="141"/>
      <c r="BC21" s="152"/>
      <c r="BD21" s="152"/>
      <c r="BE21" s="152"/>
      <c r="BF21" s="152"/>
      <c r="BG21" s="222">
        <f t="shared" si="5"/>
        <v>0</v>
      </c>
      <c r="BH21" s="140">
        <f t="shared" si="6"/>
        <v>0</v>
      </c>
      <c r="BI21" s="132"/>
      <c r="BJ21" s="140">
        <f t="shared" si="7"/>
        <v>0</v>
      </c>
      <c r="BK21" s="141"/>
      <c r="BL21" s="141"/>
      <c r="BM21" s="141"/>
      <c r="BN21" s="141"/>
      <c r="BO21" s="141"/>
      <c r="BP21" s="141"/>
      <c r="BQ21" s="141"/>
      <c r="BR21" s="141"/>
      <c r="BS21" s="141"/>
      <c r="BT21" s="309"/>
      <c r="BU21" s="1433"/>
      <c r="BV21" s="152"/>
      <c r="BW21" s="141"/>
      <c r="BX21" s="130">
        <f t="shared" si="8"/>
        <v>0</v>
      </c>
      <c r="BY21" s="132"/>
    </row>
    <row r="22" ht="15.75" customHeight="1">
      <c r="B22" s="215">
        <v>46039</v>
      </c>
      <c r="C22" s="1429">
        <f>14355.76-0-0</f>
      </c>
      <c r="D22" s="136"/>
      <c r="E22" s="135"/>
      <c r="F22" s="135"/>
      <c r="G22" s="1872">
        <f t="shared" si="0"/>
        <v>0</v>
      </c>
      <c r="H22" s="1886"/>
      <c r="I22" s="1876"/>
      <c r="J22" s="1890">
        <v>1480.31</v>
      </c>
      <c r="K22" s="1878"/>
      <c r="L22" s="1891"/>
      <c r="M22" s="1876"/>
      <c r="N22" s="1890">
        <v>145</v>
      </c>
      <c r="O22" s="1876"/>
      <c r="P22" s="1886"/>
      <c r="Q22" s="1876"/>
      <c r="R22" s="1886"/>
      <c r="S22" s="1876"/>
      <c r="T22" s="1877"/>
      <c r="U22" s="1890"/>
      <c r="V22" s="1876"/>
      <c r="W22" s="1886"/>
      <c r="X22" s="1873">
        <f t="shared" si="1"/>
        <v>0</v>
      </c>
      <c r="Y22" s="611"/>
      <c r="Z22" s="611"/>
      <c r="AA22" s="143"/>
      <c r="AB22" s="143"/>
      <c r="AC22" s="143"/>
      <c r="AD22" s="143"/>
      <c r="AE22" s="143"/>
      <c r="AF22" s="143"/>
      <c r="AG22" s="143"/>
      <c r="AH22" s="143"/>
      <c r="AI22" s="145">
        <v>30</v>
      </c>
      <c r="AJ22" s="143"/>
      <c r="AK22" s="1430">
        <v>20</v>
      </c>
      <c r="AL22" s="103">
        <f t="shared" si="2"/>
        <v>0</v>
      </c>
      <c r="AM22" s="1431">
        <v>1704.23</v>
      </c>
      <c r="AN22" s="136"/>
      <c r="AO22" s="136"/>
      <c r="AP22" s="105">
        <f t="shared" si="3"/>
        <v>0</v>
      </c>
      <c r="AQ22" s="99"/>
      <c r="AR22" s="99"/>
      <c r="AS22" s="99"/>
      <c r="AT22" s="124"/>
      <c r="AU22" s="224">
        <f t="shared" si="4"/>
        <v>0</v>
      </c>
      <c r="AV22" s="1793">
        <v>10976.2</v>
      </c>
      <c r="AW22" s="1709"/>
      <c r="AX22" s="1546"/>
      <c r="AY22" s="1546"/>
      <c r="AZ22" s="1546"/>
      <c r="BA22" s="1546"/>
      <c r="BB22" s="141"/>
      <c r="BC22" s="152"/>
      <c r="BD22" s="152"/>
      <c r="BE22" s="152"/>
      <c r="BF22" s="152"/>
      <c r="BG22" s="222">
        <f t="shared" si="5"/>
        <v>0</v>
      </c>
      <c r="BH22" s="140">
        <f t="shared" si="6"/>
        <v>0</v>
      </c>
      <c r="BI22" s="132"/>
      <c r="BJ22" s="140">
        <f t="shared" si="7"/>
        <v>0</v>
      </c>
      <c r="BK22" s="141"/>
      <c r="BL22" s="141"/>
      <c r="BM22" s="141"/>
      <c r="BN22" s="141"/>
      <c r="BO22" s="141"/>
      <c r="BP22" s="141"/>
      <c r="BQ22" s="141"/>
      <c r="BR22" s="141"/>
      <c r="BS22" s="141"/>
      <c r="BT22" s="309"/>
      <c r="BU22" s="1432"/>
      <c r="BV22" s="152"/>
      <c r="BW22" s="141"/>
      <c r="BX22" s="130">
        <f t="shared" si="8"/>
        <v>0</v>
      </c>
      <c r="BY22" s="132"/>
    </row>
    <row r="23" ht="15.75" customHeight="1">
      <c r="B23" s="215">
        <v>46040</v>
      </c>
      <c r="C23" s="1429">
        <f>8827.10-0-0</f>
      </c>
      <c r="D23" s="136"/>
      <c r="E23" s="135"/>
      <c r="F23" s="135"/>
      <c r="G23" s="1872">
        <f t="shared" si="0"/>
        <v>0</v>
      </c>
      <c r="H23" s="1886"/>
      <c r="I23" s="1876"/>
      <c r="J23" s="1891">
        <v>130</v>
      </c>
      <c r="K23" s="1878"/>
      <c r="L23" s="1891"/>
      <c r="M23" s="1876"/>
      <c r="N23" s="1890"/>
      <c r="O23" s="1876"/>
      <c r="P23" s="1886"/>
      <c r="Q23" s="1876"/>
      <c r="R23" s="1886"/>
      <c r="S23" s="1876"/>
      <c r="T23" s="1877"/>
      <c r="U23" s="1890"/>
      <c r="V23" s="1876"/>
      <c r="W23" s="1886"/>
      <c r="X23" s="1873">
        <f t="shared" si="1"/>
        <v>0</v>
      </c>
      <c r="Y23" s="611"/>
      <c r="Z23" s="611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7">
        <v>20</v>
      </c>
      <c r="AL23" s="103">
        <f t="shared" si="2"/>
        <v>0</v>
      </c>
      <c r="AM23" s="1431">
        <v>966.09</v>
      </c>
      <c r="AN23" s="136"/>
      <c r="AO23" s="136"/>
      <c r="AP23" s="105">
        <f t="shared" si="3"/>
        <v>0</v>
      </c>
      <c r="AQ23" s="99"/>
      <c r="AR23" s="99"/>
      <c r="AS23" s="99"/>
      <c r="AT23" s="124"/>
      <c r="AU23" s="224">
        <f t="shared" si="4"/>
        <v>0</v>
      </c>
      <c r="AV23" s="1793">
        <v>7711</v>
      </c>
      <c r="AW23" s="1709"/>
      <c r="AX23" s="1546"/>
      <c r="AY23" s="1546"/>
      <c r="AZ23" s="1546"/>
      <c r="BA23" s="1546"/>
      <c r="BB23" s="141"/>
      <c r="BC23" s="152"/>
      <c r="BD23" s="152"/>
      <c r="BE23" s="152"/>
      <c r="BF23" s="152"/>
      <c r="BG23" s="222">
        <f t="shared" si="5"/>
        <v>0</v>
      </c>
      <c r="BH23" s="140">
        <f t="shared" si="6"/>
        <v>0</v>
      </c>
      <c r="BI23" s="132"/>
      <c r="BJ23" s="140">
        <f t="shared" si="7"/>
        <v>0</v>
      </c>
      <c r="BK23" s="141"/>
      <c r="BL23" s="141"/>
      <c r="BM23" s="141"/>
      <c r="BN23" s="141"/>
      <c r="BO23" s="141"/>
      <c r="BP23" s="141"/>
      <c r="BQ23" s="141"/>
      <c r="BR23" s="141"/>
      <c r="BS23" s="141"/>
      <c r="BT23" s="309"/>
      <c r="BU23" s="1432"/>
      <c r="BV23" s="152"/>
      <c r="BW23" s="141"/>
      <c r="BX23" s="130">
        <f t="shared" si="8"/>
        <v>0</v>
      </c>
      <c r="BY23" s="132"/>
    </row>
    <row r="24" ht="15.75" customHeight="1">
      <c r="B24" s="215">
        <v>46041</v>
      </c>
      <c r="C24" s="1429">
        <f>12861.68-0-0</f>
      </c>
      <c r="D24" s="136"/>
      <c r="E24" s="135"/>
      <c r="F24" s="135"/>
      <c r="G24" s="1872">
        <f t="shared" si="0"/>
        <v>0</v>
      </c>
      <c r="H24" s="1886"/>
      <c r="I24" s="1876"/>
      <c r="J24" s="1891">
        <v>715.97</v>
      </c>
      <c r="K24" s="1877"/>
      <c r="L24" s="1891"/>
      <c r="M24" s="1876"/>
      <c r="N24" s="1891">
        <v>353</v>
      </c>
      <c r="O24" s="1876"/>
      <c r="P24" s="1886"/>
      <c r="Q24" s="1876"/>
      <c r="R24" s="1886"/>
      <c r="S24" s="1876"/>
      <c r="T24" s="1877"/>
      <c r="U24" s="1890"/>
      <c r="V24" s="1876"/>
      <c r="W24" s="1886"/>
      <c r="X24" s="1873">
        <f t="shared" si="1"/>
        <v>0</v>
      </c>
      <c r="Y24" s="611"/>
      <c r="Z24" s="611"/>
      <c r="AA24" s="143"/>
      <c r="AB24" s="143"/>
      <c r="AC24" s="143"/>
      <c r="AD24" s="143"/>
      <c r="AE24" s="143"/>
      <c r="AF24" s="143"/>
      <c r="AG24" s="143"/>
      <c r="AH24" s="143"/>
      <c r="AI24" s="145">
        <v>10</v>
      </c>
      <c r="AJ24" s="143"/>
      <c r="AK24" s="1434"/>
      <c r="AL24" s="103">
        <f t="shared" si="2"/>
        <v>0</v>
      </c>
      <c r="AM24" s="1431">
        <v>1092.64</v>
      </c>
      <c r="AN24" s="136"/>
      <c r="AO24" s="136"/>
      <c r="AP24" s="105">
        <f t="shared" si="3"/>
        <v>0</v>
      </c>
      <c r="AQ24" s="99"/>
      <c r="AR24" s="99"/>
      <c r="AS24" s="99"/>
      <c r="AT24" s="124"/>
      <c r="AU24" s="224">
        <f t="shared" si="4"/>
        <v>0</v>
      </c>
      <c r="AV24" s="1793">
        <v>10690.1</v>
      </c>
      <c r="AW24" s="1709"/>
      <c r="AX24" s="1546"/>
      <c r="AY24" s="1546"/>
      <c r="AZ24" s="1546"/>
      <c r="BA24" s="1546"/>
      <c r="BB24" s="141"/>
      <c r="BC24" s="152"/>
      <c r="BD24" s="152"/>
      <c r="BE24" s="152"/>
      <c r="BF24" s="152"/>
      <c r="BG24" s="222">
        <f t="shared" si="5"/>
        <v>0</v>
      </c>
      <c r="BH24" s="140">
        <f t="shared" si="6"/>
        <v>0</v>
      </c>
      <c r="BI24" s="132"/>
      <c r="BJ24" s="140">
        <f t="shared" si="7"/>
        <v>0</v>
      </c>
      <c r="BK24" s="141"/>
      <c r="BL24" s="141"/>
      <c r="BM24" s="141"/>
      <c r="BN24" s="141"/>
      <c r="BO24" s="141"/>
      <c r="BP24" s="141"/>
      <c r="BQ24" s="141"/>
      <c r="BR24" s="141"/>
      <c r="BS24" s="141"/>
      <c r="BT24" s="309"/>
      <c r="BU24" s="1432"/>
      <c r="BV24" s="152"/>
      <c r="BW24" s="141"/>
      <c r="BX24" s="130">
        <f t="shared" si="8"/>
        <v>0</v>
      </c>
      <c r="BY24" s="132"/>
    </row>
    <row r="25" ht="15.75" customHeight="1">
      <c r="B25" s="215">
        <v>46042</v>
      </c>
      <c r="C25" s="1429">
        <f>12381.52-0-0</f>
      </c>
      <c r="D25" s="136"/>
      <c r="E25" s="135"/>
      <c r="F25" s="135"/>
      <c r="G25" s="1872">
        <f t="shared" si="0"/>
        <v>0</v>
      </c>
      <c r="H25" s="1886"/>
      <c r="I25" s="1876"/>
      <c r="J25" s="1890">
        <v>729.23</v>
      </c>
      <c r="K25" s="1877"/>
      <c r="L25" s="1891"/>
      <c r="M25" s="1876"/>
      <c r="N25" s="1891"/>
      <c r="O25" s="1876"/>
      <c r="P25" s="1886"/>
      <c r="Q25" s="1876"/>
      <c r="R25" s="1886"/>
      <c r="S25" s="1876"/>
      <c r="T25" s="1877"/>
      <c r="U25" s="1891"/>
      <c r="V25" s="1879"/>
      <c r="W25" s="1897"/>
      <c r="X25" s="1873">
        <f t="shared" si="1"/>
        <v>0</v>
      </c>
      <c r="Y25" s="611"/>
      <c r="Z25" s="611"/>
      <c r="AA25" s="143"/>
      <c r="AB25" s="143"/>
      <c r="AC25" s="143"/>
      <c r="AD25" s="143"/>
      <c r="AE25" s="143"/>
      <c r="AF25" s="143"/>
      <c r="AG25" s="143"/>
      <c r="AH25" s="143"/>
      <c r="AI25" s="145">
        <v>15</v>
      </c>
      <c r="AJ25" s="143"/>
      <c r="AK25" s="1430">
        <v>20</v>
      </c>
      <c r="AL25" s="103">
        <f t="shared" si="2"/>
        <v>0</v>
      </c>
      <c r="AM25" s="1435">
        <v>1475.91</v>
      </c>
      <c r="AN25" s="136"/>
      <c r="AO25" s="136"/>
      <c r="AP25" s="105">
        <f t="shared" si="3"/>
        <v>0</v>
      </c>
      <c r="AQ25" s="99"/>
      <c r="AR25" s="99"/>
      <c r="AS25" s="99"/>
      <c r="AT25" s="124"/>
      <c r="AU25" s="224">
        <f t="shared" si="4"/>
        <v>0</v>
      </c>
      <c r="AV25" s="1793">
        <v>9741.4</v>
      </c>
      <c r="AW25" s="1709"/>
      <c r="AX25" s="1546"/>
      <c r="AY25" s="1546"/>
      <c r="AZ25" s="1546"/>
      <c r="BA25" s="1546"/>
      <c r="BB25" s="141"/>
      <c r="BC25" s="152"/>
      <c r="BD25" s="152"/>
      <c r="BE25" s="152"/>
      <c r="BF25" s="152"/>
      <c r="BG25" s="222">
        <f t="shared" si="5"/>
        <v>0</v>
      </c>
      <c r="BH25" s="140">
        <f t="shared" si="6"/>
        <v>0</v>
      </c>
      <c r="BI25" s="132"/>
      <c r="BJ25" s="140">
        <f t="shared" si="7"/>
        <v>0</v>
      </c>
      <c r="BK25" s="141"/>
      <c r="BL25" s="141"/>
      <c r="BM25" s="141"/>
      <c r="BN25" s="141"/>
      <c r="BO25" s="141"/>
      <c r="BP25" s="141"/>
      <c r="BQ25" s="141"/>
      <c r="BR25" s="141"/>
      <c r="BS25" s="141"/>
      <c r="BT25" s="309"/>
      <c r="BU25" s="1438"/>
      <c r="BV25" s="152">
        <v>400</v>
      </c>
      <c r="BW25" s="141"/>
      <c r="BX25" s="130">
        <f t="shared" si="8"/>
        <v>0</v>
      </c>
      <c r="BY25" s="132"/>
    </row>
    <row r="26" ht="15.75" customHeight="1">
      <c r="B26" s="215">
        <v>46043</v>
      </c>
      <c r="C26" s="1429">
        <f>14272.17-0-0</f>
      </c>
      <c r="D26" s="136"/>
      <c r="E26" s="135"/>
      <c r="F26" s="135"/>
      <c r="G26" s="1872">
        <f t="shared" si="0"/>
        <v>0</v>
      </c>
      <c r="H26" s="1886"/>
      <c r="I26" s="1876"/>
      <c r="J26" s="1890">
        <v>396.86</v>
      </c>
      <c r="K26" s="1877"/>
      <c r="L26" s="1891"/>
      <c r="M26" s="1876"/>
      <c r="N26" s="1890">
        <v>145</v>
      </c>
      <c r="O26" s="1876"/>
      <c r="P26" s="1895">
        <v>179</v>
      </c>
      <c r="Q26" s="1876"/>
      <c r="R26" s="1886"/>
      <c r="S26" s="1876"/>
      <c r="T26" s="1877"/>
      <c r="U26" s="1891"/>
      <c r="V26" s="1876"/>
      <c r="W26" s="1886"/>
      <c r="X26" s="1873">
        <f t="shared" si="1"/>
        <v>0</v>
      </c>
      <c r="Y26" s="611"/>
      <c r="Z26" s="611"/>
      <c r="AA26" s="143"/>
      <c r="AB26" s="143"/>
      <c r="AC26" s="143"/>
      <c r="AD26" s="143"/>
      <c r="AE26" s="143"/>
      <c r="AF26" s="143"/>
      <c r="AG26" s="143"/>
      <c r="AH26" s="143"/>
      <c r="AI26" s="145">
        <v>25</v>
      </c>
      <c r="AJ26" s="143"/>
      <c r="AK26" s="1430">
        <v>60</v>
      </c>
      <c r="AL26" s="103">
        <f t="shared" si="2"/>
        <v>0</v>
      </c>
      <c r="AM26" s="1431">
        <v>1613.07</v>
      </c>
      <c r="AN26" s="136"/>
      <c r="AO26" s="136"/>
      <c r="AP26" s="105">
        <f t="shared" si="3"/>
        <v>0</v>
      </c>
      <c r="AQ26" s="99"/>
      <c r="AR26" s="99"/>
      <c r="AS26" s="99"/>
      <c r="AT26" s="124"/>
      <c r="AU26" s="224">
        <f t="shared" si="4"/>
        <v>0</v>
      </c>
      <c r="AV26" s="1793">
        <v>11853.2</v>
      </c>
      <c r="AW26" s="1709"/>
      <c r="AX26" s="1546"/>
      <c r="AY26" s="1546"/>
      <c r="AZ26" s="1546"/>
      <c r="BA26" s="1546"/>
      <c r="BB26" s="141"/>
      <c r="BC26" s="152"/>
      <c r="BD26" s="152"/>
      <c r="BE26" s="152"/>
      <c r="BF26" s="152"/>
      <c r="BG26" s="222">
        <f t="shared" si="5"/>
        <v>0</v>
      </c>
      <c r="BH26" s="140">
        <f t="shared" si="6"/>
        <v>0</v>
      </c>
      <c r="BI26" s="132"/>
      <c r="BJ26" s="140">
        <f t="shared" si="7"/>
        <v>0</v>
      </c>
      <c r="BK26" s="141"/>
      <c r="BL26" s="141"/>
      <c r="BM26" s="141"/>
      <c r="BN26" s="141"/>
      <c r="BO26" s="141"/>
      <c r="BP26" s="141"/>
      <c r="BQ26" s="141"/>
      <c r="BR26" s="141"/>
      <c r="BS26" s="141"/>
      <c r="BT26" s="309"/>
      <c r="BU26" s="1432"/>
      <c r="BV26" s="152"/>
      <c r="BW26" s="141"/>
      <c r="BX26" s="130">
        <f t="shared" si="8"/>
        <v>0</v>
      </c>
      <c r="BY26" s="132"/>
    </row>
    <row r="27" ht="15.75" customHeight="1">
      <c r="B27" s="215">
        <v>46044</v>
      </c>
      <c r="C27" s="1429">
        <f>11764.84-0-0</f>
      </c>
      <c r="D27" s="136"/>
      <c r="E27" s="135"/>
      <c r="F27" s="135"/>
      <c r="G27" s="1872">
        <f t="shared" si="0"/>
        <v>0</v>
      </c>
      <c r="H27" s="1886"/>
      <c r="I27" s="1876"/>
      <c r="J27" s="1889">
        <v>94.11</v>
      </c>
      <c r="K27" s="1878"/>
      <c r="L27" s="1891"/>
      <c r="M27" s="1876"/>
      <c r="N27" s="1890"/>
      <c r="O27" s="1876"/>
      <c r="P27" s="1886"/>
      <c r="Q27" s="1876"/>
      <c r="R27" s="1886"/>
      <c r="S27" s="1876"/>
      <c r="T27" s="1877"/>
      <c r="U27" s="1890"/>
      <c r="V27" s="1876"/>
      <c r="W27" s="1886"/>
      <c r="X27" s="1873">
        <f t="shared" si="1"/>
        <v>0</v>
      </c>
      <c r="Y27" s="611"/>
      <c r="Z27" s="611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0">
        <v>20</v>
      </c>
      <c r="AL27" s="103">
        <f t="shared" si="2"/>
        <v>0</v>
      </c>
      <c r="AM27" s="1431">
        <v>1448.67</v>
      </c>
      <c r="AN27" s="136"/>
      <c r="AO27" s="136"/>
      <c r="AP27" s="105">
        <f t="shared" si="3"/>
        <v>0</v>
      </c>
      <c r="AQ27" s="99"/>
      <c r="AR27" s="99"/>
      <c r="AS27" s="99"/>
      <c r="AT27" s="124"/>
      <c r="AU27" s="224">
        <f t="shared" si="4"/>
        <v>0</v>
      </c>
      <c r="AV27" s="1793">
        <v>10202.1</v>
      </c>
      <c r="AW27" s="1709"/>
      <c r="AX27" s="1546"/>
      <c r="AY27" s="1546"/>
      <c r="AZ27" s="1546"/>
      <c r="BA27" s="1546"/>
      <c r="BB27" s="141"/>
      <c r="BC27" s="152"/>
      <c r="BD27" s="152"/>
      <c r="BE27" s="152"/>
      <c r="BF27" s="152"/>
      <c r="BG27" s="222">
        <f t="shared" si="5"/>
        <v>0</v>
      </c>
      <c r="BH27" s="140">
        <f t="shared" si="6"/>
        <v>0</v>
      </c>
      <c r="BI27" s="132"/>
      <c r="BJ27" s="140">
        <f t="shared" si="7"/>
        <v>0</v>
      </c>
      <c r="BK27" s="141"/>
      <c r="BL27" s="141"/>
      <c r="BM27" s="141"/>
      <c r="BN27" s="141"/>
      <c r="BO27" s="141"/>
      <c r="BP27" s="141"/>
      <c r="BQ27" s="141"/>
      <c r="BR27" s="141"/>
      <c r="BS27" s="141"/>
      <c r="BT27" s="309"/>
      <c r="BU27" s="1433"/>
      <c r="BV27" s="152"/>
      <c r="BW27" s="141"/>
      <c r="BX27" s="130">
        <f t="shared" si="8"/>
        <v>0</v>
      </c>
      <c r="BY27" s="132"/>
    </row>
    <row r="28" ht="15.75" customHeight="1">
      <c r="B28" s="215">
        <v>46045</v>
      </c>
      <c r="C28" s="1429">
        <f>12961.96-0-0</f>
      </c>
      <c r="D28" s="136"/>
      <c r="E28" s="135"/>
      <c r="F28" s="135"/>
      <c r="G28" s="1872">
        <f t="shared" si="0"/>
        <v>0</v>
      </c>
      <c r="H28" s="1886"/>
      <c r="I28" s="1876"/>
      <c r="J28" s="1890">
        <v>92.02</v>
      </c>
      <c r="K28" s="1877">
        <v>202.5</v>
      </c>
      <c r="L28" s="1891"/>
      <c r="M28" s="1876"/>
      <c r="N28" s="1890">
        <v>294</v>
      </c>
      <c r="O28" s="1876"/>
      <c r="P28" s="1886"/>
      <c r="Q28" s="1876"/>
      <c r="R28" s="1886"/>
      <c r="S28" s="1876"/>
      <c r="T28" s="1877"/>
      <c r="U28" s="1891"/>
      <c r="V28" s="1876"/>
      <c r="W28" s="1886"/>
      <c r="X28" s="1873">
        <f t="shared" si="1"/>
        <v>0</v>
      </c>
      <c r="Y28" s="611"/>
      <c r="Z28" s="611"/>
      <c r="AA28" s="143"/>
      <c r="AB28" s="143"/>
      <c r="AC28" s="143"/>
      <c r="AD28" s="143"/>
      <c r="AE28" s="143"/>
      <c r="AF28" s="143"/>
      <c r="AG28" s="143"/>
      <c r="AH28" s="143"/>
      <c r="AI28" s="145">
        <v>30</v>
      </c>
      <c r="AJ28" s="143"/>
      <c r="AK28" s="1434"/>
      <c r="AL28" s="103">
        <f t="shared" si="2"/>
        <v>0</v>
      </c>
      <c r="AM28" s="1435">
        <v>1261.22</v>
      </c>
      <c r="AN28" s="136"/>
      <c r="AO28" s="136"/>
      <c r="AP28" s="105">
        <f t="shared" si="3"/>
        <v>0</v>
      </c>
      <c r="AQ28" s="99"/>
      <c r="AR28" s="99"/>
      <c r="AS28" s="99"/>
      <c r="AT28" s="124"/>
      <c r="AU28" s="224">
        <f t="shared" si="4"/>
        <v>0</v>
      </c>
      <c r="AV28" s="1793">
        <v>10812.2</v>
      </c>
      <c r="AW28" s="1709"/>
      <c r="AX28" s="1546"/>
      <c r="AY28" s="1546"/>
      <c r="AZ28" s="1546"/>
      <c r="BA28" s="1546"/>
      <c r="BB28" s="141"/>
      <c r="BC28" s="152"/>
      <c r="BD28" s="152"/>
      <c r="BE28" s="152"/>
      <c r="BF28" s="152"/>
      <c r="BG28" s="222">
        <f t="shared" si="5"/>
        <v>0</v>
      </c>
      <c r="BH28" s="140">
        <f t="shared" si="6"/>
        <v>0</v>
      </c>
      <c r="BI28" s="132"/>
      <c r="BJ28" s="140">
        <f t="shared" si="7"/>
        <v>0</v>
      </c>
      <c r="BK28" s="141"/>
      <c r="BL28" s="141"/>
      <c r="BM28" s="141"/>
      <c r="BN28" s="141"/>
      <c r="BO28" s="141"/>
      <c r="BP28" s="141"/>
      <c r="BQ28" s="141"/>
      <c r="BR28" s="141"/>
      <c r="BS28" s="141"/>
      <c r="BT28" s="309"/>
      <c r="BU28" s="1438"/>
      <c r="BV28" s="152">
        <v>270</v>
      </c>
      <c r="BW28" s="141"/>
      <c r="BX28" s="130">
        <f t="shared" si="8"/>
        <v>0</v>
      </c>
      <c r="BY28" s="132"/>
    </row>
    <row r="29" ht="15.75" customHeight="1">
      <c r="B29" s="215">
        <v>46046</v>
      </c>
      <c r="C29" s="1429">
        <f>13697.80-0-0</f>
      </c>
      <c r="D29" s="136"/>
      <c r="E29" s="135"/>
      <c r="F29" s="135"/>
      <c r="G29" s="1872">
        <f t="shared" si="0"/>
        <v>0</v>
      </c>
      <c r="H29" s="1886"/>
      <c r="I29" s="1876"/>
      <c r="J29" s="1890">
        <v>845.62</v>
      </c>
      <c r="K29" s="1877"/>
      <c r="L29" s="1891"/>
      <c r="M29" s="1876"/>
      <c r="N29" s="1891">
        <v>216</v>
      </c>
      <c r="O29" s="1876"/>
      <c r="P29" s="1886"/>
      <c r="Q29" s="1876"/>
      <c r="R29" s="1886"/>
      <c r="S29" s="1876"/>
      <c r="T29" s="1878">
        <v>283.07</v>
      </c>
      <c r="U29" s="1891"/>
      <c r="V29" s="1876"/>
      <c r="W29" s="1886"/>
      <c r="X29" s="1873">
        <f t="shared" si="1"/>
        <v>0</v>
      </c>
      <c r="Y29" s="611"/>
      <c r="Z29" s="611"/>
      <c r="AA29" s="143"/>
      <c r="AB29" s="143"/>
      <c r="AC29" s="143"/>
      <c r="AD29" s="143"/>
      <c r="AE29" s="143"/>
      <c r="AF29" s="143"/>
      <c r="AG29" s="143"/>
      <c r="AH29" s="143"/>
      <c r="AI29" s="145">
        <v>40</v>
      </c>
      <c r="AJ29" s="143"/>
      <c r="AK29" s="1430">
        <v>20</v>
      </c>
      <c r="AL29" s="103">
        <f t="shared" si="2"/>
        <v>0</v>
      </c>
      <c r="AM29" s="1431">
        <v>1492.47</v>
      </c>
      <c r="AN29" s="136"/>
      <c r="AO29" s="136"/>
      <c r="AP29" s="105">
        <f t="shared" si="3"/>
        <v>0</v>
      </c>
      <c r="AQ29" s="99"/>
      <c r="AR29" s="99"/>
      <c r="AS29" s="99"/>
      <c r="AT29" s="124"/>
      <c r="AU29" s="224">
        <f t="shared" si="4"/>
        <v>0</v>
      </c>
      <c r="AV29" s="1793">
        <v>10800.6</v>
      </c>
      <c r="AW29" s="1709"/>
      <c r="AX29" s="1546"/>
      <c r="AY29" s="1546"/>
      <c r="AZ29" s="1546"/>
      <c r="BA29" s="1546"/>
      <c r="BB29" s="141"/>
      <c r="BC29" s="152"/>
      <c r="BD29" s="152"/>
      <c r="BE29" s="152"/>
      <c r="BF29" s="152"/>
      <c r="BG29" s="222">
        <f t="shared" si="5"/>
        <v>0</v>
      </c>
      <c r="BH29" s="140">
        <f t="shared" si="6"/>
        <v>0</v>
      </c>
      <c r="BI29" s="132"/>
      <c r="BJ29" s="140">
        <f t="shared" si="7"/>
        <v>0</v>
      </c>
      <c r="BK29" s="141"/>
      <c r="BL29" s="141"/>
      <c r="BM29" s="141"/>
      <c r="BN29" s="141"/>
      <c r="BO29" s="141"/>
      <c r="BP29" s="141"/>
      <c r="BQ29" s="141"/>
      <c r="BR29" s="141"/>
      <c r="BS29" s="141"/>
      <c r="BT29" s="309"/>
      <c r="BU29" s="1432"/>
      <c r="BV29" s="152"/>
      <c r="BW29" s="141"/>
      <c r="BX29" s="130">
        <f t="shared" si="8"/>
        <v>0</v>
      </c>
      <c r="BY29" s="132"/>
    </row>
    <row r="30" ht="15.75" customHeight="1">
      <c r="B30" s="215">
        <v>46047</v>
      </c>
      <c r="C30" s="1429">
        <f>8513.58-0-0</f>
      </c>
      <c r="D30" s="136"/>
      <c r="E30" s="135"/>
      <c r="F30" s="135"/>
      <c r="G30" s="1872">
        <f t="shared" si="0"/>
        <v>0</v>
      </c>
      <c r="H30" s="1886"/>
      <c r="I30" s="1876"/>
      <c r="J30" s="1890">
        <v>417.99</v>
      </c>
      <c r="K30" s="1877"/>
      <c r="L30" s="1891"/>
      <c r="M30" s="1876"/>
      <c r="N30" s="1890"/>
      <c r="O30" s="1876"/>
      <c r="P30" s="1886"/>
      <c r="Q30" s="1876"/>
      <c r="R30" s="1886"/>
      <c r="S30" s="1876"/>
      <c r="T30" s="1877"/>
      <c r="U30" s="1891"/>
      <c r="V30" s="1876"/>
      <c r="W30" s="1886"/>
      <c r="X30" s="1873">
        <f t="shared" si="1"/>
        <v>0</v>
      </c>
      <c r="Y30" s="611"/>
      <c r="Z30" s="611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4"/>
      <c r="AL30" s="103">
        <f t="shared" si="2"/>
        <v>0</v>
      </c>
      <c r="AM30" s="1435">
        <v>1160.32</v>
      </c>
      <c r="AN30" s="136"/>
      <c r="AO30" s="136"/>
      <c r="AP30" s="105">
        <f t="shared" si="3"/>
        <v>0</v>
      </c>
      <c r="AQ30" s="99"/>
      <c r="AR30" s="99"/>
      <c r="AS30" s="99"/>
      <c r="AT30" s="124"/>
      <c r="AU30" s="224">
        <f t="shared" si="4"/>
        <v>0</v>
      </c>
      <c r="AV30" s="1793">
        <v>6935.3</v>
      </c>
      <c r="AW30" s="1709"/>
      <c r="AX30" s="1546"/>
      <c r="AY30" s="1546"/>
      <c r="AZ30" s="1546"/>
      <c r="BA30" s="1546"/>
      <c r="BB30" s="141"/>
      <c r="BC30" s="152"/>
      <c r="BD30" s="152"/>
      <c r="BE30" s="152"/>
      <c r="BF30" s="152"/>
      <c r="BG30" s="222">
        <f t="shared" si="5"/>
        <v>0</v>
      </c>
      <c r="BH30" s="140">
        <f t="shared" si="6"/>
        <v>0</v>
      </c>
      <c r="BI30" s="132"/>
      <c r="BJ30" s="140">
        <f t="shared" si="7"/>
        <v>0</v>
      </c>
      <c r="BK30" s="141"/>
      <c r="BL30" s="141"/>
      <c r="BM30" s="141"/>
      <c r="BN30" s="141"/>
      <c r="BO30" s="141"/>
      <c r="BP30" s="141"/>
      <c r="BQ30" s="141"/>
      <c r="BR30" s="141"/>
      <c r="BS30" s="141"/>
      <c r="BT30" s="309"/>
      <c r="BU30" s="1432"/>
      <c r="BV30" s="152"/>
      <c r="BW30" s="141"/>
      <c r="BX30" s="130">
        <f t="shared" si="8"/>
        <v>0</v>
      </c>
      <c r="BY30" s="132"/>
    </row>
    <row r="31" ht="15.75" customHeight="1">
      <c r="B31" s="215">
        <v>46048</v>
      </c>
      <c r="C31" s="1429">
        <f>13309.71-0-0</f>
      </c>
      <c r="D31" s="136"/>
      <c r="E31" s="135"/>
      <c r="F31" s="135"/>
      <c r="G31" s="1872">
        <f t="shared" si="0"/>
        <v>0</v>
      </c>
      <c r="H31" s="1886"/>
      <c r="I31" s="1876"/>
      <c r="J31" s="1890">
        <v>1200.77</v>
      </c>
      <c r="K31" s="1877"/>
      <c r="L31" s="1891"/>
      <c r="M31" s="1876"/>
      <c r="N31" s="1891">
        <v>147</v>
      </c>
      <c r="O31" s="1876"/>
      <c r="P31" s="1886"/>
      <c r="Q31" s="1876"/>
      <c r="R31" s="1886"/>
      <c r="S31" s="1876"/>
      <c r="T31" s="1877"/>
      <c r="U31" s="1890"/>
      <c r="V31" s="1876"/>
      <c r="W31" s="1886"/>
      <c r="X31" s="1873">
        <f t="shared" si="1"/>
        <v>0</v>
      </c>
      <c r="Y31" s="611"/>
      <c r="Z31" s="611"/>
      <c r="AA31" s="143"/>
      <c r="AB31" s="143"/>
      <c r="AC31" s="143"/>
      <c r="AD31" s="143"/>
      <c r="AE31" s="143"/>
      <c r="AF31" s="143"/>
      <c r="AG31" s="143"/>
      <c r="AH31" s="143"/>
      <c r="AI31" s="145">
        <v>30</v>
      </c>
      <c r="AJ31" s="143"/>
      <c r="AK31" s="1436"/>
      <c r="AL31" s="103">
        <f t="shared" si="2"/>
        <v>0</v>
      </c>
      <c r="AM31" s="1435">
        <v>1491.43</v>
      </c>
      <c r="AN31" s="136"/>
      <c r="AO31" s="136"/>
      <c r="AP31" s="105">
        <f t="shared" si="3"/>
        <v>0</v>
      </c>
      <c r="AQ31" s="99"/>
      <c r="AR31" s="99"/>
      <c r="AS31" s="99"/>
      <c r="AT31" s="124"/>
      <c r="AU31" s="224">
        <f t="shared" si="4"/>
        <v>0</v>
      </c>
      <c r="AV31" s="1793">
        <v>10440.5</v>
      </c>
      <c r="AW31" s="1709"/>
      <c r="AX31" s="1546"/>
      <c r="AY31" s="1546"/>
      <c r="AZ31" s="1546"/>
      <c r="BA31" s="1546"/>
      <c r="BB31" s="141"/>
      <c r="BC31" s="152"/>
      <c r="BD31" s="152"/>
      <c r="BE31" s="152"/>
      <c r="BF31" s="152"/>
      <c r="BG31" s="222">
        <f t="shared" si="5"/>
        <v>0</v>
      </c>
      <c r="BH31" s="140">
        <f t="shared" si="6"/>
        <v>0</v>
      </c>
      <c r="BI31" s="132"/>
      <c r="BJ31" s="140">
        <f t="shared" si="7"/>
        <v>0</v>
      </c>
      <c r="BK31" s="141"/>
      <c r="BL31" s="141"/>
      <c r="BM31" s="141"/>
      <c r="BN31" s="141"/>
      <c r="BO31" s="141"/>
      <c r="BP31" s="141"/>
      <c r="BQ31" s="141"/>
      <c r="BR31" s="141"/>
      <c r="BS31" s="141"/>
      <c r="BT31" s="309"/>
      <c r="BU31" s="1432"/>
      <c r="BV31" s="152"/>
      <c r="BW31" s="141"/>
      <c r="BX31" s="130">
        <f t="shared" si="8"/>
        <v>0</v>
      </c>
      <c r="BY31" s="132"/>
    </row>
    <row r="32" ht="15.75" customHeight="1">
      <c r="B32" s="215">
        <v>46049</v>
      </c>
      <c r="C32" s="1429">
        <f>11779.42-0-0</f>
      </c>
      <c r="D32" s="136"/>
      <c r="E32" s="135"/>
      <c r="F32" s="135"/>
      <c r="G32" s="1872">
        <f t="shared" si="0"/>
        <v>0</v>
      </c>
      <c r="H32" s="1886"/>
      <c r="I32" s="1876"/>
      <c r="J32" s="1890">
        <v>386.41</v>
      </c>
      <c r="K32" s="1878"/>
      <c r="L32" s="1891"/>
      <c r="M32" s="1876"/>
      <c r="N32" s="1891"/>
      <c r="O32" s="1876"/>
      <c r="P32" s="1886"/>
      <c r="Q32" s="1876"/>
      <c r="R32" s="1886"/>
      <c r="S32" s="1876"/>
      <c r="T32" s="1877"/>
      <c r="U32" s="1891"/>
      <c r="V32" s="1876"/>
      <c r="W32" s="1886"/>
      <c r="X32" s="1873">
        <f t="shared" si="1"/>
        <v>0</v>
      </c>
      <c r="Y32" s="611"/>
      <c r="Z32" s="611"/>
      <c r="AA32" s="143"/>
      <c r="AB32" s="143"/>
      <c r="AC32" s="143"/>
      <c r="AD32" s="143"/>
      <c r="AE32" s="143"/>
      <c r="AF32" s="143"/>
      <c r="AG32" s="143"/>
      <c r="AH32" s="143"/>
      <c r="AI32" s="145">
        <v>40</v>
      </c>
      <c r="AJ32" s="143"/>
      <c r="AK32" s="1430">
        <v>40</v>
      </c>
      <c r="AL32" s="103">
        <f t="shared" si="2"/>
        <v>0</v>
      </c>
      <c r="AM32" s="1431">
        <v>870.93</v>
      </c>
      <c r="AN32" s="136"/>
      <c r="AO32" s="136"/>
      <c r="AP32" s="105">
        <f t="shared" si="3"/>
        <v>0</v>
      </c>
      <c r="AQ32" s="99"/>
      <c r="AR32" s="99"/>
      <c r="AS32" s="99"/>
      <c r="AT32" s="124"/>
      <c r="AU32" s="224">
        <f t="shared" si="4"/>
        <v>0</v>
      </c>
      <c r="AV32" s="1793">
        <v>10442.1</v>
      </c>
      <c r="AW32" s="1709"/>
      <c r="AX32" s="1546"/>
      <c r="AY32" s="1546"/>
      <c r="AZ32" s="1546"/>
      <c r="BA32" s="1546"/>
      <c r="BB32" s="141"/>
      <c r="BC32" s="152"/>
      <c r="BD32" s="152"/>
      <c r="BE32" s="152"/>
      <c r="BF32" s="152"/>
      <c r="BG32" s="222">
        <f t="shared" si="5"/>
        <v>0</v>
      </c>
      <c r="BH32" s="140">
        <f t="shared" si="6"/>
        <v>0</v>
      </c>
      <c r="BI32" s="132"/>
      <c r="BJ32" s="140">
        <f t="shared" si="7"/>
        <v>0</v>
      </c>
      <c r="BK32" s="141"/>
      <c r="BL32" s="141"/>
      <c r="BM32" s="141"/>
      <c r="BN32" s="141"/>
      <c r="BO32" s="141"/>
      <c r="BP32" s="141"/>
      <c r="BQ32" s="141"/>
      <c r="BR32" s="141"/>
      <c r="BS32" s="141"/>
      <c r="BT32" s="309"/>
      <c r="BU32" s="1432"/>
      <c r="BV32" s="152"/>
      <c r="BW32" s="141"/>
      <c r="BX32" s="130">
        <f t="shared" si="8"/>
        <v>0</v>
      </c>
      <c r="BY32" s="132"/>
    </row>
    <row r="33" ht="15.75" customHeight="1">
      <c r="B33" s="215">
        <v>46050</v>
      </c>
      <c r="C33" s="1429">
        <f>12875.42-0-0</f>
      </c>
      <c r="D33" s="136"/>
      <c r="E33" s="135"/>
      <c r="F33" s="135"/>
      <c r="G33" s="1872">
        <f t="shared" si="0"/>
        <v>0</v>
      </c>
      <c r="H33" s="1886"/>
      <c r="I33" s="1876"/>
      <c r="J33" s="1890">
        <v>162</v>
      </c>
      <c r="K33" s="1877"/>
      <c r="L33" s="1890"/>
      <c r="M33" s="1876"/>
      <c r="N33" s="1890">
        <v>294</v>
      </c>
      <c r="O33" s="1876"/>
      <c r="P33" s="1886"/>
      <c r="Q33" s="1876"/>
      <c r="R33" s="1886"/>
      <c r="S33" s="1876"/>
      <c r="T33" s="1877"/>
      <c r="U33" s="1890"/>
      <c r="V33" s="1876"/>
      <c r="W33" s="1886"/>
      <c r="X33" s="1873">
        <f t="shared" si="1"/>
        <v>0</v>
      </c>
      <c r="Y33" s="611"/>
      <c r="Z33" s="611"/>
      <c r="AA33" s="143"/>
      <c r="AB33" s="143"/>
      <c r="AC33" s="143"/>
      <c r="AD33" s="143"/>
      <c r="AE33" s="143"/>
      <c r="AF33" s="143"/>
      <c r="AG33" s="143"/>
      <c r="AH33" s="143"/>
      <c r="AI33" s="145">
        <v>30</v>
      </c>
      <c r="AJ33" s="143"/>
      <c r="AK33" s="1430">
        <v>20</v>
      </c>
      <c r="AL33" s="103">
        <f t="shared" si="2"/>
        <v>0</v>
      </c>
      <c r="AM33" s="1435">
        <v>2548.85</v>
      </c>
      <c r="AN33" s="136"/>
      <c r="AO33" s="136"/>
      <c r="AP33" s="105">
        <f t="shared" si="3"/>
        <v>0</v>
      </c>
      <c r="AQ33" s="99"/>
      <c r="AR33" s="99"/>
      <c r="AS33" s="99"/>
      <c r="AT33" s="124"/>
      <c r="AU33" s="224">
        <f t="shared" si="4"/>
        <v>0</v>
      </c>
      <c r="AV33" s="1793">
        <v>9820.6</v>
      </c>
      <c r="AW33" s="1709"/>
      <c r="AX33" s="1546"/>
      <c r="AY33" s="1546"/>
      <c r="AZ33" s="1546"/>
      <c r="BA33" s="1546"/>
      <c r="BB33" s="141"/>
      <c r="BC33" s="152"/>
      <c r="BD33" s="152"/>
      <c r="BE33" s="152"/>
      <c r="BF33" s="152"/>
      <c r="BG33" s="222">
        <f t="shared" si="5"/>
        <v>0</v>
      </c>
      <c r="BH33" s="140">
        <f t="shared" si="6"/>
        <v>0</v>
      </c>
      <c r="BI33" s="132"/>
      <c r="BJ33" s="140">
        <f t="shared" si="7"/>
        <v>0</v>
      </c>
      <c r="BK33" s="141"/>
      <c r="BL33" s="141"/>
      <c r="BM33" s="141"/>
      <c r="BN33" s="141"/>
      <c r="BO33" s="141"/>
      <c r="BP33" s="141"/>
      <c r="BQ33" s="141"/>
      <c r="BR33" s="141"/>
      <c r="BS33" s="141"/>
      <c r="BT33" s="309"/>
      <c r="BU33" s="1432"/>
      <c r="BV33" s="152"/>
      <c r="BW33" s="141"/>
      <c r="BX33" s="130">
        <f t="shared" si="8"/>
        <v>0</v>
      </c>
      <c r="BY33" s="132"/>
    </row>
    <row r="34" ht="15.75" customHeight="1">
      <c r="B34" s="215">
        <v>46051</v>
      </c>
      <c r="C34" s="1429">
        <f>11831.21-0-0</f>
      </c>
      <c r="D34" s="136"/>
      <c r="E34" s="135"/>
      <c r="F34" s="135"/>
      <c r="G34" s="1872">
        <f t="shared" si="0"/>
        <v>0</v>
      </c>
      <c r="H34" s="1886"/>
      <c r="I34" s="1876"/>
      <c r="J34" s="1890">
        <v>369.08</v>
      </c>
      <c r="K34" s="1877"/>
      <c r="L34" s="1891"/>
      <c r="M34" s="1876"/>
      <c r="N34" s="1890"/>
      <c r="O34" s="1876"/>
      <c r="P34" s="1886"/>
      <c r="Q34" s="1876"/>
      <c r="R34" s="1886"/>
      <c r="S34" s="1876"/>
      <c r="T34" s="1877"/>
      <c r="U34" s="1890"/>
      <c r="V34" s="1876"/>
      <c r="W34" s="1886"/>
      <c r="X34" s="1873">
        <f t="shared" si="1"/>
        <v>0</v>
      </c>
      <c r="Y34" s="611"/>
      <c r="Z34" s="611"/>
      <c r="AA34" s="143"/>
      <c r="AB34" s="143"/>
      <c r="AC34" s="143"/>
      <c r="AD34" s="143"/>
      <c r="AE34" s="143"/>
      <c r="AF34" s="143"/>
      <c r="AG34" s="143"/>
      <c r="AH34" s="143"/>
      <c r="AI34" s="145">
        <v>20</v>
      </c>
      <c r="AJ34" s="143"/>
      <c r="AK34" s="1436"/>
      <c r="AL34" s="103">
        <f t="shared" si="2"/>
        <v>0</v>
      </c>
      <c r="AM34" s="1431">
        <v>1847.93</v>
      </c>
      <c r="AN34" s="136"/>
      <c r="AO34" s="136"/>
      <c r="AP34" s="105">
        <f t="shared" si="3"/>
        <v>0</v>
      </c>
      <c r="AQ34" s="99"/>
      <c r="AR34" s="99"/>
      <c r="AS34" s="99"/>
      <c r="AT34" s="124"/>
      <c r="AU34" s="224">
        <f t="shared" si="4"/>
        <v>0</v>
      </c>
      <c r="AV34" s="1793">
        <v>9594.2</v>
      </c>
      <c r="AW34" s="1709"/>
      <c r="AX34" s="1546"/>
      <c r="AY34" s="1546"/>
      <c r="AZ34" s="1546"/>
      <c r="BA34" s="1546"/>
      <c r="BB34" s="141"/>
      <c r="BC34" s="152"/>
      <c r="BD34" s="152"/>
      <c r="BE34" s="152"/>
      <c r="BF34" s="152"/>
      <c r="BG34" s="222">
        <f t="shared" si="5"/>
        <v>0</v>
      </c>
      <c r="BH34" s="140">
        <f t="shared" si="6"/>
        <v>0</v>
      </c>
      <c r="BI34" s="132"/>
      <c r="BJ34" s="140">
        <f t="shared" si="7"/>
        <v>0</v>
      </c>
      <c r="BK34" s="141"/>
      <c r="BL34" s="141"/>
      <c r="BM34" s="141"/>
      <c r="BN34" s="141"/>
      <c r="BO34" s="141"/>
      <c r="BP34" s="141"/>
      <c r="BQ34" s="141"/>
      <c r="BR34" s="141"/>
      <c r="BS34" s="141"/>
      <c r="BT34" s="309"/>
      <c r="BU34" s="1432"/>
      <c r="BV34" s="152"/>
      <c r="BW34" s="141"/>
      <c r="BX34" s="130">
        <f t="shared" si="8"/>
        <v>0</v>
      </c>
      <c r="BY34" s="132"/>
    </row>
    <row r="35" ht="15.75" customHeight="1">
      <c r="B35" s="215">
        <v>46052</v>
      </c>
      <c r="C35" s="1429">
        <f>16917.89-0-0</f>
      </c>
      <c r="D35" s="136"/>
      <c r="E35" s="135"/>
      <c r="F35" s="135"/>
      <c r="G35" s="1872">
        <f t="shared" si="0"/>
        <v>0</v>
      </c>
      <c r="H35" s="1886"/>
      <c r="I35" s="1876"/>
      <c r="J35" s="1890">
        <v>151.33</v>
      </c>
      <c r="K35" s="1877">
        <v>202.5</v>
      </c>
      <c r="L35" s="1891"/>
      <c r="M35" s="1876"/>
      <c r="N35" s="1891">
        <v>363</v>
      </c>
      <c r="O35" s="1876"/>
      <c r="P35" s="1886"/>
      <c r="Q35" s="1876"/>
      <c r="R35" s="1886"/>
      <c r="S35" s="1876"/>
      <c r="T35" s="1877"/>
      <c r="U35" s="1890"/>
      <c r="V35" s="1876"/>
      <c r="W35" s="1886"/>
      <c r="X35" s="1873">
        <f t="shared" si="1"/>
        <v>0</v>
      </c>
      <c r="Y35" s="611"/>
      <c r="Z35" s="801">
        <v>2970</v>
      </c>
      <c r="AA35" s="143"/>
      <c r="AB35" s="143"/>
      <c r="AC35" s="143"/>
      <c r="AD35" s="143"/>
      <c r="AE35" s="143"/>
      <c r="AF35" s="143"/>
      <c r="AG35" s="143"/>
      <c r="AH35" s="143"/>
      <c r="AI35" s="145">
        <v>30</v>
      </c>
      <c r="AJ35" s="143"/>
      <c r="AK35" s="1434"/>
      <c r="AL35" s="103">
        <f t="shared" si="2"/>
        <v>0</v>
      </c>
      <c r="AM35" s="1431">
        <v>2015.82</v>
      </c>
      <c r="AN35" s="136"/>
      <c r="AO35" s="136"/>
      <c r="AP35" s="105">
        <f t="shared" si="3"/>
        <v>0</v>
      </c>
      <c r="AQ35" s="99"/>
      <c r="AR35" s="99"/>
      <c r="AS35" s="99"/>
      <c r="AT35" s="124"/>
      <c r="AU35" s="224">
        <f t="shared" si="4"/>
        <v>0</v>
      </c>
      <c r="AV35" s="1793">
        <v>11113.2</v>
      </c>
      <c r="AW35" s="1709"/>
      <c r="AX35" s="1546"/>
      <c r="AY35" s="1546"/>
      <c r="AZ35" s="1546"/>
      <c r="BA35" s="1546"/>
      <c r="BB35" s="141"/>
      <c r="BC35" s="152"/>
      <c r="BD35" s="152"/>
      <c r="BE35" s="152"/>
      <c r="BF35" s="152"/>
      <c r="BG35" s="222">
        <f t="shared" si="5"/>
        <v>0</v>
      </c>
      <c r="BH35" s="140">
        <f t="shared" si="6"/>
        <v>0</v>
      </c>
      <c r="BI35" s="132"/>
      <c r="BJ35" s="140">
        <f t="shared" si="7"/>
        <v>0</v>
      </c>
      <c r="BK35" s="141"/>
      <c r="BL35" s="141"/>
      <c r="BM35" s="141"/>
      <c r="BN35" s="141"/>
      <c r="BO35" s="141"/>
      <c r="BP35" s="141"/>
      <c r="BQ35" s="141"/>
      <c r="BR35" s="141"/>
      <c r="BS35" s="141"/>
      <c r="BT35" s="309"/>
      <c r="BU35" s="1439"/>
      <c r="BV35" s="152">
        <v>72</v>
      </c>
      <c r="BW35" s="141"/>
      <c r="BX35" s="130">
        <f t="shared" si="8"/>
        <v>0</v>
      </c>
      <c r="BY35" s="132"/>
    </row>
    <row r="36" ht="15.75" customHeight="1">
      <c r="B36" s="215">
        <v>46053</v>
      </c>
      <c r="C36" s="1440">
        <f>12407.09-0-0</f>
      </c>
      <c r="D36" s="159"/>
      <c r="E36" s="156"/>
      <c r="F36" s="156"/>
      <c r="G36" s="1872">
        <f t="shared" si="0"/>
        <v>0</v>
      </c>
      <c r="H36" s="1887"/>
      <c r="I36" s="1883"/>
      <c r="J36" s="1892">
        <v>1390.35</v>
      </c>
      <c r="K36" s="1884"/>
      <c r="L36" s="1893"/>
      <c r="M36" s="1883"/>
      <c r="N36" s="1894">
        <v>147</v>
      </c>
      <c r="O36" s="1883"/>
      <c r="P36" s="1887"/>
      <c r="Q36" s="1883"/>
      <c r="R36" s="1887"/>
      <c r="S36" s="1883"/>
      <c r="T36" s="1884">
        <v>94.41</v>
      </c>
      <c r="U36" s="1894"/>
      <c r="V36" s="1883"/>
      <c r="W36" s="1887"/>
      <c r="X36" s="1873">
        <f t="shared" si="1"/>
        <v>0</v>
      </c>
      <c r="Y36" s="613"/>
      <c r="Z36" s="613"/>
      <c r="AA36" s="157"/>
      <c r="AB36" s="157"/>
      <c r="AC36" s="157"/>
      <c r="AD36" s="157"/>
      <c r="AE36" s="157"/>
      <c r="AF36" s="157"/>
      <c r="AG36" s="157"/>
      <c r="AH36" s="157"/>
      <c r="AI36" s="158">
        <v>25</v>
      </c>
      <c r="AJ36" s="157"/>
      <c r="AK36" s="1441"/>
      <c r="AL36" s="103">
        <f t="shared" si="2"/>
        <v>0</v>
      </c>
      <c r="AM36" s="1442">
        <v>1354.67</v>
      </c>
      <c r="AN36" s="159"/>
      <c r="AO36" s="159"/>
      <c r="AP36" s="105">
        <f t="shared" si="3"/>
        <v>0</v>
      </c>
      <c r="AQ36" s="657"/>
      <c r="AR36" s="657"/>
      <c r="AS36" s="657"/>
      <c r="AT36" s="659"/>
      <c r="AU36" s="224">
        <f t="shared" si="4"/>
        <v>0</v>
      </c>
      <c r="AV36" s="1795">
        <v>9395.7</v>
      </c>
      <c r="AW36" s="1720"/>
      <c r="AX36" s="1557"/>
      <c r="AY36" s="1557"/>
      <c r="AZ36" s="1546"/>
      <c r="BA36" s="1557"/>
      <c r="BB36" s="163"/>
      <c r="BC36" s="879"/>
      <c r="BD36" s="879"/>
      <c r="BE36" s="879"/>
      <c r="BF36" s="879"/>
      <c r="BG36" s="222">
        <f t="shared" si="5"/>
        <v>0</v>
      </c>
      <c r="BH36" s="162">
        <f t="shared" si="6"/>
        <v>0</v>
      </c>
      <c r="BI36" s="132"/>
      <c r="BJ36" s="162">
        <f t="shared" si="7"/>
        <v>0</v>
      </c>
      <c r="BK36" s="163"/>
      <c r="BL36" s="163"/>
      <c r="BM36" s="163"/>
      <c r="BN36" s="163"/>
      <c r="BO36" s="163"/>
      <c r="BP36" s="163"/>
      <c r="BQ36" s="163"/>
      <c r="BR36" s="163"/>
      <c r="BS36" s="163"/>
      <c r="BT36" s="309"/>
      <c r="BU36" s="1443"/>
      <c r="BV36" s="879"/>
      <c r="BW36" s="163"/>
      <c r="BX36" s="164">
        <f t="shared" si="8"/>
        <v>0</v>
      </c>
      <c r="BY36" s="132"/>
    </row>
    <row r="37" ht="15.75" customHeight="1">
      <c r="B37" s="2" t="s">
        <v>186</v>
      </c>
      <c r="C37" s="617">
        <f ref="C37:O37" t="shared" si="9">SUM(C6:C36)</f>
        <v>0</v>
      </c>
      <c r="D37" s="617">
        <f t="shared" si="9"/>
        <v>0</v>
      </c>
      <c r="E37" s="617">
        <f t="shared" si="9"/>
        <v>0</v>
      </c>
      <c r="F37" s="617">
        <f t="shared" si="9"/>
        <v>0</v>
      </c>
      <c r="G37" s="617">
        <f t="shared" si="9"/>
        <v>0</v>
      </c>
      <c r="H37" s="1459">
        <f t="shared" si="9"/>
        <v>0</v>
      </c>
      <c r="I37" s="1459">
        <f t="shared" si="9"/>
        <v>0</v>
      </c>
      <c r="J37" s="1459">
        <f t="shared" si="9"/>
        <v>0</v>
      </c>
      <c r="K37" s="1459">
        <f t="shared" si="9"/>
        <v>0</v>
      </c>
      <c r="L37" s="1459">
        <f t="shared" si="9"/>
        <v>0</v>
      </c>
      <c r="M37" s="1459">
        <f t="shared" si="9"/>
        <v>0</v>
      </c>
      <c r="N37" s="1459">
        <f t="shared" si="9"/>
        <v>0</v>
      </c>
      <c r="O37" s="1459">
        <f t="shared" si="9"/>
        <v>0</v>
      </c>
      <c r="P37" s="1459"/>
      <c r="Q37" s="1459">
        <f>SUM(Q6:Q36)</f>
        <v>0</v>
      </c>
      <c r="R37" s="1459"/>
      <c r="S37" s="1459">
        <f ref="S37:T37" t="shared" si="10">SUM(S6:S36)</f>
        <v>0</v>
      </c>
      <c r="T37" s="1459">
        <f t="shared" si="10"/>
        <v>0</v>
      </c>
      <c r="U37" s="1459"/>
      <c r="V37" s="1459">
        <f>SUM(V6:V36)</f>
        <v>0</v>
      </c>
      <c r="W37" s="1459"/>
      <c r="X37" s="617">
        <f ref="X37:BH37" t="shared" si="11">SUM(X6:X36)</f>
        <v>0</v>
      </c>
      <c r="Y37" s="617">
        <f t="shared" si="11"/>
        <v>0</v>
      </c>
      <c r="Z37" s="617">
        <f t="shared" si="11"/>
        <v>0</v>
      </c>
      <c r="AA37" s="617">
        <f t="shared" si="11"/>
        <v>0</v>
      </c>
      <c r="AB37" s="617">
        <f t="shared" si="11"/>
        <v>0</v>
      </c>
      <c r="AC37" s="617">
        <f t="shared" si="11"/>
        <v>0</v>
      </c>
      <c r="AD37" s="617">
        <f t="shared" si="11"/>
        <v>0</v>
      </c>
      <c r="AE37" s="617">
        <f t="shared" si="11"/>
        <v>0</v>
      </c>
      <c r="AF37" s="617">
        <f t="shared" si="11"/>
        <v>0</v>
      </c>
      <c r="AG37" s="617">
        <f t="shared" si="11"/>
        <v>0</v>
      </c>
      <c r="AH37" s="617">
        <f t="shared" si="11"/>
        <v>0</v>
      </c>
      <c r="AI37" s="617">
        <f t="shared" si="11"/>
        <v>0</v>
      </c>
      <c r="AJ37" s="617">
        <f t="shared" si="11"/>
        <v>0</v>
      </c>
      <c r="AK37" s="617">
        <f t="shared" si="11"/>
        <v>0</v>
      </c>
      <c r="AL37" s="617">
        <f t="shared" si="11"/>
        <v>0</v>
      </c>
      <c r="AM37" s="617">
        <f t="shared" si="11"/>
        <v>0</v>
      </c>
      <c r="AN37" s="617">
        <f t="shared" si="11"/>
        <v>0</v>
      </c>
      <c r="AO37" s="617">
        <f t="shared" si="11"/>
        <v>0</v>
      </c>
      <c r="AP37" s="617">
        <f t="shared" si="11"/>
        <v>0</v>
      </c>
      <c r="AQ37" s="617">
        <f t="shared" si="11"/>
        <v>0</v>
      </c>
      <c r="AR37" s="617">
        <f t="shared" si="11"/>
        <v>0</v>
      </c>
      <c r="AS37" s="617">
        <f t="shared" si="11"/>
        <v>0</v>
      </c>
      <c r="AT37" s="617">
        <f t="shared" si="11"/>
        <v>0</v>
      </c>
      <c r="AU37" s="617">
        <f t="shared" si="11"/>
        <v>0</v>
      </c>
      <c r="AV37" s="1068">
        <f t="shared" si="11"/>
        <v>0</v>
      </c>
      <c r="AW37" s="617">
        <f t="shared" si="11"/>
        <v>0</v>
      </c>
      <c r="AX37" s="617">
        <f t="shared" si="11"/>
        <v>0</v>
      </c>
      <c r="AY37" s="617">
        <f t="shared" si="11"/>
        <v>0</v>
      </c>
      <c r="AZ37" s="617">
        <f t="shared" si="11"/>
        <v>0</v>
      </c>
      <c r="BA37" s="617">
        <f t="shared" si="11"/>
        <v>0</v>
      </c>
      <c r="BB37" s="617">
        <f t="shared" si="11"/>
        <v>0</v>
      </c>
      <c r="BC37" s="617">
        <f t="shared" si="11"/>
        <v>0</v>
      </c>
      <c r="BD37" s="617">
        <f t="shared" si="11"/>
        <v>0</v>
      </c>
      <c r="BE37" s="617">
        <f t="shared" si="11"/>
        <v>0</v>
      </c>
      <c r="BF37" s="617">
        <f t="shared" si="11"/>
        <v>0</v>
      </c>
      <c r="BG37" s="617">
        <f t="shared" si="11"/>
        <v>0</v>
      </c>
      <c r="BH37" s="617">
        <f t="shared" si="11"/>
        <v>0</v>
      </c>
      <c r="BI37" s="3"/>
      <c r="BJ37" s="172">
        <f ref="BJ37:BX37" t="shared" si="12">SUM(BJ6:BJ36)</f>
        <v>0</v>
      </c>
      <c r="BK37" s="165">
        <f t="shared" si="12"/>
        <v>0</v>
      </c>
      <c r="BL37" s="165">
        <f t="shared" si="12"/>
        <v>0</v>
      </c>
      <c r="BM37" s="165">
        <f t="shared" si="12"/>
        <v>0</v>
      </c>
      <c r="BN37" s="165">
        <f t="shared" si="12"/>
        <v>0</v>
      </c>
      <c r="BO37" s="165">
        <f t="shared" si="12"/>
        <v>0</v>
      </c>
      <c r="BP37" s="165">
        <f t="shared" si="12"/>
        <v>0</v>
      </c>
      <c r="BQ37" s="165">
        <f t="shared" si="12"/>
        <v>0</v>
      </c>
      <c r="BR37" s="165">
        <f t="shared" si="12"/>
        <v>0</v>
      </c>
      <c r="BS37" s="165">
        <f t="shared" si="12"/>
        <v>0</v>
      </c>
      <c r="BT37" s="165">
        <f t="shared" si="12"/>
        <v>0</v>
      </c>
      <c r="BU37" s="165">
        <f t="shared" si="12"/>
        <v>0</v>
      </c>
      <c r="BV37" s="165">
        <f t="shared" si="12"/>
        <v>0</v>
      </c>
      <c r="BW37" s="165">
        <f t="shared" si="12"/>
        <v>0</v>
      </c>
      <c r="BX37" s="165">
        <f t="shared" si="12"/>
        <v>0</v>
      </c>
      <c r="BY37" s="3"/>
    </row>
    <row r="38" ht="15.75" customHeight="1">
      <c r="B38" s="174"/>
      <c r="C38" s="1"/>
      <c r="D38" s="3"/>
      <c r="E38" s="3"/>
      <c r="F38" s="3"/>
      <c r="G38" s="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1"/>
      <c r="Z38" s="1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4"/>
      <c r="AQ38" s="3"/>
      <c r="AR38" s="3"/>
      <c r="AS38" s="3"/>
      <c r="AT38" s="3"/>
      <c r="AU38" s="4"/>
      <c r="AV38" s="3"/>
      <c r="AW38" s="3"/>
      <c r="AX38" s="3"/>
      <c r="AY38" s="3"/>
      <c r="AZ38" s="3"/>
      <c r="BA38" s="3"/>
      <c r="BB38" s="132"/>
      <c r="BC38" s="132"/>
      <c r="BD38" s="132"/>
      <c r="BE38" s="132"/>
      <c r="BF38" s="132"/>
      <c r="BG38" s="4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ht="15.75" customHeight="1">
      <c r="B39" s="174"/>
      <c r="C39" s="1"/>
      <c r="D39" s="3"/>
      <c r="E39" s="3"/>
      <c r="F39" s="3"/>
      <c r="G39" s="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1"/>
      <c r="Z39" s="1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176"/>
      <c r="AM39" s="3"/>
      <c r="AN39" s="3"/>
      <c r="AO39" s="3"/>
      <c r="AP39" s="4"/>
      <c r="AQ39" s="3"/>
      <c r="AR39" s="3"/>
      <c r="AS39" s="3"/>
      <c r="AT39" s="3"/>
      <c r="AU39" s="177"/>
      <c r="AV39" s="4"/>
      <c r="AW39" s="177"/>
      <c r="AX39" s="177"/>
      <c r="AY39" s="177"/>
      <c r="AZ39" s="177"/>
      <c r="BA39" s="177"/>
      <c r="BB39" s="177"/>
      <c r="BC39" s="177"/>
      <c r="BD39" s="177"/>
      <c r="BE39" s="177"/>
      <c r="BF39" s="132"/>
      <c r="BG39" s="177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ht="15.75" customHeight="1">
      <c r="B40" s="215">
        <v>46054</v>
      </c>
      <c r="C40" s="1444">
        <f>7502.12-0-0</f>
      </c>
      <c r="D40" s="104"/>
      <c r="E40" s="97"/>
      <c r="F40" s="97"/>
      <c r="G40" s="265">
        <f ref="G40:G68" t="shared" si="13">+C40+D40+E40+F40</f>
        <v>0</v>
      </c>
      <c r="H40" s="100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99"/>
      <c r="X40" s="103">
        <f ref="X40:X68" t="shared" si="14">SUM(H40:V40)</f>
        <v>0</v>
      </c>
      <c r="Y40" s="619"/>
      <c r="Z40" s="619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8"/>
      <c r="AL40" s="103">
        <f ref="AL40:AL68" t="shared" si="15">SUM(Y40:AK40)</f>
        <v>0</v>
      </c>
      <c r="AM40" s="95">
        <v>691.76</v>
      </c>
      <c r="AN40" s="104"/>
      <c r="AO40" s="104"/>
      <c r="AP40" s="191">
        <f ref="AP40:AP68" t="shared" si="16">SUM(AM40:AO40)</f>
        <v>0</v>
      </c>
      <c r="AQ40" s="101"/>
      <c r="AR40" s="101"/>
      <c r="AS40" s="101"/>
      <c r="AT40" s="106"/>
      <c r="AU40" s="224">
        <f ref="AU40:AU68" t="shared" si="17">+G40-X40-AL40-AP40-AQ40-AR40-AS40-AT40</f>
        <v>0</v>
      </c>
      <c r="AV40" s="1721">
        <v>6770.4</v>
      </c>
      <c r="AW40" s="1708"/>
      <c r="AX40" s="1537"/>
      <c r="AY40" s="1537"/>
      <c r="AZ40" s="1537"/>
      <c r="BA40" s="1537"/>
      <c r="BB40" s="196"/>
      <c r="BC40" s="490"/>
      <c r="BD40" s="490"/>
      <c r="BE40" s="490"/>
      <c r="BF40" s="490"/>
      <c r="BG40" s="222">
        <f ref="BG40:BG68" t="shared" si="18">SUM(AV40:BF40)-BE40</f>
        <v>0</v>
      </c>
      <c r="BH40" s="114">
        <f ref="BH40:BH68" t="shared" si="19">+AU40-BG40</f>
        <v>0</v>
      </c>
      <c r="BI40" s="3"/>
      <c r="BJ40" s="114">
        <f ref="BJ40:BJ68" t="shared" si="20">SUM(BK40:BW40)</f>
        <v>0</v>
      </c>
      <c r="BK40" s="115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115"/>
      <c r="BW40" s="115"/>
      <c r="BX40" s="116">
        <f ref="BX40:BX68" t="shared" si="21">+BH40-BJ40</f>
        <v>0</v>
      </c>
      <c r="BY40" s="3"/>
    </row>
    <row r="41" ht="15.75" customHeight="1">
      <c r="B41" s="215">
        <v>46055</v>
      </c>
      <c r="C41" s="1445">
        <f>12002.45-0-0</f>
      </c>
      <c r="D41" s="123"/>
      <c r="E41" s="120"/>
      <c r="F41" s="120"/>
      <c r="G41" s="147">
        <f t="shared" si="13"/>
        <v>0</v>
      </c>
      <c r="H41" s="122"/>
      <c r="I41" s="99"/>
      <c r="J41" s="99">
        <v>447.2</v>
      </c>
      <c r="K41" s="99"/>
      <c r="L41" s="99"/>
      <c r="M41" s="99"/>
      <c r="N41" s="121">
        <v>147</v>
      </c>
      <c r="O41" s="99"/>
      <c r="P41" s="99"/>
      <c r="Q41" s="99"/>
      <c r="R41" s="99"/>
      <c r="S41" s="99"/>
      <c r="T41" s="99"/>
      <c r="U41" s="99"/>
      <c r="V41" s="99"/>
      <c r="W41" s="99"/>
      <c r="X41" s="103">
        <f t="shared" si="14"/>
        <v>0</v>
      </c>
      <c r="Y41" s="611"/>
      <c r="Z41" s="611"/>
      <c r="AA41" s="143"/>
      <c r="AB41" s="143"/>
      <c r="AC41" s="143"/>
      <c r="AD41" s="143"/>
      <c r="AE41" s="143"/>
      <c r="AF41" s="143"/>
      <c r="AG41" s="143"/>
      <c r="AH41" s="143"/>
      <c r="AI41" s="145">
        <v>25</v>
      </c>
      <c r="AJ41" s="143"/>
      <c r="AK41" s="143"/>
      <c r="AL41" s="103">
        <f t="shared" si="15"/>
        <v>0</v>
      </c>
      <c r="AM41" s="119">
        <v>1526.38</v>
      </c>
      <c r="AN41" s="123"/>
      <c r="AO41" s="123"/>
      <c r="AP41" s="105">
        <f t="shared" si="16"/>
        <v>0</v>
      </c>
      <c r="AQ41" s="99"/>
      <c r="AR41" s="99"/>
      <c r="AS41" s="99"/>
      <c r="AT41" s="124"/>
      <c r="AU41" s="224">
        <f t="shared" si="17"/>
        <v>0</v>
      </c>
      <c r="AV41" s="1554">
        <v>9856.9</v>
      </c>
      <c r="AW41" s="1709"/>
      <c r="AX41" s="1546"/>
      <c r="AY41" s="1546"/>
      <c r="AZ41" s="1546"/>
      <c r="BA41" s="1546"/>
      <c r="BB41" s="141"/>
      <c r="BC41" s="152"/>
      <c r="BD41" s="152"/>
      <c r="BE41" s="152"/>
      <c r="BF41" s="152"/>
      <c r="BG41" s="222">
        <f t="shared" si="18"/>
        <v>0</v>
      </c>
      <c r="BH41" s="113">
        <f t="shared" si="19"/>
        <v>0</v>
      </c>
      <c r="BI41" s="3"/>
      <c r="BJ41" s="113">
        <f t="shared" si="20"/>
        <v>0</v>
      </c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30">
        <f t="shared" si="21"/>
        <v>0</v>
      </c>
      <c r="BY41" s="3"/>
    </row>
    <row r="42" ht="15.75" customHeight="1">
      <c r="B42" s="215">
        <v>46056</v>
      </c>
      <c r="C42" s="1445">
        <f>13928.24-0-0</f>
      </c>
      <c r="D42" s="123"/>
      <c r="E42" s="120"/>
      <c r="F42" s="120"/>
      <c r="G42" s="147">
        <f t="shared" si="13"/>
        <v>0</v>
      </c>
      <c r="H42" s="122"/>
      <c r="I42" s="99"/>
      <c r="J42" s="99">
        <v>595.23</v>
      </c>
      <c r="K42" s="99"/>
      <c r="L42" s="99"/>
      <c r="M42" s="99"/>
      <c r="N42" s="99">
        <v>309</v>
      </c>
      <c r="O42" s="99"/>
      <c r="P42" s="99"/>
      <c r="Q42" s="99"/>
      <c r="R42" s="99"/>
      <c r="S42" s="99"/>
      <c r="T42" s="99"/>
      <c r="U42" s="99"/>
      <c r="V42" s="99"/>
      <c r="W42" s="99"/>
      <c r="X42" s="103">
        <f t="shared" si="14"/>
        <v>0</v>
      </c>
      <c r="Y42" s="611"/>
      <c r="Z42" s="611"/>
      <c r="AA42" s="143"/>
      <c r="AB42" s="143"/>
      <c r="AC42" s="143"/>
      <c r="AD42" s="143"/>
      <c r="AE42" s="143"/>
      <c r="AF42" s="143"/>
      <c r="AG42" s="143"/>
      <c r="AH42" s="143"/>
      <c r="AI42" s="143">
        <v>20</v>
      </c>
      <c r="AJ42" s="143"/>
      <c r="AK42" s="145">
        <v>20</v>
      </c>
      <c r="AL42" s="103">
        <f t="shared" si="15"/>
        <v>0</v>
      </c>
      <c r="AM42" s="119">
        <v>2389.19</v>
      </c>
      <c r="AN42" s="123"/>
      <c r="AO42" s="123"/>
      <c r="AP42" s="105">
        <f t="shared" si="16"/>
        <v>0</v>
      </c>
      <c r="AQ42" s="99"/>
      <c r="AR42" s="99"/>
      <c r="AS42" s="99"/>
      <c r="AT42" s="124"/>
      <c r="AU42" s="224">
        <f t="shared" si="17"/>
        <v>0</v>
      </c>
      <c r="AV42" s="1554">
        <v>10594.8</v>
      </c>
      <c r="AW42" s="1709"/>
      <c r="AX42" s="1546"/>
      <c r="AY42" s="1546"/>
      <c r="AZ42" s="1546"/>
      <c r="BA42" s="1546"/>
      <c r="BB42" s="141"/>
      <c r="BC42" s="152"/>
      <c r="BD42" s="152"/>
      <c r="BE42" s="152"/>
      <c r="BF42" s="152"/>
      <c r="BG42" s="222">
        <f t="shared" si="18"/>
        <v>0</v>
      </c>
      <c r="BH42" s="113">
        <f t="shared" si="19"/>
        <v>0</v>
      </c>
      <c r="BI42" s="3"/>
      <c r="BJ42" s="113">
        <f t="shared" si="20"/>
        <v>0</v>
      </c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30">
        <f t="shared" si="21"/>
        <v>0</v>
      </c>
      <c r="BY42" s="3"/>
    </row>
    <row r="43" ht="15.75" customHeight="1">
      <c r="B43" s="215">
        <v>46057</v>
      </c>
      <c r="C43" s="1446">
        <f>12012.40-0-0</f>
      </c>
      <c r="D43" s="136"/>
      <c r="E43" s="135"/>
      <c r="F43" s="135"/>
      <c r="G43" s="147">
        <f t="shared" si="13"/>
        <v>0</v>
      </c>
      <c r="H43" s="122"/>
      <c r="I43" s="99"/>
      <c r="J43" s="99">
        <v>555.44</v>
      </c>
      <c r="K43" s="121">
        <v>135</v>
      </c>
      <c r="L43" s="99"/>
      <c r="M43" s="99"/>
      <c r="N43" s="121">
        <v>194.8</v>
      </c>
      <c r="O43" s="99"/>
      <c r="P43" s="99"/>
      <c r="Q43" s="99"/>
      <c r="R43" s="99"/>
      <c r="S43" s="99"/>
      <c r="T43" s="99"/>
      <c r="U43" s="99"/>
      <c r="V43" s="99"/>
      <c r="W43" s="99"/>
      <c r="X43" s="103">
        <f t="shared" si="14"/>
        <v>0</v>
      </c>
      <c r="Y43" s="611"/>
      <c r="Z43" s="611"/>
      <c r="AA43" s="143"/>
      <c r="AB43" s="143"/>
      <c r="AC43" s="143"/>
      <c r="AD43" s="143"/>
      <c r="AE43" s="143"/>
      <c r="AF43" s="143"/>
      <c r="AG43" s="143"/>
      <c r="AH43" s="143"/>
      <c r="AI43" s="145">
        <v>20</v>
      </c>
      <c r="AJ43" s="143"/>
      <c r="AK43" s="145">
        <v>20</v>
      </c>
      <c r="AL43" s="103">
        <f t="shared" si="15"/>
        <v>0</v>
      </c>
      <c r="AM43" s="134">
        <v>1605.3</v>
      </c>
      <c r="AN43" s="136"/>
      <c r="AO43" s="136"/>
      <c r="AP43" s="105">
        <f t="shared" si="16"/>
        <v>0</v>
      </c>
      <c r="AQ43" s="99"/>
      <c r="AR43" s="99"/>
      <c r="AS43" s="99"/>
      <c r="AT43" s="124"/>
      <c r="AU43" s="224">
        <f t="shared" si="17"/>
        <v>0</v>
      </c>
      <c r="AV43" s="1554">
        <v>9481.9</v>
      </c>
      <c r="AW43" s="1709"/>
      <c r="AX43" s="1546"/>
      <c r="AY43" s="1546"/>
      <c r="AZ43" s="1546"/>
      <c r="BA43" s="1546"/>
      <c r="BB43" s="141"/>
      <c r="BC43" s="152"/>
      <c r="BD43" s="152"/>
      <c r="BE43" s="152"/>
      <c r="BF43" s="152"/>
      <c r="BG43" s="222">
        <f t="shared" si="18"/>
        <v>0</v>
      </c>
      <c r="BH43" s="140">
        <f t="shared" si="19"/>
        <v>0</v>
      </c>
      <c r="BI43" s="132"/>
      <c r="BJ43" s="140">
        <f t="shared" si="20"/>
        <v>0</v>
      </c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30">
        <f t="shared" si="21"/>
        <v>0</v>
      </c>
      <c r="BY43" s="132"/>
    </row>
    <row r="44" ht="15.75" customHeight="1">
      <c r="B44" s="215">
        <v>46058</v>
      </c>
      <c r="C44" s="1446">
        <f>12650.00-0-0</f>
      </c>
      <c r="D44" s="136"/>
      <c r="E44" s="135"/>
      <c r="F44" s="135"/>
      <c r="G44" s="147">
        <f t="shared" si="13"/>
        <v>0</v>
      </c>
      <c r="H44" s="122"/>
      <c r="I44" s="99"/>
      <c r="J44" s="99">
        <v>974.3</v>
      </c>
      <c r="K44" s="99"/>
      <c r="L44" s="99"/>
      <c r="M44" s="99"/>
      <c r="N44" s="121">
        <v>147</v>
      </c>
      <c r="O44" s="99"/>
      <c r="P44" s="99"/>
      <c r="Q44" s="99"/>
      <c r="R44" s="99"/>
      <c r="S44" s="99"/>
      <c r="T44" s="99"/>
      <c r="U44" s="99"/>
      <c r="V44" s="99"/>
      <c r="W44" s="99"/>
      <c r="X44" s="103">
        <f t="shared" si="14"/>
        <v>0</v>
      </c>
      <c r="Y44" s="611"/>
      <c r="Z44" s="611"/>
      <c r="AA44" s="143"/>
      <c r="AB44" s="143"/>
      <c r="AC44" s="143"/>
      <c r="AD44" s="143"/>
      <c r="AE44" s="143"/>
      <c r="AF44" s="143"/>
      <c r="AG44" s="143"/>
      <c r="AH44" s="143"/>
      <c r="AI44" s="145">
        <v>25</v>
      </c>
      <c r="AJ44" s="143"/>
      <c r="AK44" s="143"/>
      <c r="AL44" s="103">
        <f t="shared" si="15"/>
        <v>0</v>
      </c>
      <c r="AM44" s="134">
        <v>1735.38</v>
      </c>
      <c r="AN44" s="136"/>
      <c r="AO44" s="136"/>
      <c r="AP44" s="105">
        <f t="shared" si="16"/>
        <v>0</v>
      </c>
      <c r="AQ44" s="99"/>
      <c r="AR44" s="99"/>
      <c r="AS44" s="99"/>
      <c r="AT44" s="124"/>
      <c r="AU44" s="224">
        <f t="shared" si="17"/>
        <v>0</v>
      </c>
      <c r="AV44" s="1554">
        <v>9768.3</v>
      </c>
      <c r="AW44" s="1709"/>
      <c r="AX44" s="1546"/>
      <c r="AY44" s="1546"/>
      <c r="AZ44" s="1546"/>
      <c r="BA44" s="1546"/>
      <c r="BB44" s="141"/>
      <c r="BC44" s="152"/>
      <c r="BD44" s="152"/>
      <c r="BE44" s="152"/>
      <c r="BF44" s="152"/>
      <c r="BG44" s="222">
        <f t="shared" si="18"/>
        <v>0</v>
      </c>
      <c r="BH44" s="140">
        <f t="shared" si="19"/>
        <v>0</v>
      </c>
      <c r="BI44" s="132"/>
      <c r="BJ44" s="140">
        <f t="shared" si="20"/>
        <v>0</v>
      </c>
      <c r="BK44" s="141"/>
      <c r="BL44" s="141"/>
      <c r="BM44" s="141"/>
      <c r="BN44" s="141"/>
      <c r="BO44" s="141"/>
      <c r="BP44" s="141"/>
      <c r="BQ44" s="141"/>
      <c r="BR44" s="141"/>
      <c r="BS44" s="141"/>
      <c r="BT44" s="141"/>
      <c r="BU44" s="141"/>
      <c r="BV44" s="141"/>
      <c r="BW44" s="141"/>
      <c r="BX44" s="130">
        <f t="shared" si="21"/>
        <v>0</v>
      </c>
      <c r="BY44" s="132"/>
    </row>
    <row r="45" ht="15.75" customHeight="1">
      <c r="B45" s="215">
        <v>46059</v>
      </c>
      <c r="C45" s="1446">
        <f>16579.66-0-0</f>
      </c>
      <c r="D45" s="136"/>
      <c r="E45" s="135"/>
      <c r="F45" s="135"/>
      <c r="G45" s="147">
        <f t="shared" si="13"/>
        <v>0</v>
      </c>
      <c r="H45" s="122"/>
      <c r="I45" s="99"/>
      <c r="J45" s="121">
        <v>3764.67</v>
      </c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103">
        <f t="shared" si="14"/>
        <v>0</v>
      </c>
      <c r="Y45" s="611"/>
      <c r="Z45" s="611"/>
      <c r="AA45" s="143"/>
      <c r="AB45" s="143"/>
      <c r="AC45" s="143"/>
      <c r="AD45" s="143"/>
      <c r="AE45" s="143"/>
      <c r="AF45" s="143"/>
      <c r="AG45" s="143"/>
      <c r="AH45" s="143"/>
      <c r="AI45" s="145">
        <v>15</v>
      </c>
      <c r="AJ45" s="143"/>
      <c r="AK45" s="145">
        <v>40</v>
      </c>
      <c r="AL45" s="103">
        <f t="shared" si="15"/>
        <v>0</v>
      </c>
      <c r="AM45" s="134">
        <v>1363.54</v>
      </c>
      <c r="AN45" s="136"/>
      <c r="AO45" s="136"/>
      <c r="AP45" s="105">
        <f t="shared" si="16"/>
        <v>0</v>
      </c>
      <c r="AQ45" s="99"/>
      <c r="AR45" s="99"/>
      <c r="AS45" s="99"/>
      <c r="AT45" s="124"/>
      <c r="AU45" s="224">
        <f t="shared" si="17"/>
        <v>0</v>
      </c>
      <c r="AV45" s="1554">
        <v>10974.1</v>
      </c>
      <c r="AW45" s="1709"/>
      <c r="AX45" s="1546"/>
      <c r="AY45" s="1546"/>
      <c r="AZ45" s="1546"/>
      <c r="BA45" s="1546"/>
      <c r="BB45" s="141"/>
      <c r="BC45" s="152"/>
      <c r="BD45" s="152"/>
      <c r="BE45" s="152"/>
      <c r="BF45" s="152"/>
      <c r="BG45" s="222">
        <f t="shared" si="18"/>
        <v>0</v>
      </c>
      <c r="BH45" s="140">
        <f t="shared" si="19"/>
        <v>0</v>
      </c>
      <c r="BI45" s="132"/>
      <c r="BJ45" s="140">
        <f t="shared" si="20"/>
        <v>0</v>
      </c>
      <c r="BK45" s="141"/>
      <c r="BL45" s="141"/>
      <c r="BM45" s="141"/>
      <c r="BN45" s="141"/>
      <c r="BO45" s="141"/>
      <c r="BP45" s="141"/>
      <c r="BQ45" s="141"/>
      <c r="BR45" s="141"/>
      <c r="BS45" s="141"/>
      <c r="BT45" s="141"/>
      <c r="BU45" s="150"/>
      <c r="BV45" s="141">
        <v>422.4</v>
      </c>
      <c r="BW45" s="141"/>
      <c r="BX45" s="130">
        <f t="shared" si="21"/>
        <v>0</v>
      </c>
      <c r="BY45" s="132"/>
    </row>
    <row r="46" ht="15.75" customHeight="1">
      <c r="B46" s="215">
        <v>46060</v>
      </c>
      <c r="C46" s="1446">
        <f>9911.15-0-0</f>
      </c>
      <c r="D46" s="136"/>
      <c r="E46" s="135"/>
      <c r="F46" s="135"/>
      <c r="G46" s="147">
        <f t="shared" si="13"/>
        <v>0</v>
      </c>
      <c r="H46" s="122"/>
      <c r="I46" s="99"/>
      <c r="J46" s="99">
        <v>303.43</v>
      </c>
      <c r="K46" s="99"/>
      <c r="L46" s="99"/>
      <c r="M46" s="99"/>
      <c r="N46" s="121">
        <v>216</v>
      </c>
      <c r="O46" s="99"/>
      <c r="P46" s="99"/>
      <c r="Q46" s="99"/>
      <c r="R46" s="99"/>
      <c r="S46" s="99"/>
      <c r="T46" s="99"/>
      <c r="U46" s="99"/>
      <c r="V46" s="99"/>
      <c r="W46" s="99"/>
      <c r="X46" s="103">
        <f t="shared" si="14"/>
        <v>0</v>
      </c>
      <c r="Y46" s="611"/>
      <c r="Z46" s="611"/>
      <c r="AA46" s="143"/>
      <c r="AB46" s="143"/>
      <c r="AC46" s="143"/>
      <c r="AD46" s="143"/>
      <c r="AE46" s="143"/>
      <c r="AF46" s="143"/>
      <c r="AG46" s="143"/>
      <c r="AH46" s="143"/>
      <c r="AI46" s="145">
        <v>25</v>
      </c>
      <c r="AJ46" s="143"/>
      <c r="AK46" s="145">
        <v>20</v>
      </c>
      <c r="AL46" s="103">
        <f t="shared" si="15"/>
        <v>0</v>
      </c>
      <c r="AM46" s="134">
        <v>1275.18</v>
      </c>
      <c r="AN46" s="136"/>
      <c r="AO46" s="136"/>
      <c r="AP46" s="105">
        <f t="shared" si="16"/>
        <v>0</v>
      </c>
      <c r="AQ46" s="99"/>
      <c r="AR46" s="99"/>
      <c r="AS46" s="99"/>
      <c r="AT46" s="124"/>
      <c r="AU46" s="224">
        <f t="shared" si="17"/>
        <v>0</v>
      </c>
      <c r="AV46" s="1554">
        <v>8071.5</v>
      </c>
      <c r="AW46" s="1709"/>
      <c r="AX46" s="1546"/>
      <c r="AY46" s="1546"/>
      <c r="AZ46" s="1546"/>
      <c r="BA46" s="1546"/>
      <c r="BB46" s="141"/>
      <c r="BC46" s="152"/>
      <c r="BD46" s="152"/>
      <c r="BE46" s="152"/>
      <c r="BF46" s="152"/>
      <c r="BG46" s="222">
        <f t="shared" si="18"/>
        <v>0</v>
      </c>
      <c r="BH46" s="140">
        <f t="shared" si="19"/>
        <v>0</v>
      </c>
      <c r="BI46" s="132"/>
      <c r="BJ46" s="140">
        <f t="shared" si="20"/>
        <v>0</v>
      </c>
      <c r="BK46" s="141"/>
      <c r="BL46" s="141"/>
      <c r="BM46" s="141"/>
      <c r="BN46" s="141"/>
      <c r="BO46" s="141"/>
      <c r="BP46" s="141"/>
      <c r="BQ46" s="141"/>
      <c r="BR46" s="141"/>
      <c r="BS46" s="141"/>
      <c r="BT46" s="141"/>
      <c r="BU46" s="141"/>
      <c r="BV46" s="141"/>
      <c r="BW46" s="141"/>
      <c r="BX46" s="130">
        <f t="shared" si="21"/>
        <v>0</v>
      </c>
      <c r="BY46" s="132"/>
    </row>
    <row r="47" ht="15.75" customHeight="1">
      <c r="B47" s="215">
        <v>46061</v>
      </c>
      <c r="C47" s="1446">
        <f>5617.72-0-0</f>
      </c>
      <c r="D47" s="136"/>
      <c r="E47" s="135"/>
      <c r="F47" s="135"/>
      <c r="G47" s="147">
        <f t="shared" si="13"/>
        <v>0</v>
      </c>
      <c r="H47" s="122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103">
        <f t="shared" si="14"/>
        <v>0</v>
      </c>
      <c r="Y47" s="611"/>
      <c r="Z47" s="611"/>
      <c r="AA47" s="143"/>
      <c r="AB47" s="143"/>
      <c r="AC47" s="143"/>
      <c r="AD47" s="143"/>
      <c r="AE47" s="143"/>
      <c r="AF47" s="143"/>
      <c r="AG47" s="143"/>
      <c r="AH47" s="143"/>
      <c r="AI47" s="145"/>
      <c r="AJ47" s="143"/>
      <c r="AK47" s="143"/>
      <c r="AL47" s="103">
        <f t="shared" si="15"/>
        <v>0</v>
      </c>
      <c r="AM47" s="134">
        <v>647.49</v>
      </c>
      <c r="AN47" s="136"/>
      <c r="AO47" s="136"/>
      <c r="AP47" s="105">
        <f t="shared" si="16"/>
        <v>0</v>
      </c>
      <c r="AQ47" s="99"/>
      <c r="AR47" s="99"/>
      <c r="AS47" s="99"/>
      <c r="AT47" s="124"/>
      <c r="AU47" s="224">
        <f t="shared" si="17"/>
        <v>0</v>
      </c>
      <c r="AV47" s="1554">
        <v>4960.2</v>
      </c>
      <c r="AW47" s="1709"/>
      <c r="AX47" s="1546"/>
      <c r="AY47" s="1546"/>
      <c r="AZ47" s="1546"/>
      <c r="BA47" s="1546"/>
      <c r="BB47" s="141"/>
      <c r="BC47" s="152"/>
      <c r="BD47" s="152"/>
      <c r="BE47" s="152"/>
      <c r="BF47" s="152"/>
      <c r="BG47" s="222">
        <f t="shared" si="18"/>
        <v>0</v>
      </c>
      <c r="BH47" s="140">
        <f t="shared" si="19"/>
        <v>0</v>
      </c>
      <c r="BI47" s="132"/>
      <c r="BJ47" s="140">
        <f t="shared" si="20"/>
        <v>0</v>
      </c>
      <c r="BK47" s="141"/>
      <c r="BL47" s="141"/>
      <c r="BM47" s="141"/>
      <c r="BN47" s="141"/>
      <c r="BO47" s="141"/>
      <c r="BP47" s="141"/>
      <c r="BQ47" s="141"/>
      <c r="BR47" s="141"/>
      <c r="BS47" s="141"/>
      <c r="BT47" s="141"/>
      <c r="BU47" s="141"/>
      <c r="BV47" s="141"/>
      <c r="BW47" s="141"/>
      <c r="BX47" s="130">
        <f t="shared" si="21"/>
        <v>0</v>
      </c>
      <c r="BY47" s="132"/>
    </row>
    <row r="48" ht="15.75" customHeight="1">
      <c r="B48" s="215">
        <v>46062</v>
      </c>
      <c r="C48" s="1446">
        <f>13643.25-0-0</f>
      </c>
      <c r="D48" s="136"/>
      <c r="E48" s="135"/>
      <c r="F48" s="135"/>
      <c r="G48" s="147">
        <f t="shared" si="13"/>
        <v>0</v>
      </c>
      <c r="H48" s="122"/>
      <c r="I48" s="99"/>
      <c r="J48" s="99">
        <v>804.51</v>
      </c>
      <c r="K48" s="99"/>
      <c r="L48" s="99"/>
      <c r="M48" s="99"/>
      <c r="N48" s="121">
        <v>294</v>
      </c>
      <c r="O48" s="99"/>
      <c r="P48" s="99"/>
      <c r="Q48" s="99"/>
      <c r="R48" s="99"/>
      <c r="S48" s="99"/>
      <c r="T48" s="121">
        <v>147.73</v>
      </c>
      <c r="U48" s="99"/>
      <c r="V48" s="99"/>
      <c r="W48" s="99"/>
      <c r="X48" s="103">
        <f t="shared" si="14"/>
        <v>0</v>
      </c>
      <c r="Y48" s="611"/>
      <c r="Z48" s="611"/>
      <c r="AA48" s="143"/>
      <c r="AB48" s="143"/>
      <c r="AC48" s="143"/>
      <c r="AD48" s="143"/>
      <c r="AE48" s="143"/>
      <c r="AF48" s="143"/>
      <c r="AG48" s="143"/>
      <c r="AH48" s="143"/>
      <c r="AI48" s="145">
        <v>30</v>
      </c>
      <c r="AJ48" s="143"/>
      <c r="AK48" s="143"/>
      <c r="AL48" s="103">
        <f t="shared" si="15"/>
        <v>0</v>
      </c>
      <c r="AM48" s="134">
        <v>1575.34</v>
      </c>
      <c r="AN48" s="136"/>
      <c r="AO48" s="136"/>
      <c r="AP48" s="105">
        <f t="shared" si="16"/>
        <v>0</v>
      </c>
      <c r="AQ48" s="99"/>
      <c r="AR48" s="99"/>
      <c r="AS48" s="99"/>
      <c r="AT48" s="124"/>
      <c r="AU48" s="224">
        <f t="shared" si="17"/>
        <v>0</v>
      </c>
      <c r="AV48" s="1554">
        <v>10791.7</v>
      </c>
      <c r="AW48" s="1709"/>
      <c r="AX48" s="1546"/>
      <c r="AY48" s="1546"/>
      <c r="AZ48" s="1546"/>
      <c r="BA48" s="1546"/>
      <c r="BB48" s="141"/>
      <c r="BC48" s="152"/>
      <c r="BD48" s="152"/>
      <c r="BE48" s="152"/>
      <c r="BF48" s="152"/>
      <c r="BG48" s="222">
        <f t="shared" si="18"/>
        <v>0</v>
      </c>
      <c r="BH48" s="140">
        <f t="shared" si="19"/>
        <v>0</v>
      </c>
      <c r="BI48" s="132"/>
      <c r="BJ48" s="140">
        <f t="shared" si="20"/>
        <v>0</v>
      </c>
      <c r="BK48" s="141"/>
      <c r="BL48" s="141"/>
      <c r="BM48" s="141"/>
      <c r="BN48" s="141"/>
      <c r="BO48" s="141"/>
      <c r="BP48" s="141"/>
      <c r="BQ48" s="141"/>
      <c r="BR48" s="141"/>
      <c r="BS48" s="141"/>
      <c r="BT48" s="141"/>
      <c r="BU48" s="141"/>
      <c r="BV48" s="141"/>
      <c r="BW48" s="141"/>
      <c r="BX48" s="130">
        <f t="shared" si="21"/>
        <v>0</v>
      </c>
      <c r="BY48" s="132"/>
    </row>
    <row r="49" ht="15.75" customHeight="1">
      <c r="B49" s="215">
        <v>46063</v>
      </c>
      <c r="C49" s="1446">
        <f>11856.71-0-0</f>
      </c>
      <c r="D49" s="136"/>
      <c r="E49" s="135"/>
      <c r="F49" s="135"/>
      <c r="G49" s="147">
        <f t="shared" si="13"/>
        <v>0</v>
      </c>
      <c r="H49" s="122"/>
      <c r="I49" s="99"/>
      <c r="J49" s="121">
        <v>73.57</v>
      </c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103">
        <f t="shared" si="14"/>
        <v>0</v>
      </c>
      <c r="Y49" s="611"/>
      <c r="Z49" s="611"/>
      <c r="AA49" s="143"/>
      <c r="AB49" s="143"/>
      <c r="AC49" s="143"/>
      <c r="AD49" s="143"/>
      <c r="AE49" s="143"/>
      <c r="AF49" s="143"/>
      <c r="AG49" s="143"/>
      <c r="AH49" s="143"/>
      <c r="AI49" s="145">
        <v>20</v>
      </c>
      <c r="AJ49" s="143"/>
      <c r="AK49" s="143"/>
      <c r="AL49" s="103">
        <f t="shared" si="15"/>
        <v>0</v>
      </c>
      <c r="AM49" s="134">
        <v>1584.57</v>
      </c>
      <c r="AN49" s="136"/>
      <c r="AO49" s="136"/>
      <c r="AP49" s="105">
        <f t="shared" si="16"/>
        <v>0</v>
      </c>
      <c r="AQ49" s="99"/>
      <c r="AR49" s="99"/>
      <c r="AS49" s="99"/>
      <c r="AT49" s="124"/>
      <c r="AU49" s="224">
        <f t="shared" si="17"/>
        <v>0</v>
      </c>
      <c r="AV49" s="1554">
        <v>7708.6</v>
      </c>
      <c r="AW49" s="1709"/>
      <c r="AX49" s="1546"/>
      <c r="AY49" s="1546"/>
      <c r="AZ49" s="1546"/>
      <c r="BA49" s="1546"/>
      <c r="BB49" s="141"/>
      <c r="BC49" s="152"/>
      <c r="BD49" s="152"/>
      <c r="BE49" s="152"/>
      <c r="BF49" s="152"/>
      <c r="BG49" s="222">
        <f t="shared" si="18"/>
        <v>0</v>
      </c>
      <c r="BH49" s="140">
        <f t="shared" si="19"/>
        <v>0</v>
      </c>
      <c r="BI49" s="132"/>
      <c r="BJ49" s="140">
        <f t="shared" si="20"/>
        <v>0</v>
      </c>
      <c r="BK49" s="141"/>
      <c r="BL49" s="141"/>
      <c r="BM49" s="141"/>
      <c r="BN49" s="141"/>
      <c r="BO49" s="141"/>
      <c r="BP49" s="141"/>
      <c r="BQ49" s="141"/>
      <c r="BR49" s="141"/>
      <c r="BS49" s="141"/>
      <c r="BT49" s="141"/>
      <c r="BU49" s="150"/>
      <c r="BV49" s="141">
        <v>2470</v>
      </c>
      <c r="BW49" s="141"/>
      <c r="BX49" s="130">
        <f t="shared" si="21"/>
        <v>0</v>
      </c>
      <c r="BY49" s="132"/>
    </row>
    <row r="50" ht="15.75" customHeight="1">
      <c r="B50" s="215">
        <v>46064</v>
      </c>
      <c r="C50" s="1446">
        <f>13644.66-0-0</f>
      </c>
      <c r="D50" s="136"/>
      <c r="E50" s="135"/>
      <c r="F50" s="135"/>
      <c r="G50" s="147">
        <f t="shared" si="13"/>
        <v>0</v>
      </c>
      <c r="H50" s="122"/>
      <c r="I50" s="99"/>
      <c r="J50" s="99">
        <v>824.65</v>
      </c>
      <c r="K50" s="121">
        <v>202.5</v>
      </c>
      <c r="L50" s="99"/>
      <c r="M50" s="99"/>
      <c r="N50" s="99">
        <v>363</v>
      </c>
      <c r="O50" s="99"/>
      <c r="P50" s="99"/>
      <c r="Q50" s="99"/>
      <c r="R50" s="99"/>
      <c r="S50" s="99"/>
      <c r="T50" s="99"/>
      <c r="U50" s="99"/>
      <c r="V50" s="99"/>
      <c r="W50" s="99"/>
      <c r="X50" s="103">
        <f t="shared" si="14"/>
        <v>0</v>
      </c>
      <c r="Y50" s="611"/>
      <c r="Z50" s="611"/>
      <c r="AA50" s="143"/>
      <c r="AB50" s="143"/>
      <c r="AC50" s="143"/>
      <c r="AD50" s="143"/>
      <c r="AE50" s="143"/>
      <c r="AF50" s="143"/>
      <c r="AG50" s="143"/>
      <c r="AH50" s="143"/>
      <c r="AI50" s="145">
        <v>25</v>
      </c>
      <c r="AJ50" s="143"/>
      <c r="AK50" s="145">
        <v>20</v>
      </c>
      <c r="AL50" s="103">
        <f t="shared" si="15"/>
        <v>0</v>
      </c>
      <c r="AM50" s="134">
        <v>1926.39</v>
      </c>
      <c r="AN50" s="136"/>
      <c r="AO50" s="136"/>
      <c r="AP50" s="105">
        <f t="shared" si="16"/>
        <v>0</v>
      </c>
      <c r="AQ50" s="99"/>
      <c r="AR50" s="99"/>
      <c r="AS50" s="99"/>
      <c r="AT50" s="124"/>
      <c r="AU50" s="224">
        <f t="shared" si="17"/>
        <v>0</v>
      </c>
      <c r="AV50" s="1554">
        <v>10283.1</v>
      </c>
      <c r="AW50" s="1709"/>
      <c r="AX50" s="1546"/>
      <c r="AY50" s="1546"/>
      <c r="AZ50" s="1546"/>
      <c r="BA50" s="1546"/>
      <c r="BB50" s="141"/>
      <c r="BC50" s="152"/>
      <c r="BD50" s="152"/>
      <c r="BE50" s="152"/>
      <c r="BF50" s="152"/>
      <c r="BG50" s="222">
        <f t="shared" si="18"/>
        <v>0</v>
      </c>
      <c r="BH50" s="140">
        <f t="shared" si="19"/>
        <v>0</v>
      </c>
      <c r="BI50" s="132"/>
      <c r="BJ50" s="140">
        <f t="shared" si="20"/>
        <v>0</v>
      </c>
      <c r="BK50" s="141"/>
      <c r="BL50" s="141"/>
      <c r="BM50" s="141"/>
      <c r="BN50" s="141"/>
      <c r="BO50" s="141"/>
      <c r="BP50" s="141"/>
      <c r="BQ50" s="141"/>
      <c r="BR50" s="141"/>
      <c r="BS50" s="141"/>
      <c r="BT50" s="141"/>
      <c r="BU50" s="141"/>
      <c r="BV50" s="141"/>
      <c r="BW50" s="141"/>
      <c r="BX50" s="130">
        <f t="shared" si="21"/>
        <v>0</v>
      </c>
      <c r="BY50" s="132"/>
    </row>
    <row r="51" ht="15.75" customHeight="1">
      <c r="B51" s="215">
        <v>46065</v>
      </c>
      <c r="C51" s="1446">
        <f>13155.74-0-0</f>
      </c>
      <c r="D51" s="136"/>
      <c r="E51" s="135"/>
      <c r="F51" s="135"/>
      <c r="G51" s="147">
        <f t="shared" si="13"/>
        <v>0</v>
      </c>
      <c r="H51" s="122"/>
      <c r="I51" s="99"/>
      <c r="J51" s="99">
        <v>545.62</v>
      </c>
      <c r="K51" s="121">
        <v>135</v>
      </c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103">
        <f t="shared" si="14"/>
        <v>0</v>
      </c>
      <c r="Y51" s="611"/>
      <c r="Z51" s="611"/>
      <c r="AA51" s="143"/>
      <c r="AB51" s="143"/>
      <c r="AC51" s="143"/>
      <c r="AD51" s="143"/>
      <c r="AE51" s="143"/>
      <c r="AF51" s="143"/>
      <c r="AG51" s="143"/>
      <c r="AH51" s="143"/>
      <c r="AI51" s="145">
        <v>40</v>
      </c>
      <c r="AJ51" s="143"/>
      <c r="AK51" s="145">
        <v>20</v>
      </c>
      <c r="AL51" s="103">
        <f t="shared" si="15"/>
        <v>0</v>
      </c>
      <c r="AM51" s="134">
        <v>1484.12</v>
      </c>
      <c r="AN51" s="136"/>
      <c r="AO51" s="136"/>
      <c r="AP51" s="105">
        <f t="shared" si="16"/>
        <v>0</v>
      </c>
      <c r="AQ51" s="99"/>
      <c r="AR51" s="99"/>
      <c r="AS51" s="99"/>
      <c r="AT51" s="124"/>
      <c r="AU51" s="224">
        <f t="shared" si="17"/>
        <v>0</v>
      </c>
      <c r="AV51" s="1554">
        <v>10810</v>
      </c>
      <c r="AW51" s="1709"/>
      <c r="AX51" s="1546"/>
      <c r="AY51" s="1546"/>
      <c r="AZ51" s="1546"/>
      <c r="BA51" s="1546"/>
      <c r="BB51" s="141"/>
      <c r="BC51" s="152"/>
      <c r="BD51" s="152"/>
      <c r="BE51" s="152"/>
      <c r="BF51" s="152"/>
      <c r="BG51" s="222">
        <f t="shared" si="18"/>
        <v>0</v>
      </c>
      <c r="BH51" s="140">
        <f t="shared" si="19"/>
        <v>0</v>
      </c>
      <c r="BI51" s="132"/>
      <c r="BJ51" s="140">
        <f t="shared" si="20"/>
        <v>0</v>
      </c>
      <c r="BK51" s="141"/>
      <c r="BL51" s="141"/>
      <c r="BM51" s="141"/>
      <c r="BN51" s="141"/>
      <c r="BO51" s="141"/>
      <c r="BP51" s="141"/>
      <c r="BQ51" s="141"/>
      <c r="BR51" s="141"/>
      <c r="BS51" s="141"/>
      <c r="BT51" s="141"/>
      <c r="BU51" s="150"/>
      <c r="BV51" s="141">
        <v>121</v>
      </c>
      <c r="BW51" s="141"/>
      <c r="BX51" s="130">
        <f t="shared" si="21"/>
        <v>0</v>
      </c>
      <c r="BY51" s="132"/>
    </row>
    <row r="52" ht="15.75" customHeight="1">
      <c r="B52" s="215">
        <v>46066</v>
      </c>
      <c r="C52" s="1446">
        <f>11749.27-0-0</f>
      </c>
      <c r="D52" s="136"/>
      <c r="E52" s="135"/>
      <c r="F52" s="135"/>
      <c r="G52" s="147">
        <f t="shared" si="13"/>
        <v>0</v>
      </c>
      <c r="H52" s="122"/>
      <c r="I52" s="99"/>
      <c r="J52" s="121">
        <v>314.92</v>
      </c>
      <c r="K52" s="99"/>
      <c r="L52" s="99"/>
      <c r="M52" s="99"/>
      <c r="N52" s="121">
        <v>456</v>
      </c>
      <c r="O52" s="99"/>
      <c r="P52" s="99"/>
      <c r="Q52" s="99"/>
      <c r="R52" s="99"/>
      <c r="S52" s="99"/>
      <c r="T52" s="99"/>
      <c r="U52" s="99"/>
      <c r="X52" s="103">
        <f t="shared" si="14"/>
        <v>0</v>
      </c>
      <c r="Y52" s="611"/>
      <c r="Z52" s="611"/>
      <c r="AA52" s="143"/>
      <c r="AB52" s="143"/>
      <c r="AC52" s="143"/>
      <c r="AD52" s="143"/>
      <c r="AE52" s="143"/>
      <c r="AF52" s="143"/>
      <c r="AG52" s="143"/>
      <c r="AH52" s="143"/>
      <c r="AI52" s="145">
        <v>10</v>
      </c>
      <c r="AJ52" s="143"/>
      <c r="AK52" s="143"/>
      <c r="AL52" s="103">
        <f t="shared" si="15"/>
        <v>0</v>
      </c>
      <c r="AM52" s="134">
        <v>1631.59</v>
      </c>
      <c r="AN52" s="136"/>
      <c r="AO52" s="136"/>
      <c r="AP52" s="105">
        <f t="shared" si="16"/>
        <v>0</v>
      </c>
      <c r="AQ52" s="99"/>
      <c r="AR52" s="99"/>
      <c r="AS52" s="99"/>
      <c r="AT52" s="124"/>
      <c r="AU52" s="224">
        <f t="shared" si="17"/>
        <v>0</v>
      </c>
      <c r="AV52" s="1554">
        <v>9336.8</v>
      </c>
      <c r="AW52" s="1709"/>
      <c r="AX52" s="1546"/>
      <c r="AY52" s="1546"/>
      <c r="AZ52" s="1546"/>
      <c r="BA52" s="1546"/>
      <c r="BB52" s="141"/>
      <c r="BC52" s="152"/>
      <c r="BD52" s="152"/>
      <c r="BE52" s="152"/>
      <c r="BF52" s="152"/>
      <c r="BG52" s="222">
        <f t="shared" si="18"/>
        <v>0</v>
      </c>
      <c r="BH52" s="140">
        <f t="shared" si="19"/>
        <v>0</v>
      </c>
      <c r="BI52" s="132"/>
      <c r="BJ52" s="140">
        <f t="shared" si="20"/>
        <v>0</v>
      </c>
      <c r="BK52" s="141"/>
      <c r="BL52" s="141"/>
      <c r="BM52" s="141"/>
      <c r="BN52" s="141"/>
      <c r="BO52" s="141"/>
      <c r="BP52" s="141"/>
      <c r="BQ52" s="141"/>
      <c r="BR52" s="141"/>
      <c r="BS52" s="141"/>
      <c r="BT52" s="141"/>
      <c r="BU52" s="141"/>
      <c r="BV52" s="141"/>
      <c r="BW52" s="141"/>
      <c r="BX52" s="130">
        <f t="shared" si="21"/>
        <v>0</v>
      </c>
      <c r="BY52" s="132"/>
    </row>
    <row r="53" ht="15.75" customHeight="1">
      <c r="B53" s="215">
        <v>46067</v>
      </c>
      <c r="C53" s="1446">
        <f>13896.66-0-0</f>
      </c>
      <c r="D53" s="136"/>
      <c r="E53" s="135"/>
      <c r="F53" s="135"/>
      <c r="G53" s="147">
        <f t="shared" si="13"/>
        <v>0</v>
      </c>
      <c r="H53" s="122"/>
      <c r="I53" s="99"/>
      <c r="J53" s="99">
        <v>886.34</v>
      </c>
      <c r="K53" s="99"/>
      <c r="L53" s="99"/>
      <c r="M53" s="99"/>
      <c r="N53" s="121">
        <v>135</v>
      </c>
      <c r="O53" s="99"/>
      <c r="P53" s="99"/>
      <c r="Q53" s="99"/>
      <c r="R53" s="99"/>
      <c r="S53" s="99"/>
      <c r="T53" s="99"/>
      <c r="U53" s="99"/>
      <c r="V53" s="99"/>
      <c r="W53" s="99"/>
      <c r="X53" s="103">
        <f t="shared" si="14"/>
        <v>0</v>
      </c>
      <c r="Y53" s="611"/>
      <c r="Z53" s="611"/>
      <c r="AA53" s="143"/>
      <c r="AB53" s="143"/>
      <c r="AC53" s="143"/>
      <c r="AD53" s="143"/>
      <c r="AE53" s="143"/>
      <c r="AF53" s="143"/>
      <c r="AG53" s="143"/>
      <c r="AH53" s="143"/>
      <c r="AI53" s="145">
        <v>10</v>
      </c>
      <c r="AJ53" s="143"/>
      <c r="AK53" s="143"/>
      <c r="AL53" s="103">
        <f t="shared" si="15"/>
        <v>0</v>
      </c>
      <c r="AM53" s="134">
        <v>1721.57</v>
      </c>
      <c r="AN53" s="136"/>
      <c r="AO53" s="136"/>
      <c r="AP53" s="105">
        <f t="shared" si="16"/>
        <v>0</v>
      </c>
      <c r="AQ53" s="99"/>
      <c r="AR53" s="99"/>
      <c r="AS53" s="99"/>
      <c r="AT53" s="124"/>
      <c r="AU53" s="224">
        <f t="shared" si="17"/>
        <v>0</v>
      </c>
      <c r="AV53" s="1554">
        <v>11143.8</v>
      </c>
      <c r="AW53" s="1709"/>
      <c r="AX53" s="1546"/>
      <c r="AY53" s="1546"/>
      <c r="AZ53" s="1546"/>
      <c r="BA53" s="1546"/>
      <c r="BB53" s="141"/>
      <c r="BC53" s="152"/>
      <c r="BD53" s="152"/>
      <c r="BE53" s="152"/>
      <c r="BF53" s="152"/>
      <c r="BG53" s="222">
        <f t="shared" si="18"/>
        <v>0</v>
      </c>
      <c r="BH53" s="140">
        <f t="shared" si="19"/>
        <v>0</v>
      </c>
      <c r="BI53" s="132"/>
      <c r="BJ53" s="140">
        <f t="shared" si="20"/>
        <v>0</v>
      </c>
      <c r="BK53" s="141"/>
      <c r="BL53" s="141"/>
      <c r="BM53" s="141"/>
      <c r="BN53" s="141"/>
      <c r="BO53" s="141"/>
      <c r="BP53" s="141"/>
      <c r="BQ53" s="141"/>
      <c r="BR53" s="141"/>
      <c r="BS53" s="141"/>
      <c r="BT53" s="141"/>
      <c r="BU53" s="141"/>
      <c r="BV53" s="141"/>
      <c r="BW53" s="141"/>
      <c r="BX53" s="130">
        <f t="shared" si="21"/>
        <v>0</v>
      </c>
      <c r="BY53" s="132"/>
    </row>
    <row r="54" ht="15.75" customHeight="1">
      <c r="B54" s="215">
        <v>46068</v>
      </c>
      <c r="C54" s="1446">
        <f>6040.19-0-0</f>
      </c>
      <c r="D54" s="136"/>
      <c r="E54" s="135"/>
      <c r="F54" s="135"/>
      <c r="G54" s="147">
        <f t="shared" si="13"/>
        <v>0</v>
      </c>
      <c r="H54" s="122"/>
      <c r="I54" s="99"/>
      <c r="J54" s="121">
        <v>333.47</v>
      </c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103">
        <f t="shared" si="14"/>
        <v>0</v>
      </c>
      <c r="Y54" s="611"/>
      <c r="Z54" s="611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03">
        <f t="shared" si="15"/>
        <v>0</v>
      </c>
      <c r="AM54" s="134">
        <v>236</v>
      </c>
      <c r="AN54" s="136"/>
      <c r="AO54" s="136"/>
      <c r="AP54" s="105">
        <f t="shared" si="16"/>
        <v>0</v>
      </c>
      <c r="AQ54" s="99"/>
      <c r="AR54" s="99"/>
      <c r="AS54" s="99"/>
      <c r="AT54" s="124"/>
      <c r="AU54" s="224">
        <f t="shared" si="17"/>
        <v>0</v>
      </c>
      <c r="AV54" s="1554">
        <v>5470.7</v>
      </c>
      <c r="AW54" s="1709"/>
      <c r="AX54" s="1546"/>
      <c r="AY54" s="1546"/>
      <c r="AZ54" s="1546"/>
      <c r="BA54" s="1546"/>
      <c r="BB54" s="141"/>
      <c r="BC54" s="152"/>
      <c r="BD54" s="152"/>
      <c r="BE54" s="152"/>
      <c r="BF54" s="152"/>
      <c r="BG54" s="222">
        <f t="shared" si="18"/>
        <v>0</v>
      </c>
      <c r="BH54" s="140">
        <f t="shared" si="19"/>
        <v>0</v>
      </c>
      <c r="BI54" s="132"/>
      <c r="BJ54" s="140">
        <f t="shared" si="20"/>
        <v>0</v>
      </c>
      <c r="BK54" s="141"/>
      <c r="BL54" s="141"/>
      <c r="BM54" s="141"/>
      <c r="BN54" s="141"/>
      <c r="BO54" s="141"/>
      <c r="BP54" s="141"/>
      <c r="BQ54" s="141"/>
      <c r="BR54" s="141"/>
      <c r="BS54" s="141"/>
      <c r="BT54" s="141"/>
      <c r="BU54" s="141"/>
      <c r="BV54" s="141"/>
      <c r="BW54" s="141"/>
      <c r="BX54" s="130">
        <f t="shared" si="21"/>
        <v>0</v>
      </c>
      <c r="BY54" s="132"/>
    </row>
    <row r="55" ht="15.75" customHeight="1">
      <c r="B55" s="215">
        <v>46069</v>
      </c>
      <c r="C55" s="1446">
        <f>11551.45-0-0</f>
      </c>
      <c r="D55" s="136"/>
      <c r="E55" s="135"/>
      <c r="F55" s="135"/>
      <c r="G55" s="147">
        <f t="shared" si="13"/>
        <v>0</v>
      </c>
      <c r="H55" s="122"/>
      <c r="I55" s="99"/>
      <c r="J55" s="99"/>
      <c r="K55" s="99"/>
      <c r="L55" s="99"/>
      <c r="M55" s="99"/>
      <c r="N55" s="121">
        <v>147</v>
      </c>
      <c r="O55" s="99"/>
      <c r="P55" s="99">
        <v>185</v>
      </c>
      <c r="Q55" s="99"/>
      <c r="R55" s="99"/>
      <c r="S55" s="99"/>
      <c r="T55" s="121">
        <v>98.09</v>
      </c>
      <c r="U55" s="99"/>
      <c r="V55" s="99"/>
      <c r="W55" s="99"/>
      <c r="X55" s="103">
        <f t="shared" si="14"/>
        <v>0</v>
      </c>
      <c r="Y55" s="611"/>
      <c r="Z55" s="611"/>
      <c r="AA55" s="145"/>
      <c r="AB55" s="143"/>
      <c r="AC55" s="143"/>
      <c r="AD55" s="143"/>
      <c r="AE55" s="143"/>
      <c r="AF55" s="143"/>
      <c r="AG55" s="143"/>
      <c r="AH55" s="143"/>
      <c r="AI55" s="145">
        <v>30</v>
      </c>
      <c r="AJ55" s="143"/>
      <c r="AK55" s="145">
        <v>40</v>
      </c>
      <c r="AL55" s="103">
        <f t="shared" si="15"/>
        <v>0</v>
      </c>
      <c r="AM55" s="134">
        <v>1205.67</v>
      </c>
      <c r="AN55" s="136"/>
      <c r="AO55" s="136"/>
      <c r="AP55" s="105">
        <f t="shared" si="16"/>
        <v>0</v>
      </c>
      <c r="AQ55" s="99"/>
      <c r="AR55" s="99"/>
      <c r="AS55" s="99"/>
      <c r="AT55" s="124"/>
      <c r="AU55" s="224">
        <f t="shared" si="17"/>
        <v>0</v>
      </c>
      <c r="AV55" s="1554">
        <v>9845.7</v>
      </c>
      <c r="AW55" s="1709"/>
      <c r="AX55" s="1546"/>
      <c r="AY55" s="1546"/>
      <c r="AZ55" s="1546"/>
      <c r="BA55" s="1546"/>
      <c r="BB55" s="141"/>
      <c r="BC55" s="152"/>
      <c r="BD55" s="152"/>
      <c r="BE55" s="152"/>
      <c r="BF55" s="152"/>
      <c r="BG55" s="222">
        <f t="shared" si="18"/>
        <v>0</v>
      </c>
      <c r="BH55" s="140">
        <f t="shared" si="19"/>
        <v>0</v>
      </c>
      <c r="BI55" s="132"/>
      <c r="BJ55" s="140">
        <f t="shared" si="20"/>
        <v>0</v>
      </c>
      <c r="BK55" s="141"/>
      <c r="BL55" s="141"/>
      <c r="BM55" s="141"/>
      <c r="BN55" s="141"/>
      <c r="BO55" s="141"/>
      <c r="BP55" s="141"/>
      <c r="BQ55" s="141"/>
      <c r="BR55" s="141"/>
      <c r="BS55" s="141"/>
      <c r="BT55" s="141"/>
      <c r="BU55" s="141"/>
      <c r="BV55" s="141"/>
      <c r="BW55" s="141"/>
      <c r="BX55" s="130">
        <f t="shared" si="21"/>
        <v>0</v>
      </c>
      <c r="BY55" s="132"/>
    </row>
    <row r="56" ht="15.75" customHeight="1">
      <c r="B56" s="215">
        <v>46070</v>
      </c>
      <c r="C56" s="1446">
        <f>13934.24-0-0</f>
      </c>
      <c r="D56" s="136"/>
      <c r="E56" s="135"/>
      <c r="F56" s="135"/>
      <c r="G56" s="147">
        <f t="shared" si="13"/>
        <v>0</v>
      </c>
      <c r="H56" s="122"/>
      <c r="I56" s="99"/>
      <c r="J56" s="99">
        <v>1467.39</v>
      </c>
      <c r="K56" s="99"/>
      <c r="L56" s="99"/>
      <c r="M56" s="99"/>
      <c r="N56" s="121">
        <v>216</v>
      </c>
      <c r="O56" s="99"/>
      <c r="P56" s="99"/>
      <c r="Q56" s="99"/>
      <c r="R56" s="99"/>
      <c r="S56" s="99"/>
      <c r="T56" s="99"/>
      <c r="U56" s="99"/>
      <c r="V56" s="99"/>
      <c r="W56" s="99"/>
      <c r="X56" s="103">
        <f t="shared" si="14"/>
        <v>0</v>
      </c>
      <c r="Y56" s="611"/>
      <c r="Z56" s="611"/>
      <c r="AA56" s="143"/>
      <c r="AB56" s="143"/>
      <c r="AC56" s="143"/>
      <c r="AD56" s="143"/>
      <c r="AE56" s="143"/>
      <c r="AF56" s="143"/>
      <c r="AG56" s="143"/>
      <c r="AH56" s="143"/>
      <c r="AI56" s="145">
        <v>10</v>
      </c>
      <c r="AJ56" s="143"/>
      <c r="AK56" s="145">
        <v>40</v>
      </c>
      <c r="AL56" s="103">
        <f t="shared" si="15"/>
        <v>0</v>
      </c>
      <c r="AM56" s="134">
        <v>1584.61</v>
      </c>
      <c r="AN56" s="136"/>
      <c r="AO56" s="136"/>
      <c r="AP56" s="105">
        <f t="shared" si="16"/>
        <v>0</v>
      </c>
      <c r="AQ56" s="99"/>
      <c r="AR56" s="99"/>
      <c r="AS56" s="99"/>
      <c r="AT56" s="124"/>
      <c r="AU56" s="224">
        <f t="shared" si="17"/>
        <v>0</v>
      </c>
      <c r="AV56" s="1554">
        <v>10616.2</v>
      </c>
      <c r="AW56" s="1709"/>
      <c r="AX56" s="1546"/>
      <c r="AY56" s="1546"/>
      <c r="AZ56" s="1546"/>
      <c r="BA56" s="1546"/>
      <c r="BB56" s="141"/>
      <c r="BC56" s="152"/>
      <c r="BD56" s="152"/>
      <c r="BE56" s="152"/>
      <c r="BF56" s="152"/>
      <c r="BG56" s="222">
        <f t="shared" si="18"/>
        <v>0</v>
      </c>
      <c r="BH56" s="140">
        <f t="shared" si="19"/>
        <v>0</v>
      </c>
      <c r="BI56" s="132"/>
      <c r="BJ56" s="140">
        <f t="shared" si="20"/>
        <v>0</v>
      </c>
      <c r="BK56" s="141"/>
      <c r="BL56" s="141"/>
      <c r="BM56" s="141"/>
      <c r="BN56" s="141"/>
      <c r="BO56" s="141"/>
      <c r="BP56" s="141"/>
      <c r="BQ56" s="141"/>
      <c r="BR56" s="141"/>
      <c r="BS56" s="141"/>
      <c r="BT56" s="141"/>
      <c r="BU56" s="141"/>
      <c r="BV56" s="141"/>
      <c r="BW56" s="141"/>
      <c r="BX56" s="130">
        <f t="shared" si="21"/>
        <v>0</v>
      </c>
      <c r="BY56" s="132"/>
    </row>
    <row r="57" ht="15.75" customHeight="1">
      <c r="B57" s="215">
        <v>46071</v>
      </c>
      <c r="C57" s="1446">
        <f>15047.01-0-0</f>
      </c>
      <c r="D57" s="136"/>
      <c r="E57" s="135"/>
      <c r="F57" s="135"/>
      <c r="G57" s="147">
        <f t="shared" si="13"/>
        <v>0</v>
      </c>
      <c r="H57" s="122"/>
      <c r="I57" s="99"/>
      <c r="J57" s="99">
        <v>1141.82</v>
      </c>
      <c r="K57" s="1447">
        <v>283.5</v>
      </c>
      <c r="L57" s="99"/>
      <c r="M57" s="99"/>
      <c r="N57" s="99">
        <v>282</v>
      </c>
      <c r="O57" s="99"/>
      <c r="P57" s="99"/>
      <c r="Q57" s="99"/>
      <c r="R57" s="99"/>
      <c r="S57" s="99"/>
      <c r="T57" s="99"/>
      <c r="U57" s="99"/>
      <c r="V57" s="99"/>
      <c r="W57" s="99"/>
      <c r="X57" s="103">
        <f t="shared" si="14"/>
        <v>0</v>
      </c>
      <c r="Y57" s="611"/>
      <c r="Z57" s="611"/>
      <c r="AA57" s="143"/>
      <c r="AB57" s="143"/>
      <c r="AC57" s="143"/>
      <c r="AD57" s="143"/>
      <c r="AE57" s="143"/>
      <c r="AF57" s="143"/>
      <c r="AG57" s="143"/>
      <c r="AH57" s="143"/>
      <c r="AI57" s="145">
        <v>10</v>
      </c>
      <c r="AJ57" s="143"/>
      <c r="AK57" s="143"/>
      <c r="AL57" s="103">
        <f t="shared" si="15"/>
        <v>0</v>
      </c>
      <c r="AM57" s="134">
        <v>2656.63</v>
      </c>
      <c r="AN57" s="136"/>
      <c r="AO57" s="136"/>
      <c r="AP57" s="105">
        <f t="shared" si="16"/>
        <v>0</v>
      </c>
      <c r="AQ57" s="99"/>
      <c r="AR57" s="99"/>
      <c r="AS57" s="99"/>
      <c r="AT57" s="124"/>
      <c r="AU57" s="224">
        <f t="shared" si="17"/>
        <v>0</v>
      </c>
      <c r="AV57" s="1554">
        <v>10673.1</v>
      </c>
      <c r="AW57" s="1709"/>
      <c r="AX57" s="1546"/>
      <c r="AY57" s="1546"/>
      <c r="AZ57" s="1546"/>
      <c r="BA57" s="1546"/>
      <c r="BB57" s="141"/>
      <c r="BC57" s="152"/>
      <c r="BD57" s="152"/>
      <c r="BE57" s="152"/>
      <c r="BF57" s="152"/>
      <c r="BG57" s="222">
        <f t="shared" si="18"/>
        <v>0</v>
      </c>
      <c r="BH57" s="140">
        <f t="shared" si="19"/>
        <v>0</v>
      </c>
      <c r="BI57" s="132"/>
      <c r="BJ57" s="140">
        <f t="shared" si="20"/>
        <v>0</v>
      </c>
      <c r="BK57" s="141"/>
      <c r="BL57" s="141"/>
      <c r="BM57" s="141"/>
      <c r="BN57" s="141"/>
      <c r="BO57" s="141"/>
      <c r="BP57" s="141"/>
      <c r="BQ57" s="141"/>
      <c r="BR57" s="141"/>
      <c r="BS57" s="141"/>
      <c r="BT57" s="141"/>
      <c r="BU57" s="141"/>
      <c r="BV57" s="141"/>
      <c r="BW57" s="141"/>
      <c r="BX57" s="130">
        <f t="shared" si="21"/>
        <v>0</v>
      </c>
      <c r="BY57" s="132"/>
    </row>
    <row r="58" ht="15.75" customHeight="1">
      <c r="B58" s="215">
        <v>46072</v>
      </c>
      <c r="C58" s="1446">
        <f>14099.90-0-0</f>
      </c>
      <c r="D58" s="136"/>
      <c r="E58" s="135"/>
      <c r="F58" s="135"/>
      <c r="G58" s="147">
        <f t="shared" si="13"/>
        <v>0</v>
      </c>
      <c r="H58" s="122"/>
      <c r="I58" s="99"/>
      <c r="J58" s="121">
        <v>176.76</v>
      </c>
      <c r="K58" s="121"/>
      <c r="L58" s="99"/>
      <c r="M58" s="99"/>
      <c r="N58" s="121">
        <v>147</v>
      </c>
      <c r="O58" s="99"/>
      <c r="P58" s="99"/>
      <c r="Q58" s="99"/>
      <c r="R58" s="99"/>
      <c r="S58" s="99"/>
      <c r="T58" s="99"/>
      <c r="U58" s="99"/>
      <c r="V58" s="99"/>
      <c r="W58" s="99"/>
      <c r="X58" s="103">
        <f t="shared" si="14"/>
        <v>0</v>
      </c>
      <c r="Y58" s="611"/>
      <c r="Z58" s="611"/>
      <c r="AA58" s="143"/>
      <c r="AB58" s="143"/>
      <c r="AC58" s="143"/>
      <c r="AD58" s="143"/>
      <c r="AE58" s="143"/>
      <c r="AF58" s="143"/>
      <c r="AG58" s="143"/>
      <c r="AH58" s="143"/>
      <c r="AI58" s="145">
        <v>20</v>
      </c>
      <c r="AJ58" s="143"/>
      <c r="AK58" s="145">
        <v>20</v>
      </c>
      <c r="AL58" s="103">
        <f t="shared" si="15"/>
        <v>0</v>
      </c>
      <c r="AM58" s="134">
        <v>2549.89</v>
      </c>
      <c r="AN58" s="136"/>
      <c r="AO58" s="136"/>
      <c r="AP58" s="105">
        <f t="shared" si="16"/>
        <v>0</v>
      </c>
      <c r="AQ58" s="99"/>
      <c r="AR58" s="99"/>
      <c r="AS58" s="99"/>
      <c r="AT58" s="124"/>
      <c r="AU58" s="224">
        <f t="shared" si="17"/>
        <v>0</v>
      </c>
      <c r="AV58" s="1554">
        <v>11186.3</v>
      </c>
      <c r="AW58" s="1709"/>
      <c r="AX58" s="1546"/>
      <c r="AY58" s="1546"/>
      <c r="AZ58" s="1546"/>
      <c r="BA58" s="1546"/>
      <c r="BB58" s="141"/>
      <c r="BC58" s="152"/>
      <c r="BD58" s="152"/>
      <c r="BE58" s="152"/>
      <c r="BF58" s="152"/>
      <c r="BG58" s="222">
        <f t="shared" si="18"/>
        <v>0</v>
      </c>
      <c r="BH58" s="140">
        <f t="shared" si="19"/>
        <v>0</v>
      </c>
      <c r="BI58" s="132"/>
      <c r="BJ58" s="140">
        <f t="shared" si="20"/>
        <v>0</v>
      </c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30">
        <f t="shared" si="21"/>
        <v>0</v>
      </c>
      <c r="BY58" s="132"/>
    </row>
    <row r="59" ht="15.75" customHeight="1">
      <c r="B59" s="215">
        <v>46073</v>
      </c>
      <c r="C59" s="1446">
        <f>14944.09-0-0</f>
      </c>
      <c r="D59" s="136"/>
      <c r="E59" s="135"/>
      <c r="F59" s="135"/>
      <c r="G59" s="147">
        <f t="shared" si="13"/>
        <v>0</v>
      </c>
      <c r="H59" s="122"/>
      <c r="I59" s="99"/>
      <c r="J59" s="99">
        <v>863.1</v>
      </c>
      <c r="K59" s="99"/>
      <c r="L59" s="99"/>
      <c r="M59" s="99"/>
      <c r="N59" s="121">
        <v>153</v>
      </c>
      <c r="O59" s="99"/>
      <c r="P59" s="99">
        <v>88</v>
      </c>
      <c r="Q59" s="99"/>
      <c r="R59" s="99"/>
      <c r="S59" s="99"/>
      <c r="T59" s="99"/>
      <c r="U59" s="99"/>
      <c r="V59" s="99"/>
      <c r="W59" s="99"/>
      <c r="X59" s="103">
        <f t="shared" si="14"/>
        <v>0</v>
      </c>
      <c r="Y59" s="611"/>
      <c r="Z59" s="611"/>
      <c r="AA59" s="145"/>
      <c r="AB59" s="143"/>
      <c r="AC59" s="143"/>
      <c r="AD59" s="143"/>
      <c r="AE59" s="143"/>
      <c r="AF59" s="143"/>
      <c r="AG59" s="143"/>
      <c r="AH59" s="143"/>
      <c r="AI59" s="145">
        <v>10</v>
      </c>
      <c r="AJ59" s="143"/>
      <c r="AK59" s="145">
        <v>40</v>
      </c>
      <c r="AL59" s="103">
        <f t="shared" si="15"/>
        <v>0</v>
      </c>
      <c r="AM59" s="134">
        <v>3908.41</v>
      </c>
      <c r="AN59" s="136"/>
      <c r="AO59" s="136"/>
      <c r="AP59" s="105">
        <f t="shared" si="16"/>
        <v>0</v>
      </c>
      <c r="AQ59" s="99"/>
      <c r="AR59" s="99"/>
      <c r="AS59" s="99"/>
      <c r="AT59" s="124"/>
      <c r="AU59" s="224">
        <f t="shared" si="17"/>
        <v>0</v>
      </c>
      <c r="AV59" s="1554">
        <v>9881.6</v>
      </c>
      <c r="AW59" s="1709"/>
      <c r="AX59" s="1546"/>
      <c r="AY59" s="1546"/>
      <c r="AZ59" s="1546"/>
      <c r="BA59" s="1546"/>
      <c r="BB59" s="141"/>
      <c r="BC59" s="152"/>
      <c r="BD59" s="152"/>
      <c r="BE59" s="152"/>
      <c r="BF59" s="152"/>
      <c r="BG59" s="222">
        <f t="shared" si="18"/>
        <v>0</v>
      </c>
      <c r="BH59" s="140">
        <f t="shared" si="19"/>
        <v>0</v>
      </c>
      <c r="BI59" s="132"/>
      <c r="BJ59" s="140">
        <f t="shared" si="20"/>
        <v>0</v>
      </c>
      <c r="BK59" s="141"/>
      <c r="BL59" s="141"/>
      <c r="BM59" s="141"/>
      <c r="BN59" s="141"/>
      <c r="BO59" s="141"/>
      <c r="BP59" s="141"/>
      <c r="BQ59" s="141"/>
      <c r="BR59" s="141"/>
      <c r="BS59" s="141"/>
      <c r="BT59" s="141"/>
      <c r="BU59" s="141"/>
      <c r="BV59" s="141"/>
      <c r="BW59" s="141"/>
      <c r="BX59" s="130">
        <f t="shared" si="21"/>
        <v>0</v>
      </c>
      <c r="BY59" s="132"/>
    </row>
    <row r="60" ht="15.75" customHeight="1">
      <c r="B60" s="215">
        <v>46074</v>
      </c>
      <c r="C60" s="1446">
        <f>13195.00-0-0</f>
      </c>
      <c r="D60" s="136"/>
      <c r="E60" s="135"/>
      <c r="F60" s="135"/>
      <c r="G60" s="147">
        <f t="shared" si="13"/>
        <v>0</v>
      </c>
      <c r="H60" s="122"/>
      <c r="I60" s="99"/>
      <c r="J60" s="99">
        <v>210.74</v>
      </c>
      <c r="K60" s="99"/>
      <c r="L60" s="99"/>
      <c r="M60" s="99"/>
      <c r="N60" s="121">
        <v>358.8</v>
      </c>
      <c r="O60" s="99"/>
      <c r="P60" s="99"/>
      <c r="Q60" s="99"/>
      <c r="R60" s="99"/>
      <c r="S60" s="99"/>
      <c r="T60" s="99"/>
      <c r="U60" s="99"/>
      <c r="V60" s="99"/>
      <c r="W60" s="99"/>
      <c r="X60" s="103">
        <f t="shared" si="14"/>
        <v>0</v>
      </c>
      <c r="Y60" s="611"/>
      <c r="Z60" s="611"/>
      <c r="AA60" s="143"/>
      <c r="AB60" s="143"/>
      <c r="AC60" s="143"/>
      <c r="AD60" s="143"/>
      <c r="AE60" s="143"/>
      <c r="AF60" s="143"/>
      <c r="AG60" s="143"/>
      <c r="AH60" s="143"/>
      <c r="AI60" s="145">
        <v>25</v>
      </c>
      <c r="AJ60" s="143"/>
      <c r="AK60" s="143"/>
      <c r="AL60" s="103">
        <f t="shared" si="15"/>
        <v>0</v>
      </c>
      <c r="AM60" s="134">
        <v>1535.39</v>
      </c>
      <c r="AN60" s="136"/>
      <c r="AO60" s="136"/>
      <c r="AP60" s="105">
        <f t="shared" si="16"/>
        <v>0</v>
      </c>
      <c r="AQ60" s="99"/>
      <c r="AR60" s="99"/>
      <c r="AS60" s="99"/>
      <c r="AT60" s="124"/>
      <c r="AU60" s="224">
        <f t="shared" si="17"/>
        <v>0</v>
      </c>
      <c r="AV60" s="1554">
        <v>11065.1</v>
      </c>
      <c r="AW60" s="1709"/>
      <c r="AX60" s="1546"/>
      <c r="AY60" s="1546"/>
      <c r="AZ60" s="1546"/>
      <c r="BA60" s="1546"/>
      <c r="BB60" s="141"/>
      <c r="BC60" s="152"/>
      <c r="BD60" s="152"/>
      <c r="BE60" s="152"/>
      <c r="BF60" s="152"/>
      <c r="BG60" s="222">
        <f t="shared" si="18"/>
        <v>0</v>
      </c>
      <c r="BH60" s="140">
        <f t="shared" si="19"/>
        <v>0</v>
      </c>
      <c r="BI60" s="132"/>
      <c r="BJ60" s="140">
        <f t="shared" si="20"/>
        <v>0</v>
      </c>
      <c r="BK60" s="141"/>
      <c r="BL60" s="141"/>
      <c r="BM60" s="141"/>
      <c r="BN60" s="141"/>
      <c r="BO60" s="141"/>
      <c r="BP60" s="141"/>
      <c r="BQ60" s="141"/>
      <c r="BR60" s="141"/>
      <c r="BS60" s="141"/>
      <c r="BT60" s="141"/>
      <c r="BU60" s="141"/>
      <c r="BV60" s="141"/>
      <c r="BW60" s="141"/>
      <c r="BX60" s="130">
        <f t="shared" si="21"/>
        <v>0</v>
      </c>
      <c r="BY60" s="132"/>
    </row>
    <row r="61" ht="15.75" customHeight="1">
      <c r="B61" s="215">
        <v>46075</v>
      </c>
      <c r="C61" s="1446">
        <f>9182.85-0-0</f>
      </c>
      <c r="D61" s="136"/>
      <c r="E61" s="135"/>
      <c r="F61" s="135"/>
      <c r="G61" s="147">
        <f t="shared" si="13"/>
        <v>0</v>
      </c>
      <c r="H61" s="122"/>
      <c r="I61" s="99"/>
      <c r="J61" s="121">
        <v>80.12</v>
      </c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103">
        <f t="shared" si="14"/>
        <v>0</v>
      </c>
      <c r="Y61" s="611"/>
      <c r="Z61" s="611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5">
        <v>20</v>
      </c>
      <c r="AL61" s="103">
        <f t="shared" si="15"/>
        <v>0</v>
      </c>
      <c r="AM61" s="134">
        <v>1012.86</v>
      </c>
      <c r="AN61" s="136"/>
      <c r="AO61" s="136"/>
      <c r="AP61" s="105">
        <f t="shared" si="16"/>
        <v>0</v>
      </c>
      <c r="AQ61" s="99"/>
      <c r="AR61" s="99"/>
      <c r="AS61" s="99"/>
      <c r="AT61" s="124"/>
      <c r="AU61" s="224">
        <f t="shared" si="17"/>
        <v>0</v>
      </c>
      <c r="AV61" s="1554">
        <v>8069.9</v>
      </c>
      <c r="AW61" s="1709"/>
      <c r="AX61" s="1546"/>
      <c r="AY61" s="1546"/>
      <c r="AZ61" s="1546"/>
      <c r="BA61" s="1546"/>
      <c r="BB61" s="141"/>
      <c r="BC61" s="152"/>
      <c r="BD61" s="152"/>
      <c r="BE61" s="152"/>
      <c r="BF61" s="152"/>
      <c r="BG61" s="222">
        <f t="shared" si="18"/>
        <v>0</v>
      </c>
      <c r="BH61" s="140">
        <f t="shared" si="19"/>
        <v>0</v>
      </c>
      <c r="BI61" s="132"/>
      <c r="BJ61" s="140">
        <f t="shared" si="20"/>
        <v>0</v>
      </c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30">
        <f t="shared" si="21"/>
        <v>0</v>
      </c>
      <c r="BY61" s="132"/>
    </row>
    <row r="62" ht="15.75" customHeight="1">
      <c r="B62" s="215">
        <v>46076</v>
      </c>
      <c r="C62" s="1446">
        <f>13589.80-0-0</f>
      </c>
      <c r="D62" s="136"/>
      <c r="E62" s="135"/>
      <c r="F62" s="135"/>
      <c r="G62" s="147">
        <f t="shared" si="13"/>
        <v>0</v>
      </c>
      <c r="H62" s="122"/>
      <c r="I62" s="99"/>
      <c r="J62" s="99">
        <v>987.99</v>
      </c>
      <c r="K62" s="99"/>
      <c r="L62" s="99"/>
      <c r="M62" s="99"/>
      <c r="N62" s="121">
        <v>306</v>
      </c>
      <c r="O62" s="99"/>
      <c r="P62" s="99"/>
      <c r="Q62" s="99"/>
      <c r="R62" s="99"/>
      <c r="S62" s="99"/>
      <c r="T62" s="99"/>
      <c r="U62" s="99"/>
      <c r="V62" s="99"/>
      <c r="W62" s="99"/>
      <c r="X62" s="103">
        <f t="shared" si="14"/>
        <v>0</v>
      </c>
      <c r="Y62" s="611"/>
      <c r="Z62" s="611"/>
      <c r="AA62" s="143"/>
      <c r="AB62" s="143"/>
      <c r="AC62" s="143"/>
      <c r="AD62" s="143"/>
      <c r="AE62" s="143"/>
      <c r="AF62" s="143"/>
      <c r="AG62" s="143"/>
      <c r="AH62" s="143"/>
      <c r="AI62" s="145">
        <v>40</v>
      </c>
      <c r="AJ62" s="143"/>
      <c r="AK62" s="145">
        <v>20</v>
      </c>
      <c r="AL62" s="103">
        <f t="shared" si="15"/>
        <v>0</v>
      </c>
      <c r="AM62" s="134">
        <v>2152.35</v>
      </c>
      <c r="AN62" s="136"/>
      <c r="AO62" s="136"/>
      <c r="AP62" s="105">
        <f t="shared" si="16"/>
        <v>0</v>
      </c>
      <c r="AQ62" s="99"/>
      <c r="AR62" s="99"/>
      <c r="AS62" s="99"/>
      <c r="AT62" s="124"/>
      <c r="AU62" s="224">
        <f t="shared" si="17"/>
        <v>0</v>
      </c>
      <c r="AV62" s="1554">
        <v>10083.5</v>
      </c>
      <c r="AW62" s="1709"/>
      <c r="AX62" s="1546"/>
      <c r="AY62" s="1546"/>
      <c r="AZ62" s="1546"/>
      <c r="BA62" s="1546"/>
      <c r="BB62" s="141"/>
      <c r="BC62" s="152"/>
      <c r="BD62" s="152"/>
      <c r="BE62" s="152"/>
      <c r="BF62" s="152"/>
      <c r="BG62" s="222">
        <f t="shared" si="18"/>
        <v>0</v>
      </c>
      <c r="BH62" s="140">
        <f t="shared" si="19"/>
        <v>0</v>
      </c>
      <c r="BI62" s="132"/>
      <c r="BJ62" s="140">
        <f t="shared" si="20"/>
        <v>0</v>
      </c>
      <c r="BK62" s="141"/>
      <c r="BL62" s="141"/>
      <c r="BM62" s="141"/>
      <c r="BN62" s="141"/>
      <c r="BO62" s="141"/>
      <c r="BP62" s="141"/>
      <c r="BQ62" s="141"/>
      <c r="BR62" s="141"/>
      <c r="BS62" s="141"/>
      <c r="BT62" s="141"/>
      <c r="BU62" s="141"/>
      <c r="BV62" s="141"/>
      <c r="BW62" s="141"/>
      <c r="BX62" s="130">
        <f t="shared" si="21"/>
        <v>0</v>
      </c>
      <c r="BY62" s="132"/>
    </row>
    <row r="63" ht="15.75" customHeight="1">
      <c r="B63" s="215">
        <v>46077</v>
      </c>
      <c r="C63" s="1446">
        <f>11680.97-0-0</f>
      </c>
      <c r="D63" s="136"/>
      <c r="E63" s="135"/>
      <c r="F63" s="135"/>
      <c r="G63" s="147">
        <f t="shared" si="13"/>
        <v>0</v>
      </c>
      <c r="H63" s="122"/>
      <c r="I63" s="99"/>
      <c r="J63" s="121">
        <v>146.16</v>
      </c>
      <c r="K63" s="121">
        <v>207</v>
      </c>
      <c r="L63" s="99"/>
      <c r="M63" s="99"/>
      <c r="N63" s="99"/>
      <c r="O63" s="99"/>
      <c r="P63" s="99"/>
      <c r="Q63" s="99"/>
      <c r="R63" s="99"/>
      <c r="S63" s="99"/>
      <c r="T63" s="121">
        <v>116.58</v>
      </c>
      <c r="U63" s="173"/>
      <c r="V63" s="1448"/>
      <c r="W63" s="1448"/>
      <c r="X63" s="103">
        <f t="shared" si="14"/>
        <v>0</v>
      </c>
      <c r="Y63" s="611"/>
      <c r="Z63" s="611"/>
      <c r="AA63" s="143"/>
      <c r="AB63" s="143"/>
      <c r="AC63" s="143"/>
      <c r="AD63" s="143"/>
      <c r="AE63" s="143"/>
      <c r="AF63" s="143"/>
      <c r="AG63" s="143"/>
      <c r="AH63" s="143"/>
      <c r="AI63" s="145">
        <v>35</v>
      </c>
      <c r="AJ63" s="143"/>
      <c r="AK63" s="143"/>
      <c r="AL63" s="103">
        <f t="shared" si="15"/>
        <v>0</v>
      </c>
      <c r="AM63" s="134">
        <v>1992.8</v>
      </c>
      <c r="AN63" s="136"/>
      <c r="AO63" s="136"/>
      <c r="AP63" s="105">
        <f t="shared" si="16"/>
        <v>0</v>
      </c>
      <c r="AQ63" s="99"/>
      <c r="AR63" s="99"/>
      <c r="AS63" s="99"/>
      <c r="AT63" s="124"/>
      <c r="AU63" s="224">
        <f t="shared" si="17"/>
        <v>0</v>
      </c>
      <c r="AV63" s="1554">
        <v>9183.4</v>
      </c>
      <c r="AW63" s="1709"/>
      <c r="AX63" s="1546"/>
      <c r="AY63" s="1546"/>
      <c r="AZ63" s="1546"/>
      <c r="BA63" s="1546"/>
      <c r="BB63" s="141"/>
      <c r="BC63" s="152"/>
      <c r="BD63" s="152"/>
      <c r="BE63" s="152"/>
      <c r="BF63" s="152"/>
      <c r="BG63" s="222">
        <f t="shared" si="18"/>
        <v>0</v>
      </c>
      <c r="BH63" s="140">
        <f t="shared" si="19"/>
        <v>0</v>
      </c>
      <c r="BI63" s="132"/>
      <c r="BJ63" s="140">
        <f t="shared" si="20"/>
        <v>0</v>
      </c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30">
        <f t="shared" si="21"/>
        <v>0</v>
      </c>
      <c r="BY63" s="132"/>
    </row>
    <row r="64" ht="15.75" customHeight="1">
      <c r="B64" s="215">
        <v>46078</v>
      </c>
      <c r="C64" s="1446">
        <f>13706.93-0-0</f>
      </c>
      <c r="D64" s="136"/>
      <c r="E64" s="135"/>
      <c r="F64" s="135"/>
      <c r="G64" s="147">
        <f t="shared" si="13"/>
        <v>0</v>
      </c>
      <c r="H64" s="122"/>
      <c r="I64" s="99"/>
      <c r="J64" s="99">
        <v>1371.82</v>
      </c>
      <c r="K64" s="99"/>
      <c r="L64" s="99"/>
      <c r="M64" s="99"/>
      <c r="N64" s="121">
        <v>153</v>
      </c>
      <c r="O64" s="99"/>
      <c r="P64" s="99"/>
      <c r="Q64" s="99"/>
      <c r="R64" s="99"/>
      <c r="S64" s="99"/>
      <c r="T64" s="99"/>
      <c r="U64" s="99"/>
      <c r="V64" s="99"/>
      <c r="W64" s="99"/>
      <c r="X64" s="103">
        <f t="shared" si="14"/>
        <v>0</v>
      </c>
      <c r="Y64" s="611"/>
      <c r="Z64" s="611"/>
      <c r="AA64" s="143"/>
      <c r="AB64" s="143"/>
      <c r="AC64" s="143"/>
      <c r="AD64" s="143"/>
      <c r="AE64" s="143"/>
      <c r="AF64" s="143"/>
      <c r="AG64" s="143"/>
      <c r="AH64" s="143"/>
      <c r="AI64" s="145">
        <v>20</v>
      </c>
      <c r="AJ64" s="143"/>
      <c r="AK64" s="145">
        <v>120</v>
      </c>
      <c r="AL64" s="103">
        <f t="shared" si="15"/>
        <v>0</v>
      </c>
      <c r="AM64" s="134">
        <v>1881.81</v>
      </c>
      <c r="AN64" s="136"/>
      <c r="AO64" s="136"/>
      <c r="AP64" s="105">
        <f t="shared" si="16"/>
        <v>0</v>
      </c>
      <c r="AQ64" s="99"/>
      <c r="AR64" s="99"/>
      <c r="AS64" s="99"/>
      <c r="AT64" s="124"/>
      <c r="AU64" s="224">
        <f t="shared" si="17"/>
        <v>0</v>
      </c>
      <c r="AV64" s="1554">
        <v>10160.9</v>
      </c>
      <c r="AW64" s="1709"/>
      <c r="AX64" s="1546"/>
      <c r="AY64" s="1546"/>
      <c r="AZ64" s="1546"/>
      <c r="BA64" s="1546"/>
      <c r="BB64" s="141"/>
      <c r="BC64" s="152"/>
      <c r="BD64" s="152"/>
      <c r="BE64" s="152"/>
      <c r="BF64" s="152"/>
      <c r="BG64" s="222">
        <f t="shared" si="18"/>
        <v>0</v>
      </c>
      <c r="BH64" s="140">
        <f t="shared" si="19"/>
        <v>0</v>
      </c>
      <c r="BI64" s="132"/>
      <c r="BJ64" s="140">
        <f t="shared" si="20"/>
        <v>0</v>
      </c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30">
        <f t="shared" si="21"/>
        <v>0</v>
      </c>
      <c r="BY64" s="132"/>
    </row>
    <row r="65" ht="15.75" customHeight="1">
      <c r="B65" s="215">
        <v>46079</v>
      </c>
      <c r="C65" s="1446">
        <f>14585.28-0-0</f>
      </c>
      <c r="D65" s="136"/>
      <c r="E65" s="135"/>
      <c r="F65" s="135"/>
      <c r="G65" s="147">
        <f t="shared" si="13"/>
        <v>0</v>
      </c>
      <c r="H65" s="122"/>
      <c r="I65" s="99"/>
      <c r="J65" s="99">
        <v>764.05</v>
      </c>
      <c r="K65" s="99"/>
      <c r="L65" s="99"/>
      <c r="M65" s="99"/>
      <c r="N65" s="99">
        <v>275.6</v>
      </c>
      <c r="O65" s="99"/>
      <c r="P65" s="99"/>
      <c r="Q65" s="99"/>
      <c r="R65" s="99"/>
      <c r="S65" s="99"/>
      <c r="T65" s="99"/>
      <c r="U65" s="99"/>
      <c r="V65" s="99"/>
      <c r="W65" s="99"/>
      <c r="X65" s="103">
        <f t="shared" si="14"/>
        <v>0</v>
      </c>
      <c r="Y65" s="611"/>
      <c r="Z65" s="611"/>
      <c r="AA65" s="143"/>
      <c r="AB65" s="143"/>
      <c r="AC65" s="143"/>
      <c r="AD65" s="143"/>
      <c r="AE65" s="143"/>
      <c r="AF65" s="143"/>
      <c r="AG65" s="143"/>
      <c r="AH65" s="143"/>
      <c r="AI65" s="145">
        <v>25</v>
      </c>
      <c r="AJ65" s="143"/>
      <c r="AK65" s="145">
        <v>20</v>
      </c>
      <c r="AL65" s="103">
        <f t="shared" si="15"/>
        <v>0</v>
      </c>
      <c r="AM65" s="134">
        <v>2087.38</v>
      </c>
      <c r="AN65" s="136"/>
      <c r="AO65" s="136"/>
      <c r="AP65" s="105">
        <f t="shared" si="16"/>
        <v>0</v>
      </c>
      <c r="AQ65" s="99"/>
      <c r="AR65" s="99"/>
      <c r="AS65" s="99"/>
      <c r="AT65" s="124"/>
      <c r="AU65" s="224">
        <f t="shared" si="17"/>
        <v>0</v>
      </c>
      <c r="AV65" s="1554">
        <v>11161.8</v>
      </c>
      <c r="AW65" s="1709"/>
      <c r="AX65" s="1546"/>
      <c r="AY65" s="1546"/>
      <c r="AZ65" s="1546"/>
      <c r="BA65" s="1546"/>
      <c r="BB65" s="141"/>
      <c r="BC65" s="152"/>
      <c r="BD65" s="152"/>
      <c r="BE65" s="152"/>
      <c r="BF65" s="152"/>
      <c r="BG65" s="222">
        <f t="shared" si="18"/>
        <v>0</v>
      </c>
      <c r="BH65" s="140">
        <f t="shared" si="19"/>
        <v>0</v>
      </c>
      <c r="BI65" s="132"/>
      <c r="BJ65" s="140">
        <f t="shared" si="20"/>
        <v>0</v>
      </c>
      <c r="BK65" s="141"/>
      <c r="BL65" s="141"/>
      <c r="BM65" s="141"/>
      <c r="BN65" s="141"/>
      <c r="BO65" s="141"/>
      <c r="BP65" s="141"/>
      <c r="BQ65" s="141"/>
      <c r="BR65" s="141"/>
      <c r="BS65" s="141"/>
      <c r="BT65" s="141"/>
      <c r="BU65" s="150"/>
      <c r="BV65" s="141">
        <v>251.5</v>
      </c>
      <c r="BW65" s="141"/>
      <c r="BX65" s="130">
        <f t="shared" si="21"/>
        <v>0</v>
      </c>
      <c r="BY65" s="132"/>
    </row>
    <row r="66" ht="15.75" customHeight="1">
      <c r="B66" s="215">
        <v>46080</v>
      </c>
      <c r="C66" s="1446">
        <f>11403.65-0-0</f>
      </c>
      <c r="D66" s="136"/>
      <c r="E66" s="135"/>
      <c r="F66" s="135"/>
      <c r="G66" s="147">
        <f t="shared" si="13"/>
        <v>0</v>
      </c>
      <c r="H66" s="122"/>
      <c r="I66" s="99"/>
      <c r="J66" s="99">
        <v>397.29</v>
      </c>
      <c r="K66" s="99"/>
      <c r="L66" s="99"/>
      <c r="M66" s="99"/>
      <c r="N66" s="121">
        <v>153</v>
      </c>
      <c r="O66" s="99"/>
      <c r="P66" s="99"/>
      <c r="Q66" s="99"/>
      <c r="R66" s="99"/>
      <c r="S66" s="99"/>
      <c r="T66" s="99"/>
      <c r="U66" s="99"/>
      <c r="V66" s="99"/>
      <c r="W66" s="99"/>
      <c r="X66" s="103">
        <f t="shared" si="14"/>
        <v>0</v>
      </c>
      <c r="Y66" s="611"/>
      <c r="Z66" s="611"/>
      <c r="AA66" s="143"/>
      <c r="AB66" s="143"/>
      <c r="AC66" s="143"/>
      <c r="AD66" s="143"/>
      <c r="AE66" s="143"/>
      <c r="AF66" s="143"/>
      <c r="AG66" s="143"/>
      <c r="AH66" s="143"/>
      <c r="AI66" s="145">
        <v>10</v>
      </c>
      <c r="AJ66" s="143"/>
      <c r="AK66" s="145">
        <v>80</v>
      </c>
      <c r="AL66" s="103">
        <f t="shared" si="15"/>
        <v>0</v>
      </c>
      <c r="AM66" s="134">
        <v>1899.63</v>
      </c>
      <c r="AN66" s="136"/>
      <c r="AO66" s="136"/>
      <c r="AP66" s="105">
        <f t="shared" si="16"/>
        <v>0</v>
      </c>
      <c r="AQ66" s="99"/>
      <c r="AR66" s="99"/>
      <c r="AS66" s="99"/>
      <c r="AT66" s="124"/>
      <c r="AU66" s="224">
        <f t="shared" si="17"/>
        <v>0</v>
      </c>
      <c r="AV66" s="1554">
        <v>8863.7</v>
      </c>
      <c r="AW66" s="1709"/>
      <c r="AX66" s="1546"/>
      <c r="AY66" s="1546"/>
      <c r="AZ66" s="1546"/>
      <c r="BA66" s="1546"/>
      <c r="BB66" s="141"/>
      <c r="BC66" s="152"/>
      <c r="BD66" s="152"/>
      <c r="BE66" s="152"/>
      <c r="BF66" s="152"/>
      <c r="BG66" s="222">
        <f t="shared" si="18"/>
        <v>0</v>
      </c>
      <c r="BH66" s="140">
        <f t="shared" si="19"/>
        <v>0</v>
      </c>
      <c r="BI66" s="132"/>
      <c r="BJ66" s="140">
        <f t="shared" si="20"/>
        <v>0</v>
      </c>
      <c r="BK66" s="141"/>
      <c r="BL66" s="141"/>
      <c r="BM66" s="141"/>
      <c r="BN66" s="141"/>
      <c r="BO66" s="141"/>
      <c r="BP66" s="141"/>
      <c r="BQ66" s="141"/>
      <c r="BR66" s="141"/>
      <c r="BS66" s="141"/>
      <c r="BT66" s="141"/>
      <c r="BU66" s="141"/>
      <c r="BV66" s="141"/>
      <c r="BW66" s="141"/>
      <c r="BX66" s="130">
        <f t="shared" si="21"/>
        <v>0</v>
      </c>
      <c r="BY66" s="132"/>
    </row>
    <row r="67" ht="15.75" customHeight="1">
      <c r="B67" s="215">
        <v>46081</v>
      </c>
      <c r="C67" s="1446">
        <f>15414.07-0-0</f>
      </c>
      <c r="D67" s="136"/>
      <c r="E67" s="135"/>
      <c r="F67" s="135"/>
      <c r="G67" s="147">
        <f t="shared" si="13"/>
        <v>0</v>
      </c>
      <c r="H67" s="122"/>
      <c r="I67" s="99"/>
      <c r="J67" s="99">
        <v>1456.77</v>
      </c>
      <c r="K67" s="99"/>
      <c r="L67" s="99"/>
      <c r="M67" s="99"/>
      <c r="N67" s="99">
        <v>373.8</v>
      </c>
      <c r="O67" s="99"/>
      <c r="P67" s="99"/>
      <c r="Q67" s="99"/>
      <c r="R67" s="99"/>
      <c r="S67" s="99"/>
      <c r="T67" s="99"/>
      <c r="U67" s="99"/>
      <c r="V67" s="99"/>
      <c r="W67" s="99"/>
      <c r="X67" s="103">
        <f t="shared" si="14"/>
        <v>0</v>
      </c>
      <c r="Y67" s="611"/>
      <c r="Z67" s="611"/>
      <c r="AA67" s="143"/>
      <c r="AB67" s="143"/>
      <c r="AC67" s="143"/>
      <c r="AD67" s="143"/>
      <c r="AE67" s="143"/>
      <c r="AF67" s="143"/>
      <c r="AG67" s="143"/>
      <c r="AH67" s="143"/>
      <c r="AI67" s="145">
        <v>35</v>
      </c>
      <c r="AJ67" s="143"/>
      <c r="AK67" s="143"/>
      <c r="AL67" s="103">
        <f t="shared" si="15"/>
        <v>0</v>
      </c>
      <c r="AM67" s="134">
        <v>2458.93</v>
      </c>
      <c r="AN67" s="136"/>
      <c r="AO67" s="136"/>
      <c r="AP67" s="105">
        <f t="shared" si="16"/>
        <v>0</v>
      </c>
      <c r="AQ67" s="99"/>
      <c r="AR67" s="99"/>
      <c r="AS67" s="99"/>
      <c r="AT67" s="124"/>
      <c r="AU67" s="224">
        <f t="shared" si="17"/>
        <v>0</v>
      </c>
      <c r="AV67" s="1554">
        <v>11089.6</v>
      </c>
      <c r="AW67" s="1709"/>
      <c r="AX67" s="1546"/>
      <c r="AY67" s="1546"/>
      <c r="AZ67" s="1546"/>
      <c r="BA67" s="1546"/>
      <c r="BB67" s="141"/>
      <c r="BC67" s="152"/>
      <c r="BD67" s="152"/>
      <c r="BE67" s="152"/>
      <c r="BF67" s="152"/>
      <c r="BG67" s="222">
        <f t="shared" si="18"/>
        <v>0</v>
      </c>
      <c r="BH67" s="140">
        <f t="shared" si="19"/>
        <v>0</v>
      </c>
      <c r="BI67" s="132"/>
      <c r="BJ67" s="140">
        <f t="shared" si="20"/>
        <v>0</v>
      </c>
      <c r="BK67" s="141"/>
      <c r="BL67" s="141"/>
      <c r="BM67" s="141"/>
      <c r="BN67" s="141"/>
      <c r="BO67" s="141"/>
      <c r="BP67" s="141"/>
      <c r="BQ67" s="141"/>
      <c r="BR67" s="141"/>
      <c r="BS67" s="141"/>
      <c r="BT67" s="141"/>
      <c r="BU67" s="150"/>
      <c r="BV67" s="141"/>
      <c r="BW67" s="141"/>
      <c r="BX67" s="130">
        <f t="shared" si="21"/>
        <v>0</v>
      </c>
      <c r="BY67" s="132"/>
    </row>
    <row r="68" ht="15.75" customHeight="1">
      <c r="B68" s="117"/>
      <c r="C68" s="395"/>
      <c r="D68" s="136"/>
      <c r="E68" s="135"/>
      <c r="F68" s="135"/>
      <c r="G68" s="147">
        <f t="shared" si="13"/>
        <v>0</v>
      </c>
      <c r="H68" s="122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103">
        <f t="shared" si="14"/>
        <v>0</v>
      </c>
      <c r="Y68" s="611"/>
      <c r="Z68" s="611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03">
        <f t="shared" si="15"/>
        <v>0</v>
      </c>
      <c r="AM68" s="136"/>
      <c r="AN68" s="136"/>
      <c r="AO68" s="136"/>
      <c r="AP68" s="105">
        <f t="shared" si="16"/>
        <v>0</v>
      </c>
      <c r="AQ68" s="99"/>
      <c r="AR68" s="99"/>
      <c r="AS68" s="99"/>
      <c r="AT68" s="124"/>
      <c r="AU68" s="224">
        <f t="shared" si="17"/>
        <v>0</v>
      </c>
      <c r="AV68" s="1557"/>
      <c r="AW68" s="1709"/>
      <c r="AX68" s="1546"/>
      <c r="AY68" s="1546"/>
      <c r="AZ68" s="1546"/>
      <c r="BA68" s="1546"/>
      <c r="BB68" s="141"/>
      <c r="BC68" s="152"/>
      <c r="BD68" s="152"/>
      <c r="BE68" s="152"/>
      <c r="BF68" s="152"/>
      <c r="BG68" s="222">
        <f t="shared" si="18"/>
        <v>0</v>
      </c>
      <c r="BH68" s="140">
        <f t="shared" si="19"/>
        <v>0</v>
      </c>
      <c r="BI68" s="132"/>
      <c r="BJ68" s="140">
        <f t="shared" si="20"/>
        <v>0</v>
      </c>
      <c r="BK68" s="141"/>
      <c r="BL68" s="141"/>
      <c r="BM68" s="141"/>
      <c r="BN68" s="141"/>
      <c r="BO68" s="141"/>
      <c r="BP68" s="141"/>
      <c r="BQ68" s="141"/>
      <c r="BR68" s="141"/>
      <c r="BS68" s="141"/>
      <c r="BT68" s="141"/>
      <c r="BU68" s="141"/>
      <c r="BV68" s="141"/>
      <c r="BW68" s="141"/>
      <c r="BX68" s="130">
        <f t="shared" si="21"/>
        <v>0</v>
      </c>
      <c r="BY68" s="132"/>
    </row>
    <row r="69" ht="15.75" customHeight="1">
      <c r="B69" s="2" t="s">
        <v>258</v>
      </c>
      <c r="C69" s="617">
        <f ref="C69:O69" t="shared" si="22">SUM(C40:C67)</f>
        <v>0</v>
      </c>
      <c r="D69" s="617">
        <f t="shared" si="22"/>
        <v>0</v>
      </c>
      <c r="E69" s="617">
        <f t="shared" si="22"/>
        <v>0</v>
      </c>
      <c r="F69" s="617">
        <f t="shared" si="22"/>
        <v>0</v>
      </c>
      <c r="G69" s="617">
        <f t="shared" si="22"/>
        <v>0</v>
      </c>
      <c r="H69" s="617">
        <f t="shared" si="22"/>
        <v>0</v>
      </c>
      <c r="I69" s="617">
        <f t="shared" si="22"/>
        <v>0</v>
      </c>
      <c r="J69" s="617">
        <f t="shared" si="22"/>
        <v>0</v>
      </c>
      <c r="K69" s="617">
        <f t="shared" si="22"/>
        <v>0</v>
      </c>
      <c r="L69" s="617">
        <f t="shared" si="22"/>
        <v>0</v>
      </c>
      <c r="M69" s="617">
        <f t="shared" si="22"/>
        <v>0</v>
      </c>
      <c r="N69" s="617">
        <f t="shared" si="22"/>
        <v>0</v>
      </c>
      <c r="O69" s="617">
        <f t="shared" si="22"/>
        <v>0</v>
      </c>
      <c r="P69" s="617"/>
      <c r="Q69" s="617">
        <f>SUM(Q40:Q67)</f>
        <v>0</v>
      </c>
      <c r="R69" s="617"/>
      <c r="S69" s="617">
        <f ref="S69:V69" t="shared" si="23">SUM(S40:S67)</f>
        <v>0</v>
      </c>
      <c r="T69" s="617">
        <f t="shared" si="23"/>
        <v>0</v>
      </c>
      <c r="U69" s="617">
        <f t="shared" si="23"/>
        <v>0</v>
      </c>
      <c r="V69" s="617">
        <f t="shared" si="23"/>
        <v>0</v>
      </c>
      <c r="W69" s="617"/>
      <c r="X69" s="617">
        <f ref="X69:Y69" t="shared" si="24">SUM(X40:X67)</f>
        <v>0</v>
      </c>
      <c r="Y69" s="617">
        <f t="shared" si="24"/>
        <v>0</v>
      </c>
      <c r="Z69" s="617"/>
      <c r="AA69" s="617">
        <f ref="AA69:BH69" t="shared" si="25">SUM(AA40:AA67)</f>
        <v>0</v>
      </c>
      <c r="AB69" s="617">
        <f t="shared" si="25"/>
        <v>0</v>
      </c>
      <c r="AC69" s="617">
        <f t="shared" si="25"/>
        <v>0</v>
      </c>
      <c r="AD69" s="617">
        <f t="shared" si="25"/>
        <v>0</v>
      </c>
      <c r="AE69" s="617">
        <f t="shared" si="25"/>
        <v>0</v>
      </c>
      <c r="AF69" s="617">
        <f t="shared" si="25"/>
        <v>0</v>
      </c>
      <c r="AG69" s="617">
        <f t="shared" si="25"/>
        <v>0</v>
      </c>
      <c r="AH69" s="617">
        <f t="shared" si="25"/>
        <v>0</v>
      </c>
      <c r="AI69" s="617">
        <f t="shared" si="25"/>
        <v>0</v>
      </c>
      <c r="AJ69" s="617">
        <f t="shared" si="25"/>
        <v>0</v>
      </c>
      <c r="AK69" s="617">
        <f t="shared" si="25"/>
        <v>0</v>
      </c>
      <c r="AL69" s="617">
        <f t="shared" si="25"/>
        <v>0</v>
      </c>
      <c r="AM69" s="617">
        <f t="shared" si="25"/>
        <v>0</v>
      </c>
      <c r="AN69" s="617">
        <f t="shared" si="25"/>
        <v>0</v>
      </c>
      <c r="AO69" s="617">
        <f t="shared" si="25"/>
        <v>0</v>
      </c>
      <c r="AP69" s="617">
        <f t="shared" si="25"/>
        <v>0</v>
      </c>
      <c r="AQ69" s="617">
        <f t="shared" si="25"/>
        <v>0</v>
      </c>
      <c r="AR69" s="617">
        <f t="shared" si="25"/>
        <v>0</v>
      </c>
      <c r="AS69" s="617">
        <f t="shared" si="25"/>
        <v>0</v>
      </c>
      <c r="AT69" s="617">
        <f t="shared" si="25"/>
        <v>0</v>
      </c>
      <c r="AU69" s="617">
        <f t="shared" si="25"/>
        <v>0</v>
      </c>
      <c r="AV69" s="1068">
        <f t="shared" si="25"/>
        <v>0</v>
      </c>
      <c r="AW69" s="617">
        <f t="shared" si="25"/>
        <v>0</v>
      </c>
      <c r="AX69" s="617">
        <f t="shared" si="25"/>
        <v>0</v>
      </c>
      <c r="AY69" s="617">
        <f t="shared" si="25"/>
        <v>0</v>
      </c>
      <c r="AZ69" s="617">
        <f t="shared" si="25"/>
        <v>0</v>
      </c>
      <c r="BA69" s="617">
        <f t="shared" si="25"/>
        <v>0</v>
      </c>
      <c r="BB69" s="617">
        <f t="shared" si="25"/>
        <v>0</v>
      </c>
      <c r="BC69" s="617">
        <f t="shared" si="25"/>
        <v>0</v>
      </c>
      <c r="BD69" s="617">
        <f t="shared" si="25"/>
        <v>0</v>
      </c>
      <c r="BE69" s="617">
        <f t="shared" si="25"/>
        <v>0</v>
      </c>
      <c r="BF69" s="617">
        <f t="shared" si="25"/>
        <v>0</v>
      </c>
      <c r="BG69" s="617">
        <f t="shared" si="25"/>
        <v>0</v>
      </c>
      <c r="BH69" s="617">
        <f t="shared" si="25"/>
        <v>0</v>
      </c>
      <c r="BI69" s="235"/>
      <c r="BJ69" s="617">
        <f ref="BJ69:BX69" t="shared" si="26">SUM(BJ40:BJ67)</f>
        <v>0</v>
      </c>
      <c r="BK69" s="617">
        <f t="shared" si="26"/>
        <v>0</v>
      </c>
      <c r="BL69" s="617">
        <f t="shared" si="26"/>
        <v>0</v>
      </c>
      <c r="BM69" s="617">
        <f t="shared" si="26"/>
        <v>0</v>
      </c>
      <c r="BN69" s="617">
        <f t="shared" si="26"/>
        <v>0</v>
      </c>
      <c r="BO69" s="617">
        <f t="shared" si="26"/>
        <v>0</v>
      </c>
      <c r="BP69" s="617">
        <f t="shared" si="26"/>
        <v>0</v>
      </c>
      <c r="BQ69" s="617">
        <f t="shared" si="26"/>
        <v>0</v>
      </c>
      <c r="BR69" s="617">
        <f t="shared" si="26"/>
        <v>0</v>
      </c>
      <c r="BS69" s="617">
        <f t="shared" si="26"/>
        <v>0</v>
      </c>
      <c r="BT69" s="617">
        <f t="shared" si="26"/>
        <v>0</v>
      </c>
      <c r="BU69" s="617">
        <f t="shared" si="26"/>
        <v>0</v>
      </c>
      <c r="BV69" s="617">
        <f t="shared" si="26"/>
        <v>0</v>
      </c>
      <c r="BW69" s="617">
        <f t="shared" si="26"/>
        <v>0</v>
      </c>
      <c r="BX69" s="617">
        <f t="shared" si="26"/>
        <v>0</v>
      </c>
      <c r="BY69" s="235"/>
    </row>
    <row r="70" ht="15.75" customHeight="1">
      <c r="B70" s="2"/>
      <c r="C70" s="1"/>
      <c r="D70" s="3"/>
      <c r="E70" s="3"/>
      <c r="F70" s="3"/>
      <c r="G70" s="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1"/>
      <c r="Z70" s="1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96"/>
      <c r="AM70" s="3"/>
      <c r="AN70" s="3"/>
      <c r="AO70" s="3"/>
      <c r="AP70" s="4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235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ht="15.75" customHeight="1">
      <c r="B71" s="206"/>
      <c r="C71" s="1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1"/>
      <c r="Z71" s="1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176"/>
      <c r="AM71" s="3"/>
      <c r="AN71" s="3"/>
      <c r="AO71" s="3"/>
      <c r="AP71" s="4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ht="15.75" customHeight="1">
      <c r="B72" s="215">
        <v>46082</v>
      </c>
      <c r="C72" s="1449">
        <f>8884.95-0-0</f>
      </c>
      <c r="D72" s="95"/>
      <c r="E72" s="97"/>
      <c r="F72" s="97"/>
      <c r="G72" s="265">
        <f ref="G72:G102" t="shared" si="27">+C72+D72+E72+F72</f>
        <v>0</v>
      </c>
      <c r="H72" s="1450"/>
      <c r="I72" s="100"/>
      <c r="J72" s="102">
        <v>253.32</v>
      </c>
      <c r="K72" s="101"/>
      <c r="L72" s="101"/>
      <c r="M72" s="101"/>
      <c r="N72" s="101"/>
      <c r="O72" s="101"/>
      <c r="P72" s="101"/>
      <c r="Q72" s="101"/>
      <c r="R72" s="101"/>
      <c r="S72" s="101"/>
      <c r="T72" s="106"/>
      <c r="U72" s="101"/>
      <c r="V72" s="1451"/>
      <c r="W72" s="101"/>
      <c r="X72" s="103">
        <f ref="X72:X102" t="shared" si="28">SUMIF(H72:V72,"&gt;0")</f>
        <v>0</v>
      </c>
      <c r="Y72" s="638"/>
      <c r="Z72" s="638"/>
      <c r="AA72" s="101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03">
        <f ref="AL72:AL102" t="shared" si="29">SUM(Y72:AK72)</f>
        <v>0</v>
      </c>
      <c r="AM72" s="95">
        <v>1356.91</v>
      </c>
      <c r="AN72" s="104"/>
      <c r="AO72" s="104"/>
      <c r="AP72" s="191">
        <f ref="AP72:AP102" t="shared" si="30">SUM(AM72:AO72)</f>
        <v>0</v>
      </c>
      <c r="AQ72" s="101"/>
      <c r="AR72" s="101"/>
      <c r="AS72" s="101"/>
      <c r="AT72" s="106"/>
      <c r="AU72" s="266">
        <f ref="AU72:AU102" t="shared" si="31">+G72-X72-AL72-AP72-AQ72-AR72-AS72-AT72</f>
        <v>0</v>
      </c>
      <c r="AV72" s="1721">
        <v>7274.7</v>
      </c>
      <c r="AW72" s="1708"/>
      <c r="AX72" s="1537"/>
      <c r="AY72" s="1537"/>
      <c r="AZ72" s="1537"/>
      <c r="BA72" s="1537"/>
      <c r="BB72" s="196"/>
      <c r="BC72" s="490"/>
      <c r="BD72" s="490"/>
      <c r="BE72" s="490"/>
      <c r="BF72" s="490"/>
      <c r="BG72" s="292">
        <f ref="BG72:BG102" t="shared" si="32">SUM(AV72:BF72)-BE72</f>
        <v>0</v>
      </c>
      <c r="BH72" s="114">
        <f ref="BH72:BH102" t="shared" si="33">+AU72-BG72</f>
        <v>0</v>
      </c>
      <c r="BI72" s="3"/>
      <c r="BJ72" s="114">
        <f ref="BJ72:BJ102" t="shared" si="34">SUM(BK72:BW72)</f>
        <v>0</v>
      </c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6">
        <f ref="BX72:BX102" t="shared" si="35">+BH72-BJ72</f>
        <v>0</v>
      </c>
      <c r="BY72" s="3"/>
    </row>
    <row r="73" ht="15.75" customHeight="1">
      <c r="B73" s="215">
        <v>46083</v>
      </c>
      <c r="C73" s="1452">
        <f>13358.46-0-0</f>
      </c>
      <c r="D73" s="123"/>
      <c r="E73" s="120"/>
      <c r="F73" s="120"/>
      <c r="G73" s="147">
        <f t="shared" si="27"/>
        <v>0</v>
      </c>
      <c r="H73" s="1453"/>
      <c r="I73" s="122"/>
      <c r="J73" s="99">
        <v>325.3</v>
      </c>
      <c r="K73" s="121">
        <v>207</v>
      </c>
      <c r="L73" s="99"/>
      <c r="M73" s="99"/>
      <c r="N73" s="121">
        <v>153</v>
      </c>
      <c r="O73" s="99"/>
      <c r="P73" s="99"/>
      <c r="Q73" s="99"/>
      <c r="R73" s="99"/>
      <c r="S73" s="99"/>
      <c r="T73" s="124"/>
      <c r="U73" s="99"/>
      <c r="V73" s="122"/>
      <c r="W73" s="99"/>
      <c r="X73" s="103">
        <f t="shared" si="28"/>
        <v>0</v>
      </c>
      <c r="Y73" s="641"/>
      <c r="Z73" s="641"/>
      <c r="AA73" s="99"/>
      <c r="AB73" s="143"/>
      <c r="AC73" s="143"/>
      <c r="AD73" s="143"/>
      <c r="AE73" s="143"/>
      <c r="AF73" s="143"/>
      <c r="AG73" s="143"/>
      <c r="AH73" s="143"/>
      <c r="AI73" s="145">
        <v>30</v>
      </c>
      <c r="AJ73" s="143"/>
      <c r="AK73" s="145">
        <v>40</v>
      </c>
      <c r="AL73" s="103">
        <f t="shared" si="29"/>
        <v>0</v>
      </c>
      <c r="AM73" s="119">
        <v>2223.79</v>
      </c>
      <c r="AN73" s="123"/>
      <c r="AO73" s="123"/>
      <c r="AP73" s="105">
        <f t="shared" si="30"/>
        <v>0</v>
      </c>
      <c r="AQ73" s="99"/>
      <c r="AR73" s="99"/>
      <c r="AS73" s="99"/>
      <c r="AT73" s="124"/>
      <c r="AU73" s="224">
        <f t="shared" si="31"/>
        <v>0</v>
      </c>
      <c r="AV73" s="1554">
        <v>10379.4</v>
      </c>
      <c r="AW73" s="1709"/>
      <c r="AX73" s="1546"/>
      <c r="AY73" s="1546"/>
      <c r="AZ73" s="1546"/>
      <c r="BA73" s="1546"/>
      <c r="BB73" s="141"/>
      <c r="BC73" s="152"/>
      <c r="BD73" s="152"/>
      <c r="BE73" s="152"/>
      <c r="BF73" s="152"/>
      <c r="BG73" s="222">
        <f t="shared" si="32"/>
        <v>0</v>
      </c>
      <c r="BH73" s="113">
        <f t="shared" si="33"/>
        <v>0</v>
      </c>
      <c r="BI73" s="3"/>
      <c r="BJ73" s="113">
        <f t="shared" si="34"/>
        <v>0</v>
      </c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30">
        <f t="shared" si="35"/>
        <v>0</v>
      </c>
      <c r="BY73" s="3"/>
    </row>
    <row r="74" ht="15.75" customHeight="1">
      <c r="B74" s="215">
        <v>46084</v>
      </c>
      <c r="C74" s="1452">
        <f>12561.68-0-0</f>
      </c>
      <c r="D74" s="123"/>
      <c r="E74" s="120"/>
      <c r="F74" s="120"/>
      <c r="G74" s="147">
        <f t="shared" si="27"/>
        <v>0</v>
      </c>
      <c r="H74" s="1453"/>
      <c r="I74" s="122"/>
      <c r="J74" s="99">
        <v>749.98</v>
      </c>
      <c r="K74" s="99"/>
      <c r="L74" s="99"/>
      <c r="M74" s="99"/>
      <c r="N74" s="121">
        <v>153</v>
      </c>
      <c r="O74" s="99"/>
      <c r="P74" s="99"/>
      <c r="Q74" s="99"/>
      <c r="R74" s="99"/>
      <c r="S74" s="99"/>
      <c r="T74" s="256">
        <v>110.14</v>
      </c>
      <c r="U74" s="99"/>
      <c r="V74" s="122"/>
      <c r="W74" s="99"/>
      <c r="X74" s="103">
        <f t="shared" si="28"/>
        <v>0</v>
      </c>
      <c r="Y74" s="641"/>
      <c r="Z74" s="641"/>
      <c r="AA74" s="99"/>
      <c r="AB74" s="143"/>
      <c r="AC74" s="143"/>
      <c r="AD74" s="143"/>
      <c r="AE74" s="143"/>
      <c r="AF74" s="143"/>
      <c r="AG74" s="143"/>
      <c r="AH74" s="143"/>
      <c r="AI74" s="145">
        <v>15</v>
      </c>
      <c r="AJ74" s="143"/>
      <c r="AK74" s="145">
        <v>20</v>
      </c>
      <c r="AL74" s="103">
        <f t="shared" si="29"/>
        <v>0</v>
      </c>
      <c r="AM74" s="119">
        <v>1084.28</v>
      </c>
      <c r="AN74" s="123"/>
      <c r="AO74" s="123"/>
      <c r="AP74" s="105">
        <f t="shared" si="30"/>
        <v>0</v>
      </c>
      <c r="AQ74" s="99"/>
      <c r="AR74" s="99"/>
      <c r="AS74" s="99"/>
      <c r="AT74" s="124"/>
      <c r="AU74" s="224">
        <f t="shared" si="31"/>
        <v>0</v>
      </c>
      <c r="AV74" s="1554">
        <v>10429.3</v>
      </c>
      <c r="AW74" s="1709"/>
      <c r="AX74" s="1546"/>
      <c r="AY74" s="1546"/>
      <c r="AZ74" s="1546"/>
      <c r="BA74" s="1546"/>
      <c r="BB74" s="141"/>
      <c r="BC74" s="152"/>
      <c r="BD74" s="152"/>
      <c r="BE74" s="152"/>
      <c r="BF74" s="152"/>
      <c r="BG74" s="222">
        <f t="shared" si="32"/>
        <v>0</v>
      </c>
      <c r="BH74" s="113">
        <f t="shared" si="33"/>
        <v>0</v>
      </c>
      <c r="BI74" s="3"/>
      <c r="BJ74" s="113">
        <f t="shared" si="34"/>
        <v>0</v>
      </c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30">
        <f t="shared" si="35"/>
        <v>0</v>
      </c>
      <c r="BY74" s="3"/>
    </row>
    <row r="75" ht="15.75" customHeight="1">
      <c r="B75" s="215">
        <v>46085</v>
      </c>
      <c r="C75" s="1452">
        <f>13339.05-0-0</f>
      </c>
      <c r="D75" s="123"/>
      <c r="E75" s="120"/>
      <c r="F75" s="120"/>
      <c r="G75" s="147">
        <f t="shared" si="27"/>
        <v>0</v>
      </c>
      <c r="H75" s="1454"/>
      <c r="I75" s="122"/>
      <c r="J75" s="121">
        <v>332.44</v>
      </c>
      <c r="K75" s="99"/>
      <c r="L75" s="99"/>
      <c r="M75" s="99"/>
      <c r="N75" s="99"/>
      <c r="O75" s="99"/>
      <c r="P75" s="99"/>
      <c r="Q75" s="99"/>
      <c r="R75" s="99"/>
      <c r="S75" s="99"/>
      <c r="T75" s="124"/>
      <c r="U75" s="99"/>
      <c r="V75" s="122"/>
      <c r="W75" s="99"/>
      <c r="X75" s="103">
        <f t="shared" si="28"/>
        <v>0</v>
      </c>
      <c r="Y75" s="641"/>
      <c r="Z75" s="641"/>
      <c r="AA75" s="99"/>
      <c r="AB75" s="143"/>
      <c r="AC75" s="143"/>
      <c r="AD75" s="143"/>
      <c r="AE75" s="143"/>
      <c r="AF75" s="143"/>
      <c r="AG75" s="143"/>
      <c r="AH75" s="143"/>
      <c r="AI75" s="145">
        <v>25</v>
      </c>
      <c r="AJ75" s="143"/>
      <c r="AK75" s="143"/>
      <c r="AL75" s="103">
        <f t="shared" si="29"/>
        <v>0</v>
      </c>
      <c r="AM75" s="119">
        <v>2318.98</v>
      </c>
      <c r="AN75" s="123"/>
      <c r="AO75" s="123"/>
      <c r="AP75" s="105">
        <f t="shared" si="30"/>
        <v>0</v>
      </c>
      <c r="AQ75" s="99"/>
      <c r="AR75" s="99"/>
      <c r="AS75" s="99"/>
      <c r="AT75" s="124"/>
      <c r="AU75" s="224">
        <f t="shared" si="31"/>
        <v>0</v>
      </c>
      <c r="AV75" s="1554">
        <v>10558.1</v>
      </c>
      <c r="AW75" s="1709"/>
      <c r="AX75" s="1546"/>
      <c r="AY75" s="1546"/>
      <c r="AZ75" s="1546"/>
      <c r="BA75" s="1546"/>
      <c r="BB75" s="141"/>
      <c r="BC75" s="152"/>
      <c r="BD75" s="152"/>
      <c r="BE75" s="152"/>
      <c r="BF75" s="152"/>
      <c r="BG75" s="222">
        <f t="shared" si="32"/>
        <v>0</v>
      </c>
      <c r="BH75" s="113">
        <f t="shared" si="33"/>
        <v>0</v>
      </c>
      <c r="BI75" s="3"/>
      <c r="BJ75" s="113">
        <f t="shared" si="34"/>
        <v>0</v>
      </c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31"/>
      <c r="BV75" s="129">
        <v>104.5</v>
      </c>
      <c r="BW75" s="129"/>
      <c r="BX75" s="130">
        <f t="shared" si="35"/>
        <v>0</v>
      </c>
      <c r="BY75" s="3"/>
    </row>
    <row r="76" ht="15.75" customHeight="1">
      <c r="B76" s="215">
        <v>46086</v>
      </c>
      <c r="C76" s="1452">
        <f>13208.26-0-0</f>
      </c>
      <c r="D76" s="123"/>
      <c r="E76" s="120"/>
      <c r="F76" s="120"/>
      <c r="G76" s="147">
        <f t="shared" si="27"/>
        <v>0</v>
      </c>
      <c r="H76" s="1453"/>
      <c r="I76" s="122"/>
      <c r="J76" s="99">
        <v>1028.48</v>
      </c>
      <c r="K76" s="99"/>
      <c r="L76" s="99"/>
      <c r="M76" s="99"/>
      <c r="N76" s="99">
        <v>344.6</v>
      </c>
      <c r="O76" s="99"/>
      <c r="P76" s="99"/>
      <c r="Q76" s="99"/>
      <c r="R76" s="99"/>
      <c r="S76" s="99"/>
      <c r="T76" s="124"/>
      <c r="U76" s="99"/>
      <c r="V76" s="122"/>
      <c r="W76" s="99"/>
      <c r="X76" s="103">
        <f t="shared" si="28"/>
        <v>0</v>
      </c>
      <c r="Y76" s="641"/>
      <c r="Z76" s="641"/>
      <c r="AA76" s="99"/>
      <c r="AB76" s="143"/>
      <c r="AC76" s="143"/>
      <c r="AD76" s="143"/>
      <c r="AE76" s="143"/>
      <c r="AF76" s="143"/>
      <c r="AG76" s="143"/>
      <c r="AH76" s="143"/>
      <c r="AI76" s="145">
        <v>35</v>
      </c>
      <c r="AJ76" s="143"/>
      <c r="AK76" s="145">
        <v>20</v>
      </c>
      <c r="AL76" s="103">
        <f t="shared" si="29"/>
        <v>0</v>
      </c>
      <c r="AM76" s="119">
        <v>1389.37</v>
      </c>
      <c r="AN76" s="123"/>
      <c r="AO76" s="123"/>
      <c r="AP76" s="105">
        <f t="shared" si="30"/>
        <v>0</v>
      </c>
      <c r="AQ76" s="99"/>
      <c r="AR76" s="99"/>
      <c r="AS76" s="99"/>
      <c r="AT76" s="124"/>
      <c r="AU76" s="224">
        <f t="shared" si="31"/>
        <v>0</v>
      </c>
      <c r="AV76" s="1554">
        <v>10390.8</v>
      </c>
      <c r="AW76" s="1709"/>
      <c r="AX76" s="1546"/>
      <c r="AY76" s="1546"/>
      <c r="AZ76" s="1546"/>
      <c r="BA76" s="1546"/>
      <c r="BB76" s="141"/>
      <c r="BC76" s="152"/>
      <c r="BD76" s="152"/>
      <c r="BE76" s="152"/>
      <c r="BF76" s="152"/>
      <c r="BG76" s="222">
        <f t="shared" si="32"/>
        <v>0</v>
      </c>
      <c r="BH76" s="113">
        <f t="shared" si="33"/>
        <v>0</v>
      </c>
      <c r="BI76" s="3"/>
      <c r="BJ76" s="113">
        <f t="shared" si="34"/>
        <v>0</v>
      </c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30">
        <f t="shared" si="35"/>
        <v>0</v>
      </c>
      <c r="BY76" s="3"/>
    </row>
    <row r="77" ht="15.75" customHeight="1">
      <c r="B77" s="215">
        <v>46087</v>
      </c>
      <c r="C77" s="1452">
        <f>14503.54-0-0</f>
      </c>
      <c r="D77" s="123"/>
      <c r="E77" s="120"/>
      <c r="F77" s="120"/>
      <c r="G77" s="147">
        <f t="shared" si="27"/>
        <v>0</v>
      </c>
      <c r="H77" s="1453"/>
      <c r="I77" s="122"/>
      <c r="J77" s="99">
        <v>1970.39</v>
      </c>
      <c r="K77" s="99"/>
      <c r="L77" s="99"/>
      <c r="M77" s="99"/>
      <c r="N77" s="121">
        <v>161</v>
      </c>
      <c r="O77" s="99"/>
      <c r="P77" s="99"/>
      <c r="Q77" s="99"/>
      <c r="R77" s="99"/>
      <c r="S77" s="99"/>
      <c r="T77" s="124"/>
      <c r="U77" s="99"/>
      <c r="V77" s="122"/>
      <c r="W77" s="99"/>
      <c r="X77" s="103">
        <f t="shared" si="28"/>
        <v>0</v>
      </c>
      <c r="Y77" s="641"/>
      <c r="Z77" s="641"/>
      <c r="AA77" s="99"/>
      <c r="AB77" s="143"/>
      <c r="AC77" s="143"/>
      <c r="AD77" s="143"/>
      <c r="AE77" s="143"/>
      <c r="AF77" s="143"/>
      <c r="AG77" s="143"/>
      <c r="AH77" s="143"/>
      <c r="AI77" s="145">
        <v>25</v>
      </c>
      <c r="AJ77" s="143"/>
      <c r="AK77" s="145">
        <v>80</v>
      </c>
      <c r="AL77" s="103">
        <f t="shared" si="29"/>
        <v>0</v>
      </c>
      <c r="AM77" s="119">
        <v>2359.02</v>
      </c>
      <c r="AN77" s="123"/>
      <c r="AO77" s="123"/>
      <c r="AP77" s="105">
        <f t="shared" si="30"/>
        <v>0</v>
      </c>
      <c r="AQ77" s="99"/>
      <c r="AR77" s="99"/>
      <c r="AS77" s="99"/>
      <c r="AT77" s="124"/>
      <c r="AU77" s="224">
        <f t="shared" si="31"/>
        <v>0</v>
      </c>
      <c r="AV77" s="1554">
        <v>9908.1</v>
      </c>
      <c r="AW77" s="1709"/>
      <c r="AX77" s="1546"/>
      <c r="AY77" s="1546"/>
      <c r="AZ77" s="1546"/>
      <c r="BA77" s="1546"/>
      <c r="BB77" s="141"/>
      <c r="BC77" s="152"/>
      <c r="BD77" s="152"/>
      <c r="BE77" s="152"/>
      <c r="BF77" s="152"/>
      <c r="BG77" s="222">
        <f t="shared" si="32"/>
        <v>0</v>
      </c>
      <c r="BH77" s="113">
        <f t="shared" si="33"/>
        <v>0</v>
      </c>
      <c r="BI77" s="3"/>
      <c r="BJ77" s="113">
        <f t="shared" si="34"/>
        <v>0</v>
      </c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30">
        <f t="shared" si="35"/>
        <v>0</v>
      </c>
      <c r="BY77" s="3"/>
    </row>
    <row r="78" ht="15.75" customHeight="1">
      <c r="B78" s="215">
        <v>46088</v>
      </c>
      <c r="C78" s="382">
        <f>16798.46-0-0</f>
      </c>
      <c r="D78" s="136"/>
      <c r="E78" s="135"/>
      <c r="F78" s="135"/>
      <c r="G78" s="147">
        <f t="shared" si="27"/>
        <v>0</v>
      </c>
      <c r="H78" s="1453"/>
      <c r="I78" s="122"/>
      <c r="J78" s="99">
        <v>1358.13</v>
      </c>
      <c r="K78" s="99"/>
      <c r="L78" s="99"/>
      <c r="M78" s="99"/>
      <c r="N78" s="99">
        <v>428.2</v>
      </c>
      <c r="O78" s="99"/>
      <c r="P78" s="99"/>
      <c r="Q78" s="99"/>
      <c r="R78" s="99"/>
      <c r="S78" s="99"/>
      <c r="T78" s="124"/>
      <c r="U78" s="99"/>
      <c r="V78" s="122"/>
      <c r="W78" s="99"/>
      <c r="X78" s="103">
        <f t="shared" si="28"/>
        <v>0</v>
      </c>
      <c r="Y78" s="641"/>
      <c r="Z78" s="641"/>
      <c r="AA78" s="99"/>
      <c r="AB78" s="143"/>
      <c r="AC78" s="143"/>
      <c r="AD78" s="143"/>
      <c r="AE78" s="143"/>
      <c r="AF78" s="143"/>
      <c r="AG78" s="143"/>
      <c r="AH78" s="143"/>
      <c r="AI78" s="145">
        <v>20</v>
      </c>
      <c r="AJ78" s="143"/>
      <c r="AK78" s="145">
        <v>80</v>
      </c>
      <c r="AL78" s="103">
        <f t="shared" si="29"/>
        <v>0</v>
      </c>
      <c r="AM78" s="134">
        <v>3433.97</v>
      </c>
      <c r="AN78" s="136"/>
      <c r="AO78" s="136"/>
      <c r="AP78" s="105">
        <f t="shared" si="30"/>
        <v>0</v>
      </c>
      <c r="AQ78" s="99"/>
      <c r="AR78" s="99"/>
      <c r="AS78" s="99"/>
      <c r="AT78" s="124"/>
      <c r="AU78" s="224">
        <f t="shared" si="31"/>
        <v>0</v>
      </c>
      <c r="AV78" s="1554">
        <v>11478.2</v>
      </c>
      <c r="AW78" s="1709"/>
      <c r="AX78" s="1546"/>
      <c r="AY78" s="1546"/>
      <c r="AZ78" s="1546"/>
      <c r="BA78" s="1546"/>
      <c r="BB78" s="141"/>
      <c r="BC78" s="152"/>
      <c r="BD78" s="152"/>
      <c r="BE78" s="152"/>
      <c r="BF78" s="152"/>
      <c r="BG78" s="222">
        <f t="shared" si="32"/>
        <v>0</v>
      </c>
      <c r="BH78" s="140">
        <f t="shared" si="33"/>
        <v>0</v>
      </c>
      <c r="BI78" s="132"/>
      <c r="BJ78" s="140">
        <f t="shared" si="34"/>
        <v>0</v>
      </c>
      <c r="BK78" s="141"/>
      <c r="BL78" s="141"/>
      <c r="BM78" s="141"/>
      <c r="BN78" s="141"/>
      <c r="BO78" s="141"/>
      <c r="BP78" s="141"/>
      <c r="BQ78" s="141"/>
      <c r="BR78" s="141"/>
      <c r="BS78" s="141"/>
      <c r="BT78" s="141"/>
      <c r="BU78" s="141"/>
      <c r="BV78" s="141"/>
      <c r="BW78" s="141"/>
      <c r="BX78" s="130">
        <f t="shared" si="35"/>
        <v>0</v>
      </c>
      <c r="BY78" s="132"/>
    </row>
    <row r="79" ht="15.75" customHeight="1">
      <c r="B79" s="215">
        <v>46089</v>
      </c>
      <c r="C79" s="382">
        <f>9425.68-0-0</f>
      </c>
      <c r="D79" s="136"/>
      <c r="E79" s="135"/>
      <c r="F79" s="135"/>
      <c r="G79" s="147">
        <f t="shared" si="27"/>
        <v>0</v>
      </c>
      <c r="H79" s="1453"/>
      <c r="I79" s="122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124"/>
      <c r="U79" s="99"/>
      <c r="V79" s="122"/>
      <c r="W79" s="99"/>
      <c r="X79" s="103">
        <f t="shared" si="28"/>
        <v>0</v>
      </c>
      <c r="Y79" s="641"/>
      <c r="Z79" s="641"/>
      <c r="AA79" s="99"/>
      <c r="AB79" s="143"/>
      <c r="AC79" s="143"/>
      <c r="AD79" s="143"/>
      <c r="AE79" s="143"/>
      <c r="AF79" s="143"/>
      <c r="AG79" s="143"/>
      <c r="AH79" s="143"/>
      <c r="AI79" s="143"/>
      <c r="AJ79" s="143"/>
      <c r="AK79" s="145"/>
      <c r="AL79" s="103">
        <f t="shared" si="29"/>
        <v>0</v>
      </c>
      <c r="AM79" s="134">
        <v>927.17</v>
      </c>
      <c r="AN79" s="136"/>
      <c r="AO79" s="136"/>
      <c r="AP79" s="105">
        <f t="shared" si="30"/>
        <v>0</v>
      </c>
      <c r="AQ79" s="99"/>
      <c r="AR79" s="99"/>
      <c r="AS79" s="99"/>
      <c r="AT79" s="124"/>
      <c r="AU79" s="224">
        <f t="shared" si="31"/>
        <v>0</v>
      </c>
      <c r="AV79" s="1554">
        <v>8478.5</v>
      </c>
      <c r="AW79" s="1709"/>
      <c r="AX79" s="1546"/>
      <c r="AY79" s="1546"/>
      <c r="AZ79" s="1546"/>
      <c r="BA79" s="1546"/>
      <c r="BB79" s="141"/>
      <c r="BC79" s="152"/>
      <c r="BD79" s="152"/>
      <c r="BE79" s="152"/>
      <c r="BF79" s="152"/>
      <c r="BG79" s="222">
        <f t="shared" si="32"/>
        <v>0</v>
      </c>
      <c r="BH79" s="140">
        <f t="shared" si="33"/>
        <v>0</v>
      </c>
      <c r="BI79" s="132"/>
      <c r="BJ79" s="140">
        <f t="shared" si="34"/>
        <v>0</v>
      </c>
      <c r="BK79" s="141"/>
      <c r="BL79" s="141"/>
      <c r="BM79" s="141"/>
      <c r="BN79" s="141"/>
      <c r="BO79" s="141"/>
      <c r="BP79" s="141"/>
      <c r="BQ79" s="141"/>
      <c r="BR79" s="141"/>
      <c r="BS79" s="141"/>
      <c r="BT79" s="141"/>
      <c r="BU79" s="141"/>
      <c r="BV79" s="141"/>
      <c r="BW79" s="141"/>
      <c r="BX79" s="130">
        <f t="shared" si="35"/>
        <v>0</v>
      </c>
      <c r="BY79" s="132"/>
    </row>
    <row r="80" ht="15.75" customHeight="1">
      <c r="B80" s="215">
        <v>46090</v>
      </c>
      <c r="C80" s="382">
        <f>12429.64-0-0</f>
      </c>
      <c r="D80" s="136"/>
      <c r="E80" s="135"/>
      <c r="F80" s="135"/>
      <c r="G80" s="147">
        <f t="shared" si="27"/>
        <v>0</v>
      </c>
      <c r="H80" s="1453"/>
      <c r="I80" s="122"/>
      <c r="J80" s="99">
        <v>394.16</v>
      </c>
      <c r="K80" s="99"/>
      <c r="L80" s="99"/>
      <c r="M80" s="99"/>
      <c r="N80" s="121">
        <v>200.4</v>
      </c>
      <c r="O80" s="99"/>
      <c r="P80" s="99"/>
      <c r="Q80" s="99"/>
      <c r="R80" s="99"/>
      <c r="S80" s="99"/>
      <c r="T80" s="124"/>
      <c r="U80" s="99"/>
      <c r="V80" s="640"/>
      <c r="W80" s="99"/>
      <c r="X80" s="103">
        <f t="shared" si="28"/>
        <v>0</v>
      </c>
      <c r="Y80" s="641"/>
      <c r="Z80" s="641"/>
      <c r="AA80" s="99"/>
      <c r="AB80" s="143"/>
      <c r="AC80" s="143"/>
      <c r="AD80" s="143"/>
      <c r="AE80" s="143"/>
      <c r="AF80" s="143"/>
      <c r="AG80" s="143"/>
      <c r="AH80" s="143"/>
      <c r="AI80" s="145">
        <v>30</v>
      </c>
      <c r="AJ80" s="143"/>
      <c r="AK80" s="143"/>
      <c r="AL80" s="103">
        <f t="shared" si="29"/>
        <v>0</v>
      </c>
      <c r="AM80" s="134">
        <v>1481.03</v>
      </c>
      <c r="AN80" s="136"/>
      <c r="AO80" s="136"/>
      <c r="AP80" s="105">
        <f t="shared" si="30"/>
        <v>0</v>
      </c>
      <c r="AQ80" s="99"/>
      <c r="AR80" s="99"/>
      <c r="AS80" s="99"/>
      <c r="AT80" s="124"/>
      <c r="AU80" s="224">
        <f t="shared" si="31"/>
        <v>0</v>
      </c>
      <c r="AV80" s="1554">
        <v>10324.1</v>
      </c>
      <c r="AW80" s="1709"/>
      <c r="AX80" s="1546"/>
      <c r="AY80" s="1546"/>
      <c r="AZ80" s="1546"/>
      <c r="BA80" s="1546"/>
      <c r="BB80" s="141"/>
      <c r="BC80" s="152"/>
      <c r="BD80" s="152"/>
      <c r="BE80" s="152"/>
      <c r="BF80" s="152"/>
      <c r="BG80" s="222">
        <f t="shared" si="32"/>
        <v>0</v>
      </c>
      <c r="BH80" s="140">
        <f t="shared" si="33"/>
        <v>0</v>
      </c>
      <c r="BI80" s="132"/>
      <c r="BJ80" s="140">
        <f t="shared" si="34"/>
        <v>0</v>
      </c>
      <c r="BK80" s="141"/>
      <c r="BL80" s="141"/>
      <c r="BM80" s="141"/>
      <c r="BN80" s="141"/>
      <c r="BO80" s="141"/>
      <c r="BP80" s="141"/>
      <c r="BQ80" s="141"/>
      <c r="BR80" s="141"/>
      <c r="BS80" s="141"/>
      <c r="BT80" s="141"/>
      <c r="BU80" s="141"/>
      <c r="BV80" s="141"/>
      <c r="BW80" s="141"/>
      <c r="BX80" s="130">
        <f t="shared" si="35"/>
        <v>0</v>
      </c>
      <c r="BY80" s="132"/>
    </row>
    <row r="81" ht="15.75" customHeight="1">
      <c r="B81" s="215">
        <v>46091</v>
      </c>
      <c r="C81" s="382">
        <f>13199.16-0-0</f>
      </c>
      <c r="D81" s="136"/>
      <c r="E81" s="135"/>
      <c r="F81" s="135"/>
      <c r="G81" s="147">
        <f t="shared" si="27"/>
        <v>0</v>
      </c>
      <c r="H81" s="122"/>
      <c r="I81" s="99"/>
      <c r="J81" s="99">
        <v>927.12</v>
      </c>
      <c r="K81" s="99"/>
      <c r="L81" s="99"/>
      <c r="M81" s="99"/>
      <c r="N81" s="99"/>
      <c r="O81" s="99"/>
      <c r="P81" s="99"/>
      <c r="Q81" s="99"/>
      <c r="R81" s="99"/>
      <c r="S81" s="99"/>
      <c r="T81" s="124"/>
      <c r="U81" s="99"/>
      <c r="V81" s="640"/>
      <c r="W81" s="99"/>
      <c r="X81" s="103">
        <f t="shared" si="28"/>
        <v>0</v>
      </c>
      <c r="Y81" s="641"/>
      <c r="Z81" s="641"/>
      <c r="AA81" s="99"/>
      <c r="AB81" s="143"/>
      <c r="AC81" s="143"/>
      <c r="AD81" s="143"/>
      <c r="AE81" s="143"/>
      <c r="AF81" s="143"/>
      <c r="AG81" s="143"/>
      <c r="AH81" s="143"/>
      <c r="AI81" s="145">
        <v>15</v>
      </c>
      <c r="AJ81" s="143"/>
      <c r="AK81" s="145">
        <v>20</v>
      </c>
      <c r="AL81" s="103">
        <f t="shared" si="29"/>
        <v>0</v>
      </c>
      <c r="AM81" s="134">
        <v>1561.64</v>
      </c>
      <c r="AN81" s="136"/>
      <c r="AO81" s="136"/>
      <c r="AP81" s="105">
        <f t="shared" si="30"/>
        <v>0</v>
      </c>
      <c r="AQ81" s="99"/>
      <c r="AR81" s="99"/>
      <c r="AS81" s="99"/>
      <c r="AT81" s="124"/>
      <c r="AU81" s="224">
        <f t="shared" si="31"/>
        <v>0</v>
      </c>
      <c r="AV81" s="1554">
        <v>10075.4</v>
      </c>
      <c r="AW81" s="1709"/>
      <c r="AX81" s="1546"/>
      <c r="AY81" s="1546"/>
      <c r="AZ81" s="1546"/>
      <c r="BA81" s="1546"/>
      <c r="BB81" s="141"/>
      <c r="BC81" s="152"/>
      <c r="BD81" s="152"/>
      <c r="BE81" s="152"/>
      <c r="BF81" s="152"/>
      <c r="BG81" s="222">
        <f t="shared" si="32"/>
        <v>0</v>
      </c>
      <c r="BH81" s="140">
        <f t="shared" si="33"/>
        <v>0</v>
      </c>
      <c r="BI81" s="132"/>
      <c r="BJ81" s="140">
        <f t="shared" si="34"/>
        <v>0</v>
      </c>
      <c r="BK81" s="141"/>
      <c r="BL81" s="141"/>
      <c r="BM81" s="141"/>
      <c r="BN81" s="141"/>
      <c r="BO81" s="141"/>
      <c r="BP81" s="141"/>
      <c r="BQ81" s="141"/>
      <c r="BR81" s="141"/>
      <c r="BS81" s="141"/>
      <c r="BT81" s="141"/>
      <c r="BU81" s="141"/>
      <c r="BV81" s="141"/>
      <c r="BW81" s="141"/>
      <c r="BX81" s="130">
        <f t="shared" si="35"/>
        <v>0</v>
      </c>
      <c r="BY81" s="132"/>
    </row>
    <row r="82" ht="15.75" customHeight="1">
      <c r="B82" s="215">
        <v>46092</v>
      </c>
      <c r="C82" s="382">
        <f>14911.49-0-0</f>
      </c>
      <c r="D82" s="136"/>
      <c r="E82" s="135"/>
      <c r="F82" s="135"/>
      <c r="G82" s="147">
        <f t="shared" si="27"/>
        <v>0</v>
      </c>
      <c r="H82" s="122"/>
      <c r="I82" s="99"/>
      <c r="J82" s="99">
        <v>377.38</v>
      </c>
      <c r="K82" s="99"/>
      <c r="L82" s="99"/>
      <c r="M82" s="99"/>
      <c r="N82" s="121">
        <v>170</v>
      </c>
      <c r="O82" s="99"/>
      <c r="P82" s="99"/>
      <c r="Q82" s="99"/>
      <c r="R82" s="99"/>
      <c r="S82" s="99"/>
      <c r="T82" s="124"/>
      <c r="U82" s="99"/>
      <c r="V82" s="122"/>
      <c r="W82" s="99"/>
      <c r="X82" s="103">
        <f t="shared" si="28"/>
        <v>0</v>
      </c>
      <c r="Y82" s="641"/>
      <c r="Z82" s="641"/>
      <c r="AA82" s="99"/>
      <c r="AB82" s="143"/>
      <c r="AC82" s="143"/>
      <c r="AD82" s="143"/>
      <c r="AE82" s="143"/>
      <c r="AF82" s="143"/>
      <c r="AG82" s="143"/>
      <c r="AH82" s="143"/>
      <c r="AI82" s="145">
        <v>25</v>
      </c>
      <c r="AJ82" s="143"/>
      <c r="AK82" s="145">
        <v>20</v>
      </c>
      <c r="AL82" s="103">
        <f t="shared" si="29"/>
        <v>0</v>
      </c>
      <c r="AM82" s="134">
        <v>1449.36</v>
      </c>
      <c r="AN82" s="136"/>
      <c r="AO82" s="136"/>
      <c r="AP82" s="105">
        <f t="shared" si="30"/>
        <v>0</v>
      </c>
      <c r="AQ82" s="99"/>
      <c r="AR82" s="99"/>
      <c r="AS82" s="99"/>
      <c r="AT82" s="124"/>
      <c r="AU82" s="224">
        <f t="shared" si="31"/>
        <v>0</v>
      </c>
      <c r="AV82" s="1554">
        <v>12554.4</v>
      </c>
      <c r="AW82" s="1709"/>
      <c r="AX82" s="1546"/>
      <c r="AY82" s="1546"/>
      <c r="AZ82" s="1546"/>
      <c r="BA82" s="1546"/>
      <c r="BB82" s="141"/>
      <c r="BC82" s="152"/>
      <c r="BD82" s="152"/>
      <c r="BE82" s="152"/>
      <c r="BF82" s="152"/>
      <c r="BG82" s="222">
        <f t="shared" si="32"/>
        <v>0</v>
      </c>
      <c r="BH82" s="140">
        <f t="shared" si="33"/>
        <v>0</v>
      </c>
      <c r="BI82" s="132"/>
      <c r="BJ82" s="140">
        <f t="shared" si="34"/>
        <v>0</v>
      </c>
      <c r="BK82" s="141"/>
      <c r="BL82" s="141"/>
      <c r="BM82" s="141"/>
      <c r="BN82" s="141"/>
      <c r="BO82" s="141"/>
      <c r="BP82" s="141"/>
      <c r="BQ82" s="141"/>
      <c r="BR82" s="141"/>
      <c r="BS82" s="141"/>
      <c r="BT82" s="141"/>
      <c r="BU82" s="150"/>
      <c r="BV82" s="141">
        <v>315.3</v>
      </c>
      <c r="BW82" s="141"/>
      <c r="BX82" s="130">
        <f t="shared" si="35"/>
        <v>0</v>
      </c>
      <c r="BY82" s="132"/>
    </row>
    <row r="83" ht="15.75" customHeight="1">
      <c r="B83" s="215">
        <v>46093</v>
      </c>
      <c r="C83" s="382">
        <f>19715.97-0-0</f>
      </c>
      <c r="D83" s="136"/>
      <c r="E83" s="135"/>
      <c r="F83" s="135"/>
      <c r="G83" s="147">
        <f t="shared" si="27"/>
        <v>0</v>
      </c>
      <c r="H83" s="122"/>
      <c r="I83" s="99"/>
      <c r="J83" s="99">
        <v>3778.28</v>
      </c>
      <c r="K83" s="99"/>
      <c r="L83" s="99"/>
      <c r="M83" s="99"/>
      <c r="N83" s="121">
        <v>276.8</v>
      </c>
      <c r="O83" s="99"/>
      <c r="P83" s="99"/>
      <c r="Q83" s="99"/>
      <c r="R83" s="99"/>
      <c r="S83" s="99"/>
      <c r="T83" s="124"/>
      <c r="U83" s="99"/>
      <c r="V83" s="122"/>
      <c r="W83" s="99"/>
      <c r="X83" s="103">
        <f t="shared" si="28"/>
        <v>0</v>
      </c>
      <c r="Y83" s="641"/>
      <c r="Z83" s="641"/>
      <c r="AA83" s="99"/>
      <c r="AB83" s="143"/>
      <c r="AC83" s="143"/>
      <c r="AD83" s="143"/>
      <c r="AE83" s="143"/>
      <c r="AF83" s="143"/>
      <c r="AG83" s="143"/>
      <c r="AH83" s="143"/>
      <c r="AI83" s="145">
        <v>20</v>
      </c>
      <c r="AJ83" s="143"/>
      <c r="AK83" s="145">
        <v>40</v>
      </c>
      <c r="AL83" s="103">
        <f t="shared" si="29"/>
        <v>0</v>
      </c>
      <c r="AM83" s="134">
        <v>1852.28</v>
      </c>
      <c r="AN83" s="136"/>
      <c r="AO83" s="136"/>
      <c r="AP83" s="105">
        <f t="shared" si="30"/>
        <v>0</v>
      </c>
      <c r="AQ83" s="99"/>
      <c r="AR83" s="99"/>
      <c r="AS83" s="99"/>
      <c r="AT83" s="124"/>
      <c r="AU83" s="224">
        <f t="shared" si="31"/>
        <v>0</v>
      </c>
      <c r="AV83" s="1554">
        <v>13748.6</v>
      </c>
      <c r="AW83" s="1709"/>
      <c r="AX83" s="1546"/>
      <c r="AY83" s="1546"/>
      <c r="AZ83" s="1546"/>
      <c r="BA83" s="1546"/>
      <c r="BB83" s="141"/>
      <c r="BC83" s="152"/>
      <c r="BD83" s="152"/>
      <c r="BE83" s="152"/>
      <c r="BF83" s="152"/>
      <c r="BG83" s="222">
        <f t="shared" si="32"/>
        <v>0</v>
      </c>
      <c r="BH83" s="140">
        <f t="shared" si="33"/>
        <v>0</v>
      </c>
      <c r="BI83" s="132"/>
      <c r="BJ83" s="140">
        <f t="shared" si="34"/>
        <v>0</v>
      </c>
      <c r="BK83" s="141"/>
      <c r="BL83" s="141"/>
      <c r="BM83" s="141"/>
      <c r="BN83" s="141"/>
      <c r="BO83" s="141"/>
      <c r="BP83" s="141"/>
      <c r="BQ83" s="141"/>
      <c r="BR83" s="141"/>
      <c r="BS83" s="141"/>
      <c r="BT83" s="141"/>
      <c r="BU83" s="141"/>
      <c r="BV83" s="141"/>
      <c r="BW83" s="141"/>
      <c r="BX83" s="130">
        <f t="shared" si="35"/>
        <v>0</v>
      </c>
      <c r="BY83" s="132"/>
    </row>
    <row r="84" ht="15.75" customHeight="1">
      <c r="B84" s="215">
        <v>46094</v>
      </c>
      <c r="C84" s="382">
        <f>15552.67-0-0</f>
      </c>
      <c r="D84" s="136"/>
      <c r="E84" s="135"/>
      <c r="F84" s="135"/>
      <c r="G84" s="147">
        <f t="shared" si="27"/>
        <v>0</v>
      </c>
      <c r="H84" s="122"/>
      <c r="I84" s="99"/>
      <c r="J84" s="121">
        <v>131.53</v>
      </c>
      <c r="K84" s="121">
        <v>207.6</v>
      </c>
      <c r="L84" s="99"/>
      <c r="M84" s="99"/>
      <c r="N84" s="121">
        <v>340</v>
      </c>
      <c r="O84" s="99"/>
      <c r="P84" s="99"/>
      <c r="Q84" s="99"/>
      <c r="R84" s="99"/>
      <c r="S84" s="99"/>
      <c r="T84" s="124"/>
      <c r="U84" s="99"/>
      <c r="V84" s="122"/>
      <c r="W84" s="99"/>
      <c r="X84" s="103">
        <f t="shared" si="28"/>
        <v>0</v>
      </c>
      <c r="Y84" s="641"/>
      <c r="Z84" s="641"/>
      <c r="AA84" s="99"/>
      <c r="AB84" s="143"/>
      <c r="AC84" s="143"/>
      <c r="AD84" s="143"/>
      <c r="AE84" s="143"/>
      <c r="AF84" s="143"/>
      <c r="AG84" s="143"/>
      <c r="AH84" s="143"/>
      <c r="AI84" s="145">
        <v>30</v>
      </c>
      <c r="AJ84" s="143"/>
      <c r="AK84" s="143"/>
      <c r="AL84" s="103">
        <f t="shared" si="29"/>
        <v>0</v>
      </c>
      <c r="AM84" s="134">
        <v>2274.59</v>
      </c>
      <c r="AN84" s="136"/>
      <c r="AO84" s="136"/>
      <c r="AP84" s="105">
        <f t="shared" si="30"/>
        <v>0</v>
      </c>
      <c r="AQ84" s="99"/>
      <c r="AR84" s="99"/>
      <c r="AS84" s="99"/>
      <c r="AT84" s="124"/>
      <c r="AU84" s="224">
        <f t="shared" si="31"/>
        <v>0</v>
      </c>
      <c r="AV84" s="1554">
        <v>12184</v>
      </c>
      <c r="AW84" s="1709"/>
      <c r="AX84" s="1546"/>
      <c r="AY84" s="1546"/>
      <c r="AZ84" s="1546"/>
      <c r="BA84" s="1546"/>
      <c r="BB84" s="141"/>
      <c r="BC84" s="152"/>
      <c r="BD84" s="152"/>
      <c r="BE84" s="152"/>
      <c r="BF84" s="152"/>
      <c r="BG84" s="222">
        <f t="shared" si="32"/>
        <v>0</v>
      </c>
      <c r="BH84" s="140">
        <f t="shared" si="33"/>
        <v>0</v>
      </c>
      <c r="BI84" s="132"/>
      <c r="BJ84" s="140">
        <f t="shared" si="34"/>
        <v>0</v>
      </c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50"/>
      <c r="BV84" s="141">
        <v>385</v>
      </c>
      <c r="BW84" s="141"/>
      <c r="BX84" s="130">
        <f t="shared" si="35"/>
        <v>0</v>
      </c>
      <c r="BY84" s="132"/>
    </row>
    <row r="85" ht="15.75" customHeight="1">
      <c r="B85" s="215">
        <v>46095</v>
      </c>
      <c r="C85" s="382">
        <f>15643.15-0-0</f>
      </c>
      <c r="D85" s="136"/>
      <c r="E85" s="135"/>
      <c r="F85" s="135"/>
      <c r="G85" s="147">
        <f t="shared" si="27"/>
        <v>0</v>
      </c>
      <c r="H85" s="122"/>
      <c r="I85" s="99"/>
      <c r="J85" s="99">
        <v>1824.08</v>
      </c>
      <c r="K85" s="99"/>
      <c r="L85" s="99"/>
      <c r="M85" s="99"/>
      <c r="N85" s="121">
        <v>207.6</v>
      </c>
      <c r="O85" s="99"/>
      <c r="P85" s="99"/>
      <c r="Q85" s="99"/>
      <c r="R85" s="99"/>
      <c r="S85" s="99"/>
      <c r="T85" s="256">
        <v>173.14</v>
      </c>
      <c r="U85" s="99"/>
      <c r="V85" s="122"/>
      <c r="W85" s="99"/>
      <c r="X85" s="103">
        <f t="shared" si="28"/>
        <v>0</v>
      </c>
      <c r="Y85" s="641"/>
      <c r="Z85" s="641"/>
      <c r="AA85" s="99"/>
      <c r="AB85" s="143"/>
      <c r="AC85" s="143"/>
      <c r="AD85" s="143"/>
      <c r="AE85" s="143"/>
      <c r="AF85" s="143"/>
      <c r="AG85" s="143"/>
      <c r="AH85" s="143"/>
      <c r="AI85" s="145">
        <v>20</v>
      </c>
      <c r="AJ85" s="143"/>
      <c r="AK85" s="143"/>
      <c r="AL85" s="103">
        <f t="shared" si="29"/>
        <v>0</v>
      </c>
      <c r="AM85" s="134">
        <v>1883.71</v>
      </c>
      <c r="AN85" s="136"/>
      <c r="AO85" s="136"/>
      <c r="AP85" s="105">
        <f t="shared" si="30"/>
        <v>0</v>
      </c>
      <c r="AQ85" s="99"/>
      <c r="AR85" s="99"/>
      <c r="AS85" s="99"/>
      <c r="AT85" s="124"/>
      <c r="AU85" s="224">
        <f t="shared" si="31"/>
        <v>0</v>
      </c>
      <c r="AV85" s="1554">
        <v>11534.6</v>
      </c>
      <c r="AW85" s="1709"/>
      <c r="AX85" s="1546"/>
      <c r="AY85" s="1546"/>
      <c r="AZ85" s="1546"/>
      <c r="BA85" s="1546"/>
      <c r="BB85" s="141"/>
      <c r="BC85" s="152"/>
      <c r="BD85" s="152"/>
      <c r="BE85" s="152"/>
      <c r="BF85" s="152"/>
      <c r="BG85" s="222">
        <f t="shared" si="32"/>
        <v>0</v>
      </c>
      <c r="BH85" s="140">
        <f t="shared" si="33"/>
        <v>0</v>
      </c>
      <c r="BI85" s="132"/>
      <c r="BJ85" s="140">
        <f t="shared" si="34"/>
        <v>0</v>
      </c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30">
        <f t="shared" si="35"/>
        <v>0</v>
      </c>
      <c r="BY85" s="132"/>
    </row>
    <row r="86" ht="15.75" customHeight="1">
      <c r="B86" s="215">
        <v>46096</v>
      </c>
      <c r="C86" s="382">
        <f>11626.17-0-0</f>
      </c>
      <c r="D86" s="136"/>
      <c r="E86" s="135"/>
      <c r="F86" s="135"/>
      <c r="G86" s="147">
        <f t="shared" si="27"/>
        <v>0</v>
      </c>
      <c r="H86" s="122"/>
      <c r="I86" s="99"/>
      <c r="J86" s="121">
        <v>93.4</v>
      </c>
      <c r="K86" s="99"/>
      <c r="L86" s="99"/>
      <c r="M86" s="99"/>
      <c r="N86" s="99"/>
      <c r="O86" s="99"/>
      <c r="P86" s="99"/>
      <c r="Q86" s="99"/>
      <c r="R86" s="99"/>
      <c r="S86" s="99"/>
      <c r="T86" s="124"/>
      <c r="U86" s="99"/>
      <c r="V86" s="133"/>
      <c r="W86" s="136"/>
      <c r="X86" s="103">
        <f t="shared" si="28"/>
        <v>0</v>
      </c>
      <c r="Y86" s="641"/>
      <c r="Z86" s="641"/>
      <c r="AA86" s="99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03">
        <f t="shared" si="29"/>
        <v>0</v>
      </c>
      <c r="AM86" s="134">
        <v>1253.49</v>
      </c>
      <c r="AN86" s="136"/>
      <c r="AO86" s="136"/>
      <c r="AP86" s="105">
        <f t="shared" si="30"/>
        <v>0</v>
      </c>
      <c r="AQ86" s="99"/>
      <c r="AR86" s="99"/>
      <c r="AS86" s="99"/>
      <c r="AT86" s="124"/>
      <c r="AU86" s="224">
        <f t="shared" si="31"/>
        <v>0</v>
      </c>
      <c r="AV86" s="1554">
        <v>10279.3</v>
      </c>
      <c r="AW86" s="1709"/>
      <c r="AX86" s="1546"/>
      <c r="AY86" s="1546"/>
      <c r="AZ86" s="1546"/>
      <c r="BA86" s="1546"/>
      <c r="BB86" s="141"/>
      <c r="BC86" s="152"/>
      <c r="BD86" s="152"/>
      <c r="BE86" s="152"/>
      <c r="BF86" s="152"/>
      <c r="BG86" s="222">
        <f t="shared" si="32"/>
        <v>0</v>
      </c>
      <c r="BH86" s="140">
        <f t="shared" si="33"/>
        <v>0</v>
      </c>
      <c r="BI86" s="132"/>
      <c r="BJ86" s="140">
        <f t="shared" si="34"/>
        <v>0</v>
      </c>
      <c r="BK86" s="141"/>
      <c r="BL86" s="141"/>
      <c r="BM86" s="141"/>
      <c r="BN86" s="141"/>
      <c r="BO86" s="141"/>
      <c r="BP86" s="141"/>
      <c r="BQ86" s="141"/>
      <c r="BR86" s="141"/>
      <c r="BS86" s="141"/>
      <c r="BT86" s="141"/>
      <c r="BU86" s="141"/>
      <c r="BV86" s="141"/>
      <c r="BW86" s="141"/>
      <c r="BX86" s="130">
        <f t="shared" si="35"/>
        <v>0</v>
      </c>
      <c r="BY86" s="132"/>
    </row>
    <row r="87" ht="15.75" customHeight="1">
      <c r="B87" s="215">
        <v>46097</v>
      </c>
      <c r="C87" s="382">
        <f>18234.69-0-0</f>
      </c>
      <c r="D87" s="136"/>
      <c r="E87" s="135"/>
      <c r="F87" s="135"/>
      <c r="G87" s="147">
        <f t="shared" si="27"/>
        <v>0</v>
      </c>
      <c r="H87" s="122"/>
      <c r="I87" s="99"/>
      <c r="J87" s="99">
        <v>707.82</v>
      </c>
      <c r="K87" s="99"/>
      <c r="L87" s="99"/>
      <c r="M87" s="99"/>
      <c r="N87" s="121">
        <v>170</v>
      </c>
      <c r="O87" s="99"/>
      <c r="P87" s="99"/>
      <c r="Q87" s="99"/>
      <c r="R87" s="99"/>
      <c r="S87" s="99"/>
      <c r="T87" s="124"/>
      <c r="U87" s="99"/>
      <c r="V87" s="122"/>
      <c r="W87" s="99"/>
      <c r="X87" s="103">
        <f t="shared" si="28"/>
        <v>0</v>
      </c>
      <c r="Y87" s="641"/>
      <c r="Z87" s="641"/>
      <c r="AA87" s="99"/>
      <c r="AB87" s="143"/>
      <c r="AC87" s="143"/>
      <c r="AD87" s="143"/>
      <c r="AE87" s="143"/>
      <c r="AF87" s="143"/>
      <c r="AG87" s="143"/>
      <c r="AH87" s="143"/>
      <c r="AI87" s="145">
        <v>20</v>
      </c>
      <c r="AJ87" s="143"/>
      <c r="AK87" s="145">
        <v>40</v>
      </c>
      <c r="AL87" s="103">
        <f t="shared" si="29"/>
        <v>0</v>
      </c>
      <c r="AM87" s="134">
        <v>1860.45</v>
      </c>
      <c r="AN87" s="136"/>
      <c r="AO87" s="136"/>
      <c r="AP87" s="105">
        <f t="shared" si="30"/>
        <v>0</v>
      </c>
      <c r="AQ87" s="99"/>
      <c r="AR87" s="99"/>
      <c r="AS87" s="99"/>
      <c r="AT87" s="124"/>
      <c r="AU87" s="224">
        <f t="shared" si="31"/>
        <v>0</v>
      </c>
      <c r="AV87" s="1723">
        <v>15136.4</v>
      </c>
      <c r="AW87" s="1709"/>
      <c r="AX87" s="1546"/>
      <c r="AY87" s="1546"/>
      <c r="AZ87" s="1546"/>
      <c r="BA87" s="1546"/>
      <c r="BB87" s="141"/>
      <c r="BC87" s="152"/>
      <c r="BD87" s="152"/>
      <c r="BE87" s="152"/>
      <c r="BF87" s="152"/>
      <c r="BG87" s="222">
        <f t="shared" si="32"/>
        <v>0</v>
      </c>
      <c r="BH87" s="140">
        <f t="shared" si="33"/>
        <v>0</v>
      </c>
      <c r="BI87" s="132"/>
      <c r="BJ87" s="140">
        <f t="shared" si="34"/>
        <v>0</v>
      </c>
      <c r="BK87" s="141"/>
      <c r="BL87" s="141"/>
      <c r="BM87" s="141"/>
      <c r="BN87" s="141"/>
      <c r="BO87" s="141"/>
      <c r="BP87" s="141"/>
      <c r="BQ87" s="141"/>
      <c r="BR87" s="141"/>
      <c r="BS87" s="141"/>
      <c r="BT87" s="141"/>
      <c r="BU87" s="150"/>
      <c r="BV87" s="141">
        <v>300</v>
      </c>
      <c r="BW87" s="141"/>
      <c r="BX87" s="130">
        <f t="shared" si="35"/>
        <v>0</v>
      </c>
      <c r="BY87" s="132"/>
    </row>
    <row r="88" ht="15.75" customHeight="1">
      <c r="B88" s="215">
        <v>46098</v>
      </c>
      <c r="C88" s="382">
        <f>15072.43-0-0</f>
      </c>
      <c r="D88" s="136"/>
      <c r="E88" s="135"/>
      <c r="F88" s="135"/>
      <c r="G88" s="147">
        <f t="shared" si="27"/>
        <v>0</v>
      </c>
      <c r="H88" s="122"/>
      <c r="I88" s="99"/>
      <c r="J88" s="121">
        <v>538.72</v>
      </c>
      <c r="K88" s="99"/>
      <c r="L88" s="99"/>
      <c r="M88" s="99"/>
      <c r="N88" s="121">
        <v>183</v>
      </c>
      <c r="O88" s="99"/>
      <c r="P88" s="99">
        <v>100</v>
      </c>
      <c r="Q88" s="99"/>
      <c r="R88" s="99"/>
      <c r="S88" s="99"/>
      <c r="T88" s="124"/>
      <c r="U88" s="99"/>
      <c r="V88" s="133"/>
      <c r="W88" s="136"/>
      <c r="X88" s="103">
        <f t="shared" si="28"/>
        <v>0</v>
      </c>
      <c r="Y88" s="641"/>
      <c r="Z88" s="641"/>
      <c r="AA88" s="121"/>
      <c r="AB88" s="143"/>
      <c r="AC88" s="143"/>
      <c r="AD88" s="143"/>
      <c r="AE88" s="143"/>
      <c r="AF88" s="143"/>
      <c r="AG88" s="143"/>
      <c r="AH88" s="143"/>
      <c r="AI88" s="145">
        <v>20</v>
      </c>
      <c r="AJ88" s="143"/>
      <c r="AK88" s="143">
        <v>100</v>
      </c>
      <c r="AL88" s="103">
        <f t="shared" si="29"/>
        <v>0</v>
      </c>
      <c r="AM88" s="134">
        <v>1436.69</v>
      </c>
      <c r="AN88" s="136"/>
      <c r="AO88" s="136"/>
      <c r="AP88" s="105">
        <f t="shared" si="30"/>
        <v>0</v>
      </c>
      <c r="AQ88" s="99"/>
      <c r="AR88" s="99"/>
      <c r="AS88" s="99"/>
      <c r="AT88" s="124"/>
      <c r="AU88" s="224">
        <f t="shared" si="31"/>
        <v>0</v>
      </c>
      <c r="AV88" s="1723">
        <v>12694.1</v>
      </c>
      <c r="AW88" s="1709"/>
      <c r="AX88" s="1546"/>
      <c r="AY88" s="1546"/>
      <c r="AZ88" s="1546"/>
      <c r="BA88" s="1546"/>
      <c r="BB88" s="141"/>
      <c r="BC88" s="152"/>
      <c r="BD88" s="152"/>
      <c r="BE88" s="152"/>
      <c r="BF88" s="152"/>
      <c r="BG88" s="222">
        <f t="shared" si="32"/>
        <v>0</v>
      </c>
      <c r="BH88" s="140">
        <f t="shared" si="33"/>
        <v>0</v>
      </c>
      <c r="BI88" s="132"/>
      <c r="BJ88" s="140">
        <f t="shared" si="34"/>
        <v>0</v>
      </c>
      <c r="BK88" s="141"/>
      <c r="BL88" s="141"/>
      <c r="BM88" s="141"/>
      <c r="BN88" s="141"/>
      <c r="BO88" s="141"/>
      <c r="BP88" s="141"/>
      <c r="BQ88" s="141"/>
      <c r="BR88" s="141"/>
      <c r="BS88" s="141"/>
      <c r="BT88" s="141"/>
      <c r="BU88" s="141"/>
      <c r="BV88" s="141"/>
      <c r="BW88" s="141"/>
      <c r="BX88" s="130">
        <f t="shared" si="35"/>
        <v>0</v>
      </c>
      <c r="BY88" s="132"/>
    </row>
    <row r="89" ht="15.75" customHeight="1">
      <c r="B89" s="215">
        <v>46099</v>
      </c>
      <c r="C89" s="382">
        <f>20724.93-0-0</f>
      </c>
      <c r="D89" s="136"/>
      <c r="E89" s="135"/>
      <c r="F89" s="135"/>
      <c r="G89" s="147">
        <f t="shared" si="27"/>
        <v>0</v>
      </c>
      <c r="H89" s="122"/>
      <c r="I89" s="99"/>
      <c r="J89" s="121">
        <v>1114.05</v>
      </c>
      <c r="K89" s="99"/>
      <c r="L89" s="99"/>
      <c r="M89" s="99"/>
      <c r="N89" s="99">
        <v>501.4</v>
      </c>
      <c r="O89" s="99"/>
      <c r="P89" s="99"/>
      <c r="Q89" s="99"/>
      <c r="R89" s="99"/>
      <c r="S89" s="99"/>
      <c r="T89" s="124"/>
      <c r="U89" s="99"/>
      <c r="V89" s="133"/>
      <c r="W89" s="136"/>
      <c r="X89" s="103">
        <f t="shared" si="28"/>
        <v>0</v>
      </c>
      <c r="Y89" s="641"/>
      <c r="Z89" s="641"/>
      <c r="AA89" s="99"/>
      <c r="AB89" s="143"/>
      <c r="AC89" s="143"/>
      <c r="AD89" s="143"/>
      <c r="AE89" s="143"/>
      <c r="AF89" s="143"/>
      <c r="AG89" s="143"/>
      <c r="AH89" s="143"/>
      <c r="AI89" s="145">
        <v>15</v>
      </c>
      <c r="AJ89" s="143"/>
      <c r="AK89" s="145">
        <v>20</v>
      </c>
      <c r="AL89" s="103">
        <f t="shared" si="29"/>
        <v>0</v>
      </c>
      <c r="AM89" s="134">
        <v>1727.57</v>
      </c>
      <c r="AN89" s="136"/>
      <c r="AO89" s="136"/>
      <c r="AP89" s="105">
        <f t="shared" si="30"/>
        <v>0</v>
      </c>
      <c r="AQ89" s="99"/>
      <c r="AR89" s="99"/>
      <c r="AS89" s="99"/>
      <c r="AT89" s="124"/>
      <c r="AU89" s="224">
        <f t="shared" si="31"/>
        <v>0</v>
      </c>
      <c r="AV89" s="1723">
        <v>17346.9</v>
      </c>
      <c r="AW89" s="1709"/>
      <c r="AX89" s="1546"/>
      <c r="AY89" s="1546"/>
      <c r="AZ89" s="1546"/>
      <c r="BA89" s="1546"/>
      <c r="BB89" s="141"/>
      <c r="BC89" s="152"/>
      <c r="BD89" s="152"/>
      <c r="BE89" s="152"/>
      <c r="BF89" s="152"/>
      <c r="BG89" s="222">
        <f t="shared" si="32"/>
        <v>0</v>
      </c>
      <c r="BH89" s="140">
        <f t="shared" si="33"/>
        <v>0</v>
      </c>
      <c r="BI89" s="132"/>
      <c r="BJ89" s="140">
        <f t="shared" si="34"/>
        <v>0</v>
      </c>
      <c r="BK89" s="141"/>
      <c r="BL89" s="141"/>
      <c r="BM89" s="141"/>
      <c r="BN89" s="141"/>
      <c r="BO89" s="141"/>
      <c r="BP89" s="141"/>
      <c r="BQ89" s="141"/>
      <c r="BR89" s="141"/>
      <c r="BS89" s="141"/>
      <c r="BT89" s="141"/>
      <c r="BU89" s="141"/>
      <c r="BV89" s="141"/>
      <c r="BW89" s="141"/>
      <c r="BX89" s="130">
        <f t="shared" si="35"/>
        <v>0</v>
      </c>
      <c r="BY89" s="132"/>
    </row>
    <row r="90" ht="15.75" customHeight="1">
      <c r="B90" s="215">
        <v>46100</v>
      </c>
      <c r="C90" s="382">
        <f>26635.26-0-0</f>
      </c>
      <c r="D90" s="136"/>
      <c r="E90" s="135"/>
      <c r="F90" s="135"/>
      <c r="G90" s="147">
        <f t="shared" si="27"/>
        <v>0</v>
      </c>
      <c r="H90" s="122"/>
      <c r="I90" s="99"/>
      <c r="J90" s="121">
        <v>1504.44</v>
      </c>
      <c r="K90" s="99"/>
      <c r="L90" s="99"/>
      <c r="M90" s="99"/>
      <c r="N90" s="99"/>
      <c r="O90" s="99"/>
      <c r="P90" s="99"/>
      <c r="Q90" s="99"/>
      <c r="R90" s="99"/>
      <c r="S90" s="99"/>
      <c r="T90" s="124"/>
      <c r="U90" s="99"/>
      <c r="V90" s="122"/>
      <c r="W90" s="99"/>
      <c r="X90" s="103">
        <f t="shared" si="28"/>
        <v>0</v>
      </c>
      <c r="Y90" s="641"/>
      <c r="Z90" s="641"/>
      <c r="AA90" s="99"/>
      <c r="AB90" s="143"/>
      <c r="AC90" s="143"/>
      <c r="AD90" s="143"/>
      <c r="AE90" s="143"/>
      <c r="AF90" s="143"/>
      <c r="AG90" s="143"/>
      <c r="AH90" s="143"/>
      <c r="AI90" s="145">
        <v>30</v>
      </c>
      <c r="AJ90" s="143"/>
      <c r="AK90" s="145">
        <v>60</v>
      </c>
      <c r="AL90" s="103">
        <f t="shared" si="29"/>
        <v>0</v>
      </c>
      <c r="AM90" s="134">
        <v>3965.77</v>
      </c>
      <c r="AN90" s="136"/>
      <c r="AO90" s="136"/>
      <c r="AP90" s="105">
        <f t="shared" si="30"/>
        <v>0</v>
      </c>
      <c r="AQ90" s="99"/>
      <c r="AR90" s="99"/>
      <c r="AS90" s="99"/>
      <c r="AT90" s="124"/>
      <c r="AU90" s="224">
        <f t="shared" si="31"/>
        <v>0</v>
      </c>
      <c r="AV90" s="1723">
        <v>21075.1</v>
      </c>
      <c r="AW90" s="1709"/>
      <c r="AX90" s="1546"/>
      <c r="AY90" s="1546"/>
      <c r="AZ90" s="1546"/>
      <c r="BA90" s="1546"/>
      <c r="BB90" s="141"/>
      <c r="BC90" s="152"/>
      <c r="BD90" s="152"/>
      <c r="BE90" s="152"/>
      <c r="BF90" s="152"/>
      <c r="BG90" s="222">
        <f t="shared" si="32"/>
        <v>0</v>
      </c>
      <c r="BH90" s="140">
        <f t="shared" si="33"/>
        <v>0</v>
      </c>
      <c r="BI90" s="132"/>
      <c r="BJ90" s="140">
        <f t="shared" si="34"/>
        <v>0</v>
      </c>
      <c r="BK90" s="141"/>
      <c r="BL90" s="141"/>
      <c r="BM90" s="141"/>
      <c r="BN90" s="141"/>
      <c r="BO90" s="141"/>
      <c r="BP90" s="141"/>
      <c r="BQ90" s="141"/>
      <c r="BR90" s="141"/>
      <c r="BS90" s="141"/>
      <c r="BT90" s="141"/>
      <c r="BU90" s="141"/>
      <c r="BV90" s="141"/>
      <c r="BW90" s="141"/>
      <c r="BX90" s="130">
        <f t="shared" si="35"/>
        <v>0</v>
      </c>
      <c r="BY90" s="132"/>
    </row>
    <row r="91" ht="15.75" customHeight="1">
      <c r="B91" s="215">
        <v>46101</v>
      </c>
      <c r="C91" s="382">
        <f>22796.22-0-0</f>
      </c>
      <c r="D91" s="136"/>
      <c r="E91" s="135"/>
      <c r="F91" s="135"/>
      <c r="G91" s="147">
        <f t="shared" si="27"/>
        <v>0</v>
      </c>
      <c r="H91" s="122"/>
      <c r="I91" s="99"/>
      <c r="J91" s="121">
        <v>620.36</v>
      </c>
      <c r="K91" s="99"/>
      <c r="L91" s="99"/>
      <c r="M91" s="99"/>
      <c r="N91" s="121">
        <v>185</v>
      </c>
      <c r="O91" s="99"/>
      <c r="P91" s="99"/>
      <c r="Q91" s="99"/>
      <c r="R91" s="99"/>
      <c r="S91" s="99"/>
      <c r="T91" s="124"/>
      <c r="U91" s="99"/>
      <c r="V91" s="122"/>
      <c r="W91" s="99"/>
      <c r="X91" s="103">
        <f t="shared" si="28"/>
        <v>0</v>
      </c>
      <c r="Y91" s="641"/>
      <c r="Z91" s="641"/>
      <c r="AA91" s="99"/>
      <c r="AB91" s="143"/>
      <c r="AC91" s="143"/>
      <c r="AD91" s="143"/>
      <c r="AE91" s="143"/>
      <c r="AF91" s="143"/>
      <c r="AG91" s="143"/>
      <c r="AH91" s="143"/>
      <c r="AI91" s="145">
        <v>30</v>
      </c>
      <c r="AJ91" s="143"/>
      <c r="AK91" s="143"/>
      <c r="AL91" s="103">
        <f t="shared" si="29"/>
        <v>0</v>
      </c>
      <c r="AM91" s="134">
        <v>2239.4</v>
      </c>
      <c r="AN91" s="136"/>
      <c r="AO91" s="136"/>
      <c r="AP91" s="105">
        <f t="shared" si="30"/>
        <v>0</v>
      </c>
      <c r="AQ91" s="99"/>
      <c r="AR91" s="99"/>
      <c r="AS91" s="99"/>
      <c r="AT91" s="124"/>
      <c r="AU91" s="224">
        <f t="shared" si="31"/>
        <v>0</v>
      </c>
      <c r="AV91" s="1723">
        <v>19721.5</v>
      </c>
      <c r="AW91" s="1709"/>
      <c r="AX91" s="1546"/>
      <c r="AY91" s="1546"/>
      <c r="AZ91" s="1546"/>
      <c r="BA91" s="1546"/>
      <c r="BB91" s="141"/>
      <c r="BC91" s="152"/>
      <c r="BD91" s="152"/>
      <c r="BE91" s="152"/>
      <c r="BF91" s="152"/>
      <c r="BG91" s="222">
        <f t="shared" si="32"/>
        <v>0</v>
      </c>
      <c r="BH91" s="140">
        <f t="shared" si="33"/>
        <v>0</v>
      </c>
      <c r="BI91" s="132"/>
      <c r="BJ91" s="140">
        <f t="shared" si="34"/>
        <v>0</v>
      </c>
      <c r="BK91" s="141"/>
      <c r="BL91" s="141"/>
      <c r="BM91" s="141"/>
      <c r="BN91" s="141"/>
      <c r="BO91" s="141"/>
      <c r="BP91" s="141"/>
      <c r="BQ91" s="141"/>
      <c r="BR91" s="141"/>
      <c r="BS91" s="141"/>
      <c r="BT91" s="141"/>
      <c r="BU91" s="141"/>
      <c r="BV91" s="141"/>
      <c r="BW91" s="141"/>
      <c r="BX91" s="130">
        <f t="shared" si="35"/>
        <v>0</v>
      </c>
      <c r="BY91" s="132"/>
    </row>
    <row r="92" ht="15.75" customHeight="1">
      <c r="B92" s="215">
        <v>46102</v>
      </c>
      <c r="C92" s="382">
        <f>22398.09-0-0</f>
      </c>
      <c r="D92" s="136"/>
      <c r="E92" s="135"/>
      <c r="F92" s="135"/>
      <c r="G92" s="147">
        <f t="shared" si="27"/>
        <v>0</v>
      </c>
      <c r="H92" s="122"/>
      <c r="I92" s="99"/>
      <c r="J92" s="99">
        <v>847.49</v>
      </c>
      <c r="K92" s="99"/>
      <c r="L92" s="99"/>
      <c r="M92" s="99"/>
      <c r="N92" s="121">
        <v>185</v>
      </c>
      <c r="O92" s="99"/>
      <c r="P92" s="99"/>
      <c r="Q92" s="99"/>
      <c r="R92" s="99"/>
      <c r="S92" s="99"/>
      <c r="T92" s="256">
        <v>170.6</v>
      </c>
      <c r="U92" s="99"/>
      <c r="V92" s="122"/>
      <c r="W92" s="99"/>
      <c r="X92" s="103">
        <f t="shared" si="28"/>
        <v>0</v>
      </c>
      <c r="Y92" s="641"/>
      <c r="Z92" s="641"/>
      <c r="AA92" s="99"/>
      <c r="AB92" s="143"/>
      <c r="AC92" s="143"/>
      <c r="AD92" s="143"/>
      <c r="AE92" s="143"/>
      <c r="AF92" s="143"/>
      <c r="AG92" s="143"/>
      <c r="AH92" s="143"/>
      <c r="AI92" s="145">
        <v>50</v>
      </c>
      <c r="AJ92" s="143"/>
      <c r="AK92" s="145">
        <v>20</v>
      </c>
      <c r="AL92" s="103">
        <f t="shared" si="29"/>
        <v>0</v>
      </c>
      <c r="AM92" s="134">
        <v>2314.37</v>
      </c>
      <c r="AN92" s="136"/>
      <c r="AO92" s="136"/>
      <c r="AP92" s="105">
        <f t="shared" si="30"/>
        <v>0</v>
      </c>
      <c r="AQ92" s="99"/>
      <c r="AR92" s="99"/>
      <c r="AS92" s="99"/>
      <c r="AT92" s="124"/>
      <c r="AU92" s="224">
        <f t="shared" si="31"/>
        <v>0</v>
      </c>
      <c r="AV92" s="1723">
        <v>18810.6</v>
      </c>
      <c r="AW92" s="1709"/>
      <c r="AX92" s="1546"/>
      <c r="AY92" s="1546"/>
      <c r="AZ92" s="1546"/>
      <c r="BA92" s="1546"/>
      <c r="BB92" s="141"/>
      <c r="BC92" s="152"/>
      <c r="BD92" s="152"/>
      <c r="BE92" s="152"/>
      <c r="BF92" s="152"/>
      <c r="BG92" s="222">
        <f t="shared" si="32"/>
        <v>0</v>
      </c>
      <c r="BH92" s="140">
        <f t="shared" si="33"/>
        <v>0</v>
      </c>
      <c r="BI92" s="132"/>
      <c r="BJ92" s="140">
        <f t="shared" si="34"/>
        <v>0</v>
      </c>
      <c r="BK92" s="141"/>
      <c r="BL92" s="141"/>
      <c r="BM92" s="141"/>
      <c r="BN92" s="141"/>
      <c r="BO92" s="141"/>
      <c r="BP92" s="141"/>
      <c r="BQ92" s="141"/>
      <c r="BR92" s="141"/>
      <c r="BS92" s="141"/>
      <c r="BT92" s="141"/>
      <c r="BU92" s="141"/>
      <c r="BV92" s="141"/>
      <c r="BW92" s="141"/>
      <c r="BX92" s="130">
        <f t="shared" si="35"/>
        <v>0</v>
      </c>
      <c r="BY92" s="132"/>
    </row>
    <row r="93" ht="15.75" customHeight="1">
      <c r="B93" s="215">
        <v>46103</v>
      </c>
      <c r="C93" s="382">
        <f>14260.04-0-0</f>
      </c>
      <c r="D93" s="136"/>
      <c r="E93" s="135"/>
      <c r="F93" s="135"/>
      <c r="G93" s="147">
        <f t="shared" si="27"/>
        <v>0</v>
      </c>
      <c r="H93" s="122"/>
      <c r="I93" s="99"/>
      <c r="J93" s="121">
        <v>67.27</v>
      </c>
      <c r="K93" s="99"/>
      <c r="L93" s="99"/>
      <c r="M93" s="99"/>
      <c r="N93" s="99"/>
      <c r="O93" s="99"/>
      <c r="P93" s="99"/>
      <c r="Q93" s="99"/>
      <c r="R93" s="99"/>
      <c r="S93" s="99"/>
      <c r="T93" s="124"/>
      <c r="U93" s="99"/>
      <c r="V93" s="640"/>
      <c r="W93" s="99"/>
      <c r="X93" s="103">
        <f t="shared" si="28"/>
        <v>0</v>
      </c>
      <c r="Y93" s="641"/>
      <c r="Z93" s="641"/>
      <c r="AA93" s="99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03">
        <f t="shared" si="29"/>
        <v>0</v>
      </c>
      <c r="AM93" s="134">
        <v>983.45</v>
      </c>
      <c r="AN93" s="136"/>
      <c r="AO93" s="136"/>
      <c r="AP93" s="105">
        <f t="shared" si="30"/>
        <v>0</v>
      </c>
      <c r="AQ93" s="99"/>
      <c r="AR93" s="99"/>
      <c r="AS93" s="99"/>
      <c r="AT93" s="124"/>
      <c r="AU93" s="224">
        <f t="shared" si="31"/>
        <v>0</v>
      </c>
      <c r="AV93" s="1723">
        <v>13209.3</v>
      </c>
      <c r="AW93" s="1709"/>
      <c r="AX93" s="1546"/>
      <c r="AY93" s="1546"/>
      <c r="AZ93" s="1546"/>
      <c r="BA93" s="1546"/>
      <c r="BB93" s="141"/>
      <c r="BC93" s="152"/>
      <c r="BD93" s="152"/>
      <c r="BE93" s="152"/>
      <c r="BF93" s="152"/>
      <c r="BG93" s="222">
        <f t="shared" si="32"/>
        <v>0</v>
      </c>
      <c r="BH93" s="140">
        <f t="shared" si="33"/>
        <v>0</v>
      </c>
      <c r="BI93" s="132"/>
      <c r="BJ93" s="140">
        <f t="shared" si="34"/>
        <v>0</v>
      </c>
      <c r="BK93" s="141"/>
      <c r="BL93" s="141"/>
      <c r="BM93" s="141"/>
      <c r="BN93" s="141"/>
      <c r="BO93" s="141"/>
      <c r="BP93" s="141"/>
      <c r="BQ93" s="141"/>
      <c r="BR93" s="141"/>
      <c r="BS93" s="141"/>
      <c r="BT93" s="141"/>
      <c r="BU93" s="141"/>
      <c r="BV93" s="141"/>
      <c r="BW93" s="141"/>
      <c r="BX93" s="130">
        <f t="shared" si="35"/>
        <v>0</v>
      </c>
      <c r="BY93" s="132"/>
    </row>
    <row r="94" ht="15.75" customHeight="1">
      <c r="B94" s="215">
        <v>46104</v>
      </c>
      <c r="C94" s="382">
        <f>25639.17-0-0</f>
      </c>
      <c r="D94" s="136"/>
      <c r="E94" s="135"/>
      <c r="F94" s="135"/>
      <c r="G94" s="147">
        <f t="shared" si="27"/>
        <v>0</v>
      </c>
      <c r="H94" s="122"/>
      <c r="I94" s="99"/>
      <c r="J94" s="99">
        <v>1670.17</v>
      </c>
      <c r="K94" s="99"/>
      <c r="L94" s="99"/>
      <c r="M94" s="99"/>
      <c r="N94" s="121">
        <v>185</v>
      </c>
      <c r="O94" s="99"/>
      <c r="P94" s="99"/>
      <c r="Q94" s="99"/>
      <c r="R94" s="99"/>
      <c r="S94" s="99"/>
      <c r="T94" s="124"/>
      <c r="U94" s="99"/>
      <c r="V94" s="122"/>
      <c r="W94" s="99"/>
      <c r="X94" s="103">
        <f t="shared" si="28"/>
        <v>0</v>
      </c>
      <c r="Y94" s="641"/>
      <c r="Z94" s="641"/>
      <c r="AA94" s="99"/>
      <c r="AB94" s="143"/>
      <c r="AC94" s="143"/>
      <c r="AD94" s="143"/>
      <c r="AE94" s="143"/>
      <c r="AF94" s="143"/>
      <c r="AG94" s="143"/>
      <c r="AH94" s="143"/>
      <c r="AI94" s="145">
        <v>30</v>
      </c>
      <c r="AJ94" s="143"/>
      <c r="AK94" s="143"/>
      <c r="AL94" s="103">
        <f t="shared" si="29"/>
        <v>0</v>
      </c>
      <c r="AM94" s="134">
        <v>2920.39</v>
      </c>
      <c r="AN94" s="136"/>
      <c r="AO94" s="136"/>
      <c r="AP94" s="105">
        <f t="shared" si="30"/>
        <v>0</v>
      </c>
      <c r="AQ94" s="99"/>
      <c r="AR94" s="99"/>
      <c r="AS94" s="99"/>
      <c r="AT94" s="124"/>
      <c r="AU94" s="224">
        <f t="shared" si="31"/>
        <v>0</v>
      </c>
      <c r="AV94" s="1723">
        <v>20197.5</v>
      </c>
      <c r="AW94" s="1709"/>
      <c r="AX94" s="1546"/>
      <c r="AY94" s="1546"/>
      <c r="AZ94" s="1546"/>
      <c r="BA94" s="1546"/>
      <c r="BB94" s="141"/>
      <c r="BC94" s="152"/>
      <c r="BD94" s="152"/>
      <c r="BE94" s="152"/>
      <c r="BF94" s="152"/>
      <c r="BG94" s="222">
        <f t="shared" si="32"/>
        <v>0</v>
      </c>
      <c r="BH94" s="140">
        <f t="shared" si="33"/>
        <v>0</v>
      </c>
      <c r="BI94" s="132"/>
      <c r="BJ94" s="140">
        <f t="shared" si="34"/>
        <v>0</v>
      </c>
      <c r="BK94" s="141"/>
      <c r="BL94" s="141"/>
      <c r="BM94" s="141"/>
      <c r="BN94" s="141"/>
      <c r="BO94" s="141"/>
      <c r="BP94" s="141"/>
      <c r="BQ94" s="141"/>
      <c r="BR94" s="141"/>
      <c r="BS94" s="141"/>
      <c r="BT94" s="141"/>
      <c r="BU94" s="141"/>
      <c r="BV94" s="141"/>
      <c r="BW94" s="141"/>
      <c r="BX94" s="130">
        <f t="shared" si="35"/>
        <v>0</v>
      </c>
      <c r="BY94" s="132"/>
    </row>
    <row r="95" ht="15.75" customHeight="1">
      <c r="B95" s="215">
        <v>46105</v>
      </c>
      <c r="C95" s="382">
        <f>23635.10-0-0</f>
      </c>
      <c r="D95" s="136"/>
      <c r="E95" s="135"/>
      <c r="F95" s="135"/>
      <c r="G95" s="147">
        <f t="shared" si="27"/>
        <v>0</v>
      </c>
      <c r="H95" s="122"/>
      <c r="I95" s="99"/>
      <c r="J95" s="99">
        <v>1281.1</v>
      </c>
      <c r="K95" s="99"/>
      <c r="L95" s="99"/>
      <c r="M95" s="99"/>
      <c r="N95" s="121">
        <v>198</v>
      </c>
      <c r="O95" s="99"/>
      <c r="P95" s="99"/>
      <c r="Q95" s="99"/>
      <c r="R95" s="99"/>
      <c r="S95" s="99"/>
      <c r="T95" s="124"/>
      <c r="U95" s="99"/>
      <c r="V95" s="122"/>
      <c r="W95" s="99"/>
      <c r="X95" s="103">
        <f t="shared" si="28"/>
        <v>0</v>
      </c>
      <c r="Y95" s="641"/>
      <c r="Z95" s="641"/>
      <c r="AA95" s="99"/>
      <c r="AB95" s="143"/>
      <c r="AC95" s="143"/>
      <c r="AD95" s="143"/>
      <c r="AE95" s="143"/>
      <c r="AF95" s="143"/>
      <c r="AG95" s="143"/>
      <c r="AH95" s="143"/>
      <c r="AI95" s="145">
        <v>40</v>
      </c>
      <c r="AJ95" s="143"/>
      <c r="AK95" s="145">
        <v>40</v>
      </c>
      <c r="AL95" s="103">
        <f t="shared" si="29"/>
        <v>0</v>
      </c>
      <c r="AM95" s="134">
        <v>1732.91</v>
      </c>
      <c r="AN95" s="136"/>
      <c r="AO95" s="136"/>
      <c r="AP95" s="105">
        <f t="shared" si="30"/>
        <v>0</v>
      </c>
      <c r="AQ95" s="99"/>
      <c r="AR95" s="99"/>
      <c r="AS95" s="99"/>
      <c r="AT95" s="124"/>
      <c r="AU95" s="224">
        <f t="shared" si="31"/>
        <v>0</v>
      </c>
      <c r="AV95" s="1723">
        <v>20343.1</v>
      </c>
      <c r="AW95" s="1709"/>
      <c r="AX95" s="1546"/>
      <c r="AY95" s="1546"/>
      <c r="AZ95" s="1546"/>
      <c r="BA95" s="1546"/>
      <c r="BB95" s="141"/>
      <c r="BC95" s="152"/>
      <c r="BD95" s="152"/>
      <c r="BE95" s="152"/>
      <c r="BF95" s="152"/>
      <c r="BG95" s="222">
        <f t="shared" si="32"/>
        <v>0</v>
      </c>
      <c r="BH95" s="140">
        <f t="shared" si="33"/>
        <v>0</v>
      </c>
      <c r="BI95" s="132"/>
      <c r="BJ95" s="140">
        <f t="shared" si="34"/>
        <v>0</v>
      </c>
      <c r="BK95" s="141"/>
      <c r="BL95" s="141"/>
      <c r="BM95" s="141"/>
      <c r="BN95" s="141"/>
      <c r="BO95" s="141"/>
      <c r="BP95" s="141"/>
      <c r="BQ95" s="141"/>
      <c r="BR95" s="141"/>
      <c r="BS95" s="141"/>
      <c r="BT95" s="141"/>
      <c r="BU95" s="141"/>
      <c r="BV95" s="141"/>
      <c r="BW95" s="141"/>
      <c r="BX95" s="130">
        <f t="shared" si="35"/>
        <v>0</v>
      </c>
      <c r="BY95" s="132"/>
    </row>
    <row r="96" ht="15.75" customHeight="1">
      <c r="B96" s="215">
        <v>46106</v>
      </c>
      <c r="C96" s="382">
        <f>23089.76-0-0</f>
      </c>
      <c r="D96" s="136"/>
      <c r="E96" s="135"/>
      <c r="F96" s="135"/>
      <c r="G96" s="147">
        <f t="shared" si="27"/>
        <v>0</v>
      </c>
      <c r="H96" s="122"/>
      <c r="I96" s="99"/>
      <c r="J96" s="121">
        <v>1200.74</v>
      </c>
      <c r="K96" s="99"/>
      <c r="L96" s="99"/>
      <c r="M96" s="99"/>
      <c r="N96" s="99">
        <v>540.4</v>
      </c>
      <c r="O96" s="99"/>
      <c r="P96" s="99"/>
      <c r="Q96" s="99"/>
      <c r="R96" s="99"/>
      <c r="S96" s="99"/>
      <c r="T96" s="124"/>
      <c r="U96" s="99"/>
      <c r="V96" s="133"/>
      <c r="W96" s="136"/>
      <c r="X96" s="103">
        <f t="shared" si="28"/>
        <v>0</v>
      </c>
      <c r="Y96" s="641"/>
      <c r="Z96" s="641"/>
      <c r="AA96" s="99"/>
      <c r="AB96" s="143"/>
      <c r="AC96" s="143"/>
      <c r="AD96" s="143"/>
      <c r="AE96" s="143"/>
      <c r="AF96" s="143"/>
      <c r="AG96" s="143"/>
      <c r="AH96" s="143"/>
      <c r="AI96" s="145">
        <v>30</v>
      </c>
      <c r="AJ96" s="143"/>
      <c r="AK96" s="143"/>
      <c r="AL96" s="103">
        <f t="shared" si="29"/>
        <v>0</v>
      </c>
      <c r="AM96" s="134">
        <v>2126.38</v>
      </c>
      <c r="AN96" s="136"/>
      <c r="AO96" s="136"/>
      <c r="AP96" s="105">
        <f t="shared" si="30"/>
        <v>0</v>
      </c>
      <c r="AQ96" s="99"/>
      <c r="AR96" s="99"/>
      <c r="AS96" s="99"/>
      <c r="AT96" s="124"/>
      <c r="AU96" s="224">
        <f t="shared" si="31"/>
        <v>0</v>
      </c>
      <c r="AV96" s="1723">
        <v>19192.2</v>
      </c>
      <c r="AW96" s="1709"/>
      <c r="AX96" s="1546"/>
      <c r="AY96" s="1546"/>
      <c r="AZ96" s="1546"/>
      <c r="BA96" s="1546"/>
      <c r="BB96" s="141"/>
      <c r="BC96" s="152"/>
      <c r="BD96" s="152"/>
      <c r="BE96" s="152"/>
      <c r="BF96" s="152"/>
      <c r="BG96" s="222">
        <f t="shared" si="32"/>
        <v>0</v>
      </c>
      <c r="BH96" s="140">
        <f t="shared" si="33"/>
        <v>0</v>
      </c>
      <c r="BI96" s="132"/>
      <c r="BJ96" s="140">
        <f t="shared" si="34"/>
        <v>0</v>
      </c>
      <c r="BK96" s="141"/>
      <c r="BL96" s="141"/>
      <c r="BM96" s="141"/>
      <c r="BN96" s="141"/>
      <c r="BO96" s="141"/>
      <c r="BP96" s="141"/>
      <c r="BQ96" s="141"/>
      <c r="BR96" s="141"/>
      <c r="BS96" s="141"/>
      <c r="BT96" s="141"/>
      <c r="BU96" s="141"/>
      <c r="BV96" s="141"/>
      <c r="BW96" s="141"/>
      <c r="BX96" s="130">
        <f t="shared" si="35"/>
        <v>0</v>
      </c>
      <c r="BY96" s="132"/>
    </row>
    <row r="97" ht="15.75" customHeight="1">
      <c r="B97" s="215">
        <v>46107</v>
      </c>
      <c r="C97" s="382">
        <f>3082.65-0-0</f>
      </c>
      <c r="D97" s="136"/>
      <c r="E97" s="135"/>
      <c r="F97" s="135"/>
      <c r="G97" s="147">
        <f t="shared" si="27"/>
        <v>0</v>
      </c>
      <c r="H97" s="122"/>
      <c r="I97" s="99"/>
      <c r="J97" s="121">
        <v>1322.47</v>
      </c>
      <c r="K97" s="99"/>
      <c r="L97" s="99"/>
      <c r="M97" s="99"/>
      <c r="N97" s="99"/>
      <c r="O97" s="99"/>
      <c r="P97" s="99"/>
      <c r="Q97" s="99"/>
      <c r="R97" s="99"/>
      <c r="S97" s="99"/>
      <c r="T97" s="124"/>
      <c r="U97" s="99"/>
      <c r="V97" s="122"/>
      <c r="W97" s="99"/>
      <c r="X97" s="103">
        <f t="shared" si="28"/>
        <v>0</v>
      </c>
      <c r="Y97" s="641"/>
      <c r="Z97" s="641"/>
      <c r="AA97" s="99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03">
        <f t="shared" si="29"/>
        <v>0</v>
      </c>
      <c r="AM97" s="134">
        <v>25</v>
      </c>
      <c r="AN97" s="136"/>
      <c r="AO97" s="136"/>
      <c r="AP97" s="105">
        <f t="shared" si="30"/>
        <v>0</v>
      </c>
      <c r="AQ97" s="99"/>
      <c r="AR97" s="99"/>
      <c r="AS97" s="99"/>
      <c r="AT97" s="124"/>
      <c r="AU97" s="224">
        <f t="shared" si="31"/>
        <v>0</v>
      </c>
      <c r="AV97" s="1723">
        <v>1655.2</v>
      </c>
      <c r="AW97" s="1709"/>
      <c r="AX97" s="1546"/>
      <c r="AY97" s="1546"/>
      <c r="AZ97" s="1546"/>
      <c r="BA97" s="1546"/>
      <c r="BB97" s="141"/>
      <c r="BC97" s="152"/>
      <c r="BD97" s="152"/>
      <c r="BE97" s="152"/>
      <c r="BF97" s="152"/>
      <c r="BG97" s="222">
        <f t="shared" si="32"/>
        <v>0</v>
      </c>
      <c r="BH97" s="140">
        <f t="shared" si="33"/>
        <v>0</v>
      </c>
      <c r="BI97" s="132"/>
      <c r="BJ97" s="140">
        <f t="shared" si="34"/>
        <v>0</v>
      </c>
      <c r="BK97" s="141"/>
      <c r="BL97" s="141"/>
      <c r="BM97" s="141"/>
      <c r="BN97" s="141"/>
      <c r="BO97" s="141"/>
      <c r="BP97" s="141"/>
      <c r="BQ97" s="141"/>
      <c r="BR97" s="141"/>
      <c r="BS97" s="141"/>
      <c r="BT97" s="141"/>
      <c r="BU97" s="141"/>
      <c r="BV97" s="150">
        <v>80</v>
      </c>
      <c r="BW97" s="141"/>
      <c r="BX97" s="130">
        <f t="shared" si="35"/>
        <v>0</v>
      </c>
      <c r="BY97" s="132"/>
    </row>
    <row r="98" ht="15.75" customHeight="1">
      <c r="B98" s="215">
        <v>46108</v>
      </c>
      <c r="C98" s="382">
        <f>21310.67-0-0</f>
      </c>
      <c r="D98" s="136"/>
      <c r="E98" s="135"/>
      <c r="F98" s="135"/>
      <c r="G98" s="147">
        <f t="shared" si="27"/>
        <v>0</v>
      </c>
      <c r="H98" s="122"/>
      <c r="I98" s="99"/>
      <c r="J98" s="99">
        <v>612.54</v>
      </c>
      <c r="K98" s="121">
        <v>321</v>
      </c>
      <c r="L98" s="99"/>
      <c r="M98" s="99"/>
      <c r="N98" s="121">
        <v>396</v>
      </c>
      <c r="O98" s="99"/>
      <c r="P98" s="99">
        <v>381</v>
      </c>
      <c r="Q98" s="99"/>
      <c r="R98" s="99"/>
      <c r="S98" s="99"/>
      <c r="T98" s="124"/>
      <c r="U98" s="99"/>
      <c r="V98" s="122"/>
      <c r="W98" s="99"/>
      <c r="X98" s="103">
        <f t="shared" si="28"/>
        <v>0</v>
      </c>
      <c r="Y98" s="641"/>
      <c r="Z98" s="641"/>
      <c r="AA98" s="121"/>
      <c r="AB98" s="143"/>
      <c r="AC98" s="143"/>
      <c r="AD98" s="143"/>
      <c r="AE98" s="143"/>
      <c r="AF98" s="143"/>
      <c r="AG98" s="143"/>
      <c r="AH98" s="143"/>
      <c r="AI98" s="145">
        <v>10</v>
      </c>
      <c r="AJ98" s="143"/>
      <c r="AK98" s="145">
        <v>40</v>
      </c>
      <c r="AL98" s="103">
        <f t="shared" si="29"/>
        <v>0</v>
      </c>
      <c r="AM98" s="134">
        <v>1734.34</v>
      </c>
      <c r="AN98" s="136"/>
      <c r="AO98" s="136"/>
      <c r="AP98" s="105">
        <f t="shared" si="30"/>
        <v>0</v>
      </c>
      <c r="AQ98" s="99"/>
      <c r="AR98" s="99"/>
      <c r="AS98" s="99"/>
      <c r="AT98" s="124"/>
      <c r="AU98" s="224">
        <f t="shared" si="31"/>
        <v>0</v>
      </c>
      <c r="AV98" s="1723">
        <v>17815.8</v>
      </c>
      <c r="AW98" s="1709"/>
      <c r="AX98" s="1546"/>
      <c r="AY98" s="1546"/>
      <c r="AZ98" s="1546"/>
      <c r="BA98" s="1546"/>
      <c r="BB98" s="141"/>
      <c r="BC98" s="152"/>
      <c r="BD98" s="152"/>
      <c r="BE98" s="152"/>
      <c r="BF98" s="152"/>
      <c r="BG98" s="222">
        <f t="shared" si="32"/>
        <v>0</v>
      </c>
      <c r="BH98" s="140">
        <f t="shared" si="33"/>
        <v>0</v>
      </c>
      <c r="BI98" s="132"/>
      <c r="BJ98" s="140">
        <f t="shared" si="34"/>
        <v>0</v>
      </c>
      <c r="BK98" s="141"/>
      <c r="BL98" s="141"/>
      <c r="BM98" s="141"/>
      <c r="BN98" s="141"/>
      <c r="BO98" s="141"/>
      <c r="BP98" s="141"/>
      <c r="BQ98" s="141"/>
      <c r="BR98" s="141"/>
      <c r="BS98" s="141"/>
      <c r="BT98" s="141"/>
      <c r="BU98" s="141"/>
      <c r="BV98" s="141"/>
      <c r="BW98" s="141"/>
      <c r="BX98" s="130">
        <f t="shared" si="35"/>
        <v>0</v>
      </c>
      <c r="BY98" s="132"/>
    </row>
    <row r="99" ht="15.75" customHeight="1">
      <c r="B99" s="215">
        <v>46109</v>
      </c>
      <c r="C99" s="382">
        <f>21709.67-0-0</f>
      </c>
      <c r="D99" s="136"/>
      <c r="E99" s="135"/>
      <c r="F99" s="135"/>
      <c r="G99" s="147">
        <f t="shared" si="27"/>
        <v>0</v>
      </c>
      <c r="H99" s="122"/>
      <c r="I99" s="99"/>
      <c r="J99" s="99">
        <v>442.53</v>
      </c>
      <c r="K99" s="99"/>
      <c r="L99" s="99"/>
      <c r="M99" s="99"/>
      <c r="N99" s="121">
        <v>198</v>
      </c>
      <c r="O99" s="99"/>
      <c r="P99" s="99"/>
      <c r="Q99" s="99"/>
      <c r="R99" s="99"/>
      <c r="S99" s="99"/>
      <c r="T99" s="124"/>
      <c r="U99" s="99"/>
      <c r="V99" s="122"/>
      <c r="W99" s="99"/>
      <c r="X99" s="103">
        <f t="shared" si="28"/>
        <v>0</v>
      </c>
      <c r="Y99" s="641"/>
      <c r="Z99" s="641"/>
      <c r="AA99" s="99"/>
      <c r="AB99" s="143"/>
      <c r="AC99" s="143"/>
      <c r="AD99" s="143"/>
      <c r="AE99" s="143"/>
      <c r="AF99" s="143"/>
      <c r="AG99" s="143"/>
      <c r="AH99" s="143"/>
      <c r="AI99" s="145">
        <v>25</v>
      </c>
      <c r="AJ99" s="143"/>
      <c r="AK99" s="143"/>
      <c r="AL99" s="103">
        <f t="shared" si="29"/>
        <v>0</v>
      </c>
      <c r="AM99" s="134">
        <v>2815.08</v>
      </c>
      <c r="AN99" s="136"/>
      <c r="AO99" s="136"/>
      <c r="AP99" s="105">
        <f t="shared" si="30"/>
        <v>0</v>
      </c>
      <c r="AQ99" s="99"/>
      <c r="AR99" s="99"/>
      <c r="AS99" s="99"/>
      <c r="AT99" s="124"/>
      <c r="AU99" s="224">
        <f t="shared" si="31"/>
        <v>0</v>
      </c>
      <c r="AV99" s="1723">
        <v>18229.1</v>
      </c>
      <c r="AW99" s="1709"/>
      <c r="AX99" s="1546"/>
      <c r="AY99" s="1546"/>
      <c r="AZ99" s="1546"/>
      <c r="BA99" s="1546"/>
      <c r="BB99" s="141"/>
      <c r="BC99" s="152"/>
      <c r="BD99" s="152"/>
      <c r="BE99" s="152"/>
      <c r="BF99" s="152"/>
      <c r="BG99" s="222">
        <f t="shared" si="32"/>
        <v>0</v>
      </c>
      <c r="BH99" s="140">
        <f t="shared" si="33"/>
        <v>0</v>
      </c>
      <c r="BI99" s="132"/>
      <c r="BJ99" s="140">
        <f t="shared" si="34"/>
        <v>0</v>
      </c>
      <c r="BK99" s="141"/>
      <c r="BL99" s="141"/>
      <c r="BM99" s="141"/>
      <c r="BN99" s="141"/>
      <c r="BO99" s="141"/>
      <c r="BP99" s="141"/>
      <c r="BQ99" s="141"/>
      <c r="BR99" s="141"/>
      <c r="BS99" s="141"/>
      <c r="BT99" s="141"/>
      <c r="BU99" s="141"/>
      <c r="BV99" s="141"/>
      <c r="BW99" s="141"/>
      <c r="BX99" s="130">
        <f t="shared" si="35"/>
        <v>0</v>
      </c>
      <c r="BY99" s="132"/>
    </row>
    <row r="100" ht="15.75" customHeight="1">
      <c r="B100" s="215">
        <v>46110</v>
      </c>
      <c r="C100" s="382">
        <f>13890.11-0-0</f>
      </c>
      <c r="D100" s="136"/>
      <c r="E100" s="135"/>
      <c r="F100" s="135"/>
      <c r="G100" s="147">
        <f t="shared" si="27"/>
        <v>0</v>
      </c>
      <c r="H100" s="122"/>
      <c r="I100" s="99"/>
      <c r="J100" s="121">
        <v>829.54</v>
      </c>
      <c r="K100" s="99"/>
      <c r="L100" s="99"/>
      <c r="M100" s="99"/>
      <c r="N100" s="99"/>
      <c r="O100" s="99"/>
      <c r="P100" s="99"/>
      <c r="Q100" s="99"/>
      <c r="R100" s="99"/>
      <c r="S100" s="99"/>
      <c r="T100" s="124"/>
      <c r="U100" s="99"/>
      <c r="V100" s="640"/>
      <c r="W100" s="99"/>
      <c r="X100" s="103">
        <f t="shared" si="28"/>
        <v>0</v>
      </c>
      <c r="Y100" s="641"/>
      <c r="Z100" s="641"/>
      <c r="AA100" s="99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03">
        <f t="shared" si="29"/>
        <v>0</v>
      </c>
      <c r="AM100" s="134">
        <v>767.57</v>
      </c>
      <c r="AN100" s="136"/>
      <c r="AO100" s="136"/>
      <c r="AP100" s="105">
        <f t="shared" si="30"/>
        <v>0</v>
      </c>
      <c r="AQ100" s="99"/>
      <c r="AR100" s="99"/>
      <c r="AS100" s="99"/>
      <c r="AT100" s="124"/>
      <c r="AU100" s="224">
        <f t="shared" si="31"/>
        <v>0</v>
      </c>
      <c r="AV100" s="1723">
        <v>12293</v>
      </c>
      <c r="AW100" s="1709"/>
      <c r="AX100" s="1546"/>
      <c r="AY100" s="1546"/>
      <c r="AZ100" s="1546"/>
      <c r="BA100" s="1546"/>
      <c r="BB100" s="141"/>
      <c r="BC100" s="152"/>
      <c r="BD100" s="152"/>
      <c r="BE100" s="152"/>
      <c r="BF100" s="152"/>
      <c r="BG100" s="222">
        <f t="shared" si="32"/>
        <v>0</v>
      </c>
      <c r="BH100" s="140">
        <f t="shared" si="33"/>
        <v>0</v>
      </c>
      <c r="BI100" s="132"/>
      <c r="BJ100" s="140">
        <f t="shared" si="34"/>
        <v>0</v>
      </c>
      <c r="BK100" s="141"/>
      <c r="BL100" s="141"/>
      <c r="BM100" s="141"/>
      <c r="BN100" s="141"/>
      <c r="BO100" s="141"/>
      <c r="BP100" s="141"/>
      <c r="BQ100" s="141"/>
      <c r="BR100" s="141"/>
      <c r="BS100" s="141"/>
      <c r="BT100" s="141"/>
      <c r="BU100" s="141"/>
      <c r="BV100" s="141"/>
      <c r="BW100" s="141"/>
      <c r="BX100" s="130">
        <f t="shared" si="35"/>
        <v>0</v>
      </c>
      <c r="BY100" s="132"/>
    </row>
    <row r="101" ht="15.75" customHeight="1">
      <c r="B101" s="215">
        <v>46111</v>
      </c>
      <c r="C101" s="382">
        <f>23918.60-0-0</f>
      </c>
      <c r="D101" s="136"/>
      <c r="E101" s="135"/>
      <c r="F101" s="135"/>
      <c r="G101" s="147">
        <f t="shared" si="27"/>
        <v>0</v>
      </c>
      <c r="H101" s="122"/>
      <c r="I101" s="99"/>
      <c r="J101" s="99">
        <v>906.44</v>
      </c>
      <c r="K101" s="99"/>
      <c r="L101" s="99"/>
      <c r="M101" s="99"/>
      <c r="N101" s="121">
        <v>454.8</v>
      </c>
      <c r="O101" s="99"/>
      <c r="P101" s="99"/>
      <c r="Q101" s="99"/>
      <c r="R101" s="99"/>
      <c r="S101" s="99"/>
      <c r="T101" s="124"/>
      <c r="U101" s="99"/>
      <c r="V101" s="640"/>
      <c r="W101" s="99"/>
      <c r="X101" s="103">
        <f t="shared" si="28"/>
        <v>0</v>
      </c>
      <c r="Y101" s="641"/>
      <c r="Z101" s="641"/>
      <c r="AA101" s="99"/>
      <c r="AB101" s="143"/>
      <c r="AC101" s="143"/>
      <c r="AD101" s="143"/>
      <c r="AE101" s="143"/>
      <c r="AF101" s="143"/>
      <c r="AG101" s="143"/>
      <c r="AH101" s="143"/>
      <c r="AI101" s="145">
        <v>30</v>
      </c>
      <c r="AJ101" s="143"/>
      <c r="AK101" s="143"/>
      <c r="AL101" s="103">
        <f t="shared" si="29"/>
        <v>0</v>
      </c>
      <c r="AM101" s="134">
        <v>2022.27</v>
      </c>
      <c r="AN101" s="136"/>
      <c r="AO101" s="136"/>
      <c r="AP101" s="105">
        <f t="shared" si="30"/>
        <v>0</v>
      </c>
      <c r="AQ101" s="99"/>
      <c r="AR101" s="99"/>
      <c r="AS101" s="99"/>
      <c r="AT101" s="124"/>
      <c r="AU101" s="224">
        <f t="shared" si="31"/>
        <v>0</v>
      </c>
      <c r="AV101" s="1723">
        <v>20298.9</v>
      </c>
      <c r="AW101" s="1709"/>
      <c r="AX101" s="1546"/>
      <c r="AY101" s="1546"/>
      <c r="AZ101" s="1546"/>
      <c r="BA101" s="1546"/>
      <c r="BB101" s="141"/>
      <c r="BC101" s="152"/>
      <c r="BD101" s="152"/>
      <c r="BE101" s="152"/>
      <c r="BF101" s="152"/>
      <c r="BG101" s="222">
        <f t="shared" si="32"/>
        <v>0</v>
      </c>
      <c r="BH101" s="140">
        <f t="shared" si="33"/>
        <v>0</v>
      </c>
      <c r="BI101" s="132"/>
      <c r="BJ101" s="140">
        <f t="shared" si="34"/>
        <v>0</v>
      </c>
      <c r="BK101" s="141"/>
      <c r="BL101" s="141"/>
      <c r="BM101" s="141"/>
      <c r="BN101" s="141"/>
      <c r="BO101" s="141"/>
      <c r="BP101" s="141"/>
      <c r="BQ101" s="141"/>
      <c r="BR101" s="141"/>
      <c r="BS101" s="141"/>
      <c r="BT101" s="141"/>
      <c r="BU101" s="141"/>
      <c r="BV101" s="141"/>
      <c r="BW101" s="141"/>
      <c r="BX101" s="130">
        <f t="shared" si="35"/>
        <v>0</v>
      </c>
      <c r="BY101" s="132"/>
    </row>
    <row r="102" ht="15.75" customHeight="1">
      <c r="B102" s="215">
        <v>46112</v>
      </c>
      <c r="C102" s="400">
        <f>22008.32-0-0</f>
      </c>
      <c r="D102" s="159"/>
      <c r="E102" s="156"/>
      <c r="F102" s="156"/>
      <c r="G102" s="147">
        <f t="shared" si="27"/>
        <v>0</v>
      </c>
      <c r="H102" s="656"/>
      <c r="I102" s="657"/>
      <c r="J102" s="1455">
        <v>1197.88</v>
      </c>
      <c r="K102" s="99"/>
      <c r="L102" s="657"/>
      <c r="M102" s="1456"/>
      <c r="N102" s="1456"/>
      <c r="O102" s="657"/>
      <c r="P102" s="657"/>
      <c r="Q102" s="657"/>
      <c r="R102" s="657"/>
      <c r="S102" s="657"/>
      <c r="T102" s="659"/>
      <c r="U102" s="657"/>
      <c r="V102" s="1457"/>
      <c r="W102" s="99"/>
      <c r="X102" s="103">
        <f t="shared" si="28"/>
        <v>0</v>
      </c>
      <c r="Y102" s="658"/>
      <c r="Z102" s="658"/>
      <c r="AA102" s="657"/>
      <c r="AB102" s="157"/>
      <c r="AC102" s="157"/>
      <c r="AD102" s="157"/>
      <c r="AE102" s="157"/>
      <c r="AF102" s="157"/>
      <c r="AG102" s="157"/>
      <c r="AH102" s="157"/>
      <c r="AI102" s="158">
        <v>20</v>
      </c>
      <c r="AJ102" s="157"/>
      <c r="AK102" s="157"/>
      <c r="AL102" s="103">
        <f t="shared" si="29"/>
        <v>0</v>
      </c>
      <c r="AM102" s="134">
        <v>1792.14</v>
      </c>
      <c r="AN102" s="159"/>
      <c r="AO102" s="159"/>
      <c r="AP102" s="105">
        <f t="shared" si="30"/>
        <v>0</v>
      </c>
      <c r="AQ102" s="657"/>
      <c r="AR102" s="657"/>
      <c r="AS102" s="657"/>
      <c r="AT102" s="659"/>
      <c r="AU102" s="224">
        <f t="shared" si="31"/>
        <v>0</v>
      </c>
      <c r="AV102" s="1725">
        <v>18456.2</v>
      </c>
      <c r="AW102" s="1720"/>
      <c r="AX102" s="1557"/>
      <c r="AY102" s="1557"/>
      <c r="AZ102" s="1557"/>
      <c r="BA102" s="1557"/>
      <c r="BB102" s="163"/>
      <c r="BC102" s="879"/>
      <c r="BD102" s="879"/>
      <c r="BE102" s="879"/>
      <c r="BF102" s="879"/>
      <c r="BG102" s="222">
        <f t="shared" si="32"/>
        <v>0</v>
      </c>
      <c r="BH102" s="162">
        <f t="shared" si="33"/>
        <v>0</v>
      </c>
      <c r="BI102" s="132"/>
      <c r="BJ102" s="162">
        <f t="shared" si="34"/>
        <v>0</v>
      </c>
      <c r="BK102" s="163"/>
      <c r="BL102" s="163"/>
      <c r="BM102" s="163"/>
      <c r="BN102" s="163"/>
      <c r="BO102" s="163"/>
      <c r="BP102" s="163"/>
      <c r="BQ102" s="163"/>
      <c r="BR102" s="163"/>
      <c r="BS102" s="163"/>
      <c r="BT102" s="141"/>
      <c r="BU102" s="163"/>
      <c r="BV102" s="789">
        <v>500</v>
      </c>
      <c r="BW102" s="163"/>
      <c r="BX102" s="164">
        <f t="shared" si="35"/>
        <v>0</v>
      </c>
      <c r="BY102" s="132"/>
    </row>
    <row r="103" ht="15.75" customHeight="1">
      <c r="B103" s="1458" t="s">
        <v>78</v>
      </c>
      <c r="C103" s="617">
        <f ref="C103:O103" t="shared" si="36">SUM(C72:C102)</f>
        <v>0</v>
      </c>
      <c r="D103" s="617">
        <f t="shared" si="36"/>
        <v>0</v>
      </c>
      <c r="E103" s="617">
        <f t="shared" si="36"/>
        <v>0</v>
      </c>
      <c r="F103" s="617">
        <f t="shared" si="36"/>
        <v>0</v>
      </c>
      <c r="G103" s="617">
        <f t="shared" si="36"/>
        <v>0</v>
      </c>
      <c r="H103" s="617">
        <f t="shared" si="36"/>
        <v>0</v>
      </c>
      <c r="I103" s="617">
        <f t="shared" si="36"/>
        <v>0</v>
      </c>
      <c r="J103" s="617">
        <f t="shared" si="36"/>
        <v>0</v>
      </c>
      <c r="K103" s="617">
        <f t="shared" si="36"/>
        <v>0</v>
      </c>
      <c r="L103" s="617">
        <f t="shared" si="36"/>
        <v>0</v>
      </c>
      <c r="M103" s="617">
        <f t="shared" si="36"/>
        <v>0</v>
      </c>
      <c r="N103" s="617">
        <f t="shared" si="36"/>
        <v>0</v>
      </c>
      <c r="O103" s="617">
        <f t="shared" si="36"/>
        <v>0</v>
      </c>
      <c r="P103" s="617"/>
      <c r="Q103" s="617">
        <f>SUM(Q72:Q102)</f>
        <v>0</v>
      </c>
      <c r="R103" s="617"/>
      <c r="S103" s="617">
        <f ref="S103:U103" t="shared" si="37">SUM(S72:S102)</f>
        <v>0</v>
      </c>
      <c r="T103" s="617">
        <f t="shared" si="37"/>
        <v>0</v>
      </c>
      <c r="U103" s="1459">
        <f t="shared" si="37"/>
        <v>0</v>
      </c>
      <c r="V103" s="617">
        <f>SUMIF(V72:V102,"&gt;0")</f>
        <v>0</v>
      </c>
      <c r="W103" s="617"/>
      <c r="X103" s="617">
        <f ref="X103:Y103" t="shared" si="38">SUM(X72:X102)</f>
        <v>0</v>
      </c>
      <c r="Y103" s="617">
        <f t="shared" si="38"/>
        <v>0</v>
      </c>
      <c r="Z103" s="617"/>
      <c r="AA103" s="617">
        <f ref="AA103:BY103" t="shared" si="39">SUM(AA72:AA102)</f>
        <v>0</v>
      </c>
      <c r="AB103" s="617">
        <f t="shared" si="39"/>
        <v>0</v>
      </c>
      <c r="AC103" s="617">
        <f t="shared" si="39"/>
        <v>0</v>
      </c>
      <c r="AD103" s="617">
        <f t="shared" si="39"/>
        <v>0</v>
      </c>
      <c r="AE103" s="617">
        <f t="shared" si="39"/>
        <v>0</v>
      </c>
      <c r="AF103" s="617">
        <f t="shared" si="39"/>
        <v>0</v>
      </c>
      <c r="AG103" s="617">
        <f t="shared" si="39"/>
        <v>0</v>
      </c>
      <c r="AH103" s="617">
        <f t="shared" si="39"/>
        <v>0</v>
      </c>
      <c r="AI103" s="617">
        <f t="shared" si="39"/>
        <v>0</v>
      </c>
      <c r="AJ103" s="617">
        <f t="shared" si="39"/>
        <v>0</v>
      </c>
      <c r="AK103" s="617">
        <f t="shared" si="39"/>
        <v>0</v>
      </c>
      <c r="AL103" s="617">
        <f t="shared" si="39"/>
        <v>0</v>
      </c>
      <c r="AM103" s="617">
        <f t="shared" si="39"/>
        <v>0</v>
      </c>
      <c r="AN103" s="617">
        <f t="shared" si="39"/>
        <v>0</v>
      </c>
      <c r="AO103" s="617">
        <f t="shared" si="39"/>
        <v>0</v>
      </c>
      <c r="AP103" s="617">
        <f t="shared" si="39"/>
        <v>0</v>
      </c>
      <c r="AQ103" s="617">
        <f t="shared" si="39"/>
        <v>0</v>
      </c>
      <c r="AR103" s="617">
        <f t="shared" si="39"/>
        <v>0</v>
      </c>
      <c r="AS103" s="617">
        <f t="shared" si="39"/>
        <v>0</v>
      </c>
      <c r="AT103" s="617">
        <f t="shared" si="39"/>
        <v>0</v>
      </c>
      <c r="AU103" s="617">
        <f t="shared" si="39"/>
        <v>0</v>
      </c>
      <c r="AV103" s="1068">
        <f t="shared" si="39"/>
        <v>0</v>
      </c>
      <c r="AW103" s="617">
        <f t="shared" si="39"/>
        <v>0</v>
      </c>
      <c r="AX103" s="617">
        <f t="shared" si="39"/>
        <v>0</v>
      </c>
      <c r="AY103" s="617">
        <f t="shared" si="39"/>
        <v>0</v>
      </c>
      <c r="AZ103" s="617">
        <f t="shared" si="39"/>
        <v>0</v>
      </c>
      <c r="BA103" s="617">
        <f t="shared" si="39"/>
        <v>0</v>
      </c>
      <c r="BB103" s="617">
        <f t="shared" si="39"/>
        <v>0</v>
      </c>
      <c r="BC103" s="617">
        <f t="shared" si="39"/>
        <v>0</v>
      </c>
      <c r="BD103" s="617">
        <f t="shared" si="39"/>
        <v>0</v>
      </c>
      <c r="BE103" s="617">
        <f t="shared" si="39"/>
        <v>0</v>
      </c>
      <c r="BF103" s="617">
        <f t="shared" si="39"/>
        <v>0</v>
      </c>
      <c r="BG103" s="617">
        <f t="shared" si="39"/>
        <v>0</v>
      </c>
      <c r="BH103" s="617">
        <f t="shared" si="39"/>
        <v>0</v>
      </c>
      <c r="BI103" s="617">
        <f t="shared" si="39"/>
        <v>0</v>
      </c>
      <c r="BJ103" s="617">
        <f t="shared" si="39"/>
        <v>0</v>
      </c>
      <c r="BK103" s="617">
        <f t="shared" si="39"/>
        <v>0</v>
      </c>
      <c r="BL103" s="617">
        <f t="shared" si="39"/>
        <v>0</v>
      </c>
      <c r="BM103" s="617">
        <f t="shared" si="39"/>
        <v>0</v>
      </c>
      <c r="BN103" s="617">
        <f t="shared" si="39"/>
        <v>0</v>
      </c>
      <c r="BO103" s="617">
        <f t="shared" si="39"/>
        <v>0</v>
      </c>
      <c r="BP103" s="617">
        <f t="shared" si="39"/>
        <v>0</v>
      </c>
      <c r="BQ103" s="617">
        <f t="shared" si="39"/>
        <v>0</v>
      </c>
      <c r="BR103" s="617">
        <f t="shared" si="39"/>
        <v>0</v>
      </c>
      <c r="BS103" s="617">
        <f t="shared" si="39"/>
        <v>0</v>
      </c>
      <c r="BT103" s="617">
        <f t="shared" si="39"/>
        <v>0</v>
      </c>
      <c r="BU103" s="617">
        <f t="shared" si="39"/>
        <v>0</v>
      </c>
      <c r="BV103" s="617">
        <f t="shared" si="39"/>
        <v>0</v>
      </c>
      <c r="BW103" s="617">
        <f t="shared" si="39"/>
        <v>0</v>
      </c>
      <c r="BX103" s="617">
        <f t="shared" si="39"/>
        <v>0</v>
      </c>
      <c r="BY103" s="617">
        <f t="shared" si="39"/>
        <v>0</v>
      </c>
    </row>
    <row r="104" ht="15.75" customHeight="1">
      <c r="B104" s="1458" t="s">
        <v>11</v>
      </c>
      <c r="C104" s="1"/>
      <c r="D104" s="3"/>
      <c r="E104" s="3"/>
      <c r="F104" s="3"/>
      <c r="G104" s="4"/>
      <c r="H104" s="1460">
        <f ref="H104:W104" t="shared" si="40">SUMIF(H73:H102,"&lt;0")</f>
        <v>0</v>
      </c>
      <c r="I104" s="1460">
        <f t="shared" si="40"/>
        <v>0</v>
      </c>
      <c r="J104" s="1460">
        <f t="shared" si="40"/>
        <v>0</v>
      </c>
      <c r="K104" s="1460">
        <f t="shared" si="40"/>
        <v>0</v>
      </c>
      <c r="L104" s="1460">
        <f t="shared" si="40"/>
        <v>0</v>
      </c>
      <c r="M104" s="1460">
        <f t="shared" si="40"/>
        <v>0</v>
      </c>
      <c r="N104" s="1460">
        <f t="shared" si="40"/>
        <v>0</v>
      </c>
      <c r="O104" s="1460">
        <f t="shared" si="40"/>
        <v>0</v>
      </c>
      <c r="P104" s="1460">
        <f t="shared" si="40"/>
        <v>0</v>
      </c>
      <c r="Q104" s="1460">
        <f t="shared" si="40"/>
        <v>0</v>
      </c>
      <c r="R104" s="1460">
        <f t="shared" si="40"/>
        <v>0</v>
      </c>
      <c r="S104" s="1460">
        <f t="shared" si="40"/>
        <v>0</v>
      </c>
      <c r="T104" s="1460">
        <f t="shared" si="40"/>
        <v>0</v>
      </c>
      <c r="U104" s="1460">
        <f t="shared" si="40"/>
        <v>0</v>
      </c>
      <c r="V104" s="1460">
        <f t="shared" si="40"/>
        <v>0</v>
      </c>
      <c r="W104" s="1460">
        <f t="shared" si="40"/>
        <v>0</v>
      </c>
      <c r="X104" s="3"/>
      <c r="Y104" s="1"/>
      <c r="Z104" s="1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4"/>
      <c r="AQ104" s="3"/>
      <c r="AR104" s="3"/>
      <c r="AS104" s="3"/>
      <c r="AT104" s="3"/>
      <c r="AU104" s="4"/>
      <c r="AV104" s="3"/>
      <c r="AW104" s="3"/>
      <c r="AX104" s="3"/>
      <c r="AY104" s="3"/>
      <c r="AZ104" s="3"/>
      <c r="BA104" s="3"/>
      <c r="BB104" s="132"/>
      <c r="BC104" s="132"/>
      <c r="BD104" s="132"/>
      <c r="BE104" s="132"/>
      <c r="BF104" s="132"/>
      <c r="BG104" s="4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ht="15.75" customHeight="1">
      <c r="B105" s="2"/>
      <c r="C105" s="1"/>
      <c r="D105" s="3"/>
      <c r="E105" s="3"/>
      <c r="F105" s="3"/>
      <c r="G105" s="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1"/>
      <c r="Z105" s="1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176"/>
      <c r="AM105" s="3"/>
      <c r="AN105" s="3"/>
      <c r="AO105" s="3"/>
      <c r="AP105" s="4"/>
      <c r="AQ105" s="3"/>
      <c r="AR105" s="3"/>
      <c r="AS105" s="3"/>
      <c r="AT105" s="3"/>
      <c r="AU105" s="177"/>
      <c r="AV105" s="3"/>
      <c r="AW105" s="3"/>
      <c r="AX105" s="3"/>
      <c r="AY105" s="3"/>
      <c r="AZ105" s="3"/>
      <c r="BA105" s="3"/>
      <c r="BB105" s="132"/>
      <c r="BC105" s="132"/>
      <c r="BD105" s="132"/>
      <c r="BE105" s="132"/>
      <c r="BF105" s="132"/>
      <c r="BG105" s="177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ht="15.75" customHeight="1">
      <c r="B106" s="179">
        <v>46113</v>
      </c>
      <c r="C106" s="419">
        <f>25230.18-0-0</f>
      </c>
      <c r="D106" s="190"/>
      <c r="E106" s="182"/>
      <c r="F106" s="182"/>
      <c r="G106" s="265">
        <f ref="G106:G135" t="shared" si="41">+C106+D106+E106+F106</f>
        <v>0</v>
      </c>
      <c r="H106" s="100"/>
      <c r="I106" s="101"/>
      <c r="J106" s="101">
        <v>936.85</v>
      </c>
      <c r="K106" s="101"/>
      <c r="L106" s="101"/>
      <c r="M106" s="101"/>
      <c r="N106" s="101">
        <v>425</v>
      </c>
      <c r="O106" s="101"/>
      <c r="P106" s="101"/>
      <c r="Q106" s="101"/>
      <c r="R106" s="101"/>
      <c r="S106" s="101"/>
      <c r="T106" s="101"/>
      <c r="U106" s="101"/>
      <c r="V106" s="101"/>
      <c r="W106" s="99"/>
      <c r="X106" s="103">
        <f ref="X106:X135" t="shared" si="42">SUMIF(H106:V106,"&gt;0")</f>
        <v>0</v>
      </c>
      <c r="Y106" s="619"/>
      <c r="Z106" s="619"/>
      <c r="AA106" s="186"/>
      <c r="AB106" s="186"/>
      <c r="AC106" s="186"/>
      <c r="AD106" s="186"/>
      <c r="AE106" s="186"/>
      <c r="AF106" s="186"/>
      <c r="AG106" s="186"/>
      <c r="AH106" s="186"/>
      <c r="AI106" s="188">
        <v>20</v>
      </c>
      <c r="AJ106" s="186"/>
      <c r="AK106" s="186"/>
      <c r="AL106" s="103">
        <f ref="AL106:AL135" t="shared" si="43">SUM(Y106:AK106)</f>
        <v>0</v>
      </c>
      <c r="AM106" s="181">
        <v>3291.7</v>
      </c>
      <c r="AN106" s="190"/>
      <c r="AO106" s="190"/>
      <c r="AP106" s="191">
        <f ref="AP106:AP135" t="shared" si="44">SUM(AM106:AO106)</f>
        <v>0</v>
      </c>
      <c r="AQ106" s="101"/>
      <c r="AR106" s="101"/>
      <c r="AS106" s="101"/>
      <c r="AT106" s="106"/>
      <c r="AU106" s="224">
        <f ref="AU106:AU135" t="shared" si="45">+G106-X106-AL106-AP106-AQ106-AR106-AS106-AT106</f>
        <v>0</v>
      </c>
      <c r="AV106" s="1721">
        <v>20198.1</v>
      </c>
      <c r="AW106" s="1708"/>
      <c r="AX106" s="1537"/>
      <c r="AY106" s="1537"/>
      <c r="AZ106" s="1537"/>
      <c r="BA106" s="1537"/>
      <c r="BB106" s="196"/>
      <c r="BC106" s="490"/>
      <c r="BD106" s="490"/>
      <c r="BE106" s="490"/>
      <c r="BF106" s="490"/>
      <c r="BG106" s="222">
        <f ref="BG106:BG135" t="shared" si="46">SUM(AV106:BF106)-BE106</f>
        <v>0</v>
      </c>
      <c r="BH106" s="140">
        <f ref="BH106:BH135" t="shared" si="47">+AU106-BG106</f>
        <v>0</v>
      </c>
      <c r="BI106" s="132"/>
      <c r="BJ106" s="195">
        <f ref="BJ106:BJ135" t="shared" si="48">SUM(BK106:BW106)</f>
        <v>0</v>
      </c>
      <c r="BK106" s="196"/>
      <c r="BL106" s="196"/>
      <c r="BM106" s="196"/>
      <c r="BN106" s="196"/>
      <c r="BO106" s="196"/>
      <c r="BP106" s="196"/>
      <c r="BQ106" s="196"/>
      <c r="BR106" s="196"/>
      <c r="BS106" s="196"/>
      <c r="BT106" s="196"/>
      <c r="BU106" s="196"/>
      <c r="BV106" s="196"/>
      <c r="BW106" s="196"/>
      <c r="BX106" s="116">
        <f ref="BX106:BX135" t="shared" si="49">+BH106-BJ106</f>
        <v>0</v>
      </c>
      <c r="BY106" s="132"/>
    </row>
    <row r="107" ht="15.75" customHeight="1">
      <c r="B107" s="179">
        <v>46114</v>
      </c>
      <c r="C107" s="382">
        <f>14083.39-0-0</f>
      </c>
      <c r="D107" s="136"/>
      <c r="E107" s="135"/>
      <c r="F107" s="135"/>
      <c r="G107" s="147">
        <f t="shared" si="41"/>
        <v>0</v>
      </c>
      <c r="H107" s="122"/>
      <c r="I107" s="99"/>
      <c r="J107" s="99">
        <v>562.85</v>
      </c>
      <c r="K107" s="99"/>
      <c r="L107" s="99"/>
      <c r="M107" s="99"/>
      <c r="N107" s="99">
        <v>557</v>
      </c>
      <c r="O107" s="99"/>
      <c r="P107" s="99"/>
      <c r="Q107" s="99"/>
      <c r="R107" s="99"/>
      <c r="S107" s="99"/>
      <c r="T107" s="99"/>
      <c r="U107" s="99"/>
      <c r="V107" s="121"/>
      <c r="W107" s="99"/>
      <c r="X107" s="103">
        <f t="shared" si="42"/>
        <v>0</v>
      </c>
      <c r="Y107" s="611"/>
      <c r="Z107" s="611"/>
      <c r="AA107" s="143"/>
      <c r="AB107" s="143"/>
      <c r="AC107" s="143"/>
      <c r="AD107" s="143"/>
      <c r="AE107" s="143"/>
      <c r="AF107" s="143"/>
      <c r="AG107" s="143"/>
      <c r="AH107" s="143"/>
      <c r="AI107" s="145">
        <v>20</v>
      </c>
      <c r="AJ107" s="143"/>
      <c r="AK107" s="145">
        <v>20</v>
      </c>
      <c r="AL107" s="103">
        <f t="shared" si="43"/>
        <v>0</v>
      </c>
      <c r="AM107" s="134">
        <v>1868.03</v>
      </c>
      <c r="AN107" s="136"/>
      <c r="AO107" s="136"/>
      <c r="AP107" s="105">
        <f t="shared" si="44"/>
        <v>0</v>
      </c>
      <c r="AQ107" s="99"/>
      <c r="AR107" s="99"/>
      <c r="AS107" s="99"/>
      <c r="AT107" s="124"/>
      <c r="AU107" s="224">
        <f t="shared" si="45"/>
        <v>0</v>
      </c>
      <c r="AV107" s="1554">
        <v>7592.5</v>
      </c>
      <c r="AW107" s="1709"/>
      <c r="AX107" s="1546"/>
      <c r="AY107" s="1546"/>
      <c r="AZ107" s="1546"/>
      <c r="BA107" s="1546"/>
      <c r="BB107" s="141"/>
      <c r="BC107" s="152"/>
      <c r="BD107" s="152"/>
      <c r="BE107" s="152"/>
      <c r="BF107" s="152"/>
      <c r="BG107" s="222">
        <f t="shared" si="46"/>
        <v>0</v>
      </c>
      <c r="BH107" s="140">
        <f t="shared" si="47"/>
        <v>0</v>
      </c>
      <c r="BI107" s="132"/>
      <c r="BJ107" s="140">
        <f t="shared" si="48"/>
        <v>0</v>
      </c>
      <c r="BK107" s="141"/>
      <c r="BL107" s="141"/>
      <c r="BM107" s="141"/>
      <c r="BN107" s="141"/>
      <c r="BO107" s="141"/>
      <c r="BP107" s="141"/>
      <c r="BQ107" s="141"/>
      <c r="BR107" s="141"/>
      <c r="BS107" s="141"/>
      <c r="BT107" s="141"/>
      <c r="BU107" s="150"/>
      <c r="BV107" s="141">
        <v>3420</v>
      </c>
      <c r="BW107" s="141"/>
      <c r="BX107" s="130">
        <f t="shared" si="49"/>
        <v>0</v>
      </c>
      <c r="BY107" s="132"/>
    </row>
    <row r="108" ht="15.75" customHeight="1">
      <c r="B108" s="179">
        <v>46115</v>
      </c>
      <c r="C108" s="382">
        <f>663.26-0-0</f>
      </c>
      <c r="D108" s="136"/>
      <c r="E108" s="135"/>
      <c r="F108" s="135"/>
      <c r="G108" s="147">
        <f t="shared" si="41"/>
        <v>0</v>
      </c>
      <c r="H108" s="122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103">
        <f t="shared" si="42"/>
        <v>0</v>
      </c>
      <c r="Y108" s="611"/>
      <c r="Z108" s="611"/>
      <c r="AA108" s="143"/>
      <c r="AB108" s="143"/>
      <c r="AC108" s="143"/>
      <c r="AD108" s="143"/>
      <c r="AE108" s="143"/>
      <c r="AF108" s="143"/>
      <c r="AG108" s="143"/>
      <c r="AH108" s="143"/>
      <c r="AI108" s="143"/>
      <c r="AJ108" s="143"/>
      <c r="AK108" s="143"/>
      <c r="AL108" s="103">
        <f t="shared" si="43"/>
        <v>0</v>
      </c>
      <c r="AM108" s="134">
        <v>400</v>
      </c>
      <c r="AN108" s="136"/>
      <c r="AO108" s="136"/>
      <c r="AP108" s="105">
        <f t="shared" si="44"/>
        <v>0</v>
      </c>
      <c r="AQ108" s="99"/>
      <c r="AR108" s="99"/>
      <c r="AS108" s="99"/>
      <c r="AT108" s="124"/>
      <c r="AU108" s="224">
        <f t="shared" si="45"/>
        <v>0</v>
      </c>
      <c r="AV108" s="1554">
        <v>263.3</v>
      </c>
      <c r="AW108" s="1709"/>
      <c r="AX108" s="1546"/>
      <c r="AY108" s="1546"/>
      <c r="AZ108" s="1546"/>
      <c r="BA108" s="1546"/>
      <c r="BB108" s="141"/>
      <c r="BC108" s="152"/>
      <c r="BD108" s="152"/>
      <c r="BE108" s="152"/>
      <c r="BF108" s="152"/>
      <c r="BG108" s="222">
        <f t="shared" si="46"/>
        <v>0</v>
      </c>
      <c r="BH108" s="140">
        <f t="shared" si="47"/>
        <v>0</v>
      </c>
      <c r="BI108" s="132"/>
      <c r="BJ108" s="140">
        <f t="shared" si="48"/>
        <v>0</v>
      </c>
      <c r="BK108" s="141"/>
      <c r="BL108" s="141"/>
      <c r="BM108" s="141"/>
      <c r="BN108" s="141"/>
      <c r="BO108" s="141"/>
      <c r="BP108" s="141"/>
      <c r="BQ108" s="141"/>
      <c r="BR108" s="141"/>
      <c r="BS108" s="141"/>
      <c r="BT108" s="141"/>
      <c r="BU108" s="141"/>
      <c r="BV108" s="141"/>
      <c r="BW108" s="141"/>
      <c r="BX108" s="130">
        <f t="shared" si="49"/>
        <v>0</v>
      </c>
      <c r="BY108" s="132"/>
    </row>
    <row r="109" ht="15.75" customHeight="1">
      <c r="B109" s="179">
        <v>46116</v>
      </c>
      <c r="C109" s="382">
        <f>18972.58-0-0</f>
      </c>
      <c r="D109" s="136"/>
      <c r="E109" s="135"/>
      <c r="F109" s="135"/>
      <c r="G109" s="147">
        <f t="shared" si="41"/>
        <v>0</v>
      </c>
      <c r="H109" s="122"/>
      <c r="I109" s="99"/>
      <c r="J109" s="99">
        <v>1939.48</v>
      </c>
      <c r="K109" s="99"/>
      <c r="L109" s="99"/>
      <c r="M109" s="99"/>
      <c r="N109" s="121">
        <v>205</v>
      </c>
      <c r="O109" s="99"/>
      <c r="P109" s="99"/>
      <c r="Q109" s="99"/>
      <c r="R109" s="99"/>
      <c r="S109" s="99"/>
      <c r="T109" s="121">
        <v>240.13</v>
      </c>
      <c r="U109" s="99"/>
      <c r="V109" s="99"/>
      <c r="W109" s="99"/>
      <c r="X109" s="103">
        <f t="shared" si="42"/>
        <v>0</v>
      </c>
      <c r="Y109" s="611"/>
      <c r="Z109" s="611"/>
      <c r="AA109" s="143"/>
      <c r="AB109" s="143"/>
      <c r="AC109" s="143"/>
      <c r="AD109" s="143"/>
      <c r="AE109" s="143"/>
      <c r="AF109" s="143"/>
      <c r="AG109" s="143"/>
      <c r="AH109" s="143"/>
      <c r="AI109" s="145">
        <v>20</v>
      </c>
      <c r="AJ109" s="143"/>
      <c r="AK109" s="145">
        <v>20</v>
      </c>
      <c r="AL109" s="103">
        <f t="shared" si="43"/>
        <v>0</v>
      </c>
      <c r="AM109" s="134">
        <v>1674.63</v>
      </c>
      <c r="AN109" s="136"/>
      <c r="AO109" s="136"/>
      <c r="AP109" s="105">
        <f t="shared" si="44"/>
        <v>0</v>
      </c>
      <c r="AQ109" s="99"/>
      <c r="AR109" s="99"/>
      <c r="AS109" s="99"/>
      <c r="AT109" s="124"/>
      <c r="AU109" s="224">
        <f t="shared" si="45"/>
        <v>0</v>
      </c>
      <c r="AV109" s="1554">
        <v>14873.3</v>
      </c>
      <c r="AW109" s="1709"/>
      <c r="AX109" s="1546"/>
      <c r="AY109" s="1546"/>
      <c r="AZ109" s="1546"/>
      <c r="BA109" s="1546"/>
      <c r="BB109" s="141"/>
      <c r="BC109" s="152"/>
      <c r="BD109" s="152"/>
      <c r="BE109" s="152"/>
      <c r="BF109" s="152"/>
      <c r="BG109" s="222">
        <f t="shared" si="46"/>
        <v>0</v>
      </c>
      <c r="BH109" s="140">
        <f t="shared" si="47"/>
        <v>0</v>
      </c>
      <c r="BI109" s="132"/>
      <c r="BJ109" s="140">
        <f t="shared" si="48"/>
        <v>0</v>
      </c>
      <c r="BK109" s="141"/>
      <c r="BL109" s="141"/>
      <c r="BM109" s="141"/>
      <c r="BN109" s="141"/>
      <c r="BO109" s="141"/>
      <c r="BP109" s="141"/>
      <c r="BQ109" s="141"/>
      <c r="BR109" s="141"/>
      <c r="BS109" s="141"/>
      <c r="BT109" s="141"/>
      <c r="BU109" s="141"/>
      <c r="BV109" s="141"/>
      <c r="BW109" s="141"/>
      <c r="BX109" s="130">
        <f t="shared" si="49"/>
        <v>0</v>
      </c>
      <c r="BY109" s="132"/>
    </row>
    <row r="110" ht="15.75" customHeight="1">
      <c r="B110" s="179">
        <v>46117</v>
      </c>
      <c r="C110" s="382">
        <f>12093.84-0-0</f>
      </c>
      <c r="D110" s="136"/>
      <c r="E110" s="135"/>
      <c r="F110" s="135"/>
      <c r="G110" s="147">
        <f t="shared" si="41"/>
        <v>0</v>
      </c>
      <c r="H110" s="122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121"/>
      <c r="W110" s="99"/>
      <c r="X110" s="103">
        <f t="shared" si="42"/>
        <v>0</v>
      </c>
      <c r="Y110" s="611"/>
      <c r="Z110" s="611"/>
      <c r="AA110" s="143"/>
      <c r="AB110" s="143"/>
      <c r="AC110" s="143"/>
      <c r="AD110" s="143"/>
      <c r="AE110" s="143"/>
      <c r="AF110" s="143"/>
      <c r="AG110" s="143"/>
      <c r="AH110" s="143"/>
      <c r="AI110" s="143"/>
      <c r="AJ110" s="143"/>
      <c r="AK110" s="143"/>
      <c r="AL110" s="103">
        <f t="shared" si="43"/>
        <v>0</v>
      </c>
      <c r="AM110" s="134">
        <v>1073.48</v>
      </c>
      <c r="AN110" s="136"/>
      <c r="AO110" s="136"/>
      <c r="AP110" s="105">
        <f t="shared" si="44"/>
        <v>0</v>
      </c>
      <c r="AQ110" s="99"/>
      <c r="AR110" s="99"/>
      <c r="AS110" s="99"/>
      <c r="AT110" s="124"/>
      <c r="AU110" s="224">
        <f t="shared" si="45"/>
        <v>0</v>
      </c>
      <c r="AV110" s="1554">
        <v>10520.4</v>
      </c>
      <c r="AW110" s="1709"/>
      <c r="AX110" s="1546"/>
      <c r="AY110" s="1546"/>
      <c r="AZ110" s="1546"/>
      <c r="BA110" s="1546"/>
      <c r="BB110" s="141"/>
      <c r="BC110" s="152"/>
      <c r="BD110" s="152"/>
      <c r="BE110" s="152"/>
      <c r="BF110" s="152"/>
      <c r="BG110" s="222">
        <f t="shared" si="46"/>
        <v>0</v>
      </c>
      <c r="BH110" s="140">
        <f t="shared" si="47"/>
        <v>0</v>
      </c>
      <c r="BI110" s="132"/>
      <c r="BJ110" s="140">
        <f t="shared" si="48"/>
        <v>0</v>
      </c>
      <c r="BK110" s="141"/>
      <c r="BL110" s="141"/>
      <c r="BM110" s="141"/>
      <c r="BN110" s="141"/>
      <c r="BO110" s="141"/>
      <c r="BP110" s="141"/>
      <c r="BQ110" s="141"/>
      <c r="BR110" s="141"/>
      <c r="BS110" s="141"/>
      <c r="BT110" s="141"/>
      <c r="BU110" s="150"/>
      <c r="BV110" s="141">
        <v>500</v>
      </c>
      <c r="BW110" s="141"/>
      <c r="BX110" s="130">
        <f t="shared" si="49"/>
        <v>0</v>
      </c>
      <c r="BY110" s="132"/>
    </row>
    <row r="111" ht="15.75" customHeight="1">
      <c r="B111" s="179">
        <v>46118</v>
      </c>
      <c r="C111" s="382">
        <f>24905.41-0-0</f>
      </c>
      <c r="D111" s="136"/>
      <c r="E111" s="135"/>
      <c r="F111" s="135"/>
      <c r="G111" s="147">
        <f t="shared" si="41"/>
        <v>0</v>
      </c>
      <c r="H111" s="122"/>
      <c r="I111" s="99"/>
      <c r="J111" s="121">
        <v>915.08</v>
      </c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121"/>
      <c r="W111" s="99"/>
      <c r="X111" s="103">
        <f t="shared" si="42"/>
        <v>0</v>
      </c>
      <c r="Y111" s="611"/>
      <c r="Z111" s="611"/>
      <c r="AA111" s="143"/>
      <c r="AB111" s="143"/>
      <c r="AC111" s="143"/>
      <c r="AD111" s="143"/>
      <c r="AE111" s="143"/>
      <c r="AF111" s="143"/>
      <c r="AG111" s="143"/>
      <c r="AH111" s="143"/>
      <c r="AI111" s="145">
        <v>30</v>
      </c>
      <c r="AJ111" s="143"/>
      <c r="AK111" s="143"/>
      <c r="AL111" s="103">
        <f t="shared" si="43"/>
        <v>0</v>
      </c>
      <c r="AM111" s="134">
        <v>4357.98</v>
      </c>
      <c r="AN111" s="136"/>
      <c r="AO111" s="136"/>
      <c r="AP111" s="105">
        <f t="shared" si="44"/>
        <v>0</v>
      </c>
      <c r="AQ111" s="99"/>
      <c r="AR111" s="99"/>
      <c r="AS111" s="99"/>
      <c r="AT111" s="124"/>
      <c r="AU111" s="224">
        <f t="shared" si="45"/>
        <v>0</v>
      </c>
      <c r="AV111" s="1554">
        <v>19251.1</v>
      </c>
      <c r="AW111" s="1709"/>
      <c r="AX111" s="1546"/>
      <c r="AY111" s="1546"/>
      <c r="AZ111" s="1546"/>
      <c r="BA111" s="1546"/>
      <c r="BB111" s="141"/>
      <c r="BC111" s="152"/>
      <c r="BD111" s="152"/>
      <c r="BE111" s="152"/>
      <c r="BF111" s="152"/>
      <c r="BG111" s="222">
        <f t="shared" si="46"/>
        <v>0</v>
      </c>
      <c r="BH111" s="140">
        <f t="shared" si="47"/>
        <v>0</v>
      </c>
      <c r="BI111" s="132"/>
      <c r="BJ111" s="140">
        <f t="shared" si="48"/>
        <v>0</v>
      </c>
      <c r="BK111" s="141"/>
      <c r="BL111" s="141"/>
      <c r="BM111" s="141"/>
      <c r="BN111" s="141"/>
      <c r="BO111" s="141"/>
      <c r="BP111" s="141"/>
      <c r="BQ111" s="141"/>
      <c r="BR111" s="141"/>
      <c r="BS111" s="141"/>
      <c r="BT111" s="141"/>
      <c r="BU111" s="150"/>
      <c r="BV111" s="141">
        <v>190</v>
      </c>
      <c r="BW111" s="141"/>
      <c r="BX111" s="130">
        <f t="shared" si="49"/>
        <v>0</v>
      </c>
      <c r="BY111" s="132"/>
    </row>
    <row r="112" ht="15.75" customHeight="1">
      <c r="B112" s="179">
        <v>46119</v>
      </c>
      <c r="C112" s="382">
        <f>21504.92-0-0</f>
      </c>
      <c r="D112" s="136"/>
      <c r="E112" s="135"/>
      <c r="F112" s="135"/>
      <c r="G112" s="147">
        <f t="shared" si="41"/>
        <v>0</v>
      </c>
      <c r="H112" s="122"/>
      <c r="I112" s="99"/>
      <c r="J112" s="121">
        <v>498.58</v>
      </c>
      <c r="K112" s="99"/>
      <c r="L112" s="99"/>
      <c r="M112" s="99"/>
      <c r="N112" s="121">
        <v>205</v>
      </c>
      <c r="O112" s="99"/>
      <c r="P112" s="99"/>
      <c r="Q112" s="99"/>
      <c r="R112" s="99"/>
      <c r="S112" s="99"/>
      <c r="T112" s="99"/>
      <c r="U112" s="99"/>
      <c r="V112" s="121"/>
      <c r="W112" s="99"/>
      <c r="X112" s="103">
        <f t="shared" si="42"/>
        <v>0</v>
      </c>
      <c r="Y112" s="611"/>
      <c r="Z112" s="611"/>
      <c r="AA112" s="143"/>
      <c r="AB112" s="143"/>
      <c r="AC112" s="143"/>
      <c r="AD112" s="143"/>
      <c r="AE112" s="143"/>
      <c r="AF112" s="143"/>
      <c r="AG112" s="143"/>
      <c r="AH112" s="143"/>
      <c r="AI112" s="145">
        <v>30</v>
      </c>
      <c r="AJ112" s="143"/>
      <c r="AK112" s="143"/>
      <c r="AL112" s="103">
        <f t="shared" si="43"/>
        <v>0</v>
      </c>
      <c r="AM112" s="134">
        <v>2767.46</v>
      </c>
      <c r="AN112" s="136"/>
      <c r="AO112" s="136"/>
      <c r="AP112" s="105">
        <f t="shared" si="44"/>
        <v>0</v>
      </c>
      <c r="AQ112" s="99"/>
      <c r="AR112" s="99"/>
      <c r="AS112" s="99"/>
      <c r="AT112" s="124"/>
      <c r="AU112" s="224">
        <f t="shared" si="45"/>
        <v>0</v>
      </c>
      <c r="AV112" s="1554">
        <v>17907.2</v>
      </c>
      <c r="AW112" s="1709"/>
      <c r="AX112" s="1546"/>
      <c r="AY112" s="1546"/>
      <c r="AZ112" s="1546"/>
      <c r="BA112" s="1546"/>
      <c r="BB112" s="141"/>
      <c r="BC112" s="152"/>
      <c r="BD112" s="152"/>
      <c r="BE112" s="152"/>
      <c r="BF112" s="152"/>
      <c r="BG112" s="222">
        <f t="shared" si="46"/>
        <v>0</v>
      </c>
      <c r="BH112" s="140">
        <f t="shared" si="47"/>
        <v>0</v>
      </c>
      <c r="BI112" s="132"/>
      <c r="BJ112" s="140">
        <f t="shared" si="48"/>
        <v>0</v>
      </c>
      <c r="BK112" s="141"/>
      <c r="BL112" s="141"/>
      <c r="BM112" s="141"/>
      <c r="BN112" s="141"/>
      <c r="BO112" s="141"/>
      <c r="BP112" s="141"/>
      <c r="BQ112" s="141"/>
      <c r="BR112" s="141"/>
      <c r="BS112" s="141"/>
      <c r="BT112" s="141"/>
      <c r="BU112" s="141"/>
      <c r="BV112" s="141"/>
      <c r="BW112" s="141"/>
      <c r="BX112" s="130">
        <f t="shared" si="49"/>
        <v>0</v>
      </c>
      <c r="BY112" s="132"/>
    </row>
    <row r="113" ht="15" customHeight="1">
      <c r="B113" s="179">
        <v>46120</v>
      </c>
      <c r="C113" s="382">
        <f>20914.91-0-0</f>
      </c>
      <c r="D113" s="136"/>
      <c r="E113" s="135"/>
      <c r="F113" s="135"/>
      <c r="G113" s="147">
        <f t="shared" si="41"/>
        <v>0</v>
      </c>
      <c r="H113" s="122"/>
      <c r="I113" s="99"/>
      <c r="J113" s="99">
        <v>539.22</v>
      </c>
      <c r="K113" s="121">
        <v>337.5</v>
      </c>
      <c r="L113" s="99"/>
      <c r="M113" s="99"/>
      <c r="N113" s="99">
        <v>570</v>
      </c>
      <c r="O113" s="99"/>
      <c r="P113" s="99"/>
      <c r="Q113" s="99"/>
      <c r="R113" s="99"/>
      <c r="S113" s="99"/>
      <c r="T113" s="99"/>
      <c r="U113" s="99"/>
      <c r="V113" s="136"/>
      <c r="W113" s="136"/>
      <c r="X113" s="103">
        <f t="shared" si="42"/>
        <v>0</v>
      </c>
      <c r="Y113" s="611"/>
      <c r="Z113" s="611"/>
      <c r="AA113" s="143"/>
      <c r="AB113" s="143"/>
      <c r="AC113" s="143"/>
      <c r="AD113" s="143"/>
      <c r="AE113" s="143"/>
      <c r="AF113" s="143"/>
      <c r="AG113" s="143"/>
      <c r="AH113" s="143"/>
      <c r="AI113" s="145">
        <v>40</v>
      </c>
      <c r="AJ113" s="143"/>
      <c r="AK113" s="143"/>
      <c r="AL113" s="103">
        <f t="shared" si="43"/>
        <v>0</v>
      </c>
      <c r="AM113" s="134">
        <v>2787.61</v>
      </c>
      <c r="AN113" s="136"/>
      <c r="AO113" s="136"/>
      <c r="AP113" s="105">
        <f t="shared" si="44"/>
        <v>0</v>
      </c>
      <c r="AQ113" s="99"/>
      <c r="AR113" s="99"/>
      <c r="AS113" s="99"/>
      <c r="AT113" s="124"/>
      <c r="AU113" s="224">
        <f t="shared" si="45"/>
        <v>0</v>
      </c>
      <c r="AV113" s="1554">
        <v>16640.6</v>
      </c>
      <c r="AW113" s="1709"/>
      <c r="AX113" s="1546"/>
      <c r="AY113" s="1546"/>
      <c r="AZ113" s="1546"/>
      <c r="BA113" s="1546"/>
      <c r="BB113" s="141"/>
      <c r="BC113" s="152"/>
      <c r="BD113" s="152"/>
      <c r="BE113" s="152"/>
      <c r="BF113" s="152"/>
      <c r="BG113" s="222">
        <f t="shared" si="46"/>
        <v>0</v>
      </c>
      <c r="BH113" s="140">
        <f t="shared" si="47"/>
        <v>0</v>
      </c>
      <c r="BI113" s="132"/>
      <c r="BJ113" s="140">
        <f t="shared" si="48"/>
        <v>0</v>
      </c>
      <c r="BK113" s="141"/>
      <c r="BL113" s="141"/>
      <c r="BM113" s="141"/>
      <c r="BN113" s="141"/>
      <c r="BO113" s="141"/>
      <c r="BP113" s="141"/>
      <c r="BQ113" s="141"/>
      <c r="BR113" s="141"/>
      <c r="BS113" s="141"/>
      <c r="BT113" s="141"/>
      <c r="BU113" s="141"/>
      <c r="BV113" s="141"/>
      <c r="BW113" s="141"/>
      <c r="BX113" s="130">
        <f t="shared" si="49"/>
        <v>0</v>
      </c>
      <c r="BY113" s="132"/>
    </row>
    <row r="114" ht="16.5" customHeight="1">
      <c r="B114" s="179">
        <v>46121</v>
      </c>
      <c r="C114" s="382">
        <f>25615.52-0-0</f>
      </c>
      <c r="D114" s="136"/>
      <c r="E114" s="135"/>
      <c r="F114" s="135"/>
      <c r="G114" s="147">
        <f t="shared" si="41"/>
        <v>0</v>
      </c>
      <c r="H114" s="122"/>
      <c r="I114" s="99"/>
      <c r="J114" s="99">
        <v>2494.1</v>
      </c>
      <c r="K114" s="99"/>
      <c r="L114" s="99"/>
      <c r="M114" s="99"/>
      <c r="N114" s="121">
        <v>203.76</v>
      </c>
      <c r="O114" s="99"/>
      <c r="P114" s="99"/>
      <c r="Q114" s="99"/>
      <c r="R114" s="99"/>
      <c r="S114" s="99"/>
      <c r="T114" s="99"/>
      <c r="U114" s="99"/>
      <c r="V114" s="121"/>
      <c r="W114" s="99"/>
      <c r="X114" s="103">
        <f t="shared" si="42"/>
        <v>0</v>
      </c>
      <c r="Y114" s="611"/>
      <c r="Z114" s="611"/>
      <c r="AA114" s="143"/>
      <c r="AB114" s="143"/>
      <c r="AC114" s="143"/>
      <c r="AD114" s="143"/>
      <c r="AE114" s="143"/>
      <c r="AF114" s="143"/>
      <c r="AG114" s="143"/>
      <c r="AH114" s="143"/>
      <c r="AI114" s="145">
        <v>40</v>
      </c>
      <c r="AJ114" s="143"/>
      <c r="AK114" s="145">
        <v>20</v>
      </c>
      <c r="AL114" s="103">
        <f t="shared" si="43"/>
        <v>0</v>
      </c>
      <c r="AM114" s="134">
        <v>3079.31</v>
      </c>
      <c r="AN114" s="136"/>
      <c r="AO114" s="136"/>
      <c r="AP114" s="105">
        <f t="shared" si="44"/>
        <v>0</v>
      </c>
      <c r="AQ114" s="99"/>
      <c r="AR114" s="99"/>
      <c r="AS114" s="99"/>
      <c r="AT114" s="124"/>
      <c r="AU114" s="224">
        <f t="shared" si="45"/>
        <v>0</v>
      </c>
      <c r="AV114" s="1554">
        <v>19733.3</v>
      </c>
      <c r="AW114" s="1709"/>
      <c r="AX114" s="1546"/>
      <c r="AY114" s="1546"/>
      <c r="AZ114" s="1546"/>
      <c r="BA114" s="1546"/>
      <c r="BB114" s="141"/>
      <c r="BC114" s="152"/>
      <c r="BD114" s="152"/>
      <c r="BE114" s="152"/>
      <c r="BF114" s="152"/>
      <c r="BG114" s="222">
        <f t="shared" si="46"/>
        <v>0</v>
      </c>
      <c r="BH114" s="140">
        <f t="shared" si="47"/>
        <v>0</v>
      </c>
      <c r="BI114" s="132"/>
      <c r="BJ114" s="140">
        <f t="shared" si="48"/>
        <v>0</v>
      </c>
      <c r="BK114" s="141"/>
      <c r="BL114" s="141"/>
      <c r="BM114" s="141"/>
      <c r="BN114" s="141"/>
      <c r="BO114" s="141"/>
      <c r="BP114" s="141"/>
      <c r="BQ114" s="141"/>
      <c r="BR114" s="141"/>
      <c r="BS114" s="141"/>
      <c r="BT114" s="141"/>
      <c r="BU114" s="141"/>
      <c r="BV114" s="141"/>
      <c r="BW114" s="141"/>
      <c r="BX114" s="130">
        <f t="shared" si="49"/>
        <v>0</v>
      </c>
      <c r="BY114" s="132"/>
    </row>
    <row r="115" ht="15.75" customHeight="1">
      <c r="B115" s="179">
        <v>46122</v>
      </c>
      <c r="C115" s="382">
        <f>21890.06-0-0</f>
      </c>
      <c r="D115" s="136"/>
      <c r="E115" s="135"/>
      <c r="F115" s="135"/>
      <c r="G115" s="147">
        <f t="shared" si="41"/>
        <v>0</v>
      </c>
      <c r="H115" s="122"/>
      <c r="I115" s="99"/>
      <c r="J115" s="99">
        <v>800.18</v>
      </c>
      <c r="K115" s="99"/>
      <c r="L115" s="99"/>
      <c r="M115" s="99"/>
      <c r="N115" s="121">
        <v>210</v>
      </c>
      <c r="O115" s="99"/>
      <c r="P115" s="99"/>
      <c r="Q115" s="99"/>
      <c r="R115" s="99"/>
      <c r="S115" s="99"/>
      <c r="T115" s="99"/>
      <c r="U115" s="99"/>
      <c r="V115" s="121"/>
      <c r="W115" s="99"/>
      <c r="X115" s="103">
        <f t="shared" si="42"/>
        <v>0</v>
      </c>
      <c r="Y115" s="611"/>
      <c r="Z115" s="611"/>
      <c r="AA115" s="143"/>
      <c r="AB115" s="143"/>
      <c r="AC115" s="143"/>
      <c r="AD115" s="143"/>
      <c r="AE115" s="143"/>
      <c r="AF115" s="143"/>
      <c r="AG115" s="143"/>
      <c r="AH115" s="143"/>
      <c r="AI115" s="145">
        <v>20</v>
      </c>
      <c r="AJ115" s="143"/>
      <c r="AK115" s="143"/>
      <c r="AL115" s="103">
        <f t="shared" si="43"/>
        <v>0</v>
      </c>
      <c r="AM115" s="134">
        <v>1997.52</v>
      </c>
      <c r="AN115" s="136"/>
      <c r="AO115" s="136"/>
      <c r="AP115" s="105">
        <f t="shared" si="44"/>
        <v>0</v>
      </c>
      <c r="AQ115" s="99"/>
      <c r="AR115" s="99"/>
      <c r="AS115" s="99"/>
      <c r="AT115" s="124"/>
      <c r="AU115" s="224">
        <f t="shared" si="45"/>
        <v>0</v>
      </c>
      <c r="AV115" s="1554">
        <v>18813.6</v>
      </c>
      <c r="AW115" s="1709"/>
      <c r="AX115" s="1546"/>
      <c r="AY115" s="1546"/>
      <c r="AZ115" s="1546"/>
      <c r="BA115" s="1546"/>
      <c r="BB115" s="141"/>
      <c r="BC115" s="152"/>
      <c r="BD115" s="152"/>
      <c r="BE115" s="152"/>
      <c r="BF115" s="152"/>
      <c r="BG115" s="222">
        <f t="shared" si="46"/>
        <v>0</v>
      </c>
      <c r="BH115" s="140">
        <f t="shared" si="47"/>
        <v>0</v>
      </c>
      <c r="BI115" s="132"/>
      <c r="BJ115" s="140">
        <f t="shared" si="48"/>
        <v>0</v>
      </c>
      <c r="BK115" s="141"/>
      <c r="BL115" s="141"/>
      <c r="BM115" s="141"/>
      <c r="BN115" s="141"/>
      <c r="BO115" s="141"/>
      <c r="BP115" s="141"/>
      <c r="BQ115" s="141"/>
      <c r="BR115" s="141"/>
      <c r="BS115" s="141"/>
      <c r="BT115" s="141"/>
      <c r="BU115" s="141"/>
      <c r="BV115" s="141"/>
      <c r="BW115" s="141"/>
      <c r="BX115" s="130">
        <f t="shared" si="49"/>
        <v>0</v>
      </c>
      <c r="BY115" s="132"/>
    </row>
    <row r="116" ht="15.75" customHeight="1">
      <c r="B116" s="179">
        <v>46123</v>
      </c>
      <c r="C116" s="382">
        <f>19090.41-0-0</f>
      </c>
      <c r="D116" s="136"/>
      <c r="E116" s="135"/>
      <c r="F116" s="135"/>
      <c r="G116" s="147">
        <f t="shared" si="41"/>
        <v>0</v>
      </c>
      <c r="H116" s="122"/>
      <c r="I116" s="99"/>
      <c r="J116" s="121">
        <v>532.3</v>
      </c>
      <c r="K116" s="99"/>
      <c r="L116" s="99"/>
      <c r="M116" s="99"/>
      <c r="N116" s="99"/>
      <c r="O116" s="99"/>
      <c r="P116" s="99"/>
      <c r="Q116" s="99"/>
      <c r="R116" s="99"/>
      <c r="S116" s="99"/>
      <c r="T116" s="121">
        <v>132.3</v>
      </c>
      <c r="U116" s="99">
        <v>0.8</v>
      </c>
      <c r="V116" s="121"/>
      <c r="W116" s="99"/>
      <c r="X116" s="103">
        <f t="shared" si="42"/>
        <v>0</v>
      </c>
      <c r="Y116" s="611"/>
      <c r="Z116" s="611"/>
      <c r="AA116" s="143"/>
      <c r="AB116" s="143"/>
      <c r="AC116" s="143"/>
      <c r="AD116" s="143"/>
      <c r="AE116" s="143"/>
      <c r="AF116" s="143"/>
      <c r="AG116" s="143"/>
      <c r="AH116" s="143"/>
      <c r="AI116" s="145">
        <v>35</v>
      </c>
      <c r="AJ116" s="143"/>
      <c r="AK116" s="143"/>
      <c r="AL116" s="103">
        <f t="shared" si="43"/>
        <v>0</v>
      </c>
      <c r="AM116" s="134">
        <v>2332.25</v>
      </c>
      <c r="AN116" s="136"/>
      <c r="AO116" s="136"/>
      <c r="AP116" s="105">
        <f t="shared" si="44"/>
        <v>0</v>
      </c>
      <c r="AQ116" s="99"/>
      <c r="AR116" s="99"/>
      <c r="AS116" s="99"/>
      <c r="AT116" s="124"/>
      <c r="AU116" s="224">
        <f t="shared" si="45"/>
        <v>0</v>
      </c>
      <c r="AV116" s="1554">
        <v>15477.8</v>
      </c>
      <c r="AW116" s="1709"/>
      <c r="AX116" s="1546"/>
      <c r="AY116" s="1546"/>
      <c r="AZ116" s="1546"/>
      <c r="BA116" s="1546"/>
      <c r="BB116" s="141"/>
      <c r="BC116" s="152"/>
      <c r="BD116" s="152"/>
      <c r="BE116" s="152"/>
      <c r="BF116" s="152"/>
      <c r="BG116" s="222">
        <f t="shared" si="46"/>
        <v>0</v>
      </c>
      <c r="BH116" s="140">
        <f t="shared" si="47"/>
        <v>0</v>
      </c>
      <c r="BI116" s="132"/>
      <c r="BJ116" s="140">
        <f t="shared" si="48"/>
        <v>0</v>
      </c>
      <c r="BK116" s="141"/>
      <c r="BL116" s="141"/>
      <c r="BM116" s="141"/>
      <c r="BN116" s="141"/>
      <c r="BO116" s="141"/>
      <c r="BP116" s="141"/>
      <c r="BQ116" s="141"/>
      <c r="BR116" s="141"/>
      <c r="BS116" s="141"/>
      <c r="BT116" s="141"/>
      <c r="BU116" s="150"/>
      <c r="BV116" s="141">
        <v>550</v>
      </c>
      <c r="BW116" s="141"/>
      <c r="BX116" s="130">
        <f t="shared" si="49"/>
        <v>0</v>
      </c>
      <c r="BY116" s="132"/>
    </row>
    <row r="117" ht="15.75" customHeight="1">
      <c r="B117" s="179">
        <v>46124</v>
      </c>
      <c r="C117" s="382">
        <f>12595.84-0-0</f>
      </c>
      <c r="D117" s="136"/>
      <c r="E117" s="135"/>
      <c r="F117" s="135"/>
      <c r="G117" s="147">
        <f t="shared" si="41"/>
        <v>0</v>
      </c>
      <c r="H117" s="122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103">
        <f t="shared" si="42"/>
        <v>0</v>
      </c>
      <c r="Y117" s="611"/>
      <c r="Z117" s="611"/>
      <c r="AA117" s="143"/>
      <c r="AB117" s="143"/>
      <c r="AC117" s="143"/>
      <c r="AD117" s="143"/>
      <c r="AE117" s="143"/>
      <c r="AF117" s="143"/>
      <c r="AG117" s="143"/>
      <c r="AH117" s="143"/>
      <c r="AI117" s="143"/>
      <c r="AJ117" s="143"/>
      <c r="AK117" s="143"/>
      <c r="AL117" s="103">
        <f t="shared" si="43"/>
        <v>0</v>
      </c>
      <c r="AM117" s="134">
        <v>1507.04</v>
      </c>
      <c r="AN117" s="136"/>
      <c r="AO117" s="136"/>
      <c r="AP117" s="105">
        <f t="shared" si="44"/>
        <v>0</v>
      </c>
      <c r="AQ117" s="99"/>
      <c r="AR117" s="99"/>
      <c r="AS117" s="99"/>
      <c r="AT117" s="124"/>
      <c r="AU117" s="224">
        <f t="shared" si="45"/>
        <v>0</v>
      </c>
      <c r="AV117" s="1554">
        <v>11088.8</v>
      </c>
      <c r="AW117" s="1709"/>
      <c r="AX117" s="1546"/>
      <c r="AY117" s="1546"/>
      <c r="AZ117" s="1546"/>
      <c r="BA117" s="1546"/>
      <c r="BB117" s="141"/>
      <c r="BC117" s="152"/>
      <c r="BD117" s="152"/>
      <c r="BE117" s="152"/>
      <c r="BF117" s="152"/>
      <c r="BG117" s="222">
        <f t="shared" si="46"/>
        <v>0</v>
      </c>
      <c r="BH117" s="140">
        <f t="shared" si="47"/>
        <v>0</v>
      </c>
      <c r="BI117" s="132"/>
      <c r="BJ117" s="140">
        <f t="shared" si="48"/>
        <v>0</v>
      </c>
      <c r="BK117" s="141"/>
      <c r="BL117" s="141"/>
      <c r="BM117" s="141"/>
      <c r="BN117" s="141"/>
      <c r="BO117" s="141"/>
      <c r="BP117" s="141"/>
      <c r="BQ117" s="141"/>
      <c r="BR117" s="141"/>
      <c r="BS117" s="141"/>
      <c r="BT117" s="141"/>
      <c r="BU117" s="141"/>
      <c r="BV117" s="141"/>
      <c r="BW117" s="141"/>
      <c r="BX117" s="130">
        <f t="shared" si="49"/>
        <v>0</v>
      </c>
      <c r="BY117" s="132"/>
    </row>
    <row r="118" ht="15.75" customHeight="1">
      <c r="B118" s="179">
        <v>46125</v>
      </c>
      <c r="C118" s="382">
        <f>23244.53-0-0</f>
      </c>
      <c r="D118" s="136"/>
      <c r="E118" s="135"/>
      <c r="F118" s="135"/>
      <c r="G118" s="147">
        <f t="shared" si="41"/>
        <v>0</v>
      </c>
      <c r="H118" s="122"/>
      <c r="I118" s="99"/>
      <c r="J118" s="99">
        <v>1858.49</v>
      </c>
      <c r="K118" s="121">
        <v>210</v>
      </c>
      <c r="L118" s="99"/>
      <c r="M118" s="99"/>
      <c r="N118" s="121">
        <v>194</v>
      </c>
      <c r="O118" s="99"/>
      <c r="P118" s="99"/>
      <c r="Q118" s="99"/>
      <c r="R118" s="99"/>
      <c r="S118" s="99"/>
      <c r="T118" s="99"/>
      <c r="U118" s="99"/>
      <c r="V118" s="99"/>
      <c r="W118" s="99"/>
      <c r="X118" s="103">
        <f t="shared" si="42"/>
        <v>0</v>
      </c>
      <c r="Y118" s="611"/>
      <c r="Z118" s="611"/>
      <c r="AA118" s="143"/>
      <c r="AB118" s="143"/>
      <c r="AC118" s="143"/>
      <c r="AD118" s="143"/>
      <c r="AE118" s="143"/>
      <c r="AF118" s="143"/>
      <c r="AG118" s="143"/>
      <c r="AH118" s="143"/>
      <c r="AI118" s="143">
        <v>59.4</v>
      </c>
      <c r="AJ118" s="143"/>
      <c r="AK118" s="143"/>
      <c r="AL118" s="103">
        <f t="shared" si="43"/>
        <v>0</v>
      </c>
      <c r="AM118" s="134">
        <v>2906.23</v>
      </c>
      <c r="AN118" s="136"/>
      <c r="AO118" s="136"/>
      <c r="AP118" s="105">
        <f t="shared" si="44"/>
        <v>0</v>
      </c>
      <c r="AQ118" s="99"/>
      <c r="AR118" s="99"/>
      <c r="AS118" s="99"/>
      <c r="AT118" s="124"/>
      <c r="AU118" s="224">
        <f t="shared" si="45"/>
        <v>0</v>
      </c>
      <c r="AV118" s="1554">
        <v>17380.3</v>
      </c>
      <c r="AW118" s="1709"/>
      <c r="AX118" s="1546"/>
      <c r="AY118" s="1546"/>
      <c r="AZ118" s="1546"/>
      <c r="BA118" s="1546"/>
      <c r="BB118" s="141"/>
      <c r="BC118" s="152"/>
      <c r="BD118" s="152"/>
      <c r="BE118" s="152"/>
      <c r="BF118" s="152"/>
      <c r="BG118" s="222">
        <f t="shared" si="46"/>
        <v>0</v>
      </c>
      <c r="BH118" s="140">
        <f t="shared" si="47"/>
        <v>0</v>
      </c>
      <c r="BI118" s="132"/>
      <c r="BJ118" s="140">
        <f t="shared" si="48"/>
        <v>0</v>
      </c>
      <c r="BK118" s="141"/>
      <c r="BL118" s="141"/>
      <c r="BM118" s="141"/>
      <c r="BN118" s="141"/>
      <c r="BO118" s="141"/>
      <c r="BP118" s="141"/>
      <c r="BQ118" s="141"/>
      <c r="BR118" s="141"/>
      <c r="BS118" s="141"/>
      <c r="BT118" s="141"/>
      <c r="BU118" s="150"/>
      <c r="BV118" s="141">
        <v>450</v>
      </c>
      <c r="BW118" s="141"/>
      <c r="BX118" s="130">
        <f t="shared" si="49"/>
        <v>0</v>
      </c>
      <c r="BY118" s="132"/>
    </row>
    <row r="119" ht="15.75" customHeight="1">
      <c r="B119" s="179">
        <v>46126</v>
      </c>
      <c r="C119" s="382">
        <f>28058.57-0-0</f>
      </c>
      <c r="D119" s="136"/>
      <c r="E119" s="135"/>
      <c r="F119" s="135"/>
      <c r="G119" s="147">
        <f t="shared" si="41"/>
        <v>0</v>
      </c>
      <c r="H119" s="122"/>
      <c r="I119" s="99"/>
      <c r="J119" s="99">
        <v>5334.34</v>
      </c>
      <c r="K119" s="99"/>
      <c r="L119" s="99"/>
      <c r="M119" s="99"/>
      <c r="N119" s="99">
        <v>530</v>
      </c>
      <c r="O119" s="99"/>
      <c r="P119" s="99"/>
      <c r="Q119" s="99"/>
      <c r="R119" s="99"/>
      <c r="S119" s="99"/>
      <c r="T119" s="99"/>
      <c r="U119" s="99">
        <v>0.6</v>
      </c>
      <c r="V119" s="121"/>
      <c r="W119" s="99"/>
      <c r="X119" s="103">
        <f t="shared" si="42"/>
        <v>0</v>
      </c>
      <c r="Y119" s="611"/>
      <c r="Z119" s="611"/>
      <c r="AA119" s="143"/>
      <c r="AB119" s="143"/>
      <c r="AC119" s="143"/>
      <c r="AD119" s="143"/>
      <c r="AE119" s="143"/>
      <c r="AF119" s="143"/>
      <c r="AG119" s="143"/>
      <c r="AH119" s="143"/>
      <c r="AI119" s="145">
        <v>35</v>
      </c>
      <c r="AJ119" s="143"/>
      <c r="AK119" s="145">
        <v>100</v>
      </c>
      <c r="AL119" s="103">
        <f t="shared" si="43"/>
        <v>0</v>
      </c>
      <c r="AM119" s="134">
        <v>3062.57</v>
      </c>
      <c r="AN119" s="136"/>
      <c r="AO119" s="136"/>
      <c r="AP119" s="105">
        <f t="shared" si="44"/>
        <v>0</v>
      </c>
      <c r="AQ119" s="99"/>
      <c r="AR119" s="99"/>
      <c r="AS119" s="99"/>
      <c r="AT119" s="124"/>
      <c r="AU119" s="224">
        <f t="shared" si="45"/>
        <v>0</v>
      </c>
      <c r="AV119" s="1554">
        <v>18996.1</v>
      </c>
      <c r="AW119" s="1709"/>
      <c r="AX119" s="1546"/>
      <c r="AY119" s="1546"/>
      <c r="AZ119" s="1546"/>
      <c r="BA119" s="1546"/>
      <c r="BB119" s="141"/>
      <c r="BC119" s="152"/>
      <c r="BD119" s="152"/>
      <c r="BE119" s="152"/>
      <c r="BF119" s="152"/>
      <c r="BG119" s="222">
        <f t="shared" si="46"/>
        <v>0</v>
      </c>
      <c r="BH119" s="140">
        <f t="shared" si="47"/>
        <v>0</v>
      </c>
      <c r="BI119" s="132"/>
      <c r="BJ119" s="140">
        <f t="shared" si="48"/>
        <v>0</v>
      </c>
      <c r="BK119" s="141"/>
      <c r="BL119" s="141"/>
      <c r="BM119" s="141"/>
      <c r="BN119" s="141"/>
      <c r="BO119" s="141"/>
      <c r="BP119" s="141"/>
      <c r="BQ119" s="141"/>
      <c r="BR119" s="141"/>
      <c r="BS119" s="141"/>
      <c r="BT119" s="141"/>
      <c r="BU119" s="141"/>
      <c r="BV119" s="141"/>
      <c r="BW119" s="141"/>
      <c r="BX119" s="130">
        <f t="shared" si="49"/>
        <v>0</v>
      </c>
      <c r="BY119" s="132"/>
    </row>
    <row r="120" ht="15.75" customHeight="1">
      <c r="B120" s="179">
        <v>46127</v>
      </c>
      <c r="C120" s="382">
        <f>23690.36-0-0</f>
      </c>
      <c r="D120" s="136"/>
      <c r="E120" s="135"/>
      <c r="F120" s="135"/>
      <c r="G120" s="147">
        <f t="shared" si="41"/>
        <v>0</v>
      </c>
      <c r="H120" s="122"/>
      <c r="I120" s="99"/>
      <c r="J120" s="121">
        <v>378.06</v>
      </c>
      <c r="K120" s="121">
        <v>210</v>
      </c>
      <c r="L120" s="99"/>
      <c r="M120" s="99"/>
      <c r="N120" s="121">
        <v>210</v>
      </c>
      <c r="O120" s="99"/>
      <c r="P120" s="99"/>
      <c r="Q120" s="99"/>
      <c r="R120" s="99"/>
      <c r="S120" s="99"/>
      <c r="T120" s="99"/>
      <c r="U120" s="99"/>
      <c r="V120" s="121"/>
      <c r="W120" s="99"/>
      <c r="X120" s="103">
        <f t="shared" si="42"/>
        <v>0</v>
      </c>
      <c r="Y120" s="611"/>
      <c r="Z120" s="611"/>
      <c r="AA120" s="143"/>
      <c r="AB120" s="143"/>
      <c r="AC120" s="143"/>
      <c r="AD120" s="143"/>
      <c r="AE120" s="143"/>
      <c r="AF120" s="143"/>
      <c r="AG120" s="143"/>
      <c r="AH120" s="143"/>
      <c r="AI120" s="145">
        <v>30</v>
      </c>
      <c r="AJ120" s="143"/>
      <c r="AK120" s="145">
        <v>40</v>
      </c>
      <c r="AL120" s="103">
        <f t="shared" si="43"/>
        <v>0</v>
      </c>
      <c r="AM120" s="134">
        <v>3632.33</v>
      </c>
      <c r="AN120" s="136"/>
      <c r="AO120" s="136"/>
      <c r="AP120" s="105">
        <f t="shared" si="44"/>
        <v>0</v>
      </c>
      <c r="AQ120" s="99"/>
      <c r="AR120" s="99"/>
      <c r="AS120" s="99"/>
      <c r="AT120" s="124"/>
      <c r="AU120" s="224">
        <f t="shared" si="45"/>
        <v>0</v>
      </c>
      <c r="AV120" s="1554">
        <v>18964</v>
      </c>
      <c r="AW120" s="1709"/>
      <c r="AX120" s="1546"/>
      <c r="AY120" s="1546"/>
      <c r="AZ120" s="1546"/>
      <c r="BA120" s="1546"/>
      <c r="BB120" s="141"/>
      <c r="BC120" s="152"/>
      <c r="BD120" s="152"/>
      <c r="BE120" s="152"/>
      <c r="BF120" s="152"/>
      <c r="BG120" s="222">
        <f t="shared" si="46"/>
        <v>0</v>
      </c>
      <c r="BH120" s="140">
        <f t="shared" si="47"/>
        <v>0</v>
      </c>
      <c r="BI120" s="132"/>
      <c r="BJ120" s="140">
        <f t="shared" si="48"/>
        <v>0</v>
      </c>
      <c r="BK120" s="141"/>
      <c r="BL120" s="141"/>
      <c r="BM120" s="141"/>
      <c r="BN120" s="141"/>
      <c r="BO120" s="141"/>
      <c r="BP120" s="141"/>
      <c r="BQ120" s="141"/>
      <c r="BR120" s="141"/>
      <c r="BS120" s="141"/>
      <c r="BT120" s="141"/>
      <c r="BU120" s="150"/>
      <c r="BV120" s="141">
        <v>180</v>
      </c>
      <c r="BW120" s="141"/>
      <c r="BX120" s="130">
        <f t="shared" si="49"/>
        <v>0</v>
      </c>
      <c r="BY120" s="132"/>
    </row>
    <row r="121" ht="15.75" customHeight="1">
      <c r="B121" s="179">
        <v>46128</v>
      </c>
      <c r="C121" s="382">
        <f>19835.98-0-0</f>
      </c>
      <c r="D121" s="136"/>
      <c r="E121" s="135"/>
      <c r="F121" s="135"/>
      <c r="G121" s="147">
        <f t="shared" si="41"/>
        <v>0</v>
      </c>
      <c r="H121" s="122"/>
      <c r="I121" s="99"/>
      <c r="J121" s="99">
        <v>882.75</v>
      </c>
      <c r="K121" s="99"/>
      <c r="L121" s="99"/>
      <c r="M121" s="99"/>
      <c r="N121" s="121">
        <v>196</v>
      </c>
      <c r="O121" s="99"/>
      <c r="P121" s="99"/>
      <c r="Q121" s="99"/>
      <c r="R121" s="99"/>
      <c r="S121" s="99"/>
      <c r="T121" s="99"/>
      <c r="U121" s="99"/>
      <c r="V121" s="99"/>
      <c r="W121" s="99"/>
      <c r="X121" s="103">
        <f t="shared" si="42"/>
        <v>0</v>
      </c>
      <c r="Y121" s="611"/>
      <c r="Z121" s="611"/>
      <c r="AA121" s="143"/>
      <c r="AB121" s="143"/>
      <c r="AC121" s="143"/>
      <c r="AD121" s="143"/>
      <c r="AE121" s="143"/>
      <c r="AF121" s="143"/>
      <c r="AG121" s="143"/>
      <c r="AH121" s="143"/>
      <c r="AI121" s="145">
        <v>20</v>
      </c>
      <c r="AJ121" s="143"/>
      <c r="AK121" s="145">
        <v>40</v>
      </c>
      <c r="AL121" s="103">
        <f t="shared" si="43"/>
        <v>0</v>
      </c>
      <c r="AM121" s="134">
        <v>2406.3</v>
      </c>
      <c r="AN121" s="136"/>
      <c r="AO121" s="136"/>
      <c r="AP121" s="105">
        <f t="shared" si="44"/>
        <v>0</v>
      </c>
      <c r="AQ121" s="99"/>
      <c r="AR121" s="99"/>
      <c r="AS121" s="99"/>
      <c r="AT121" s="124"/>
      <c r="AU121" s="224">
        <f t="shared" si="45"/>
        <v>0</v>
      </c>
      <c r="AV121" s="1554">
        <v>16146.9</v>
      </c>
      <c r="AW121" s="1709"/>
      <c r="AX121" s="1546"/>
      <c r="AY121" s="1546"/>
      <c r="AZ121" s="1546"/>
      <c r="BA121" s="1546"/>
      <c r="BB121" s="141"/>
      <c r="BC121" s="152"/>
      <c r="BD121" s="152"/>
      <c r="BE121" s="152"/>
      <c r="BF121" s="152"/>
      <c r="BG121" s="222">
        <f t="shared" si="46"/>
        <v>0</v>
      </c>
      <c r="BH121" s="140">
        <f t="shared" si="47"/>
        <v>0</v>
      </c>
      <c r="BI121" s="132"/>
      <c r="BJ121" s="140">
        <f t="shared" si="48"/>
        <v>0</v>
      </c>
      <c r="BK121" s="141"/>
      <c r="BL121" s="141"/>
      <c r="BM121" s="141"/>
      <c r="BN121" s="141"/>
      <c r="BO121" s="141"/>
      <c r="BP121" s="141"/>
      <c r="BQ121" s="141"/>
      <c r="BR121" s="141"/>
      <c r="BS121" s="141"/>
      <c r="BT121" s="141"/>
      <c r="BU121" s="141"/>
      <c r="BV121" s="141"/>
      <c r="BW121" s="141"/>
      <c r="BX121" s="130">
        <f t="shared" si="49"/>
        <v>0</v>
      </c>
      <c r="BY121" s="132"/>
    </row>
    <row r="122" ht="15.75" customHeight="1">
      <c r="B122" s="179">
        <v>46129</v>
      </c>
      <c r="C122" s="382">
        <f>18581.21-0-0</f>
      </c>
      <c r="D122" s="136"/>
      <c r="E122" s="135"/>
      <c r="F122" s="135"/>
      <c r="G122" s="147">
        <f t="shared" si="41"/>
        <v>0</v>
      </c>
      <c r="H122" s="122"/>
      <c r="I122" s="99"/>
      <c r="J122" s="121">
        <v>663.37</v>
      </c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121"/>
      <c r="W122" s="99"/>
      <c r="X122" s="103">
        <f t="shared" si="42"/>
        <v>0</v>
      </c>
      <c r="Y122" s="611"/>
      <c r="Z122" s="611"/>
      <c r="AA122" s="143"/>
      <c r="AB122" s="143"/>
      <c r="AC122" s="143"/>
      <c r="AD122" s="143"/>
      <c r="AE122" s="143"/>
      <c r="AF122" s="143"/>
      <c r="AG122" s="143"/>
      <c r="AH122" s="143"/>
      <c r="AI122" s="145">
        <v>30</v>
      </c>
      <c r="AJ122" s="143"/>
      <c r="AK122" s="143"/>
      <c r="AL122" s="103">
        <f t="shared" si="43"/>
        <v>0</v>
      </c>
      <c r="AM122" s="134">
        <v>3157.29</v>
      </c>
      <c r="AN122" s="136"/>
      <c r="AO122" s="136"/>
      <c r="AP122" s="105">
        <f t="shared" si="44"/>
        <v>0</v>
      </c>
      <c r="AQ122" s="99"/>
      <c r="AR122" s="99"/>
      <c r="AS122" s="99"/>
      <c r="AT122" s="124"/>
      <c r="AU122" s="224">
        <f t="shared" si="45"/>
        <v>0</v>
      </c>
      <c r="AV122" s="1554">
        <v>14689.5</v>
      </c>
      <c r="AW122" s="1709"/>
      <c r="AX122" s="1546"/>
      <c r="AY122" s="1546"/>
      <c r="AZ122" s="1546"/>
      <c r="BA122" s="1546"/>
      <c r="BB122" s="141"/>
      <c r="BC122" s="152"/>
      <c r="BD122" s="152"/>
      <c r="BE122" s="152"/>
      <c r="BF122" s="152"/>
      <c r="BG122" s="222">
        <f t="shared" si="46"/>
        <v>0</v>
      </c>
      <c r="BH122" s="140">
        <f t="shared" si="47"/>
        <v>0</v>
      </c>
      <c r="BI122" s="132"/>
      <c r="BJ122" s="140">
        <f t="shared" si="48"/>
        <v>0</v>
      </c>
      <c r="BK122" s="141"/>
      <c r="BL122" s="141"/>
      <c r="BM122" s="141"/>
      <c r="BN122" s="141"/>
      <c r="BO122" s="141"/>
      <c r="BP122" s="141"/>
      <c r="BQ122" s="141"/>
      <c r="BR122" s="141"/>
      <c r="BS122" s="141"/>
      <c r="BT122" s="141"/>
      <c r="BU122" s="141"/>
      <c r="BV122" s="141"/>
      <c r="BW122" s="141"/>
      <c r="BX122" s="130">
        <f t="shared" si="49"/>
        <v>0</v>
      </c>
      <c r="BY122" s="132"/>
    </row>
    <row r="123" ht="15.75" customHeight="1">
      <c r="B123" s="179">
        <v>46130</v>
      </c>
      <c r="C123" s="382">
        <f>22996.12-0-0</f>
      </c>
      <c r="D123" s="136"/>
      <c r="E123" s="135"/>
      <c r="F123" s="135"/>
      <c r="G123" s="147">
        <f t="shared" si="41"/>
        <v>0</v>
      </c>
      <c r="H123" s="122"/>
      <c r="I123" s="99"/>
      <c r="J123" s="99">
        <v>988.56</v>
      </c>
      <c r="K123" s="99"/>
      <c r="L123" s="99"/>
      <c r="M123" s="99"/>
      <c r="N123" s="121">
        <v>392</v>
      </c>
      <c r="O123" s="99"/>
      <c r="P123" s="99"/>
      <c r="Q123" s="99"/>
      <c r="R123" s="99"/>
      <c r="S123" s="99"/>
      <c r="T123" s="99"/>
      <c r="U123" s="99"/>
      <c r="V123" s="121"/>
      <c r="W123" s="99"/>
      <c r="X123" s="103">
        <f t="shared" si="42"/>
        <v>0</v>
      </c>
      <c r="Y123" s="611"/>
      <c r="Z123" s="611"/>
      <c r="AA123" s="143"/>
      <c r="AB123" s="143"/>
      <c r="AC123" s="143"/>
      <c r="AD123" s="143"/>
      <c r="AE123" s="143"/>
      <c r="AF123" s="143"/>
      <c r="AG123" s="143"/>
      <c r="AH123" s="143"/>
      <c r="AI123" s="1461">
        <v>25</v>
      </c>
      <c r="AJ123" s="143"/>
      <c r="AK123" s="145">
        <v>20</v>
      </c>
      <c r="AL123" s="103">
        <f t="shared" si="43"/>
        <v>0</v>
      </c>
      <c r="AM123" s="1462">
        <v>2817.57</v>
      </c>
      <c r="AN123" s="136"/>
      <c r="AO123" s="136"/>
      <c r="AP123" s="105">
        <f t="shared" si="44"/>
        <v>0</v>
      </c>
      <c r="AQ123" s="99"/>
      <c r="AR123" s="99"/>
      <c r="AS123" s="99"/>
      <c r="AT123" s="124"/>
      <c r="AU123" s="224">
        <f t="shared" si="45"/>
        <v>0</v>
      </c>
      <c r="AV123" s="1554">
        <v>18753</v>
      </c>
      <c r="AW123" s="1709"/>
      <c r="AX123" s="1546"/>
      <c r="AY123" s="1546"/>
      <c r="AZ123" s="1546"/>
      <c r="BA123" s="1546"/>
      <c r="BB123" s="141"/>
      <c r="BC123" s="152"/>
      <c r="BD123" s="152"/>
      <c r="BE123" s="152"/>
      <c r="BF123" s="152"/>
      <c r="BG123" s="222">
        <f t="shared" si="46"/>
        <v>0</v>
      </c>
      <c r="BH123" s="140">
        <f t="shared" si="47"/>
        <v>0</v>
      </c>
      <c r="BI123" s="132"/>
      <c r="BJ123" s="140">
        <f t="shared" si="48"/>
        <v>0</v>
      </c>
      <c r="BK123" s="141"/>
      <c r="BL123" s="141"/>
      <c r="BM123" s="141"/>
      <c r="BN123" s="141"/>
      <c r="BO123" s="141"/>
      <c r="BP123" s="141"/>
      <c r="BQ123" s="141"/>
      <c r="BR123" s="141"/>
      <c r="BS123" s="141"/>
      <c r="BT123" s="141"/>
      <c r="BU123" s="141"/>
      <c r="BV123" s="141"/>
      <c r="BW123" s="141"/>
      <c r="BX123" s="130">
        <f t="shared" si="49"/>
        <v>0</v>
      </c>
      <c r="BY123" s="132"/>
    </row>
    <row r="124" ht="15.75" customHeight="1">
      <c r="B124" s="179">
        <v>46131</v>
      </c>
      <c r="C124" s="382">
        <f>13228.90-0-0</f>
      </c>
      <c r="D124" s="136"/>
      <c r="E124" s="135"/>
      <c r="F124" s="135"/>
      <c r="G124" s="147">
        <f t="shared" si="41"/>
        <v>0</v>
      </c>
      <c r="H124" s="122"/>
      <c r="I124" s="99"/>
      <c r="J124" s="121">
        <v>308.01</v>
      </c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>
        <v>4.28</v>
      </c>
      <c r="V124" s="121"/>
      <c r="W124" s="99"/>
      <c r="X124" s="103">
        <f t="shared" si="42"/>
        <v>0</v>
      </c>
      <c r="Y124" s="611"/>
      <c r="Z124" s="611"/>
      <c r="AA124" s="143"/>
      <c r="AB124" s="143"/>
      <c r="AC124" s="143"/>
      <c r="AD124" s="143"/>
      <c r="AE124" s="143"/>
      <c r="AF124" s="143"/>
      <c r="AG124" s="143"/>
      <c r="AH124" s="143"/>
      <c r="AI124" s="143"/>
      <c r="AJ124" s="143"/>
      <c r="AK124" s="145">
        <v>20</v>
      </c>
      <c r="AL124" s="103">
        <f t="shared" si="43"/>
        <v>0</v>
      </c>
      <c r="AM124" s="1462">
        <v>502</v>
      </c>
      <c r="AN124" s="136"/>
      <c r="AO124" s="136"/>
      <c r="AP124" s="105">
        <f t="shared" si="44"/>
        <v>0</v>
      </c>
      <c r="AQ124" s="99"/>
      <c r="AR124" s="99"/>
      <c r="AS124" s="99"/>
      <c r="AT124" s="124"/>
      <c r="AU124" s="224">
        <f t="shared" si="45"/>
        <v>0</v>
      </c>
      <c r="AV124" s="1554">
        <v>12244.6</v>
      </c>
      <c r="AW124" s="1709"/>
      <c r="AX124" s="1546"/>
      <c r="AY124" s="1546"/>
      <c r="AZ124" s="1546"/>
      <c r="BA124" s="1546"/>
      <c r="BB124" s="141"/>
      <c r="BC124" s="152"/>
      <c r="BD124" s="152"/>
      <c r="BE124" s="152"/>
      <c r="BF124" s="152"/>
      <c r="BG124" s="222">
        <f t="shared" si="46"/>
        <v>0</v>
      </c>
      <c r="BH124" s="140">
        <f t="shared" si="47"/>
        <v>0</v>
      </c>
      <c r="BI124" s="132"/>
      <c r="BJ124" s="140">
        <f t="shared" si="48"/>
        <v>0</v>
      </c>
      <c r="BK124" s="141"/>
      <c r="BL124" s="141"/>
      <c r="BM124" s="141"/>
      <c r="BN124" s="141"/>
      <c r="BO124" s="141"/>
      <c r="BP124" s="141"/>
      <c r="BQ124" s="141"/>
      <c r="BR124" s="141"/>
      <c r="BS124" s="141"/>
      <c r="BT124" s="141"/>
      <c r="BU124" s="141"/>
      <c r="BV124" s="141"/>
      <c r="BW124" s="141"/>
      <c r="BX124" s="130">
        <f t="shared" si="49"/>
        <v>0</v>
      </c>
      <c r="BY124" s="132"/>
    </row>
    <row r="125" ht="15.75" customHeight="1">
      <c r="B125" s="179">
        <v>46132</v>
      </c>
      <c r="C125" s="382">
        <f>23486.56-0-0</f>
      </c>
      <c r="D125" s="136"/>
      <c r="E125" s="135"/>
      <c r="F125" s="135"/>
      <c r="G125" s="147">
        <f t="shared" si="41"/>
        <v>0</v>
      </c>
      <c r="H125" s="122"/>
      <c r="I125" s="99"/>
      <c r="J125" s="99">
        <v>518.26</v>
      </c>
      <c r="K125" s="121">
        <v>252</v>
      </c>
      <c r="L125" s="99"/>
      <c r="M125" s="99"/>
      <c r="N125" s="121">
        <v>336</v>
      </c>
      <c r="O125" s="99"/>
      <c r="P125" s="99"/>
      <c r="Q125" s="99"/>
      <c r="R125" s="99"/>
      <c r="S125" s="99"/>
      <c r="T125" s="99"/>
      <c r="U125" s="99">
        <v>2.3</v>
      </c>
      <c r="V125" s="121"/>
      <c r="W125" s="99"/>
      <c r="X125" s="103">
        <f t="shared" si="42"/>
        <v>0</v>
      </c>
      <c r="Y125" s="611"/>
      <c r="Z125" s="611"/>
      <c r="AA125" s="143"/>
      <c r="AB125" s="143"/>
      <c r="AC125" s="143"/>
      <c r="AD125" s="143"/>
      <c r="AE125" s="143"/>
      <c r="AF125" s="143"/>
      <c r="AG125" s="143"/>
      <c r="AH125" s="143"/>
      <c r="AI125" s="145">
        <v>65</v>
      </c>
      <c r="AJ125" s="143"/>
      <c r="AK125" s="145">
        <v>60</v>
      </c>
      <c r="AL125" s="103">
        <f t="shared" si="43"/>
        <v>0</v>
      </c>
      <c r="AM125" s="134">
        <v>2893.41</v>
      </c>
      <c r="AN125" s="136"/>
      <c r="AO125" s="136"/>
      <c r="AP125" s="105">
        <f t="shared" si="44"/>
        <v>0</v>
      </c>
      <c r="AQ125" s="99"/>
      <c r="AR125" s="99"/>
      <c r="AS125" s="99"/>
      <c r="AT125" s="124"/>
      <c r="AU125" s="224">
        <f t="shared" si="45"/>
        <v>0</v>
      </c>
      <c r="AV125" s="1637">
        <v>19180.5</v>
      </c>
      <c r="AW125" s="1709"/>
      <c r="AX125" s="1546"/>
      <c r="AY125" s="1546"/>
      <c r="AZ125" s="1546"/>
      <c r="BA125" s="1546"/>
      <c r="BB125" s="141"/>
      <c r="BC125" s="152"/>
      <c r="BD125" s="152"/>
      <c r="BE125" s="152"/>
      <c r="BF125" s="152"/>
      <c r="BG125" s="222">
        <f t="shared" si="46"/>
        <v>0</v>
      </c>
      <c r="BH125" s="140">
        <f t="shared" si="47"/>
        <v>0</v>
      </c>
      <c r="BI125" s="132"/>
      <c r="BJ125" s="140">
        <f t="shared" si="48"/>
        <v>0</v>
      </c>
      <c r="BK125" s="141"/>
      <c r="BL125" s="141"/>
      <c r="BM125" s="141"/>
      <c r="BN125" s="141"/>
      <c r="BO125" s="141"/>
      <c r="BP125" s="141"/>
      <c r="BQ125" s="141"/>
      <c r="BR125" s="141"/>
      <c r="BS125" s="141"/>
      <c r="BT125" s="141"/>
      <c r="BU125" s="141"/>
      <c r="BV125" s="141"/>
      <c r="BW125" s="141"/>
      <c r="BX125" s="130">
        <f t="shared" si="49"/>
        <v>0</v>
      </c>
      <c r="BY125" s="132"/>
    </row>
    <row r="126" ht="15.75" customHeight="1">
      <c r="B126" s="179">
        <v>46133</v>
      </c>
      <c r="C126" s="382">
        <f>23880.43-0-0</f>
      </c>
      <c r="D126" s="136"/>
      <c r="E126" s="135"/>
      <c r="F126" s="135"/>
      <c r="G126" s="147">
        <f t="shared" si="41"/>
        <v>0</v>
      </c>
      <c r="H126" s="122"/>
      <c r="I126" s="99"/>
      <c r="J126" s="99">
        <v>1518.23</v>
      </c>
      <c r="K126" s="99"/>
      <c r="L126" s="99"/>
      <c r="M126" s="99"/>
      <c r="N126" s="121">
        <v>196</v>
      </c>
      <c r="O126" s="99"/>
      <c r="P126" s="99"/>
      <c r="Q126" s="99"/>
      <c r="R126" s="99"/>
      <c r="S126" s="99"/>
      <c r="T126" s="121">
        <v>247.7</v>
      </c>
      <c r="U126" s="99"/>
      <c r="V126" s="99"/>
      <c r="W126" s="99"/>
      <c r="X126" s="103">
        <f t="shared" si="42"/>
        <v>0</v>
      </c>
      <c r="Y126" s="611"/>
      <c r="Z126" s="611"/>
      <c r="AA126" s="143"/>
      <c r="AB126" s="143"/>
      <c r="AC126" s="143"/>
      <c r="AD126" s="143"/>
      <c r="AE126" s="143"/>
      <c r="AF126" s="143"/>
      <c r="AG126" s="143"/>
      <c r="AH126" s="143"/>
      <c r="AI126" s="145">
        <v>20</v>
      </c>
      <c r="AJ126" s="143"/>
      <c r="AK126" s="145">
        <v>20</v>
      </c>
      <c r="AL126" s="103">
        <f t="shared" si="43"/>
        <v>0</v>
      </c>
      <c r="AM126" s="134">
        <v>2898.13</v>
      </c>
      <c r="AN126" s="136"/>
      <c r="AO126" s="136"/>
      <c r="AP126" s="105">
        <f t="shared" si="44"/>
        <v>0</v>
      </c>
      <c r="AQ126" s="99"/>
      <c r="AR126" s="99"/>
      <c r="AS126" s="99"/>
      <c r="AT126" s="124"/>
      <c r="AU126" s="224">
        <f t="shared" si="45"/>
        <v>0</v>
      </c>
      <c r="AV126" s="1637">
        <v>18980.4</v>
      </c>
      <c r="AW126" s="1709"/>
      <c r="AX126" s="1546"/>
      <c r="AY126" s="1546"/>
      <c r="AZ126" s="1546"/>
      <c r="BA126" s="1546"/>
      <c r="BB126" s="141"/>
      <c r="BC126" s="152"/>
      <c r="BD126" s="152"/>
      <c r="BE126" s="152"/>
      <c r="BF126" s="152"/>
      <c r="BG126" s="222">
        <f t="shared" si="46"/>
        <v>0</v>
      </c>
      <c r="BH126" s="140">
        <f t="shared" si="47"/>
        <v>0</v>
      </c>
      <c r="BI126" s="132"/>
      <c r="BJ126" s="140">
        <f t="shared" si="48"/>
        <v>0</v>
      </c>
      <c r="BK126" s="141"/>
      <c r="BL126" s="141"/>
      <c r="BM126" s="141"/>
      <c r="BN126" s="141"/>
      <c r="BO126" s="141"/>
      <c r="BP126" s="141"/>
      <c r="BQ126" s="141"/>
      <c r="BR126" s="141"/>
      <c r="BS126" s="141"/>
      <c r="BT126" s="141"/>
      <c r="BU126" s="141"/>
      <c r="BV126" s="141"/>
      <c r="BW126" s="141"/>
      <c r="BX126" s="130">
        <f t="shared" si="49"/>
        <v>0</v>
      </c>
      <c r="BY126" s="132"/>
    </row>
    <row r="127" ht="14.25" customHeight="1">
      <c r="B127" s="179">
        <v>46134</v>
      </c>
      <c r="C127" s="382">
        <f>21481.95-0-0</f>
      </c>
      <c r="D127" s="136"/>
      <c r="E127" s="135"/>
      <c r="F127" s="135"/>
      <c r="G127" s="147">
        <f t="shared" si="41"/>
        <v>0</v>
      </c>
      <c r="H127" s="122"/>
      <c r="I127" s="99"/>
      <c r="J127" s="121">
        <v>1427.98</v>
      </c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121"/>
      <c r="W127" s="99"/>
      <c r="X127" s="103">
        <f t="shared" si="42"/>
        <v>0</v>
      </c>
      <c r="Y127" s="611"/>
      <c r="Z127" s="611"/>
      <c r="AA127" s="143"/>
      <c r="AB127" s="143"/>
      <c r="AC127" s="143"/>
      <c r="AD127" s="143"/>
      <c r="AE127" s="143"/>
      <c r="AF127" s="143"/>
      <c r="AG127" s="143"/>
      <c r="AH127" s="143"/>
      <c r="AI127" s="145">
        <v>20</v>
      </c>
      <c r="AJ127" s="143"/>
      <c r="AK127" s="143"/>
      <c r="AL127" s="103">
        <f t="shared" si="43"/>
        <v>0</v>
      </c>
      <c r="AM127" s="134">
        <v>2707.16</v>
      </c>
      <c r="AN127" s="136"/>
      <c r="AO127" s="136"/>
      <c r="AP127" s="105">
        <f t="shared" si="44"/>
        <v>0</v>
      </c>
      <c r="AQ127" s="99"/>
      <c r="AR127" s="99"/>
      <c r="AS127" s="99"/>
      <c r="AT127" s="124"/>
      <c r="AU127" s="224">
        <f t="shared" si="45"/>
        <v>0</v>
      </c>
      <c r="AV127" s="1637">
        <v>17016.8</v>
      </c>
      <c r="AW127" s="1709"/>
      <c r="AX127" s="1546"/>
      <c r="AY127" s="1546"/>
      <c r="AZ127" s="1546"/>
      <c r="BA127" s="1546"/>
      <c r="BB127" s="141"/>
      <c r="BC127" s="152"/>
      <c r="BD127" s="152"/>
      <c r="BE127" s="152"/>
      <c r="BF127" s="152"/>
      <c r="BG127" s="222">
        <f t="shared" si="46"/>
        <v>0</v>
      </c>
      <c r="BH127" s="140">
        <f t="shared" si="47"/>
        <v>0</v>
      </c>
      <c r="BI127" s="132"/>
      <c r="BJ127" s="140">
        <f t="shared" si="48"/>
        <v>0</v>
      </c>
      <c r="BK127" s="141"/>
      <c r="BL127" s="141"/>
      <c r="BM127" s="141"/>
      <c r="BN127" s="141"/>
      <c r="BO127" s="141"/>
      <c r="BP127" s="141"/>
      <c r="BQ127" s="141"/>
      <c r="BR127" s="141"/>
      <c r="BS127" s="141"/>
      <c r="BT127" s="141"/>
      <c r="BU127" s="150"/>
      <c r="BV127" s="141">
        <v>210</v>
      </c>
      <c r="BW127" s="141"/>
      <c r="BX127" s="130">
        <f t="shared" si="49"/>
        <v>0</v>
      </c>
      <c r="BY127" s="132"/>
    </row>
    <row r="128" ht="15.75" customHeight="1">
      <c r="B128" s="179">
        <v>46135</v>
      </c>
      <c r="C128" s="382">
        <f>20033.48-0-0</f>
      </c>
      <c r="D128" s="136"/>
      <c r="E128" s="135"/>
      <c r="F128" s="135"/>
      <c r="G128" s="147">
        <f t="shared" si="41"/>
        <v>0</v>
      </c>
      <c r="H128" s="122"/>
      <c r="I128" s="99"/>
      <c r="J128" s="99">
        <v>831.23</v>
      </c>
      <c r="K128" s="99"/>
      <c r="L128" s="99"/>
      <c r="M128" s="99"/>
      <c r="N128" s="121">
        <v>196</v>
      </c>
      <c r="O128" s="99"/>
      <c r="P128" s="99"/>
      <c r="Q128" s="99"/>
      <c r="R128" s="99"/>
      <c r="S128" s="99"/>
      <c r="T128" s="99"/>
      <c r="U128" s="99"/>
      <c r="V128" s="121"/>
      <c r="W128" s="99"/>
      <c r="X128" s="103">
        <f t="shared" si="42"/>
        <v>0</v>
      </c>
      <c r="Y128" s="611"/>
      <c r="Z128" s="611"/>
      <c r="AA128" s="143"/>
      <c r="AB128" s="143"/>
      <c r="AC128" s="143"/>
      <c r="AD128" s="143"/>
      <c r="AE128" s="143"/>
      <c r="AF128" s="143"/>
      <c r="AG128" s="143"/>
      <c r="AH128" s="143"/>
      <c r="AI128" s="145">
        <v>30</v>
      </c>
      <c r="AJ128" s="143"/>
      <c r="AK128" s="145">
        <v>40</v>
      </c>
      <c r="AL128" s="103">
        <f t="shared" si="43"/>
        <v>0</v>
      </c>
      <c r="AM128" s="134">
        <v>2719.8</v>
      </c>
      <c r="AN128" s="136"/>
      <c r="AO128" s="136"/>
      <c r="AP128" s="105">
        <f t="shared" si="44"/>
        <v>0</v>
      </c>
      <c r="AQ128" s="99"/>
      <c r="AR128" s="99"/>
      <c r="AS128" s="99"/>
      <c r="AT128" s="124"/>
      <c r="AU128" s="224">
        <f t="shared" si="45"/>
        <v>0</v>
      </c>
      <c r="AV128" s="1637">
        <v>16134.5</v>
      </c>
      <c r="AW128" s="1709"/>
      <c r="AX128" s="1546"/>
      <c r="AY128" s="1546"/>
      <c r="AZ128" s="1546"/>
      <c r="BA128" s="1546"/>
      <c r="BB128" s="141"/>
      <c r="BC128" s="152"/>
      <c r="BD128" s="152"/>
      <c r="BE128" s="152"/>
      <c r="BF128" s="152"/>
      <c r="BG128" s="222">
        <f t="shared" si="46"/>
        <v>0</v>
      </c>
      <c r="BH128" s="140">
        <f t="shared" si="47"/>
        <v>0</v>
      </c>
      <c r="BI128" s="132"/>
      <c r="BJ128" s="140">
        <f t="shared" si="48"/>
        <v>0</v>
      </c>
      <c r="BK128" s="141"/>
      <c r="BL128" s="141"/>
      <c r="BM128" s="141"/>
      <c r="BN128" s="141"/>
      <c r="BO128" s="141"/>
      <c r="BP128" s="141"/>
      <c r="BQ128" s="141"/>
      <c r="BR128" s="141"/>
      <c r="BS128" s="141"/>
      <c r="BT128" s="141"/>
      <c r="BU128" s="141"/>
      <c r="BV128" s="141"/>
      <c r="BW128" s="141"/>
      <c r="BX128" s="130">
        <f t="shared" si="49"/>
        <v>0</v>
      </c>
      <c r="BY128" s="132"/>
    </row>
    <row r="129" ht="15.75" customHeight="1">
      <c r="B129" s="179">
        <v>46136</v>
      </c>
      <c r="C129" s="382">
        <f>23290.13-0-0</f>
      </c>
      <c r="D129" s="136"/>
      <c r="E129" s="135"/>
      <c r="F129" s="135"/>
      <c r="G129" s="147">
        <f t="shared" si="41"/>
        <v>0</v>
      </c>
      <c r="H129" s="122"/>
      <c r="I129" s="99"/>
      <c r="J129" s="99">
        <v>2517.78</v>
      </c>
      <c r="K129" s="99"/>
      <c r="L129" s="99"/>
      <c r="M129" s="99"/>
      <c r="N129" s="99">
        <v>520.6</v>
      </c>
      <c r="O129" s="99"/>
      <c r="P129" s="99"/>
      <c r="Q129" s="99"/>
      <c r="R129" s="99"/>
      <c r="S129" s="99"/>
      <c r="T129" s="99"/>
      <c r="U129" s="99">
        <v>2.5</v>
      </c>
      <c r="V129" s="99"/>
      <c r="W129" s="99"/>
      <c r="X129" s="103">
        <f t="shared" si="42"/>
        <v>0</v>
      </c>
      <c r="Y129" s="611"/>
      <c r="Z129" s="611"/>
      <c r="AA129" s="143"/>
      <c r="AB129" s="143"/>
      <c r="AC129" s="143"/>
      <c r="AD129" s="143"/>
      <c r="AE129" s="143"/>
      <c r="AF129" s="143"/>
      <c r="AG129" s="143"/>
      <c r="AH129" s="143"/>
      <c r="AI129" s="145">
        <v>20</v>
      </c>
      <c r="AJ129" s="143"/>
      <c r="AK129" s="145">
        <v>20</v>
      </c>
      <c r="AL129" s="103">
        <f t="shared" si="43"/>
        <v>0</v>
      </c>
      <c r="AM129" s="134">
        <v>5449.83</v>
      </c>
      <c r="AN129" s="136"/>
      <c r="AO129" s="136"/>
      <c r="AP129" s="105">
        <f t="shared" si="44"/>
        <v>0</v>
      </c>
      <c r="AQ129" s="99"/>
      <c r="AR129" s="99"/>
      <c r="AS129" s="99"/>
      <c r="AT129" s="124"/>
      <c r="AU129" s="224">
        <f t="shared" si="45"/>
        <v>0</v>
      </c>
      <c r="AV129" s="1637">
        <v>14759.4</v>
      </c>
      <c r="AW129" s="1709"/>
      <c r="AX129" s="1546"/>
      <c r="AY129" s="1546"/>
      <c r="AZ129" s="1546"/>
      <c r="BA129" s="1546"/>
      <c r="BB129" s="141"/>
      <c r="BC129" s="152"/>
      <c r="BD129" s="152"/>
      <c r="BE129" s="152"/>
      <c r="BF129" s="152"/>
      <c r="BG129" s="222">
        <f t="shared" si="46"/>
        <v>0</v>
      </c>
      <c r="BH129" s="140">
        <f t="shared" si="47"/>
        <v>0</v>
      </c>
      <c r="BI129" s="132"/>
      <c r="BJ129" s="140">
        <f t="shared" si="48"/>
        <v>0</v>
      </c>
      <c r="BK129" s="141"/>
      <c r="BL129" s="141"/>
      <c r="BM129" s="141"/>
      <c r="BN129" s="141"/>
      <c r="BO129" s="141"/>
      <c r="BP129" s="141"/>
      <c r="BQ129" s="141"/>
      <c r="BR129" s="141"/>
      <c r="BS129" s="141"/>
      <c r="BT129" s="141"/>
      <c r="BU129" s="141"/>
      <c r="BV129" s="141"/>
      <c r="BW129" s="141"/>
      <c r="BX129" s="130">
        <f t="shared" si="49"/>
        <v>0</v>
      </c>
      <c r="BY129" s="132"/>
    </row>
    <row r="130" ht="15.75" customHeight="1">
      <c r="B130" s="179">
        <v>46137</v>
      </c>
      <c r="C130" s="382">
        <f>21205.75-0-0</f>
      </c>
      <c r="D130" s="136"/>
      <c r="E130" s="135"/>
      <c r="F130" s="135"/>
      <c r="G130" s="147">
        <f t="shared" si="41"/>
        <v>0</v>
      </c>
      <c r="H130" s="122"/>
      <c r="I130" s="99"/>
      <c r="J130" s="121">
        <v>487.45</v>
      </c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>
        <v>0.51</v>
      </c>
      <c r="V130" s="121"/>
      <c r="W130" s="99"/>
      <c r="X130" s="103">
        <f t="shared" si="42"/>
        <v>0</v>
      </c>
      <c r="Y130" s="611"/>
      <c r="Z130" s="611"/>
      <c r="AA130" s="143"/>
      <c r="AB130" s="143"/>
      <c r="AC130" s="143"/>
      <c r="AD130" s="143"/>
      <c r="AE130" s="143"/>
      <c r="AF130" s="143"/>
      <c r="AG130" s="143"/>
      <c r="AH130" s="143"/>
      <c r="AI130" s="145">
        <v>20</v>
      </c>
      <c r="AJ130" s="143"/>
      <c r="AK130" s="145">
        <v>20</v>
      </c>
      <c r="AL130" s="103">
        <f t="shared" si="43"/>
        <v>0</v>
      </c>
      <c r="AM130" s="134">
        <v>3722.59</v>
      </c>
      <c r="AN130" s="136"/>
      <c r="AO130" s="136"/>
      <c r="AP130" s="105">
        <f t="shared" si="44"/>
        <v>0</v>
      </c>
      <c r="AQ130" s="99"/>
      <c r="AR130" s="99"/>
      <c r="AS130" s="99"/>
      <c r="AT130" s="124"/>
      <c r="AU130" s="224">
        <f t="shared" si="45"/>
        <v>0</v>
      </c>
      <c r="AV130" s="1637">
        <v>16855.2</v>
      </c>
      <c r="AW130" s="1709"/>
      <c r="AX130" s="1546"/>
      <c r="AY130" s="1546"/>
      <c r="AZ130" s="1546"/>
      <c r="BA130" s="1546"/>
      <c r="BB130" s="141"/>
      <c r="BC130" s="152"/>
      <c r="BD130" s="152"/>
      <c r="BE130" s="152"/>
      <c r="BF130" s="152"/>
      <c r="BG130" s="222">
        <f t="shared" si="46"/>
        <v>0</v>
      </c>
      <c r="BH130" s="140">
        <f t="shared" si="47"/>
        <v>0</v>
      </c>
      <c r="BI130" s="132"/>
      <c r="BJ130" s="140">
        <f t="shared" si="48"/>
        <v>0</v>
      </c>
      <c r="BK130" s="141"/>
      <c r="BL130" s="141"/>
      <c r="BM130" s="141"/>
      <c r="BN130" s="141"/>
      <c r="BO130" s="141"/>
      <c r="BP130" s="141"/>
      <c r="BQ130" s="141"/>
      <c r="BR130" s="141"/>
      <c r="BS130" s="141"/>
      <c r="BT130" s="141"/>
      <c r="BU130" s="141"/>
      <c r="BV130" s="141"/>
      <c r="BW130" s="141"/>
      <c r="BX130" s="130">
        <f t="shared" si="49"/>
        <v>0</v>
      </c>
      <c r="BY130" s="132"/>
    </row>
    <row r="131" ht="15.75" customHeight="1">
      <c r="B131" s="179">
        <v>46138</v>
      </c>
      <c r="C131" s="382">
        <f>11564.03-0-0</f>
      </c>
      <c r="D131" s="136"/>
      <c r="E131" s="135"/>
      <c r="F131" s="135"/>
      <c r="G131" s="147">
        <f t="shared" si="41"/>
        <v>0</v>
      </c>
      <c r="H131" s="122"/>
      <c r="I131" s="99"/>
      <c r="J131" s="121">
        <v>411.26</v>
      </c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103">
        <f t="shared" si="42"/>
        <v>0</v>
      </c>
      <c r="Y131" s="611"/>
      <c r="Z131" s="611"/>
      <c r="AA131" s="143"/>
      <c r="AB131" s="143"/>
      <c r="AC131" s="143"/>
      <c r="AD131" s="143"/>
      <c r="AE131" s="143"/>
      <c r="AF131" s="143"/>
      <c r="AG131" s="143"/>
      <c r="AH131" s="143"/>
      <c r="AI131" s="143"/>
      <c r="AJ131" s="143"/>
      <c r="AK131" s="143"/>
      <c r="AL131" s="103">
        <f t="shared" si="43"/>
        <v>0</v>
      </c>
      <c r="AM131" s="134">
        <v>1492.57</v>
      </c>
      <c r="AN131" s="136"/>
      <c r="AO131" s="136"/>
      <c r="AP131" s="105">
        <f t="shared" si="44"/>
        <v>0</v>
      </c>
      <c r="AQ131" s="99"/>
      <c r="AR131" s="99"/>
      <c r="AS131" s="99"/>
      <c r="AT131" s="124"/>
      <c r="AU131" s="224">
        <f t="shared" si="45"/>
        <v>0</v>
      </c>
      <c r="AV131" s="1637">
        <v>9660.2</v>
      </c>
      <c r="AW131" s="1709"/>
      <c r="AX131" s="1546"/>
      <c r="AY131" s="1546"/>
      <c r="AZ131" s="1546"/>
      <c r="BA131" s="1546"/>
      <c r="BB131" s="141"/>
      <c r="BC131" s="152"/>
      <c r="BD131" s="152"/>
      <c r="BE131" s="152"/>
      <c r="BF131" s="152"/>
      <c r="BG131" s="222">
        <f t="shared" si="46"/>
        <v>0</v>
      </c>
      <c r="BH131" s="140">
        <f t="shared" si="47"/>
        <v>0</v>
      </c>
      <c r="BI131" s="132"/>
      <c r="BJ131" s="140">
        <f t="shared" si="48"/>
        <v>0</v>
      </c>
      <c r="BK131" s="141"/>
      <c r="BL131" s="141"/>
      <c r="BM131" s="141"/>
      <c r="BN131" s="141"/>
      <c r="BO131" s="141"/>
      <c r="BP131" s="141"/>
      <c r="BQ131" s="141"/>
      <c r="BR131" s="141"/>
      <c r="BS131" s="141"/>
      <c r="BT131" s="141"/>
      <c r="BU131" s="141"/>
      <c r="BV131" s="141"/>
      <c r="BW131" s="141"/>
      <c r="BX131" s="130">
        <f t="shared" si="49"/>
        <v>0</v>
      </c>
      <c r="BY131" s="132"/>
    </row>
    <row r="132" ht="15.75" customHeight="1">
      <c r="B132" s="179">
        <v>46139</v>
      </c>
      <c r="C132" s="382">
        <f>19068.35-0-0</f>
      </c>
      <c r="D132" s="136"/>
      <c r="E132" s="135"/>
      <c r="F132" s="135"/>
      <c r="G132" s="147">
        <f t="shared" si="41"/>
        <v>0</v>
      </c>
      <c r="H132" s="122"/>
      <c r="I132" s="99"/>
      <c r="J132" s="99">
        <v>1192.68</v>
      </c>
      <c r="K132" s="121">
        <v>309</v>
      </c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121"/>
      <c r="W132" s="99"/>
      <c r="X132" s="103">
        <f t="shared" si="42"/>
        <v>0</v>
      </c>
      <c r="Y132" s="611"/>
      <c r="Z132" s="611"/>
      <c r="AA132" s="143"/>
      <c r="AB132" s="143"/>
      <c r="AC132" s="143"/>
      <c r="AD132" s="143"/>
      <c r="AE132" s="143"/>
      <c r="AF132" s="143"/>
      <c r="AG132" s="143"/>
      <c r="AH132" s="143"/>
      <c r="AI132" s="145">
        <v>45</v>
      </c>
      <c r="AJ132" s="143"/>
      <c r="AK132" s="143"/>
      <c r="AL132" s="103">
        <f t="shared" si="43"/>
        <v>0</v>
      </c>
      <c r="AM132" s="134">
        <v>3515.6</v>
      </c>
      <c r="AN132" s="136"/>
      <c r="AO132" s="136"/>
      <c r="AP132" s="105">
        <f t="shared" si="44"/>
        <v>0</v>
      </c>
      <c r="AQ132" s="99"/>
      <c r="AR132" s="99"/>
      <c r="AS132" s="99"/>
      <c r="AT132" s="124"/>
      <c r="AU132" s="224">
        <f t="shared" si="45"/>
        <v>0</v>
      </c>
      <c r="AV132" s="1637">
        <v>13575.1</v>
      </c>
      <c r="AW132" s="1709"/>
      <c r="AX132" s="1546"/>
      <c r="AY132" s="1546"/>
      <c r="AZ132" s="1546"/>
      <c r="BA132" s="1546"/>
      <c r="BB132" s="141"/>
      <c r="BC132" s="152"/>
      <c r="BD132" s="152"/>
      <c r="BE132" s="152"/>
      <c r="BF132" s="152"/>
      <c r="BG132" s="222">
        <f t="shared" si="46"/>
        <v>0</v>
      </c>
      <c r="BH132" s="140">
        <f t="shared" si="47"/>
        <v>0</v>
      </c>
      <c r="BI132" s="132"/>
      <c r="BJ132" s="140">
        <f t="shared" si="48"/>
        <v>0</v>
      </c>
      <c r="BK132" s="141"/>
      <c r="BL132" s="141"/>
      <c r="BM132" s="141"/>
      <c r="BN132" s="141"/>
      <c r="BO132" s="141"/>
      <c r="BP132" s="141"/>
      <c r="BQ132" s="141"/>
      <c r="BR132" s="141"/>
      <c r="BS132" s="141"/>
      <c r="BT132" s="141"/>
      <c r="BU132" s="150"/>
      <c r="BV132" s="141">
        <v>250</v>
      </c>
      <c r="BW132" s="141"/>
      <c r="BX132" s="130">
        <f t="shared" si="49"/>
        <v>0</v>
      </c>
      <c r="BY132" s="132"/>
    </row>
    <row r="133" ht="15.75" customHeight="1">
      <c r="B133" s="179">
        <v>46140</v>
      </c>
      <c r="C133" s="382">
        <f>18698.31-0-0</f>
      </c>
      <c r="D133" s="136"/>
      <c r="E133" s="135"/>
      <c r="F133" s="135"/>
      <c r="G133" s="147">
        <f t="shared" si="41"/>
        <v>0</v>
      </c>
      <c r="H133" s="122"/>
      <c r="I133" s="99"/>
      <c r="J133" s="121">
        <v>867.35</v>
      </c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103">
        <f t="shared" si="42"/>
        <v>0</v>
      </c>
      <c r="Y133" s="611"/>
      <c r="Z133" s="611"/>
      <c r="AA133" s="143"/>
      <c r="AB133" s="143"/>
      <c r="AC133" s="143"/>
      <c r="AD133" s="143"/>
      <c r="AE133" s="143"/>
      <c r="AF133" s="143"/>
      <c r="AG133" s="143"/>
      <c r="AH133" s="143"/>
      <c r="AI133" s="145">
        <v>40</v>
      </c>
      <c r="AJ133" s="143"/>
      <c r="AK133" s="145">
        <v>40</v>
      </c>
      <c r="AL133" s="103">
        <f t="shared" si="43"/>
        <v>0</v>
      </c>
      <c r="AM133" s="134">
        <v>2944.93</v>
      </c>
      <c r="AN133" s="136"/>
      <c r="AO133" s="136"/>
      <c r="AP133" s="105">
        <f t="shared" si="44"/>
        <v>0</v>
      </c>
      <c r="AQ133" s="99"/>
      <c r="AR133" s="99"/>
      <c r="AS133" s="99"/>
      <c r="AT133" s="124"/>
      <c r="AU133" s="224">
        <f t="shared" si="45"/>
        <v>0</v>
      </c>
      <c r="AV133" s="1637">
        <v>14688.4</v>
      </c>
      <c r="AW133" s="1709"/>
      <c r="AX133" s="1546"/>
      <c r="AY133" s="1546"/>
      <c r="AZ133" s="1546"/>
      <c r="BA133" s="1546"/>
      <c r="BB133" s="141"/>
      <c r="BC133" s="152"/>
      <c r="BD133" s="152"/>
      <c r="BE133" s="152"/>
      <c r="BF133" s="152"/>
      <c r="BG133" s="222">
        <f t="shared" si="46"/>
        <v>0</v>
      </c>
      <c r="BH133" s="140">
        <f t="shared" si="47"/>
        <v>0</v>
      </c>
      <c r="BI133" s="132"/>
      <c r="BJ133" s="140">
        <f t="shared" si="48"/>
        <v>0</v>
      </c>
      <c r="BK133" s="141"/>
      <c r="BL133" s="141"/>
      <c r="BM133" s="141"/>
      <c r="BN133" s="141"/>
      <c r="BO133" s="141"/>
      <c r="BP133" s="141"/>
      <c r="BQ133" s="141"/>
      <c r="BR133" s="141"/>
      <c r="BS133" s="141"/>
      <c r="BT133" s="141"/>
      <c r="BU133" s="141"/>
      <c r="BV133" s="141"/>
      <c r="BW133" s="141"/>
      <c r="BX133" s="130">
        <f t="shared" si="49"/>
        <v>0</v>
      </c>
      <c r="BY133" s="132"/>
    </row>
    <row r="134" ht="15.75" customHeight="1">
      <c r="B134" s="179">
        <v>46141</v>
      </c>
      <c r="C134" s="382">
        <f>19330.99-0-0</f>
      </c>
      <c r="D134" s="136"/>
      <c r="E134" s="135"/>
      <c r="F134" s="135"/>
      <c r="G134" s="147">
        <f t="shared" si="41"/>
        <v>0</v>
      </c>
      <c r="H134" s="122"/>
      <c r="I134" s="99"/>
      <c r="J134" s="121">
        <v>169.97</v>
      </c>
      <c r="K134" s="99"/>
      <c r="L134" s="99"/>
      <c r="M134" s="99"/>
      <c r="N134" s="99">
        <v>520.6</v>
      </c>
      <c r="O134" s="99"/>
      <c r="P134" s="99"/>
      <c r="Q134" s="99"/>
      <c r="R134" s="99"/>
      <c r="S134" s="99"/>
      <c r="T134" s="99"/>
      <c r="U134" s="99"/>
      <c r="V134" s="99"/>
      <c r="W134" s="99"/>
      <c r="X134" s="103">
        <f t="shared" si="42"/>
        <v>0</v>
      </c>
      <c r="Y134" s="611"/>
      <c r="Z134" s="611"/>
      <c r="AA134" s="143"/>
      <c r="AB134" s="143"/>
      <c r="AC134" s="143"/>
      <c r="AD134" s="143"/>
      <c r="AE134" s="143"/>
      <c r="AF134" s="143"/>
      <c r="AG134" s="143"/>
      <c r="AH134" s="143"/>
      <c r="AI134" s="145">
        <v>45</v>
      </c>
      <c r="AJ134" s="143"/>
      <c r="AK134" s="145">
        <v>60</v>
      </c>
      <c r="AL134" s="103">
        <f t="shared" si="43"/>
        <v>0</v>
      </c>
      <c r="AM134" s="134">
        <v>2730.98</v>
      </c>
      <c r="AN134" s="136"/>
      <c r="AO134" s="136"/>
      <c r="AP134" s="105">
        <f t="shared" si="44"/>
        <v>0</v>
      </c>
      <c r="AQ134" s="99"/>
      <c r="AR134" s="99"/>
      <c r="AS134" s="99"/>
      <c r="AT134" s="124"/>
      <c r="AU134" s="224">
        <f t="shared" si="45"/>
        <v>0</v>
      </c>
      <c r="AV134" s="1637">
        <v>14942</v>
      </c>
      <c r="AW134" s="1709"/>
      <c r="AX134" s="1546"/>
      <c r="AY134" s="1546"/>
      <c r="AZ134" s="1546"/>
      <c r="BA134" s="1546"/>
      <c r="BB134" s="141"/>
      <c r="BC134" s="152"/>
      <c r="BD134" s="152"/>
      <c r="BE134" s="152"/>
      <c r="BF134" s="152"/>
      <c r="BG134" s="222">
        <f t="shared" si="46"/>
        <v>0</v>
      </c>
      <c r="BH134" s="140">
        <f t="shared" si="47"/>
        <v>0</v>
      </c>
      <c r="BI134" s="132"/>
      <c r="BJ134" s="140">
        <f t="shared" si="48"/>
        <v>0</v>
      </c>
      <c r="BK134" s="141"/>
      <c r="BL134" s="141"/>
      <c r="BM134" s="141"/>
      <c r="BN134" s="141"/>
      <c r="BO134" s="141"/>
      <c r="BP134" s="141"/>
      <c r="BQ134" s="141"/>
      <c r="BR134" s="141"/>
      <c r="BS134" s="141"/>
      <c r="BT134" s="141"/>
      <c r="BU134" s="150"/>
      <c r="BV134" s="141">
        <v>700</v>
      </c>
      <c r="BW134" s="141"/>
      <c r="BX134" s="130">
        <f t="shared" si="49"/>
        <v>0</v>
      </c>
      <c r="BY134" s="132"/>
    </row>
    <row r="135" ht="15.75" customHeight="1">
      <c r="B135" s="179">
        <v>46142</v>
      </c>
      <c r="C135" s="382">
        <f>19672.70-0-0</f>
      </c>
      <c r="D135" s="136"/>
      <c r="E135" s="135"/>
      <c r="F135" s="135"/>
      <c r="G135" s="147">
        <f t="shared" si="41"/>
        <v>0</v>
      </c>
      <c r="H135" s="122"/>
      <c r="I135" s="99"/>
      <c r="J135" s="99">
        <v>2123.24</v>
      </c>
      <c r="K135" s="99"/>
      <c r="L135" s="99"/>
      <c r="M135" s="99"/>
      <c r="N135" s="121">
        <v>191</v>
      </c>
      <c r="O135" s="99"/>
      <c r="P135" s="99"/>
      <c r="Q135" s="99"/>
      <c r="R135" s="99"/>
      <c r="S135" s="99"/>
      <c r="T135" s="99"/>
      <c r="U135" s="99"/>
      <c r="V135" s="121"/>
      <c r="W135" s="99"/>
      <c r="X135" s="103">
        <f t="shared" si="42"/>
        <v>0</v>
      </c>
      <c r="Y135" s="611"/>
      <c r="Z135" s="611"/>
      <c r="AA135" s="143"/>
      <c r="AB135" s="143"/>
      <c r="AC135" s="143"/>
      <c r="AD135" s="143"/>
      <c r="AE135" s="143"/>
      <c r="AF135" s="143"/>
      <c r="AG135" s="143"/>
      <c r="AH135" s="143"/>
      <c r="AI135" s="145">
        <v>20</v>
      </c>
      <c r="AJ135" s="143"/>
      <c r="AK135" s="143"/>
      <c r="AL135" s="103">
        <f t="shared" si="43"/>
        <v>0</v>
      </c>
      <c r="AM135" s="134">
        <v>2646.39</v>
      </c>
      <c r="AN135" s="136"/>
      <c r="AO135" s="136"/>
      <c r="AP135" s="105">
        <f t="shared" si="44"/>
        <v>0</v>
      </c>
      <c r="AQ135" s="99"/>
      <c r="AR135" s="99"/>
      <c r="AS135" s="99"/>
      <c r="AT135" s="124"/>
      <c r="AU135" s="224">
        <f t="shared" si="45"/>
        <v>0</v>
      </c>
      <c r="AV135" s="1705">
        <v>14481.7</v>
      </c>
      <c r="AW135" s="1709"/>
      <c r="AX135" s="1546"/>
      <c r="AY135" s="1546"/>
      <c r="AZ135" s="1546"/>
      <c r="BA135" s="1546"/>
      <c r="BB135" s="141"/>
      <c r="BC135" s="152"/>
      <c r="BD135" s="152"/>
      <c r="BE135" s="152"/>
      <c r="BF135" s="152"/>
      <c r="BG135" s="222">
        <f t="shared" si="46"/>
        <v>0</v>
      </c>
      <c r="BH135" s="140">
        <f t="shared" si="47"/>
        <v>0</v>
      </c>
      <c r="BI135" s="132"/>
      <c r="BJ135" s="140">
        <f t="shared" si="48"/>
        <v>0</v>
      </c>
      <c r="BK135" s="141"/>
      <c r="BL135" s="141"/>
      <c r="BM135" s="141"/>
      <c r="BN135" s="141"/>
      <c r="BO135" s="141"/>
      <c r="BP135" s="141"/>
      <c r="BQ135" s="141"/>
      <c r="BR135" s="141"/>
      <c r="BS135" s="141"/>
      <c r="BT135" s="141"/>
      <c r="BU135" s="150"/>
      <c r="BV135" s="141">
        <v>100</v>
      </c>
      <c r="BW135" s="141"/>
      <c r="BX135" s="130">
        <f t="shared" si="49"/>
        <v>0</v>
      </c>
      <c r="BY135" s="132"/>
    </row>
    <row r="136" ht="15.75" customHeight="1">
      <c r="B136" s="1019" t="s">
        <v>78</v>
      </c>
      <c r="C136" s="617">
        <f ref="C136:G136" t="shared" si="50">SUM(C106:C135)</f>
        <v>0</v>
      </c>
      <c r="D136" s="617">
        <f t="shared" si="50"/>
        <v>0</v>
      </c>
      <c r="E136" s="617">
        <f t="shared" si="50"/>
        <v>0</v>
      </c>
      <c r="F136" s="617">
        <f t="shared" si="50"/>
        <v>0</v>
      </c>
      <c r="G136" s="617">
        <f t="shared" si="50"/>
        <v>0</v>
      </c>
      <c r="H136" s="617">
        <f>SUMIF(H106:H135,"&gt;0")</f>
        <v>0</v>
      </c>
      <c r="I136" s="617">
        <f ref="I136:O136" t="shared" si="51">SUM(I106:I135)</f>
        <v>0</v>
      </c>
      <c r="J136" s="617">
        <f t="shared" si="51"/>
        <v>0</v>
      </c>
      <c r="K136" s="617">
        <f t="shared" si="51"/>
        <v>0</v>
      </c>
      <c r="L136" s="617">
        <f t="shared" si="51"/>
        <v>0</v>
      </c>
      <c r="M136" s="617">
        <f t="shared" si="51"/>
        <v>0</v>
      </c>
      <c r="N136" s="617">
        <f t="shared" si="51"/>
        <v>0</v>
      </c>
      <c r="O136" s="617">
        <f t="shared" si="51"/>
        <v>0</v>
      </c>
      <c r="P136" s="617"/>
      <c r="Q136" s="617">
        <f>SUM(Q106:Q135)</f>
        <v>0</v>
      </c>
      <c r="R136" s="617"/>
      <c r="S136" s="617">
        <f ref="S136:T136" t="shared" si="52">SUM(S106:S135)</f>
        <v>0</v>
      </c>
      <c r="T136" s="617">
        <f t="shared" si="52"/>
        <v>0</v>
      </c>
      <c r="U136" s="617"/>
      <c r="V136" s="617">
        <f>SUMIF(V106:V135,"&gt;0")</f>
        <v>0</v>
      </c>
      <c r="W136" s="617"/>
      <c r="X136" s="617">
        <f ref="X136:Y136" t="shared" si="53">SUM(X106:X135)</f>
        <v>0</v>
      </c>
      <c r="Y136" s="617">
        <f t="shared" si="53"/>
        <v>0</v>
      </c>
      <c r="Z136" s="617"/>
      <c r="AA136" s="617">
        <f ref="AA136:BY136" t="shared" si="54">SUM(AA106:AA135)</f>
        <v>0</v>
      </c>
      <c r="AB136" s="617">
        <f t="shared" si="54"/>
        <v>0</v>
      </c>
      <c r="AC136" s="617">
        <f t="shared" si="54"/>
        <v>0</v>
      </c>
      <c r="AD136" s="617">
        <f t="shared" si="54"/>
        <v>0</v>
      </c>
      <c r="AE136" s="617">
        <f t="shared" si="54"/>
        <v>0</v>
      </c>
      <c r="AF136" s="617">
        <f t="shared" si="54"/>
        <v>0</v>
      </c>
      <c r="AG136" s="617">
        <f t="shared" si="54"/>
        <v>0</v>
      </c>
      <c r="AH136" s="617">
        <f t="shared" si="54"/>
        <v>0</v>
      </c>
      <c r="AI136" s="617">
        <f t="shared" si="54"/>
        <v>0</v>
      </c>
      <c r="AJ136" s="617">
        <f t="shared" si="54"/>
        <v>0</v>
      </c>
      <c r="AK136" s="617">
        <f t="shared" si="54"/>
        <v>0</v>
      </c>
      <c r="AL136" s="617">
        <f t="shared" si="54"/>
        <v>0</v>
      </c>
      <c r="AM136" s="617">
        <f t="shared" si="54"/>
        <v>0</v>
      </c>
      <c r="AN136" s="617">
        <f t="shared" si="54"/>
        <v>0</v>
      </c>
      <c r="AO136" s="617">
        <f t="shared" si="54"/>
        <v>0</v>
      </c>
      <c r="AP136" s="617">
        <f t="shared" si="54"/>
        <v>0</v>
      </c>
      <c r="AQ136" s="617">
        <f t="shared" si="54"/>
        <v>0</v>
      </c>
      <c r="AR136" s="617">
        <f t="shared" si="54"/>
        <v>0</v>
      </c>
      <c r="AS136" s="617">
        <f t="shared" si="54"/>
        <v>0</v>
      </c>
      <c r="AT136" s="617">
        <f t="shared" si="54"/>
        <v>0</v>
      </c>
      <c r="AU136" s="617">
        <f t="shared" si="54"/>
        <v>0</v>
      </c>
      <c r="AV136" s="1068">
        <f t="shared" si="54"/>
        <v>0</v>
      </c>
      <c r="AW136" s="617">
        <f t="shared" si="54"/>
        <v>0</v>
      </c>
      <c r="AX136" s="617">
        <f t="shared" si="54"/>
        <v>0</v>
      </c>
      <c r="AY136" s="617">
        <f t="shared" si="54"/>
        <v>0</v>
      </c>
      <c r="AZ136" s="617">
        <f t="shared" si="54"/>
        <v>0</v>
      </c>
      <c r="BA136" s="617">
        <f t="shared" si="54"/>
        <v>0</v>
      </c>
      <c r="BB136" s="617">
        <f t="shared" si="54"/>
        <v>0</v>
      </c>
      <c r="BC136" s="617">
        <f t="shared" si="54"/>
        <v>0</v>
      </c>
      <c r="BD136" s="617">
        <f t="shared" si="54"/>
        <v>0</v>
      </c>
      <c r="BE136" s="617">
        <f t="shared" si="54"/>
        <v>0</v>
      </c>
      <c r="BF136" s="617">
        <f t="shared" si="54"/>
        <v>0</v>
      </c>
      <c r="BG136" s="617">
        <f t="shared" si="54"/>
        <v>0</v>
      </c>
      <c r="BH136" s="617">
        <f t="shared" si="54"/>
        <v>0</v>
      </c>
      <c r="BI136" s="617">
        <f t="shared" si="54"/>
        <v>0</v>
      </c>
      <c r="BJ136" s="617">
        <f t="shared" si="54"/>
        <v>0</v>
      </c>
      <c r="BK136" s="617">
        <f t="shared" si="54"/>
        <v>0</v>
      </c>
      <c r="BL136" s="617">
        <f t="shared" si="54"/>
        <v>0</v>
      </c>
      <c r="BM136" s="617">
        <f t="shared" si="54"/>
        <v>0</v>
      </c>
      <c r="BN136" s="617">
        <f t="shared" si="54"/>
        <v>0</v>
      </c>
      <c r="BO136" s="617">
        <f t="shared" si="54"/>
        <v>0</v>
      </c>
      <c r="BP136" s="617">
        <f t="shared" si="54"/>
        <v>0</v>
      </c>
      <c r="BQ136" s="617">
        <f t="shared" si="54"/>
        <v>0</v>
      </c>
      <c r="BR136" s="617">
        <f t="shared" si="54"/>
        <v>0</v>
      </c>
      <c r="BS136" s="617">
        <f t="shared" si="54"/>
        <v>0</v>
      </c>
      <c r="BT136" s="617">
        <f t="shared" si="54"/>
        <v>0</v>
      </c>
      <c r="BU136" s="617">
        <f t="shared" si="54"/>
        <v>0</v>
      </c>
      <c r="BV136" s="617">
        <f t="shared" si="54"/>
        <v>0</v>
      </c>
      <c r="BW136" s="617">
        <f t="shared" si="54"/>
        <v>0</v>
      </c>
      <c r="BX136" s="617">
        <f t="shared" si="54"/>
        <v>0</v>
      </c>
      <c r="BY136" s="617">
        <f t="shared" si="54"/>
        <v>0</v>
      </c>
    </row>
    <row r="137" ht="15.75" customHeight="1">
      <c r="B137" s="1023" t="s">
        <v>11</v>
      </c>
      <c r="C137" s="1"/>
      <c r="D137" s="3"/>
      <c r="E137" s="3"/>
      <c r="F137" s="3"/>
      <c r="G137" s="4"/>
      <c r="H137" s="1460">
        <f ref="H137:W137" t="shared" si="55">SUMIF(H107:H135,"&lt;0")</f>
        <v>0</v>
      </c>
      <c r="I137" s="1460">
        <f t="shared" si="55"/>
        <v>0</v>
      </c>
      <c r="J137" s="1460">
        <f t="shared" si="55"/>
        <v>0</v>
      </c>
      <c r="K137" s="1460">
        <f t="shared" si="55"/>
        <v>0</v>
      </c>
      <c r="L137" s="1460">
        <f t="shared" si="55"/>
        <v>0</v>
      </c>
      <c r="M137" s="1460">
        <f t="shared" si="55"/>
        <v>0</v>
      </c>
      <c r="N137" s="1460">
        <f t="shared" si="55"/>
        <v>0</v>
      </c>
      <c r="O137" s="1460">
        <f t="shared" si="55"/>
        <v>0</v>
      </c>
      <c r="P137" s="1460">
        <f t="shared" si="55"/>
        <v>0</v>
      </c>
      <c r="Q137" s="1460">
        <f t="shared" si="55"/>
        <v>0</v>
      </c>
      <c r="R137" s="1460">
        <f t="shared" si="55"/>
        <v>0</v>
      </c>
      <c r="S137" s="1460">
        <f t="shared" si="55"/>
        <v>0</v>
      </c>
      <c r="T137" s="1460">
        <f t="shared" si="55"/>
        <v>0</v>
      </c>
      <c r="U137" s="1460">
        <f t="shared" si="55"/>
        <v>0</v>
      </c>
      <c r="V137" s="1460">
        <f t="shared" si="55"/>
        <v>0</v>
      </c>
      <c r="W137" s="1460">
        <f t="shared" si="55"/>
        <v>0</v>
      </c>
      <c r="X137" s="3"/>
      <c r="Y137" s="1"/>
      <c r="Z137" s="1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4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132"/>
      <c r="BG137" s="4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ht="15.75" customHeight="1">
      <c r="B138" s="2"/>
      <c r="C138" s="1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1"/>
      <c r="Z138" s="1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176"/>
      <c r="AM138" s="3"/>
      <c r="AN138" s="3"/>
      <c r="AO138" s="3"/>
      <c r="AP138" s="4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132"/>
      <c r="BG138" s="177"/>
      <c r="BH138" s="3"/>
      <c r="BI138" s="3"/>
      <c r="BJ138" s="3"/>
      <c r="BK138" s="3"/>
      <c r="BL138" s="3"/>
      <c r="BM138" s="3"/>
      <c r="BN138" s="176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ht="15.75" customHeight="1">
      <c r="B139" s="215">
        <v>46143</v>
      </c>
      <c r="C139" s="1449"/>
      <c r="D139" s="104"/>
      <c r="E139" s="97"/>
      <c r="F139" s="97"/>
      <c r="G139" s="265">
        <f ref="G139:G169" t="shared" si="56">+C139+D139+E139+F139</f>
        <v>0</v>
      </c>
      <c r="H139" s="100"/>
      <c r="I139" s="101"/>
      <c r="J139" s="102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463">
        <f ref="X139:X169" t="shared" si="57">SUM(H139:V139)</f>
        <v>0</v>
      </c>
      <c r="Y139" s="1900"/>
      <c r="Z139" s="1900"/>
      <c r="AA139" s="1900"/>
      <c r="AB139" s="1901"/>
      <c r="AC139" s="1901"/>
      <c r="AD139" s="1881"/>
      <c r="AE139" s="1881"/>
      <c r="AF139" s="1881"/>
      <c r="AG139" s="1881"/>
      <c r="AH139" s="1881"/>
      <c r="AI139" s="1902"/>
      <c r="AJ139" s="1881"/>
      <c r="AK139" s="1881"/>
      <c r="AL139" s="877">
        <f ref="AL139:AL169" t="shared" si="58">SUM(Y139:AK139)</f>
        <v>0</v>
      </c>
      <c r="AM139" s="95"/>
      <c r="AN139" s="104"/>
      <c r="AO139" s="104"/>
      <c r="AP139" s="191">
        <f ref="AP139:AP169" t="shared" si="59">SUM(AM139:AO139)</f>
        <v>0</v>
      </c>
      <c r="AQ139" s="101"/>
      <c r="AR139" s="101"/>
      <c r="AS139" s="101"/>
      <c r="AT139" s="106"/>
      <c r="AU139" s="219">
        <f ref="AU139:AU169" t="shared" si="60">+G139-X139-AL139-AP139-AQ139-AR139-AS139-AT139</f>
        <v>0</v>
      </c>
      <c r="AV139" s="271"/>
      <c r="AW139" s="269"/>
      <c r="AX139" s="109"/>
      <c r="AY139" s="109"/>
      <c r="AZ139" s="109"/>
      <c r="BA139" s="109"/>
      <c r="BB139" s="196"/>
      <c r="BC139" s="490"/>
      <c r="BD139" s="490"/>
      <c r="BE139" s="490"/>
      <c r="BF139" s="490"/>
      <c r="BG139" s="114">
        <f ref="BG139:BG169" t="shared" si="61">SUM(AV139:BF139)-BE139</f>
        <v>0</v>
      </c>
      <c r="BH139" s="114">
        <f ref="BH139:BH169" t="shared" si="62">+AU139-BG139</f>
        <v>0</v>
      </c>
      <c r="BI139" s="3"/>
      <c r="BJ139" s="114">
        <f ref="BJ139:BJ169" t="shared" si="63">SUM(BK139:BW139)</f>
        <v>0</v>
      </c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6">
        <f ref="BX139:BX169" t="shared" si="64">+BH139-BJ139</f>
        <v>0</v>
      </c>
      <c r="BY139" s="3"/>
    </row>
    <row r="140" ht="15.75" customHeight="1">
      <c r="B140" s="215">
        <v>46144</v>
      </c>
      <c r="C140" s="1452"/>
      <c r="D140" s="123"/>
      <c r="E140" s="120"/>
      <c r="F140" s="120"/>
      <c r="G140" s="147">
        <f t="shared" si="56"/>
        <v>0</v>
      </c>
      <c r="H140" s="122"/>
      <c r="I140" s="99"/>
      <c r="J140" s="121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300">
        <f t="shared" si="57"/>
        <v>0</v>
      </c>
      <c r="Y140" s="1903"/>
      <c r="Z140" s="1903"/>
      <c r="AA140" s="1903"/>
      <c r="AB140" s="1904"/>
      <c r="AC140" s="1904"/>
      <c r="AD140" s="1876"/>
      <c r="AE140" s="1876"/>
      <c r="AF140" s="1876"/>
      <c r="AG140" s="1876"/>
      <c r="AH140" s="1876"/>
      <c r="AI140" s="1880"/>
      <c r="AJ140" s="1876"/>
      <c r="AK140" s="1876"/>
      <c r="AL140" s="877">
        <f t="shared" si="58"/>
        <v>0</v>
      </c>
      <c r="AM140" s="119"/>
      <c r="AN140" s="123"/>
      <c r="AO140" s="123"/>
      <c r="AP140" s="105">
        <f t="shared" si="59"/>
        <v>0</v>
      </c>
      <c r="AQ140" s="99"/>
      <c r="AR140" s="99"/>
      <c r="AS140" s="99"/>
      <c r="AT140" s="124"/>
      <c r="AU140" s="224">
        <f t="shared" si="60"/>
        <v>0</v>
      </c>
      <c r="AV140" s="229"/>
      <c r="AW140" s="274"/>
      <c r="AX140" s="126"/>
      <c r="AY140" s="126"/>
      <c r="AZ140" s="126"/>
      <c r="BA140" s="126"/>
      <c r="BB140" s="141"/>
      <c r="BC140" s="152"/>
      <c r="BD140" s="152"/>
      <c r="BE140" s="152"/>
      <c r="BF140" s="152"/>
      <c r="BG140" s="113">
        <f t="shared" si="61"/>
        <v>0</v>
      </c>
      <c r="BH140" s="113">
        <f t="shared" si="62"/>
        <v>0</v>
      </c>
      <c r="BI140" s="3"/>
      <c r="BJ140" s="113">
        <f t="shared" si="63"/>
        <v>0</v>
      </c>
      <c r="BK140" s="129"/>
      <c r="BL140" s="129"/>
      <c r="BM140" s="129"/>
      <c r="BN140" s="129"/>
      <c r="BO140" s="129"/>
      <c r="BP140" s="129"/>
      <c r="BQ140" s="129"/>
      <c r="BR140" s="129"/>
      <c r="BS140" s="129"/>
      <c r="BT140" s="129"/>
      <c r="BU140" s="129"/>
      <c r="BV140" s="129"/>
      <c r="BW140" s="129"/>
      <c r="BX140" s="130">
        <f t="shared" si="64"/>
        <v>0</v>
      </c>
      <c r="BY140" s="3"/>
    </row>
    <row r="141" ht="15.75" customHeight="1">
      <c r="B141" s="215">
        <v>46145</v>
      </c>
      <c r="C141" s="1452"/>
      <c r="D141" s="123"/>
      <c r="E141" s="120"/>
      <c r="F141" s="120"/>
      <c r="G141" s="147">
        <f t="shared" si="56"/>
        <v>0</v>
      </c>
      <c r="H141" s="122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300">
        <f t="shared" si="57"/>
        <v>0</v>
      </c>
      <c r="Y141" s="1903"/>
      <c r="Z141" s="1903"/>
      <c r="AA141" s="1903"/>
      <c r="AB141" s="1876"/>
      <c r="AC141" s="1904"/>
      <c r="AD141" s="1876"/>
      <c r="AE141" s="1876"/>
      <c r="AF141" s="1876"/>
      <c r="AG141" s="1876"/>
      <c r="AH141" s="1876"/>
      <c r="AI141" s="1876"/>
      <c r="AJ141" s="1876"/>
      <c r="AK141" s="1876"/>
      <c r="AL141" s="877">
        <f t="shared" si="58"/>
        <v>0</v>
      </c>
      <c r="AM141" s="119"/>
      <c r="AN141" s="123"/>
      <c r="AO141" s="123"/>
      <c r="AP141" s="105">
        <f t="shared" si="59"/>
        <v>0</v>
      </c>
      <c r="AQ141" s="99"/>
      <c r="AR141" s="99"/>
      <c r="AS141" s="99"/>
      <c r="AT141" s="124"/>
      <c r="AU141" s="224">
        <f t="shared" si="60"/>
        <v>0</v>
      </c>
      <c r="AV141" s="229"/>
      <c r="AW141" s="274"/>
      <c r="AX141" s="126"/>
      <c r="AY141" s="126"/>
      <c r="AZ141" s="126"/>
      <c r="BA141" s="126"/>
      <c r="BB141" s="141"/>
      <c r="BC141" s="152"/>
      <c r="BD141" s="152"/>
      <c r="BE141" s="152"/>
      <c r="BF141" s="152"/>
      <c r="BG141" s="113">
        <f t="shared" si="61"/>
        <v>0</v>
      </c>
      <c r="BH141" s="113">
        <f t="shared" si="62"/>
        <v>0</v>
      </c>
      <c r="BI141" s="3"/>
      <c r="BJ141" s="113">
        <f t="shared" si="63"/>
        <v>0</v>
      </c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29"/>
      <c r="BU141" s="129"/>
      <c r="BV141" s="129"/>
      <c r="BW141" s="129"/>
      <c r="BX141" s="130">
        <f t="shared" si="64"/>
        <v>0</v>
      </c>
      <c r="BY141" s="3"/>
    </row>
    <row r="142" ht="15.75" customHeight="1">
      <c r="B142" s="215">
        <v>46146</v>
      </c>
      <c r="C142" s="1452"/>
      <c r="D142" s="123"/>
      <c r="E142" s="120"/>
      <c r="F142" s="120"/>
      <c r="G142" s="147">
        <f t="shared" si="56"/>
        <v>0</v>
      </c>
      <c r="H142" s="122"/>
      <c r="I142" s="99"/>
      <c r="J142" s="99"/>
      <c r="K142" s="99"/>
      <c r="L142" s="99"/>
      <c r="M142" s="99"/>
      <c r="N142" s="121"/>
      <c r="O142" s="99"/>
      <c r="P142" s="99"/>
      <c r="Q142" s="99"/>
      <c r="R142" s="99"/>
      <c r="S142" s="99"/>
      <c r="T142" s="99"/>
      <c r="U142" s="99"/>
      <c r="V142" s="121"/>
      <c r="W142" s="99"/>
      <c r="X142" s="300">
        <f t="shared" si="57"/>
        <v>0</v>
      </c>
      <c r="Y142" s="1903"/>
      <c r="Z142" s="1903"/>
      <c r="AA142" s="1876"/>
      <c r="AB142" s="1876"/>
      <c r="AC142" s="1904"/>
      <c r="AD142" s="1876"/>
      <c r="AE142" s="1876"/>
      <c r="AF142" s="1876"/>
      <c r="AG142" s="1876"/>
      <c r="AH142" s="1876"/>
      <c r="AI142" s="1880"/>
      <c r="AJ142" s="1876"/>
      <c r="AK142" s="1880"/>
      <c r="AL142" s="877">
        <f t="shared" si="58"/>
        <v>0</v>
      </c>
      <c r="AM142" s="119"/>
      <c r="AN142" s="123"/>
      <c r="AO142" s="123"/>
      <c r="AP142" s="105">
        <f t="shared" si="59"/>
        <v>0</v>
      </c>
      <c r="AQ142" s="99"/>
      <c r="AR142" s="99"/>
      <c r="AS142" s="99"/>
      <c r="AT142" s="124"/>
      <c r="AU142" s="224">
        <f t="shared" si="60"/>
        <v>0</v>
      </c>
      <c r="AV142" s="229"/>
      <c r="AW142" s="274"/>
      <c r="AX142" s="126"/>
      <c r="AY142" s="126"/>
      <c r="AZ142" s="126"/>
      <c r="BA142" s="126"/>
      <c r="BB142" s="141"/>
      <c r="BC142" s="152"/>
      <c r="BD142" s="152"/>
      <c r="BE142" s="152"/>
      <c r="BF142" s="152"/>
      <c r="BG142" s="113">
        <f t="shared" si="61"/>
        <v>0</v>
      </c>
      <c r="BH142" s="113">
        <f t="shared" si="62"/>
        <v>0</v>
      </c>
      <c r="BI142" s="3"/>
      <c r="BJ142" s="113">
        <f t="shared" si="63"/>
        <v>0</v>
      </c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29"/>
      <c r="BU142" s="129"/>
      <c r="BV142" s="129"/>
      <c r="BW142" s="129"/>
      <c r="BX142" s="130">
        <f t="shared" si="64"/>
        <v>0</v>
      </c>
      <c r="BY142" s="3"/>
    </row>
    <row r="143" ht="15.75" customHeight="1">
      <c r="B143" s="215">
        <v>46147</v>
      </c>
      <c r="C143" s="1310"/>
      <c r="D143" s="123"/>
      <c r="E143" s="120"/>
      <c r="F143" s="120"/>
      <c r="G143" s="147">
        <f t="shared" si="56"/>
        <v>0</v>
      </c>
      <c r="H143" s="122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300">
        <f t="shared" si="57"/>
        <v>0</v>
      </c>
      <c r="Y143" s="1174"/>
      <c r="Z143" s="1174"/>
      <c r="AA143" s="173"/>
      <c r="AB143" s="173"/>
      <c r="AC143" s="148"/>
      <c r="AD143" s="173"/>
      <c r="AE143" s="173"/>
      <c r="AF143" s="173"/>
      <c r="AG143" s="173"/>
      <c r="AH143" s="173"/>
      <c r="AI143" s="173"/>
      <c r="AJ143" s="173"/>
      <c r="AK143" s="173"/>
      <c r="AL143" s="877">
        <f t="shared" si="58"/>
        <v>0</v>
      </c>
      <c r="AM143" s="123"/>
      <c r="AN143" s="123"/>
      <c r="AO143" s="123"/>
      <c r="AP143" s="105">
        <f t="shared" si="59"/>
        <v>0</v>
      </c>
      <c r="AQ143" s="99"/>
      <c r="AR143" s="99"/>
      <c r="AS143" s="99"/>
      <c r="AT143" s="124"/>
      <c r="AU143" s="224">
        <f t="shared" si="60"/>
        <v>0</v>
      </c>
      <c r="AV143" s="126"/>
      <c r="AW143" s="274"/>
      <c r="AX143" s="126"/>
      <c r="AY143" s="126"/>
      <c r="AZ143" s="126"/>
      <c r="BA143" s="126"/>
      <c r="BB143" s="141"/>
      <c r="BC143" s="152"/>
      <c r="BD143" s="152"/>
      <c r="BE143" s="152"/>
      <c r="BF143" s="152"/>
      <c r="BG143" s="113">
        <f t="shared" si="61"/>
        <v>0</v>
      </c>
      <c r="BH143" s="113">
        <f t="shared" si="62"/>
        <v>0</v>
      </c>
      <c r="BI143" s="3"/>
      <c r="BJ143" s="113">
        <f t="shared" si="63"/>
        <v>0</v>
      </c>
      <c r="BK143" s="129"/>
      <c r="BL143" s="129"/>
      <c r="BM143" s="129"/>
      <c r="BN143" s="129"/>
      <c r="BO143" s="129"/>
      <c r="BP143" s="129"/>
      <c r="BQ143" s="129"/>
      <c r="BR143" s="129"/>
      <c r="BS143" s="129"/>
      <c r="BT143" s="129"/>
      <c r="BU143" s="129"/>
      <c r="BV143" s="129"/>
      <c r="BW143" s="129"/>
      <c r="BX143" s="130">
        <f t="shared" si="64"/>
        <v>0</v>
      </c>
      <c r="BY143" s="3"/>
    </row>
    <row r="144" ht="15.75" customHeight="1">
      <c r="B144" s="215">
        <v>46148</v>
      </c>
      <c r="C144" s="1310"/>
      <c r="D144" s="123"/>
      <c r="E144" s="120"/>
      <c r="F144" s="120"/>
      <c r="G144" s="147">
        <f t="shared" si="56"/>
        <v>0</v>
      </c>
      <c r="H144" s="122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300">
        <f t="shared" si="57"/>
        <v>0</v>
      </c>
      <c r="Y144" s="1174"/>
      <c r="Z144" s="1174"/>
      <c r="AA144" s="173"/>
      <c r="AB144" s="173"/>
      <c r="AC144" s="148"/>
      <c r="AD144" s="173"/>
      <c r="AE144" s="173"/>
      <c r="AF144" s="173"/>
      <c r="AG144" s="173"/>
      <c r="AH144" s="173"/>
      <c r="AI144" s="173"/>
      <c r="AJ144" s="173"/>
      <c r="AK144" s="173"/>
      <c r="AL144" s="877">
        <f t="shared" si="58"/>
        <v>0</v>
      </c>
      <c r="AM144" s="123"/>
      <c r="AN144" s="123"/>
      <c r="AO144" s="123"/>
      <c r="AP144" s="105">
        <f t="shared" si="59"/>
        <v>0</v>
      </c>
      <c r="AQ144" s="99"/>
      <c r="AR144" s="99"/>
      <c r="AS144" s="99"/>
      <c r="AT144" s="124"/>
      <c r="AU144" s="224">
        <f t="shared" si="60"/>
        <v>0</v>
      </c>
      <c r="AV144" s="126"/>
      <c r="AW144" s="274"/>
      <c r="AX144" s="126"/>
      <c r="AY144" s="126"/>
      <c r="AZ144" s="126"/>
      <c r="BA144" s="126"/>
      <c r="BB144" s="141"/>
      <c r="BC144" s="152"/>
      <c r="BD144" s="152"/>
      <c r="BE144" s="152"/>
      <c r="BF144" s="152"/>
      <c r="BG144" s="113">
        <f t="shared" si="61"/>
        <v>0</v>
      </c>
      <c r="BH144" s="113">
        <f t="shared" si="62"/>
        <v>0</v>
      </c>
      <c r="BI144" s="3"/>
      <c r="BJ144" s="113">
        <f t="shared" si="63"/>
        <v>0</v>
      </c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30">
        <f t="shared" si="64"/>
        <v>0</v>
      </c>
      <c r="BY144" s="3"/>
    </row>
    <row r="145" ht="15.75" customHeight="1">
      <c r="B145" s="215">
        <v>46149</v>
      </c>
      <c r="C145" s="379"/>
      <c r="D145" s="136"/>
      <c r="E145" s="135"/>
      <c r="F145" s="135"/>
      <c r="G145" s="147">
        <f t="shared" si="56"/>
        <v>0</v>
      </c>
      <c r="H145" s="122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300">
        <f t="shared" si="57"/>
        <v>0</v>
      </c>
      <c r="Y145" s="1174"/>
      <c r="Z145" s="1174"/>
      <c r="AA145" s="173"/>
      <c r="AB145" s="173"/>
      <c r="AC145" s="148"/>
      <c r="AD145" s="173"/>
      <c r="AE145" s="173"/>
      <c r="AF145" s="173"/>
      <c r="AG145" s="173"/>
      <c r="AH145" s="173"/>
      <c r="AI145" s="173"/>
      <c r="AJ145" s="173"/>
      <c r="AK145" s="173"/>
      <c r="AL145" s="877">
        <f t="shared" si="58"/>
        <v>0</v>
      </c>
      <c r="AM145" s="136"/>
      <c r="AN145" s="136"/>
      <c r="AO145" s="136"/>
      <c r="AP145" s="105">
        <f t="shared" si="59"/>
        <v>0</v>
      </c>
      <c r="AQ145" s="99"/>
      <c r="AR145" s="99"/>
      <c r="AS145" s="99"/>
      <c r="AT145" s="124"/>
      <c r="AU145" s="224">
        <f t="shared" si="60"/>
        <v>0</v>
      </c>
      <c r="AV145" s="126"/>
      <c r="AW145" s="274"/>
      <c r="AX145" s="126"/>
      <c r="AY145" s="126"/>
      <c r="AZ145" s="126"/>
      <c r="BA145" s="126"/>
      <c r="BB145" s="141"/>
      <c r="BC145" s="152"/>
      <c r="BD145" s="152"/>
      <c r="BE145" s="152"/>
      <c r="BF145" s="152"/>
      <c r="BG145" s="140">
        <f t="shared" si="61"/>
        <v>0</v>
      </c>
      <c r="BH145" s="140">
        <f t="shared" si="62"/>
        <v>0</v>
      </c>
      <c r="BI145" s="132"/>
      <c r="BJ145" s="140">
        <f t="shared" si="63"/>
        <v>0</v>
      </c>
      <c r="BK145" s="141"/>
      <c r="BL145" s="141"/>
      <c r="BM145" s="141"/>
      <c r="BN145" s="141"/>
      <c r="BO145" s="141"/>
      <c r="BP145" s="141"/>
      <c r="BQ145" s="141"/>
      <c r="BR145" s="141"/>
      <c r="BS145" s="141"/>
      <c r="BT145" s="141"/>
      <c r="BU145" s="141"/>
      <c r="BV145" s="141"/>
      <c r="BW145" s="141"/>
      <c r="BX145" s="130">
        <f t="shared" si="64"/>
        <v>0</v>
      </c>
      <c r="BY145" s="132"/>
    </row>
    <row r="146" ht="15.75" customHeight="1">
      <c r="B146" s="215">
        <v>46150</v>
      </c>
      <c r="C146" s="379"/>
      <c r="D146" s="136"/>
      <c r="E146" s="135"/>
      <c r="F146" s="135"/>
      <c r="G146" s="147">
        <f t="shared" si="56"/>
        <v>0</v>
      </c>
      <c r="H146" s="122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300">
        <f t="shared" si="57"/>
        <v>0</v>
      </c>
      <c r="Y146" s="1174"/>
      <c r="Z146" s="1174"/>
      <c r="AA146" s="173"/>
      <c r="AB146" s="173"/>
      <c r="AC146" s="148"/>
      <c r="AD146" s="173"/>
      <c r="AE146" s="173"/>
      <c r="AF146" s="173"/>
      <c r="AG146" s="173"/>
      <c r="AH146" s="173"/>
      <c r="AI146" s="173"/>
      <c r="AJ146" s="173"/>
      <c r="AK146" s="173"/>
      <c r="AL146" s="877">
        <f t="shared" si="58"/>
        <v>0</v>
      </c>
      <c r="AM146" s="136"/>
      <c r="AN146" s="136"/>
      <c r="AO146" s="136"/>
      <c r="AP146" s="105">
        <f t="shared" si="59"/>
        <v>0</v>
      </c>
      <c r="AQ146" s="99"/>
      <c r="AR146" s="99"/>
      <c r="AS146" s="99"/>
      <c r="AT146" s="124"/>
      <c r="AU146" s="224">
        <f t="shared" si="60"/>
        <v>0</v>
      </c>
      <c r="AV146" s="126"/>
      <c r="AW146" s="274"/>
      <c r="AX146" s="126"/>
      <c r="AY146" s="126"/>
      <c r="AZ146" s="126"/>
      <c r="BA146" s="126"/>
      <c r="BB146" s="141"/>
      <c r="BC146" s="152"/>
      <c r="BD146" s="152"/>
      <c r="BE146" s="152"/>
      <c r="BF146" s="152"/>
      <c r="BG146" s="140">
        <f t="shared" si="61"/>
        <v>0</v>
      </c>
      <c r="BH146" s="140">
        <f t="shared" si="62"/>
        <v>0</v>
      </c>
      <c r="BI146" s="132"/>
      <c r="BJ146" s="140">
        <f t="shared" si="63"/>
        <v>0</v>
      </c>
      <c r="BK146" s="141"/>
      <c r="BL146" s="141"/>
      <c r="BM146" s="141"/>
      <c r="BN146" s="141"/>
      <c r="BO146" s="141"/>
      <c r="BP146" s="141"/>
      <c r="BQ146" s="141"/>
      <c r="BR146" s="141"/>
      <c r="BS146" s="141"/>
      <c r="BT146" s="141"/>
      <c r="BU146" s="141"/>
      <c r="BV146" s="141"/>
      <c r="BW146" s="141"/>
      <c r="BX146" s="130">
        <f t="shared" si="64"/>
        <v>0</v>
      </c>
      <c r="BY146" s="132"/>
    </row>
    <row r="147" ht="15.75" customHeight="1">
      <c r="B147" s="215">
        <v>46151</v>
      </c>
      <c r="C147" s="379"/>
      <c r="D147" s="136"/>
      <c r="E147" s="135"/>
      <c r="F147" s="135"/>
      <c r="G147" s="147">
        <f t="shared" si="56"/>
        <v>0</v>
      </c>
      <c r="H147" s="122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300">
        <f t="shared" si="57"/>
        <v>0</v>
      </c>
      <c r="Y147" s="1174"/>
      <c r="Z147" s="1174"/>
      <c r="AA147" s="173"/>
      <c r="AB147" s="173"/>
      <c r="AC147" s="148"/>
      <c r="AD147" s="173"/>
      <c r="AE147" s="173"/>
      <c r="AF147" s="173"/>
      <c r="AG147" s="173"/>
      <c r="AH147" s="173"/>
      <c r="AI147" s="173"/>
      <c r="AJ147" s="173"/>
      <c r="AK147" s="173"/>
      <c r="AL147" s="877">
        <f t="shared" si="58"/>
        <v>0</v>
      </c>
      <c r="AM147" s="136"/>
      <c r="AN147" s="136"/>
      <c r="AO147" s="136"/>
      <c r="AP147" s="105">
        <f t="shared" si="59"/>
        <v>0</v>
      </c>
      <c r="AQ147" s="99"/>
      <c r="AR147" s="99"/>
      <c r="AS147" s="99"/>
      <c r="AT147" s="124"/>
      <c r="AU147" s="224">
        <f t="shared" si="60"/>
        <v>0</v>
      </c>
      <c r="AV147" s="126"/>
      <c r="AW147" s="274"/>
      <c r="AX147" s="126"/>
      <c r="AY147" s="126"/>
      <c r="AZ147" s="126"/>
      <c r="BA147" s="126"/>
      <c r="BB147" s="141"/>
      <c r="BC147" s="152"/>
      <c r="BD147" s="152"/>
      <c r="BE147" s="152"/>
      <c r="BF147" s="152"/>
      <c r="BG147" s="140">
        <f t="shared" si="61"/>
        <v>0</v>
      </c>
      <c r="BH147" s="140">
        <f t="shared" si="62"/>
        <v>0</v>
      </c>
      <c r="BI147" s="132"/>
      <c r="BJ147" s="140">
        <f t="shared" si="63"/>
        <v>0</v>
      </c>
      <c r="BK147" s="141"/>
      <c r="BL147" s="141"/>
      <c r="BM147" s="141"/>
      <c r="BN147" s="141"/>
      <c r="BO147" s="141"/>
      <c r="BP147" s="141"/>
      <c r="BQ147" s="141"/>
      <c r="BR147" s="141"/>
      <c r="BS147" s="141"/>
      <c r="BT147" s="141"/>
      <c r="BU147" s="141"/>
      <c r="BV147" s="141"/>
      <c r="BW147" s="141"/>
      <c r="BX147" s="130">
        <f t="shared" si="64"/>
        <v>0</v>
      </c>
      <c r="BY147" s="132"/>
    </row>
    <row r="148" ht="15.75" customHeight="1">
      <c r="B148" s="215">
        <v>46152</v>
      </c>
      <c r="C148" s="379"/>
      <c r="D148" s="136"/>
      <c r="E148" s="135"/>
      <c r="F148" s="135"/>
      <c r="G148" s="147">
        <f t="shared" si="56"/>
        <v>0</v>
      </c>
      <c r="H148" s="122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300">
        <f t="shared" si="57"/>
        <v>0</v>
      </c>
      <c r="Y148" s="1174"/>
      <c r="Z148" s="1174"/>
      <c r="AA148" s="173"/>
      <c r="AB148" s="173"/>
      <c r="AC148" s="148"/>
      <c r="AD148" s="173"/>
      <c r="AE148" s="173"/>
      <c r="AF148" s="173"/>
      <c r="AG148" s="173"/>
      <c r="AH148" s="173"/>
      <c r="AI148" s="173"/>
      <c r="AJ148" s="173"/>
      <c r="AK148" s="173"/>
      <c r="AL148" s="877">
        <f t="shared" si="58"/>
        <v>0</v>
      </c>
      <c r="AM148" s="136"/>
      <c r="AN148" s="136"/>
      <c r="AO148" s="136"/>
      <c r="AP148" s="105">
        <f t="shared" si="59"/>
        <v>0</v>
      </c>
      <c r="AQ148" s="99"/>
      <c r="AR148" s="99"/>
      <c r="AS148" s="99"/>
      <c r="AT148" s="124"/>
      <c r="AU148" s="224">
        <f t="shared" si="60"/>
        <v>0</v>
      </c>
      <c r="AV148" s="126"/>
      <c r="AW148" s="274"/>
      <c r="AX148" s="126"/>
      <c r="AY148" s="126"/>
      <c r="AZ148" s="126"/>
      <c r="BA148" s="126"/>
      <c r="BB148" s="141"/>
      <c r="BC148" s="152"/>
      <c r="BD148" s="152"/>
      <c r="BE148" s="152"/>
      <c r="BF148" s="152"/>
      <c r="BG148" s="140">
        <f t="shared" si="61"/>
        <v>0</v>
      </c>
      <c r="BH148" s="140">
        <f t="shared" si="62"/>
        <v>0</v>
      </c>
      <c r="BI148" s="132"/>
      <c r="BJ148" s="140">
        <f t="shared" si="63"/>
        <v>0</v>
      </c>
      <c r="BK148" s="141"/>
      <c r="BL148" s="141"/>
      <c r="BM148" s="141"/>
      <c r="BN148" s="141"/>
      <c r="BO148" s="141"/>
      <c r="BP148" s="141"/>
      <c r="BQ148" s="141"/>
      <c r="BR148" s="141"/>
      <c r="BS148" s="141"/>
      <c r="BT148" s="141"/>
      <c r="BU148" s="141"/>
      <c r="BV148" s="141"/>
      <c r="BW148" s="141"/>
      <c r="BX148" s="130">
        <f t="shared" si="64"/>
        <v>0</v>
      </c>
      <c r="BY148" s="132"/>
    </row>
    <row r="149" ht="15.75" customHeight="1">
      <c r="B149" s="215">
        <v>46153</v>
      </c>
      <c r="C149" s="379"/>
      <c r="D149" s="136"/>
      <c r="E149" s="135"/>
      <c r="F149" s="135"/>
      <c r="G149" s="147">
        <f t="shared" si="56"/>
        <v>0</v>
      </c>
      <c r="H149" s="122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300">
        <f t="shared" si="57"/>
        <v>0</v>
      </c>
      <c r="Y149" s="1174"/>
      <c r="Z149" s="1174"/>
      <c r="AA149" s="173"/>
      <c r="AB149" s="173"/>
      <c r="AC149" s="148"/>
      <c r="AD149" s="173"/>
      <c r="AE149" s="173"/>
      <c r="AF149" s="173"/>
      <c r="AG149" s="173"/>
      <c r="AH149" s="173"/>
      <c r="AI149" s="173"/>
      <c r="AJ149" s="173"/>
      <c r="AK149" s="173"/>
      <c r="AL149" s="877">
        <f t="shared" si="58"/>
        <v>0</v>
      </c>
      <c r="AM149" s="136"/>
      <c r="AN149" s="136"/>
      <c r="AO149" s="136"/>
      <c r="AP149" s="105">
        <f t="shared" si="59"/>
        <v>0</v>
      </c>
      <c r="AQ149" s="99"/>
      <c r="AR149" s="99"/>
      <c r="AS149" s="99"/>
      <c r="AT149" s="124"/>
      <c r="AU149" s="224">
        <f t="shared" si="60"/>
        <v>0</v>
      </c>
      <c r="AV149" s="126"/>
      <c r="AW149" s="274"/>
      <c r="AX149" s="126"/>
      <c r="AY149" s="126"/>
      <c r="AZ149" s="126"/>
      <c r="BA149" s="126"/>
      <c r="BB149" s="141"/>
      <c r="BC149" s="152"/>
      <c r="BD149" s="152"/>
      <c r="BE149" s="152"/>
      <c r="BF149" s="152"/>
      <c r="BG149" s="140">
        <f t="shared" si="61"/>
        <v>0</v>
      </c>
      <c r="BH149" s="140">
        <f t="shared" si="62"/>
        <v>0</v>
      </c>
      <c r="BI149" s="132"/>
      <c r="BJ149" s="140">
        <f t="shared" si="63"/>
        <v>0</v>
      </c>
      <c r="BK149" s="141"/>
      <c r="BL149" s="141"/>
      <c r="BM149" s="141"/>
      <c r="BN149" s="141"/>
      <c r="BO149" s="141"/>
      <c r="BP149" s="141"/>
      <c r="BQ149" s="141"/>
      <c r="BR149" s="141"/>
      <c r="BS149" s="141"/>
      <c r="BT149" s="141"/>
      <c r="BU149" s="141"/>
      <c r="BV149" s="141"/>
      <c r="BW149" s="141"/>
      <c r="BX149" s="130">
        <f t="shared" si="64"/>
        <v>0</v>
      </c>
      <c r="BY149" s="132"/>
    </row>
    <row r="150" ht="15.75" customHeight="1">
      <c r="B150" s="215">
        <v>46154</v>
      </c>
      <c r="C150" s="379"/>
      <c r="D150" s="136"/>
      <c r="E150" s="135"/>
      <c r="F150" s="135"/>
      <c r="G150" s="147">
        <f t="shared" si="56"/>
        <v>0</v>
      </c>
      <c r="H150" s="122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300">
        <f t="shared" si="57"/>
        <v>0</v>
      </c>
      <c r="Y150" s="1174"/>
      <c r="Z150" s="1174"/>
      <c r="AA150" s="173"/>
      <c r="AB150" s="173"/>
      <c r="AC150" s="148"/>
      <c r="AD150" s="173"/>
      <c r="AE150" s="173"/>
      <c r="AF150" s="173"/>
      <c r="AG150" s="173"/>
      <c r="AH150" s="173"/>
      <c r="AI150" s="173"/>
      <c r="AJ150" s="173"/>
      <c r="AK150" s="173"/>
      <c r="AL150" s="877">
        <f t="shared" si="58"/>
        <v>0</v>
      </c>
      <c r="AM150" s="136"/>
      <c r="AN150" s="136"/>
      <c r="AO150" s="136"/>
      <c r="AP150" s="105">
        <f t="shared" si="59"/>
        <v>0</v>
      </c>
      <c r="AQ150" s="99"/>
      <c r="AR150" s="99"/>
      <c r="AS150" s="99"/>
      <c r="AT150" s="124"/>
      <c r="AU150" s="224">
        <f t="shared" si="60"/>
        <v>0</v>
      </c>
      <c r="AV150" s="126"/>
      <c r="AW150" s="274"/>
      <c r="AX150" s="126"/>
      <c r="AY150" s="126"/>
      <c r="AZ150" s="126"/>
      <c r="BA150" s="126"/>
      <c r="BB150" s="141"/>
      <c r="BC150" s="152"/>
      <c r="BD150" s="152"/>
      <c r="BE150" s="152"/>
      <c r="BF150" s="152"/>
      <c r="BG150" s="140">
        <f t="shared" si="61"/>
        <v>0</v>
      </c>
      <c r="BH150" s="140">
        <f t="shared" si="62"/>
        <v>0</v>
      </c>
      <c r="BI150" s="132"/>
      <c r="BJ150" s="140">
        <f t="shared" si="63"/>
        <v>0</v>
      </c>
      <c r="BK150" s="141"/>
      <c r="BL150" s="141"/>
      <c r="BM150" s="141"/>
      <c r="BN150" s="141"/>
      <c r="BO150" s="141"/>
      <c r="BP150" s="141"/>
      <c r="BQ150" s="141"/>
      <c r="BR150" s="141"/>
      <c r="BS150" s="141"/>
      <c r="BT150" s="141"/>
      <c r="BU150" s="141"/>
      <c r="BV150" s="141"/>
      <c r="BW150" s="141"/>
      <c r="BX150" s="130">
        <f t="shared" si="64"/>
        <v>0</v>
      </c>
      <c r="BY150" s="132"/>
    </row>
    <row r="151" ht="15.75" customHeight="1">
      <c r="B151" s="215">
        <v>46155</v>
      </c>
      <c r="C151" s="379"/>
      <c r="D151" s="136"/>
      <c r="E151" s="135"/>
      <c r="F151" s="135"/>
      <c r="G151" s="147">
        <f t="shared" si="56"/>
        <v>0</v>
      </c>
      <c r="H151" s="122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300">
        <f t="shared" si="57"/>
        <v>0</v>
      </c>
      <c r="Y151" s="1174"/>
      <c r="Z151" s="1174"/>
      <c r="AA151" s="173"/>
      <c r="AB151" s="173"/>
      <c r="AC151" s="148"/>
      <c r="AD151" s="173"/>
      <c r="AE151" s="173"/>
      <c r="AF151" s="173"/>
      <c r="AG151" s="173"/>
      <c r="AH151" s="173"/>
      <c r="AI151" s="173"/>
      <c r="AJ151" s="173"/>
      <c r="AK151" s="173"/>
      <c r="AL151" s="877">
        <f t="shared" si="58"/>
        <v>0</v>
      </c>
      <c r="AM151" s="136"/>
      <c r="AN151" s="136"/>
      <c r="AO151" s="136"/>
      <c r="AP151" s="105">
        <f t="shared" si="59"/>
        <v>0</v>
      </c>
      <c r="AQ151" s="99"/>
      <c r="AR151" s="99"/>
      <c r="AS151" s="99"/>
      <c r="AT151" s="124"/>
      <c r="AU151" s="224">
        <f t="shared" si="60"/>
        <v>0</v>
      </c>
      <c r="AV151" s="126"/>
      <c r="AW151" s="274"/>
      <c r="AX151" s="126"/>
      <c r="AY151" s="126"/>
      <c r="AZ151" s="126"/>
      <c r="BA151" s="126"/>
      <c r="BB151" s="141"/>
      <c r="BC151" s="152"/>
      <c r="BD151" s="152"/>
      <c r="BE151" s="152"/>
      <c r="BF151" s="152"/>
      <c r="BG151" s="140">
        <f t="shared" si="61"/>
        <v>0</v>
      </c>
      <c r="BH151" s="140">
        <f t="shared" si="62"/>
        <v>0</v>
      </c>
      <c r="BI151" s="132"/>
      <c r="BJ151" s="140">
        <f t="shared" si="63"/>
        <v>0</v>
      </c>
      <c r="BK151" s="141"/>
      <c r="BL151" s="141"/>
      <c r="BM151" s="141"/>
      <c r="BN151" s="141"/>
      <c r="BO151" s="141"/>
      <c r="BP151" s="141"/>
      <c r="BQ151" s="141"/>
      <c r="BR151" s="141"/>
      <c r="BS151" s="141"/>
      <c r="BT151" s="141"/>
      <c r="BU151" s="141"/>
      <c r="BV151" s="141"/>
      <c r="BW151" s="141"/>
      <c r="BX151" s="130">
        <f t="shared" si="64"/>
        <v>0</v>
      </c>
      <c r="BY151" s="132"/>
    </row>
    <row r="152" ht="15.75" customHeight="1">
      <c r="B152" s="215">
        <v>46156</v>
      </c>
      <c r="C152" s="379"/>
      <c r="D152" s="136"/>
      <c r="E152" s="135"/>
      <c r="F152" s="135"/>
      <c r="G152" s="147">
        <f t="shared" si="56"/>
        <v>0</v>
      </c>
      <c r="H152" s="122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300">
        <f t="shared" si="57"/>
        <v>0</v>
      </c>
      <c r="Y152" s="1174"/>
      <c r="Z152" s="1174"/>
      <c r="AA152" s="173"/>
      <c r="AB152" s="173"/>
      <c r="AC152" s="148"/>
      <c r="AD152" s="173"/>
      <c r="AE152" s="173"/>
      <c r="AF152" s="173"/>
      <c r="AG152" s="173"/>
      <c r="AH152" s="173"/>
      <c r="AI152" s="173"/>
      <c r="AJ152" s="173"/>
      <c r="AK152" s="173"/>
      <c r="AL152" s="877">
        <f t="shared" si="58"/>
        <v>0</v>
      </c>
      <c r="AM152" s="136"/>
      <c r="AN152" s="136"/>
      <c r="AO152" s="136"/>
      <c r="AP152" s="105">
        <f t="shared" si="59"/>
        <v>0</v>
      </c>
      <c r="AQ152" s="99"/>
      <c r="AR152" s="99"/>
      <c r="AS152" s="99"/>
      <c r="AT152" s="124"/>
      <c r="AU152" s="224">
        <f t="shared" si="60"/>
        <v>0</v>
      </c>
      <c r="AV152" s="126"/>
      <c r="AW152" s="274"/>
      <c r="AX152" s="126"/>
      <c r="AY152" s="126"/>
      <c r="AZ152" s="126"/>
      <c r="BA152" s="126"/>
      <c r="BB152" s="141"/>
      <c r="BC152" s="152"/>
      <c r="BD152" s="152"/>
      <c r="BE152" s="152"/>
      <c r="BF152" s="152"/>
      <c r="BG152" s="140">
        <f t="shared" si="61"/>
        <v>0</v>
      </c>
      <c r="BH152" s="140">
        <f t="shared" si="62"/>
        <v>0</v>
      </c>
      <c r="BI152" s="132"/>
      <c r="BJ152" s="140">
        <f t="shared" si="63"/>
        <v>0</v>
      </c>
      <c r="BK152" s="141"/>
      <c r="BL152" s="141"/>
      <c r="BM152" s="141"/>
      <c r="BN152" s="141"/>
      <c r="BO152" s="141"/>
      <c r="BP152" s="141"/>
      <c r="BQ152" s="141"/>
      <c r="BR152" s="141"/>
      <c r="BS152" s="141"/>
      <c r="BT152" s="141"/>
      <c r="BU152" s="141"/>
      <c r="BV152" s="141"/>
      <c r="BW152" s="141"/>
      <c r="BX152" s="130">
        <f t="shared" si="64"/>
        <v>0</v>
      </c>
      <c r="BY152" s="132"/>
    </row>
    <row r="153" ht="15.75" customHeight="1">
      <c r="B153" s="215">
        <v>46157</v>
      </c>
      <c r="C153" s="379"/>
      <c r="D153" s="136"/>
      <c r="E153" s="135"/>
      <c r="F153" s="135"/>
      <c r="G153" s="147">
        <f t="shared" si="56"/>
        <v>0</v>
      </c>
      <c r="H153" s="122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300">
        <f t="shared" si="57"/>
        <v>0</v>
      </c>
      <c r="Y153" s="1174"/>
      <c r="Z153" s="1174"/>
      <c r="AA153" s="173"/>
      <c r="AB153" s="173"/>
      <c r="AC153" s="148"/>
      <c r="AD153" s="173"/>
      <c r="AE153" s="173"/>
      <c r="AF153" s="173"/>
      <c r="AG153" s="173"/>
      <c r="AH153" s="173"/>
      <c r="AI153" s="173"/>
      <c r="AJ153" s="173"/>
      <c r="AK153" s="173"/>
      <c r="AL153" s="877">
        <f t="shared" si="58"/>
        <v>0</v>
      </c>
      <c r="AM153" s="136"/>
      <c r="AN153" s="136"/>
      <c r="AO153" s="136"/>
      <c r="AP153" s="105">
        <f t="shared" si="59"/>
        <v>0</v>
      </c>
      <c r="AQ153" s="99"/>
      <c r="AR153" s="99"/>
      <c r="AS153" s="99"/>
      <c r="AT153" s="124"/>
      <c r="AU153" s="224">
        <f t="shared" si="60"/>
        <v>0</v>
      </c>
      <c r="AV153" s="126"/>
      <c r="AW153" s="274"/>
      <c r="AX153" s="126"/>
      <c r="AY153" s="126"/>
      <c r="AZ153" s="126"/>
      <c r="BA153" s="126"/>
      <c r="BB153" s="141"/>
      <c r="BC153" s="152"/>
      <c r="BD153" s="152"/>
      <c r="BE153" s="152"/>
      <c r="BF153" s="152"/>
      <c r="BG153" s="140">
        <f t="shared" si="61"/>
        <v>0</v>
      </c>
      <c r="BH153" s="140">
        <f t="shared" si="62"/>
        <v>0</v>
      </c>
      <c r="BI153" s="132"/>
      <c r="BJ153" s="140">
        <f t="shared" si="63"/>
        <v>0</v>
      </c>
      <c r="BK153" s="141"/>
      <c r="BL153" s="141"/>
      <c r="BM153" s="141"/>
      <c r="BN153" s="141"/>
      <c r="BO153" s="141"/>
      <c r="BP153" s="141"/>
      <c r="BQ153" s="141"/>
      <c r="BR153" s="141"/>
      <c r="BS153" s="141"/>
      <c r="BT153" s="141"/>
      <c r="BU153" s="141"/>
      <c r="BV153" s="141"/>
      <c r="BW153" s="141"/>
      <c r="BX153" s="130">
        <f t="shared" si="64"/>
        <v>0</v>
      </c>
      <c r="BY153" s="132"/>
    </row>
    <row r="154" ht="15.75" customHeight="1">
      <c r="B154" s="215">
        <v>46158</v>
      </c>
      <c r="C154" s="379"/>
      <c r="D154" s="136"/>
      <c r="E154" s="135"/>
      <c r="F154" s="135"/>
      <c r="G154" s="147">
        <f t="shared" si="56"/>
        <v>0</v>
      </c>
      <c r="H154" s="122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300">
        <f t="shared" si="57"/>
        <v>0</v>
      </c>
      <c r="Y154" s="1174"/>
      <c r="Z154" s="1174"/>
      <c r="AA154" s="173"/>
      <c r="AB154" s="173"/>
      <c r="AC154" s="148"/>
      <c r="AD154" s="173"/>
      <c r="AE154" s="173"/>
      <c r="AF154" s="173"/>
      <c r="AG154" s="173"/>
      <c r="AH154" s="173"/>
      <c r="AI154" s="173"/>
      <c r="AJ154" s="173"/>
      <c r="AK154" s="173"/>
      <c r="AL154" s="877">
        <f t="shared" si="58"/>
        <v>0</v>
      </c>
      <c r="AM154" s="136"/>
      <c r="AN154" s="136"/>
      <c r="AO154" s="136"/>
      <c r="AP154" s="105">
        <f t="shared" si="59"/>
        <v>0</v>
      </c>
      <c r="AQ154" s="99"/>
      <c r="AR154" s="99"/>
      <c r="AS154" s="99"/>
      <c r="AT154" s="124"/>
      <c r="AU154" s="224">
        <f t="shared" si="60"/>
        <v>0</v>
      </c>
      <c r="AV154" s="126"/>
      <c r="AW154" s="274"/>
      <c r="AX154" s="126"/>
      <c r="AY154" s="126"/>
      <c r="AZ154" s="126"/>
      <c r="BA154" s="126"/>
      <c r="BB154" s="141"/>
      <c r="BC154" s="152"/>
      <c r="BD154" s="152"/>
      <c r="BE154" s="152"/>
      <c r="BF154" s="152"/>
      <c r="BG154" s="140">
        <f t="shared" si="61"/>
        <v>0</v>
      </c>
      <c r="BH154" s="140">
        <f t="shared" si="62"/>
        <v>0</v>
      </c>
      <c r="BI154" s="132"/>
      <c r="BJ154" s="140">
        <f t="shared" si="63"/>
        <v>0</v>
      </c>
      <c r="BK154" s="141"/>
      <c r="BL154" s="141"/>
      <c r="BM154" s="141"/>
      <c r="BN154" s="141"/>
      <c r="BO154" s="141"/>
      <c r="BP154" s="141"/>
      <c r="BQ154" s="141"/>
      <c r="BR154" s="141"/>
      <c r="BS154" s="141"/>
      <c r="BT154" s="141"/>
      <c r="BU154" s="141"/>
      <c r="BV154" s="141"/>
      <c r="BW154" s="141"/>
      <c r="BX154" s="130">
        <f t="shared" si="64"/>
        <v>0</v>
      </c>
      <c r="BY154" s="132"/>
    </row>
    <row r="155" ht="15.75" customHeight="1">
      <c r="B155" s="215">
        <v>46159</v>
      </c>
      <c r="C155" s="379"/>
      <c r="D155" s="136"/>
      <c r="E155" s="135"/>
      <c r="F155" s="135"/>
      <c r="G155" s="147">
        <f t="shared" si="56"/>
        <v>0</v>
      </c>
      <c r="H155" s="122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300">
        <f t="shared" si="57"/>
        <v>0</v>
      </c>
      <c r="Y155" s="1174"/>
      <c r="Z155" s="1174"/>
      <c r="AA155" s="173"/>
      <c r="AB155" s="173"/>
      <c r="AC155" s="148"/>
      <c r="AD155" s="173"/>
      <c r="AE155" s="173"/>
      <c r="AF155" s="173"/>
      <c r="AG155" s="173"/>
      <c r="AH155" s="173"/>
      <c r="AI155" s="173"/>
      <c r="AJ155" s="173"/>
      <c r="AK155" s="173"/>
      <c r="AL155" s="877">
        <f t="shared" si="58"/>
        <v>0</v>
      </c>
      <c r="AM155" s="136"/>
      <c r="AN155" s="136"/>
      <c r="AO155" s="136"/>
      <c r="AP155" s="105">
        <f t="shared" si="59"/>
        <v>0</v>
      </c>
      <c r="AQ155" s="99"/>
      <c r="AR155" s="99"/>
      <c r="AS155" s="99"/>
      <c r="AT155" s="124"/>
      <c r="AU155" s="224">
        <f t="shared" si="60"/>
        <v>0</v>
      </c>
      <c r="AV155" s="126"/>
      <c r="AW155" s="274"/>
      <c r="AX155" s="126"/>
      <c r="AY155" s="126"/>
      <c r="AZ155" s="126"/>
      <c r="BA155" s="126"/>
      <c r="BB155" s="141"/>
      <c r="BC155" s="152"/>
      <c r="BD155" s="152"/>
      <c r="BE155" s="152"/>
      <c r="BF155" s="152"/>
      <c r="BG155" s="140">
        <f t="shared" si="61"/>
        <v>0</v>
      </c>
      <c r="BH155" s="140">
        <f t="shared" si="62"/>
        <v>0</v>
      </c>
      <c r="BI155" s="132"/>
      <c r="BJ155" s="140">
        <f t="shared" si="63"/>
        <v>0</v>
      </c>
      <c r="BK155" s="141"/>
      <c r="BL155" s="141"/>
      <c r="BM155" s="141"/>
      <c r="BN155" s="141"/>
      <c r="BO155" s="141"/>
      <c r="BP155" s="141"/>
      <c r="BQ155" s="141"/>
      <c r="BR155" s="141"/>
      <c r="BS155" s="141"/>
      <c r="BT155" s="141"/>
      <c r="BU155" s="141"/>
      <c r="BV155" s="141"/>
      <c r="BW155" s="141"/>
      <c r="BX155" s="130">
        <f t="shared" si="64"/>
        <v>0</v>
      </c>
      <c r="BY155" s="132"/>
    </row>
    <row r="156" ht="15.75" customHeight="1">
      <c r="B156" s="215">
        <v>46160</v>
      </c>
      <c r="C156" s="379"/>
      <c r="D156" s="136"/>
      <c r="E156" s="135"/>
      <c r="F156" s="135"/>
      <c r="G156" s="147">
        <f t="shared" si="56"/>
        <v>0</v>
      </c>
      <c r="H156" s="122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300">
        <f t="shared" si="57"/>
        <v>0</v>
      </c>
      <c r="Y156" s="1174"/>
      <c r="Z156" s="1174"/>
      <c r="AA156" s="173"/>
      <c r="AB156" s="173"/>
      <c r="AC156" s="148"/>
      <c r="AD156" s="173"/>
      <c r="AE156" s="173"/>
      <c r="AF156" s="173"/>
      <c r="AG156" s="173"/>
      <c r="AH156" s="173"/>
      <c r="AI156" s="173"/>
      <c r="AJ156" s="173"/>
      <c r="AK156" s="173"/>
      <c r="AL156" s="877">
        <f t="shared" si="58"/>
        <v>0</v>
      </c>
      <c r="AM156" s="136"/>
      <c r="AN156" s="136"/>
      <c r="AO156" s="136"/>
      <c r="AP156" s="105">
        <f t="shared" si="59"/>
        <v>0</v>
      </c>
      <c r="AQ156" s="99"/>
      <c r="AR156" s="99"/>
      <c r="AS156" s="99"/>
      <c r="AT156" s="124"/>
      <c r="AU156" s="224">
        <f t="shared" si="60"/>
        <v>0</v>
      </c>
      <c r="AV156" s="126"/>
      <c r="AW156" s="274"/>
      <c r="AX156" s="126"/>
      <c r="AY156" s="126"/>
      <c r="AZ156" s="126"/>
      <c r="BA156" s="126"/>
      <c r="BB156" s="141"/>
      <c r="BC156" s="152"/>
      <c r="BD156" s="152"/>
      <c r="BE156" s="152"/>
      <c r="BF156" s="152"/>
      <c r="BG156" s="140">
        <f t="shared" si="61"/>
        <v>0</v>
      </c>
      <c r="BH156" s="140">
        <f t="shared" si="62"/>
        <v>0</v>
      </c>
      <c r="BI156" s="132"/>
      <c r="BJ156" s="140">
        <f t="shared" si="63"/>
        <v>0</v>
      </c>
      <c r="BK156" s="141"/>
      <c r="BL156" s="141"/>
      <c r="BM156" s="141"/>
      <c r="BN156" s="141"/>
      <c r="BO156" s="141"/>
      <c r="BP156" s="141"/>
      <c r="BQ156" s="141"/>
      <c r="BR156" s="141"/>
      <c r="BS156" s="141"/>
      <c r="BT156" s="141"/>
      <c r="BU156" s="141"/>
      <c r="BV156" s="141"/>
      <c r="BW156" s="141"/>
      <c r="BX156" s="130">
        <f t="shared" si="64"/>
        <v>0</v>
      </c>
      <c r="BY156" s="132"/>
    </row>
    <row r="157" ht="15.75" customHeight="1">
      <c r="B157" s="215">
        <v>46161</v>
      </c>
      <c r="C157" s="379"/>
      <c r="D157" s="136"/>
      <c r="E157" s="135"/>
      <c r="F157" s="135"/>
      <c r="G157" s="147">
        <f t="shared" si="56"/>
        <v>0</v>
      </c>
      <c r="H157" s="122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300">
        <f t="shared" si="57"/>
        <v>0</v>
      </c>
      <c r="Y157" s="1174"/>
      <c r="Z157" s="1174"/>
      <c r="AA157" s="173"/>
      <c r="AB157" s="173"/>
      <c r="AC157" s="148"/>
      <c r="AD157" s="173"/>
      <c r="AE157" s="173"/>
      <c r="AF157" s="173"/>
      <c r="AG157" s="173"/>
      <c r="AH157" s="173"/>
      <c r="AI157" s="173"/>
      <c r="AJ157" s="173"/>
      <c r="AK157" s="173"/>
      <c r="AL157" s="877">
        <f t="shared" si="58"/>
        <v>0</v>
      </c>
      <c r="AM157" s="136"/>
      <c r="AN157" s="136"/>
      <c r="AO157" s="136"/>
      <c r="AP157" s="105">
        <f t="shared" si="59"/>
        <v>0</v>
      </c>
      <c r="AQ157" s="99"/>
      <c r="AR157" s="99"/>
      <c r="AS157" s="99"/>
      <c r="AT157" s="124"/>
      <c r="AU157" s="224">
        <f t="shared" si="60"/>
        <v>0</v>
      </c>
      <c r="AV157" s="126"/>
      <c r="AW157" s="274"/>
      <c r="AX157" s="126"/>
      <c r="AY157" s="126"/>
      <c r="AZ157" s="126"/>
      <c r="BA157" s="126"/>
      <c r="BB157" s="141"/>
      <c r="BC157" s="152"/>
      <c r="BD157" s="152"/>
      <c r="BE157" s="152"/>
      <c r="BF157" s="152"/>
      <c r="BG157" s="140">
        <f t="shared" si="61"/>
        <v>0</v>
      </c>
      <c r="BH157" s="140">
        <f t="shared" si="62"/>
        <v>0</v>
      </c>
      <c r="BI157" s="132"/>
      <c r="BJ157" s="140">
        <f t="shared" si="63"/>
        <v>0</v>
      </c>
      <c r="BK157" s="141"/>
      <c r="BL157" s="141"/>
      <c r="BM157" s="141"/>
      <c r="BN157" s="141"/>
      <c r="BO157" s="141"/>
      <c r="BP157" s="141"/>
      <c r="BQ157" s="141"/>
      <c r="BR157" s="141"/>
      <c r="BS157" s="141"/>
      <c r="BT157" s="141"/>
      <c r="BU157" s="141"/>
      <c r="BV157" s="141"/>
      <c r="BW157" s="141"/>
      <c r="BX157" s="130">
        <f t="shared" si="64"/>
        <v>0</v>
      </c>
      <c r="BY157" s="132"/>
    </row>
    <row r="158" ht="15.75" customHeight="1">
      <c r="B158" s="215">
        <v>46162</v>
      </c>
      <c r="C158" s="379"/>
      <c r="D158" s="136"/>
      <c r="E158" s="135"/>
      <c r="F158" s="135"/>
      <c r="G158" s="147">
        <f t="shared" si="56"/>
        <v>0</v>
      </c>
      <c r="H158" s="122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300">
        <f t="shared" si="57"/>
        <v>0</v>
      </c>
      <c r="Y158" s="1174"/>
      <c r="Z158" s="1174"/>
      <c r="AA158" s="173"/>
      <c r="AB158" s="173"/>
      <c r="AC158" s="148"/>
      <c r="AD158" s="173"/>
      <c r="AE158" s="173"/>
      <c r="AF158" s="173"/>
      <c r="AG158" s="173"/>
      <c r="AH158" s="173"/>
      <c r="AI158" s="173"/>
      <c r="AJ158" s="173"/>
      <c r="AK158" s="173"/>
      <c r="AL158" s="877">
        <f t="shared" si="58"/>
        <v>0</v>
      </c>
      <c r="AM158" s="136"/>
      <c r="AN158" s="136"/>
      <c r="AO158" s="136"/>
      <c r="AP158" s="105">
        <f t="shared" si="59"/>
        <v>0</v>
      </c>
      <c r="AQ158" s="99"/>
      <c r="AR158" s="99"/>
      <c r="AS158" s="99"/>
      <c r="AT158" s="124"/>
      <c r="AU158" s="224">
        <f t="shared" si="60"/>
        <v>0</v>
      </c>
      <c r="AV158" s="126"/>
      <c r="AW158" s="274"/>
      <c r="AX158" s="126"/>
      <c r="AY158" s="126"/>
      <c r="AZ158" s="126"/>
      <c r="BA158" s="126"/>
      <c r="BB158" s="141"/>
      <c r="BC158" s="152"/>
      <c r="BD158" s="152"/>
      <c r="BE158" s="152"/>
      <c r="BF158" s="152"/>
      <c r="BG158" s="140">
        <f t="shared" si="61"/>
        <v>0</v>
      </c>
      <c r="BH158" s="140">
        <f t="shared" si="62"/>
        <v>0</v>
      </c>
      <c r="BI158" s="132"/>
      <c r="BJ158" s="140">
        <f t="shared" si="63"/>
        <v>0</v>
      </c>
      <c r="BK158" s="141"/>
      <c r="BL158" s="141"/>
      <c r="BM158" s="141"/>
      <c r="BN158" s="141"/>
      <c r="BO158" s="141"/>
      <c r="BP158" s="141"/>
      <c r="BQ158" s="141"/>
      <c r="BR158" s="141"/>
      <c r="BS158" s="141"/>
      <c r="BT158" s="141"/>
      <c r="BU158" s="141"/>
      <c r="BV158" s="141"/>
      <c r="BW158" s="141"/>
      <c r="BX158" s="130">
        <f t="shared" si="64"/>
        <v>0</v>
      </c>
      <c r="BY158" s="132"/>
    </row>
    <row r="159" ht="18.75" customHeight="1">
      <c r="B159" s="215">
        <v>46163</v>
      </c>
      <c r="C159" s="379"/>
      <c r="D159" s="136"/>
      <c r="E159" s="135"/>
      <c r="F159" s="135"/>
      <c r="G159" s="147">
        <f t="shared" si="56"/>
        <v>0</v>
      </c>
      <c r="H159" s="122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300">
        <f t="shared" si="57"/>
        <v>0</v>
      </c>
      <c r="Y159" s="1174"/>
      <c r="Z159" s="1174"/>
      <c r="AA159" s="173"/>
      <c r="AB159" s="173"/>
      <c r="AC159" s="148"/>
      <c r="AD159" s="173"/>
      <c r="AE159" s="173"/>
      <c r="AF159" s="173"/>
      <c r="AG159" s="173"/>
      <c r="AH159" s="173"/>
      <c r="AI159" s="173"/>
      <c r="AJ159" s="173"/>
      <c r="AK159" s="173"/>
      <c r="AL159" s="877">
        <f t="shared" si="58"/>
        <v>0</v>
      </c>
      <c r="AM159" s="136"/>
      <c r="AN159" s="136"/>
      <c r="AO159" s="136"/>
      <c r="AP159" s="105">
        <f t="shared" si="59"/>
        <v>0</v>
      </c>
      <c r="AQ159" s="99"/>
      <c r="AR159" s="99"/>
      <c r="AS159" s="99"/>
      <c r="AT159" s="124"/>
      <c r="AU159" s="224">
        <f t="shared" si="60"/>
        <v>0</v>
      </c>
      <c r="AV159" s="126"/>
      <c r="AW159" s="274"/>
      <c r="AX159" s="126"/>
      <c r="AY159" s="126"/>
      <c r="AZ159" s="126"/>
      <c r="BA159" s="126"/>
      <c r="BB159" s="141"/>
      <c r="BC159" s="152"/>
      <c r="BD159" s="152"/>
      <c r="BE159" s="152"/>
      <c r="BF159" s="152"/>
      <c r="BG159" s="140">
        <f t="shared" si="61"/>
        <v>0</v>
      </c>
      <c r="BH159" s="140">
        <f t="shared" si="62"/>
        <v>0</v>
      </c>
      <c r="BI159" s="132"/>
      <c r="BJ159" s="140">
        <f t="shared" si="63"/>
        <v>0</v>
      </c>
      <c r="BK159" s="141"/>
      <c r="BL159" s="141"/>
      <c r="BM159" s="141"/>
      <c r="BN159" s="141"/>
      <c r="BO159" s="141"/>
      <c r="BP159" s="141"/>
      <c r="BQ159" s="141"/>
      <c r="BR159" s="141"/>
      <c r="BS159" s="141"/>
      <c r="BT159" s="141"/>
      <c r="BU159" s="141"/>
      <c r="BV159" s="141"/>
      <c r="BW159" s="141"/>
      <c r="BX159" s="130">
        <f t="shared" si="64"/>
        <v>0</v>
      </c>
      <c r="BY159" s="132"/>
    </row>
    <row r="160" ht="15.75" customHeight="1">
      <c r="B160" s="215">
        <v>46164</v>
      </c>
      <c r="C160" s="379"/>
      <c r="D160" s="136"/>
      <c r="E160" s="135"/>
      <c r="F160" s="135"/>
      <c r="G160" s="147">
        <f t="shared" si="56"/>
        <v>0</v>
      </c>
      <c r="H160" s="122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300">
        <f t="shared" si="57"/>
        <v>0</v>
      </c>
      <c r="Y160" s="1174"/>
      <c r="Z160" s="1174"/>
      <c r="AA160" s="173"/>
      <c r="AB160" s="173"/>
      <c r="AC160" s="148"/>
      <c r="AD160" s="173"/>
      <c r="AE160" s="173"/>
      <c r="AF160" s="173"/>
      <c r="AG160" s="173"/>
      <c r="AH160" s="173"/>
      <c r="AI160" s="173"/>
      <c r="AJ160" s="173"/>
      <c r="AK160" s="173"/>
      <c r="AL160" s="877">
        <f t="shared" si="58"/>
        <v>0</v>
      </c>
      <c r="AM160" s="136"/>
      <c r="AN160" s="136"/>
      <c r="AO160" s="136"/>
      <c r="AP160" s="105">
        <f t="shared" si="59"/>
        <v>0</v>
      </c>
      <c r="AQ160" s="99"/>
      <c r="AR160" s="99"/>
      <c r="AS160" s="99"/>
      <c r="AT160" s="124"/>
      <c r="AU160" s="224">
        <f t="shared" si="60"/>
        <v>0</v>
      </c>
      <c r="AV160" s="126"/>
      <c r="AW160" s="274"/>
      <c r="AX160" s="126"/>
      <c r="AY160" s="126"/>
      <c r="AZ160" s="126"/>
      <c r="BA160" s="126"/>
      <c r="BB160" s="141"/>
      <c r="BC160" s="152"/>
      <c r="BD160" s="152"/>
      <c r="BE160" s="152"/>
      <c r="BF160" s="152"/>
      <c r="BG160" s="140">
        <f t="shared" si="61"/>
        <v>0</v>
      </c>
      <c r="BH160" s="140">
        <f t="shared" si="62"/>
        <v>0</v>
      </c>
      <c r="BI160" s="132"/>
      <c r="BJ160" s="140">
        <f t="shared" si="63"/>
        <v>0</v>
      </c>
      <c r="BK160" s="141"/>
      <c r="BL160" s="141"/>
      <c r="BM160" s="141"/>
      <c r="BN160" s="141"/>
      <c r="BO160" s="141"/>
      <c r="BP160" s="141"/>
      <c r="BQ160" s="141"/>
      <c r="BR160" s="141"/>
      <c r="BS160" s="141"/>
      <c r="BT160" s="141"/>
      <c r="BU160" s="141"/>
      <c r="BV160" s="141"/>
      <c r="BW160" s="141"/>
      <c r="BX160" s="130">
        <f t="shared" si="64"/>
        <v>0</v>
      </c>
      <c r="BY160" s="132"/>
    </row>
    <row r="161" ht="15.75" customHeight="1">
      <c r="B161" s="215">
        <v>46165</v>
      </c>
      <c r="C161" s="379"/>
      <c r="D161" s="136"/>
      <c r="E161" s="135"/>
      <c r="F161" s="135"/>
      <c r="G161" s="147">
        <f t="shared" si="56"/>
        <v>0</v>
      </c>
      <c r="H161" s="122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300">
        <f t="shared" si="57"/>
        <v>0</v>
      </c>
      <c r="Y161" s="1174"/>
      <c r="Z161" s="1174"/>
      <c r="AA161" s="173"/>
      <c r="AB161" s="173"/>
      <c r="AC161" s="148"/>
      <c r="AD161" s="173"/>
      <c r="AE161" s="173"/>
      <c r="AF161" s="173"/>
      <c r="AG161" s="173"/>
      <c r="AH161" s="173"/>
      <c r="AI161" s="173"/>
      <c r="AJ161" s="173"/>
      <c r="AK161" s="173"/>
      <c r="AL161" s="877">
        <f t="shared" si="58"/>
        <v>0</v>
      </c>
      <c r="AM161" s="136"/>
      <c r="AN161" s="136"/>
      <c r="AO161" s="136"/>
      <c r="AP161" s="105">
        <f t="shared" si="59"/>
        <v>0</v>
      </c>
      <c r="AQ161" s="99"/>
      <c r="AR161" s="99"/>
      <c r="AS161" s="99"/>
      <c r="AT161" s="124"/>
      <c r="AU161" s="224">
        <f t="shared" si="60"/>
        <v>0</v>
      </c>
      <c r="AV161" s="126"/>
      <c r="AW161" s="274"/>
      <c r="AX161" s="126"/>
      <c r="AY161" s="126"/>
      <c r="AZ161" s="126"/>
      <c r="BA161" s="126"/>
      <c r="BB161" s="141"/>
      <c r="BC161" s="152"/>
      <c r="BD161" s="152"/>
      <c r="BE161" s="152"/>
      <c r="BF161" s="152"/>
      <c r="BG161" s="140">
        <f t="shared" si="61"/>
        <v>0</v>
      </c>
      <c r="BH161" s="140">
        <f t="shared" si="62"/>
        <v>0</v>
      </c>
      <c r="BI161" s="132"/>
      <c r="BJ161" s="140">
        <f t="shared" si="63"/>
        <v>0</v>
      </c>
      <c r="BK161" s="141"/>
      <c r="BL161" s="141"/>
      <c r="BM161" s="141"/>
      <c r="BN161" s="141"/>
      <c r="BO161" s="141"/>
      <c r="BP161" s="141"/>
      <c r="BQ161" s="141"/>
      <c r="BR161" s="141"/>
      <c r="BS161" s="141"/>
      <c r="BT161" s="141"/>
      <c r="BU161" s="141"/>
      <c r="BV161" s="141"/>
      <c r="BW161" s="141"/>
      <c r="BX161" s="130">
        <f t="shared" si="64"/>
        <v>0</v>
      </c>
      <c r="BY161" s="132"/>
    </row>
    <row r="162" ht="15.75" customHeight="1">
      <c r="B162" s="215">
        <v>46166</v>
      </c>
      <c r="C162" s="379"/>
      <c r="D162" s="136"/>
      <c r="E162" s="135"/>
      <c r="F162" s="135"/>
      <c r="G162" s="147">
        <f t="shared" si="56"/>
        <v>0</v>
      </c>
      <c r="H162" s="122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300">
        <f t="shared" si="57"/>
        <v>0</v>
      </c>
      <c r="Y162" s="1174"/>
      <c r="Z162" s="1174"/>
      <c r="AA162" s="173"/>
      <c r="AB162" s="173"/>
      <c r="AC162" s="148"/>
      <c r="AD162" s="173"/>
      <c r="AE162" s="173"/>
      <c r="AF162" s="173"/>
      <c r="AG162" s="173"/>
      <c r="AH162" s="173"/>
      <c r="AI162" s="173"/>
      <c r="AJ162" s="173"/>
      <c r="AK162" s="173"/>
      <c r="AL162" s="877">
        <f t="shared" si="58"/>
        <v>0</v>
      </c>
      <c r="AM162" s="136"/>
      <c r="AN162" s="136"/>
      <c r="AO162" s="136"/>
      <c r="AP162" s="105">
        <f t="shared" si="59"/>
        <v>0</v>
      </c>
      <c r="AQ162" s="99"/>
      <c r="AR162" s="99"/>
      <c r="AS162" s="99"/>
      <c r="AT162" s="124"/>
      <c r="AU162" s="224">
        <f t="shared" si="60"/>
        <v>0</v>
      </c>
      <c r="AV162" s="126"/>
      <c r="AW162" s="274"/>
      <c r="AX162" s="126"/>
      <c r="AY162" s="126"/>
      <c r="AZ162" s="126"/>
      <c r="BA162" s="126"/>
      <c r="BB162" s="141"/>
      <c r="BC162" s="152"/>
      <c r="BD162" s="152"/>
      <c r="BE162" s="152"/>
      <c r="BF162" s="152"/>
      <c r="BG162" s="140">
        <f t="shared" si="61"/>
        <v>0</v>
      </c>
      <c r="BH162" s="140">
        <f t="shared" si="62"/>
        <v>0</v>
      </c>
      <c r="BI162" s="132"/>
      <c r="BJ162" s="140">
        <f t="shared" si="63"/>
        <v>0</v>
      </c>
      <c r="BK162" s="141"/>
      <c r="BL162" s="141"/>
      <c r="BM162" s="141"/>
      <c r="BN162" s="141"/>
      <c r="BO162" s="141"/>
      <c r="BP162" s="141"/>
      <c r="BQ162" s="141"/>
      <c r="BR162" s="141"/>
      <c r="BS162" s="141"/>
      <c r="BT162" s="141"/>
      <c r="BU162" s="141"/>
      <c r="BV162" s="141"/>
      <c r="BW162" s="141"/>
      <c r="BX162" s="130">
        <f t="shared" si="64"/>
        <v>0</v>
      </c>
      <c r="BY162" s="132"/>
    </row>
    <row r="163" ht="15.75" customHeight="1">
      <c r="B163" s="215">
        <v>46167</v>
      </c>
      <c r="C163" s="379"/>
      <c r="D163" s="136"/>
      <c r="E163" s="135"/>
      <c r="F163" s="135"/>
      <c r="G163" s="147">
        <f t="shared" si="56"/>
        <v>0</v>
      </c>
      <c r="H163" s="122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300">
        <f t="shared" si="57"/>
        <v>0</v>
      </c>
      <c r="Y163" s="1174"/>
      <c r="Z163" s="1174"/>
      <c r="AA163" s="173"/>
      <c r="AB163" s="173"/>
      <c r="AC163" s="148"/>
      <c r="AD163" s="173"/>
      <c r="AE163" s="173"/>
      <c r="AF163" s="173"/>
      <c r="AG163" s="173"/>
      <c r="AH163" s="173"/>
      <c r="AI163" s="173"/>
      <c r="AJ163" s="173"/>
      <c r="AK163" s="173"/>
      <c r="AL163" s="877">
        <f t="shared" si="58"/>
        <v>0</v>
      </c>
      <c r="AM163" s="136"/>
      <c r="AN163" s="136"/>
      <c r="AO163" s="136"/>
      <c r="AP163" s="105">
        <f t="shared" si="59"/>
        <v>0</v>
      </c>
      <c r="AQ163" s="99"/>
      <c r="AR163" s="99"/>
      <c r="AS163" s="99"/>
      <c r="AT163" s="124"/>
      <c r="AU163" s="224">
        <f t="shared" si="60"/>
        <v>0</v>
      </c>
      <c r="AV163" s="126"/>
      <c r="AW163" s="274"/>
      <c r="AX163" s="126"/>
      <c r="AY163" s="126"/>
      <c r="AZ163" s="126"/>
      <c r="BA163" s="126"/>
      <c r="BB163" s="141"/>
      <c r="BC163" s="152"/>
      <c r="BD163" s="152"/>
      <c r="BE163" s="152"/>
      <c r="BF163" s="152"/>
      <c r="BG163" s="140">
        <f t="shared" si="61"/>
        <v>0</v>
      </c>
      <c r="BH163" s="140">
        <f t="shared" si="62"/>
        <v>0</v>
      </c>
      <c r="BI163" s="132"/>
      <c r="BJ163" s="140">
        <f t="shared" si="63"/>
        <v>0</v>
      </c>
      <c r="BK163" s="141"/>
      <c r="BL163" s="141"/>
      <c r="BM163" s="141"/>
      <c r="BN163" s="141"/>
      <c r="BO163" s="141"/>
      <c r="BP163" s="141"/>
      <c r="BQ163" s="141"/>
      <c r="BR163" s="141"/>
      <c r="BS163" s="141"/>
      <c r="BT163" s="141"/>
      <c r="BU163" s="141"/>
      <c r="BV163" s="141"/>
      <c r="BW163" s="141"/>
      <c r="BX163" s="130">
        <f t="shared" si="64"/>
        <v>0</v>
      </c>
      <c r="BY163" s="132"/>
    </row>
    <row r="164" ht="15.75" customHeight="1">
      <c r="B164" s="215">
        <v>46168</v>
      </c>
      <c r="C164" s="379"/>
      <c r="D164" s="136"/>
      <c r="E164" s="135"/>
      <c r="F164" s="135"/>
      <c r="G164" s="147">
        <f t="shared" si="56"/>
        <v>0</v>
      </c>
      <c r="H164" s="122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300">
        <f t="shared" si="57"/>
        <v>0</v>
      </c>
      <c r="Y164" s="1174"/>
      <c r="Z164" s="1174"/>
      <c r="AA164" s="173"/>
      <c r="AB164" s="173"/>
      <c r="AC164" s="148"/>
      <c r="AD164" s="173"/>
      <c r="AE164" s="173"/>
      <c r="AF164" s="173"/>
      <c r="AG164" s="173"/>
      <c r="AH164" s="173"/>
      <c r="AI164" s="173"/>
      <c r="AJ164" s="173"/>
      <c r="AK164" s="173"/>
      <c r="AL164" s="877">
        <f t="shared" si="58"/>
        <v>0</v>
      </c>
      <c r="AM164" s="136"/>
      <c r="AN164" s="136"/>
      <c r="AO164" s="136"/>
      <c r="AP164" s="105">
        <f t="shared" si="59"/>
        <v>0</v>
      </c>
      <c r="AQ164" s="99"/>
      <c r="AR164" s="99"/>
      <c r="AS164" s="99"/>
      <c r="AT164" s="124"/>
      <c r="AU164" s="224">
        <f t="shared" si="60"/>
        <v>0</v>
      </c>
      <c r="AV164" s="126"/>
      <c r="AW164" s="274"/>
      <c r="AX164" s="126"/>
      <c r="AY164" s="126"/>
      <c r="AZ164" s="126"/>
      <c r="BA164" s="126"/>
      <c r="BB164" s="141"/>
      <c r="BC164" s="152"/>
      <c r="BD164" s="152"/>
      <c r="BE164" s="152"/>
      <c r="BF164" s="152"/>
      <c r="BG164" s="140">
        <f t="shared" si="61"/>
        <v>0</v>
      </c>
      <c r="BH164" s="140">
        <f t="shared" si="62"/>
        <v>0</v>
      </c>
      <c r="BI164" s="132"/>
      <c r="BJ164" s="140">
        <f t="shared" si="63"/>
        <v>0</v>
      </c>
      <c r="BK164" s="141"/>
      <c r="BL164" s="141"/>
      <c r="BM164" s="141"/>
      <c r="BN164" s="141"/>
      <c r="BO164" s="141"/>
      <c r="BP164" s="141"/>
      <c r="BQ164" s="141"/>
      <c r="BR164" s="141"/>
      <c r="BS164" s="141"/>
      <c r="BT164" s="141"/>
      <c r="BU164" s="141"/>
      <c r="BV164" s="141"/>
      <c r="BW164" s="141"/>
      <c r="BX164" s="130">
        <f t="shared" si="64"/>
        <v>0</v>
      </c>
      <c r="BY164" s="132"/>
    </row>
    <row r="165" ht="15.75" customHeight="1">
      <c r="B165" s="215">
        <v>46169</v>
      </c>
      <c r="C165" s="379"/>
      <c r="D165" s="136"/>
      <c r="E165" s="135"/>
      <c r="F165" s="135"/>
      <c r="G165" s="147">
        <f t="shared" si="56"/>
        <v>0</v>
      </c>
      <c r="H165" s="122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300">
        <f t="shared" si="57"/>
        <v>0</v>
      </c>
      <c r="Y165" s="1174"/>
      <c r="Z165" s="1174"/>
      <c r="AA165" s="173"/>
      <c r="AB165" s="173"/>
      <c r="AC165" s="148"/>
      <c r="AD165" s="173"/>
      <c r="AE165" s="173"/>
      <c r="AF165" s="173"/>
      <c r="AG165" s="173"/>
      <c r="AH165" s="173"/>
      <c r="AI165" s="173"/>
      <c r="AJ165" s="173"/>
      <c r="AK165" s="173"/>
      <c r="AL165" s="877">
        <f t="shared" si="58"/>
        <v>0</v>
      </c>
      <c r="AM165" s="136"/>
      <c r="AN165" s="136"/>
      <c r="AO165" s="136"/>
      <c r="AP165" s="105">
        <f t="shared" si="59"/>
        <v>0</v>
      </c>
      <c r="AQ165" s="99"/>
      <c r="AR165" s="99"/>
      <c r="AS165" s="99"/>
      <c r="AT165" s="124"/>
      <c r="AU165" s="224">
        <f t="shared" si="60"/>
        <v>0</v>
      </c>
      <c r="AV165" s="126"/>
      <c r="AW165" s="274"/>
      <c r="AX165" s="126"/>
      <c r="AY165" s="126"/>
      <c r="AZ165" s="126"/>
      <c r="BA165" s="126"/>
      <c r="BB165" s="141"/>
      <c r="BC165" s="152"/>
      <c r="BD165" s="152"/>
      <c r="BE165" s="152"/>
      <c r="BF165" s="152"/>
      <c r="BG165" s="140">
        <f t="shared" si="61"/>
        <v>0</v>
      </c>
      <c r="BH165" s="140">
        <f t="shared" si="62"/>
        <v>0</v>
      </c>
      <c r="BI165" s="132"/>
      <c r="BJ165" s="140">
        <f t="shared" si="63"/>
        <v>0</v>
      </c>
      <c r="BK165" s="141"/>
      <c r="BL165" s="141"/>
      <c r="BM165" s="141"/>
      <c r="BN165" s="141"/>
      <c r="BO165" s="141"/>
      <c r="BP165" s="141"/>
      <c r="BQ165" s="141"/>
      <c r="BR165" s="141"/>
      <c r="BS165" s="141"/>
      <c r="BT165" s="141"/>
      <c r="BU165" s="141"/>
      <c r="BV165" s="141"/>
      <c r="BW165" s="141"/>
      <c r="BX165" s="130">
        <f t="shared" si="64"/>
        <v>0</v>
      </c>
      <c r="BY165" s="132"/>
    </row>
    <row r="166" ht="15.75" customHeight="1">
      <c r="B166" s="215">
        <v>46170</v>
      </c>
      <c r="C166" s="379"/>
      <c r="D166" s="136"/>
      <c r="E166" s="135"/>
      <c r="F166" s="135"/>
      <c r="G166" s="147">
        <f t="shared" si="56"/>
        <v>0</v>
      </c>
      <c r="H166" s="122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300">
        <f t="shared" si="57"/>
        <v>0</v>
      </c>
      <c r="Y166" s="1174"/>
      <c r="Z166" s="1174"/>
      <c r="AA166" s="173"/>
      <c r="AB166" s="173"/>
      <c r="AC166" s="148"/>
      <c r="AD166" s="173"/>
      <c r="AE166" s="173"/>
      <c r="AF166" s="173"/>
      <c r="AG166" s="173"/>
      <c r="AH166" s="173"/>
      <c r="AI166" s="173"/>
      <c r="AJ166" s="173"/>
      <c r="AK166" s="173"/>
      <c r="AL166" s="877">
        <f t="shared" si="58"/>
        <v>0</v>
      </c>
      <c r="AM166" s="136"/>
      <c r="AN166" s="136"/>
      <c r="AO166" s="136"/>
      <c r="AP166" s="105">
        <f t="shared" si="59"/>
        <v>0</v>
      </c>
      <c r="AQ166" s="99"/>
      <c r="AR166" s="99"/>
      <c r="AS166" s="99"/>
      <c r="AT166" s="124"/>
      <c r="AU166" s="224">
        <f t="shared" si="60"/>
        <v>0</v>
      </c>
      <c r="AV166" s="126"/>
      <c r="AW166" s="274"/>
      <c r="AX166" s="126"/>
      <c r="AY166" s="126"/>
      <c r="AZ166" s="126"/>
      <c r="BA166" s="126"/>
      <c r="BB166" s="141"/>
      <c r="BC166" s="152"/>
      <c r="BD166" s="152"/>
      <c r="BE166" s="152"/>
      <c r="BF166" s="152"/>
      <c r="BG166" s="140">
        <f t="shared" si="61"/>
        <v>0</v>
      </c>
      <c r="BH166" s="140">
        <f t="shared" si="62"/>
        <v>0</v>
      </c>
      <c r="BI166" s="132"/>
      <c r="BJ166" s="140">
        <f t="shared" si="63"/>
        <v>0</v>
      </c>
      <c r="BK166" s="141"/>
      <c r="BL166" s="141"/>
      <c r="BM166" s="141"/>
      <c r="BN166" s="141"/>
      <c r="BO166" s="141"/>
      <c r="BP166" s="141"/>
      <c r="BQ166" s="141"/>
      <c r="BR166" s="141"/>
      <c r="BS166" s="141"/>
      <c r="BT166" s="141"/>
      <c r="BU166" s="141"/>
      <c r="BV166" s="141"/>
      <c r="BW166" s="141"/>
      <c r="BX166" s="130">
        <f t="shared" si="64"/>
        <v>0</v>
      </c>
      <c r="BY166" s="132"/>
    </row>
    <row r="167" ht="15.75" customHeight="1">
      <c r="B167" s="215">
        <v>46171</v>
      </c>
      <c r="C167" s="379"/>
      <c r="D167" s="136"/>
      <c r="E167" s="135"/>
      <c r="F167" s="135"/>
      <c r="G167" s="147">
        <f t="shared" si="56"/>
        <v>0</v>
      </c>
      <c r="H167" s="122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300">
        <f t="shared" si="57"/>
        <v>0</v>
      </c>
      <c r="Y167" s="1174"/>
      <c r="Z167" s="1174"/>
      <c r="AA167" s="173"/>
      <c r="AB167" s="173"/>
      <c r="AC167" s="148"/>
      <c r="AD167" s="173"/>
      <c r="AE167" s="173"/>
      <c r="AF167" s="173"/>
      <c r="AG167" s="173"/>
      <c r="AH167" s="173"/>
      <c r="AI167" s="173"/>
      <c r="AJ167" s="173"/>
      <c r="AK167" s="173"/>
      <c r="AL167" s="877">
        <f t="shared" si="58"/>
        <v>0</v>
      </c>
      <c r="AM167" s="136"/>
      <c r="AN167" s="136"/>
      <c r="AO167" s="136"/>
      <c r="AP167" s="105">
        <f t="shared" si="59"/>
        <v>0</v>
      </c>
      <c r="AQ167" s="99"/>
      <c r="AR167" s="99"/>
      <c r="AS167" s="99"/>
      <c r="AT167" s="124"/>
      <c r="AU167" s="224">
        <f t="shared" si="60"/>
        <v>0</v>
      </c>
      <c r="AV167" s="126"/>
      <c r="AW167" s="274"/>
      <c r="AX167" s="126"/>
      <c r="AY167" s="126"/>
      <c r="AZ167" s="126"/>
      <c r="BA167" s="126"/>
      <c r="BB167" s="141"/>
      <c r="BC167" s="152"/>
      <c r="BD167" s="152"/>
      <c r="BE167" s="152"/>
      <c r="BF167" s="152"/>
      <c r="BG167" s="140">
        <f t="shared" si="61"/>
        <v>0</v>
      </c>
      <c r="BH167" s="140">
        <f t="shared" si="62"/>
        <v>0</v>
      </c>
      <c r="BI167" s="132"/>
      <c r="BJ167" s="140">
        <f t="shared" si="63"/>
        <v>0</v>
      </c>
      <c r="BK167" s="141"/>
      <c r="BL167" s="141"/>
      <c r="BM167" s="141"/>
      <c r="BN167" s="141"/>
      <c r="BO167" s="141"/>
      <c r="BP167" s="141"/>
      <c r="BQ167" s="141"/>
      <c r="BR167" s="141"/>
      <c r="BS167" s="141"/>
      <c r="BT167" s="141"/>
      <c r="BU167" s="141"/>
      <c r="BV167" s="141"/>
      <c r="BW167" s="141"/>
      <c r="BX167" s="130">
        <f t="shared" si="64"/>
        <v>0</v>
      </c>
      <c r="BY167" s="132"/>
    </row>
    <row r="168" ht="15.75" customHeight="1">
      <c r="B168" s="215">
        <v>46172</v>
      </c>
      <c r="C168" s="379"/>
      <c r="D168" s="136"/>
      <c r="E168" s="135"/>
      <c r="F168" s="135"/>
      <c r="G168" s="147">
        <f t="shared" si="56"/>
        <v>0</v>
      </c>
      <c r="H168" s="122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300">
        <f t="shared" si="57"/>
        <v>0</v>
      </c>
      <c r="Y168" s="1174"/>
      <c r="Z168" s="1174"/>
      <c r="AA168" s="173"/>
      <c r="AB168" s="173"/>
      <c r="AC168" s="148"/>
      <c r="AD168" s="173"/>
      <c r="AE168" s="173"/>
      <c r="AF168" s="173"/>
      <c r="AG168" s="173"/>
      <c r="AH168" s="173"/>
      <c r="AI168" s="173"/>
      <c r="AJ168" s="173"/>
      <c r="AK168" s="173"/>
      <c r="AL168" s="877">
        <f t="shared" si="58"/>
        <v>0</v>
      </c>
      <c r="AM168" s="136"/>
      <c r="AN168" s="136"/>
      <c r="AO168" s="136"/>
      <c r="AP168" s="105">
        <f t="shared" si="59"/>
        <v>0</v>
      </c>
      <c r="AQ168" s="99"/>
      <c r="AR168" s="99"/>
      <c r="AS168" s="99"/>
      <c r="AT168" s="124"/>
      <c r="AU168" s="224">
        <f t="shared" si="60"/>
        <v>0</v>
      </c>
      <c r="AV168" s="126"/>
      <c r="AW168" s="274"/>
      <c r="AX168" s="126"/>
      <c r="AY168" s="126"/>
      <c r="AZ168" s="126"/>
      <c r="BA168" s="126"/>
      <c r="BB168" s="141"/>
      <c r="BC168" s="152"/>
      <c r="BD168" s="152"/>
      <c r="BE168" s="152"/>
      <c r="BF168" s="152"/>
      <c r="BG168" s="140">
        <f t="shared" si="61"/>
        <v>0</v>
      </c>
      <c r="BH168" s="140">
        <f t="shared" si="62"/>
        <v>0</v>
      </c>
      <c r="BI168" s="132"/>
      <c r="BJ168" s="140">
        <f t="shared" si="63"/>
        <v>0</v>
      </c>
      <c r="BK168" s="141"/>
      <c r="BL168" s="141"/>
      <c r="BM168" s="141"/>
      <c r="BN168" s="141"/>
      <c r="BO168" s="141"/>
      <c r="BP168" s="141"/>
      <c r="BQ168" s="141"/>
      <c r="BR168" s="141"/>
      <c r="BS168" s="141"/>
      <c r="BT168" s="141"/>
      <c r="BU168" s="141"/>
      <c r="BV168" s="141"/>
      <c r="BW168" s="141"/>
      <c r="BX168" s="130">
        <f t="shared" si="64"/>
        <v>0</v>
      </c>
      <c r="BY168" s="132"/>
    </row>
    <row r="169" ht="15.75" customHeight="1">
      <c r="B169" s="215">
        <v>46173</v>
      </c>
      <c r="C169" s="379"/>
      <c r="D169" s="136"/>
      <c r="E169" s="135"/>
      <c r="F169" s="135"/>
      <c r="G169" s="147">
        <f t="shared" si="56"/>
        <v>0</v>
      </c>
      <c r="H169" s="122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300">
        <f t="shared" si="57"/>
        <v>0</v>
      </c>
      <c r="Y169" s="1174"/>
      <c r="Z169" s="1174"/>
      <c r="AA169" s="173"/>
      <c r="AB169" s="173"/>
      <c r="AC169" s="148"/>
      <c r="AD169" s="173"/>
      <c r="AE169" s="173"/>
      <c r="AF169" s="173"/>
      <c r="AG169" s="173"/>
      <c r="AH169" s="173"/>
      <c r="AI169" s="173"/>
      <c r="AJ169" s="173"/>
      <c r="AK169" s="173"/>
      <c r="AL169" s="877">
        <f t="shared" si="58"/>
        <v>0</v>
      </c>
      <c r="AM169" s="136"/>
      <c r="AN169" s="136"/>
      <c r="AO169" s="136"/>
      <c r="AP169" s="105">
        <f t="shared" si="59"/>
        <v>0</v>
      </c>
      <c r="AQ169" s="99"/>
      <c r="AR169" s="99"/>
      <c r="AS169" s="99"/>
      <c r="AT169" s="124"/>
      <c r="AU169" s="224">
        <f t="shared" si="60"/>
        <v>0</v>
      </c>
      <c r="AV169" s="138"/>
      <c r="AW169" s="274"/>
      <c r="AX169" s="126"/>
      <c r="AY169" s="126"/>
      <c r="AZ169" s="126"/>
      <c r="BA169" s="126"/>
      <c r="BB169" s="141"/>
      <c r="BC169" s="152"/>
      <c r="BD169" s="152"/>
      <c r="BE169" s="152"/>
      <c r="BF169" s="152"/>
      <c r="BG169" s="140">
        <f t="shared" si="61"/>
        <v>0</v>
      </c>
      <c r="BH169" s="140">
        <f t="shared" si="62"/>
        <v>0</v>
      </c>
      <c r="BI169" s="132"/>
      <c r="BJ169" s="140">
        <f t="shared" si="63"/>
        <v>0</v>
      </c>
      <c r="BK169" s="141"/>
      <c r="BL169" s="141"/>
      <c r="BM169" s="141"/>
      <c r="BN169" s="141"/>
      <c r="BO169" s="141"/>
      <c r="BP169" s="141"/>
      <c r="BQ169" s="141"/>
      <c r="BR169" s="141"/>
      <c r="BS169" s="141"/>
      <c r="BT169" s="141"/>
      <c r="BU169" s="141"/>
      <c r="BV169" s="141"/>
      <c r="BW169" s="141"/>
      <c r="BX169" s="130">
        <f t="shared" si="64"/>
        <v>0</v>
      </c>
      <c r="BY169" s="132"/>
    </row>
    <row r="170" ht="15.75" customHeight="1">
      <c r="B170" s="2" t="s">
        <v>261</v>
      </c>
      <c r="C170" s="166">
        <f ref="C170:G170" t="shared" si="65">SUM(C139:C169)</f>
        <v>0</v>
      </c>
      <c r="D170" s="166">
        <f t="shared" si="65"/>
        <v>0</v>
      </c>
      <c r="E170" s="166">
        <f t="shared" si="65"/>
        <v>0</v>
      </c>
      <c r="F170" s="166">
        <f t="shared" si="65"/>
        <v>0</v>
      </c>
      <c r="G170" s="166">
        <f t="shared" si="65"/>
        <v>0</v>
      </c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>
        <f ref="U170:V170" t="shared" si="66">SUM(U139:U169)</f>
        <v>0</v>
      </c>
      <c r="V170" s="166">
        <f t="shared" si="66"/>
        <v>0</v>
      </c>
      <c r="W170" s="166"/>
      <c r="X170" s="166">
        <f>SUM(X139:X169)</f>
        <v>0</v>
      </c>
      <c r="Y170" s="1068"/>
      <c r="Z170" s="1068"/>
      <c r="AA170" s="165"/>
      <c r="AB170" s="165">
        <f ref="AB170:AM170" t="shared" si="67">SUM(AB139:AB169)</f>
        <v>0</v>
      </c>
      <c r="AC170" s="165">
        <f t="shared" si="67"/>
        <v>0</v>
      </c>
      <c r="AD170" s="165">
        <f t="shared" si="67"/>
        <v>0</v>
      </c>
      <c r="AE170" s="165">
        <f t="shared" si="67"/>
        <v>0</v>
      </c>
      <c r="AF170" s="165">
        <f t="shared" si="67"/>
        <v>0</v>
      </c>
      <c r="AG170" s="165">
        <f t="shared" si="67"/>
        <v>0</v>
      </c>
      <c r="AH170" s="165">
        <f t="shared" si="67"/>
        <v>0</v>
      </c>
      <c r="AI170" s="165">
        <f t="shared" si="67"/>
        <v>0</v>
      </c>
      <c r="AJ170" s="165">
        <f t="shared" si="67"/>
        <v>0</v>
      </c>
      <c r="AK170" s="165">
        <f t="shared" si="67"/>
        <v>0</v>
      </c>
      <c r="AL170" s="166">
        <f t="shared" si="67"/>
        <v>0</v>
      </c>
      <c r="AM170" s="166">
        <f t="shared" si="67"/>
        <v>0</v>
      </c>
      <c r="AN170" s="166"/>
      <c r="AO170" s="166"/>
      <c r="AP170" s="166">
        <f>SUM(AP139:AP169)</f>
        <v>0</v>
      </c>
      <c r="AQ170" s="166"/>
      <c r="AR170" s="166"/>
      <c r="AS170" s="166"/>
      <c r="AT170" s="166"/>
      <c r="AU170" s="166">
        <f ref="AU170:AV170" t="shared" si="68">SUM(AU139:AU169)</f>
        <v>0</v>
      </c>
      <c r="AV170" s="165">
        <f t="shared" si="68"/>
        <v>0</v>
      </c>
      <c r="AW170" s="166"/>
      <c r="AX170" s="166"/>
      <c r="AY170" s="166"/>
      <c r="AZ170" s="166"/>
      <c r="BA170" s="166"/>
      <c r="BB170" s="166"/>
      <c r="BC170" s="166"/>
      <c r="BD170" s="166"/>
      <c r="BE170" s="166"/>
      <c r="BF170" s="166"/>
      <c r="BG170" s="166">
        <f ref="BG170:BH170" t="shared" si="69">SUM(BG139:BG169)</f>
        <v>0</v>
      </c>
      <c r="BH170" s="166">
        <f t="shared" si="69"/>
        <v>0</v>
      </c>
      <c r="BI170" s="3"/>
      <c r="BJ170" s="172">
        <f>SUM(BJ138:BJ169)</f>
        <v>0</v>
      </c>
      <c r="BK170" s="166"/>
      <c r="BL170" s="166"/>
      <c r="BM170" s="166"/>
      <c r="BN170" s="166"/>
      <c r="BO170" s="166"/>
      <c r="BP170" s="166"/>
      <c r="BQ170" s="166"/>
      <c r="BR170" s="166"/>
      <c r="BS170" s="166"/>
      <c r="BT170" s="166"/>
      <c r="BU170" s="166"/>
      <c r="BV170" s="166"/>
      <c r="BW170" s="166"/>
      <c r="BX170" s="166">
        <f>SUM(BX138:BX169)</f>
        <v>0</v>
      </c>
      <c r="BY170" s="3"/>
    </row>
    <row r="171" ht="15.75" customHeight="1">
      <c r="B171" s="2"/>
      <c r="C171" s="1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1"/>
      <c r="Z171" s="1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96"/>
      <c r="AM171" s="96"/>
      <c r="AN171" s="3"/>
      <c r="AO171" s="3"/>
      <c r="AP171" s="4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</row>
    <row r="172" ht="15.75" customHeight="1">
      <c r="B172" s="2"/>
      <c r="C172" s="1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1"/>
      <c r="Z172" s="1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4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</row>
    <row r="173" ht="15.75" customHeight="1">
      <c r="B173" s="215">
        <v>46174</v>
      </c>
      <c r="C173" s="1079"/>
      <c r="D173" s="104"/>
      <c r="E173" s="97"/>
      <c r="F173" s="97"/>
      <c r="G173" s="216">
        <f ref="G173:G202" t="shared" si="70">+C173+D173+E173+F173</f>
        <v>0</v>
      </c>
      <c r="H173" s="1464"/>
      <c r="I173" s="1465"/>
      <c r="J173" s="1465"/>
      <c r="K173" s="1465"/>
      <c r="L173" s="1465"/>
      <c r="M173" s="1465"/>
      <c r="N173" s="1465"/>
      <c r="O173" s="1465"/>
      <c r="P173" s="1465"/>
      <c r="Q173" s="1465"/>
      <c r="R173" s="1465"/>
      <c r="S173" s="1465"/>
      <c r="T173" s="1465"/>
      <c r="U173" s="1465"/>
      <c r="V173" s="1465"/>
      <c r="W173" s="1465"/>
      <c r="X173" s="189">
        <f ref="X173:X202" t="shared" si="71">SUM(H173:V173)</f>
        <v>0</v>
      </c>
      <c r="Y173" s="1465"/>
      <c r="Z173" s="1465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89">
        <f ref="AL173:AL202" t="shared" si="72">SUM(Y173:AK173)</f>
        <v>0</v>
      </c>
      <c r="AM173" s="104"/>
      <c r="AN173" s="104"/>
      <c r="AO173" s="104"/>
      <c r="AP173" s="1466">
        <f ref="AP173:AP202" t="shared" si="73">SUM(AM173:AO173)</f>
        <v>0</v>
      </c>
      <c r="AQ173" s="104"/>
      <c r="AR173" s="94"/>
      <c r="AS173" s="104"/>
      <c r="AT173" s="104"/>
      <c r="AU173" s="219">
        <f ref="AU173:AU202" t="shared" si="74">+G173-X173-AL173-AP173-AQ173-AR173-AS173-AT173</f>
        <v>0</v>
      </c>
      <c r="AV173" s="109"/>
      <c r="AW173" s="269"/>
      <c r="AX173" s="269"/>
      <c r="AY173" s="269"/>
      <c r="AZ173" s="109"/>
      <c r="BA173" s="109"/>
      <c r="BB173" s="196"/>
      <c r="BC173" s="490"/>
      <c r="BD173" s="490"/>
      <c r="BE173" s="490"/>
      <c r="BF173" s="490"/>
      <c r="BG173" s="114">
        <f ref="BG173:BG202" t="shared" si="75">SUM(AV173:BF173)-BE173</f>
        <v>0</v>
      </c>
      <c r="BH173" s="114">
        <f ref="BH173:BH202" t="shared" si="76">+AU173-BG173</f>
        <v>0</v>
      </c>
      <c r="BI173" s="3"/>
      <c r="BJ173" s="114">
        <f ref="BJ173:BJ202" t="shared" si="77">SUM(BK173:BW173)</f>
        <v>0</v>
      </c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115"/>
      <c r="BW173" s="115"/>
      <c r="BX173" s="116">
        <f ref="BX173:BX202" t="shared" si="78">+BH173-BJ173</f>
        <v>0</v>
      </c>
      <c r="BY173" s="3"/>
    </row>
    <row r="174" ht="15.75" customHeight="1">
      <c r="B174" s="215">
        <v>46175</v>
      </c>
      <c r="C174" s="1310"/>
      <c r="D174" s="123"/>
      <c r="E174" s="120"/>
      <c r="F174" s="120"/>
      <c r="G174" s="147">
        <f t="shared" si="70"/>
        <v>0</v>
      </c>
      <c r="H174" s="1467"/>
      <c r="I174" s="1468"/>
      <c r="J174" s="1468"/>
      <c r="K174" s="1468"/>
      <c r="L174" s="1468"/>
      <c r="M174" s="1468"/>
      <c r="N174" s="1468"/>
      <c r="O174" s="1468"/>
      <c r="P174" s="1468"/>
      <c r="Q174" s="1468"/>
      <c r="R174" s="1468"/>
      <c r="S174" s="1468"/>
      <c r="T174" s="1468"/>
      <c r="U174" s="1468"/>
      <c r="V174" s="136"/>
      <c r="W174" s="136"/>
      <c r="X174" s="103">
        <f t="shared" si="71"/>
        <v>0</v>
      </c>
      <c r="Y174" s="1468"/>
      <c r="Z174" s="1468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  <c r="AK174" s="99"/>
      <c r="AL174" s="103">
        <f t="shared" si="72"/>
        <v>0</v>
      </c>
      <c r="AM174" s="123"/>
      <c r="AN174" s="123"/>
      <c r="AO174" s="123"/>
      <c r="AP174" s="975">
        <f t="shared" si="73"/>
        <v>0</v>
      </c>
      <c r="AQ174" s="123"/>
      <c r="AR174" s="118"/>
      <c r="AS174" s="123"/>
      <c r="AT174" s="123"/>
      <c r="AU174" s="224">
        <f t="shared" si="74"/>
        <v>0</v>
      </c>
      <c r="AV174" s="126"/>
      <c r="AW174" s="274"/>
      <c r="AX174" s="126"/>
      <c r="AY174" s="126"/>
      <c r="AZ174" s="126"/>
      <c r="BA174" s="126"/>
      <c r="BB174" s="141"/>
      <c r="BC174" s="152"/>
      <c r="BD174" s="152"/>
      <c r="BE174" s="152"/>
      <c r="BF174" s="152"/>
      <c r="BG174" s="113">
        <f t="shared" si="75"/>
        <v>0</v>
      </c>
      <c r="BH174" s="113">
        <f t="shared" si="76"/>
        <v>0</v>
      </c>
      <c r="BI174" s="3"/>
      <c r="BJ174" s="113">
        <f t="shared" si="77"/>
        <v>0</v>
      </c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30">
        <f t="shared" si="78"/>
        <v>0</v>
      </c>
      <c r="BY174" s="3"/>
    </row>
    <row r="175" ht="15.75" customHeight="1">
      <c r="B175" s="215">
        <v>46176</v>
      </c>
      <c r="C175" s="1310"/>
      <c r="D175" s="123"/>
      <c r="E175" s="120"/>
      <c r="F175" s="120"/>
      <c r="G175" s="147">
        <f t="shared" si="70"/>
        <v>0</v>
      </c>
      <c r="H175" s="1467"/>
      <c r="I175" s="1468"/>
      <c r="J175" s="1468"/>
      <c r="K175" s="1468"/>
      <c r="L175" s="1468"/>
      <c r="M175" s="1468"/>
      <c r="N175" s="1468"/>
      <c r="O175" s="1468"/>
      <c r="P175" s="1468"/>
      <c r="Q175" s="1468"/>
      <c r="R175" s="1468"/>
      <c r="S175" s="1468"/>
      <c r="T175" s="1468"/>
      <c r="U175" s="1468"/>
      <c r="V175" s="136"/>
      <c r="W175" s="136"/>
      <c r="X175" s="103">
        <f t="shared" si="71"/>
        <v>0</v>
      </c>
      <c r="Y175" s="1468"/>
      <c r="Z175" s="1468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  <c r="AK175" s="99"/>
      <c r="AL175" s="103">
        <f t="shared" si="72"/>
        <v>0</v>
      </c>
      <c r="AM175" s="123"/>
      <c r="AN175" s="123"/>
      <c r="AO175" s="123"/>
      <c r="AP175" s="975">
        <f t="shared" si="73"/>
        <v>0</v>
      </c>
      <c r="AQ175" s="123"/>
      <c r="AR175" s="118"/>
      <c r="AS175" s="123"/>
      <c r="AT175" s="123"/>
      <c r="AU175" s="224">
        <f t="shared" si="74"/>
        <v>0</v>
      </c>
      <c r="AV175" s="126"/>
      <c r="AW175" s="274"/>
      <c r="AX175" s="126"/>
      <c r="AY175" s="126"/>
      <c r="AZ175" s="126"/>
      <c r="BA175" s="126"/>
      <c r="BB175" s="141"/>
      <c r="BC175" s="152"/>
      <c r="BD175" s="152"/>
      <c r="BE175" s="152"/>
      <c r="BF175" s="152"/>
      <c r="BG175" s="113">
        <f t="shared" si="75"/>
        <v>0</v>
      </c>
      <c r="BH175" s="113">
        <f t="shared" si="76"/>
        <v>0</v>
      </c>
      <c r="BI175" s="3"/>
      <c r="BJ175" s="113">
        <f t="shared" si="77"/>
        <v>0</v>
      </c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30">
        <f t="shared" si="78"/>
        <v>0</v>
      </c>
      <c r="BY175" s="3"/>
    </row>
    <row r="176" ht="15.75" customHeight="1">
      <c r="B176" s="215">
        <v>46177</v>
      </c>
      <c r="C176" s="1310"/>
      <c r="D176" s="123"/>
      <c r="E176" s="120"/>
      <c r="F176" s="120"/>
      <c r="G176" s="147">
        <f t="shared" si="70"/>
        <v>0</v>
      </c>
      <c r="H176" s="1467"/>
      <c r="I176" s="1468"/>
      <c r="J176" s="1468"/>
      <c r="K176" s="1468"/>
      <c r="L176" s="1468"/>
      <c r="M176" s="1468"/>
      <c r="N176" s="1468"/>
      <c r="O176" s="1468"/>
      <c r="P176" s="1468"/>
      <c r="Q176" s="1468"/>
      <c r="R176" s="1468"/>
      <c r="S176" s="1468"/>
      <c r="T176" s="1468"/>
      <c r="U176" s="1468"/>
      <c r="V176" s="136"/>
      <c r="W176" s="136"/>
      <c r="X176" s="103">
        <f t="shared" si="71"/>
        <v>0</v>
      </c>
      <c r="Y176" s="1468"/>
      <c r="Z176" s="1468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  <c r="AK176" s="99"/>
      <c r="AL176" s="103">
        <f t="shared" si="72"/>
        <v>0</v>
      </c>
      <c r="AM176" s="123"/>
      <c r="AN176" s="123"/>
      <c r="AO176" s="123"/>
      <c r="AP176" s="975">
        <f t="shared" si="73"/>
        <v>0</v>
      </c>
      <c r="AQ176" s="123"/>
      <c r="AR176" s="118"/>
      <c r="AS176" s="123"/>
      <c r="AT176" s="123"/>
      <c r="AU176" s="224">
        <f t="shared" si="74"/>
        <v>0</v>
      </c>
      <c r="AV176" s="126"/>
      <c r="AW176" s="274"/>
      <c r="AX176" s="126"/>
      <c r="AY176" s="126"/>
      <c r="AZ176" s="126"/>
      <c r="BA176" s="126"/>
      <c r="BB176" s="141"/>
      <c r="BC176" s="152"/>
      <c r="BD176" s="152"/>
      <c r="BE176" s="152"/>
      <c r="BF176" s="152"/>
      <c r="BG176" s="113">
        <f t="shared" si="75"/>
        <v>0</v>
      </c>
      <c r="BH176" s="113">
        <f t="shared" si="76"/>
        <v>0</v>
      </c>
      <c r="BI176" s="3"/>
      <c r="BJ176" s="113">
        <f t="shared" si="77"/>
        <v>0</v>
      </c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30">
        <f t="shared" si="78"/>
        <v>0</v>
      </c>
      <c r="BY176" s="3"/>
    </row>
    <row r="177" ht="15.75" customHeight="1">
      <c r="B177" s="215">
        <v>46178</v>
      </c>
      <c r="C177" s="1310"/>
      <c r="D177" s="123"/>
      <c r="E177" s="120"/>
      <c r="F177" s="120"/>
      <c r="G177" s="147">
        <f t="shared" si="70"/>
        <v>0</v>
      </c>
      <c r="H177" s="1467"/>
      <c r="I177" s="1468"/>
      <c r="J177" s="1468"/>
      <c r="K177" s="1468"/>
      <c r="L177" s="1468"/>
      <c r="M177" s="1468"/>
      <c r="N177" s="1468"/>
      <c r="O177" s="1468"/>
      <c r="P177" s="1468"/>
      <c r="Q177" s="1468"/>
      <c r="R177" s="1468"/>
      <c r="S177" s="1468"/>
      <c r="T177" s="1468"/>
      <c r="U177" s="1468"/>
      <c r="V177" s="136"/>
      <c r="W177" s="136"/>
      <c r="X177" s="103">
        <f t="shared" si="71"/>
        <v>0</v>
      </c>
      <c r="Y177" s="1468"/>
      <c r="Z177" s="1468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  <c r="AK177" s="99"/>
      <c r="AL177" s="103">
        <f t="shared" si="72"/>
        <v>0</v>
      </c>
      <c r="AM177" s="123"/>
      <c r="AN177" s="123"/>
      <c r="AO177" s="123"/>
      <c r="AP177" s="975">
        <f t="shared" si="73"/>
        <v>0</v>
      </c>
      <c r="AQ177" s="123"/>
      <c r="AR177" s="118"/>
      <c r="AS177" s="123"/>
      <c r="AT177" s="123"/>
      <c r="AU177" s="224">
        <f t="shared" si="74"/>
        <v>0</v>
      </c>
      <c r="AV177" s="126"/>
      <c r="AW177" s="274"/>
      <c r="AX177" s="126"/>
      <c r="AY177" s="126"/>
      <c r="AZ177" s="126"/>
      <c r="BA177" s="126"/>
      <c r="BB177" s="141"/>
      <c r="BC177" s="152"/>
      <c r="BD177" s="152"/>
      <c r="BE177" s="152"/>
      <c r="BF177" s="152"/>
      <c r="BG177" s="113">
        <f t="shared" si="75"/>
        <v>0</v>
      </c>
      <c r="BH177" s="113">
        <f t="shared" si="76"/>
        <v>0</v>
      </c>
      <c r="BI177" s="3"/>
      <c r="BJ177" s="113">
        <f t="shared" si="77"/>
        <v>0</v>
      </c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30">
        <f t="shared" si="78"/>
        <v>0</v>
      </c>
      <c r="BY177" s="3"/>
    </row>
    <row r="178" ht="15.75" customHeight="1">
      <c r="B178" s="215">
        <v>46179</v>
      </c>
      <c r="C178" s="1310"/>
      <c r="D178" s="123"/>
      <c r="E178" s="120"/>
      <c r="F178" s="120"/>
      <c r="G178" s="147">
        <f t="shared" si="70"/>
        <v>0</v>
      </c>
      <c r="H178" s="1467"/>
      <c r="I178" s="1468"/>
      <c r="J178" s="1468"/>
      <c r="K178" s="1468"/>
      <c r="L178" s="1468"/>
      <c r="M178" s="1468"/>
      <c r="N178" s="1468"/>
      <c r="O178" s="1468"/>
      <c r="P178" s="1468"/>
      <c r="Q178" s="1468"/>
      <c r="R178" s="1468"/>
      <c r="S178" s="1468"/>
      <c r="T178" s="1468"/>
      <c r="U178" s="1468"/>
      <c r="V178" s="136"/>
      <c r="W178" s="136"/>
      <c r="X178" s="103">
        <f t="shared" si="71"/>
        <v>0</v>
      </c>
      <c r="Y178" s="1468"/>
      <c r="Z178" s="1468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  <c r="AK178" s="99"/>
      <c r="AL178" s="103">
        <f t="shared" si="72"/>
        <v>0</v>
      </c>
      <c r="AM178" s="123"/>
      <c r="AN178" s="123"/>
      <c r="AO178" s="123"/>
      <c r="AP178" s="975">
        <f t="shared" si="73"/>
        <v>0</v>
      </c>
      <c r="AQ178" s="123"/>
      <c r="AR178" s="118"/>
      <c r="AS178" s="123"/>
      <c r="AT178" s="123"/>
      <c r="AU178" s="224">
        <f t="shared" si="74"/>
        <v>0</v>
      </c>
      <c r="AV178" s="126"/>
      <c r="AW178" s="274"/>
      <c r="AX178" s="126"/>
      <c r="AY178" s="126"/>
      <c r="AZ178" s="126"/>
      <c r="BA178" s="126"/>
      <c r="BB178" s="141"/>
      <c r="BC178" s="152"/>
      <c r="BD178" s="152"/>
      <c r="BE178" s="152"/>
      <c r="BF178" s="152"/>
      <c r="BG178" s="113">
        <f t="shared" si="75"/>
        <v>0</v>
      </c>
      <c r="BH178" s="113">
        <f t="shared" si="76"/>
        <v>0</v>
      </c>
      <c r="BI178" s="3"/>
      <c r="BJ178" s="113">
        <f t="shared" si="77"/>
        <v>0</v>
      </c>
      <c r="BK178" s="129"/>
      <c r="BL178" s="129"/>
      <c r="BM178" s="129"/>
      <c r="BN178" s="129"/>
      <c r="BO178" s="129"/>
      <c r="BP178" s="129"/>
      <c r="BQ178" s="129"/>
      <c r="BR178" s="129"/>
      <c r="BS178" s="129"/>
      <c r="BT178" s="129"/>
      <c r="BU178" s="129"/>
      <c r="BV178" s="129"/>
      <c r="BW178" s="129"/>
      <c r="BX178" s="130">
        <f t="shared" si="78"/>
        <v>0</v>
      </c>
      <c r="BY178" s="3"/>
    </row>
    <row r="179" ht="15.75" customHeight="1">
      <c r="B179" s="215">
        <v>46180</v>
      </c>
      <c r="C179" s="379"/>
      <c r="D179" s="136"/>
      <c r="E179" s="135"/>
      <c r="F179" s="135"/>
      <c r="G179" s="147">
        <f t="shared" si="70"/>
        <v>0</v>
      </c>
      <c r="H179" s="1469"/>
      <c r="I179" s="1470"/>
      <c r="J179" s="1470"/>
      <c r="K179" s="1470"/>
      <c r="L179" s="1470"/>
      <c r="M179" s="1470"/>
      <c r="N179" s="1470"/>
      <c r="O179" s="1470"/>
      <c r="P179" s="1470"/>
      <c r="Q179" s="1470"/>
      <c r="R179" s="1470"/>
      <c r="S179" s="1470"/>
      <c r="T179" s="1470"/>
      <c r="U179" s="1470"/>
      <c r="V179" s="136"/>
      <c r="W179" s="136"/>
      <c r="X179" s="103">
        <f t="shared" si="71"/>
        <v>0</v>
      </c>
      <c r="Y179" s="1470"/>
      <c r="Z179" s="1470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  <c r="AK179" s="99"/>
      <c r="AL179" s="103">
        <f t="shared" si="72"/>
        <v>0</v>
      </c>
      <c r="AM179" s="136"/>
      <c r="AN179" s="136"/>
      <c r="AO179" s="136"/>
      <c r="AP179" s="975">
        <f t="shared" si="73"/>
        <v>0</v>
      </c>
      <c r="AQ179" s="123"/>
      <c r="AR179" s="133"/>
      <c r="AS179" s="136"/>
      <c r="AT179" s="136"/>
      <c r="AU179" s="224">
        <f t="shared" si="74"/>
        <v>0</v>
      </c>
      <c r="AV179" s="126"/>
      <c r="AW179" s="274"/>
      <c r="AX179" s="126"/>
      <c r="AY179" s="126"/>
      <c r="AZ179" s="126"/>
      <c r="BA179" s="126"/>
      <c r="BB179" s="141"/>
      <c r="BC179" s="152"/>
      <c r="BD179" s="152"/>
      <c r="BE179" s="152"/>
      <c r="BF179" s="152"/>
      <c r="BG179" s="140">
        <f t="shared" si="75"/>
        <v>0</v>
      </c>
      <c r="BH179" s="140">
        <f t="shared" si="76"/>
        <v>0</v>
      </c>
      <c r="BI179" s="132"/>
      <c r="BJ179" s="140">
        <f t="shared" si="77"/>
        <v>0</v>
      </c>
      <c r="BK179" s="141"/>
      <c r="BL179" s="141"/>
      <c r="BM179" s="141"/>
      <c r="BN179" s="141"/>
      <c r="BO179" s="141"/>
      <c r="BP179" s="141"/>
      <c r="BQ179" s="141"/>
      <c r="BR179" s="141"/>
      <c r="BS179" s="141"/>
      <c r="BT179" s="141"/>
      <c r="BU179" s="141"/>
      <c r="BV179" s="141"/>
      <c r="BW179" s="141"/>
      <c r="BX179" s="130">
        <f t="shared" si="78"/>
        <v>0</v>
      </c>
      <c r="BY179" s="132"/>
    </row>
    <row r="180" ht="15.75" customHeight="1">
      <c r="B180" s="215">
        <v>46181</v>
      </c>
      <c r="C180" s="379"/>
      <c r="D180" s="136"/>
      <c r="E180" s="135"/>
      <c r="F180" s="135"/>
      <c r="G180" s="147">
        <f t="shared" si="70"/>
        <v>0</v>
      </c>
      <c r="H180" s="1469"/>
      <c r="I180" s="1470"/>
      <c r="J180" s="1470"/>
      <c r="K180" s="1470"/>
      <c r="L180" s="1470"/>
      <c r="M180" s="1470"/>
      <c r="N180" s="1470"/>
      <c r="O180" s="1470"/>
      <c r="P180" s="1470"/>
      <c r="Q180" s="1470"/>
      <c r="R180" s="1470"/>
      <c r="S180" s="1470"/>
      <c r="T180" s="1470"/>
      <c r="U180" s="1470"/>
      <c r="V180" s="136"/>
      <c r="W180" s="136"/>
      <c r="X180" s="103">
        <f t="shared" si="71"/>
        <v>0</v>
      </c>
      <c r="Y180" s="1470"/>
      <c r="Z180" s="1470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  <c r="AK180" s="99"/>
      <c r="AL180" s="103">
        <f t="shared" si="72"/>
        <v>0</v>
      </c>
      <c r="AM180" s="136"/>
      <c r="AN180" s="136"/>
      <c r="AO180" s="136"/>
      <c r="AP180" s="975">
        <f t="shared" si="73"/>
        <v>0</v>
      </c>
      <c r="AQ180" s="123"/>
      <c r="AR180" s="133"/>
      <c r="AS180" s="136"/>
      <c r="AT180" s="136"/>
      <c r="AU180" s="224">
        <f t="shared" si="74"/>
        <v>0</v>
      </c>
      <c r="AV180" s="126"/>
      <c r="AW180" s="274"/>
      <c r="AX180" s="126"/>
      <c r="AY180" s="126"/>
      <c r="AZ180" s="126"/>
      <c r="BA180" s="126"/>
      <c r="BB180" s="141"/>
      <c r="BC180" s="152"/>
      <c r="BD180" s="152"/>
      <c r="BE180" s="152"/>
      <c r="BF180" s="152"/>
      <c r="BG180" s="140">
        <f t="shared" si="75"/>
        <v>0</v>
      </c>
      <c r="BH180" s="140">
        <f t="shared" si="76"/>
        <v>0</v>
      </c>
      <c r="BI180" s="132"/>
      <c r="BJ180" s="140">
        <f t="shared" si="77"/>
        <v>0</v>
      </c>
      <c r="BK180" s="141"/>
      <c r="BL180" s="141"/>
      <c r="BM180" s="141"/>
      <c r="BN180" s="141"/>
      <c r="BO180" s="141"/>
      <c r="BP180" s="141"/>
      <c r="BQ180" s="141"/>
      <c r="BR180" s="141"/>
      <c r="BS180" s="141"/>
      <c r="BT180" s="141"/>
      <c r="BU180" s="141"/>
      <c r="BV180" s="141"/>
      <c r="BW180" s="141"/>
      <c r="BX180" s="130">
        <f t="shared" si="78"/>
        <v>0</v>
      </c>
      <c r="BY180" s="132"/>
    </row>
    <row r="181" ht="15.75" customHeight="1">
      <c r="B181" s="215">
        <v>46182</v>
      </c>
      <c r="C181" s="379"/>
      <c r="D181" s="136"/>
      <c r="E181" s="135"/>
      <c r="F181" s="135"/>
      <c r="G181" s="147">
        <f t="shared" si="70"/>
        <v>0</v>
      </c>
      <c r="H181" s="1469"/>
      <c r="I181" s="1470"/>
      <c r="J181" s="1470"/>
      <c r="K181" s="1470"/>
      <c r="L181" s="1470"/>
      <c r="M181" s="1470"/>
      <c r="N181" s="1470"/>
      <c r="O181" s="1470"/>
      <c r="P181" s="1470"/>
      <c r="Q181" s="1470"/>
      <c r="R181" s="1470"/>
      <c r="S181" s="1470"/>
      <c r="T181" s="1470"/>
      <c r="U181" s="1470"/>
      <c r="V181" s="136"/>
      <c r="W181" s="136"/>
      <c r="X181" s="103">
        <f t="shared" si="71"/>
        <v>0</v>
      </c>
      <c r="Y181" s="1470"/>
      <c r="Z181" s="1470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103">
        <f t="shared" si="72"/>
        <v>0</v>
      </c>
      <c r="AM181" s="136"/>
      <c r="AN181" s="136"/>
      <c r="AO181" s="136"/>
      <c r="AP181" s="105">
        <f t="shared" si="73"/>
        <v>0</v>
      </c>
      <c r="AQ181" s="136"/>
      <c r="AR181" s="136"/>
      <c r="AS181" s="136"/>
      <c r="AT181" s="136"/>
      <c r="AU181" s="224">
        <f t="shared" si="74"/>
        <v>0</v>
      </c>
      <c r="AV181" s="126"/>
      <c r="AW181" s="274"/>
      <c r="AX181" s="126"/>
      <c r="AY181" s="126"/>
      <c r="AZ181" s="126"/>
      <c r="BA181" s="126"/>
      <c r="BB181" s="141"/>
      <c r="BC181" s="152"/>
      <c r="BD181" s="152"/>
      <c r="BE181" s="152"/>
      <c r="BF181" s="152"/>
      <c r="BG181" s="140">
        <f t="shared" si="75"/>
        <v>0</v>
      </c>
      <c r="BH181" s="140">
        <f t="shared" si="76"/>
        <v>0</v>
      </c>
      <c r="BI181" s="132"/>
      <c r="BJ181" s="140">
        <f t="shared" si="77"/>
        <v>0</v>
      </c>
      <c r="BK181" s="141"/>
      <c r="BL181" s="141"/>
      <c r="BM181" s="141"/>
      <c r="BN181" s="141"/>
      <c r="BO181" s="141"/>
      <c r="BP181" s="141"/>
      <c r="BQ181" s="141"/>
      <c r="BR181" s="141"/>
      <c r="BS181" s="141"/>
      <c r="BT181" s="141"/>
      <c r="BU181" s="141"/>
      <c r="BV181" s="141"/>
      <c r="BW181" s="141"/>
      <c r="BX181" s="130">
        <f t="shared" si="78"/>
        <v>0</v>
      </c>
      <c r="BY181" s="132"/>
    </row>
    <row r="182" ht="15.75" customHeight="1">
      <c r="B182" s="215">
        <v>46183</v>
      </c>
      <c r="C182" s="379"/>
      <c r="D182" s="136"/>
      <c r="E182" s="135"/>
      <c r="F182" s="135"/>
      <c r="G182" s="147">
        <f t="shared" si="70"/>
        <v>0</v>
      </c>
      <c r="H182" s="1469"/>
      <c r="I182" s="1470"/>
      <c r="J182" s="1470"/>
      <c r="K182" s="1470"/>
      <c r="L182" s="1470"/>
      <c r="M182" s="1470"/>
      <c r="N182" s="1470"/>
      <c r="O182" s="1470"/>
      <c r="P182" s="1470"/>
      <c r="Q182" s="1470"/>
      <c r="R182" s="1470"/>
      <c r="S182" s="1470"/>
      <c r="T182" s="1470"/>
      <c r="U182" s="1470"/>
      <c r="V182" s="136"/>
      <c r="W182" s="136"/>
      <c r="X182" s="103">
        <f t="shared" si="71"/>
        <v>0</v>
      </c>
      <c r="Y182" s="1470"/>
      <c r="Z182" s="1470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  <c r="AK182" s="99"/>
      <c r="AL182" s="103">
        <f t="shared" si="72"/>
        <v>0</v>
      </c>
      <c r="AM182" s="136"/>
      <c r="AN182" s="136"/>
      <c r="AO182" s="136"/>
      <c r="AP182" s="105">
        <f t="shared" si="73"/>
        <v>0</v>
      </c>
      <c r="AQ182" s="136"/>
      <c r="AR182" s="136"/>
      <c r="AS182" s="136"/>
      <c r="AT182" s="136"/>
      <c r="AU182" s="224">
        <f t="shared" si="74"/>
        <v>0</v>
      </c>
      <c r="AV182" s="126"/>
      <c r="AW182" s="274"/>
      <c r="AX182" s="126"/>
      <c r="AY182" s="126"/>
      <c r="AZ182" s="126"/>
      <c r="BA182" s="126"/>
      <c r="BB182" s="141"/>
      <c r="BC182" s="152"/>
      <c r="BD182" s="152"/>
      <c r="BE182" s="152"/>
      <c r="BF182" s="152"/>
      <c r="BG182" s="140">
        <f t="shared" si="75"/>
        <v>0</v>
      </c>
      <c r="BH182" s="140">
        <f t="shared" si="76"/>
        <v>0</v>
      </c>
      <c r="BI182" s="132"/>
      <c r="BJ182" s="140">
        <f t="shared" si="77"/>
        <v>0</v>
      </c>
      <c r="BK182" s="141"/>
      <c r="BL182" s="141"/>
      <c r="BM182" s="141"/>
      <c r="BN182" s="141"/>
      <c r="BO182" s="141"/>
      <c r="BP182" s="141"/>
      <c r="BQ182" s="141"/>
      <c r="BR182" s="141"/>
      <c r="BS182" s="141"/>
      <c r="BT182" s="141"/>
      <c r="BU182" s="141"/>
      <c r="BV182" s="141"/>
      <c r="BW182" s="141"/>
      <c r="BX182" s="130">
        <f t="shared" si="78"/>
        <v>0</v>
      </c>
      <c r="BY182" s="132"/>
    </row>
    <row r="183" ht="15.75" customHeight="1">
      <c r="B183" s="215">
        <v>46184</v>
      </c>
      <c r="C183" s="379"/>
      <c r="D183" s="136"/>
      <c r="E183" s="135"/>
      <c r="F183" s="135"/>
      <c r="G183" s="147">
        <f t="shared" si="70"/>
        <v>0</v>
      </c>
      <c r="H183" s="1469"/>
      <c r="I183" s="1470"/>
      <c r="J183" s="1470"/>
      <c r="K183" s="1470"/>
      <c r="L183" s="1470"/>
      <c r="M183" s="1470"/>
      <c r="N183" s="1470"/>
      <c r="O183" s="1470"/>
      <c r="P183" s="1470"/>
      <c r="Q183" s="1470"/>
      <c r="R183" s="1470"/>
      <c r="S183" s="1470"/>
      <c r="T183" s="1470"/>
      <c r="U183" s="1470"/>
      <c r="V183" s="1470"/>
      <c r="W183" s="1470"/>
      <c r="X183" s="103">
        <f t="shared" si="71"/>
        <v>0</v>
      </c>
      <c r="Y183" s="1470"/>
      <c r="Z183" s="1470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  <c r="AK183" s="99"/>
      <c r="AL183" s="103">
        <f t="shared" si="72"/>
        <v>0</v>
      </c>
      <c r="AM183" s="136"/>
      <c r="AN183" s="136"/>
      <c r="AO183" s="136"/>
      <c r="AP183" s="105">
        <f t="shared" si="73"/>
        <v>0</v>
      </c>
      <c r="AQ183" s="136"/>
      <c r="AR183" s="136"/>
      <c r="AS183" s="136"/>
      <c r="AT183" s="136"/>
      <c r="AU183" s="224">
        <f t="shared" si="74"/>
        <v>0</v>
      </c>
      <c r="AV183" s="126"/>
      <c r="AW183" s="274"/>
      <c r="AX183" s="126"/>
      <c r="AY183" s="126"/>
      <c r="AZ183" s="126"/>
      <c r="BA183" s="126"/>
      <c r="BB183" s="141"/>
      <c r="BC183" s="152"/>
      <c r="BD183" s="152"/>
      <c r="BE183" s="152"/>
      <c r="BF183" s="152"/>
      <c r="BG183" s="140">
        <f t="shared" si="75"/>
        <v>0</v>
      </c>
      <c r="BH183" s="140">
        <f t="shared" si="76"/>
        <v>0</v>
      </c>
      <c r="BI183" s="132"/>
      <c r="BJ183" s="140">
        <f t="shared" si="77"/>
        <v>0</v>
      </c>
      <c r="BK183" s="141"/>
      <c r="BL183" s="141"/>
      <c r="BM183" s="141"/>
      <c r="BN183" s="141"/>
      <c r="BO183" s="141"/>
      <c r="BP183" s="141"/>
      <c r="BQ183" s="141"/>
      <c r="BR183" s="141"/>
      <c r="BS183" s="141"/>
      <c r="BT183" s="141"/>
      <c r="BU183" s="141"/>
      <c r="BV183" s="141"/>
      <c r="BW183" s="141"/>
      <c r="BX183" s="130">
        <f t="shared" si="78"/>
        <v>0</v>
      </c>
      <c r="BY183" s="132"/>
    </row>
    <row r="184" ht="15.75" customHeight="1">
      <c r="B184" s="215">
        <v>46185</v>
      </c>
      <c r="C184" s="379"/>
      <c r="D184" s="136"/>
      <c r="E184" s="135"/>
      <c r="F184" s="135"/>
      <c r="G184" s="147">
        <f t="shared" si="70"/>
        <v>0</v>
      </c>
      <c r="H184" s="1469"/>
      <c r="I184" s="1470"/>
      <c r="J184" s="1470"/>
      <c r="K184" s="1470"/>
      <c r="L184" s="1470"/>
      <c r="M184" s="1470"/>
      <c r="N184" s="1470"/>
      <c r="O184" s="1470"/>
      <c r="P184" s="1470"/>
      <c r="Q184" s="1470"/>
      <c r="R184" s="1470"/>
      <c r="S184" s="1470"/>
      <c r="T184" s="1470"/>
      <c r="U184" s="1470"/>
      <c r="V184" s="1470"/>
      <c r="W184" s="1470"/>
      <c r="X184" s="103">
        <f t="shared" si="71"/>
        <v>0</v>
      </c>
      <c r="Y184" s="1470"/>
      <c r="Z184" s="1470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  <c r="AK184" s="99"/>
      <c r="AL184" s="103">
        <f t="shared" si="72"/>
        <v>0</v>
      </c>
      <c r="AM184" s="136"/>
      <c r="AN184" s="136"/>
      <c r="AO184" s="136"/>
      <c r="AP184" s="105">
        <f t="shared" si="73"/>
        <v>0</v>
      </c>
      <c r="AQ184" s="136"/>
      <c r="AR184" s="136"/>
      <c r="AS184" s="136"/>
      <c r="AT184" s="136"/>
      <c r="AU184" s="224">
        <f t="shared" si="74"/>
        <v>0</v>
      </c>
      <c r="AV184" s="126"/>
      <c r="AW184" s="274"/>
      <c r="AX184" s="126"/>
      <c r="AY184" s="126"/>
      <c r="AZ184" s="126"/>
      <c r="BA184" s="126"/>
      <c r="BB184" s="141"/>
      <c r="BC184" s="152"/>
      <c r="BD184" s="152"/>
      <c r="BE184" s="152"/>
      <c r="BF184" s="152"/>
      <c r="BG184" s="140">
        <f t="shared" si="75"/>
        <v>0</v>
      </c>
      <c r="BH184" s="140">
        <f t="shared" si="76"/>
        <v>0</v>
      </c>
      <c r="BI184" s="132"/>
      <c r="BJ184" s="140">
        <f t="shared" si="77"/>
        <v>0</v>
      </c>
      <c r="BK184" s="141"/>
      <c r="BL184" s="141"/>
      <c r="BM184" s="141"/>
      <c r="BN184" s="141"/>
      <c r="BO184" s="141"/>
      <c r="BP184" s="141"/>
      <c r="BQ184" s="141"/>
      <c r="BR184" s="141"/>
      <c r="BS184" s="141"/>
      <c r="BT184" s="141"/>
      <c r="BU184" s="141"/>
      <c r="BV184" s="141"/>
      <c r="BW184" s="141"/>
      <c r="BX184" s="130">
        <f t="shared" si="78"/>
        <v>0</v>
      </c>
      <c r="BY184" s="132"/>
    </row>
    <row r="185" ht="15.75" customHeight="1">
      <c r="B185" s="215">
        <v>46186</v>
      </c>
      <c r="C185" s="379"/>
      <c r="D185" s="136"/>
      <c r="E185" s="135"/>
      <c r="F185" s="135"/>
      <c r="G185" s="147">
        <f t="shared" si="70"/>
        <v>0</v>
      </c>
      <c r="H185" s="1469"/>
      <c r="I185" s="1470"/>
      <c r="J185" s="1470"/>
      <c r="K185" s="1470"/>
      <c r="L185" s="1470"/>
      <c r="M185" s="1470"/>
      <c r="N185" s="1470"/>
      <c r="O185" s="1470"/>
      <c r="P185" s="1470"/>
      <c r="Q185" s="1470"/>
      <c r="R185" s="1470"/>
      <c r="S185" s="1470"/>
      <c r="T185" s="1470"/>
      <c r="U185" s="1470"/>
      <c r="V185" s="1470"/>
      <c r="W185" s="1470"/>
      <c r="X185" s="103">
        <f t="shared" si="71"/>
        <v>0</v>
      </c>
      <c r="Y185" s="1470"/>
      <c r="Z185" s="1470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  <c r="AK185" s="99"/>
      <c r="AL185" s="103">
        <f t="shared" si="72"/>
        <v>0</v>
      </c>
      <c r="AM185" s="136"/>
      <c r="AN185" s="136"/>
      <c r="AO185" s="136"/>
      <c r="AP185" s="105">
        <f t="shared" si="73"/>
        <v>0</v>
      </c>
      <c r="AQ185" s="136"/>
      <c r="AR185" s="136"/>
      <c r="AS185" s="136"/>
      <c r="AT185" s="136"/>
      <c r="AU185" s="224">
        <f t="shared" si="74"/>
        <v>0</v>
      </c>
      <c r="AV185" s="126"/>
      <c r="AW185" s="274"/>
      <c r="AX185" s="126"/>
      <c r="AY185" s="126"/>
      <c r="AZ185" s="126"/>
      <c r="BA185" s="126"/>
      <c r="BB185" s="141"/>
      <c r="BC185" s="152"/>
      <c r="BD185" s="152"/>
      <c r="BE185" s="152"/>
      <c r="BF185" s="152"/>
      <c r="BG185" s="140">
        <f t="shared" si="75"/>
        <v>0</v>
      </c>
      <c r="BH185" s="140">
        <f t="shared" si="76"/>
        <v>0</v>
      </c>
      <c r="BI185" s="132"/>
      <c r="BJ185" s="140">
        <f t="shared" si="77"/>
        <v>0</v>
      </c>
      <c r="BK185" s="141"/>
      <c r="BL185" s="141"/>
      <c r="BM185" s="141"/>
      <c r="BN185" s="141"/>
      <c r="BO185" s="141"/>
      <c r="BP185" s="141"/>
      <c r="BQ185" s="141"/>
      <c r="BR185" s="141"/>
      <c r="BS185" s="141"/>
      <c r="BT185" s="141"/>
      <c r="BU185" s="141"/>
      <c r="BV185" s="141"/>
      <c r="BW185" s="141"/>
      <c r="BX185" s="130">
        <f t="shared" si="78"/>
        <v>0</v>
      </c>
      <c r="BY185" s="132"/>
    </row>
    <row r="186" ht="15.75" customHeight="1">
      <c r="B186" s="215">
        <v>46187</v>
      </c>
      <c r="C186" s="379"/>
      <c r="D186" s="136"/>
      <c r="E186" s="135"/>
      <c r="F186" s="135"/>
      <c r="G186" s="147">
        <f t="shared" si="70"/>
        <v>0</v>
      </c>
      <c r="H186" s="1469"/>
      <c r="I186" s="142"/>
      <c r="J186" s="1470"/>
      <c r="K186" s="1470"/>
      <c r="L186" s="1470"/>
      <c r="M186" s="1470"/>
      <c r="N186" s="1470"/>
      <c r="O186" s="1470"/>
      <c r="P186" s="1470"/>
      <c r="Q186" s="1470"/>
      <c r="R186" s="1470"/>
      <c r="S186" s="1470"/>
      <c r="T186" s="1470"/>
      <c r="U186" s="1470"/>
      <c r="V186" s="1470"/>
      <c r="W186" s="1470"/>
      <c r="X186" s="103">
        <f t="shared" si="71"/>
        <v>0</v>
      </c>
      <c r="Y186" s="1470"/>
      <c r="Z186" s="1470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  <c r="AK186" s="99"/>
      <c r="AL186" s="103">
        <f t="shared" si="72"/>
        <v>0</v>
      </c>
      <c r="AM186" s="136"/>
      <c r="AN186" s="136"/>
      <c r="AO186" s="136"/>
      <c r="AP186" s="105">
        <f t="shared" si="73"/>
        <v>0</v>
      </c>
      <c r="AQ186" s="136"/>
      <c r="AR186" s="136"/>
      <c r="AS186" s="136"/>
      <c r="AT186" s="136"/>
      <c r="AU186" s="224">
        <f t="shared" si="74"/>
        <v>0</v>
      </c>
      <c r="AV186" s="126"/>
      <c r="AW186" s="274"/>
      <c r="AX186" s="126"/>
      <c r="AY186" s="126"/>
      <c r="AZ186" s="126"/>
      <c r="BA186" s="126"/>
      <c r="BB186" s="141"/>
      <c r="BC186" s="152"/>
      <c r="BD186" s="152"/>
      <c r="BE186" s="152"/>
      <c r="BF186" s="152"/>
      <c r="BG186" s="140">
        <f t="shared" si="75"/>
        <v>0</v>
      </c>
      <c r="BH186" s="140">
        <f t="shared" si="76"/>
        <v>0</v>
      </c>
      <c r="BI186" s="132"/>
      <c r="BJ186" s="140">
        <f t="shared" si="77"/>
        <v>0</v>
      </c>
      <c r="BK186" s="141"/>
      <c r="BL186" s="141"/>
      <c r="BM186" s="141"/>
      <c r="BN186" s="141"/>
      <c r="BO186" s="141"/>
      <c r="BP186" s="141"/>
      <c r="BQ186" s="141"/>
      <c r="BR186" s="141"/>
      <c r="BS186" s="141"/>
      <c r="BT186" s="141"/>
      <c r="BU186" s="141"/>
      <c r="BV186" s="141"/>
      <c r="BW186" s="141"/>
      <c r="BX186" s="130">
        <f t="shared" si="78"/>
        <v>0</v>
      </c>
      <c r="BY186" s="132"/>
    </row>
    <row r="187" ht="15.75" customHeight="1">
      <c r="B187" s="215">
        <v>46188</v>
      </c>
      <c r="C187" s="379"/>
      <c r="D187" s="136"/>
      <c r="E187" s="135"/>
      <c r="F187" s="135"/>
      <c r="G187" s="147">
        <f t="shared" si="70"/>
        <v>0</v>
      </c>
      <c r="H187" s="1469"/>
      <c r="I187" s="142"/>
      <c r="J187" s="1470"/>
      <c r="K187" s="1470"/>
      <c r="L187" s="1470"/>
      <c r="M187" s="1470"/>
      <c r="N187" s="1470"/>
      <c r="O187" s="1470"/>
      <c r="P187" s="1470"/>
      <c r="Q187" s="1470"/>
      <c r="R187" s="1470"/>
      <c r="S187" s="1470"/>
      <c r="T187" s="1470"/>
      <c r="U187" s="1470"/>
      <c r="V187" s="136"/>
      <c r="W187" s="136"/>
      <c r="X187" s="103">
        <f t="shared" si="71"/>
        <v>0</v>
      </c>
      <c r="Y187" s="1470"/>
      <c r="Z187" s="1470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  <c r="AK187" s="99"/>
      <c r="AL187" s="103">
        <f t="shared" si="72"/>
        <v>0</v>
      </c>
      <c r="AM187" s="136"/>
      <c r="AN187" s="136"/>
      <c r="AO187" s="136"/>
      <c r="AP187" s="105">
        <f t="shared" si="73"/>
        <v>0</v>
      </c>
      <c r="AQ187" s="136"/>
      <c r="AR187" s="136"/>
      <c r="AS187" s="136"/>
      <c r="AT187" s="136"/>
      <c r="AU187" s="224">
        <f t="shared" si="74"/>
        <v>0</v>
      </c>
      <c r="AV187" s="126"/>
      <c r="AW187" s="274"/>
      <c r="AX187" s="126"/>
      <c r="AY187" s="126"/>
      <c r="AZ187" s="126"/>
      <c r="BA187" s="126"/>
      <c r="BB187" s="141"/>
      <c r="BC187" s="152"/>
      <c r="BD187" s="152"/>
      <c r="BE187" s="152"/>
      <c r="BF187" s="152"/>
      <c r="BG187" s="140">
        <f t="shared" si="75"/>
        <v>0</v>
      </c>
      <c r="BH187" s="140">
        <f t="shared" si="76"/>
        <v>0</v>
      </c>
      <c r="BI187" s="132"/>
      <c r="BJ187" s="140">
        <f t="shared" si="77"/>
        <v>0</v>
      </c>
      <c r="BK187" s="141"/>
      <c r="BL187" s="141"/>
      <c r="BM187" s="141"/>
      <c r="BN187" s="141"/>
      <c r="BO187" s="141"/>
      <c r="BP187" s="141"/>
      <c r="BQ187" s="141"/>
      <c r="BR187" s="141"/>
      <c r="BS187" s="141"/>
      <c r="BT187" s="141"/>
      <c r="BU187" s="141"/>
      <c r="BV187" s="141"/>
      <c r="BW187" s="141"/>
      <c r="BX187" s="130">
        <f t="shared" si="78"/>
        <v>0</v>
      </c>
      <c r="BY187" s="132"/>
    </row>
    <row r="188" ht="15.75" customHeight="1">
      <c r="B188" s="215">
        <v>46189</v>
      </c>
      <c r="C188" s="379"/>
      <c r="D188" s="136"/>
      <c r="E188" s="135"/>
      <c r="F188" s="135"/>
      <c r="G188" s="147">
        <f t="shared" si="70"/>
        <v>0</v>
      </c>
      <c r="H188" s="1469"/>
      <c r="I188" s="1470"/>
      <c r="J188" s="1470"/>
      <c r="K188" s="1470"/>
      <c r="L188" s="1470"/>
      <c r="M188" s="1470"/>
      <c r="N188" s="1470"/>
      <c r="O188" s="1470"/>
      <c r="P188" s="1470"/>
      <c r="Q188" s="1470"/>
      <c r="R188" s="1470"/>
      <c r="S188" s="1470"/>
      <c r="T188" s="1470"/>
      <c r="U188" s="1470"/>
      <c r="V188" s="1470"/>
      <c r="W188" s="1470"/>
      <c r="X188" s="103">
        <f t="shared" si="71"/>
        <v>0</v>
      </c>
      <c r="Y188" s="1470"/>
      <c r="Z188" s="1470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  <c r="AK188" s="99"/>
      <c r="AL188" s="103">
        <f t="shared" si="72"/>
        <v>0</v>
      </c>
      <c r="AM188" s="136"/>
      <c r="AN188" s="136"/>
      <c r="AO188" s="136"/>
      <c r="AP188" s="105">
        <f t="shared" si="73"/>
        <v>0</v>
      </c>
      <c r="AQ188" s="136"/>
      <c r="AR188" s="136"/>
      <c r="AS188" s="136"/>
      <c r="AT188" s="136"/>
      <c r="AU188" s="224">
        <f t="shared" si="74"/>
        <v>0</v>
      </c>
      <c r="AV188" s="126"/>
      <c r="AW188" s="274"/>
      <c r="AX188" s="126"/>
      <c r="AY188" s="126"/>
      <c r="AZ188" s="126"/>
      <c r="BA188" s="126"/>
      <c r="BB188" s="141"/>
      <c r="BC188" s="152"/>
      <c r="BD188" s="152"/>
      <c r="BE188" s="152"/>
      <c r="BF188" s="152"/>
      <c r="BG188" s="140">
        <f t="shared" si="75"/>
        <v>0</v>
      </c>
      <c r="BH188" s="140">
        <f t="shared" si="76"/>
        <v>0</v>
      </c>
      <c r="BI188" s="132"/>
      <c r="BJ188" s="140">
        <f t="shared" si="77"/>
        <v>0</v>
      </c>
      <c r="BK188" s="141"/>
      <c r="BL188" s="141"/>
      <c r="BM188" s="141"/>
      <c r="BN188" s="141"/>
      <c r="BO188" s="141"/>
      <c r="BP188" s="141"/>
      <c r="BQ188" s="141"/>
      <c r="BR188" s="141"/>
      <c r="BS188" s="141"/>
      <c r="BT188" s="141"/>
      <c r="BU188" s="141"/>
      <c r="BV188" s="141"/>
      <c r="BW188" s="141"/>
      <c r="BX188" s="130">
        <f t="shared" si="78"/>
        <v>0</v>
      </c>
      <c r="BY188" s="132"/>
    </row>
    <row r="189" ht="15.75" customHeight="1">
      <c r="B189" s="215">
        <v>46190</v>
      </c>
      <c r="C189" s="379"/>
      <c r="D189" s="136"/>
      <c r="E189" s="135"/>
      <c r="F189" s="135"/>
      <c r="G189" s="147">
        <f t="shared" si="70"/>
        <v>0</v>
      </c>
      <c r="H189" s="1469"/>
      <c r="I189" s="142"/>
      <c r="J189" s="1470"/>
      <c r="K189" s="1470"/>
      <c r="L189" s="1470"/>
      <c r="M189" s="1470"/>
      <c r="N189" s="1470"/>
      <c r="O189" s="1470"/>
      <c r="P189" s="1470"/>
      <c r="Q189" s="1470"/>
      <c r="R189" s="1470"/>
      <c r="S189" s="1470"/>
      <c r="T189" s="1470"/>
      <c r="U189" s="1470"/>
      <c r="V189" s="1470"/>
      <c r="W189" s="1470"/>
      <c r="X189" s="103">
        <f t="shared" si="71"/>
        <v>0</v>
      </c>
      <c r="Y189" s="1470"/>
      <c r="Z189" s="1470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  <c r="AK189" s="99"/>
      <c r="AL189" s="103">
        <f t="shared" si="72"/>
        <v>0</v>
      </c>
      <c r="AM189" s="136"/>
      <c r="AN189" s="136"/>
      <c r="AO189" s="136"/>
      <c r="AP189" s="105">
        <f t="shared" si="73"/>
        <v>0</v>
      </c>
      <c r="AQ189" s="136"/>
      <c r="AR189" s="136"/>
      <c r="AS189" s="136"/>
      <c r="AT189" s="136"/>
      <c r="AU189" s="224">
        <f t="shared" si="74"/>
        <v>0</v>
      </c>
      <c r="AV189" s="126"/>
      <c r="AW189" s="274"/>
      <c r="AX189" s="126"/>
      <c r="AY189" s="126"/>
      <c r="AZ189" s="126"/>
      <c r="BA189" s="126"/>
      <c r="BB189" s="141"/>
      <c r="BC189" s="152"/>
      <c r="BD189" s="152"/>
      <c r="BE189" s="152"/>
      <c r="BF189" s="152"/>
      <c r="BG189" s="140">
        <f t="shared" si="75"/>
        <v>0</v>
      </c>
      <c r="BH189" s="140">
        <f t="shared" si="76"/>
        <v>0</v>
      </c>
      <c r="BI189" s="132"/>
      <c r="BJ189" s="140">
        <f t="shared" si="77"/>
        <v>0</v>
      </c>
      <c r="BK189" s="141"/>
      <c r="BL189" s="141"/>
      <c r="BM189" s="141"/>
      <c r="BN189" s="141"/>
      <c r="BO189" s="141"/>
      <c r="BP189" s="141"/>
      <c r="BQ189" s="141"/>
      <c r="BR189" s="141"/>
      <c r="BS189" s="141"/>
      <c r="BT189" s="141"/>
      <c r="BU189" s="141"/>
      <c r="BV189" s="141"/>
      <c r="BW189" s="141"/>
      <c r="BX189" s="130">
        <f t="shared" si="78"/>
        <v>0</v>
      </c>
      <c r="BY189" s="132"/>
    </row>
    <row r="190" ht="15.75" customHeight="1">
      <c r="B190" s="215">
        <v>46191</v>
      </c>
      <c r="C190" s="379"/>
      <c r="D190" s="136"/>
      <c r="E190" s="135"/>
      <c r="F190" s="135"/>
      <c r="G190" s="147">
        <f t="shared" si="70"/>
        <v>0</v>
      </c>
      <c r="H190" s="1469"/>
      <c r="I190" s="142"/>
      <c r="J190" s="1470"/>
      <c r="K190" s="1470"/>
      <c r="L190" s="1470"/>
      <c r="M190" s="1470"/>
      <c r="N190" s="1470"/>
      <c r="O190" s="1470"/>
      <c r="P190" s="1470"/>
      <c r="Q190" s="1470"/>
      <c r="R190" s="1470"/>
      <c r="S190" s="1470"/>
      <c r="T190" s="1470"/>
      <c r="U190" s="1470"/>
      <c r="V190" s="1470"/>
      <c r="W190" s="1470"/>
      <c r="X190" s="103">
        <f t="shared" si="71"/>
        <v>0</v>
      </c>
      <c r="Y190" s="1470"/>
      <c r="Z190" s="1470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  <c r="AK190" s="99"/>
      <c r="AL190" s="103">
        <f t="shared" si="72"/>
        <v>0</v>
      </c>
      <c r="AM190" s="136"/>
      <c r="AN190" s="136"/>
      <c r="AO190" s="136"/>
      <c r="AP190" s="105">
        <f t="shared" si="73"/>
        <v>0</v>
      </c>
      <c r="AQ190" s="136"/>
      <c r="AR190" s="136"/>
      <c r="AS190" s="136"/>
      <c r="AT190" s="136"/>
      <c r="AU190" s="224">
        <f t="shared" si="74"/>
        <v>0</v>
      </c>
      <c r="AV190" s="126"/>
      <c r="AW190" s="274"/>
      <c r="AX190" s="126"/>
      <c r="AY190" s="126"/>
      <c r="AZ190" s="126"/>
      <c r="BA190" s="126"/>
      <c r="BB190" s="141"/>
      <c r="BC190" s="152"/>
      <c r="BD190" s="152"/>
      <c r="BE190" s="152"/>
      <c r="BF190" s="152"/>
      <c r="BG190" s="140">
        <f t="shared" si="75"/>
        <v>0</v>
      </c>
      <c r="BH190" s="140">
        <f t="shared" si="76"/>
        <v>0</v>
      </c>
      <c r="BI190" s="132"/>
      <c r="BJ190" s="140">
        <f t="shared" si="77"/>
        <v>0</v>
      </c>
      <c r="BK190" s="141"/>
      <c r="BL190" s="141"/>
      <c r="BM190" s="141"/>
      <c r="BN190" s="141"/>
      <c r="BO190" s="141"/>
      <c r="BP190" s="141"/>
      <c r="BQ190" s="141"/>
      <c r="BR190" s="141"/>
      <c r="BS190" s="141"/>
      <c r="BT190" s="141"/>
      <c r="BU190" s="141"/>
      <c r="BV190" s="141"/>
      <c r="BW190" s="141"/>
      <c r="BX190" s="130">
        <f t="shared" si="78"/>
        <v>0</v>
      </c>
      <c r="BY190" s="132"/>
    </row>
    <row r="191" ht="15.75" customHeight="1">
      <c r="B191" s="215">
        <v>46192</v>
      </c>
      <c r="C191" s="379"/>
      <c r="D191" s="136"/>
      <c r="E191" s="135"/>
      <c r="F191" s="135"/>
      <c r="G191" s="147">
        <f t="shared" si="70"/>
        <v>0</v>
      </c>
      <c r="H191" s="1469"/>
      <c r="I191" s="1470"/>
      <c r="J191" s="1470"/>
      <c r="K191" s="1470"/>
      <c r="L191" s="1470"/>
      <c r="M191" s="1470"/>
      <c r="N191" s="1470"/>
      <c r="O191" s="1470"/>
      <c r="P191" s="1470"/>
      <c r="Q191" s="1470"/>
      <c r="R191" s="1470"/>
      <c r="S191" s="1470"/>
      <c r="T191" s="1470"/>
      <c r="U191" s="1470"/>
      <c r="V191" s="1470"/>
      <c r="W191" s="1470"/>
      <c r="X191" s="103">
        <f t="shared" si="71"/>
        <v>0</v>
      </c>
      <c r="Y191" s="1470"/>
      <c r="Z191" s="1470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  <c r="AK191" s="99"/>
      <c r="AL191" s="103">
        <f t="shared" si="72"/>
        <v>0</v>
      </c>
      <c r="AM191" s="136"/>
      <c r="AN191" s="136"/>
      <c r="AO191" s="136"/>
      <c r="AP191" s="105">
        <f t="shared" si="73"/>
        <v>0</v>
      </c>
      <c r="AQ191" s="136"/>
      <c r="AR191" s="136"/>
      <c r="AS191" s="136"/>
      <c r="AT191" s="136"/>
      <c r="AU191" s="224">
        <f t="shared" si="74"/>
        <v>0</v>
      </c>
      <c r="AV191" s="126"/>
      <c r="AW191" s="274"/>
      <c r="AX191" s="126"/>
      <c r="AY191" s="126"/>
      <c r="AZ191" s="126"/>
      <c r="BA191" s="126"/>
      <c r="BB191" s="141"/>
      <c r="BC191" s="152"/>
      <c r="BD191" s="152"/>
      <c r="BE191" s="152"/>
      <c r="BF191" s="152"/>
      <c r="BG191" s="140">
        <f t="shared" si="75"/>
        <v>0</v>
      </c>
      <c r="BH191" s="140">
        <f t="shared" si="76"/>
        <v>0</v>
      </c>
      <c r="BI191" s="132"/>
      <c r="BJ191" s="140">
        <f t="shared" si="77"/>
        <v>0</v>
      </c>
      <c r="BK191" s="141"/>
      <c r="BL191" s="141"/>
      <c r="BM191" s="141"/>
      <c r="BN191" s="141"/>
      <c r="BO191" s="141"/>
      <c r="BP191" s="141"/>
      <c r="BQ191" s="141"/>
      <c r="BR191" s="141"/>
      <c r="BS191" s="141"/>
      <c r="BT191" s="141"/>
      <c r="BU191" s="141"/>
      <c r="BV191" s="141"/>
      <c r="BW191" s="141"/>
      <c r="BX191" s="130">
        <f t="shared" si="78"/>
        <v>0</v>
      </c>
      <c r="BY191" s="132"/>
    </row>
    <row r="192" ht="15.75" customHeight="1">
      <c r="B192" s="215">
        <v>46193</v>
      </c>
      <c r="C192" s="379"/>
      <c r="D192" s="136"/>
      <c r="E192" s="135"/>
      <c r="F192" s="135"/>
      <c r="G192" s="147">
        <f t="shared" si="70"/>
        <v>0</v>
      </c>
      <c r="H192" s="1469"/>
      <c r="I192" s="1470"/>
      <c r="J192" s="1470"/>
      <c r="K192" s="1470"/>
      <c r="L192" s="1470"/>
      <c r="M192" s="1470"/>
      <c r="N192" s="1470"/>
      <c r="O192" s="1470"/>
      <c r="P192" s="1470"/>
      <c r="Q192" s="1470"/>
      <c r="R192" s="1470"/>
      <c r="S192" s="1470"/>
      <c r="T192" s="1470"/>
      <c r="U192" s="1470"/>
      <c r="V192" s="1470"/>
      <c r="W192" s="1470"/>
      <c r="X192" s="103">
        <f t="shared" si="71"/>
        <v>0</v>
      </c>
      <c r="Y192" s="1470"/>
      <c r="Z192" s="1470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  <c r="AK192" s="99"/>
      <c r="AL192" s="103">
        <f t="shared" si="72"/>
        <v>0</v>
      </c>
      <c r="AM192" s="136"/>
      <c r="AN192" s="136"/>
      <c r="AO192" s="136"/>
      <c r="AP192" s="105">
        <f t="shared" si="73"/>
        <v>0</v>
      </c>
      <c r="AQ192" s="136"/>
      <c r="AR192" s="136"/>
      <c r="AS192" s="136"/>
      <c r="AT192" s="136"/>
      <c r="AU192" s="224">
        <f t="shared" si="74"/>
        <v>0</v>
      </c>
      <c r="AV192" s="126"/>
      <c r="AW192" s="274"/>
      <c r="AX192" s="126"/>
      <c r="AY192" s="126"/>
      <c r="AZ192" s="126"/>
      <c r="BA192" s="126"/>
      <c r="BB192" s="141"/>
      <c r="BC192" s="152"/>
      <c r="BD192" s="152"/>
      <c r="BE192" s="152"/>
      <c r="BF192" s="152"/>
      <c r="BG192" s="140">
        <f t="shared" si="75"/>
        <v>0</v>
      </c>
      <c r="BH192" s="140">
        <f t="shared" si="76"/>
        <v>0</v>
      </c>
      <c r="BI192" s="132"/>
      <c r="BJ192" s="140">
        <f t="shared" si="77"/>
        <v>0</v>
      </c>
      <c r="BK192" s="141"/>
      <c r="BL192" s="141"/>
      <c r="BM192" s="141"/>
      <c r="BN192" s="141"/>
      <c r="BO192" s="141"/>
      <c r="BP192" s="141"/>
      <c r="BQ192" s="141"/>
      <c r="BR192" s="141"/>
      <c r="BS192" s="141"/>
      <c r="BT192" s="141"/>
      <c r="BU192" s="141"/>
      <c r="BV192" s="141"/>
      <c r="BW192" s="141"/>
      <c r="BX192" s="130">
        <f t="shared" si="78"/>
        <v>0</v>
      </c>
      <c r="BY192" s="132"/>
    </row>
    <row r="193" ht="15.75" customHeight="1">
      <c r="B193" s="215">
        <v>46194</v>
      </c>
      <c r="C193" s="379"/>
      <c r="D193" s="136"/>
      <c r="E193" s="135"/>
      <c r="F193" s="135"/>
      <c r="G193" s="147">
        <f t="shared" si="70"/>
        <v>0</v>
      </c>
      <c r="H193" s="1469"/>
      <c r="I193" s="1470"/>
      <c r="J193" s="1470"/>
      <c r="K193" s="1470"/>
      <c r="L193" s="1470"/>
      <c r="M193" s="1470"/>
      <c r="N193" s="1470"/>
      <c r="O193" s="1470"/>
      <c r="P193" s="1470"/>
      <c r="Q193" s="1470"/>
      <c r="R193" s="1470"/>
      <c r="S193" s="1470"/>
      <c r="T193" s="1470"/>
      <c r="U193" s="1470"/>
      <c r="V193" s="1470"/>
      <c r="W193" s="1470"/>
      <c r="X193" s="103">
        <f t="shared" si="71"/>
        <v>0</v>
      </c>
      <c r="Y193" s="1470"/>
      <c r="Z193" s="1470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  <c r="AK193" s="99"/>
      <c r="AL193" s="103">
        <f t="shared" si="72"/>
        <v>0</v>
      </c>
      <c r="AM193" s="136"/>
      <c r="AN193" s="136"/>
      <c r="AO193" s="136"/>
      <c r="AP193" s="105">
        <f t="shared" si="73"/>
        <v>0</v>
      </c>
      <c r="AQ193" s="136"/>
      <c r="AR193" s="136"/>
      <c r="AS193" s="136"/>
      <c r="AT193" s="136"/>
      <c r="AU193" s="224">
        <f t="shared" si="74"/>
        <v>0</v>
      </c>
      <c r="AV193" s="126"/>
      <c r="AW193" s="274"/>
      <c r="AX193" s="126"/>
      <c r="AY193" s="126"/>
      <c r="AZ193" s="126"/>
      <c r="BA193" s="126"/>
      <c r="BB193" s="141"/>
      <c r="BC193" s="152"/>
      <c r="BD193" s="152"/>
      <c r="BE193" s="152"/>
      <c r="BF193" s="152"/>
      <c r="BG193" s="140">
        <f t="shared" si="75"/>
        <v>0</v>
      </c>
      <c r="BH193" s="140">
        <f t="shared" si="76"/>
        <v>0</v>
      </c>
      <c r="BI193" s="132"/>
      <c r="BJ193" s="140">
        <f t="shared" si="77"/>
        <v>0</v>
      </c>
      <c r="BK193" s="141"/>
      <c r="BL193" s="141"/>
      <c r="BM193" s="141"/>
      <c r="BN193" s="141"/>
      <c r="BO193" s="141"/>
      <c r="BP193" s="141"/>
      <c r="BQ193" s="141"/>
      <c r="BR193" s="141"/>
      <c r="BS193" s="141"/>
      <c r="BT193" s="141"/>
      <c r="BU193" s="141"/>
      <c r="BV193" s="141"/>
      <c r="BW193" s="141"/>
      <c r="BX193" s="130">
        <f t="shared" si="78"/>
        <v>0</v>
      </c>
      <c r="BY193" s="132"/>
    </row>
    <row r="194" ht="15.75" customHeight="1">
      <c r="B194" s="215">
        <v>46195</v>
      </c>
      <c r="C194" s="379"/>
      <c r="D194" s="136"/>
      <c r="E194" s="135"/>
      <c r="F194" s="135"/>
      <c r="G194" s="147">
        <f t="shared" si="70"/>
        <v>0</v>
      </c>
      <c r="H194" s="1469"/>
      <c r="I194" s="1470"/>
      <c r="J194" s="1470"/>
      <c r="K194" s="1470"/>
      <c r="L194" s="1470"/>
      <c r="M194" s="1470"/>
      <c r="N194" s="1470"/>
      <c r="O194" s="1470"/>
      <c r="P194" s="1470"/>
      <c r="Q194" s="1470"/>
      <c r="R194" s="1470"/>
      <c r="S194" s="1470"/>
      <c r="T194" s="1470"/>
      <c r="U194" s="1470"/>
      <c r="V194" s="1470"/>
      <c r="W194" s="1470"/>
      <c r="X194" s="103">
        <f t="shared" si="71"/>
        <v>0</v>
      </c>
      <c r="Y194" s="1470"/>
      <c r="Z194" s="1470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  <c r="AK194" s="99"/>
      <c r="AL194" s="103">
        <f t="shared" si="72"/>
        <v>0</v>
      </c>
      <c r="AM194" s="136"/>
      <c r="AN194" s="136"/>
      <c r="AO194" s="136"/>
      <c r="AP194" s="105">
        <f t="shared" si="73"/>
        <v>0</v>
      </c>
      <c r="AQ194" s="136"/>
      <c r="AR194" s="136"/>
      <c r="AS194" s="136"/>
      <c r="AT194" s="136"/>
      <c r="AU194" s="224">
        <f t="shared" si="74"/>
        <v>0</v>
      </c>
      <c r="AV194" s="126"/>
      <c r="AW194" s="274"/>
      <c r="AX194" s="126"/>
      <c r="AY194" s="126"/>
      <c r="AZ194" s="126"/>
      <c r="BA194" s="126"/>
      <c r="BB194" s="141"/>
      <c r="BC194" s="152"/>
      <c r="BD194" s="152"/>
      <c r="BE194" s="152"/>
      <c r="BF194" s="152"/>
      <c r="BG194" s="140">
        <f t="shared" si="75"/>
        <v>0</v>
      </c>
      <c r="BH194" s="140">
        <f t="shared" si="76"/>
        <v>0</v>
      </c>
      <c r="BI194" s="132"/>
      <c r="BJ194" s="140">
        <f t="shared" si="77"/>
        <v>0</v>
      </c>
      <c r="BK194" s="141"/>
      <c r="BL194" s="141"/>
      <c r="BM194" s="141"/>
      <c r="BN194" s="141"/>
      <c r="BO194" s="141"/>
      <c r="BP194" s="141"/>
      <c r="BQ194" s="141"/>
      <c r="BR194" s="141"/>
      <c r="BS194" s="141"/>
      <c r="BT194" s="141"/>
      <c r="BU194" s="141"/>
      <c r="BV194" s="141"/>
      <c r="BW194" s="141"/>
      <c r="BX194" s="130">
        <f t="shared" si="78"/>
        <v>0</v>
      </c>
      <c r="BY194" s="132"/>
    </row>
    <row r="195" ht="15.75" customHeight="1">
      <c r="B195" s="215">
        <v>46196</v>
      </c>
      <c r="C195" s="379"/>
      <c r="D195" s="136"/>
      <c r="E195" s="135"/>
      <c r="F195" s="135"/>
      <c r="G195" s="147">
        <f t="shared" si="70"/>
        <v>0</v>
      </c>
      <c r="H195" s="1469"/>
      <c r="I195" s="1470"/>
      <c r="J195" s="1470"/>
      <c r="K195" s="1470"/>
      <c r="L195" s="1470"/>
      <c r="M195" s="1470"/>
      <c r="N195" s="1470"/>
      <c r="O195" s="1470"/>
      <c r="P195" s="1470"/>
      <c r="Q195" s="1470"/>
      <c r="R195" s="1470"/>
      <c r="S195" s="1470"/>
      <c r="T195" s="1470"/>
      <c r="U195" s="1470"/>
      <c r="V195" s="1470"/>
      <c r="W195" s="1470"/>
      <c r="X195" s="103">
        <f t="shared" si="71"/>
        <v>0</v>
      </c>
      <c r="Y195" s="1470"/>
      <c r="Z195" s="1470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  <c r="AK195" s="99"/>
      <c r="AL195" s="103">
        <f t="shared" si="72"/>
        <v>0</v>
      </c>
      <c r="AM195" s="136"/>
      <c r="AN195" s="136"/>
      <c r="AO195" s="136"/>
      <c r="AP195" s="105">
        <f t="shared" si="73"/>
        <v>0</v>
      </c>
      <c r="AQ195" s="136"/>
      <c r="AR195" s="136"/>
      <c r="AS195" s="136"/>
      <c r="AT195" s="136"/>
      <c r="AU195" s="224">
        <f t="shared" si="74"/>
        <v>0</v>
      </c>
      <c r="AV195" s="126"/>
      <c r="AW195" s="274"/>
      <c r="AX195" s="126"/>
      <c r="AY195" s="126"/>
      <c r="AZ195" s="126"/>
      <c r="BA195" s="126"/>
      <c r="BB195" s="141"/>
      <c r="BC195" s="152"/>
      <c r="BD195" s="152"/>
      <c r="BE195" s="152"/>
      <c r="BF195" s="152"/>
      <c r="BG195" s="140">
        <f t="shared" si="75"/>
        <v>0</v>
      </c>
      <c r="BH195" s="140">
        <f t="shared" si="76"/>
        <v>0</v>
      </c>
      <c r="BI195" s="132"/>
      <c r="BJ195" s="140">
        <f t="shared" si="77"/>
        <v>0</v>
      </c>
      <c r="BK195" s="141"/>
      <c r="BL195" s="141"/>
      <c r="BM195" s="141"/>
      <c r="BN195" s="141"/>
      <c r="BO195" s="141"/>
      <c r="BP195" s="141"/>
      <c r="BQ195" s="141"/>
      <c r="BR195" s="141"/>
      <c r="BS195" s="141"/>
      <c r="BT195" s="141"/>
      <c r="BU195" s="141"/>
      <c r="BV195" s="141"/>
      <c r="BW195" s="141"/>
      <c r="BX195" s="130">
        <f t="shared" si="78"/>
        <v>0</v>
      </c>
      <c r="BY195" s="132"/>
    </row>
    <row r="196" ht="15.75" customHeight="1">
      <c r="B196" s="215">
        <v>46197</v>
      </c>
      <c r="C196" s="379"/>
      <c r="D196" s="136"/>
      <c r="E196" s="135"/>
      <c r="F196" s="135"/>
      <c r="G196" s="147">
        <f t="shared" si="70"/>
        <v>0</v>
      </c>
      <c r="H196" s="1469"/>
      <c r="I196" s="1470"/>
      <c r="J196" s="1470"/>
      <c r="K196" s="1470"/>
      <c r="L196" s="1470"/>
      <c r="M196" s="1470"/>
      <c r="N196" s="1470"/>
      <c r="O196" s="1470"/>
      <c r="P196" s="1470"/>
      <c r="Q196" s="1470"/>
      <c r="R196" s="1470"/>
      <c r="S196" s="1470"/>
      <c r="T196" s="1470"/>
      <c r="U196" s="1470"/>
      <c r="V196" s="1470"/>
      <c r="W196" s="1470"/>
      <c r="X196" s="103">
        <f t="shared" si="71"/>
        <v>0</v>
      </c>
      <c r="Y196" s="1470"/>
      <c r="Z196" s="1470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  <c r="AK196" s="99"/>
      <c r="AL196" s="103">
        <f t="shared" si="72"/>
        <v>0</v>
      </c>
      <c r="AM196" s="136"/>
      <c r="AN196" s="136"/>
      <c r="AO196" s="136"/>
      <c r="AP196" s="105">
        <f t="shared" si="73"/>
        <v>0</v>
      </c>
      <c r="AQ196" s="136"/>
      <c r="AR196" s="136"/>
      <c r="AS196" s="136"/>
      <c r="AT196" s="136"/>
      <c r="AU196" s="224">
        <f t="shared" si="74"/>
        <v>0</v>
      </c>
      <c r="AV196" s="126"/>
      <c r="AW196" s="274"/>
      <c r="AX196" s="126"/>
      <c r="AY196" s="126"/>
      <c r="AZ196" s="126"/>
      <c r="BA196" s="126"/>
      <c r="BB196" s="141"/>
      <c r="BC196" s="152"/>
      <c r="BD196" s="152"/>
      <c r="BE196" s="152"/>
      <c r="BF196" s="152"/>
      <c r="BG196" s="140">
        <f t="shared" si="75"/>
        <v>0</v>
      </c>
      <c r="BH196" s="140">
        <f t="shared" si="76"/>
        <v>0</v>
      </c>
      <c r="BI196" s="132"/>
      <c r="BJ196" s="140">
        <f t="shared" si="77"/>
        <v>0</v>
      </c>
      <c r="BK196" s="141"/>
      <c r="BL196" s="141"/>
      <c r="BM196" s="141"/>
      <c r="BN196" s="141"/>
      <c r="BO196" s="141"/>
      <c r="BP196" s="141"/>
      <c r="BQ196" s="141"/>
      <c r="BR196" s="141"/>
      <c r="BS196" s="141"/>
      <c r="BT196" s="141"/>
      <c r="BU196" s="141"/>
      <c r="BV196" s="141"/>
      <c r="BW196" s="141"/>
      <c r="BX196" s="130">
        <f t="shared" si="78"/>
        <v>0</v>
      </c>
      <c r="BY196" s="132"/>
    </row>
    <row r="197" ht="15.75" customHeight="1">
      <c r="B197" s="215">
        <v>46198</v>
      </c>
      <c r="C197" s="379"/>
      <c r="D197" s="136"/>
      <c r="E197" s="135"/>
      <c r="F197" s="135"/>
      <c r="G197" s="147">
        <f t="shared" si="70"/>
        <v>0</v>
      </c>
      <c r="H197" s="1469"/>
      <c r="I197" s="1470"/>
      <c r="J197" s="1470"/>
      <c r="K197" s="1470"/>
      <c r="L197" s="1470"/>
      <c r="M197" s="1470"/>
      <c r="N197" s="1470"/>
      <c r="O197" s="1470"/>
      <c r="P197" s="1470"/>
      <c r="Q197" s="1470"/>
      <c r="R197" s="1470"/>
      <c r="S197" s="1470"/>
      <c r="T197" s="1470"/>
      <c r="U197" s="1470"/>
      <c r="V197" s="1470"/>
      <c r="W197" s="1470"/>
      <c r="X197" s="103">
        <f t="shared" si="71"/>
        <v>0</v>
      </c>
      <c r="Y197" s="1470"/>
      <c r="Z197" s="1470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  <c r="AK197" s="99"/>
      <c r="AL197" s="103">
        <f t="shared" si="72"/>
        <v>0</v>
      </c>
      <c r="AM197" s="136"/>
      <c r="AN197" s="136"/>
      <c r="AO197" s="136"/>
      <c r="AP197" s="105">
        <f t="shared" si="73"/>
        <v>0</v>
      </c>
      <c r="AQ197" s="136"/>
      <c r="AR197" s="136"/>
      <c r="AS197" s="136"/>
      <c r="AT197" s="136"/>
      <c r="AU197" s="224">
        <f t="shared" si="74"/>
        <v>0</v>
      </c>
      <c r="AV197" s="126"/>
      <c r="AW197" s="274"/>
      <c r="AX197" s="126"/>
      <c r="AY197" s="126"/>
      <c r="AZ197" s="126"/>
      <c r="BA197" s="126"/>
      <c r="BB197" s="141"/>
      <c r="BC197" s="152"/>
      <c r="BD197" s="152"/>
      <c r="BE197" s="152"/>
      <c r="BF197" s="152"/>
      <c r="BG197" s="140">
        <f t="shared" si="75"/>
        <v>0</v>
      </c>
      <c r="BH197" s="140">
        <f t="shared" si="76"/>
        <v>0</v>
      </c>
      <c r="BI197" s="132"/>
      <c r="BJ197" s="140">
        <f t="shared" si="77"/>
        <v>0</v>
      </c>
      <c r="BK197" s="141"/>
      <c r="BL197" s="141"/>
      <c r="BM197" s="141"/>
      <c r="BN197" s="141"/>
      <c r="BO197" s="141"/>
      <c r="BP197" s="141"/>
      <c r="BQ197" s="141"/>
      <c r="BR197" s="141"/>
      <c r="BS197" s="141"/>
      <c r="BT197" s="141"/>
      <c r="BU197" s="141"/>
      <c r="BV197" s="141"/>
      <c r="BW197" s="141"/>
      <c r="BX197" s="130">
        <f t="shared" si="78"/>
        <v>0</v>
      </c>
      <c r="BY197" s="132"/>
    </row>
    <row r="198" ht="15.75" customHeight="1">
      <c r="B198" s="215">
        <v>46199</v>
      </c>
      <c r="C198" s="379"/>
      <c r="D198" s="136"/>
      <c r="E198" s="135"/>
      <c r="F198" s="135"/>
      <c r="G198" s="147">
        <f t="shared" si="70"/>
        <v>0</v>
      </c>
      <c r="H198" s="1469"/>
      <c r="I198" s="1470"/>
      <c r="J198" s="1470"/>
      <c r="K198" s="1470"/>
      <c r="L198" s="1470"/>
      <c r="M198" s="1470"/>
      <c r="N198" s="1470"/>
      <c r="O198" s="1470"/>
      <c r="P198" s="1470"/>
      <c r="Q198" s="1470"/>
      <c r="R198" s="1470"/>
      <c r="S198" s="1470"/>
      <c r="T198" s="1470"/>
      <c r="U198" s="1470"/>
      <c r="V198" s="1470"/>
      <c r="W198" s="1470"/>
      <c r="X198" s="103">
        <f t="shared" si="71"/>
        <v>0</v>
      </c>
      <c r="Y198" s="1470"/>
      <c r="Z198" s="1470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  <c r="AK198" s="99"/>
      <c r="AL198" s="103">
        <f t="shared" si="72"/>
        <v>0</v>
      </c>
      <c r="AM198" s="136"/>
      <c r="AN198" s="136"/>
      <c r="AO198" s="136"/>
      <c r="AP198" s="105">
        <f t="shared" si="73"/>
        <v>0</v>
      </c>
      <c r="AQ198" s="136"/>
      <c r="AR198" s="136"/>
      <c r="AS198" s="136"/>
      <c r="AT198" s="136"/>
      <c r="AU198" s="224">
        <f t="shared" si="74"/>
        <v>0</v>
      </c>
      <c r="AV198" s="126"/>
      <c r="AW198" s="274"/>
      <c r="AX198" s="126"/>
      <c r="AY198" s="126"/>
      <c r="AZ198" s="126"/>
      <c r="BA198" s="126"/>
      <c r="BB198" s="141"/>
      <c r="BC198" s="152"/>
      <c r="BD198" s="152"/>
      <c r="BE198" s="152"/>
      <c r="BF198" s="152"/>
      <c r="BG198" s="140">
        <f t="shared" si="75"/>
        <v>0</v>
      </c>
      <c r="BH198" s="140">
        <f t="shared" si="76"/>
        <v>0</v>
      </c>
      <c r="BI198" s="132"/>
      <c r="BJ198" s="140">
        <f t="shared" si="77"/>
        <v>0</v>
      </c>
      <c r="BK198" s="141"/>
      <c r="BL198" s="141"/>
      <c r="BM198" s="141"/>
      <c r="BN198" s="141"/>
      <c r="BO198" s="141"/>
      <c r="BP198" s="141"/>
      <c r="BQ198" s="141"/>
      <c r="BR198" s="141"/>
      <c r="BS198" s="141"/>
      <c r="BT198" s="141"/>
      <c r="BU198" s="141"/>
      <c r="BV198" s="141"/>
      <c r="BW198" s="141"/>
      <c r="BX198" s="130">
        <f t="shared" si="78"/>
        <v>0</v>
      </c>
      <c r="BY198" s="132"/>
    </row>
    <row r="199" ht="15.75" customHeight="1">
      <c r="B199" s="215">
        <v>46200</v>
      </c>
      <c r="C199" s="379"/>
      <c r="D199" s="136"/>
      <c r="E199" s="135"/>
      <c r="F199" s="135"/>
      <c r="G199" s="147">
        <f t="shared" si="70"/>
        <v>0</v>
      </c>
      <c r="H199" s="1469"/>
      <c r="I199" s="1470"/>
      <c r="J199" s="1470"/>
      <c r="K199" s="1470"/>
      <c r="L199" s="1470"/>
      <c r="M199" s="1470"/>
      <c r="N199" s="1470"/>
      <c r="O199" s="1470"/>
      <c r="P199" s="1470"/>
      <c r="Q199" s="1470"/>
      <c r="R199" s="1470"/>
      <c r="S199" s="1470"/>
      <c r="T199" s="1470"/>
      <c r="U199" s="1470"/>
      <c r="V199" s="1470"/>
      <c r="W199" s="1470"/>
      <c r="X199" s="103">
        <f t="shared" si="71"/>
        <v>0</v>
      </c>
      <c r="Y199" s="1470"/>
      <c r="Z199" s="1470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  <c r="AK199" s="99"/>
      <c r="AL199" s="103">
        <f t="shared" si="72"/>
        <v>0</v>
      </c>
      <c r="AM199" s="136"/>
      <c r="AN199" s="136"/>
      <c r="AO199" s="136"/>
      <c r="AP199" s="105">
        <f t="shared" si="73"/>
        <v>0</v>
      </c>
      <c r="AQ199" s="136"/>
      <c r="AR199" s="136"/>
      <c r="AS199" s="136"/>
      <c r="AT199" s="136"/>
      <c r="AU199" s="224">
        <f t="shared" si="74"/>
        <v>0</v>
      </c>
      <c r="AV199" s="126"/>
      <c r="AW199" s="274"/>
      <c r="AX199" s="126"/>
      <c r="AY199" s="126"/>
      <c r="AZ199" s="126"/>
      <c r="BA199" s="126"/>
      <c r="BB199" s="141"/>
      <c r="BC199" s="152"/>
      <c r="BD199" s="152"/>
      <c r="BE199" s="152"/>
      <c r="BF199" s="152"/>
      <c r="BG199" s="140">
        <f t="shared" si="75"/>
        <v>0</v>
      </c>
      <c r="BH199" s="140">
        <f t="shared" si="76"/>
        <v>0</v>
      </c>
      <c r="BI199" s="132"/>
      <c r="BJ199" s="140">
        <f t="shared" si="77"/>
        <v>0</v>
      </c>
      <c r="BK199" s="141"/>
      <c r="BL199" s="141"/>
      <c r="BM199" s="141"/>
      <c r="BN199" s="141"/>
      <c r="BO199" s="141"/>
      <c r="BP199" s="141"/>
      <c r="BQ199" s="141"/>
      <c r="BR199" s="141"/>
      <c r="BS199" s="141"/>
      <c r="BT199" s="141"/>
      <c r="BU199" s="141"/>
      <c r="BV199" s="141"/>
      <c r="BW199" s="141"/>
      <c r="BX199" s="130">
        <f t="shared" si="78"/>
        <v>0</v>
      </c>
      <c r="BY199" s="132"/>
    </row>
    <row r="200" ht="15.75" customHeight="1">
      <c r="B200" s="215">
        <v>46201</v>
      </c>
      <c r="C200" s="379"/>
      <c r="D200" s="136"/>
      <c r="E200" s="135"/>
      <c r="F200" s="135"/>
      <c r="G200" s="147">
        <f t="shared" si="70"/>
        <v>0</v>
      </c>
      <c r="H200" s="1469"/>
      <c r="I200" s="1470"/>
      <c r="J200" s="1470"/>
      <c r="K200" s="1470"/>
      <c r="L200" s="1470"/>
      <c r="M200" s="1470"/>
      <c r="N200" s="1470"/>
      <c r="O200" s="1470"/>
      <c r="P200" s="1470"/>
      <c r="Q200" s="1470"/>
      <c r="R200" s="1470"/>
      <c r="S200" s="1470"/>
      <c r="T200" s="1470"/>
      <c r="U200" s="1470"/>
      <c r="V200" s="1470"/>
      <c r="W200" s="1470"/>
      <c r="X200" s="103">
        <f t="shared" si="71"/>
        <v>0</v>
      </c>
      <c r="Y200" s="1470"/>
      <c r="Z200" s="1470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  <c r="AK200" s="99"/>
      <c r="AL200" s="103">
        <f t="shared" si="72"/>
        <v>0</v>
      </c>
      <c r="AM200" s="136"/>
      <c r="AN200" s="136"/>
      <c r="AO200" s="136"/>
      <c r="AP200" s="105">
        <f t="shared" si="73"/>
        <v>0</v>
      </c>
      <c r="AQ200" s="136"/>
      <c r="AR200" s="136"/>
      <c r="AS200" s="136"/>
      <c r="AT200" s="136"/>
      <c r="AU200" s="224">
        <f t="shared" si="74"/>
        <v>0</v>
      </c>
      <c r="AV200" s="126"/>
      <c r="AW200" s="274"/>
      <c r="AX200" s="126"/>
      <c r="AY200" s="126"/>
      <c r="AZ200" s="126"/>
      <c r="BA200" s="126"/>
      <c r="BB200" s="141"/>
      <c r="BC200" s="152"/>
      <c r="BD200" s="152"/>
      <c r="BE200" s="152"/>
      <c r="BF200" s="152"/>
      <c r="BG200" s="140">
        <f t="shared" si="75"/>
        <v>0</v>
      </c>
      <c r="BH200" s="140">
        <f t="shared" si="76"/>
        <v>0</v>
      </c>
      <c r="BI200" s="132"/>
      <c r="BJ200" s="140">
        <f t="shared" si="77"/>
        <v>0</v>
      </c>
      <c r="BK200" s="141"/>
      <c r="BL200" s="141"/>
      <c r="BM200" s="141"/>
      <c r="BN200" s="141"/>
      <c r="BO200" s="141"/>
      <c r="BP200" s="141"/>
      <c r="BQ200" s="141"/>
      <c r="BR200" s="141"/>
      <c r="BS200" s="141"/>
      <c r="BT200" s="141"/>
      <c r="BU200" s="141"/>
      <c r="BV200" s="141"/>
      <c r="BW200" s="141"/>
      <c r="BX200" s="130">
        <f t="shared" si="78"/>
        <v>0</v>
      </c>
      <c r="BY200" s="132"/>
    </row>
    <row r="201" ht="15.75" customHeight="1">
      <c r="B201" s="215">
        <v>46202</v>
      </c>
      <c r="C201" s="379"/>
      <c r="D201" s="136"/>
      <c r="E201" s="135"/>
      <c r="F201" s="135"/>
      <c r="G201" s="147">
        <f t="shared" si="70"/>
        <v>0</v>
      </c>
      <c r="H201" s="1469"/>
      <c r="I201" s="1470"/>
      <c r="J201" s="1470"/>
      <c r="K201" s="1470"/>
      <c r="L201" s="1470"/>
      <c r="M201" s="1470"/>
      <c r="N201" s="1470"/>
      <c r="O201" s="1470"/>
      <c r="P201" s="1470"/>
      <c r="Q201" s="1470"/>
      <c r="R201" s="1470"/>
      <c r="S201" s="1470"/>
      <c r="T201" s="1470"/>
      <c r="U201" s="1470"/>
      <c r="V201" s="1470"/>
      <c r="W201" s="1470"/>
      <c r="X201" s="103">
        <f t="shared" si="71"/>
        <v>0</v>
      </c>
      <c r="Y201" s="1470"/>
      <c r="Z201" s="1470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  <c r="AK201" s="99"/>
      <c r="AL201" s="103">
        <f t="shared" si="72"/>
        <v>0</v>
      </c>
      <c r="AM201" s="136"/>
      <c r="AN201" s="136"/>
      <c r="AO201" s="136"/>
      <c r="AP201" s="105">
        <f t="shared" si="73"/>
        <v>0</v>
      </c>
      <c r="AQ201" s="136"/>
      <c r="AR201" s="136"/>
      <c r="AS201" s="136"/>
      <c r="AT201" s="136"/>
      <c r="AU201" s="224">
        <f t="shared" si="74"/>
        <v>0</v>
      </c>
      <c r="AV201" s="126"/>
      <c r="AW201" s="274"/>
      <c r="AX201" s="126"/>
      <c r="AY201" s="126"/>
      <c r="AZ201" s="126"/>
      <c r="BA201" s="126"/>
      <c r="BB201" s="141"/>
      <c r="BC201" s="152"/>
      <c r="BD201" s="152"/>
      <c r="BE201" s="152"/>
      <c r="BF201" s="152"/>
      <c r="BG201" s="140">
        <f t="shared" si="75"/>
        <v>0</v>
      </c>
      <c r="BH201" s="140">
        <f t="shared" si="76"/>
        <v>0</v>
      </c>
      <c r="BI201" s="132"/>
      <c r="BJ201" s="140">
        <f t="shared" si="77"/>
        <v>0</v>
      </c>
      <c r="BK201" s="141"/>
      <c r="BL201" s="141"/>
      <c r="BM201" s="141"/>
      <c r="BN201" s="141"/>
      <c r="BO201" s="141"/>
      <c r="BP201" s="141"/>
      <c r="BQ201" s="141"/>
      <c r="BR201" s="141"/>
      <c r="BS201" s="141"/>
      <c r="BT201" s="141"/>
      <c r="BU201" s="141"/>
      <c r="BV201" s="141"/>
      <c r="BW201" s="141"/>
      <c r="BX201" s="130">
        <f t="shared" si="78"/>
        <v>0</v>
      </c>
      <c r="BY201" s="132"/>
    </row>
    <row r="202" ht="15.75" customHeight="1">
      <c r="B202" s="215">
        <v>46203</v>
      </c>
      <c r="C202" s="379"/>
      <c r="D202" s="136"/>
      <c r="E202" s="135"/>
      <c r="F202" s="135"/>
      <c r="G202" s="147">
        <f t="shared" si="70"/>
        <v>0</v>
      </c>
      <c r="H202" s="1469"/>
      <c r="I202" s="1470"/>
      <c r="J202" s="1470"/>
      <c r="K202" s="1470"/>
      <c r="L202" s="1470"/>
      <c r="M202" s="1470"/>
      <c r="N202" s="1470"/>
      <c r="O202" s="1470"/>
      <c r="P202" s="1470"/>
      <c r="Q202" s="1470"/>
      <c r="R202" s="1470"/>
      <c r="S202" s="1470"/>
      <c r="T202" s="1470"/>
      <c r="U202" s="1470"/>
      <c r="V202" s="1470"/>
      <c r="W202" s="1470"/>
      <c r="X202" s="103">
        <f t="shared" si="71"/>
        <v>0</v>
      </c>
      <c r="Y202" s="1470"/>
      <c r="Z202" s="1470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  <c r="AK202" s="99"/>
      <c r="AL202" s="103">
        <f t="shared" si="72"/>
        <v>0</v>
      </c>
      <c r="AM202" s="136"/>
      <c r="AN202" s="136"/>
      <c r="AO202" s="136"/>
      <c r="AP202" s="105">
        <f t="shared" si="73"/>
        <v>0</v>
      </c>
      <c r="AQ202" s="136"/>
      <c r="AR202" s="136"/>
      <c r="AS202" s="136"/>
      <c r="AT202" s="136"/>
      <c r="AU202" s="232">
        <f t="shared" si="74"/>
        <v>0</v>
      </c>
      <c r="AV202" s="138"/>
      <c r="AW202" s="274"/>
      <c r="AX202" s="126"/>
      <c r="AY202" s="126"/>
      <c r="AZ202" s="126"/>
      <c r="BA202" s="126"/>
      <c r="BB202" s="141"/>
      <c r="BC202" s="152"/>
      <c r="BD202" s="152"/>
      <c r="BE202" s="152"/>
      <c r="BF202" s="152"/>
      <c r="BG202" s="140">
        <f t="shared" si="75"/>
        <v>0</v>
      </c>
      <c r="BH202" s="140">
        <f t="shared" si="76"/>
        <v>0</v>
      </c>
      <c r="BI202" s="132"/>
      <c r="BJ202" s="140">
        <f t="shared" si="77"/>
        <v>0</v>
      </c>
      <c r="BK202" s="141"/>
      <c r="BL202" s="141"/>
      <c r="BM202" s="141"/>
      <c r="BN202" s="141"/>
      <c r="BO202" s="141"/>
      <c r="BP202" s="141"/>
      <c r="BQ202" s="141"/>
      <c r="BR202" s="141"/>
      <c r="BS202" s="141"/>
      <c r="BT202" s="141"/>
      <c r="BU202" s="141"/>
      <c r="BV202" s="141"/>
      <c r="BW202" s="141"/>
      <c r="BX202" s="130">
        <f t="shared" si="78"/>
        <v>0</v>
      </c>
      <c r="BY202" s="132"/>
    </row>
    <row r="203" ht="15.75" customHeight="1">
      <c r="B203" s="2" t="s">
        <v>262</v>
      </c>
      <c r="C203" s="166">
        <f ref="C203:G203" t="shared" si="79">SUM(C173:C202)</f>
        <v>0</v>
      </c>
      <c r="D203" s="166">
        <f t="shared" si="79"/>
        <v>0</v>
      </c>
      <c r="E203" s="166">
        <f t="shared" si="79"/>
        <v>0</v>
      </c>
      <c r="F203" s="166">
        <f t="shared" si="79"/>
        <v>0</v>
      </c>
      <c r="G203" s="166">
        <f t="shared" si="79"/>
        <v>0</v>
      </c>
      <c r="H203" s="166"/>
      <c r="I203" s="166"/>
      <c r="J203" s="166">
        <f ref="J203:K203" t="shared" si="80">SUM(J173:J202)</f>
        <v>0</v>
      </c>
      <c r="K203" s="166">
        <f t="shared" si="80"/>
        <v>0</v>
      </c>
      <c r="L203" s="166"/>
      <c r="M203" s="166">
        <f>SUM(M173:M202)</f>
        <v>0</v>
      </c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>
        <f>SUM(X173:X202)</f>
        <v>0</v>
      </c>
      <c r="Y203" s="617"/>
      <c r="Z203" s="617"/>
      <c r="AA203" s="166"/>
      <c r="AB203" s="166">
        <f ref="AB203:AM203" t="shared" si="81">SUM(AB173:AB202)</f>
        <v>0</v>
      </c>
      <c r="AC203" s="166">
        <f t="shared" si="81"/>
        <v>0</v>
      </c>
      <c r="AD203" s="166">
        <f t="shared" si="81"/>
        <v>0</v>
      </c>
      <c r="AE203" s="166">
        <f t="shared" si="81"/>
        <v>0</v>
      </c>
      <c r="AF203" s="166">
        <f t="shared" si="81"/>
        <v>0</v>
      </c>
      <c r="AG203" s="166">
        <f t="shared" si="81"/>
        <v>0</v>
      </c>
      <c r="AH203" s="166">
        <f t="shared" si="81"/>
        <v>0</v>
      </c>
      <c r="AI203" s="166">
        <f t="shared" si="81"/>
        <v>0</v>
      </c>
      <c r="AJ203" s="166">
        <f t="shared" si="81"/>
        <v>0</v>
      </c>
      <c r="AK203" s="166">
        <f t="shared" si="81"/>
        <v>0</v>
      </c>
      <c r="AL203" s="166">
        <f t="shared" si="81"/>
        <v>0</v>
      </c>
      <c r="AM203" s="166">
        <f t="shared" si="81"/>
        <v>0</v>
      </c>
      <c r="AN203" s="166"/>
      <c r="AO203" s="166"/>
      <c r="AP203" s="166">
        <f>SUM(AP173:AP202)</f>
        <v>0</v>
      </c>
      <c r="AQ203" s="166"/>
      <c r="AR203" s="166"/>
      <c r="AS203" s="166"/>
      <c r="AT203" s="166"/>
      <c r="AU203" s="166">
        <f ref="AU203:AV203" t="shared" si="82">SUM(AU173:AU202)</f>
        <v>0</v>
      </c>
      <c r="AV203" s="165">
        <f t="shared" si="82"/>
        <v>0</v>
      </c>
      <c r="AW203" s="166"/>
      <c r="AX203" s="166"/>
      <c r="AY203" s="166"/>
      <c r="AZ203" s="166"/>
      <c r="BA203" s="166"/>
      <c r="BB203" s="166"/>
      <c r="BC203" s="166"/>
      <c r="BD203" s="166"/>
      <c r="BE203" s="166"/>
      <c r="BF203" s="166"/>
      <c r="BG203" s="166">
        <f ref="BG203:BH203" t="shared" si="83">SUM(BG173:BG202)</f>
        <v>0</v>
      </c>
      <c r="BH203" s="166">
        <f t="shared" si="83"/>
        <v>0</v>
      </c>
      <c r="BI203" s="235"/>
      <c r="BJ203" s="166">
        <f>SUM(BJ173:BJ202)</f>
        <v>0</v>
      </c>
      <c r="BK203" s="166"/>
      <c r="BL203" s="166"/>
      <c r="BM203" s="166"/>
      <c r="BN203" s="166"/>
      <c r="BO203" s="166"/>
      <c r="BP203" s="166"/>
      <c r="BQ203" s="166"/>
      <c r="BR203" s="166"/>
      <c r="BS203" s="166"/>
      <c r="BT203" s="166"/>
      <c r="BU203" s="166"/>
      <c r="BV203" s="166"/>
      <c r="BW203" s="166"/>
      <c r="BX203" s="166">
        <f>SUM(BX173:BX202)</f>
        <v>0</v>
      </c>
      <c r="BY203" s="3"/>
    </row>
    <row r="204" ht="15.75" customHeight="1">
      <c r="B204" s="2"/>
      <c r="C204" s="1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1"/>
      <c r="Z204" s="1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4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4"/>
      <c r="BH204" s="3"/>
      <c r="BI204" s="235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ht="15.75" customHeight="1">
      <c r="B205" s="2"/>
      <c r="C205" s="1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1"/>
      <c r="Z205" s="1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4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4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ht="15.75" customHeight="1">
      <c r="B206" s="215">
        <v>46204</v>
      </c>
      <c r="C206" s="1079"/>
      <c r="D206" s="104"/>
      <c r="E206" s="97"/>
      <c r="F206" s="97"/>
      <c r="G206" s="216">
        <f ref="G206:G236" t="shared" si="84">+C206+D206+E206+F206</f>
        <v>0</v>
      </c>
      <c r="H206" s="1464"/>
      <c r="I206" s="1465"/>
      <c r="J206" s="1465"/>
      <c r="K206" s="1465"/>
      <c r="L206" s="1465"/>
      <c r="M206" s="1465"/>
      <c r="N206" s="1465"/>
      <c r="O206" s="1465"/>
      <c r="P206" s="1465"/>
      <c r="Q206" s="1465"/>
      <c r="R206" s="1465"/>
      <c r="S206" s="1465"/>
      <c r="T206" s="1465"/>
      <c r="U206" s="1465"/>
      <c r="V206" s="1465"/>
      <c r="W206" s="1468"/>
      <c r="X206" s="1012">
        <f ref="X206:X236" t="shared" si="85">SUM(H206:V206)</f>
        <v>0</v>
      </c>
      <c r="Y206" s="1465"/>
      <c r="Z206" s="1468"/>
      <c r="AA206" s="1010"/>
      <c r="AB206" s="1010"/>
      <c r="AC206" s="1010"/>
      <c r="AD206" s="1010"/>
      <c r="AE206" s="1010"/>
      <c r="AF206" s="1010"/>
      <c r="AG206" s="1010"/>
      <c r="AH206" s="1010"/>
      <c r="AI206" s="1471"/>
      <c r="AJ206" s="1471"/>
      <c r="AK206" s="1471"/>
      <c r="AL206" s="189">
        <f ref="AL206:AL236" t="shared" si="86">SUM(Y206:AK206)</f>
        <v>0</v>
      </c>
      <c r="AM206" s="1013"/>
      <c r="AN206" s="1013"/>
      <c r="AO206" s="1013"/>
      <c r="AP206" s="1014">
        <f ref="AP206:AP236" t="shared" si="87">SUM(AM206:AO206)</f>
        <v>0</v>
      </c>
      <c r="AQ206" s="1013"/>
      <c r="AR206" s="1013"/>
      <c r="AS206" s="1013"/>
      <c r="AT206" s="1008"/>
      <c r="AU206" s="219">
        <f ref="AU206:AU236" t="shared" si="88">+G206-X206-AL206-AP206-AQ206-AR206-AS206-AT206</f>
        <v>0</v>
      </c>
      <c r="AV206" s="1472"/>
      <c r="AW206" s="196"/>
      <c r="AX206" s="196"/>
      <c r="AY206" s="196"/>
      <c r="AZ206" s="196"/>
      <c r="BA206" s="196"/>
      <c r="BB206" s="196"/>
      <c r="BC206" s="490"/>
      <c r="BD206" s="490"/>
      <c r="BE206" s="490"/>
      <c r="BF206" s="490"/>
      <c r="BG206" s="1331">
        <f ref="BG206:BG236" t="shared" si="89">SUM(AV206:BF206)-BE206</f>
        <v>0</v>
      </c>
      <c r="BH206" s="114">
        <f ref="BH206:BH236" t="shared" si="90">+AU206-BG206</f>
        <v>0</v>
      </c>
      <c r="BI206" s="3"/>
      <c r="BJ206" s="114">
        <f ref="BJ206:BJ236" t="shared" si="91">SUM(BK206:BW206)</f>
        <v>0</v>
      </c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115"/>
      <c r="BW206" s="115"/>
      <c r="BX206" s="116">
        <f ref="BX206:BX236" t="shared" si="92">+BH206-BJ206</f>
        <v>0</v>
      </c>
      <c r="BY206" s="3"/>
    </row>
    <row r="207" ht="15.75" customHeight="1">
      <c r="B207" s="215">
        <v>46205</v>
      </c>
      <c r="C207" s="1310"/>
      <c r="D207" s="123"/>
      <c r="E207" s="120"/>
      <c r="F207" s="120"/>
      <c r="G207" s="147">
        <f t="shared" si="84"/>
        <v>0</v>
      </c>
      <c r="H207" s="1467"/>
      <c r="I207" s="1468"/>
      <c r="J207" s="1468"/>
      <c r="K207" s="1468"/>
      <c r="L207" s="1468"/>
      <c r="M207" s="1468"/>
      <c r="N207" s="1468"/>
      <c r="O207" s="1468"/>
      <c r="P207" s="1468"/>
      <c r="Q207" s="1468"/>
      <c r="R207" s="1468"/>
      <c r="S207" s="1468"/>
      <c r="T207" s="1468"/>
      <c r="U207" s="1468"/>
      <c r="V207" s="1468"/>
      <c r="W207" s="1468"/>
      <c r="X207" s="103">
        <f t="shared" si="85"/>
        <v>0</v>
      </c>
      <c r="Y207" s="1468"/>
      <c r="Z207" s="1468"/>
      <c r="AA207" s="143"/>
      <c r="AB207" s="143"/>
      <c r="AC207" s="143"/>
      <c r="AD207" s="143"/>
      <c r="AE207" s="143"/>
      <c r="AF207" s="143"/>
      <c r="AG207" s="143"/>
      <c r="AH207" s="143"/>
      <c r="AI207" s="99"/>
      <c r="AJ207" s="99"/>
      <c r="AK207" s="99"/>
      <c r="AL207" s="103">
        <f t="shared" si="86"/>
        <v>0</v>
      </c>
      <c r="AM207" s="123"/>
      <c r="AN207" s="123"/>
      <c r="AO207" s="123"/>
      <c r="AP207" s="105">
        <f t="shared" si="87"/>
        <v>0</v>
      </c>
      <c r="AQ207" s="123"/>
      <c r="AR207" s="123"/>
      <c r="AS207" s="123"/>
      <c r="AT207" s="120"/>
      <c r="AU207" s="224">
        <f t="shared" si="88"/>
        <v>0</v>
      </c>
      <c r="AV207" s="1473"/>
      <c r="AW207" s="141"/>
      <c r="AX207" s="141"/>
      <c r="AY207" s="141"/>
      <c r="AZ207" s="141"/>
      <c r="BA207" s="141"/>
      <c r="BB207" s="141"/>
      <c r="BC207" s="152"/>
      <c r="BD207" s="152"/>
      <c r="BE207" s="152"/>
      <c r="BF207" s="152"/>
      <c r="BG207" s="308">
        <f t="shared" si="89"/>
        <v>0</v>
      </c>
      <c r="BH207" s="113">
        <f t="shared" si="90"/>
        <v>0</v>
      </c>
      <c r="BI207" s="3"/>
      <c r="BJ207" s="113">
        <f t="shared" si="91"/>
        <v>0</v>
      </c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30">
        <f t="shared" si="92"/>
        <v>0</v>
      </c>
      <c r="BY207" s="3"/>
    </row>
    <row r="208" ht="15.75" customHeight="1">
      <c r="B208" s="215">
        <v>46206</v>
      </c>
      <c r="C208" s="1310"/>
      <c r="D208" s="123"/>
      <c r="E208" s="120"/>
      <c r="F208" s="120"/>
      <c r="G208" s="147">
        <f t="shared" si="84"/>
        <v>0</v>
      </c>
      <c r="H208" s="1467"/>
      <c r="I208" s="1468"/>
      <c r="J208" s="1468"/>
      <c r="K208" s="1468"/>
      <c r="L208" s="1468"/>
      <c r="M208" s="1468"/>
      <c r="N208" s="1468"/>
      <c r="O208" s="1468"/>
      <c r="P208" s="1468"/>
      <c r="Q208" s="1468"/>
      <c r="R208" s="1468"/>
      <c r="S208" s="1468"/>
      <c r="T208" s="1468"/>
      <c r="U208" s="1468"/>
      <c r="V208" s="1468"/>
      <c r="W208" s="1468"/>
      <c r="X208" s="103">
        <f t="shared" si="85"/>
        <v>0</v>
      </c>
      <c r="Y208" s="1468"/>
      <c r="Z208" s="1468"/>
      <c r="AA208" s="143"/>
      <c r="AB208" s="143"/>
      <c r="AC208" s="143"/>
      <c r="AD208" s="143"/>
      <c r="AE208" s="143"/>
      <c r="AF208" s="143"/>
      <c r="AG208" s="143"/>
      <c r="AH208" s="143"/>
      <c r="AI208" s="99"/>
      <c r="AJ208" s="99"/>
      <c r="AK208" s="99"/>
      <c r="AL208" s="103">
        <f t="shared" si="86"/>
        <v>0</v>
      </c>
      <c r="AM208" s="123"/>
      <c r="AN208" s="123"/>
      <c r="AO208" s="123"/>
      <c r="AP208" s="105">
        <f t="shared" si="87"/>
        <v>0</v>
      </c>
      <c r="AQ208" s="123"/>
      <c r="AR208" s="123"/>
      <c r="AS208" s="123"/>
      <c r="AT208" s="120"/>
      <c r="AU208" s="224">
        <f t="shared" si="88"/>
        <v>0</v>
      </c>
      <c r="AV208" s="109"/>
      <c r="AW208" s="274"/>
      <c r="AX208" s="126"/>
      <c r="AY208" s="126"/>
      <c r="AZ208" s="126"/>
      <c r="BA208" s="126"/>
      <c r="BB208" s="141"/>
      <c r="BC208" s="152"/>
      <c r="BD208" s="152"/>
      <c r="BE208" s="152"/>
      <c r="BF208" s="152"/>
      <c r="BG208" s="308">
        <f t="shared" si="89"/>
        <v>0</v>
      </c>
      <c r="BH208" s="113">
        <f t="shared" si="90"/>
        <v>0</v>
      </c>
      <c r="BI208" s="3"/>
      <c r="BJ208" s="113">
        <f t="shared" si="91"/>
        <v>0</v>
      </c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30">
        <f t="shared" si="92"/>
        <v>0</v>
      </c>
      <c r="BY208" s="3"/>
    </row>
    <row r="209" ht="15.75" customHeight="1">
      <c r="B209" s="215">
        <v>46207</v>
      </c>
      <c r="C209" s="379"/>
      <c r="D209" s="136"/>
      <c r="E209" s="135"/>
      <c r="F209" s="135"/>
      <c r="G209" s="147">
        <f t="shared" si="84"/>
        <v>0</v>
      </c>
      <c r="H209" s="1469"/>
      <c r="I209" s="1470"/>
      <c r="J209" s="1470"/>
      <c r="K209" s="1470"/>
      <c r="L209" s="1470"/>
      <c r="M209" s="1470"/>
      <c r="N209" s="1470"/>
      <c r="O209" s="1470"/>
      <c r="P209" s="1470"/>
      <c r="Q209" s="1470"/>
      <c r="R209" s="1470"/>
      <c r="S209" s="1470"/>
      <c r="T209" s="1470"/>
      <c r="U209" s="1470"/>
      <c r="V209" s="1470"/>
      <c r="W209" s="1470"/>
      <c r="X209" s="103">
        <f t="shared" si="85"/>
        <v>0</v>
      </c>
      <c r="Y209" s="1470"/>
      <c r="Z209" s="1470"/>
      <c r="AA209" s="143"/>
      <c r="AB209" s="143"/>
      <c r="AC209" s="143"/>
      <c r="AD209" s="143"/>
      <c r="AE209" s="143"/>
      <c r="AF209" s="143"/>
      <c r="AG209" s="143"/>
      <c r="AH209" s="143"/>
      <c r="AI209" s="99"/>
      <c r="AJ209" s="99"/>
      <c r="AK209" s="99"/>
      <c r="AL209" s="103">
        <f t="shared" si="86"/>
        <v>0</v>
      </c>
      <c r="AM209" s="136"/>
      <c r="AN209" s="136"/>
      <c r="AO209" s="136"/>
      <c r="AP209" s="105">
        <f t="shared" si="87"/>
        <v>0</v>
      </c>
      <c r="AQ209" s="136"/>
      <c r="AR209" s="136"/>
      <c r="AS209" s="136"/>
      <c r="AT209" s="135"/>
      <c r="AU209" s="224">
        <f t="shared" si="88"/>
        <v>0</v>
      </c>
      <c r="AV209" s="126"/>
      <c r="AW209" s="274"/>
      <c r="AX209" s="126"/>
      <c r="AY209" s="126"/>
      <c r="AZ209" s="126"/>
      <c r="BA209" s="126"/>
      <c r="BB209" s="141"/>
      <c r="BC209" s="152"/>
      <c r="BD209" s="152"/>
      <c r="BE209" s="152"/>
      <c r="BF209" s="152"/>
      <c r="BG209" s="308">
        <f t="shared" si="89"/>
        <v>0</v>
      </c>
      <c r="BH209" s="140">
        <f t="shared" si="90"/>
        <v>0</v>
      </c>
      <c r="BI209" s="132"/>
      <c r="BJ209" s="140">
        <f t="shared" si="91"/>
        <v>0</v>
      </c>
      <c r="BK209" s="141"/>
      <c r="BL209" s="141"/>
      <c r="BM209" s="141"/>
      <c r="BN209" s="141"/>
      <c r="BO209" s="141"/>
      <c r="BP209" s="141"/>
      <c r="BQ209" s="141"/>
      <c r="BR209" s="141"/>
      <c r="BS209" s="141"/>
      <c r="BT209" s="141"/>
      <c r="BU209" s="141"/>
      <c r="BV209" s="141"/>
      <c r="BW209" s="141"/>
      <c r="BX209" s="130">
        <f t="shared" si="92"/>
        <v>0</v>
      </c>
      <c r="BY209" s="132"/>
    </row>
    <row r="210" ht="15.75" customHeight="1">
      <c r="B210" s="215">
        <v>46208</v>
      </c>
      <c r="C210" s="379"/>
      <c r="D210" s="136"/>
      <c r="E210" s="135"/>
      <c r="F210" s="135"/>
      <c r="G210" s="147">
        <f t="shared" si="84"/>
        <v>0</v>
      </c>
      <c r="H210" s="1469"/>
      <c r="I210" s="1470"/>
      <c r="J210" s="1470"/>
      <c r="K210" s="1470"/>
      <c r="L210" s="1470"/>
      <c r="M210" s="1470"/>
      <c r="N210" s="1470"/>
      <c r="O210" s="1470"/>
      <c r="P210" s="1470"/>
      <c r="Q210" s="1470"/>
      <c r="R210" s="1470"/>
      <c r="S210" s="1470"/>
      <c r="T210" s="1470"/>
      <c r="U210" s="1470"/>
      <c r="V210" s="1470"/>
      <c r="W210" s="1470"/>
      <c r="X210" s="103">
        <f t="shared" si="85"/>
        <v>0</v>
      </c>
      <c r="Y210" s="1470"/>
      <c r="Z210" s="1470"/>
      <c r="AA210" s="143"/>
      <c r="AB210" s="143"/>
      <c r="AC210" s="143"/>
      <c r="AD210" s="143"/>
      <c r="AE210" s="143"/>
      <c r="AF210" s="143"/>
      <c r="AG210" s="143"/>
      <c r="AH210" s="143"/>
      <c r="AI210" s="99"/>
      <c r="AJ210" s="99"/>
      <c r="AK210" s="99"/>
      <c r="AL210" s="103">
        <f t="shared" si="86"/>
        <v>0</v>
      </c>
      <c r="AM210" s="136"/>
      <c r="AN210" s="136"/>
      <c r="AO210" s="136"/>
      <c r="AP210" s="105">
        <f t="shared" si="87"/>
        <v>0</v>
      </c>
      <c r="AQ210" s="136"/>
      <c r="AR210" s="136"/>
      <c r="AS210" s="136"/>
      <c r="AT210" s="135"/>
      <c r="AU210" s="224">
        <f t="shared" si="88"/>
        <v>0</v>
      </c>
      <c r="AV210" s="126"/>
      <c r="AW210" s="274"/>
      <c r="AX210" s="126"/>
      <c r="AY210" s="126"/>
      <c r="AZ210" s="126"/>
      <c r="BA210" s="126"/>
      <c r="BB210" s="141"/>
      <c r="BC210" s="152"/>
      <c r="BD210" s="152"/>
      <c r="BE210" s="152"/>
      <c r="BF210" s="152"/>
      <c r="BG210" s="308">
        <f t="shared" si="89"/>
        <v>0</v>
      </c>
      <c r="BH210" s="140">
        <f t="shared" si="90"/>
        <v>0</v>
      </c>
      <c r="BI210" s="132"/>
      <c r="BJ210" s="140">
        <f t="shared" si="91"/>
        <v>0</v>
      </c>
      <c r="BK210" s="141"/>
      <c r="BL210" s="141"/>
      <c r="BM210" s="141"/>
      <c r="BN210" s="141"/>
      <c r="BO210" s="141"/>
      <c r="BP210" s="141"/>
      <c r="BQ210" s="141"/>
      <c r="BR210" s="141"/>
      <c r="BS210" s="141"/>
      <c r="BT210" s="141"/>
      <c r="BU210" s="141"/>
      <c r="BV210" s="141"/>
      <c r="BW210" s="141"/>
      <c r="BX210" s="130">
        <f t="shared" si="92"/>
        <v>0</v>
      </c>
      <c r="BY210" s="132"/>
    </row>
    <row r="211" ht="15.75" customHeight="1">
      <c r="B211" s="215">
        <v>46209</v>
      </c>
      <c r="C211" s="379"/>
      <c r="D211" s="136"/>
      <c r="E211" s="135"/>
      <c r="F211" s="135"/>
      <c r="G211" s="147">
        <f t="shared" si="84"/>
        <v>0</v>
      </c>
      <c r="H211" s="1469"/>
      <c r="I211" s="1470"/>
      <c r="J211" s="1470"/>
      <c r="K211" s="1470"/>
      <c r="L211" s="1470"/>
      <c r="M211" s="1470"/>
      <c r="N211" s="1470"/>
      <c r="O211" s="1470"/>
      <c r="P211" s="1470"/>
      <c r="Q211" s="1470"/>
      <c r="R211" s="1470"/>
      <c r="S211" s="1470"/>
      <c r="T211" s="1470"/>
      <c r="U211" s="1470"/>
      <c r="V211" s="1470"/>
      <c r="W211" s="1470"/>
      <c r="X211" s="103">
        <f t="shared" si="85"/>
        <v>0</v>
      </c>
      <c r="Y211" s="1470"/>
      <c r="Z211" s="1470"/>
      <c r="AA211" s="143"/>
      <c r="AB211" s="143"/>
      <c r="AC211" s="143"/>
      <c r="AD211" s="143"/>
      <c r="AE211" s="143"/>
      <c r="AF211" s="143"/>
      <c r="AG211" s="143"/>
      <c r="AH211" s="143"/>
      <c r="AI211" s="99"/>
      <c r="AJ211" s="99"/>
      <c r="AK211" s="99"/>
      <c r="AL211" s="103">
        <f t="shared" si="86"/>
        <v>0</v>
      </c>
      <c r="AM211" s="136"/>
      <c r="AN211" s="136"/>
      <c r="AO211" s="136"/>
      <c r="AP211" s="105">
        <f t="shared" si="87"/>
        <v>0</v>
      </c>
      <c r="AQ211" s="136"/>
      <c r="AR211" s="136"/>
      <c r="AS211" s="136"/>
      <c r="AT211" s="135"/>
      <c r="AU211" s="224">
        <f t="shared" si="88"/>
        <v>0</v>
      </c>
      <c r="AV211" s="126"/>
      <c r="AW211" s="274"/>
      <c r="AX211" s="126"/>
      <c r="AY211" s="126"/>
      <c r="AZ211" s="126"/>
      <c r="BA211" s="126"/>
      <c r="BB211" s="141"/>
      <c r="BC211" s="152"/>
      <c r="BD211" s="152"/>
      <c r="BE211" s="152"/>
      <c r="BF211" s="152"/>
      <c r="BG211" s="308">
        <f t="shared" si="89"/>
        <v>0</v>
      </c>
      <c r="BH211" s="140">
        <f t="shared" si="90"/>
        <v>0</v>
      </c>
      <c r="BI211" s="132"/>
      <c r="BJ211" s="140">
        <f t="shared" si="91"/>
        <v>0</v>
      </c>
      <c r="BK211" s="141"/>
      <c r="BL211" s="141"/>
      <c r="BM211" s="141"/>
      <c r="BN211" s="141"/>
      <c r="BO211" s="141"/>
      <c r="BP211" s="141"/>
      <c r="BQ211" s="141"/>
      <c r="BR211" s="141"/>
      <c r="BS211" s="141"/>
      <c r="BT211" s="141"/>
      <c r="BU211" s="141"/>
      <c r="BV211" s="141"/>
      <c r="BW211" s="141"/>
      <c r="BX211" s="130">
        <f t="shared" si="92"/>
        <v>0</v>
      </c>
      <c r="BY211" s="132"/>
    </row>
    <row r="212" ht="15.75" customHeight="1">
      <c r="B212" s="215">
        <v>46210</v>
      </c>
      <c r="C212" s="379"/>
      <c r="D212" s="136"/>
      <c r="E212" s="135"/>
      <c r="F212" s="135"/>
      <c r="G212" s="147">
        <f t="shared" si="84"/>
        <v>0</v>
      </c>
      <c r="H212" s="1469"/>
      <c r="I212" s="1470"/>
      <c r="J212" s="1470"/>
      <c r="K212" s="1470"/>
      <c r="L212" s="1470"/>
      <c r="M212" s="1470"/>
      <c r="N212" s="1470"/>
      <c r="O212" s="1470"/>
      <c r="P212" s="1470"/>
      <c r="Q212" s="1470"/>
      <c r="R212" s="1470"/>
      <c r="S212" s="1470"/>
      <c r="T212" s="1470"/>
      <c r="U212" s="1470"/>
      <c r="V212" s="1470"/>
      <c r="W212" s="1470"/>
      <c r="X212" s="103">
        <f t="shared" si="85"/>
        <v>0</v>
      </c>
      <c r="Y212" s="1470"/>
      <c r="Z212" s="1470"/>
      <c r="AA212" s="143"/>
      <c r="AB212" s="143"/>
      <c r="AC212" s="143"/>
      <c r="AD212" s="143"/>
      <c r="AE212" s="143"/>
      <c r="AF212" s="143"/>
      <c r="AG212" s="143"/>
      <c r="AH212" s="143"/>
      <c r="AI212" s="99"/>
      <c r="AJ212" s="99"/>
      <c r="AK212" s="99"/>
      <c r="AL212" s="103">
        <f t="shared" si="86"/>
        <v>0</v>
      </c>
      <c r="AM212" s="136"/>
      <c r="AN212" s="136"/>
      <c r="AO212" s="136"/>
      <c r="AP212" s="105">
        <f t="shared" si="87"/>
        <v>0</v>
      </c>
      <c r="AQ212" s="136"/>
      <c r="AR212" s="136"/>
      <c r="AS212" s="136"/>
      <c r="AT212" s="135"/>
      <c r="AU212" s="224">
        <f t="shared" si="88"/>
        <v>0</v>
      </c>
      <c r="AV212" s="126"/>
      <c r="AW212" s="274"/>
      <c r="AX212" s="126"/>
      <c r="AY212" s="126"/>
      <c r="AZ212" s="126"/>
      <c r="BA212" s="126"/>
      <c r="BB212" s="141"/>
      <c r="BC212" s="152"/>
      <c r="BD212" s="152"/>
      <c r="BE212" s="152"/>
      <c r="BF212" s="152"/>
      <c r="BG212" s="308">
        <f t="shared" si="89"/>
        <v>0</v>
      </c>
      <c r="BH212" s="140">
        <f t="shared" si="90"/>
        <v>0</v>
      </c>
      <c r="BI212" s="132"/>
      <c r="BJ212" s="140">
        <f t="shared" si="91"/>
        <v>0</v>
      </c>
      <c r="BK212" s="141"/>
      <c r="BL212" s="141"/>
      <c r="BM212" s="141"/>
      <c r="BN212" s="141"/>
      <c r="BO212" s="141"/>
      <c r="BP212" s="141"/>
      <c r="BQ212" s="141"/>
      <c r="BR212" s="141"/>
      <c r="BS212" s="141"/>
      <c r="BT212" s="141"/>
      <c r="BU212" s="141"/>
      <c r="BV212" s="141"/>
      <c r="BW212" s="141"/>
      <c r="BX212" s="130">
        <f t="shared" si="92"/>
        <v>0</v>
      </c>
      <c r="BY212" s="132"/>
    </row>
    <row r="213" ht="15.75" customHeight="1">
      <c r="B213" s="215">
        <v>46211</v>
      </c>
      <c r="C213" s="379"/>
      <c r="D213" s="136"/>
      <c r="E213" s="135"/>
      <c r="F213" s="135"/>
      <c r="G213" s="147">
        <f t="shared" si="84"/>
        <v>0</v>
      </c>
      <c r="H213" s="1469"/>
      <c r="I213" s="1470"/>
      <c r="J213" s="1470"/>
      <c r="K213" s="1470"/>
      <c r="L213" s="1470"/>
      <c r="M213" s="1470"/>
      <c r="N213" s="1470"/>
      <c r="O213" s="1470"/>
      <c r="P213" s="1470"/>
      <c r="Q213" s="1470"/>
      <c r="R213" s="1470"/>
      <c r="S213" s="1470"/>
      <c r="T213" s="1470"/>
      <c r="U213" s="1470"/>
      <c r="V213" s="1470"/>
      <c r="W213" s="1470"/>
      <c r="X213" s="103">
        <f t="shared" si="85"/>
        <v>0</v>
      </c>
      <c r="Y213" s="1470"/>
      <c r="Z213" s="1470"/>
      <c r="AA213" s="143"/>
      <c r="AB213" s="143"/>
      <c r="AC213" s="143"/>
      <c r="AD213" s="143"/>
      <c r="AE213" s="143"/>
      <c r="AF213" s="143"/>
      <c r="AG213" s="143"/>
      <c r="AH213" s="143"/>
      <c r="AI213" s="99"/>
      <c r="AJ213" s="99"/>
      <c r="AK213" s="99"/>
      <c r="AL213" s="103">
        <f t="shared" si="86"/>
        <v>0</v>
      </c>
      <c r="AM213" s="136"/>
      <c r="AN213" s="136"/>
      <c r="AO213" s="136"/>
      <c r="AP213" s="105">
        <f t="shared" si="87"/>
        <v>0</v>
      </c>
      <c r="AQ213" s="136"/>
      <c r="AR213" s="136"/>
      <c r="AS213" s="136"/>
      <c r="AT213" s="135"/>
      <c r="AU213" s="224">
        <f t="shared" si="88"/>
        <v>0</v>
      </c>
      <c r="AV213" s="126"/>
      <c r="AW213" s="274"/>
      <c r="AX213" s="126"/>
      <c r="AY213" s="126"/>
      <c r="AZ213" s="126"/>
      <c r="BA213" s="126"/>
      <c r="BB213" s="141"/>
      <c r="BC213" s="152"/>
      <c r="BD213" s="152"/>
      <c r="BE213" s="152"/>
      <c r="BF213" s="152"/>
      <c r="BG213" s="308">
        <f t="shared" si="89"/>
        <v>0</v>
      </c>
      <c r="BH213" s="140">
        <f t="shared" si="90"/>
        <v>0</v>
      </c>
      <c r="BI213" s="132"/>
      <c r="BJ213" s="140">
        <f t="shared" si="91"/>
        <v>0</v>
      </c>
      <c r="BK213" s="141"/>
      <c r="BL213" s="141"/>
      <c r="BM213" s="141"/>
      <c r="BN213" s="141"/>
      <c r="BO213" s="141"/>
      <c r="BP213" s="141"/>
      <c r="BQ213" s="141"/>
      <c r="BR213" s="141"/>
      <c r="BS213" s="141"/>
      <c r="BT213" s="141"/>
      <c r="BU213" s="141"/>
      <c r="BV213" s="141"/>
      <c r="BW213" s="141"/>
      <c r="BX213" s="130">
        <f t="shared" si="92"/>
        <v>0</v>
      </c>
      <c r="BY213" s="132"/>
    </row>
    <row r="214" ht="15.75" customHeight="1">
      <c r="B214" s="215">
        <v>46212</v>
      </c>
      <c r="C214" s="379"/>
      <c r="D214" s="136"/>
      <c r="E214" s="135"/>
      <c r="F214" s="135"/>
      <c r="G214" s="147">
        <f t="shared" si="84"/>
        <v>0</v>
      </c>
      <c r="H214" s="1469"/>
      <c r="I214" s="1470"/>
      <c r="J214" s="1470"/>
      <c r="K214" s="1470"/>
      <c r="L214" s="1470"/>
      <c r="M214" s="1470"/>
      <c r="N214" s="1470"/>
      <c r="O214" s="1470"/>
      <c r="P214" s="1470"/>
      <c r="Q214" s="1470"/>
      <c r="R214" s="1470"/>
      <c r="S214" s="1470"/>
      <c r="T214" s="1470"/>
      <c r="U214" s="1470"/>
      <c r="V214" s="1470"/>
      <c r="W214" s="1470"/>
      <c r="X214" s="103">
        <f t="shared" si="85"/>
        <v>0</v>
      </c>
      <c r="Y214" s="1470"/>
      <c r="Z214" s="1470"/>
      <c r="AA214" s="143"/>
      <c r="AB214" s="143"/>
      <c r="AC214" s="143"/>
      <c r="AD214" s="143"/>
      <c r="AE214" s="143"/>
      <c r="AF214" s="143"/>
      <c r="AG214" s="143"/>
      <c r="AH214" s="143"/>
      <c r="AI214" s="99"/>
      <c r="AJ214" s="99"/>
      <c r="AK214" s="99"/>
      <c r="AL214" s="103">
        <f t="shared" si="86"/>
        <v>0</v>
      </c>
      <c r="AM214" s="136"/>
      <c r="AN214" s="136"/>
      <c r="AO214" s="136"/>
      <c r="AP214" s="105">
        <f t="shared" si="87"/>
        <v>0</v>
      </c>
      <c r="AQ214" s="136"/>
      <c r="AR214" s="136"/>
      <c r="AS214" s="136"/>
      <c r="AT214" s="135"/>
      <c r="AU214" s="224">
        <f t="shared" si="88"/>
        <v>0</v>
      </c>
      <c r="AV214" s="126"/>
      <c r="AW214" s="274"/>
      <c r="AX214" s="126"/>
      <c r="AY214" s="126"/>
      <c r="AZ214" s="126"/>
      <c r="BA214" s="126"/>
      <c r="BB214" s="141"/>
      <c r="BC214" s="152"/>
      <c r="BD214" s="152"/>
      <c r="BE214" s="152"/>
      <c r="BF214" s="152"/>
      <c r="BG214" s="308">
        <f t="shared" si="89"/>
        <v>0</v>
      </c>
      <c r="BH214" s="140">
        <f t="shared" si="90"/>
        <v>0</v>
      </c>
      <c r="BI214" s="132"/>
      <c r="BJ214" s="140">
        <f t="shared" si="91"/>
        <v>0</v>
      </c>
      <c r="BK214" s="141"/>
      <c r="BL214" s="141"/>
      <c r="BM214" s="141"/>
      <c r="BN214" s="141"/>
      <c r="BO214" s="141"/>
      <c r="BP214" s="141"/>
      <c r="BQ214" s="141"/>
      <c r="BR214" s="141"/>
      <c r="BS214" s="141"/>
      <c r="BT214" s="141"/>
      <c r="BU214" s="141"/>
      <c r="BV214" s="141"/>
      <c r="BW214" s="141"/>
      <c r="BX214" s="130">
        <f t="shared" si="92"/>
        <v>0</v>
      </c>
      <c r="BY214" s="132"/>
    </row>
    <row r="215" ht="15.75" customHeight="1">
      <c r="B215" s="215">
        <v>46213</v>
      </c>
      <c r="C215" s="379"/>
      <c r="D215" s="136"/>
      <c r="E215" s="135"/>
      <c r="F215" s="135"/>
      <c r="G215" s="147">
        <f t="shared" si="84"/>
        <v>0</v>
      </c>
      <c r="H215" s="1469"/>
      <c r="I215" s="1470"/>
      <c r="J215" s="1470"/>
      <c r="K215" s="1470"/>
      <c r="L215" s="1470"/>
      <c r="M215" s="1470"/>
      <c r="N215" s="1470"/>
      <c r="O215" s="1470"/>
      <c r="P215" s="1470"/>
      <c r="Q215" s="1470"/>
      <c r="R215" s="1470"/>
      <c r="S215" s="1470"/>
      <c r="T215" s="1470"/>
      <c r="U215" s="1470"/>
      <c r="V215" s="1470"/>
      <c r="W215" s="1470"/>
      <c r="X215" s="103">
        <f t="shared" si="85"/>
        <v>0</v>
      </c>
      <c r="Y215" s="1470"/>
      <c r="Z215" s="1470"/>
      <c r="AA215" s="143"/>
      <c r="AB215" s="143"/>
      <c r="AC215" s="143"/>
      <c r="AD215" s="143"/>
      <c r="AE215" s="143"/>
      <c r="AF215" s="143"/>
      <c r="AG215" s="143"/>
      <c r="AH215" s="143"/>
      <c r="AI215" s="99"/>
      <c r="AJ215" s="99"/>
      <c r="AK215" s="99"/>
      <c r="AL215" s="103">
        <f t="shared" si="86"/>
        <v>0</v>
      </c>
      <c r="AM215" s="136"/>
      <c r="AN215" s="136"/>
      <c r="AO215" s="136"/>
      <c r="AP215" s="105">
        <f t="shared" si="87"/>
        <v>0</v>
      </c>
      <c r="AQ215" s="136"/>
      <c r="AR215" s="136"/>
      <c r="AS215" s="136"/>
      <c r="AT215" s="135"/>
      <c r="AU215" s="224">
        <f t="shared" si="88"/>
        <v>0</v>
      </c>
      <c r="AV215" s="126"/>
      <c r="AW215" s="274"/>
      <c r="AX215" s="126"/>
      <c r="AY215" s="126"/>
      <c r="AZ215" s="126"/>
      <c r="BA215" s="126"/>
      <c r="BB215" s="141"/>
      <c r="BC215" s="152"/>
      <c r="BD215" s="152"/>
      <c r="BE215" s="152"/>
      <c r="BF215" s="152"/>
      <c r="BG215" s="308">
        <f t="shared" si="89"/>
        <v>0</v>
      </c>
      <c r="BH215" s="140">
        <f t="shared" si="90"/>
        <v>0</v>
      </c>
      <c r="BI215" s="132"/>
      <c r="BJ215" s="140">
        <f t="shared" si="91"/>
        <v>0</v>
      </c>
      <c r="BK215" s="141"/>
      <c r="BL215" s="141"/>
      <c r="BM215" s="141"/>
      <c r="BN215" s="141"/>
      <c r="BO215" s="141"/>
      <c r="BP215" s="141"/>
      <c r="BQ215" s="141"/>
      <c r="BR215" s="141"/>
      <c r="BS215" s="141"/>
      <c r="BT215" s="141"/>
      <c r="BU215" s="141"/>
      <c r="BV215" s="141"/>
      <c r="BW215" s="141"/>
      <c r="BX215" s="130">
        <f t="shared" si="92"/>
        <v>0</v>
      </c>
      <c r="BY215" s="132"/>
    </row>
    <row r="216" ht="15.75" customHeight="1">
      <c r="B216" s="215">
        <v>46214</v>
      </c>
      <c r="C216" s="379"/>
      <c r="D216" s="136"/>
      <c r="E216" s="135"/>
      <c r="F216" s="135"/>
      <c r="G216" s="147">
        <f t="shared" si="84"/>
        <v>0</v>
      </c>
      <c r="H216" s="1469"/>
      <c r="I216" s="1470"/>
      <c r="J216" s="1470"/>
      <c r="K216" s="1470"/>
      <c r="L216" s="1470"/>
      <c r="M216" s="1470"/>
      <c r="N216" s="1470"/>
      <c r="O216" s="1470"/>
      <c r="P216" s="1470"/>
      <c r="Q216" s="1470"/>
      <c r="R216" s="1470"/>
      <c r="S216" s="1470"/>
      <c r="T216" s="1470"/>
      <c r="U216" s="1470"/>
      <c r="V216" s="1470"/>
      <c r="W216" s="1470"/>
      <c r="X216" s="103">
        <f t="shared" si="85"/>
        <v>0</v>
      </c>
      <c r="Y216" s="1470"/>
      <c r="Z216" s="1470"/>
      <c r="AA216" s="143"/>
      <c r="AB216" s="143"/>
      <c r="AC216" s="143"/>
      <c r="AD216" s="143"/>
      <c r="AE216" s="143"/>
      <c r="AF216" s="143"/>
      <c r="AG216" s="143"/>
      <c r="AH216" s="143"/>
      <c r="AI216" s="99"/>
      <c r="AJ216" s="99"/>
      <c r="AK216" s="99"/>
      <c r="AL216" s="103">
        <f t="shared" si="86"/>
        <v>0</v>
      </c>
      <c r="AM216" s="136"/>
      <c r="AN216" s="136"/>
      <c r="AO216" s="136"/>
      <c r="AP216" s="105">
        <f t="shared" si="87"/>
        <v>0</v>
      </c>
      <c r="AQ216" s="136"/>
      <c r="AR216" s="136"/>
      <c r="AS216" s="136"/>
      <c r="AT216" s="135"/>
      <c r="AU216" s="224">
        <f t="shared" si="88"/>
        <v>0</v>
      </c>
      <c r="AV216" s="126"/>
      <c r="AW216" s="274"/>
      <c r="AX216" s="126"/>
      <c r="AY216" s="126"/>
      <c r="AZ216" s="126"/>
      <c r="BA216" s="126"/>
      <c r="BB216" s="141"/>
      <c r="BC216" s="152"/>
      <c r="BD216" s="152"/>
      <c r="BE216" s="152"/>
      <c r="BF216" s="152"/>
      <c r="BG216" s="308">
        <f t="shared" si="89"/>
        <v>0</v>
      </c>
      <c r="BH216" s="140">
        <f t="shared" si="90"/>
        <v>0</v>
      </c>
      <c r="BI216" s="132"/>
      <c r="BJ216" s="140">
        <f t="shared" si="91"/>
        <v>0</v>
      </c>
      <c r="BK216" s="141"/>
      <c r="BL216" s="141"/>
      <c r="BM216" s="141"/>
      <c r="BN216" s="141"/>
      <c r="BO216" s="141"/>
      <c r="BP216" s="141"/>
      <c r="BQ216" s="141"/>
      <c r="BR216" s="141"/>
      <c r="BS216" s="141"/>
      <c r="BT216" s="141"/>
      <c r="BU216" s="141"/>
      <c r="BV216" s="141"/>
      <c r="BW216" s="141"/>
      <c r="BX216" s="130">
        <f t="shared" si="92"/>
        <v>0</v>
      </c>
      <c r="BY216" s="132"/>
    </row>
    <row r="217" ht="15.75" customHeight="1">
      <c r="B217" s="215">
        <v>46215</v>
      </c>
      <c r="C217" s="379"/>
      <c r="D217" s="136"/>
      <c r="E217" s="135"/>
      <c r="F217" s="135"/>
      <c r="G217" s="147">
        <f t="shared" si="84"/>
        <v>0</v>
      </c>
      <c r="H217" s="1469"/>
      <c r="I217" s="1470"/>
      <c r="J217" s="1470"/>
      <c r="K217" s="1470"/>
      <c r="L217" s="1470"/>
      <c r="M217" s="1470"/>
      <c r="N217" s="1470"/>
      <c r="O217" s="1470"/>
      <c r="P217" s="1470"/>
      <c r="Q217" s="1470"/>
      <c r="R217" s="1470"/>
      <c r="S217" s="1470"/>
      <c r="T217" s="1470"/>
      <c r="U217" s="1470"/>
      <c r="V217" s="1470"/>
      <c r="W217" s="1470"/>
      <c r="X217" s="103">
        <f t="shared" si="85"/>
        <v>0</v>
      </c>
      <c r="Y217" s="1470"/>
      <c r="Z217" s="1470"/>
      <c r="AA217" s="143"/>
      <c r="AB217" s="143"/>
      <c r="AC217" s="143"/>
      <c r="AD217" s="143"/>
      <c r="AE217" s="143"/>
      <c r="AF217" s="143"/>
      <c r="AG217" s="143"/>
      <c r="AH217" s="143"/>
      <c r="AI217" s="99"/>
      <c r="AJ217" s="99"/>
      <c r="AK217" s="99"/>
      <c r="AL217" s="103">
        <f t="shared" si="86"/>
        <v>0</v>
      </c>
      <c r="AM217" s="136"/>
      <c r="AN217" s="136"/>
      <c r="AO217" s="136"/>
      <c r="AP217" s="105">
        <f t="shared" si="87"/>
        <v>0</v>
      </c>
      <c r="AQ217" s="136"/>
      <c r="AR217" s="136"/>
      <c r="AS217" s="136"/>
      <c r="AT217" s="135"/>
      <c r="AU217" s="224">
        <f t="shared" si="88"/>
        <v>0</v>
      </c>
      <c r="AV217" s="126"/>
      <c r="AW217" s="274"/>
      <c r="AX217" s="126"/>
      <c r="AY217" s="126"/>
      <c r="AZ217" s="126"/>
      <c r="BA217" s="126"/>
      <c r="BB217" s="141"/>
      <c r="BC217" s="152"/>
      <c r="BD217" s="152"/>
      <c r="BE217" s="152"/>
      <c r="BF217" s="152"/>
      <c r="BG217" s="308">
        <f t="shared" si="89"/>
        <v>0</v>
      </c>
      <c r="BH217" s="140">
        <f t="shared" si="90"/>
        <v>0</v>
      </c>
      <c r="BI217" s="132"/>
      <c r="BJ217" s="140">
        <f t="shared" si="91"/>
        <v>0</v>
      </c>
      <c r="BK217" s="141"/>
      <c r="BL217" s="141"/>
      <c r="BM217" s="141"/>
      <c r="BN217" s="141"/>
      <c r="BO217" s="141"/>
      <c r="BP217" s="141"/>
      <c r="BQ217" s="141"/>
      <c r="BR217" s="141"/>
      <c r="BS217" s="141"/>
      <c r="BT217" s="141"/>
      <c r="BU217" s="141"/>
      <c r="BV217" s="141"/>
      <c r="BW217" s="141"/>
      <c r="BX217" s="130">
        <f t="shared" si="92"/>
        <v>0</v>
      </c>
      <c r="BY217" s="132"/>
    </row>
    <row r="218" ht="15.75" customHeight="1">
      <c r="B218" s="215">
        <v>46216</v>
      </c>
      <c r="C218" s="379"/>
      <c r="D218" s="136"/>
      <c r="E218" s="135"/>
      <c r="F218" s="135"/>
      <c r="G218" s="147">
        <f t="shared" si="84"/>
        <v>0</v>
      </c>
      <c r="H218" s="1469"/>
      <c r="I218" s="1470"/>
      <c r="J218" s="1470"/>
      <c r="K218" s="1470"/>
      <c r="L218" s="1470"/>
      <c r="M218" s="1470"/>
      <c r="N218" s="1470"/>
      <c r="O218" s="1470"/>
      <c r="P218" s="1470"/>
      <c r="Q218" s="1470"/>
      <c r="R218" s="1470"/>
      <c r="S218" s="1470"/>
      <c r="T218" s="1470"/>
      <c r="U218" s="1470"/>
      <c r="V218" s="1470"/>
      <c r="W218" s="1470"/>
      <c r="X218" s="103">
        <f t="shared" si="85"/>
        <v>0</v>
      </c>
      <c r="Y218" s="1470"/>
      <c r="Z218" s="1470"/>
      <c r="AA218" s="143"/>
      <c r="AB218" s="143"/>
      <c r="AC218" s="143"/>
      <c r="AD218" s="143"/>
      <c r="AE218" s="143"/>
      <c r="AF218" s="143"/>
      <c r="AG218" s="143"/>
      <c r="AH218" s="143"/>
      <c r="AI218" s="99"/>
      <c r="AJ218" s="99"/>
      <c r="AK218" s="99"/>
      <c r="AL218" s="103">
        <f t="shared" si="86"/>
        <v>0</v>
      </c>
      <c r="AM218" s="136"/>
      <c r="AN218" s="136"/>
      <c r="AO218" s="136"/>
      <c r="AP218" s="105">
        <f t="shared" si="87"/>
        <v>0</v>
      </c>
      <c r="AQ218" s="136"/>
      <c r="AR218" s="136"/>
      <c r="AS218" s="136"/>
      <c r="AT218" s="135"/>
      <c r="AU218" s="224">
        <f t="shared" si="88"/>
        <v>0</v>
      </c>
      <c r="AV218" s="126"/>
      <c r="AW218" s="274"/>
      <c r="AX218" s="126"/>
      <c r="AY218" s="126"/>
      <c r="AZ218" s="126"/>
      <c r="BA218" s="126"/>
      <c r="BB218" s="141"/>
      <c r="BC218" s="152"/>
      <c r="BD218" s="152"/>
      <c r="BE218" s="152"/>
      <c r="BF218" s="152"/>
      <c r="BG218" s="308">
        <f t="shared" si="89"/>
        <v>0</v>
      </c>
      <c r="BH218" s="140">
        <f t="shared" si="90"/>
        <v>0</v>
      </c>
      <c r="BI218" s="132"/>
      <c r="BJ218" s="140">
        <f t="shared" si="91"/>
        <v>0</v>
      </c>
      <c r="BK218" s="141"/>
      <c r="BL218" s="141"/>
      <c r="BM218" s="141"/>
      <c r="BN218" s="141"/>
      <c r="BO218" s="141"/>
      <c r="BP218" s="141"/>
      <c r="BQ218" s="141"/>
      <c r="BR218" s="141"/>
      <c r="BS218" s="141"/>
      <c r="BT218" s="141"/>
      <c r="BU218" s="141"/>
      <c r="BV218" s="141"/>
      <c r="BW218" s="141"/>
      <c r="BX218" s="130">
        <f t="shared" si="92"/>
        <v>0</v>
      </c>
      <c r="BY218" s="132"/>
    </row>
    <row r="219" ht="15.75" customHeight="1">
      <c r="B219" s="215">
        <v>46217</v>
      </c>
      <c r="C219" s="379"/>
      <c r="D219" s="136"/>
      <c r="E219" s="135"/>
      <c r="F219" s="135"/>
      <c r="G219" s="147">
        <f t="shared" si="84"/>
        <v>0</v>
      </c>
      <c r="H219" s="1469"/>
      <c r="I219" s="142"/>
      <c r="J219" s="1470"/>
      <c r="K219" s="1470"/>
      <c r="L219" s="1470"/>
      <c r="M219" s="1470"/>
      <c r="N219" s="1470"/>
      <c r="O219" s="1470"/>
      <c r="P219" s="1470"/>
      <c r="Q219" s="1470"/>
      <c r="R219" s="1470"/>
      <c r="S219" s="1470"/>
      <c r="T219" s="1470"/>
      <c r="U219" s="1470"/>
      <c r="V219" s="1470"/>
      <c r="W219" s="1470"/>
      <c r="X219" s="103">
        <f t="shared" si="85"/>
        <v>0</v>
      </c>
      <c r="Y219" s="1470"/>
      <c r="Z219" s="1470"/>
      <c r="AA219" s="143"/>
      <c r="AB219" s="143"/>
      <c r="AC219" s="143"/>
      <c r="AD219" s="143"/>
      <c r="AE219" s="143"/>
      <c r="AF219" s="143"/>
      <c r="AG219" s="143"/>
      <c r="AH219" s="143"/>
      <c r="AI219" s="99"/>
      <c r="AJ219" s="99"/>
      <c r="AK219" s="99"/>
      <c r="AL219" s="103">
        <f t="shared" si="86"/>
        <v>0</v>
      </c>
      <c r="AM219" s="136"/>
      <c r="AN219" s="136"/>
      <c r="AO219" s="136"/>
      <c r="AP219" s="105">
        <f t="shared" si="87"/>
        <v>0</v>
      </c>
      <c r="AQ219" s="136"/>
      <c r="AR219" s="136"/>
      <c r="AS219" s="136"/>
      <c r="AT219" s="135"/>
      <c r="AU219" s="224">
        <f t="shared" si="88"/>
        <v>0</v>
      </c>
      <c r="AV219" s="126"/>
      <c r="AW219" s="274"/>
      <c r="AX219" s="126"/>
      <c r="AY219" s="126"/>
      <c r="AZ219" s="126"/>
      <c r="BA219" s="126"/>
      <c r="BB219" s="141"/>
      <c r="BC219" s="152"/>
      <c r="BD219" s="152"/>
      <c r="BE219" s="152"/>
      <c r="BF219" s="152"/>
      <c r="BG219" s="308">
        <f t="shared" si="89"/>
        <v>0</v>
      </c>
      <c r="BH219" s="140">
        <f t="shared" si="90"/>
        <v>0</v>
      </c>
      <c r="BI219" s="132"/>
      <c r="BJ219" s="140">
        <f t="shared" si="91"/>
        <v>0</v>
      </c>
      <c r="BK219" s="141"/>
      <c r="BL219" s="141"/>
      <c r="BM219" s="141"/>
      <c r="BN219" s="141"/>
      <c r="BO219" s="141"/>
      <c r="BP219" s="141"/>
      <c r="BQ219" s="141"/>
      <c r="BR219" s="141"/>
      <c r="BS219" s="141"/>
      <c r="BT219" s="141"/>
      <c r="BU219" s="141"/>
      <c r="BV219" s="141"/>
      <c r="BW219" s="141"/>
      <c r="BX219" s="130">
        <f t="shared" si="92"/>
        <v>0</v>
      </c>
      <c r="BY219" s="132"/>
    </row>
    <row r="220" ht="15.75" customHeight="1">
      <c r="B220" s="215">
        <v>46218</v>
      </c>
      <c r="C220" s="379"/>
      <c r="D220" s="136"/>
      <c r="E220" s="135"/>
      <c r="F220" s="135"/>
      <c r="G220" s="147">
        <f t="shared" si="84"/>
        <v>0</v>
      </c>
      <c r="H220" s="1469"/>
      <c r="I220" s="1470"/>
      <c r="J220" s="1470"/>
      <c r="K220" s="1470"/>
      <c r="L220" s="1470"/>
      <c r="M220" s="1470"/>
      <c r="N220" s="1470"/>
      <c r="O220" s="1470"/>
      <c r="P220" s="1470"/>
      <c r="Q220" s="1470"/>
      <c r="R220" s="1470"/>
      <c r="S220" s="1470"/>
      <c r="T220" s="1470"/>
      <c r="U220" s="1470"/>
      <c r="V220" s="1470"/>
      <c r="W220" s="1470"/>
      <c r="X220" s="103">
        <f t="shared" si="85"/>
        <v>0</v>
      </c>
      <c r="Y220" s="1470"/>
      <c r="Z220" s="1470"/>
      <c r="AA220" s="143"/>
      <c r="AB220" s="143"/>
      <c r="AC220" s="143"/>
      <c r="AD220" s="143"/>
      <c r="AE220" s="143"/>
      <c r="AF220" s="143"/>
      <c r="AG220" s="143"/>
      <c r="AH220" s="143"/>
      <c r="AI220" s="99"/>
      <c r="AJ220" s="99"/>
      <c r="AK220" s="99"/>
      <c r="AL220" s="103">
        <f t="shared" si="86"/>
        <v>0</v>
      </c>
      <c r="AM220" s="136"/>
      <c r="AN220" s="136"/>
      <c r="AO220" s="136"/>
      <c r="AP220" s="105">
        <f t="shared" si="87"/>
        <v>0</v>
      </c>
      <c r="AQ220" s="136"/>
      <c r="AR220" s="136"/>
      <c r="AS220" s="136"/>
      <c r="AT220" s="135"/>
      <c r="AU220" s="224">
        <f t="shared" si="88"/>
        <v>0</v>
      </c>
      <c r="AV220" s="126"/>
      <c r="AW220" s="274"/>
      <c r="AX220" s="126"/>
      <c r="AY220" s="126"/>
      <c r="AZ220" s="126"/>
      <c r="BA220" s="126"/>
      <c r="BB220" s="141"/>
      <c r="BC220" s="152"/>
      <c r="BD220" s="152"/>
      <c r="BE220" s="152"/>
      <c r="BF220" s="152"/>
      <c r="BG220" s="308">
        <f t="shared" si="89"/>
        <v>0</v>
      </c>
      <c r="BH220" s="140">
        <f t="shared" si="90"/>
        <v>0</v>
      </c>
      <c r="BI220" s="132"/>
      <c r="BJ220" s="140">
        <f t="shared" si="91"/>
        <v>0</v>
      </c>
      <c r="BK220" s="141"/>
      <c r="BL220" s="141"/>
      <c r="BM220" s="141"/>
      <c r="BN220" s="141"/>
      <c r="BO220" s="141"/>
      <c r="BP220" s="141"/>
      <c r="BQ220" s="141"/>
      <c r="BR220" s="141"/>
      <c r="BS220" s="141"/>
      <c r="BT220" s="141"/>
      <c r="BU220" s="141"/>
      <c r="BV220" s="141"/>
      <c r="BW220" s="141"/>
      <c r="BX220" s="130">
        <f t="shared" si="92"/>
        <v>0</v>
      </c>
      <c r="BY220" s="132"/>
    </row>
    <row r="221" ht="15.75" customHeight="1">
      <c r="B221" s="215">
        <v>46219</v>
      </c>
      <c r="C221" s="379"/>
      <c r="D221" s="136"/>
      <c r="E221" s="135"/>
      <c r="F221" s="135"/>
      <c r="G221" s="147">
        <f t="shared" si="84"/>
        <v>0</v>
      </c>
      <c r="H221" s="1469"/>
      <c r="I221" s="1470"/>
      <c r="J221" s="1470"/>
      <c r="K221" s="1470"/>
      <c r="L221" s="1470"/>
      <c r="M221" s="1470"/>
      <c r="N221" s="1470"/>
      <c r="O221" s="1470"/>
      <c r="P221" s="1470"/>
      <c r="Q221" s="1470"/>
      <c r="R221" s="1470"/>
      <c r="S221" s="1470"/>
      <c r="T221" s="1470"/>
      <c r="U221" s="1470"/>
      <c r="V221" s="1470"/>
      <c r="W221" s="1470"/>
      <c r="X221" s="103">
        <f t="shared" si="85"/>
        <v>0</v>
      </c>
      <c r="Y221" s="1470"/>
      <c r="Z221" s="1470"/>
      <c r="AA221" s="143"/>
      <c r="AB221" s="143"/>
      <c r="AC221" s="143"/>
      <c r="AD221" s="143"/>
      <c r="AE221" s="143"/>
      <c r="AF221" s="143"/>
      <c r="AG221" s="143"/>
      <c r="AH221" s="143"/>
      <c r="AI221" s="99"/>
      <c r="AJ221" s="99"/>
      <c r="AK221" s="99"/>
      <c r="AL221" s="103">
        <f t="shared" si="86"/>
        <v>0</v>
      </c>
      <c r="AM221" s="136"/>
      <c r="AN221" s="136"/>
      <c r="AO221" s="136"/>
      <c r="AP221" s="105">
        <f t="shared" si="87"/>
        <v>0</v>
      </c>
      <c r="AQ221" s="136"/>
      <c r="AR221" s="136"/>
      <c r="AS221" s="136"/>
      <c r="AT221" s="135"/>
      <c r="AU221" s="224">
        <f t="shared" si="88"/>
        <v>0</v>
      </c>
      <c r="AV221" s="126"/>
      <c r="AW221" s="274"/>
      <c r="AX221" s="126"/>
      <c r="AY221" s="126"/>
      <c r="AZ221" s="126"/>
      <c r="BA221" s="126"/>
      <c r="BB221" s="141"/>
      <c r="BC221" s="152"/>
      <c r="BD221" s="152"/>
      <c r="BE221" s="152"/>
      <c r="BF221" s="152"/>
      <c r="BG221" s="308">
        <f t="shared" si="89"/>
        <v>0</v>
      </c>
      <c r="BH221" s="140">
        <f t="shared" si="90"/>
        <v>0</v>
      </c>
      <c r="BI221" s="132"/>
      <c r="BJ221" s="140">
        <f t="shared" si="91"/>
        <v>0</v>
      </c>
      <c r="BK221" s="141"/>
      <c r="BL221" s="141"/>
      <c r="BM221" s="141"/>
      <c r="BN221" s="141"/>
      <c r="BO221" s="141"/>
      <c r="BP221" s="141"/>
      <c r="BQ221" s="141"/>
      <c r="BR221" s="141"/>
      <c r="BS221" s="141"/>
      <c r="BT221" s="141"/>
      <c r="BU221" s="141"/>
      <c r="BV221" s="141"/>
      <c r="BW221" s="141"/>
      <c r="BX221" s="130">
        <f t="shared" si="92"/>
        <v>0</v>
      </c>
      <c r="BY221" s="132"/>
    </row>
    <row r="222" ht="15.75" customHeight="1">
      <c r="B222" s="215">
        <v>46220</v>
      </c>
      <c r="C222" s="379"/>
      <c r="D222" s="136"/>
      <c r="E222" s="135"/>
      <c r="F222" s="135"/>
      <c r="G222" s="147">
        <f t="shared" si="84"/>
        <v>0</v>
      </c>
      <c r="H222" s="1474"/>
      <c r="I222" s="142"/>
      <c r="J222" s="1470"/>
      <c r="K222" s="1470"/>
      <c r="L222" s="1470"/>
      <c r="M222" s="1470"/>
      <c r="N222" s="1470"/>
      <c r="O222" s="1470"/>
      <c r="P222" s="1470"/>
      <c r="Q222" s="1470"/>
      <c r="R222" s="1470"/>
      <c r="S222" s="1470"/>
      <c r="T222" s="1470"/>
      <c r="U222" s="1470"/>
      <c r="V222" s="1470"/>
      <c r="W222" s="1470"/>
      <c r="X222" s="103">
        <f t="shared" si="85"/>
        <v>0</v>
      </c>
      <c r="Y222" s="1470"/>
      <c r="Z222" s="1470"/>
      <c r="AA222" s="143"/>
      <c r="AB222" s="143"/>
      <c r="AC222" s="143"/>
      <c r="AD222" s="143"/>
      <c r="AE222" s="143"/>
      <c r="AF222" s="143"/>
      <c r="AG222" s="143"/>
      <c r="AH222" s="143"/>
      <c r="AI222" s="99"/>
      <c r="AJ222" s="99"/>
      <c r="AK222" s="99"/>
      <c r="AL222" s="103">
        <f t="shared" si="86"/>
        <v>0</v>
      </c>
      <c r="AM222" s="136"/>
      <c r="AN222" s="136"/>
      <c r="AO222" s="136"/>
      <c r="AP222" s="105">
        <f t="shared" si="87"/>
        <v>0</v>
      </c>
      <c r="AQ222" s="136"/>
      <c r="AR222" s="136"/>
      <c r="AS222" s="136"/>
      <c r="AT222" s="135"/>
      <c r="AU222" s="224">
        <f t="shared" si="88"/>
        <v>0</v>
      </c>
      <c r="AV222" s="126"/>
      <c r="AW222" s="274"/>
      <c r="AX222" s="126"/>
      <c r="AY222" s="126"/>
      <c r="AZ222" s="126"/>
      <c r="BA222" s="126"/>
      <c r="BB222" s="141"/>
      <c r="BC222" s="152"/>
      <c r="BD222" s="152"/>
      <c r="BE222" s="152"/>
      <c r="BF222" s="152"/>
      <c r="BG222" s="308">
        <f t="shared" si="89"/>
        <v>0</v>
      </c>
      <c r="BH222" s="140">
        <f t="shared" si="90"/>
        <v>0</v>
      </c>
      <c r="BI222" s="132"/>
      <c r="BJ222" s="140">
        <f t="shared" si="91"/>
        <v>0</v>
      </c>
      <c r="BK222" s="141"/>
      <c r="BL222" s="141"/>
      <c r="BM222" s="141"/>
      <c r="BN222" s="141"/>
      <c r="BO222" s="141"/>
      <c r="BP222" s="141"/>
      <c r="BQ222" s="141"/>
      <c r="BR222" s="141"/>
      <c r="BS222" s="141"/>
      <c r="BT222" s="141"/>
      <c r="BU222" s="141"/>
      <c r="BV222" s="141"/>
      <c r="BW222" s="141"/>
      <c r="BX222" s="130">
        <f t="shared" si="92"/>
        <v>0</v>
      </c>
      <c r="BY222" s="132"/>
    </row>
    <row r="223" ht="15.75" customHeight="1">
      <c r="B223" s="215">
        <v>46221</v>
      </c>
      <c r="C223" s="379"/>
      <c r="D223" s="136"/>
      <c r="E223" s="135"/>
      <c r="F223" s="135"/>
      <c r="G223" s="147">
        <f t="shared" si="84"/>
        <v>0</v>
      </c>
      <c r="H223" s="1469"/>
      <c r="I223" s="1470"/>
      <c r="J223" s="1470"/>
      <c r="K223" s="1470"/>
      <c r="L223" s="1470"/>
      <c r="M223" s="1470"/>
      <c r="N223" s="1470"/>
      <c r="O223" s="1470"/>
      <c r="P223" s="1470"/>
      <c r="Q223" s="1470"/>
      <c r="R223" s="1470"/>
      <c r="S223" s="1470"/>
      <c r="T223" s="1470"/>
      <c r="U223" s="1470"/>
      <c r="V223" s="1470"/>
      <c r="W223" s="1470"/>
      <c r="X223" s="103">
        <f t="shared" si="85"/>
        <v>0</v>
      </c>
      <c r="Y223" s="1470"/>
      <c r="Z223" s="1470"/>
      <c r="AA223" s="143"/>
      <c r="AB223" s="143"/>
      <c r="AC223" s="143"/>
      <c r="AD223" s="143"/>
      <c r="AE223" s="143"/>
      <c r="AF223" s="143"/>
      <c r="AG223" s="143"/>
      <c r="AH223" s="143"/>
      <c r="AI223" s="99"/>
      <c r="AJ223" s="99"/>
      <c r="AK223" s="99"/>
      <c r="AL223" s="103">
        <f t="shared" si="86"/>
        <v>0</v>
      </c>
      <c r="AM223" s="136"/>
      <c r="AN223" s="136"/>
      <c r="AO223" s="136"/>
      <c r="AP223" s="105">
        <f t="shared" si="87"/>
        <v>0</v>
      </c>
      <c r="AQ223" s="136"/>
      <c r="AR223" s="136"/>
      <c r="AS223" s="136"/>
      <c r="AT223" s="135"/>
      <c r="AU223" s="224">
        <f t="shared" si="88"/>
        <v>0</v>
      </c>
      <c r="AV223" s="126"/>
      <c r="AW223" s="274"/>
      <c r="AX223" s="126"/>
      <c r="AY223" s="126"/>
      <c r="AZ223" s="126"/>
      <c r="BA223" s="126"/>
      <c r="BB223" s="141"/>
      <c r="BC223" s="152"/>
      <c r="BD223" s="152"/>
      <c r="BE223" s="152"/>
      <c r="BF223" s="152"/>
      <c r="BG223" s="308">
        <f t="shared" si="89"/>
        <v>0</v>
      </c>
      <c r="BH223" s="140">
        <f t="shared" si="90"/>
        <v>0</v>
      </c>
      <c r="BI223" s="132"/>
      <c r="BJ223" s="140">
        <f t="shared" si="91"/>
        <v>0</v>
      </c>
      <c r="BK223" s="141"/>
      <c r="BL223" s="141"/>
      <c r="BM223" s="141"/>
      <c r="BN223" s="141"/>
      <c r="BO223" s="141"/>
      <c r="BP223" s="141"/>
      <c r="BQ223" s="141"/>
      <c r="BR223" s="141"/>
      <c r="BS223" s="141"/>
      <c r="BT223" s="141"/>
      <c r="BU223" s="141"/>
      <c r="BV223" s="141"/>
      <c r="BW223" s="141"/>
      <c r="BX223" s="130">
        <f t="shared" si="92"/>
        <v>0</v>
      </c>
      <c r="BY223" s="132"/>
    </row>
    <row r="224" ht="15.75" customHeight="1">
      <c r="B224" s="215">
        <v>46222</v>
      </c>
      <c r="C224" s="379"/>
      <c r="D224" s="136"/>
      <c r="E224" s="135"/>
      <c r="F224" s="135"/>
      <c r="G224" s="147">
        <f t="shared" si="84"/>
        <v>0</v>
      </c>
      <c r="H224" s="1469"/>
      <c r="I224" s="1470"/>
      <c r="J224" s="1470"/>
      <c r="K224" s="1470"/>
      <c r="L224" s="1470"/>
      <c r="M224" s="1470"/>
      <c r="N224" s="1470"/>
      <c r="O224" s="1470"/>
      <c r="P224" s="1470"/>
      <c r="Q224" s="1470"/>
      <c r="R224" s="1470"/>
      <c r="S224" s="1470"/>
      <c r="T224" s="1470"/>
      <c r="U224" s="1470"/>
      <c r="V224" s="1470"/>
      <c r="W224" s="1470"/>
      <c r="X224" s="103">
        <f t="shared" si="85"/>
        <v>0</v>
      </c>
      <c r="Y224" s="1470"/>
      <c r="Z224" s="1470"/>
      <c r="AA224" s="143"/>
      <c r="AB224" s="143"/>
      <c r="AC224" s="143"/>
      <c r="AD224" s="143"/>
      <c r="AE224" s="143"/>
      <c r="AF224" s="143"/>
      <c r="AG224" s="143"/>
      <c r="AH224" s="143"/>
      <c r="AI224" s="99"/>
      <c r="AJ224" s="99"/>
      <c r="AK224" s="99"/>
      <c r="AL224" s="103">
        <f t="shared" si="86"/>
        <v>0</v>
      </c>
      <c r="AM224" s="136"/>
      <c r="AN224" s="136"/>
      <c r="AO224" s="136"/>
      <c r="AP224" s="105">
        <f t="shared" si="87"/>
        <v>0</v>
      </c>
      <c r="AQ224" s="136"/>
      <c r="AR224" s="136"/>
      <c r="AS224" s="136"/>
      <c r="AT224" s="135"/>
      <c r="AU224" s="224">
        <f t="shared" si="88"/>
        <v>0</v>
      </c>
      <c r="AV224" s="126"/>
      <c r="AW224" s="274"/>
      <c r="AX224" s="126"/>
      <c r="AY224" s="126"/>
      <c r="AZ224" s="126"/>
      <c r="BA224" s="126"/>
      <c r="BB224" s="141"/>
      <c r="BC224" s="152"/>
      <c r="BD224" s="152"/>
      <c r="BE224" s="152"/>
      <c r="BF224" s="152"/>
      <c r="BG224" s="308">
        <f t="shared" si="89"/>
        <v>0</v>
      </c>
      <c r="BH224" s="140">
        <f t="shared" si="90"/>
        <v>0</v>
      </c>
      <c r="BI224" s="132"/>
      <c r="BJ224" s="140">
        <f t="shared" si="91"/>
        <v>0</v>
      </c>
      <c r="BK224" s="141"/>
      <c r="BL224" s="141"/>
      <c r="BM224" s="141"/>
      <c r="BN224" s="141"/>
      <c r="BO224" s="141"/>
      <c r="BP224" s="141"/>
      <c r="BQ224" s="141"/>
      <c r="BR224" s="141"/>
      <c r="BS224" s="141"/>
      <c r="BT224" s="141"/>
      <c r="BU224" s="141"/>
      <c r="BV224" s="141"/>
      <c r="BW224" s="141"/>
      <c r="BX224" s="130">
        <f t="shared" si="92"/>
        <v>0</v>
      </c>
      <c r="BY224" s="132"/>
    </row>
    <row r="225" ht="15.75" customHeight="1">
      <c r="B225" s="215">
        <v>46223</v>
      </c>
      <c r="C225" s="379"/>
      <c r="D225" s="136"/>
      <c r="E225" s="135"/>
      <c r="F225" s="135"/>
      <c r="G225" s="147">
        <f t="shared" si="84"/>
        <v>0</v>
      </c>
      <c r="H225" s="1474"/>
      <c r="I225" s="142"/>
      <c r="J225" s="1470"/>
      <c r="K225" s="1470"/>
      <c r="L225" s="1470"/>
      <c r="M225" s="1470"/>
      <c r="N225" s="1470"/>
      <c r="O225" s="1470"/>
      <c r="P225" s="1470"/>
      <c r="Q225" s="1470"/>
      <c r="R225" s="1470"/>
      <c r="S225" s="1470"/>
      <c r="T225" s="1470"/>
      <c r="U225" s="1470"/>
      <c r="V225" s="1470"/>
      <c r="W225" s="1470"/>
      <c r="X225" s="103">
        <f t="shared" si="85"/>
        <v>0</v>
      </c>
      <c r="Y225" s="1470"/>
      <c r="Z225" s="1470"/>
      <c r="AA225" s="143"/>
      <c r="AB225" s="143"/>
      <c r="AC225" s="143"/>
      <c r="AD225" s="143"/>
      <c r="AE225" s="143"/>
      <c r="AF225" s="143"/>
      <c r="AG225" s="143"/>
      <c r="AH225" s="143"/>
      <c r="AI225" s="99"/>
      <c r="AJ225" s="99"/>
      <c r="AK225" s="99"/>
      <c r="AL225" s="103">
        <f t="shared" si="86"/>
        <v>0</v>
      </c>
      <c r="AM225" s="136"/>
      <c r="AN225" s="136"/>
      <c r="AO225" s="136"/>
      <c r="AP225" s="105">
        <f t="shared" si="87"/>
        <v>0</v>
      </c>
      <c r="AQ225" s="136"/>
      <c r="AR225" s="136"/>
      <c r="AS225" s="136"/>
      <c r="AT225" s="135"/>
      <c r="AU225" s="224">
        <f t="shared" si="88"/>
        <v>0</v>
      </c>
      <c r="AV225" s="126"/>
      <c r="AW225" s="274"/>
      <c r="AX225" s="126"/>
      <c r="AY225" s="126"/>
      <c r="AZ225" s="126"/>
      <c r="BA225" s="126"/>
      <c r="BB225" s="141"/>
      <c r="BC225" s="152"/>
      <c r="BD225" s="152"/>
      <c r="BE225" s="152"/>
      <c r="BF225" s="152"/>
      <c r="BG225" s="308">
        <f t="shared" si="89"/>
        <v>0</v>
      </c>
      <c r="BH225" s="140">
        <f t="shared" si="90"/>
        <v>0</v>
      </c>
      <c r="BI225" s="132"/>
      <c r="BJ225" s="140">
        <f t="shared" si="91"/>
        <v>0</v>
      </c>
      <c r="BK225" s="141"/>
      <c r="BL225" s="141"/>
      <c r="BM225" s="141"/>
      <c r="BN225" s="141"/>
      <c r="BO225" s="141"/>
      <c r="BP225" s="141"/>
      <c r="BQ225" s="141"/>
      <c r="BR225" s="141"/>
      <c r="BS225" s="141"/>
      <c r="BT225" s="141"/>
      <c r="BU225" s="141"/>
      <c r="BV225" s="141"/>
      <c r="BW225" s="141"/>
      <c r="BX225" s="130">
        <f t="shared" si="92"/>
        <v>0</v>
      </c>
      <c r="BY225" s="132"/>
    </row>
    <row r="226" ht="15.75" customHeight="1">
      <c r="B226" s="215">
        <v>46224</v>
      </c>
      <c r="C226" s="379"/>
      <c r="D226" s="136"/>
      <c r="E226" s="135"/>
      <c r="F226" s="135"/>
      <c r="G226" s="147">
        <f t="shared" si="84"/>
        <v>0</v>
      </c>
      <c r="H226" s="1469"/>
      <c r="I226" s="1470"/>
      <c r="J226" s="1470"/>
      <c r="K226" s="1470"/>
      <c r="L226" s="1470"/>
      <c r="M226" s="1470"/>
      <c r="N226" s="1470"/>
      <c r="O226" s="1470"/>
      <c r="P226" s="1470"/>
      <c r="Q226" s="1470"/>
      <c r="R226" s="1470"/>
      <c r="S226" s="1470"/>
      <c r="T226" s="1470"/>
      <c r="U226" s="1470"/>
      <c r="V226" s="136"/>
      <c r="W226" s="136"/>
      <c r="X226" s="103">
        <f t="shared" si="85"/>
        <v>0</v>
      </c>
      <c r="Y226" s="1470"/>
      <c r="Z226" s="1470"/>
      <c r="AA226" s="143"/>
      <c r="AB226" s="143"/>
      <c r="AC226" s="143"/>
      <c r="AD226" s="143"/>
      <c r="AE226" s="143"/>
      <c r="AF226" s="143"/>
      <c r="AG226" s="143"/>
      <c r="AH226" s="143"/>
      <c r="AI226" s="99"/>
      <c r="AJ226" s="99"/>
      <c r="AK226" s="99"/>
      <c r="AL226" s="103">
        <f t="shared" si="86"/>
        <v>0</v>
      </c>
      <c r="AM226" s="136"/>
      <c r="AN226" s="136"/>
      <c r="AO226" s="136"/>
      <c r="AP226" s="105">
        <f t="shared" si="87"/>
        <v>0</v>
      </c>
      <c r="AQ226" s="136"/>
      <c r="AR226" s="136"/>
      <c r="AS226" s="136"/>
      <c r="AT226" s="135"/>
      <c r="AU226" s="224">
        <f t="shared" si="88"/>
        <v>0</v>
      </c>
      <c r="AV226" s="126"/>
      <c r="AW226" s="274"/>
      <c r="AX226" s="126"/>
      <c r="AY226" s="126"/>
      <c r="AZ226" s="126"/>
      <c r="BA226" s="126"/>
      <c r="BB226" s="141"/>
      <c r="BC226" s="152"/>
      <c r="BD226" s="152"/>
      <c r="BE226" s="152"/>
      <c r="BF226" s="152"/>
      <c r="BG226" s="308">
        <f t="shared" si="89"/>
        <v>0</v>
      </c>
      <c r="BH226" s="140">
        <f t="shared" si="90"/>
        <v>0</v>
      </c>
      <c r="BI226" s="132"/>
      <c r="BJ226" s="140">
        <f t="shared" si="91"/>
        <v>0</v>
      </c>
      <c r="BK226" s="141"/>
      <c r="BL226" s="141"/>
      <c r="BM226" s="141"/>
      <c r="BN226" s="141"/>
      <c r="BO226" s="141"/>
      <c r="BP226" s="141"/>
      <c r="BQ226" s="141"/>
      <c r="BR226" s="141"/>
      <c r="BS226" s="141"/>
      <c r="BT226" s="141"/>
      <c r="BU226" s="141"/>
      <c r="BV226" s="141"/>
      <c r="BW226" s="141"/>
      <c r="BX226" s="130">
        <f t="shared" si="92"/>
        <v>0</v>
      </c>
      <c r="BY226" s="132"/>
    </row>
    <row r="227" ht="15.75" customHeight="1">
      <c r="B227" s="215">
        <v>46225</v>
      </c>
      <c r="C227" s="379"/>
      <c r="D227" s="136"/>
      <c r="E227" s="135"/>
      <c r="F227" s="135"/>
      <c r="G227" s="147">
        <f t="shared" si="84"/>
        <v>0</v>
      </c>
      <c r="H227" s="1469"/>
      <c r="I227" s="1470"/>
      <c r="J227" s="1470"/>
      <c r="K227" s="1470"/>
      <c r="L227" s="1470"/>
      <c r="M227" s="1470"/>
      <c r="N227" s="1470"/>
      <c r="O227" s="1470"/>
      <c r="P227" s="1470"/>
      <c r="Q227" s="1470"/>
      <c r="R227" s="1470"/>
      <c r="S227" s="1470"/>
      <c r="T227" s="1470"/>
      <c r="U227" s="1470"/>
      <c r="V227" s="1470"/>
      <c r="W227" s="1470"/>
      <c r="X227" s="103">
        <f t="shared" si="85"/>
        <v>0</v>
      </c>
      <c r="Y227" s="1470"/>
      <c r="Z227" s="1470"/>
      <c r="AA227" s="143"/>
      <c r="AB227" s="143"/>
      <c r="AC227" s="143"/>
      <c r="AD227" s="143"/>
      <c r="AE227" s="143"/>
      <c r="AF227" s="143"/>
      <c r="AG227" s="143"/>
      <c r="AH227" s="143"/>
      <c r="AI227" s="99"/>
      <c r="AJ227" s="99"/>
      <c r="AK227" s="99"/>
      <c r="AL227" s="103">
        <f t="shared" si="86"/>
        <v>0</v>
      </c>
      <c r="AM227" s="136"/>
      <c r="AN227" s="136"/>
      <c r="AO227" s="136"/>
      <c r="AP227" s="105">
        <f t="shared" si="87"/>
        <v>0</v>
      </c>
      <c r="AQ227" s="136"/>
      <c r="AR227" s="136"/>
      <c r="AS227" s="136"/>
      <c r="AT227" s="135"/>
      <c r="AU227" s="224">
        <f t="shared" si="88"/>
        <v>0</v>
      </c>
      <c r="AV227" s="126"/>
      <c r="AW227" s="274"/>
      <c r="AX227" s="126"/>
      <c r="AY227" s="126"/>
      <c r="AZ227" s="126"/>
      <c r="BA227" s="126"/>
      <c r="BB227" s="141"/>
      <c r="BC227" s="152"/>
      <c r="BD227" s="152"/>
      <c r="BE227" s="152"/>
      <c r="BF227" s="152"/>
      <c r="BG227" s="308">
        <f t="shared" si="89"/>
        <v>0</v>
      </c>
      <c r="BH227" s="140">
        <f t="shared" si="90"/>
        <v>0</v>
      </c>
      <c r="BI227" s="132"/>
      <c r="BJ227" s="140">
        <f t="shared" si="91"/>
        <v>0</v>
      </c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30">
        <f t="shared" si="92"/>
        <v>0</v>
      </c>
      <c r="BY227" s="132"/>
    </row>
    <row r="228" ht="15.75" customHeight="1">
      <c r="B228" s="215">
        <v>46226</v>
      </c>
      <c r="C228" s="379"/>
      <c r="D228" s="136"/>
      <c r="E228" s="135"/>
      <c r="F228" s="135"/>
      <c r="G228" s="147">
        <f t="shared" si="84"/>
        <v>0</v>
      </c>
      <c r="H228" s="1475"/>
      <c r="I228" s="142"/>
      <c r="J228" s="1470"/>
      <c r="K228" s="1470"/>
      <c r="L228" s="1470"/>
      <c r="M228" s="1470"/>
      <c r="N228" s="1470"/>
      <c r="O228" s="1470"/>
      <c r="P228" s="1470"/>
      <c r="Q228" s="1470"/>
      <c r="R228" s="1470"/>
      <c r="S228" s="1470"/>
      <c r="T228" s="1470"/>
      <c r="U228" s="1470"/>
      <c r="V228" s="1470"/>
      <c r="W228" s="1470"/>
      <c r="X228" s="103">
        <f t="shared" si="85"/>
        <v>0</v>
      </c>
      <c r="Y228" s="1470"/>
      <c r="Z228" s="1470"/>
      <c r="AA228" s="143"/>
      <c r="AB228" s="143"/>
      <c r="AC228" s="143"/>
      <c r="AD228" s="143"/>
      <c r="AE228" s="143"/>
      <c r="AF228" s="143"/>
      <c r="AG228" s="143"/>
      <c r="AH228" s="143"/>
      <c r="AI228" s="99"/>
      <c r="AJ228" s="99"/>
      <c r="AK228" s="99"/>
      <c r="AL228" s="103">
        <f t="shared" si="86"/>
        <v>0</v>
      </c>
      <c r="AM228" s="136"/>
      <c r="AN228" s="136"/>
      <c r="AO228" s="136"/>
      <c r="AP228" s="105">
        <f t="shared" si="87"/>
        <v>0</v>
      </c>
      <c r="AQ228" s="136"/>
      <c r="AR228" s="136"/>
      <c r="AS228" s="136"/>
      <c r="AT228" s="135"/>
      <c r="AU228" s="224">
        <f t="shared" si="88"/>
        <v>0</v>
      </c>
      <c r="AV228" s="126"/>
      <c r="AW228" s="274"/>
      <c r="AX228" s="126"/>
      <c r="AY228" s="126"/>
      <c r="AZ228" s="126"/>
      <c r="BA228" s="126"/>
      <c r="BB228" s="141"/>
      <c r="BC228" s="152"/>
      <c r="BD228" s="152"/>
      <c r="BE228" s="152"/>
      <c r="BF228" s="152"/>
      <c r="BG228" s="308">
        <f t="shared" si="89"/>
        <v>0</v>
      </c>
      <c r="BH228" s="140">
        <f t="shared" si="90"/>
        <v>0</v>
      </c>
      <c r="BI228" s="132"/>
      <c r="BJ228" s="140">
        <f t="shared" si="91"/>
        <v>0</v>
      </c>
      <c r="BK228" s="141"/>
      <c r="BL228" s="141"/>
      <c r="BM228" s="141"/>
      <c r="BN228" s="141"/>
      <c r="BO228" s="141"/>
      <c r="BP228" s="141"/>
      <c r="BQ228" s="141"/>
      <c r="BR228" s="141"/>
      <c r="BS228" s="141"/>
      <c r="BT228" s="141"/>
      <c r="BU228" s="141"/>
      <c r="BV228" s="141"/>
      <c r="BW228" s="141"/>
      <c r="BX228" s="130">
        <f t="shared" si="92"/>
        <v>0</v>
      </c>
      <c r="BY228" s="132"/>
    </row>
    <row r="229" ht="15.75" customHeight="1">
      <c r="B229" s="215">
        <v>46227</v>
      </c>
      <c r="C229" s="379"/>
      <c r="D229" s="136"/>
      <c r="E229" s="135"/>
      <c r="F229" s="135"/>
      <c r="G229" s="147">
        <f t="shared" si="84"/>
        <v>0</v>
      </c>
      <c r="H229" s="1475"/>
      <c r="I229" s="1470"/>
      <c r="J229" s="1470"/>
      <c r="K229" s="1470"/>
      <c r="L229" s="1470"/>
      <c r="M229" s="1470"/>
      <c r="N229" s="1470"/>
      <c r="O229" s="1470"/>
      <c r="P229" s="1470"/>
      <c r="Q229" s="1470"/>
      <c r="R229" s="1470"/>
      <c r="S229" s="1470"/>
      <c r="T229" s="1470"/>
      <c r="U229" s="1470"/>
      <c r="V229" s="1470"/>
      <c r="W229" s="1470"/>
      <c r="X229" s="103">
        <f t="shared" si="85"/>
        <v>0</v>
      </c>
      <c r="Y229" s="1470"/>
      <c r="Z229" s="1470"/>
      <c r="AA229" s="143"/>
      <c r="AB229" s="143"/>
      <c r="AC229" s="143"/>
      <c r="AD229" s="143"/>
      <c r="AE229" s="143"/>
      <c r="AF229" s="143"/>
      <c r="AG229" s="143"/>
      <c r="AH229" s="143"/>
      <c r="AI229" s="99"/>
      <c r="AJ229" s="99"/>
      <c r="AK229" s="99"/>
      <c r="AL229" s="103">
        <f t="shared" si="86"/>
        <v>0</v>
      </c>
      <c r="AM229" s="136"/>
      <c r="AN229" s="136"/>
      <c r="AO229" s="136"/>
      <c r="AP229" s="105">
        <f t="shared" si="87"/>
        <v>0</v>
      </c>
      <c r="AQ229" s="136"/>
      <c r="AR229" s="136"/>
      <c r="AS229" s="136"/>
      <c r="AT229" s="135"/>
      <c r="AU229" s="224">
        <f t="shared" si="88"/>
        <v>0</v>
      </c>
      <c r="AV229" s="126"/>
      <c r="AW229" s="274"/>
      <c r="AX229" s="126"/>
      <c r="AY229" s="126"/>
      <c r="AZ229" s="126"/>
      <c r="BA229" s="126"/>
      <c r="BB229" s="141"/>
      <c r="BC229" s="152"/>
      <c r="BD229" s="152"/>
      <c r="BE229" s="152"/>
      <c r="BF229" s="152"/>
      <c r="BG229" s="308">
        <f t="shared" si="89"/>
        <v>0</v>
      </c>
      <c r="BH229" s="140">
        <f t="shared" si="90"/>
        <v>0</v>
      </c>
      <c r="BI229" s="132"/>
      <c r="BJ229" s="140">
        <f t="shared" si="91"/>
        <v>0</v>
      </c>
      <c r="BK229" s="141"/>
      <c r="BL229" s="141"/>
      <c r="BM229" s="141"/>
      <c r="BN229" s="141"/>
      <c r="BO229" s="141"/>
      <c r="BP229" s="141"/>
      <c r="BQ229" s="141"/>
      <c r="BR229" s="141"/>
      <c r="BS229" s="141"/>
      <c r="BT229" s="141"/>
      <c r="BU229" s="141"/>
      <c r="BV229" s="141"/>
      <c r="BW229" s="141"/>
      <c r="BX229" s="130">
        <f t="shared" si="92"/>
        <v>0</v>
      </c>
      <c r="BY229" s="132"/>
    </row>
    <row r="230" ht="15.75" customHeight="1">
      <c r="B230" s="215">
        <v>46228</v>
      </c>
      <c r="C230" s="379"/>
      <c r="D230" s="136"/>
      <c r="E230" s="135"/>
      <c r="F230" s="135"/>
      <c r="G230" s="147">
        <f t="shared" si="84"/>
        <v>0</v>
      </c>
      <c r="H230" s="1475"/>
      <c r="I230" s="1470"/>
      <c r="J230" s="1470"/>
      <c r="K230" s="1470"/>
      <c r="L230" s="1470"/>
      <c r="M230" s="1470"/>
      <c r="N230" s="1470"/>
      <c r="O230" s="1470"/>
      <c r="P230" s="1470"/>
      <c r="Q230" s="1470"/>
      <c r="R230" s="1470"/>
      <c r="S230" s="1470"/>
      <c r="T230" s="1470"/>
      <c r="U230" s="1470"/>
      <c r="V230" s="1470"/>
      <c r="W230" s="1470"/>
      <c r="X230" s="103">
        <f t="shared" si="85"/>
        <v>0</v>
      </c>
      <c r="Y230" s="1470"/>
      <c r="Z230" s="1470"/>
      <c r="AA230" s="143"/>
      <c r="AB230" s="143"/>
      <c r="AC230" s="143"/>
      <c r="AD230" s="143"/>
      <c r="AE230" s="143"/>
      <c r="AF230" s="143"/>
      <c r="AG230" s="143"/>
      <c r="AH230" s="143"/>
      <c r="AI230" s="99"/>
      <c r="AJ230" s="99"/>
      <c r="AK230" s="99"/>
      <c r="AL230" s="103">
        <f t="shared" si="86"/>
        <v>0</v>
      </c>
      <c r="AM230" s="136"/>
      <c r="AN230" s="136"/>
      <c r="AO230" s="136"/>
      <c r="AP230" s="105">
        <f t="shared" si="87"/>
        <v>0</v>
      </c>
      <c r="AQ230" s="136"/>
      <c r="AR230" s="136"/>
      <c r="AS230" s="136"/>
      <c r="AT230" s="135"/>
      <c r="AU230" s="224">
        <f t="shared" si="88"/>
        <v>0</v>
      </c>
      <c r="AV230" s="126"/>
      <c r="AW230" s="274"/>
      <c r="AX230" s="126"/>
      <c r="AY230" s="126"/>
      <c r="AZ230" s="126"/>
      <c r="BA230" s="126"/>
      <c r="BB230" s="141"/>
      <c r="BC230" s="152"/>
      <c r="BD230" s="152"/>
      <c r="BE230" s="152"/>
      <c r="BF230" s="152"/>
      <c r="BG230" s="308">
        <f t="shared" si="89"/>
        <v>0</v>
      </c>
      <c r="BH230" s="140">
        <f t="shared" si="90"/>
        <v>0</v>
      </c>
      <c r="BI230" s="132"/>
      <c r="BJ230" s="140">
        <f t="shared" si="91"/>
        <v>0</v>
      </c>
      <c r="BK230" s="141"/>
      <c r="BL230" s="141"/>
      <c r="BM230" s="141"/>
      <c r="BN230" s="141"/>
      <c r="BO230" s="141"/>
      <c r="BP230" s="141"/>
      <c r="BQ230" s="141"/>
      <c r="BR230" s="141"/>
      <c r="BS230" s="141"/>
      <c r="BT230" s="141"/>
      <c r="BU230" s="141"/>
      <c r="BV230" s="141"/>
      <c r="BW230" s="141"/>
      <c r="BX230" s="130">
        <f t="shared" si="92"/>
        <v>0</v>
      </c>
      <c r="BY230" s="132"/>
    </row>
    <row r="231" ht="15.75" customHeight="1">
      <c r="B231" s="215">
        <v>46229</v>
      </c>
      <c r="C231" s="379"/>
      <c r="D231" s="136"/>
      <c r="E231" s="135"/>
      <c r="F231" s="135"/>
      <c r="G231" s="147">
        <f t="shared" si="84"/>
        <v>0</v>
      </c>
      <c r="H231" s="1475"/>
      <c r="I231" s="142"/>
      <c r="J231" s="1470"/>
      <c r="K231" s="1470"/>
      <c r="L231" s="1470"/>
      <c r="M231" s="1470"/>
      <c r="N231" s="1470"/>
      <c r="O231" s="1470"/>
      <c r="P231" s="1470"/>
      <c r="Q231" s="1470"/>
      <c r="R231" s="1470"/>
      <c r="S231" s="1470"/>
      <c r="T231" s="1470"/>
      <c r="U231" s="1470"/>
      <c r="V231" s="1470"/>
      <c r="W231" s="1470"/>
      <c r="X231" s="103">
        <f t="shared" si="85"/>
        <v>0</v>
      </c>
      <c r="Y231" s="1470"/>
      <c r="Z231" s="1470"/>
      <c r="AA231" s="143"/>
      <c r="AB231" s="143"/>
      <c r="AC231" s="143"/>
      <c r="AD231" s="143"/>
      <c r="AE231" s="143"/>
      <c r="AF231" s="143"/>
      <c r="AG231" s="143"/>
      <c r="AH231" s="143"/>
      <c r="AI231" s="99"/>
      <c r="AJ231" s="99"/>
      <c r="AK231" s="99"/>
      <c r="AL231" s="103">
        <f t="shared" si="86"/>
        <v>0</v>
      </c>
      <c r="AM231" s="136"/>
      <c r="AN231" s="136"/>
      <c r="AO231" s="136"/>
      <c r="AP231" s="105">
        <f t="shared" si="87"/>
        <v>0</v>
      </c>
      <c r="AQ231" s="136"/>
      <c r="AR231" s="136"/>
      <c r="AS231" s="136"/>
      <c r="AT231" s="135"/>
      <c r="AU231" s="224">
        <f t="shared" si="88"/>
        <v>0</v>
      </c>
      <c r="AV231" s="126"/>
      <c r="AW231" s="274"/>
      <c r="AX231" s="126"/>
      <c r="AY231" s="126"/>
      <c r="AZ231" s="126"/>
      <c r="BA231" s="126"/>
      <c r="BB231" s="141"/>
      <c r="BC231" s="152"/>
      <c r="BD231" s="152"/>
      <c r="BE231" s="152"/>
      <c r="BF231" s="152"/>
      <c r="BG231" s="308">
        <f t="shared" si="89"/>
        <v>0</v>
      </c>
      <c r="BH231" s="140">
        <f t="shared" si="90"/>
        <v>0</v>
      </c>
      <c r="BI231" s="132"/>
      <c r="BJ231" s="140">
        <f t="shared" si="91"/>
        <v>0</v>
      </c>
      <c r="BK231" s="141"/>
      <c r="BL231" s="141"/>
      <c r="BM231" s="141"/>
      <c r="BN231" s="141"/>
      <c r="BO231" s="141"/>
      <c r="BP231" s="141"/>
      <c r="BQ231" s="141"/>
      <c r="BR231" s="141"/>
      <c r="BS231" s="141"/>
      <c r="BT231" s="141"/>
      <c r="BU231" s="141"/>
      <c r="BV231" s="141"/>
      <c r="BW231" s="141"/>
      <c r="BX231" s="130">
        <f t="shared" si="92"/>
        <v>0</v>
      </c>
      <c r="BY231" s="132"/>
    </row>
    <row r="232" ht="15.75" customHeight="1">
      <c r="B232" s="215">
        <v>46230</v>
      </c>
      <c r="C232" s="379"/>
      <c r="D232" s="136"/>
      <c r="E232" s="135"/>
      <c r="F232" s="135"/>
      <c r="G232" s="147">
        <f t="shared" si="84"/>
        <v>0</v>
      </c>
      <c r="H232" s="1475"/>
      <c r="I232" s="1470"/>
      <c r="J232" s="1470"/>
      <c r="K232" s="1470"/>
      <c r="L232" s="1470"/>
      <c r="M232" s="1470"/>
      <c r="N232" s="1470"/>
      <c r="O232" s="1470"/>
      <c r="P232" s="1470"/>
      <c r="Q232" s="1470"/>
      <c r="R232" s="1470"/>
      <c r="S232" s="1470"/>
      <c r="T232" s="1470"/>
      <c r="U232" s="1470"/>
      <c r="V232" s="1470"/>
      <c r="W232" s="1470"/>
      <c r="X232" s="103">
        <f t="shared" si="85"/>
        <v>0</v>
      </c>
      <c r="Y232" s="1470"/>
      <c r="Z232" s="1470"/>
      <c r="AA232" s="143"/>
      <c r="AB232" s="143"/>
      <c r="AC232" s="143"/>
      <c r="AD232" s="143"/>
      <c r="AE232" s="143"/>
      <c r="AF232" s="143"/>
      <c r="AG232" s="143"/>
      <c r="AH232" s="143"/>
      <c r="AI232" s="99"/>
      <c r="AJ232" s="99"/>
      <c r="AK232" s="99"/>
      <c r="AL232" s="103">
        <f t="shared" si="86"/>
        <v>0</v>
      </c>
      <c r="AM232" s="136"/>
      <c r="AN232" s="136"/>
      <c r="AO232" s="136"/>
      <c r="AP232" s="105">
        <f t="shared" si="87"/>
        <v>0</v>
      </c>
      <c r="AQ232" s="136"/>
      <c r="AR232" s="136"/>
      <c r="AS232" s="136"/>
      <c r="AT232" s="135"/>
      <c r="AU232" s="224">
        <f t="shared" si="88"/>
        <v>0</v>
      </c>
      <c r="AV232" s="126"/>
      <c r="AW232" s="274"/>
      <c r="AX232" s="126"/>
      <c r="AY232" s="126"/>
      <c r="AZ232" s="126"/>
      <c r="BA232" s="126"/>
      <c r="BB232" s="141"/>
      <c r="BC232" s="152"/>
      <c r="BD232" s="152"/>
      <c r="BE232" s="152"/>
      <c r="BF232" s="152"/>
      <c r="BG232" s="308">
        <f t="shared" si="89"/>
        <v>0</v>
      </c>
      <c r="BH232" s="140">
        <f t="shared" si="90"/>
        <v>0</v>
      </c>
      <c r="BI232" s="132"/>
      <c r="BJ232" s="140">
        <f t="shared" si="91"/>
        <v>0</v>
      </c>
      <c r="BK232" s="141"/>
      <c r="BL232" s="141"/>
      <c r="BM232" s="141"/>
      <c r="BN232" s="141"/>
      <c r="BO232" s="141"/>
      <c r="BP232" s="141"/>
      <c r="BQ232" s="141"/>
      <c r="BR232" s="141"/>
      <c r="BS232" s="141"/>
      <c r="BT232" s="141"/>
      <c r="BU232" s="141"/>
      <c r="BV232" s="141"/>
      <c r="BW232" s="141"/>
      <c r="BX232" s="130">
        <f t="shared" si="92"/>
        <v>0</v>
      </c>
      <c r="BY232" s="132"/>
    </row>
    <row r="233" ht="15.75" customHeight="1">
      <c r="B233" s="215">
        <v>46231</v>
      </c>
      <c r="C233" s="379"/>
      <c r="D233" s="136"/>
      <c r="E233" s="135"/>
      <c r="F233" s="135"/>
      <c r="G233" s="147">
        <f t="shared" si="84"/>
        <v>0</v>
      </c>
      <c r="H233" s="1475"/>
      <c r="I233" s="1470"/>
      <c r="J233" s="1470"/>
      <c r="K233" s="1470"/>
      <c r="L233" s="1470"/>
      <c r="M233" s="1470"/>
      <c r="N233" s="1470"/>
      <c r="O233" s="1470"/>
      <c r="P233" s="1470"/>
      <c r="Q233" s="1470"/>
      <c r="R233" s="1470"/>
      <c r="S233" s="1470"/>
      <c r="T233" s="1470"/>
      <c r="U233" s="1470"/>
      <c r="V233" s="1470"/>
      <c r="W233" s="1470"/>
      <c r="X233" s="103">
        <f t="shared" si="85"/>
        <v>0</v>
      </c>
      <c r="Y233" s="1470"/>
      <c r="Z233" s="1470"/>
      <c r="AA233" s="143"/>
      <c r="AB233" s="143"/>
      <c r="AC233" s="143"/>
      <c r="AD233" s="143"/>
      <c r="AE233" s="143"/>
      <c r="AF233" s="143"/>
      <c r="AG233" s="143"/>
      <c r="AH233" s="143"/>
      <c r="AI233" s="99"/>
      <c r="AJ233" s="99"/>
      <c r="AK233" s="99"/>
      <c r="AL233" s="103">
        <f t="shared" si="86"/>
        <v>0</v>
      </c>
      <c r="AM233" s="136"/>
      <c r="AN233" s="136"/>
      <c r="AO233" s="136"/>
      <c r="AP233" s="105">
        <f t="shared" si="87"/>
        <v>0</v>
      </c>
      <c r="AQ233" s="136"/>
      <c r="AR233" s="136"/>
      <c r="AS233" s="136"/>
      <c r="AT233" s="135"/>
      <c r="AU233" s="224">
        <f t="shared" si="88"/>
        <v>0</v>
      </c>
      <c r="AV233" s="126"/>
      <c r="AW233" s="274"/>
      <c r="AX233" s="126"/>
      <c r="AY233" s="126"/>
      <c r="AZ233" s="126"/>
      <c r="BA233" s="126"/>
      <c r="BB233" s="141"/>
      <c r="BC233" s="152"/>
      <c r="BD233" s="152"/>
      <c r="BE233" s="152"/>
      <c r="BF233" s="152"/>
      <c r="BG233" s="308">
        <f t="shared" si="89"/>
        <v>0</v>
      </c>
      <c r="BH233" s="140">
        <f t="shared" si="90"/>
        <v>0</v>
      </c>
      <c r="BI233" s="132"/>
      <c r="BJ233" s="140">
        <f t="shared" si="91"/>
        <v>0</v>
      </c>
      <c r="BK233" s="141"/>
      <c r="BL233" s="141"/>
      <c r="BM233" s="141"/>
      <c r="BN233" s="141"/>
      <c r="BO233" s="141"/>
      <c r="BP233" s="141"/>
      <c r="BQ233" s="141"/>
      <c r="BR233" s="141"/>
      <c r="BS233" s="141"/>
      <c r="BT233" s="141"/>
      <c r="BU233" s="141"/>
      <c r="BV233" s="141"/>
      <c r="BW233" s="141"/>
      <c r="BX233" s="130">
        <f t="shared" si="92"/>
        <v>0</v>
      </c>
      <c r="BY233" s="132"/>
    </row>
    <row r="234" ht="15.75" customHeight="1">
      <c r="B234" s="215">
        <v>46232</v>
      </c>
      <c r="C234" s="379"/>
      <c r="D234" s="136"/>
      <c r="E234" s="135"/>
      <c r="F234" s="135"/>
      <c r="G234" s="147">
        <f t="shared" si="84"/>
        <v>0</v>
      </c>
      <c r="H234" s="1475"/>
      <c r="I234" s="142"/>
      <c r="J234" s="1470"/>
      <c r="K234" s="1470"/>
      <c r="L234" s="1470"/>
      <c r="M234" s="1470"/>
      <c r="N234" s="1470"/>
      <c r="O234" s="1470"/>
      <c r="P234" s="1470"/>
      <c r="Q234" s="1470"/>
      <c r="R234" s="1470"/>
      <c r="S234" s="1470"/>
      <c r="T234" s="1470"/>
      <c r="U234" s="1470"/>
      <c r="V234" s="1470"/>
      <c r="W234" s="1470"/>
      <c r="X234" s="103">
        <f t="shared" si="85"/>
        <v>0</v>
      </c>
      <c r="Y234" s="1470"/>
      <c r="Z234" s="1470"/>
      <c r="AA234" s="143"/>
      <c r="AB234" s="143"/>
      <c r="AC234" s="143"/>
      <c r="AD234" s="143"/>
      <c r="AE234" s="143"/>
      <c r="AF234" s="143"/>
      <c r="AG234" s="143"/>
      <c r="AH234" s="143"/>
      <c r="AI234" s="99"/>
      <c r="AJ234" s="99"/>
      <c r="AK234" s="99"/>
      <c r="AL234" s="103">
        <f t="shared" si="86"/>
        <v>0</v>
      </c>
      <c r="AM234" s="136"/>
      <c r="AN234" s="136"/>
      <c r="AO234" s="136"/>
      <c r="AP234" s="105">
        <f t="shared" si="87"/>
        <v>0</v>
      </c>
      <c r="AQ234" s="136"/>
      <c r="AR234" s="136"/>
      <c r="AS234" s="136"/>
      <c r="AT234" s="135"/>
      <c r="AU234" s="224">
        <f t="shared" si="88"/>
        <v>0</v>
      </c>
      <c r="AV234" s="126"/>
      <c r="AW234" s="274"/>
      <c r="AX234" s="126"/>
      <c r="AY234" s="126"/>
      <c r="AZ234" s="126"/>
      <c r="BA234" s="126"/>
      <c r="BB234" s="141"/>
      <c r="BC234" s="152"/>
      <c r="BD234" s="152"/>
      <c r="BE234" s="152"/>
      <c r="BF234" s="152"/>
      <c r="BG234" s="308">
        <f t="shared" si="89"/>
        <v>0</v>
      </c>
      <c r="BH234" s="140">
        <f t="shared" si="90"/>
        <v>0</v>
      </c>
      <c r="BI234" s="132"/>
      <c r="BJ234" s="140">
        <f t="shared" si="91"/>
        <v>0</v>
      </c>
      <c r="BK234" s="141"/>
      <c r="BL234" s="141"/>
      <c r="BM234" s="141"/>
      <c r="BN234" s="141"/>
      <c r="BO234" s="141"/>
      <c r="BP234" s="141"/>
      <c r="BQ234" s="141"/>
      <c r="BR234" s="141"/>
      <c r="BS234" s="141"/>
      <c r="BT234" s="141"/>
      <c r="BU234" s="141"/>
      <c r="BV234" s="141"/>
      <c r="BW234" s="141"/>
      <c r="BX234" s="130">
        <f t="shared" si="92"/>
        <v>0</v>
      </c>
      <c r="BY234" s="132"/>
    </row>
    <row r="235" ht="15.75" customHeight="1">
      <c r="B235" s="215">
        <v>46233</v>
      </c>
      <c r="C235" s="379"/>
      <c r="D235" s="136"/>
      <c r="E235" s="135"/>
      <c r="F235" s="135"/>
      <c r="G235" s="147">
        <f t="shared" si="84"/>
        <v>0</v>
      </c>
      <c r="H235" s="1475"/>
      <c r="I235" s="1470"/>
      <c r="J235" s="1470"/>
      <c r="K235" s="1470"/>
      <c r="L235" s="1470"/>
      <c r="M235" s="1470"/>
      <c r="N235" s="1470"/>
      <c r="O235" s="1470"/>
      <c r="P235" s="1470"/>
      <c r="Q235" s="1470"/>
      <c r="R235" s="1470"/>
      <c r="S235" s="1470"/>
      <c r="T235" s="1470"/>
      <c r="U235" s="1470"/>
      <c r="V235" s="1470"/>
      <c r="W235" s="1470"/>
      <c r="X235" s="103">
        <f t="shared" si="85"/>
        <v>0</v>
      </c>
      <c r="Y235" s="1470"/>
      <c r="Z235" s="1470"/>
      <c r="AA235" s="143"/>
      <c r="AB235" s="143"/>
      <c r="AC235" s="143"/>
      <c r="AD235" s="143"/>
      <c r="AE235" s="143"/>
      <c r="AF235" s="143"/>
      <c r="AG235" s="143"/>
      <c r="AH235" s="143"/>
      <c r="AI235" s="99"/>
      <c r="AJ235" s="99"/>
      <c r="AK235" s="99"/>
      <c r="AL235" s="103">
        <f t="shared" si="86"/>
        <v>0</v>
      </c>
      <c r="AM235" s="136"/>
      <c r="AN235" s="136"/>
      <c r="AO235" s="136"/>
      <c r="AP235" s="105">
        <f t="shared" si="87"/>
        <v>0</v>
      </c>
      <c r="AQ235" s="136"/>
      <c r="AR235" s="136"/>
      <c r="AS235" s="136"/>
      <c r="AT235" s="135"/>
      <c r="AU235" s="224">
        <f t="shared" si="88"/>
        <v>0</v>
      </c>
      <c r="AV235" s="126"/>
      <c r="AW235" s="274"/>
      <c r="AX235" s="126"/>
      <c r="AY235" s="126"/>
      <c r="AZ235" s="126"/>
      <c r="BA235" s="126"/>
      <c r="BB235" s="141"/>
      <c r="BC235" s="152"/>
      <c r="BD235" s="152"/>
      <c r="BE235" s="152"/>
      <c r="BF235" s="152"/>
      <c r="BG235" s="308">
        <f t="shared" si="89"/>
        <v>0</v>
      </c>
      <c r="BH235" s="140">
        <f t="shared" si="90"/>
        <v>0</v>
      </c>
      <c r="BI235" s="132"/>
      <c r="BJ235" s="140">
        <f t="shared" si="91"/>
        <v>0</v>
      </c>
      <c r="BK235" s="141"/>
      <c r="BL235" s="141"/>
      <c r="BM235" s="141"/>
      <c r="BN235" s="141"/>
      <c r="BO235" s="141"/>
      <c r="BP235" s="141"/>
      <c r="BQ235" s="141"/>
      <c r="BR235" s="141"/>
      <c r="BS235" s="141"/>
      <c r="BT235" s="141"/>
      <c r="BU235" s="141"/>
      <c r="BV235" s="141"/>
      <c r="BW235" s="141"/>
      <c r="BX235" s="130">
        <f t="shared" si="92"/>
        <v>0</v>
      </c>
      <c r="BY235" s="132"/>
    </row>
    <row r="236" ht="15.75" customHeight="1">
      <c r="B236" s="215">
        <v>46234</v>
      </c>
      <c r="C236" s="379"/>
      <c r="D236" s="136"/>
      <c r="E236" s="135"/>
      <c r="F236" s="135"/>
      <c r="G236" s="147">
        <f t="shared" si="84"/>
        <v>0</v>
      </c>
      <c r="H236" s="1475"/>
      <c r="I236" s="1470"/>
      <c r="J236" s="1470"/>
      <c r="K236" s="1470"/>
      <c r="L236" s="1470"/>
      <c r="M236" s="1470"/>
      <c r="N236" s="1470"/>
      <c r="O236" s="1470"/>
      <c r="P236" s="1470"/>
      <c r="Q236" s="1470"/>
      <c r="R236" s="1470"/>
      <c r="S236" s="1470"/>
      <c r="T236" s="1470"/>
      <c r="U236" s="1470"/>
      <c r="V236" s="1470"/>
      <c r="W236" s="1470"/>
      <c r="X236" s="103">
        <f t="shared" si="85"/>
        <v>0</v>
      </c>
      <c r="Y236" s="1470"/>
      <c r="Z236" s="1470"/>
      <c r="AA236" s="143"/>
      <c r="AB236" s="143"/>
      <c r="AC236" s="143"/>
      <c r="AD236" s="143"/>
      <c r="AE236" s="143"/>
      <c r="AF236" s="143"/>
      <c r="AG236" s="143"/>
      <c r="AH236" s="143"/>
      <c r="AI236" s="99"/>
      <c r="AJ236" s="99"/>
      <c r="AK236" s="99"/>
      <c r="AL236" s="103">
        <f t="shared" si="86"/>
        <v>0</v>
      </c>
      <c r="AM236" s="136"/>
      <c r="AN236" s="136"/>
      <c r="AO236" s="136"/>
      <c r="AP236" s="105">
        <f t="shared" si="87"/>
        <v>0</v>
      </c>
      <c r="AQ236" s="136"/>
      <c r="AR236" s="136"/>
      <c r="AS236" s="136"/>
      <c r="AT236" s="135"/>
      <c r="AU236" s="224">
        <f t="shared" si="88"/>
        <v>0</v>
      </c>
      <c r="AV236" s="138"/>
      <c r="AW236" s="274"/>
      <c r="AX236" s="126"/>
      <c r="AY236" s="126"/>
      <c r="AZ236" s="126"/>
      <c r="BA236" s="126"/>
      <c r="BB236" s="141"/>
      <c r="BC236" s="152"/>
      <c r="BD236" s="152"/>
      <c r="BE236" s="152"/>
      <c r="BF236" s="152"/>
      <c r="BG236" s="1334">
        <f t="shared" si="89"/>
        <v>0</v>
      </c>
      <c r="BH236" s="162">
        <f t="shared" si="90"/>
        <v>0</v>
      </c>
      <c r="BI236" s="132"/>
      <c r="BJ236" s="140">
        <f t="shared" si="91"/>
        <v>0</v>
      </c>
      <c r="BK236" s="141"/>
      <c r="BL236" s="141"/>
      <c r="BM236" s="141"/>
      <c r="BN236" s="141"/>
      <c r="BO236" s="141"/>
      <c r="BP236" s="141"/>
      <c r="BQ236" s="141"/>
      <c r="BR236" s="141"/>
      <c r="BS236" s="141"/>
      <c r="BT236" s="141"/>
      <c r="BU236" s="141"/>
      <c r="BV236" s="141"/>
      <c r="BW236" s="141"/>
      <c r="BX236" s="130">
        <f t="shared" si="92"/>
        <v>0</v>
      </c>
      <c r="BY236" s="132"/>
    </row>
    <row r="237" ht="15.75" customHeight="1">
      <c r="B237" s="2" t="s">
        <v>263</v>
      </c>
      <c r="C237" s="166">
        <f>SUM(C205:C236)</f>
        <v>0</v>
      </c>
      <c r="D237" s="166">
        <f ref="D237:G237" t="shared" si="93">SUM(D205:D235)</f>
        <v>0</v>
      </c>
      <c r="E237" s="166">
        <f t="shared" si="93"/>
        <v>0</v>
      </c>
      <c r="F237" s="166">
        <f t="shared" si="93"/>
        <v>0</v>
      </c>
      <c r="G237" s="166">
        <f t="shared" si="93"/>
        <v>0</v>
      </c>
      <c r="H237" s="166"/>
      <c r="I237" s="166"/>
      <c r="J237" s="166">
        <f ref="J237:K237" t="shared" si="94">SUM(J206:J236)</f>
        <v>0</v>
      </c>
      <c r="K237" s="166">
        <f t="shared" si="94"/>
        <v>0</v>
      </c>
      <c r="L237" s="166"/>
      <c r="M237" s="166">
        <f ref="M237:N237" t="shared" si="95">SUM(M206:M236)</f>
        <v>0</v>
      </c>
      <c r="N237" s="166">
        <f t="shared" si="95"/>
        <v>0</v>
      </c>
      <c r="O237" s="166"/>
      <c r="P237" s="166"/>
      <c r="Q237" s="166"/>
      <c r="R237" s="166"/>
      <c r="S237" s="166"/>
      <c r="T237" s="166"/>
      <c r="U237" s="166"/>
      <c r="V237" s="166"/>
      <c r="W237" s="166"/>
      <c r="X237" s="166">
        <f>SUM(X205:X235)</f>
        <v>0</v>
      </c>
      <c r="Y237" s="166">
        <f>SUM(Y205:Y236)</f>
        <v>0</v>
      </c>
      <c r="Z237" s="166"/>
      <c r="AA237" s="166">
        <f ref="AA237:AJ237" t="shared" si="96">SUM(AA205:AA236)</f>
        <v>0</v>
      </c>
      <c r="AB237" s="166">
        <f t="shared" si="96"/>
        <v>0</v>
      </c>
      <c r="AC237" s="166">
        <f t="shared" si="96"/>
        <v>0</v>
      </c>
      <c r="AD237" s="166">
        <f t="shared" si="96"/>
        <v>0</v>
      </c>
      <c r="AE237" s="166">
        <f t="shared" si="96"/>
        <v>0</v>
      </c>
      <c r="AF237" s="166">
        <f t="shared" si="96"/>
        <v>0</v>
      </c>
      <c r="AG237" s="166">
        <f t="shared" si="96"/>
        <v>0</v>
      </c>
      <c r="AH237" s="166">
        <f t="shared" si="96"/>
        <v>0</v>
      </c>
      <c r="AI237" s="166">
        <f t="shared" si="96"/>
        <v>0</v>
      </c>
      <c r="AJ237" s="166">
        <f t="shared" si="96"/>
        <v>0</v>
      </c>
      <c r="AK237" s="166">
        <f ref="AK237:AM237" t="shared" si="97">SUM(AK206:AK236)</f>
        <v>0</v>
      </c>
      <c r="AL237" s="166">
        <f t="shared" si="97"/>
        <v>0</v>
      </c>
      <c r="AM237" s="166">
        <f t="shared" si="97"/>
        <v>0</v>
      </c>
      <c r="AN237" s="166"/>
      <c r="AO237" s="166"/>
      <c r="AP237" s="166">
        <f ref="AP237:AU237" t="shared" si="98">SUM(AP205:AP235)</f>
        <v>0</v>
      </c>
      <c r="AQ237" s="166">
        <f t="shared" si="98"/>
        <v>0</v>
      </c>
      <c r="AR237" s="166">
        <f t="shared" si="98"/>
        <v>0</v>
      </c>
      <c r="AS237" s="166">
        <f t="shared" si="98"/>
        <v>0</v>
      </c>
      <c r="AT237" s="166">
        <f t="shared" si="98"/>
        <v>0</v>
      </c>
      <c r="AU237" s="1476">
        <f t="shared" si="98"/>
        <v>0</v>
      </c>
      <c r="AV237" s="1390">
        <f>SUM(AV205:AV236)</f>
        <v>0</v>
      </c>
      <c r="AW237" s="166"/>
      <c r="AX237" s="166"/>
      <c r="AY237" s="166"/>
      <c r="AZ237" s="166"/>
      <c r="BA237" s="166"/>
      <c r="BB237" s="166"/>
      <c r="BC237" s="166"/>
      <c r="BD237" s="166"/>
      <c r="BE237" s="166"/>
      <c r="BF237" s="166"/>
      <c r="BG237" s="166">
        <f ref="BG237:BH237" t="shared" si="99">SUM(BG205:BG235)</f>
        <v>0</v>
      </c>
      <c r="BH237" s="166">
        <f t="shared" si="99"/>
        <v>0</v>
      </c>
      <c r="BI237" s="3"/>
      <c r="BJ237" s="1330">
        <f>SUM(BJ205:BJ235)</f>
        <v>0</v>
      </c>
      <c r="BK237" s="166"/>
      <c r="BL237" s="166"/>
      <c r="BM237" s="166"/>
      <c r="BN237" s="166"/>
      <c r="BO237" s="166"/>
      <c r="BP237" s="166"/>
      <c r="BQ237" s="166"/>
      <c r="BR237" s="166"/>
      <c r="BS237" s="166"/>
      <c r="BT237" s="166"/>
      <c r="BU237" s="166"/>
      <c r="BV237" s="166"/>
      <c r="BW237" s="166"/>
      <c r="BX237" s="669">
        <f>SUM(BX205:BX235)</f>
        <v>0</v>
      </c>
      <c r="BY237" s="3"/>
    </row>
    <row r="238" ht="15.75" customHeight="1">
      <c r="B238" s="2"/>
      <c r="C238" s="1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1"/>
      <c r="Z238" s="1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176"/>
      <c r="AM238" s="176"/>
      <c r="AN238" s="3"/>
      <c r="AO238" s="3"/>
      <c r="AP238" s="4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132"/>
      <c r="BG238" s="4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ht="15.75" customHeight="1">
      <c r="B239" s="1477">
        <v>46235</v>
      </c>
      <c r="C239" s="417"/>
      <c r="D239" s="190"/>
      <c r="E239" s="190"/>
      <c r="F239" s="182"/>
      <c r="G239" s="191">
        <f ref="G239:G269" t="shared" si="100">+C239+D239+E239+F239</f>
        <v>0</v>
      </c>
      <c r="H239" s="1478"/>
      <c r="I239" s="1479"/>
      <c r="J239" s="1479"/>
      <c r="K239" s="1479"/>
      <c r="L239" s="1479"/>
      <c r="M239" s="1479"/>
      <c r="N239" s="1479"/>
      <c r="O239" s="1479"/>
      <c r="P239" s="1479"/>
      <c r="Q239" s="1479"/>
      <c r="R239" s="1479"/>
      <c r="S239" s="1479"/>
      <c r="T239" s="1479"/>
      <c r="U239" s="1479"/>
      <c r="V239" s="1479"/>
      <c r="W239" s="1470"/>
      <c r="X239" s="1012">
        <f ref="X239:X269" t="shared" si="101">SUM(H239:V239)</f>
        <v>0</v>
      </c>
      <c r="Y239" s="1480"/>
      <c r="Z239" s="641"/>
      <c r="AA239" s="186"/>
      <c r="AB239" s="186"/>
      <c r="AC239" s="186"/>
      <c r="AD239" s="186"/>
      <c r="AE239" s="186"/>
      <c r="AF239" s="186"/>
      <c r="AG239" s="186"/>
      <c r="AH239" s="186"/>
      <c r="AI239" s="186"/>
      <c r="AJ239" s="186"/>
      <c r="AK239" s="186"/>
      <c r="AL239" s="189">
        <f ref="AL239:AL269" t="shared" si="102">SUM(Y239:AK239)</f>
        <v>0</v>
      </c>
      <c r="AM239" s="190"/>
      <c r="AN239" s="190"/>
      <c r="AO239" s="190"/>
      <c r="AP239" s="191">
        <f ref="AP239:AP269" t="shared" si="103">SUM(AM239:AO239)</f>
        <v>0</v>
      </c>
      <c r="AQ239" s="101"/>
      <c r="AR239" s="101"/>
      <c r="AS239" s="101"/>
      <c r="AT239" s="106"/>
      <c r="AU239" s="219">
        <f ref="AU239:AU269" t="shared" si="104">+G239-X239-AL239-AP239-AQ239-AR239-AS239-AT239</f>
        <v>0</v>
      </c>
      <c r="AV239" s="109"/>
      <c r="AW239" s="269"/>
      <c r="AX239" s="109"/>
      <c r="AY239" s="109"/>
      <c r="AZ239" s="109"/>
      <c r="BA239" s="109"/>
      <c r="BB239" s="196"/>
      <c r="BC239" s="490"/>
      <c r="BD239" s="490"/>
      <c r="BE239" s="490"/>
      <c r="BF239" s="490"/>
      <c r="BG239" s="620">
        <f ref="BG239:BG269" t="shared" si="105">SUM(AV239:BF239)-BE239</f>
        <v>0</v>
      </c>
      <c r="BH239" s="140">
        <f ref="BH239:BH269" t="shared" si="106">+AU239-BG239</f>
        <v>0</v>
      </c>
      <c r="BI239" s="132"/>
      <c r="BJ239" s="195">
        <f ref="BJ239:BJ269" t="shared" si="107">SUM(BK239:BW239)</f>
        <v>0</v>
      </c>
      <c r="BK239" s="196"/>
      <c r="BL239" s="196"/>
      <c r="BM239" s="196"/>
      <c r="BN239" s="196"/>
      <c r="BO239" s="196"/>
      <c r="BP239" s="196"/>
      <c r="BQ239" s="196"/>
      <c r="BR239" s="196"/>
      <c r="BS239" s="196"/>
      <c r="BT239" s="196"/>
      <c r="BU239" s="196"/>
      <c r="BV239" s="196"/>
      <c r="BW239" s="196"/>
      <c r="BX239" s="116">
        <f ref="BX239:BX269" t="shared" si="108">+BH239-BJ239</f>
        <v>0</v>
      </c>
      <c r="BY239" s="132"/>
    </row>
    <row r="240" ht="15.75" customHeight="1">
      <c r="B240" s="1477">
        <v>46236</v>
      </c>
      <c r="C240" s="379"/>
      <c r="D240" s="136"/>
      <c r="E240" s="136"/>
      <c r="F240" s="136"/>
      <c r="G240" s="105">
        <f t="shared" si="100"/>
        <v>0</v>
      </c>
      <c r="H240" s="1469"/>
      <c r="I240" s="1470"/>
      <c r="J240" s="1470"/>
      <c r="K240" s="1470"/>
      <c r="L240" s="1470"/>
      <c r="M240" s="1470"/>
      <c r="N240" s="1470"/>
      <c r="O240" s="1470"/>
      <c r="P240" s="1470"/>
      <c r="Q240" s="1470"/>
      <c r="R240" s="1470"/>
      <c r="S240" s="1470"/>
      <c r="T240" s="1470"/>
      <c r="U240" s="1481"/>
      <c r="V240" s="1481"/>
      <c r="W240" s="1481"/>
      <c r="X240" s="103">
        <f t="shared" si="101"/>
        <v>0</v>
      </c>
      <c r="Y240" s="746"/>
      <c r="Z240" s="746"/>
      <c r="AA240" s="143"/>
      <c r="AB240" s="143"/>
      <c r="AC240" s="143"/>
      <c r="AD240" s="143"/>
      <c r="AE240" s="143"/>
      <c r="AF240" s="143"/>
      <c r="AG240" s="143"/>
      <c r="AH240" s="143"/>
      <c r="AI240" s="143"/>
      <c r="AJ240" s="143"/>
      <c r="AK240" s="146"/>
      <c r="AL240" s="103">
        <f t="shared" si="102"/>
        <v>0</v>
      </c>
      <c r="AM240" s="133"/>
      <c r="AN240" s="136"/>
      <c r="AO240" s="135"/>
      <c r="AP240" s="105">
        <f t="shared" si="103"/>
        <v>0</v>
      </c>
      <c r="AQ240" s="122"/>
      <c r="AR240" s="99"/>
      <c r="AS240" s="99"/>
      <c r="AT240" s="124"/>
      <c r="AU240" s="621">
        <f t="shared" si="104"/>
        <v>0</v>
      </c>
      <c r="AV240" s="126"/>
      <c r="AW240" s="274"/>
      <c r="AX240" s="126"/>
      <c r="AY240" s="126"/>
      <c r="AZ240" s="126"/>
      <c r="BA240" s="126"/>
      <c r="BB240" s="141"/>
      <c r="BC240" s="152"/>
      <c r="BD240" s="152"/>
      <c r="BE240" s="152"/>
      <c r="BF240" s="495"/>
      <c r="BG240" s="621">
        <f t="shared" si="105"/>
        <v>0</v>
      </c>
      <c r="BH240" s="140">
        <f t="shared" si="106"/>
        <v>0</v>
      </c>
      <c r="BI240" s="132"/>
      <c r="BJ240" s="140">
        <f t="shared" si="107"/>
        <v>0</v>
      </c>
      <c r="BK240" s="152"/>
      <c r="BL240" s="141"/>
      <c r="BM240" s="141"/>
      <c r="BN240" s="141"/>
      <c r="BO240" s="141"/>
      <c r="BP240" s="141"/>
      <c r="BQ240" s="141"/>
      <c r="BR240" s="141"/>
      <c r="BS240" s="309"/>
      <c r="BT240" s="152"/>
      <c r="BU240" s="141"/>
      <c r="BV240" s="141"/>
      <c r="BW240" s="309"/>
      <c r="BX240" s="130">
        <f t="shared" si="108"/>
        <v>0</v>
      </c>
      <c r="BY240" s="132"/>
    </row>
    <row r="241" ht="15.75" customHeight="1">
      <c r="B241" s="1477">
        <v>46237</v>
      </c>
      <c r="C241" s="379"/>
      <c r="D241" s="136"/>
      <c r="E241" s="136"/>
      <c r="F241" s="136"/>
      <c r="G241" s="105">
        <f t="shared" si="100"/>
        <v>0</v>
      </c>
      <c r="H241" s="1469"/>
      <c r="I241" s="1470"/>
      <c r="J241" s="1470"/>
      <c r="K241" s="1470"/>
      <c r="L241" s="1470"/>
      <c r="M241" s="1470"/>
      <c r="N241" s="1470"/>
      <c r="O241" s="1470"/>
      <c r="P241" s="1470"/>
      <c r="Q241" s="1470"/>
      <c r="R241" s="1470"/>
      <c r="S241" s="1470"/>
      <c r="T241" s="1470"/>
      <c r="U241" s="1470"/>
      <c r="V241" s="1470"/>
      <c r="W241" s="1470"/>
      <c r="X241" s="103">
        <f t="shared" si="101"/>
        <v>0</v>
      </c>
      <c r="Y241" s="641"/>
      <c r="Z241" s="641"/>
      <c r="AA241" s="143"/>
      <c r="AB241" s="143"/>
      <c r="AC241" s="143"/>
      <c r="AD241" s="143"/>
      <c r="AE241" s="143"/>
      <c r="AF241" s="143"/>
      <c r="AG241" s="143"/>
      <c r="AH241" s="143"/>
      <c r="AI241" s="143"/>
      <c r="AJ241" s="143"/>
      <c r="AK241" s="143"/>
      <c r="AL241" s="103">
        <f t="shared" si="102"/>
        <v>0</v>
      </c>
      <c r="AM241" s="136"/>
      <c r="AN241" s="136"/>
      <c r="AO241" s="136"/>
      <c r="AP241" s="105">
        <f t="shared" si="103"/>
        <v>0</v>
      </c>
      <c r="AQ241" s="99"/>
      <c r="AR241" s="99"/>
      <c r="AS241" s="99"/>
      <c r="AT241" s="124"/>
      <c r="AU241" s="224">
        <f t="shared" si="104"/>
        <v>0</v>
      </c>
      <c r="AV241" s="126"/>
      <c r="AW241" s="274"/>
      <c r="AX241" s="126"/>
      <c r="AY241" s="126"/>
      <c r="AZ241" s="126"/>
      <c r="BA241" s="126"/>
      <c r="BB241" s="141"/>
      <c r="BC241" s="152"/>
      <c r="BD241" s="152"/>
      <c r="BE241" s="152"/>
      <c r="BF241" s="152"/>
      <c r="BG241" s="308">
        <f t="shared" si="105"/>
        <v>0</v>
      </c>
      <c r="BH241" s="140">
        <f t="shared" si="106"/>
        <v>0</v>
      </c>
      <c r="BI241" s="132"/>
      <c r="BJ241" s="140">
        <f t="shared" si="107"/>
        <v>0</v>
      </c>
      <c r="BK241" s="141"/>
      <c r="BL241" s="141"/>
      <c r="BM241" s="141"/>
      <c r="BN241" s="141"/>
      <c r="BO241" s="141"/>
      <c r="BP241" s="141"/>
      <c r="BQ241" s="141"/>
      <c r="BR241" s="141"/>
      <c r="BS241" s="141"/>
      <c r="BT241" s="141"/>
      <c r="BU241" s="141"/>
      <c r="BV241" s="141"/>
      <c r="BW241" s="141"/>
      <c r="BX241" s="130">
        <f t="shared" si="108"/>
        <v>0</v>
      </c>
      <c r="BY241" s="132"/>
    </row>
    <row r="242" ht="15.75" customHeight="1">
      <c r="B242" s="1477">
        <v>46238</v>
      </c>
      <c r="C242" s="379"/>
      <c r="D242" s="136"/>
      <c r="E242" s="136"/>
      <c r="F242" s="136"/>
      <c r="G242" s="105">
        <f t="shared" si="100"/>
        <v>0</v>
      </c>
      <c r="H242" s="1469"/>
      <c r="I242" s="1470"/>
      <c r="J242" s="1470"/>
      <c r="K242" s="1470"/>
      <c r="L242" s="1470"/>
      <c r="M242" s="1470"/>
      <c r="N242" s="1470"/>
      <c r="O242" s="1470"/>
      <c r="P242" s="1470"/>
      <c r="Q242" s="1470"/>
      <c r="R242" s="1470"/>
      <c r="S242" s="1470"/>
      <c r="T242" s="1470"/>
      <c r="U242" s="1470"/>
      <c r="V242" s="1470"/>
      <c r="W242" s="1470"/>
      <c r="X242" s="103">
        <f t="shared" si="101"/>
        <v>0</v>
      </c>
      <c r="Y242" s="641"/>
      <c r="Z242" s="641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L242" s="103">
        <f t="shared" si="102"/>
        <v>0</v>
      </c>
      <c r="AM242" s="136"/>
      <c r="AN242" s="136"/>
      <c r="AO242" s="136"/>
      <c r="AP242" s="105">
        <f t="shared" si="103"/>
        <v>0</v>
      </c>
      <c r="AQ242" s="99"/>
      <c r="AR242" s="99"/>
      <c r="AS242" s="99"/>
      <c r="AT242" s="124"/>
      <c r="AU242" s="224">
        <f t="shared" si="104"/>
        <v>0</v>
      </c>
      <c r="AV242" s="126"/>
      <c r="AW242" s="274"/>
      <c r="AX242" s="126"/>
      <c r="AY242" s="126"/>
      <c r="AZ242" s="126"/>
      <c r="BA242" s="126"/>
      <c r="BB242" s="141"/>
      <c r="BC242" s="152"/>
      <c r="BD242" s="152"/>
      <c r="BE242" s="152"/>
      <c r="BF242" s="152"/>
      <c r="BG242" s="308">
        <f t="shared" si="105"/>
        <v>0</v>
      </c>
      <c r="BH242" s="140">
        <f t="shared" si="106"/>
        <v>0</v>
      </c>
      <c r="BI242" s="132"/>
      <c r="BJ242" s="140">
        <f t="shared" si="107"/>
        <v>0</v>
      </c>
      <c r="BK242" s="141"/>
      <c r="BL242" s="141"/>
      <c r="BM242" s="141"/>
      <c r="BN242" s="141"/>
      <c r="BO242" s="141"/>
      <c r="BP242" s="141"/>
      <c r="BQ242" s="141"/>
      <c r="BR242" s="141"/>
      <c r="BS242" s="141"/>
      <c r="BT242" s="141"/>
      <c r="BU242" s="141"/>
      <c r="BV242" s="141"/>
      <c r="BW242" s="141"/>
      <c r="BX242" s="130">
        <f t="shared" si="108"/>
        <v>0</v>
      </c>
      <c r="BY242" s="132"/>
    </row>
    <row r="243" ht="15.75" customHeight="1">
      <c r="B243" s="1477">
        <v>46239</v>
      </c>
      <c r="C243" s="379"/>
      <c r="D243" s="136"/>
      <c r="E243" s="136"/>
      <c r="F243" s="136"/>
      <c r="G243" s="105">
        <f t="shared" si="100"/>
        <v>0</v>
      </c>
      <c r="H243" s="1469"/>
      <c r="I243" s="1470"/>
      <c r="J243" s="1470"/>
      <c r="K243" s="1470"/>
      <c r="L243" s="1470"/>
      <c r="M243" s="1470"/>
      <c r="N243" s="1470"/>
      <c r="O243" s="1470"/>
      <c r="P243" s="1470"/>
      <c r="Q243" s="1470"/>
      <c r="R243" s="1470"/>
      <c r="S243" s="1470"/>
      <c r="T243" s="1470"/>
      <c r="U243" s="1470"/>
      <c r="V243" s="1470"/>
      <c r="W243" s="1470"/>
      <c r="X243" s="103">
        <f t="shared" si="101"/>
        <v>0</v>
      </c>
      <c r="Y243" s="641"/>
      <c r="Z243" s="641"/>
      <c r="AA243" s="143"/>
      <c r="AB243" s="143"/>
      <c r="AC243" s="143"/>
      <c r="AD243" s="143"/>
      <c r="AE243" s="143"/>
      <c r="AF243" s="143"/>
      <c r="AG243" s="143"/>
      <c r="AH243" s="143"/>
      <c r="AI243" s="143"/>
      <c r="AJ243" s="143"/>
      <c r="AK243" s="143"/>
      <c r="AL243" s="103">
        <f t="shared" si="102"/>
        <v>0</v>
      </c>
      <c r="AM243" s="136"/>
      <c r="AN243" s="136"/>
      <c r="AO243" s="136"/>
      <c r="AP243" s="105">
        <f t="shared" si="103"/>
        <v>0</v>
      </c>
      <c r="AQ243" s="99"/>
      <c r="AR243" s="99"/>
      <c r="AS243" s="99"/>
      <c r="AT243" s="124"/>
      <c r="AU243" s="224">
        <f t="shared" si="104"/>
        <v>0</v>
      </c>
      <c r="AV243" s="126"/>
      <c r="AW243" s="274"/>
      <c r="AX243" s="126"/>
      <c r="AY243" s="126"/>
      <c r="AZ243" s="126"/>
      <c r="BA243" s="126"/>
      <c r="BB243" s="141"/>
      <c r="BC243" s="152"/>
      <c r="BD243" s="152"/>
      <c r="BE243" s="152"/>
      <c r="BF243" s="152"/>
      <c r="BG243" s="308">
        <f t="shared" si="105"/>
        <v>0</v>
      </c>
      <c r="BH243" s="140">
        <f t="shared" si="106"/>
        <v>0</v>
      </c>
      <c r="BI243" s="132"/>
      <c r="BJ243" s="140">
        <f t="shared" si="107"/>
        <v>0</v>
      </c>
      <c r="BK243" s="141"/>
      <c r="BL243" s="141"/>
      <c r="BM243" s="141"/>
      <c r="BN243" s="141"/>
      <c r="BO243" s="141"/>
      <c r="BP243" s="141"/>
      <c r="BQ243" s="141"/>
      <c r="BR243" s="141"/>
      <c r="BS243" s="141"/>
      <c r="BT243" s="141"/>
      <c r="BU243" s="141"/>
      <c r="BV243" s="141"/>
      <c r="BW243" s="141"/>
      <c r="BX243" s="130">
        <f t="shared" si="108"/>
        <v>0</v>
      </c>
      <c r="BY243" s="132"/>
    </row>
    <row r="244" ht="15.75" customHeight="1">
      <c r="B244" s="1477">
        <v>46240</v>
      </c>
      <c r="C244" s="379"/>
      <c r="D244" s="136"/>
      <c r="E244" s="136"/>
      <c r="F244" s="136"/>
      <c r="G244" s="105">
        <f t="shared" si="100"/>
        <v>0</v>
      </c>
      <c r="H244" s="1469"/>
      <c r="I244" s="1470"/>
      <c r="J244" s="1470"/>
      <c r="K244" s="1470"/>
      <c r="L244" s="1470"/>
      <c r="M244" s="1470"/>
      <c r="N244" s="1470"/>
      <c r="O244" s="1470"/>
      <c r="P244" s="1470"/>
      <c r="Q244" s="1470"/>
      <c r="R244" s="1470"/>
      <c r="S244" s="1470"/>
      <c r="T244" s="1470"/>
      <c r="U244" s="1470"/>
      <c r="V244" s="1470"/>
      <c r="W244" s="1470"/>
      <c r="X244" s="103">
        <f t="shared" si="101"/>
        <v>0</v>
      </c>
      <c r="Y244" s="641"/>
      <c r="Z244" s="641"/>
      <c r="AA244" s="143"/>
      <c r="AB244" s="143"/>
      <c r="AC244" s="143"/>
      <c r="AD244" s="143"/>
      <c r="AE244" s="143"/>
      <c r="AF244" s="143"/>
      <c r="AG244" s="143"/>
      <c r="AH244" s="143"/>
      <c r="AI244" s="143"/>
      <c r="AJ244" s="143"/>
      <c r="AK244" s="143"/>
      <c r="AL244" s="103">
        <f t="shared" si="102"/>
        <v>0</v>
      </c>
      <c r="AM244" s="136"/>
      <c r="AN244" s="136"/>
      <c r="AO244" s="136"/>
      <c r="AP244" s="105">
        <f t="shared" si="103"/>
        <v>0</v>
      </c>
      <c r="AQ244" s="99"/>
      <c r="AR244" s="99"/>
      <c r="AS244" s="99"/>
      <c r="AT244" s="124"/>
      <c r="AU244" s="224">
        <f t="shared" si="104"/>
        <v>0</v>
      </c>
      <c r="AV244" s="126"/>
      <c r="AW244" s="274"/>
      <c r="AX244" s="126"/>
      <c r="AY244" s="126"/>
      <c r="AZ244" s="126"/>
      <c r="BA244" s="126"/>
      <c r="BB244" s="141"/>
      <c r="BC244" s="152"/>
      <c r="BD244" s="152"/>
      <c r="BE244" s="152"/>
      <c r="BF244" s="152"/>
      <c r="BG244" s="308">
        <f t="shared" si="105"/>
        <v>0</v>
      </c>
      <c r="BH244" s="140">
        <f t="shared" si="106"/>
        <v>0</v>
      </c>
      <c r="BI244" s="132"/>
      <c r="BJ244" s="140">
        <f t="shared" si="107"/>
        <v>0</v>
      </c>
      <c r="BK244" s="141"/>
      <c r="BL244" s="141"/>
      <c r="BM244" s="141"/>
      <c r="BN244" s="141"/>
      <c r="BO244" s="141"/>
      <c r="BP244" s="141"/>
      <c r="BQ244" s="141"/>
      <c r="BR244" s="141"/>
      <c r="BS244" s="141"/>
      <c r="BT244" s="141"/>
      <c r="BU244" s="141"/>
      <c r="BV244" s="141"/>
      <c r="BW244" s="141"/>
      <c r="BX244" s="130">
        <f t="shared" si="108"/>
        <v>0</v>
      </c>
      <c r="BY244" s="132"/>
    </row>
    <row r="245" ht="15.75" customHeight="1">
      <c r="B245" s="1477">
        <v>46241</v>
      </c>
      <c r="C245" s="379"/>
      <c r="D245" s="136"/>
      <c r="E245" s="136"/>
      <c r="F245" s="136"/>
      <c r="G245" s="105">
        <f t="shared" si="100"/>
        <v>0</v>
      </c>
      <c r="H245" s="1469"/>
      <c r="I245" s="1470"/>
      <c r="J245" s="1470"/>
      <c r="K245" s="1470"/>
      <c r="L245" s="1470"/>
      <c r="M245" s="1470"/>
      <c r="N245" s="1470"/>
      <c r="O245" s="1470"/>
      <c r="P245" s="1470"/>
      <c r="Q245" s="1470"/>
      <c r="R245" s="1470"/>
      <c r="S245" s="1470"/>
      <c r="T245" s="1470"/>
      <c r="U245" s="1470"/>
      <c r="V245" s="1470"/>
      <c r="W245" s="1470"/>
      <c r="X245" s="103">
        <f t="shared" si="101"/>
        <v>0</v>
      </c>
      <c r="Y245" s="641"/>
      <c r="Z245" s="641"/>
      <c r="AA245" s="143"/>
      <c r="AB245" s="143"/>
      <c r="AC245" s="143"/>
      <c r="AD245" s="143"/>
      <c r="AE245" s="143"/>
      <c r="AF245" s="143"/>
      <c r="AG245" s="143"/>
      <c r="AH245" s="143"/>
      <c r="AI245" s="143"/>
      <c r="AJ245" s="143"/>
      <c r="AK245" s="143"/>
      <c r="AL245" s="103">
        <f t="shared" si="102"/>
        <v>0</v>
      </c>
      <c r="AM245" s="136"/>
      <c r="AN245" s="136"/>
      <c r="AO245" s="136"/>
      <c r="AP245" s="105">
        <f t="shared" si="103"/>
        <v>0</v>
      </c>
      <c r="AQ245" s="99"/>
      <c r="AR245" s="99"/>
      <c r="AS245" s="99"/>
      <c r="AT245" s="124"/>
      <c r="AU245" s="224">
        <f t="shared" si="104"/>
        <v>0</v>
      </c>
      <c r="AV245" s="126"/>
      <c r="AW245" s="274"/>
      <c r="AX245" s="126"/>
      <c r="AY245" s="126"/>
      <c r="AZ245" s="126"/>
      <c r="BA245" s="126"/>
      <c r="BB245" s="141"/>
      <c r="BC245" s="152"/>
      <c r="BD245" s="152"/>
      <c r="BE245" s="152"/>
      <c r="BF245" s="152"/>
      <c r="BG245" s="308">
        <f t="shared" si="105"/>
        <v>0</v>
      </c>
      <c r="BH245" s="140">
        <f t="shared" si="106"/>
        <v>0</v>
      </c>
      <c r="BI245" s="132"/>
      <c r="BJ245" s="140">
        <f t="shared" si="107"/>
        <v>0</v>
      </c>
      <c r="BK245" s="141"/>
      <c r="BL245" s="141"/>
      <c r="BM245" s="141"/>
      <c r="BN245" s="141"/>
      <c r="BO245" s="141"/>
      <c r="BP245" s="141"/>
      <c r="BQ245" s="141"/>
      <c r="BR245" s="141"/>
      <c r="BS245" s="141"/>
      <c r="BT245" s="141"/>
      <c r="BU245" s="141"/>
      <c r="BV245" s="141"/>
      <c r="BW245" s="141"/>
      <c r="BX245" s="130">
        <f t="shared" si="108"/>
        <v>0</v>
      </c>
      <c r="BY245" s="132"/>
    </row>
    <row r="246" ht="15.75" customHeight="1">
      <c r="B246" s="1477">
        <v>46242</v>
      </c>
      <c r="C246" s="379"/>
      <c r="D246" s="136"/>
      <c r="E246" s="136"/>
      <c r="F246" s="136"/>
      <c r="G246" s="105">
        <f t="shared" si="100"/>
        <v>0</v>
      </c>
      <c r="H246" s="1469"/>
      <c r="I246" s="1470"/>
      <c r="J246" s="1470"/>
      <c r="K246" s="1470"/>
      <c r="L246" s="1470"/>
      <c r="M246" s="1470"/>
      <c r="N246" s="1470"/>
      <c r="O246" s="1470"/>
      <c r="P246" s="1470"/>
      <c r="Q246" s="1470"/>
      <c r="R246" s="1470"/>
      <c r="S246" s="1470"/>
      <c r="T246" s="1470"/>
      <c r="U246" s="1470"/>
      <c r="V246" s="1470"/>
      <c r="W246" s="1470"/>
      <c r="X246" s="103">
        <f t="shared" si="101"/>
        <v>0</v>
      </c>
      <c r="Y246" s="641"/>
      <c r="Z246" s="641"/>
      <c r="AA246" s="143"/>
      <c r="AB246" s="143"/>
      <c r="AC246" s="143"/>
      <c r="AD246" s="143"/>
      <c r="AE246" s="143"/>
      <c r="AF246" s="143"/>
      <c r="AG246" s="143"/>
      <c r="AH246" s="143"/>
      <c r="AI246" s="143"/>
      <c r="AJ246" s="143"/>
      <c r="AK246" s="143"/>
      <c r="AL246" s="103">
        <f t="shared" si="102"/>
        <v>0</v>
      </c>
      <c r="AM246" s="136"/>
      <c r="AN246" s="136"/>
      <c r="AO246" s="136"/>
      <c r="AP246" s="105">
        <f t="shared" si="103"/>
        <v>0</v>
      </c>
      <c r="AQ246" s="99"/>
      <c r="AR246" s="99"/>
      <c r="AS246" s="99"/>
      <c r="AT246" s="124"/>
      <c r="AU246" s="224">
        <f t="shared" si="104"/>
        <v>0</v>
      </c>
      <c r="AV246" s="126"/>
      <c r="AW246" s="274"/>
      <c r="AX246" s="126"/>
      <c r="AY246" s="126"/>
      <c r="AZ246" s="126"/>
      <c r="BA246" s="126"/>
      <c r="BB246" s="141"/>
      <c r="BC246" s="152"/>
      <c r="BD246" s="152"/>
      <c r="BE246" s="152"/>
      <c r="BF246" s="152"/>
      <c r="BG246" s="308">
        <f t="shared" si="105"/>
        <v>0</v>
      </c>
      <c r="BH246" s="140">
        <f t="shared" si="106"/>
        <v>0</v>
      </c>
      <c r="BI246" s="132"/>
      <c r="BJ246" s="140">
        <f t="shared" si="107"/>
        <v>0</v>
      </c>
      <c r="BK246" s="141"/>
      <c r="BL246" s="141"/>
      <c r="BM246" s="141"/>
      <c r="BN246" s="141"/>
      <c r="BO246" s="141"/>
      <c r="BP246" s="141"/>
      <c r="BQ246" s="141"/>
      <c r="BR246" s="141"/>
      <c r="BS246" s="141"/>
      <c r="BT246" s="141"/>
      <c r="BU246" s="141"/>
      <c r="BV246" s="141"/>
      <c r="BW246" s="141"/>
      <c r="BX246" s="130">
        <f t="shared" si="108"/>
        <v>0</v>
      </c>
      <c r="BY246" s="132"/>
    </row>
    <row r="247" ht="15.75" customHeight="1">
      <c r="B247" s="1477">
        <v>46243</v>
      </c>
      <c r="C247" s="379"/>
      <c r="D247" s="136"/>
      <c r="E247" s="136"/>
      <c r="F247" s="136"/>
      <c r="G247" s="105">
        <f t="shared" si="100"/>
        <v>0</v>
      </c>
      <c r="H247" s="1469"/>
      <c r="I247" s="1470"/>
      <c r="J247" s="1470"/>
      <c r="K247" s="1470"/>
      <c r="L247" s="1470"/>
      <c r="M247" s="1470"/>
      <c r="N247" s="1470"/>
      <c r="O247" s="1470"/>
      <c r="P247" s="1470"/>
      <c r="Q247" s="1470"/>
      <c r="R247" s="1470"/>
      <c r="S247" s="1470"/>
      <c r="T247" s="1470"/>
      <c r="U247" s="1470"/>
      <c r="V247" s="1470"/>
      <c r="W247" s="1470"/>
      <c r="X247" s="103">
        <f t="shared" si="101"/>
        <v>0</v>
      </c>
      <c r="Y247" s="641"/>
      <c r="Z247" s="641"/>
      <c r="AA247" s="143"/>
      <c r="AB247" s="143"/>
      <c r="AC247" s="143"/>
      <c r="AD247" s="143"/>
      <c r="AE247" s="143"/>
      <c r="AF247" s="143"/>
      <c r="AG247" s="143"/>
      <c r="AH247" s="143"/>
      <c r="AI247" s="143"/>
      <c r="AJ247" s="143"/>
      <c r="AK247" s="143"/>
      <c r="AL247" s="103">
        <f t="shared" si="102"/>
        <v>0</v>
      </c>
      <c r="AM247" s="136"/>
      <c r="AN247" s="136"/>
      <c r="AO247" s="136"/>
      <c r="AP247" s="105">
        <f t="shared" si="103"/>
        <v>0</v>
      </c>
      <c r="AQ247" s="99"/>
      <c r="AR247" s="99"/>
      <c r="AS247" s="99"/>
      <c r="AT247" s="124"/>
      <c r="AU247" s="224">
        <f t="shared" si="104"/>
        <v>0</v>
      </c>
      <c r="AV247" s="126"/>
      <c r="AW247" s="274"/>
      <c r="AX247" s="126"/>
      <c r="AY247" s="126"/>
      <c r="AZ247" s="126"/>
      <c r="BA247" s="126"/>
      <c r="BB247" s="141"/>
      <c r="BC247" s="152"/>
      <c r="BD247" s="152"/>
      <c r="BE247" s="152"/>
      <c r="BF247" s="152"/>
      <c r="BG247" s="308">
        <f t="shared" si="105"/>
        <v>0</v>
      </c>
      <c r="BH247" s="140">
        <f t="shared" si="106"/>
        <v>0</v>
      </c>
      <c r="BI247" s="132"/>
      <c r="BJ247" s="140">
        <f t="shared" si="107"/>
        <v>0</v>
      </c>
      <c r="BK247" s="141"/>
      <c r="BL247" s="141"/>
      <c r="BM247" s="141"/>
      <c r="BN247" s="141"/>
      <c r="BO247" s="141"/>
      <c r="BP247" s="141"/>
      <c r="BQ247" s="141"/>
      <c r="BR247" s="141"/>
      <c r="BS247" s="141"/>
      <c r="BT247" s="141"/>
      <c r="BU247" s="141"/>
      <c r="BV247" s="141"/>
      <c r="BW247" s="141"/>
      <c r="BX247" s="130">
        <f t="shared" si="108"/>
        <v>0</v>
      </c>
      <c r="BY247" s="132"/>
    </row>
    <row r="248" ht="15.75" customHeight="1">
      <c r="B248" s="1477">
        <v>46244</v>
      </c>
      <c r="C248" s="379"/>
      <c r="D248" s="136"/>
      <c r="E248" s="136"/>
      <c r="F248" s="136"/>
      <c r="G248" s="105">
        <f t="shared" si="100"/>
        <v>0</v>
      </c>
      <c r="H248" s="1469"/>
      <c r="I248" s="1470"/>
      <c r="J248" s="1470"/>
      <c r="K248" s="1470"/>
      <c r="L248" s="1470"/>
      <c r="M248" s="1470"/>
      <c r="N248" s="1470"/>
      <c r="O248" s="1470"/>
      <c r="P248" s="1470"/>
      <c r="Q248" s="1470"/>
      <c r="R248" s="1470"/>
      <c r="S248" s="1470"/>
      <c r="T248" s="1470"/>
      <c r="U248" s="1470"/>
      <c r="V248" s="1470"/>
      <c r="W248" s="1470"/>
      <c r="X248" s="103">
        <f t="shared" si="101"/>
        <v>0</v>
      </c>
      <c r="Y248" s="641"/>
      <c r="Z248" s="641"/>
      <c r="AA248" s="143"/>
      <c r="AB248" s="143"/>
      <c r="AC248" s="143"/>
      <c r="AD248" s="143"/>
      <c r="AE248" s="143"/>
      <c r="AF248" s="143"/>
      <c r="AG248" s="143"/>
      <c r="AH248" s="143"/>
      <c r="AI248" s="143"/>
      <c r="AJ248" s="143"/>
      <c r="AK248" s="143"/>
      <c r="AL248" s="103">
        <f t="shared" si="102"/>
        <v>0</v>
      </c>
      <c r="AM248" s="136"/>
      <c r="AN248" s="136"/>
      <c r="AO248" s="136"/>
      <c r="AP248" s="105">
        <f t="shared" si="103"/>
        <v>0</v>
      </c>
      <c r="AQ248" s="99"/>
      <c r="AR248" s="99"/>
      <c r="AS248" s="99"/>
      <c r="AT248" s="124"/>
      <c r="AU248" s="224">
        <f t="shared" si="104"/>
        <v>0</v>
      </c>
      <c r="AV248" s="126"/>
      <c r="AW248" s="274"/>
      <c r="AX248" s="126"/>
      <c r="AY248" s="126"/>
      <c r="AZ248" s="126"/>
      <c r="BA248" s="126"/>
      <c r="BB248" s="141"/>
      <c r="BC248" s="152"/>
      <c r="BD248" s="152"/>
      <c r="BE248" s="152"/>
      <c r="BF248" s="152"/>
      <c r="BG248" s="308">
        <f t="shared" si="105"/>
        <v>0</v>
      </c>
      <c r="BH248" s="140">
        <f t="shared" si="106"/>
        <v>0</v>
      </c>
      <c r="BI248" s="132"/>
      <c r="BJ248" s="140">
        <f t="shared" si="107"/>
        <v>0</v>
      </c>
      <c r="BK248" s="141"/>
      <c r="BL248" s="141"/>
      <c r="BM248" s="141"/>
      <c r="BN248" s="141"/>
      <c r="BO248" s="141"/>
      <c r="BP248" s="141"/>
      <c r="BQ248" s="141"/>
      <c r="BR248" s="141"/>
      <c r="BS248" s="141"/>
      <c r="BT248" s="141"/>
      <c r="BU248" s="141"/>
      <c r="BV248" s="141"/>
      <c r="BW248" s="141"/>
      <c r="BX248" s="130">
        <f t="shared" si="108"/>
        <v>0</v>
      </c>
      <c r="BY248" s="132"/>
    </row>
    <row r="249" ht="15.75" customHeight="1">
      <c r="B249" s="1477">
        <v>46245</v>
      </c>
      <c r="C249" s="379"/>
      <c r="D249" s="136"/>
      <c r="E249" s="136"/>
      <c r="F249" s="136"/>
      <c r="G249" s="105">
        <f t="shared" si="100"/>
        <v>0</v>
      </c>
      <c r="H249" s="1469"/>
      <c r="I249" s="1470"/>
      <c r="J249" s="1470"/>
      <c r="K249" s="1470"/>
      <c r="L249" s="1470"/>
      <c r="M249" s="1470"/>
      <c r="N249" s="1470"/>
      <c r="O249" s="1470"/>
      <c r="P249" s="1470"/>
      <c r="Q249" s="1470"/>
      <c r="R249" s="1470"/>
      <c r="S249" s="1470"/>
      <c r="T249" s="1470"/>
      <c r="U249" s="1470"/>
      <c r="V249" s="1470"/>
      <c r="W249" s="1470"/>
      <c r="X249" s="103">
        <f t="shared" si="101"/>
        <v>0</v>
      </c>
      <c r="Y249" s="641"/>
      <c r="Z249" s="641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03">
        <f t="shared" si="102"/>
        <v>0</v>
      </c>
      <c r="AM249" s="136"/>
      <c r="AN249" s="136"/>
      <c r="AO249" s="136"/>
      <c r="AP249" s="105">
        <f t="shared" si="103"/>
        <v>0</v>
      </c>
      <c r="AQ249" s="99"/>
      <c r="AR249" s="99"/>
      <c r="AS249" s="99"/>
      <c r="AT249" s="124"/>
      <c r="AU249" s="224">
        <f t="shared" si="104"/>
        <v>0</v>
      </c>
      <c r="AV249" s="126"/>
      <c r="AW249" s="274"/>
      <c r="AX249" s="126"/>
      <c r="AY249" s="126"/>
      <c r="AZ249" s="126"/>
      <c r="BA249" s="126"/>
      <c r="BB249" s="141"/>
      <c r="BC249" s="152"/>
      <c r="BD249" s="152"/>
      <c r="BE249" s="152"/>
      <c r="BF249" s="152"/>
      <c r="BG249" s="308">
        <f t="shared" si="105"/>
        <v>0</v>
      </c>
      <c r="BH249" s="140">
        <f t="shared" si="106"/>
        <v>0</v>
      </c>
      <c r="BI249" s="132"/>
      <c r="BJ249" s="140">
        <f t="shared" si="107"/>
        <v>0</v>
      </c>
      <c r="BK249" s="141"/>
      <c r="BL249" s="141"/>
      <c r="BM249" s="141"/>
      <c r="BN249" s="141"/>
      <c r="BO249" s="141"/>
      <c r="BP249" s="141"/>
      <c r="BQ249" s="141"/>
      <c r="BR249" s="141"/>
      <c r="BS249" s="141"/>
      <c r="BT249" s="141"/>
      <c r="BU249" s="141"/>
      <c r="BV249" s="141"/>
      <c r="BW249" s="141"/>
      <c r="BX249" s="130">
        <f t="shared" si="108"/>
        <v>0</v>
      </c>
      <c r="BY249" s="132"/>
    </row>
    <row r="250" ht="15.75" customHeight="1">
      <c r="B250" s="1477">
        <v>46246</v>
      </c>
      <c r="C250" s="379"/>
      <c r="D250" s="136"/>
      <c r="E250" s="136"/>
      <c r="F250" s="136"/>
      <c r="G250" s="105">
        <f t="shared" si="100"/>
        <v>0</v>
      </c>
      <c r="H250" s="1469"/>
      <c r="I250" s="1470"/>
      <c r="J250" s="1470"/>
      <c r="K250" s="1470"/>
      <c r="L250" s="1470"/>
      <c r="M250" s="1470"/>
      <c r="N250" s="1470"/>
      <c r="O250" s="1470"/>
      <c r="P250" s="1470"/>
      <c r="Q250" s="1470"/>
      <c r="R250" s="1470"/>
      <c r="S250" s="1470"/>
      <c r="T250" s="1470"/>
      <c r="U250" s="1470"/>
      <c r="V250" s="1470"/>
      <c r="W250" s="1470"/>
      <c r="X250" s="103">
        <f t="shared" si="101"/>
        <v>0</v>
      </c>
      <c r="Y250" s="641"/>
      <c r="Z250" s="641"/>
      <c r="AA250" s="143"/>
      <c r="AB250" s="143"/>
      <c r="AC250" s="143"/>
      <c r="AD250" s="143"/>
      <c r="AE250" s="143"/>
      <c r="AF250" s="143"/>
      <c r="AG250" s="143"/>
      <c r="AH250" s="143"/>
      <c r="AI250" s="143"/>
      <c r="AJ250" s="143"/>
      <c r="AK250" s="143"/>
      <c r="AL250" s="103">
        <f t="shared" si="102"/>
        <v>0</v>
      </c>
      <c r="AM250" s="136"/>
      <c r="AN250" s="136"/>
      <c r="AO250" s="136"/>
      <c r="AP250" s="105">
        <f t="shared" si="103"/>
        <v>0</v>
      </c>
      <c r="AQ250" s="99"/>
      <c r="AR250" s="99"/>
      <c r="AS250" s="99"/>
      <c r="AT250" s="124"/>
      <c r="AU250" s="224">
        <f t="shared" si="104"/>
        <v>0</v>
      </c>
      <c r="AV250" s="126"/>
      <c r="AW250" s="274"/>
      <c r="AX250" s="126"/>
      <c r="AY250" s="126"/>
      <c r="AZ250" s="126"/>
      <c r="BA250" s="126"/>
      <c r="BB250" s="141"/>
      <c r="BC250" s="152"/>
      <c r="BD250" s="152"/>
      <c r="BE250" s="152"/>
      <c r="BF250" s="152"/>
      <c r="BG250" s="308">
        <f t="shared" si="105"/>
        <v>0</v>
      </c>
      <c r="BH250" s="140">
        <f t="shared" si="106"/>
        <v>0</v>
      </c>
      <c r="BI250" s="132"/>
      <c r="BJ250" s="140">
        <f t="shared" si="107"/>
        <v>0</v>
      </c>
      <c r="BK250" s="141"/>
      <c r="BL250" s="141"/>
      <c r="BM250" s="141"/>
      <c r="BN250" s="141"/>
      <c r="BO250" s="141"/>
      <c r="BP250" s="141"/>
      <c r="BQ250" s="141"/>
      <c r="BR250" s="141"/>
      <c r="BS250" s="141"/>
      <c r="BT250" s="141"/>
      <c r="BU250" s="141"/>
      <c r="BV250" s="141"/>
      <c r="BW250" s="141"/>
      <c r="BX250" s="130">
        <f t="shared" si="108"/>
        <v>0</v>
      </c>
      <c r="BY250" s="132"/>
    </row>
    <row r="251" ht="15.75" customHeight="1">
      <c r="B251" s="1477">
        <v>46247</v>
      </c>
      <c r="C251" s="379"/>
      <c r="D251" s="136"/>
      <c r="E251" s="136"/>
      <c r="F251" s="136"/>
      <c r="G251" s="105">
        <f t="shared" si="100"/>
        <v>0</v>
      </c>
      <c r="H251" s="1469"/>
      <c r="I251" s="1470"/>
      <c r="J251" s="1470"/>
      <c r="K251" s="1470"/>
      <c r="L251" s="1470"/>
      <c r="M251" s="1470"/>
      <c r="N251" s="1470"/>
      <c r="O251" s="1470"/>
      <c r="P251" s="1470"/>
      <c r="Q251" s="1470"/>
      <c r="R251" s="1470"/>
      <c r="S251" s="1470"/>
      <c r="T251" s="1470"/>
      <c r="U251" s="1470"/>
      <c r="V251" s="1470"/>
      <c r="W251" s="1470"/>
      <c r="X251" s="103">
        <f t="shared" si="101"/>
        <v>0</v>
      </c>
      <c r="Y251" s="641"/>
      <c r="Z251" s="641"/>
      <c r="AA251" s="143"/>
      <c r="AB251" s="143"/>
      <c r="AC251" s="143"/>
      <c r="AD251" s="143"/>
      <c r="AE251" s="143"/>
      <c r="AF251" s="143"/>
      <c r="AG251" s="143"/>
      <c r="AH251" s="143"/>
      <c r="AI251" s="143"/>
      <c r="AJ251" s="143"/>
      <c r="AK251" s="143"/>
      <c r="AL251" s="103">
        <f t="shared" si="102"/>
        <v>0</v>
      </c>
      <c r="AM251" s="136"/>
      <c r="AN251" s="136"/>
      <c r="AO251" s="136"/>
      <c r="AP251" s="105">
        <f t="shared" si="103"/>
        <v>0</v>
      </c>
      <c r="AQ251" s="99"/>
      <c r="AR251" s="99"/>
      <c r="AS251" s="99"/>
      <c r="AT251" s="124"/>
      <c r="AU251" s="224">
        <f t="shared" si="104"/>
        <v>0</v>
      </c>
      <c r="AV251" s="126"/>
      <c r="AW251" s="274"/>
      <c r="AX251" s="126"/>
      <c r="AY251" s="126"/>
      <c r="AZ251" s="126"/>
      <c r="BA251" s="126"/>
      <c r="BB251" s="141"/>
      <c r="BC251" s="152"/>
      <c r="BD251" s="152"/>
      <c r="BE251" s="152"/>
      <c r="BF251" s="152"/>
      <c r="BG251" s="308">
        <f t="shared" si="105"/>
        <v>0</v>
      </c>
      <c r="BH251" s="140">
        <f t="shared" si="106"/>
        <v>0</v>
      </c>
      <c r="BI251" s="132"/>
      <c r="BJ251" s="140">
        <f t="shared" si="107"/>
        <v>0</v>
      </c>
      <c r="BK251" s="141"/>
      <c r="BL251" s="141"/>
      <c r="BM251" s="141"/>
      <c r="BN251" s="141"/>
      <c r="BO251" s="141"/>
      <c r="BP251" s="141"/>
      <c r="BQ251" s="141"/>
      <c r="BR251" s="141"/>
      <c r="BS251" s="141"/>
      <c r="BT251" s="141"/>
      <c r="BU251" s="141"/>
      <c r="BV251" s="141"/>
      <c r="BW251" s="141"/>
      <c r="BX251" s="130">
        <f t="shared" si="108"/>
        <v>0</v>
      </c>
      <c r="BY251" s="132"/>
    </row>
    <row r="252" ht="15.75" customHeight="1">
      <c r="B252" s="1477">
        <v>46248</v>
      </c>
      <c r="C252" s="379"/>
      <c r="D252" s="136"/>
      <c r="E252" s="136"/>
      <c r="F252" s="136"/>
      <c r="G252" s="105">
        <f t="shared" si="100"/>
        <v>0</v>
      </c>
      <c r="H252" s="1474"/>
      <c r="I252" s="142"/>
      <c r="J252" s="1470"/>
      <c r="K252" s="1470"/>
      <c r="L252" s="1470"/>
      <c r="M252" s="1470"/>
      <c r="N252" s="1470"/>
      <c r="O252" s="1470"/>
      <c r="P252" s="1470"/>
      <c r="Q252" s="1470"/>
      <c r="R252" s="1470"/>
      <c r="S252" s="1470"/>
      <c r="T252" s="1470"/>
      <c r="U252" s="1470"/>
      <c r="V252" s="1470"/>
      <c r="W252" s="1470"/>
      <c r="X252" s="103">
        <f t="shared" si="101"/>
        <v>0</v>
      </c>
      <c r="Y252" s="641"/>
      <c r="Z252" s="641"/>
      <c r="AA252" s="143"/>
      <c r="AB252" s="143"/>
      <c r="AC252" s="143"/>
      <c r="AD252" s="143"/>
      <c r="AE252" s="143"/>
      <c r="AF252" s="143"/>
      <c r="AG252" s="143"/>
      <c r="AH252" s="143"/>
      <c r="AI252" s="143"/>
      <c r="AJ252" s="143"/>
      <c r="AK252" s="143"/>
      <c r="AL252" s="103">
        <f t="shared" si="102"/>
        <v>0</v>
      </c>
      <c r="AM252" s="136"/>
      <c r="AN252" s="136"/>
      <c r="AO252" s="136"/>
      <c r="AP252" s="105">
        <f t="shared" si="103"/>
        <v>0</v>
      </c>
      <c r="AQ252" s="99"/>
      <c r="AR252" s="99"/>
      <c r="AS252" s="99"/>
      <c r="AT252" s="124"/>
      <c r="AU252" s="224">
        <f t="shared" si="104"/>
        <v>0</v>
      </c>
      <c r="AV252" s="126"/>
      <c r="AW252" s="274"/>
      <c r="AX252" s="126"/>
      <c r="AY252" s="126"/>
      <c r="AZ252" s="126"/>
      <c r="BA252" s="126"/>
      <c r="BB252" s="141"/>
      <c r="BC252" s="152"/>
      <c r="BD252" s="152"/>
      <c r="BE252" s="152"/>
      <c r="BF252" s="152"/>
      <c r="BG252" s="308">
        <f t="shared" si="105"/>
        <v>0</v>
      </c>
      <c r="BH252" s="140">
        <f t="shared" si="106"/>
        <v>0</v>
      </c>
      <c r="BI252" s="132"/>
      <c r="BJ252" s="140">
        <f t="shared" si="107"/>
        <v>0</v>
      </c>
      <c r="BK252" s="141"/>
      <c r="BL252" s="141"/>
      <c r="BM252" s="141"/>
      <c r="BN252" s="141"/>
      <c r="BO252" s="141"/>
      <c r="BP252" s="141"/>
      <c r="BQ252" s="141"/>
      <c r="BR252" s="141"/>
      <c r="BS252" s="141"/>
      <c r="BT252" s="141"/>
      <c r="BU252" s="141"/>
      <c r="BV252" s="141"/>
      <c r="BW252" s="141"/>
      <c r="BX252" s="130">
        <f t="shared" si="108"/>
        <v>0</v>
      </c>
      <c r="BY252" s="132"/>
    </row>
    <row r="253" ht="15.75" customHeight="1">
      <c r="B253" s="1477">
        <v>46249</v>
      </c>
      <c r="C253" s="379"/>
      <c r="D253" s="136"/>
      <c r="E253" s="136"/>
      <c r="F253" s="136"/>
      <c r="G253" s="105">
        <f t="shared" si="100"/>
        <v>0</v>
      </c>
      <c r="H253" s="1469"/>
      <c r="I253" s="1470"/>
      <c r="J253" s="1470"/>
      <c r="K253" s="1470"/>
      <c r="L253" s="1470"/>
      <c r="M253" s="1470"/>
      <c r="N253" s="1470"/>
      <c r="O253" s="1470"/>
      <c r="P253" s="1470"/>
      <c r="Q253" s="1470"/>
      <c r="R253" s="1470"/>
      <c r="S253" s="1470"/>
      <c r="T253" s="1470"/>
      <c r="U253" s="1470"/>
      <c r="V253" s="136"/>
      <c r="W253" s="136"/>
      <c r="X253" s="103">
        <f t="shared" si="101"/>
        <v>0</v>
      </c>
      <c r="Y253" s="641"/>
      <c r="Z253" s="641"/>
      <c r="AA253" s="143"/>
      <c r="AB253" s="143"/>
      <c r="AC253" s="143"/>
      <c r="AD253" s="143"/>
      <c r="AE253" s="143"/>
      <c r="AF253" s="143"/>
      <c r="AG253" s="143"/>
      <c r="AH253" s="143"/>
      <c r="AI253" s="143"/>
      <c r="AJ253" s="143"/>
      <c r="AK253" s="143"/>
      <c r="AL253" s="103">
        <f t="shared" si="102"/>
        <v>0</v>
      </c>
      <c r="AM253" s="136"/>
      <c r="AN253" s="136"/>
      <c r="AO253" s="136"/>
      <c r="AP253" s="105">
        <f t="shared" si="103"/>
        <v>0</v>
      </c>
      <c r="AQ253" s="99"/>
      <c r="AR253" s="99"/>
      <c r="AS253" s="99"/>
      <c r="AT253" s="124"/>
      <c r="AU253" s="224">
        <f t="shared" si="104"/>
        <v>0</v>
      </c>
      <c r="AV253" s="126"/>
      <c r="AW253" s="274"/>
      <c r="AX253" s="126"/>
      <c r="AY253" s="126"/>
      <c r="AZ253" s="126"/>
      <c r="BA253" s="126"/>
      <c r="BB253" s="141"/>
      <c r="BC253" s="152"/>
      <c r="BD253" s="152"/>
      <c r="BE253" s="152"/>
      <c r="BF253" s="152"/>
      <c r="BG253" s="308">
        <f t="shared" si="105"/>
        <v>0</v>
      </c>
      <c r="BH253" s="140">
        <f t="shared" si="106"/>
        <v>0</v>
      </c>
      <c r="BI253" s="132"/>
      <c r="BJ253" s="140">
        <f t="shared" si="107"/>
        <v>0</v>
      </c>
      <c r="BK253" s="141"/>
      <c r="BL253" s="141"/>
      <c r="BM253" s="141"/>
      <c r="BN253" s="141"/>
      <c r="BO253" s="141"/>
      <c r="BP253" s="141"/>
      <c r="BQ253" s="141"/>
      <c r="BR253" s="141"/>
      <c r="BS253" s="141"/>
      <c r="BT253" s="141"/>
      <c r="BU253" s="141"/>
      <c r="BV253" s="141"/>
      <c r="BW253" s="141"/>
      <c r="BX253" s="130">
        <f t="shared" si="108"/>
        <v>0</v>
      </c>
      <c r="BY253" s="132"/>
    </row>
    <row r="254" ht="15.75" customHeight="1">
      <c r="B254" s="1477">
        <v>46250</v>
      </c>
      <c r="C254" s="379"/>
      <c r="D254" s="136"/>
      <c r="E254" s="136"/>
      <c r="F254" s="136"/>
      <c r="G254" s="105">
        <f t="shared" si="100"/>
        <v>0</v>
      </c>
      <c r="H254" s="1469"/>
      <c r="I254" s="1470"/>
      <c r="J254" s="1470"/>
      <c r="K254" s="1470"/>
      <c r="L254" s="1470"/>
      <c r="M254" s="1470"/>
      <c r="N254" s="1470"/>
      <c r="O254" s="1470"/>
      <c r="P254" s="1470"/>
      <c r="Q254" s="1470"/>
      <c r="R254" s="1470"/>
      <c r="S254" s="1470"/>
      <c r="T254" s="1470"/>
      <c r="U254" s="1470"/>
      <c r="V254" s="1470"/>
      <c r="W254" s="1470"/>
      <c r="X254" s="103">
        <f t="shared" si="101"/>
        <v>0</v>
      </c>
      <c r="Y254" s="641"/>
      <c r="Z254" s="641"/>
      <c r="AA254" s="143"/>
      <c r="AB254" s="143"/>
      <c r="AC254" s="143"/>
      <c r="AD254" s="143"/>
      <c r="AE254" s="143"/>
      <c r="AF254" s="143"/>
      <c r="AG254" s="143"/>
      <c r="AH254" s="143"/>
      <c r="AI254" s="143"/>
      <c r="AJ254" s="143"/>
      <c r="AK254" s="143"/>
      <c r="AL254" s="103">
        <f t="shared" si="102"/>
        <v>0</v>
      </c>
      <c r="AM254" s="136"/>
      <c r="AN254" s="136"/>
      <c r="AO254" s="136"/>
      <c r="AP254" s="105">
        <f t="shared" si="103"/>
        <v>0</v>
      </c>
      <c r="AQ254" s="99"/>
      <c r="AR254" s="99"/>
      <c r="AS254" s="99"/>
      <c r="AT254" s="124"/>
      <c r="AU254" s="224">
        <f t="shared" si="104"/>
        <v>0</v>
      </c>
      <c r="AV254" s="126"/>
      <c r="AW254" s="274"/>
      <c r="AX254" s="126"/>
      <c r="AY254" s="126"/>
      <c r="AZ254" s="126"/>
      <c r="BA254" s="126"/>
      <c r="BB254" s="141"/>
      <c r="BC254" s="152"/>
      <c r="BD254" s="152"/>
      <c r="BE254" s="152"/>
      <c r="BF254" s="152"/>
      <c r="BG254" s="308">
        <f t="shared" si="105"/>
        <v>0</v>
      </c>
      <c r="BH254" s="140">
        <f t="shared" si="106"/>
        <v>0</v>
      </c>
      <c r="BI254" s="132"/>
      <c r="BJ254" s="140">
        <f t="shared" si="107"/>
        <v>0</v>
      </c>
      <c r="BK254" s="141"/>
      <c r="BL254" s="141"/>
      <c r="BM254" s="141"/>
      <c r="BN254" s="141"/>
      <c r="BO254" s="141"/>
      <c r="BP254" s="141"/>
      <c r="BQ254" s="141"/>
      <c r="BR254" s="141"/>
      <c r="BS254" s="141"/>
      <c r="BT254" s="141"/>
      <c r="BU254" s="141"/>
      <c r="BV254" s="141"/>
      <c r="BW254" s="141"/>
      <c r="BX254" s="130">
        <f t="shared" si="108"/>
        <v>0</v>
      </c>
      <c r="BY254" s="132"/>
    </row>
    <row r="255" ht="15.75" customHeight="1">
      <c r="B255" s="1477">
        <v>46251</v>
      </c>
      <c r="C255" s="379"/>
      <c r="D255" s="136"/>
      <c r="E255" s="136"/>
      <c r="F255" s="136"/>
      <c r="G255" s="105">
        <f t="shared" si="100"/>
        <v>0</v>
      </c>
      <c r="H255" s="1474"/>
      <c r="I255" s="142"/>
      <c r="J255" s="1470"/>
      <c r="K255" s="1470"/>
      <c r="L255" s="1470"/>
      <c r="M255" s="1470"/>
      <c r="N255" s="1470"/>
      <c r="O255" s="1470"/>
      <c r="P255" s="1470"/>
      <c r="Q255" s="1470"/>
      <c r="R255" s="1470"/>
      <c r="S255" s="1470"/>
      <c r="T255" s="1470"/>
      <c r="U255" s="1470"/>
      <c r="V255" s="1470"/>
      <c r="W255" s="1470"/>
      <c r="X255" s="103">
        <f t="shared" si="101"/>
        <v>0</v>
      </c>
      <c r="Y255" s="641"/>
      <c r="Z255" s="641"/>
      <c r="AA255" s="143"/>
      <c r="AB255" s="143"/>
      <c r="AC255" s="143"/>
      <c r="AD255" s="143"/>
      <c r="AE255" s="143"/>
      <c r="AF255" s="143"/>
      <c r="AG255" s="143"/>
      <c r="AH255" s="143"/>
      <c r="AI255" s="143"/>
      <c r="AJ255" s="143"/>
      <c r="AK255" s="143"/>
      <c r="AL255" s="103">
        <f t="shared" si="102"/>
        <v>0</v>
      </c>
      <c r="AM255" s="136"/>
      <c r="AN255" s="136"/>
      <c r="AO255" s="136"/>
      <c r="AP255" s="105">
        <f t="shared" si="103"/>
        <v>0</v>
      </c>
      <c r="AQ255" s="99"/>
      <c r="AR255" s="99"/>
      <c r="AS255" s="99"/>
      <c r="AT255" s="124"/>
      <c r="AU255" s="224">
        <f t="shared" si="104"/>
        <v>0</v>
      </c>
      <c r="AV255" s="126"/>
      <c r="AW255" s="274"/>
      <c r="AX255" s="126"/>
      <c r="AY255" s="126"/>
      <c r="AZ255" s="126"/>
      <c r="BA255" s="126"/>
      <c r="BB255" s="141"/>
      <c r="BC255" s="152"/>
      <c r="BD255" s="152"/>
      <c r="BE255" s="152"/>
      <c r="BF255" s="152"/>
      <c r="BG255" s="308">
        <f t="shared" si="105"/>
        <v>0</v>
      </c>
      <c r="BH255" s="140">
        <f t="shared" si="106"/>
        <v>0</v>
      </c>
      <c r="BI255" s="132"/>
      <c r="BJ255" s="140">
        <f t="shared" si="107"/>
        <v>0</v>
      </c>
      <c r="BK255" s="141"/>
      <c r="BL255" s="141"/>
      <c r="BM255" s="141"/>
      <c r="BN255" s="141"/>
      <c r="BO255" s="141"/>
      <c r="BP255" s="141"/>
      <c r="BQ255" s="141"/>
      <c r="BR255" s="141"/>
      <c r="BS255" s="141"/>
      <c r="BT255" s="141"/>
      <c r="BU255" s="141"/>
      <c r="BV255" s="141"/>
      <c r="BW255" s="141"/>
      <c r="BX255" s="130">
        <f t="shared" si="108"/>
        <v>0</v>
      </c>
      <c r="BY255" s="132"/>
    </row>
    <row r="256" ht="15.75" customHeight="1">
      <c r="B256" s="1477">
        <v>46252</v>
      </c>
      <c r="C256" s="379"/>
      <c r="D256" s="136"/>
      <c r="E256" s="136"/>
      <c r="F256" s="136"/>
      <c r="G256" s="105">
        <f t="shared" si="100"/>
        <v>0</v>
      </c>
      <c r="H256" s="1469"/>
      <c r="I256" s="1470"/>
      <c r="J256" s="1470"/>
      <c r="K256" s="1470"/>
      <c r="L256" s="1470"/>
      <c r="M256" s="1470"/>
      <c r="N256" s="1470"/>
      <c r="O256" s="1470"/>
      <c r="P256" s="1470"/>
      <c r="Q256" s="1470"/>
      <c r="R256" s="1470"/>
      <c r="S256" s="1470"/>
      <c r="T256" s="1470"/>
      <c r="U256" s="1470"/>
      <c r="V256" s="1470"/>
      <c r="W256" s="1470"/>
      <c r="X256" s="103">
        <f t="shared" si="101"/>
        <v>0</v>
      </c>
      <c r="Y256" s="641"/>
      <c r="Z256" s="641"/>
      <c r="AA256" s="143"/>
      <c r="AB256" s="143"/>
      <c r="AC256" s="143"/>
      <c r="AD256" s="143"/>
      <c r="AE256" s="143"/>
      <c r="AF256" s="143"/>
      <c r="AG256" s="143"/>
      <c r="AH256" s="143"/>
      <c r="AI256" s="143"/>
      <c r="AJ256" s="143"/>
      <c r="AK256" s="143"/>
      <c r="AL256" s="103">
        <f t="shared" si="102"/>
        <v>0</v>
      </c>
      <c r="AM256" s="136"/>
      <c r="AN256" s="136"/>
      <c r="AO256" s="136"/>
      <c r="AP256" s="105">
        <f t="shared" si="103"/>
        <v>0</v>
      </c>
      <c r="AQ256" s="99"/>
      <c r="AR256" s="99"/>
      <c r="AS256" s="99"/>
      <c r="AT256" s="124"/>
      <c r="AU256" s="224">
        <f t="shared" si="104"/>
        <v>0</v>
      </c>
      <c r="AV256" s="126"/>
      <c r="AW256" s="274"/>
      <c r="AX256" s="126"/>
      <c r="AY256" s="126"/>
      <c r="AZ256" s="126"/>
      <c r="BA256" s="126"/>
      <c r="BB256" s="141"/>
      <c r="BC256" s="152"/>
      <c r="BD256" s="152"/>
      <c r="BE256" s="152"/>
      <c r="BF256" s="152"/>
      <c r="BG256" s="308">
        <f t="shared" si="105"/>
        <v>0</v>
      </c>
      <c r="BH256" s="140">
        <f t="shared" si="106"/>
        <v>0</v>
      </c>
      <c r="BI256" s="132"/>
      <c r="BJ256" s="140">
        <f t="shared" si="107"/>
        <v>0</v>
      </c>
      <c r="BK256" s="141"/>
      <c r="BL256" s="141"/>
      <c r="BM256" s="141"/>
      <c r="BN256" s="141"/>
      <c r="BO256" s="141"/>
      <c r="BP256" s="141"/>
      <c r="BQ256" s="141"/>
      <c r="BR256" s="141"/>
      <c r="BS256" s="141"/>
      <c r="BT256" s="141"/>
      <c r="BU256" s="141"/>
      <c r="BV256" s="141"/>
      <c r="BW256" s="141"/>
      <c r="BX256" s="130">
        <f t="shared" si="108"/>
        <v>0</v>
      </c>
      <c r="BY256" s="132"/>
    </row>
    <row r="257" ht="15.75" customHeight="1">
      <c r="B257" s="1477">
        <v>46253</v>
      </c>
      <c r="C257" s="379"/>
      <c r="D257" s="136"/>
      <c r="E257" s="136"/>
      <c r="F257" s="136"/>
      <c r="G257" s="105">
        <f t="shared" si="100"/>
        <v>0</v>
      </c>
      <c r="H257" s="1469"/>
      <c r="I257" s="1470"/>
      <c r="J257" s="1470"/>
      <c r="K257" s="1470"/>
      <c r="L257" s="1470"/>
      <c r="M257" s="1470"/>
      <c r="N257" s="1470"/>
      <c r="O257" s="1470"/>
      <c r="P257" s="1470"/>
      <c r="Q257" s="1470"/>
      <c r="R257" s="1470"/>
      <c r="S257" s="1470"/>
      <c r="T257" s="1470"/>
      <c r="U257" s="1470"/>
      <c r="V257" s="1470"/>
      <c r="W257" s="1470"/>
      <c r="X257" s="103">
        <f t="shared" si="101"/>
        <v>0</v>
      </c>
      <c r="Y257" s="641"/>
      <c r="Z257" s="641"/>
      <c r="AA257" s="143"/>
      <c r="AB257" s="143"/>
      <c r="AC257" s="143"/>
      <c r="AD257" s="143"/>
      <c r="AE257" s="143"/>
      <c r="AF257" s="143"/>
      <c r="AG257" s="143"/>
      <c r="AH257" s="143"/>
      <c r="AI257" s="143"/>
      <c r="AJ257" s="143"/>
      <c r="AK257" s="143"/>
      <c r="AL257" s="103">
        <f t="shared" si="102"/>
        <v>0</v>
      </c>
      <c r="AM257" s="136"/>
      <c r="AN257" s="136"/>
      <c r="AO257" s="136"/>
      <c r="AP257" s="105">
        <f t="shared" si="103"/>
        <v>0</v>
      </c>
      <c r="AQ257" s="99"/>
      <c r="AR257" s="99"/>
      <c r="AS257" s="99"/>
      <c r="AT257" s="124"/>
      <c r="AU257" s="224">
        <f t="shared" si="104"/>
        <v>0</v>
      </c>
      <c r="AV257" s="126"/>
      <c r="AW257" s="274"/>
      <c r="AX257" s="126"/>
      <c r="AY257" s="126"/>
      <c r="AZ257" s="126"/>
      <c r="BA257" s="126"/>
      <c r="BB257" s="141"/>
      <c r="BC257" s="152"/>
      <c r="BD257" s="152"/>
      <c r="BE257" s="152"/>
      <c r="BF257" s="152"/>
      <c r="BG257" s="308">
        <f t="shared" si="105"/>
        <v>0</v>
      </c>
      <c r="BH257" s="140">
        <f t="shared" si="106"/>
        <v>0</v>
      </c>
      <c r="BI257" s="132"/>
      <c r="BJ257" s="140">
        <f t="shared" si="107"/>
        <v>0</v>
      </c>
      <c r="BK257" s="141"/>
      <c r="BL257" s="141"/>
      <c r="BM257" s="141"/>
      <c r="BN257" s="141"/>
      <c r="BO257" s="141"/>
      <c r="BP257" s="141"/>
      <c r="BQ257" s="141"/>
      <c r="BR257" s="141"/>
      <c r="BS257" s="141"/>
      <c r="BT257" s="141"/>
      <c r="BU257" s="141"/>
      <c r="BV257" s="141"/>
      <c r="BW257" s="141"/>
      <c r="BX257" s="130">
        <f t="shared" si="108"/>
        <v>0</v>
      </c>
      <c r="BY257" s="132"/>
    </row>
    <row r="258" ht="15.75" customHeight="1">
      <c r="B258" s="1477">
        <v>46254</v>
      </c>
      <c r="C258" s="379"/>
      <c r="D258" s="136"/>
      <c r="E258" s="136"/>
      <c r="F258" s="136"/>
      <c r="G258" s="105">
        <f t="shared" si="100"/>
        <v>0</v>
      </c>
      <c r="H258" s="1474"/>
      <c r="I258" s="142"/>
      <c r="J258" s="1470"/>
      <c r="K258" s="1470"/>
      <c r="L258" s="1470"/>
      <c r="M258" s="1470"/>
      <c r="N258" s="1470"/>
      <c r="O258" s="1470"/>
      <c r="P258" s="1470"/>
      <c r="Q258" s="1470"/>
      <c r="R258" s="1470"/>
      <c r="S258" s="1470"/>
      <c r="T258" s="1470"/>
      <c r="U258" s="1470"/>
      <c r="V258" s="1470"/>
      <c r="W258" s="1470"/>
      <c r="X258" s="103">
        <f t="shared" si="101"/>
        <v>0</v>
      </c>
      <c r="Y258" s="641"/>
      <c r="Z258" s="641"/>
      <c r="AA258" s="143"/>
      <c r="AB258" s="143"/>
      <c r="AC258" s="143"/>
      <c r="AD258" s="143"/>
      <c r="AE258" s="143"/>
      <c r="AF258" s="143"/>
      <c r="AG258" s="143"/>
      <c r="AH258" s="143"/>
      <c r="AI258" s="143"/>
      <c r="AJ258" s="143"/>
      <c r="AK258" s="143"/>
      <c r="AL258" s="103">
        <f t="shared" si="102"/>
        <v>0</v>
      </c>
      <c r="AM258" s="136"/>
      <c r="AN258" s="136"/>
      <c r="AO258" s="136"/>
      <c r="AP258" s="105">
        <f t="shared" si="103"/>
        <v>0</v>
      </c>
      <c r="AQ258" s="99"/>
      <c r="AR258" s="99"/>
      <c r="AS258" s="99"/>
      <c r="AT258" s="124"/>
      <c r="AU258" s="224">
        <f t="shared" si="104"/>
        <v>0</v>
      </c>
      <c r="AV258" s="126"/>
      <c r="AW258" s="274"/>
      <c r="AX258" s="126"/>
      <c r="AY258" s="126"/>
      <c r="AZ258" s="126"/>
      <c r="BA258" s="126"/>
      <c r="BB258" s="141"/>
      <c r="BC258" s="152"/>
      <c r="BD258" s="152"/>
      <c r="BE258" s="152"/>
      <c r="BF258" s="152"/>
      <c r="BG258" s="308">
        <f t="shared" si="105"/>
        <v>0</v>
      </c>
      <c r="BH258" s="140">
        <f t="shared" si="106"/>
        <v>0</v>
      </c>
      <c r="BI258" s="132"/>
      <c r="BJ258" s="140">
        <f t="shared" si="107"/>
        <v>0</v>
      </c>
      <c r="BK258" s="141"/>
      <c r="BL258" s="141"/>
      <c r="BM258" s="141"/>
      <c r="BN258" s="141"/>
      <c r="BO258" s="141"/>
      <c r="BP258" s="141"/>
      <c r="BQ258" s="141"/>
      <c r="BR258" s="141"/>
      <c r="BS258" s="141"/>
      <c r="BT258" s="141"/>
      <c r="BU258" s="141"/>
      <c r="BV258" s="141"/>
      <c r="BW258" s="141"/>
      <c r="BX258" s="130">
        <f t="shared" si="108"/>
        <v>0</v>
      </c>
      <c r="BY258" s="132"/>
    </row>
    <row r="259" ht="15.75" customHeight="1">
      <c r="B259" s="1477">
        <v>46255</v>
      </c>
      <c r="C259" s="379"/>
      <c r="D259" s="136"/>
      <c r="E259" s="136"/>
      <c r="F259" s="136"/>
      <c r="G259" s="105">
        <f t="shared" si="100"/>
        <v>0</v>
      </c>
      <c r="H259" s="1469"/>
      <c r="I259" s="1470"/>
      <c r="J259" s="1470"/>
      <c r="K259" s="1470"/>
      <c r="L259" s="1470"/>
      <c r="M259" s="1470"/>
      <c r="N259" s="1470"/>
      <c r="O259" s="1470"/>
      <c r="P259" s="1470"/>
      <c r="Q259" s="1470"/>
      <c r="R259" s="1470"/>
      <c r="S259" s="1470"/>
      <c r="T259" s="1470"/>
      <c r="U259" s="1470"/>
      <c r="V259" s="1470"/>
      <c r="W259" s="1470"/>
      <c r="X259" s="103">
        <f t="shared" si="101"/>
        <v>0</v>
      </c>
      <c r="Y259" s="641"/>
      <c r="Z259" s="641"/>
      <c r="AA259" s="143"/>
      <c r="AB259" s="143"/>
      <c r="AC259" s="143"/>
      <c r="AD259" s="143"/>
      <c r="AE259" s="143"/>
      <c r="AF259" s="143"/>
      <c r="AG259" s="143"/>
      <c r="AH259" s="143"/>
      <c r="AI259" s="143"/>
      <c r="AJ259" s="143"/>
      <c r="AK259" s="143"/>
      <c r="AL259" s="103">
        <f t="shared" si="102"/>
        <v>0</v>
      </c>
      <c r="AM259" s="136"/>
      <c r="AN259" s="136"/>
      <c r="AO259" s="136"/>
      <c r="AP259" s="105">
        <f t="shared" si="103"/>
        <v>0</v>
      </c>
      <c r="AQ259" s="99"/>
      <c r="AR259" s="99"/>
      <c r="AS259" s="99"/>
      <c r="AT259" s="124"/>
      <c r="AU259" s="224">
        <f t="shared" si="104"/>
        <v>0</v>
      </c>
      <c r="AV259" s="126"/>
      <c r="AW259" s="274"/>
      <c r="AX259" s="126"/>
      <c r="AY259" s="126"/>
      <c r="AZ259" s="126"/>
      <c r="BA259" s="126"/>
      <c r="BB259" s="141"/>
      <c r="BC259" s="152"/>
      <c r="BD259" s="152"/>
      <c r="BE259" s="152"/>
      <c r="BF259" s="152"/>
      <c r="BG259" s="308">
        <f t="shared" si="105"/>
        <v>0</v>
      </c>
      <c r="BH259" s="140">
        <f t="shared" si="106"/>
        <v>0</v>
      </c>
      <c r="BI259" s="132"/>
      <c r="BJ259" s="140">
        <f t="shared" si="107"/>
        <v>0</v>
      </c>
      <c r="BK259" s="141"/>
      <c r="BL259" s="141"/>
      <c r="BM259" s="141"/>
      <c r="BN259" s="141"/>
      <c r="BO259" s="141"/>
      <c r="BP259" s="141"/>
      <c r="BQ259" s="141"/>
      <c r="BR259" s="141"/>
      <c r="BS259" s="141"/>
      <c r="BT259" s="141"/>
      <c r="BU259" s="141"/>
      <c r="BV259" s="141"/>
      <c r="BW259" s="141"/>
      <c r="BX259" s="130">
        <f t="shared" si="108"/>
        <v>0</v>
      </c>
      <c r="BY259" s="132"/>
    </row>
    <row r="260" ht="15.75" customHeight="1">
      <c r="B260" s="1477">
        <v>46256</v>
      </c>
      <c r="C260" s="379"/>
      <c r="D260" s="136"/>
      <c r="E260" s="136"/>
      <c r="F260" s="136"/>
      <c r="G260" s="105">
        <f t="shared" si="100"/>
        <v>0</v>
      </c>
      <c r="H260" s="1469"/>
      <c r="I260" s="1470"/>
      <c r="J260" s="1470"/>
      <c r="K260" s="1470"/>
      <c r="L260" s="1470"/>
      <c r="M260" s="1470"/>
      <c r="N260" s="1470"/>
      <c r="O260" s="1470"/>
      <c r="P260" s="1470"/>
      <c r="Q260" s="1470"/>
      <c r="R260" s="1470"/>
      <c r="S260" s="1470"/>
      <c r="T260" s="1470"/>
      <c r="U260" s="1470"/>
      <c r="V260" s="1470"/>
      <c r="W260" s="1470"/>
      <c r="X260" s="103">
        <f t="shared" si="101"/>
        <v>0</v>
      </c>
      <c r="Y260" s="641"/>
      <c r="Z260" s="641"/>
      <c r="AA260" s="143"/>
      <c r="AB260" s="143"/>
      <c r="AC260" s="143"/>
      <c r="AD260" s="143"/>
      <c r="AE260" s="143"/>
      <c r="AF260" s="143"/>
      <c r="AG260" s="143"/>
      <c r="AH260" s="143"/>
      <c r="AI260" s="143"/>
      <c r="AJ260" s="143"/>
      <c r="AK260" s="143"/>
      <c r="AL260" s="103">
        <f t="shared" si="102"/>
        <v>0</v>
      </c>
      <c r="AM260" s="136"/>
      <c r="AN260" s="136"/>
      <c r="AO260" s="136"/>
      <c r="AP260" s="105">
        <f t="shared" si="103"/>
        <v>0</v>
      </c>
      <c r="AQ260" s="99"/>
      <c r="AR260" s="99"/>
      <c r="AS260" s="99"/>
      <c r="AT260" s="124"/>
      <c r="AU260" s="224">
        <f t="shared" si="104"/>
        <v>0</v>
      </c>
      <c r="AV260" s="126"/>
      <c r="AW260" s="274"/>
      <c r="AX260" s="126"/>
      <c r="AY260" s="126"/>
      <c r="AZ260" s="126"/>
      <c r="BA260" s="126"/>
      <c r="BB260" s="141"/>
      <c r="BC260" s="152"/>
      <c r="BD260" s="152"/>
      <c r="BE260" s="152"/>
      <c r="BF260" s="152"/>
      <c r="BG260" s="308">
        <f t="shared" si="105"/>
        <v>0</v>
      </c>
      <c r="BH260" s="140">
        <f t="shared" si="106"/>
        <v>0</v>
      </c>
      <c r="BI260" s="132"/>
      <c r="BJ260" s="140">
        <f t="shared" si="107"/>
        <v>0</v>
      </c>
      <c r="BK260" s="141"/>
      <c r="BL260" s="141"/>
      <c r="BM260" s="141"/>
      <c r="BN260" s="141"/>
      <c r="BO260" s="141"/>
      <c r="BP260" s="141"/>
      <c r="BQ260" s="141"/>
      <c r="BR260" s="141"/>
      <c r="BS260" s="141"/>
      <c r="BT260" s="141"/>
      <c r="BU260" s="141"/>
      <c r="BV260" s="141"/>
      <c r="BW260" s="141"/>
      <c r="BX260" s="130">
        <f t="shared" si="108"/>
        <v>0</v>
      </c>
      <c r="BY260" s="132"/>
    </row>
    <row r="261" ht="15.75" customHeight="1">
      <c r="B261" s="1477">
        <v>46257</v>
      </c>
      <c r="C261" s="379"/>
      <c r="D261" s="136"/>
      <c r="E261" s="136"/>
      <c r="F261" s="136"/>
      <c r="G261" s="105">
        <f t="shared" si="100"/>
        <v>0</v>
      </c>
      <c r="H261" s="1474"/>
      <c r="I261" s="142"/>
      <c r="J261" s="1470"/>
      <c r="K261" s="1470"/>
      <c r="L261" s="1470"/>
      <c r="M261" s="1470"/>
      <c r="N261" s="1470"/>
      <c r="O261" s="1470"/>
      <c r="P261" s="1470"/>
      <c r="Q261" s="1470"/>
      <c r="R261" s="1470"/>
      <c r="S261" s="1470"/>
      <c r="T261" s="1470"/>
      <c r="U261" s="1470"/>
      <c r="V261" s="1470"/>
      <c r="W261" s="1470"/>
      <c r="X261" s="103">
        <f t="shared" si="101"/>
        <v>0</v>
      </c>
      <c r="Y261" s="641"/>
      <c r="Z261" s="641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03">
        <f t="shared" si="102"/>
        <v>0</v>
      </c>
      <c r="AM261" s="136"/>
      <c r="AN261" s="136"/>
      <c r="AO261" s="136"/>
      <c r="AP261" s="105">
        <f t="shared" si="103"/>
        <v>0</v>
      </c>
      <c r="AQ261" s="99"/>
      <c r="AR261" s="99"/>
      <c r="AS261" s="99"/>
      <c r="AT261" s="124"/>
      <c r="AU261" s="224">
        <f t="shared" si="104"/>
        <v>0</v>
      </c>
      <c r="AV261" s="126"/>
      <c r="AW261" s="274"/>
      <c r="AX261" s="126"/>
      <c r="AY261" s="126"/>
      <c r="AZ261" s="126"/>
      <c r="BA261" s="126"/>
      <c r="BB261" s="141"/>
      <c r="BC261" s="152"/>
      <c r="BD261" s="152"/>
      <c r="BE261" s="152"/>
      <c r="BF261" s="152"/>
      <c r="BG261" s="308">
        <f t="shared" si="105"/>
        <v>0</v>
      </c>
      <c r="BH261" s="140">
        <f t="shared" si="106"/>
        <v>0</v>
      </c>
      <c r="BI261" s="132"/>
      <c r="BJ261" s="140">
        <f t="shared" si="107"/>
        <v>0</v>
      </c>
      <c r="BK261" s="141"/>
      <c r="BL261" s="141"/>
      <c r="BM261" s="141"/>
      <c r="BN261" s="141"/>
      <c r="BO261" s="141"/>
      <c r="BP261" s="141"/>
      <c r="BQ261" s="141"/>
      <c r="BR261" s="141"/>
      <c r="BS261" s="141"/>
      <c r="BT261" s="141"/>
      <c r="BU261" s="141"/>
      <c r="BV261" s="141"/>
      <c r="BW261" s="141"/>
      <c r="BX261" s="130">
        <f t="shared" si="108"/>
        <v>0</v>
      </c>
      <c r="BY261" s="132"/>
    </row>
    <row r="262" ht="15.75" customHeight="1">
      <c r="B262" s="1477">
        <v>46258</v>
      </c>
      <c r="C262" s="379"/>
      <c r="D262" s="136"/>
      <c r="E262" s="136"/>
      <c r="F262" s="136"/>
      <c r="G262" s="105">
        <f t="shared" si="100"/>
        <v>0</v>
      </c>
      <c r="H262" s="1469"/>
      <c r="I262" s="1470"/>
      <c r="J262" s="1470"/>
      <c r="K262" s="1470"/>
      <c r="L262" s="1470"/>
      <c r="M262" s="1470"/>
      <c r="N262" s="1470"/>
      <c r="O262" s="1470"/>
      <c r="P262" s="1470"/>
      <c r="Q262" s="1470"/>
      <c r="R262" s="1470"/>
      <c r="S262" s="1470"/>
      <c r="T262" s="1470"/>
      <c r="U262" s="1470"/>
      <c r="V262" s="1470"/>
      <c r="W262" s="1470"/>
      <c r="X262" s="103">
        <f t="shared" si="101"/>
        <v>0</v>
      </c>
      <c r="Y262" s="641"/>
      <c r="Z262" s="641"/>
      <c r="AA262" s="143"/>
      <c r="AB262" s="143"/>
      <c r="AC262" s="143"/>
      <c r="AD262" s="143"/>
      <c r="AE262" s="143"/>
      <c r="AF262" s="143"/>
      <c r="AG262" s="143"/>
      <c r="AH262" s="143"/>
      <c r="AI262" s="143"/>
      <c r="AJ262" s="143"/>
      <c r="AK262" s="143"/>
      <c r="AL262" s="103">
        <f t="shared" si="102"/>
        <v>0</v>
      </c>
      <c r="AM262" s="136"/>
      <c r="AN262" s="136"/>
      <c r="AO262" s="136"/>
      <c r="AP262" s="105">
        <f t="shared" si="103"/>
        <v>0</v>
      </c>
      <c r="AQ262" s="99"/>
      <c r="AR262" s="99"/>
      <c r="AS262" s="99"/>
      <c r="AT262" s="124"/>
      <c r="AU262" s="224">
        <f t="shared" si="104"/>
        <v>0</v>
      </c>
      <c r="AV262" s="126"/>
      <c r="AW262" s="274"/>
      <c r="AX262" s="126"/>
      <c r="AY262" s="126"/>
      <c r="AZ262" s="126"/>
      <c r="BA262" s="126"/>
      <c r="BB262" s="141"/>
      <c r="BC262" s="152"/>
      <c r="BD262" s="152"/>
      <c r="BE262" s="152"/>
      <c r="BF262" s="152"/>
      <c r="BG262" s="308">
        <f t="shared" si="105"/>
        <v>0</v>
      </c>
      <c r="BH262" s="140">
        <f t="shared" si="106"/>
        <v>0</v>
      </c>
      <c r="BI262" s="132"/>
      <c r="BJ262" s="140">
        <f t="shared" si="107"/>
        <v>0</v>
      </c>
      <c r="BK262" s="141"/>
      <c r="BL262" s="141"/>
      <c r="BM262" s="141"/>
      <c r="BN262" s="141"/>
      <c r="BO262" s="141"/>
      <c r="BP262" s="141"/>
      <c r="BQ262" s="141"/>
      <c r="BR262" s="141"/>
      <c r="BS262" s="141"/>
      <c r="BT262" s="141"/>
      <c r="BU262" s="141"/>
      <c r="BV262" s="141"/>
      <c r="BW262" s="141"/>
      <c r="BX262" s="130">
        <f t="shared" si="108"/>
        <v>0</v>
      </c>
      <c r="BY262" s="132"/>
    </row>
    <row r="263" ht="15.75" customHeight="1">
      <c r="B263" s="1477">
        <v>46259</v>
      </c>
      <c r="C263" s="379"/>
      <c r="D263" s="136"/>
      <c r="E263" s="136"/>
      <c r="F263" s="136"/>
      <c r="G263" s="105">
        <f t="shared" si="100"/>
        <v>0</v>
      </c>
      <c r="H263" s="1469"/>
      <c r="I263" s="1470"/>
      <c r="J263" s="1470"/>
      <c r="K263" s="1470"/>
      <c r="L263" s="1470"/>
      <c r="M263" s="1470"/>
      <c r="N263" s="1470"/>
      <c r="O263" s="1470"/>
      <c r="P263" s="1470"/>
      <c r="Q263" s="1470"/>
      <c r="R263" s="1470"/>
      <c r="S263" s="1470"/>
      <c r="T263" s="1470"/>
      <c r="U263" s="1470"/>
      <c r="V263" s="1470"/>
      <c r="W263" s="1470"/>
      <c r="X263" s="103">
        <f t="shared" si="101"/>
        <v>0</v>
      </c>
      <c r="Y263" s="641"/>
      <c r="Z263" s="641"/>
      <c r="AA263" s="143"/>
      <c r="AB263" s="143"/>
      <c r="AC263" s="143"/>
      <c r="AD263" s="143"/>
      <c r="AE263" s="143"/>
      <c r="AF263" s="143"/>
      <c r="AG263" s="143"/>
      <c r="AH263" s="143"/>
      <c r="AI263" s="143"/>
      <c r="AJ263" s="143"/>
      <c r="AK263" s="143"/>
      <c r="AL263" s="103">
        <f t="shared" si="102"/>
        <v>0</v>
      </c>
      <c r="AM263" s="136"/>
      <c r="AN263" s="136"/>
      <c r="AO263" s="136"/>
      <c r="AP263" s="105">
        <f t="shared" si="103"/>
        <v>0</v>
      </c>
      <c r="AQ263" s="99"/>
      <c r="AR263" s="99"/>
      <c r="AS263" s="99"/>
      <c r="AT263" s="124"/>
      <c r="AU263" s="224">
        <f t="shared" si="104"/>
        <v>0</v>
      </c>
      <c r="AV263" s="126"/>
      <c r="AW263" s="274"/>
      <c r="AX263" s="126"/>
      <c r="AY263" s="126"/>
      <c r="AZ263" s="126"/>
      <c r="BA263" s="126"/>
      <c r="BB263" s="141"/>
      <c r="BC263" s="152"/>
      <c r="BD263" s="152"/>
      <c r="BE263" s="152"/>
      <c r="BF263" s="152"/>
      <c r="BG263" s="308">
        <f t="shared" si="105"/>
        <v>0</v>
      </c>
      <c r="BH263" s="140">
        <f t="shared" si="106"/>
        <v>0</v>
      </c>
      <c r="BI263" s="132"/>
      <c r="BJ263" s="140">
        <f t="shared" si="107"/>
        <v>0</v>
      </c>
      <c r="BK263" s="141"/>
      <c r="BL263" s="141"/>
      <c r="BM263" s="141"/>
      <c r="BN263" s="141"/>
      <c r="BO263" s="141"/>
      <c r="BP263" s="141"/>
      <c r="BQ263" s="141"/>
      <c r="BR263" s="141"/>
      <c r="BS263" s="141"/>
      <c r="BT263" s="141"/>
      <c r="BU263" s="141"/>
      <c r="BV263" s="141"/>
      <c r="BW263" s="141"/>
      <c r="BX263" s="130">
        <f t="shared" si="108"/>
        <v>0</v>
      </c>
      <c r="BY263" s="132"/>
    </row>
    <row r="264" ht="15.75" customHeight="1">
      <c r="B264" s="1477">
        <v>46260</v>
      </c>
      <c r="C264" s="379"/>
      <c r="D264" s="136"/>
      <c r="E264" s="136"/>
      <c r="F264" s="136"/>
      <c r="G264" s="105">
        <f t="shared" si="100"/>
        <v>0</v>
      </c>
      <c r="H264" s="1474"/>
      <c r="I264" s="142"/>
      <c r="J264" s="1470"/>
      <c r="K264" s="1470"/>
      <c r="L264" s="1470"/>
      <c r="M264" s="1470"/>
      <c r="N264" s="1470"/>
      <c r="O264" s="1470"/>
      <c r="P264" s="1470"/>
      <c r="Q264" s="1470"/>
      <c r="R264" s="1470"/>
      <c r="S264" s="1470"/>
      <c r="T264" s="1470"/>
      <c r="U264" s="1470"/>
      <c r="V264" s="1470"/>
      <c r="W264" s="1470"/>
      <c r="X264" s="103">
        <f t="shared" si="101"/>
        <v>0</v>
      </c>
      <c r="Y264" s="641"/>
      <c r="Z264" s="641"/>
      <c r="AA264" s="143"/>
      <c r="AB264" s="143"/>
      <c r="AC264" s="143"/>
      <c r="AD264" s="143"/>
      <c r="AE264" s="143"/>
      <c r="AF264" s="143"/>
      <c r="AG264" s="143"/>
      <c r="AH264" s="143"/>
      <c r="AI264" s="143"/>
      <c r="AJ264" s="143"/>
      <c r="AK264" s="143"/>
      <c r="AL264" s="103">
        <f t="shared" si="102"/>
        <v>0</v>
      </c>
      <c r="AM264" s="136"/>
      <c r="AN264" s="136"/>
      <c r="AO264" s="136"/>
      <c r="AP264" s="105">
        <f t="shared" si="103"/>
        <v>0</v>
      </c>
      <c r="AQ264" s="99"/>
      <c r="AR264" s="99"/>
      <c r="AS264" s="99"/>
      <c r="AT264" s="124"/>
      <c r="AU264" s="224">
        <f t="shared" si="104"/>
        <v>0</v>
      </c>
      <c r="AV264" s="126"/>
      <c r="AW264" s="274"/>
      <c r="AX264" s="126"/>
      <c r="AY264" s="126"/>
      <c r="AZ264" s="126"/>
      <c r="BA264" s="126"/>
      <c r="BB264" s="141"/>
      <c r="BC264" s="152"/>
      <c r="BD264" s="152"/>
      <c r="BE264" s="152"/>
      <c r="BF264" s="152"/>
      <c r="BG264" s="308">
        <f t="shared" si="105"/>
        <v>0</v>
      </c>
      <c r="BH264" s="140">
        <f t="shared" si="106"/>
        <v>0</v>
      </c>
      <c r="BI264" s="132"/>
      <c r="BJ264" s="140">
        <f t="shared" si="107"/>
        <v>0</v>
      </c>
      <c r="BK264" s="141"/>
      <c r="BL264" s="141"/>
      <c r="BM264" s="141"/>
      <c r="BN264" s="141"/>
      <c r="BO264" s="141"/>
      <c r="BP264" s="141"/>
      <c r="BQ264" s="141"/>
      <c r="BR264" s="141"/>
      <c r="BS264" s="141"/>
      <c r="BT264" s="141"/>
      <c r="BU264" s="141"/>
      <c r="BV264" s="141"/>
      <c r="BW264" s="141"/>
      <c r="BX264" s="130">
        <f t="shared" si="108"/>
        <v>0</v>
      </c>
      <c r="BY264" s="132"/>
    </row>
    <row r="265" ht="15.75" customHeight="1">
      <c r="B265" s="1477">
        <v>46261</v>
      </c>
      <c r="C265" s="379"/>
      <c r="D265" s="136"/>
      <c r="E265" s="136"/>
      <c r="F265" s="136"/>
      <c r="G265" s="105">
        <f t="shared" si="100"/>
        <v>0</v>
      </c>
      <c r="H265" s="1469"/>
      <c r="I265" s="1470"/>
      <c r="J265" s="1470"/>
      <c r="K265" s="1470"/>
      <c r="L265" s="1470"/>
      <c r="M265" s="1470"/>
      <c r="N265" s="1470"/>
      <c r="O265" s="1470"/>
      <c r="P265" s="1470"/>
      <c r="Q265" s="1470"/>
      <c r="R265" s="1470"/>
      <c r="S265" s="1470"/>
      <c r="T265" s="1470"/>
      <c r="U265" s="1470"/>
      <c r="V265" s="1470"/>
      <c r="W265" s="1470"/>
      <c r="X265" s="103">
        <f t="shared" si="101"/>
        <v>0</v>
      </c>
      <c r="Y265" s="641"/>
      <c r="Z265" s="641"/>
      <c r="AA265" s="143"/>
      <c r="AB265" s="143"/>
      <c r="AC265" s="143"/>
      <c r="AD265" s="143"/>
      <c r="AE265" s="143"/>
      <c r="AF265" s="143"/>
      <c r="AG265" s="143"/>
      <c r="AH265" s="143"/>
      <c r="AI265" s="143"/>
      <c r="AJ265" s="143"/>
      <c r="AK265" s="143"/>
      <c r="AL265" s="103">
        <f t="shared" si="102"/>
        <v>0</v>
      </c>
      <c r="AM265" s="136"/>
      <c r="AN265" s="136"/>
      <c r="AO265" s="136"/>
      <c r="AP265" s="105">
        <f t="shared" si="103"/>
        <v>0</v>
      </c>
      <c r="AQ265" s="99"/>
      <c r="AR265" s="99"/>
      <c r="AS265" s="99"/>
      <c r="AT265" s="124"/>
      <c r="AU265" s="224">
        <f t="shared" si="104"/>
        <v>0</v>
      </c>
      <c r="AV265" s="126"/>
      <c r="AW265" s="274"/>
      <c r="AX265" s="126"/>
      <c r="AY265" s="126"/>
      <c r="AZ265" s="126"/>
      <c r="BA265" s="126"/>
      <c r="BB265" s="141"/>
      <c r="BC265" s="152"/>
      <c r="BD265" s="152"/>
      <c r="BE265" s="152"/>
      <c r="BF265" s="152"/>
      <c r="BG265" s="308">
        <f t="shared" si="105"/>
        <v>0</v>
      </c>
      <c r="BH265" s="140">
        <f t="shared" si="106"/>
        <v>0</v>
      </c>
      <c r="BI265" s="132"/>
      <c r="BJ265" s="140">
        <f t="shared" si="107"/>
        <v>0</v>
      </c>
      <c r="BK265" s="141"/>
      <c r="BL265" s="141"/>
      <c r="BM265" s="141"/>
      <c r="BN265" s="141"/>
      <c r="BO265" s="141"/>
      <c r="BP265" s="141"/>
      <c r="BQ265" s="141"/>
      <c r="BR265" s="141"/>
      <c r="BS265" s="141"/>
      <c r="BT265" s="141"/>
      <c r="BU265" s="540"/>
      <c r="BV265" s="141"/>
      <c r="BW265" s="141"/>
      <c r="BX265" s="130">
        <f t="shared" si="108"/>
        <v>0</v>
      </c>
      <c r="BY265" s="132"/>
    </row>
    <row r="266" ht="15.75" customHeight="1">
      <c r="B266" s="1477">
        <v>46262</v>
      </c>
      <c r="C266" s="379"/>
      <c r="D266" s="136"/>
      <c r="E266" s="136"/>
      <c r="F266" s="136"/>
      <c r="G266" s="105">
        <f t="shared" si="100"/>
        <v>0</v>
      </c>
      <c r="H266" s="1469"/>
      <c r="I266" s="1470"/>
      <c r="J266" s="1470"/>
      <c r="K266" s="1470"/>
      <c r="L266" s="1470"/>
      <c r="M266" s="1470"/>
      <c r="N266" s="1470"/>
      <c r="O266" s="1470"/>
      <c r="P266" s="1470"/>
      <c r="Q266" s="1470"/>
      <c r="R266" s="1470"/>
      <c r="S266" s="1470"/>
      <c r="T266" s="1470"/>
      <c r="U266" s="1470"/>
      <c r="V266" s="1470"/>
      <c r="W266" s="1470"/>
      <c r="X266" s="103">
        <f t="shared" si="101"/>
        <v>0</v>
      </c>
      <c r="Y266" s="641"/>
      <c r="Z266" s="641"/>
      <c r="AA266" s="143"/>
      <c r="AB266" s="143"/>
      <c r="AC266" s="143"/>
      <c r="AD266" s="143"/>
      <c r="AE266" s="143"/>
      <c r="AF266" s="143"/>
      <c r="AG266" s="143"/>
      <c r="AH266" s="143"/>
      <c r="AI266" s="143"/>
      <c r="AJ266" s="143"/>
      <c r="AK266" s="143"/>
      <c r="AL266" s="103">
        <f t="shared" si="102"/>
        <v>0</v>
      </c>
      <c r="AM266" s="136"/>
      <c r="AN266" s="136"/>
      <c r="AO266" s="136"/>
      <c r="AP266" s="105">
        <f t="shared" si="103"/>
        <v>0</v>
      </c>
      <c r="AQ266" s="99"/>
      <c r="AR266" s="99"/>
      <c r="AS266" s="99"/>
      <c r="AT266" s="124"/>
      <c r="AU266" s="224">
        <f t="shared" si="104"/>
        <v>0</v>
      </c>
      <c r="AV266" s="126"/>
      <c r="AW266" s="274"/>
      <c r="AX266" s="126"/>
      <c r="AY266" s="126"/>
      <c r="AZ266" s="126"/>
      <c r="BA266" s="126"/>
      <c r="BB266" s="141"/>
      <c r="BC266" s="152"/>
      <c r="BD266" s="152"/>
      <c r="BE266" s="152"/>
      <c r="BF266" s="152"/>
      <c r="BG266" s="308">
        <f t="shared" si="105"/>
        <v>0</v>
      </c>
      <c r="BH266" s="140">
        <f t="shared" si="106"/>
        <v>0</v>
      </c>
      <c r="BI266" s="132"/>
      <c r="BJ266" s="140">
        <f t="shared" si="107"/>
        <v>0</v>
      </c>
      <c r="BK266" s="141"/>
      <c r="BL266" s="141"/>
      <c r="BM266" s="141"/>
      <c r="BN266" s="141"/>
      <c r="BO266" s="141"/>
      <c r="BP266" s="141"/>
      <c r="BQ266" s="141"/>
      <c r="BR266" s="141"/>
      <c r="BS266" s="141"/>
      <c r="BT266" s="141"/>
      <c r="BU266" s="141"/>
      <c r="BV266" s="141"/>
      <c r="BW266" s="141"/>
      <c r="BX266" s="130">
        <f t="shared" si="108"/>
        <v>0</v>
      </c>
      <c r="BY266" s="132"/>
    </row>
    <row r="267" ht="15.75" customHeight="1">
      <c r="B267" s="1477">
        <v>46263</v>
      </c>
      <c r="C267" s="379"/>
      <c r="D267" s="136"/>
      <c r="E267" s="136"/>
      <c r="F267" s="136"/>
      <c r="G267" s="105">
        <f t="shared" si="100"/>
        <v>0</v>
      </c>
      <c r="H267" s="1474"/>
      <c r="I267" s="142"/>
      <c r="J267" s="1470"/>
      <c r="K267" s="1470"/>
      <c r="L267" s="1470"/>
      <c r="M267" s="1470"/>
      <c r="N267" s="1470"/>
      <c r="O267" s="1470"/>
      <c r="P267" s="1470"/>
      <c r="Q267" s="1470"/>
      <c r="R267" s="1470"/>
      <c r="S267" s="1470"/>
      <c r="T267" s="1470"/>
      <c r="U267" s="1470"/>
      <c r="V267" s="1470"/>
      <c r="W267" s="1470"/>
      <c r="X267" s="103">
        <f t="shared" si="101"/>
        <v>0</v>
      </c>
      <c r="Y267" s="641"/>
      <c r="Z267" s="641"/>
      <c r="AA267" s="143"/>
      <c r="AB267" s="143"/>
      <c r="AC267" s="143"/>
      <c r="AD267" s="143"/>
      <c r="AE267" s="143"/>
      <c r="AF267" s="143"/>
      <c r="AG267" s="143"/>
      <c r="AH267" s="143"/>
      <c r="AI267" s="143"/>
      <c r="AJ267" s="143"/>
      <c r="AK267" s="143"/>
      <c r="AL267" s="103">
        <f t="shared" si="102"/>
        <v>0</v>
      </c>
      <c r="AM267" s="136"/>
      <c r="AN267" s="136"/>
      <c r="AO267" s="136"/>
      <c r="AP267" s="105">
        <f t="shared" si="103"/>
        <v>0</v>
      </c>
      <c r="AQ267" s="99"/>
      <c r="AR267" s="99"/>
      <c r="AS267" s="99"/>
      <c r="AT267" s="124"/>
      <c r="AU267" s="224">
        <f t="shared" si="104"/>
        <v>0</v>
      </c>
      <c r="AV267" s="126"/>
      <c r="AW267" s="274"/>
      <c r="AX267" s="126"/>
      <c r="AY267" s="126"/>
      <c r="AZ267" s="126"/>
      <c r="BA267" s="126"/>
      <c r="BB267" s="141"/>
      <c r="BC267" s="152"/>
      <c r="BD267" s="152"/>
      <c r="BE267" s="152"/>
      <c r="BF267" s="152"/>
      <c r="BG267" s="308">
        <f t="shared" si="105"/>
        <v>0</v>
      </c>
      <c r="BH267" s="140">
        <f t="shared" si="106"/>
        <v>0</v>
      </c>
      <c r="BI267" s="132"/>
      <c r="BJ267" s="140">
        <f t="shared" si="107"/>
        <v>0</v>
      </c>
      <c r="BK267" s="141"/>
      <c r="BL267" s="141"/>
      <c r="BM267" s="141"/>
      <c r="BN267" s="141"/>
      <c r="BO267" s="141"/>
      <c r="BP267" s="141"/>
      <c r="BQ267" s="141"/>
      <c r="BR267" s="141"/>
      <c r="BS267" s="141"/>
      <c r="BT267" s="141"/>
      <c r="BU267" s="141"/>
      <c r="BV267" s="141"/>
      <c r="BW267" s="141"/>
      <c r="BX267" s="130">
        <f t="shared" si="108"/>
        <v>0</v>
      </c>
      <c r="BY267" s="132"/>
    </row>
    <row r="268" ht="15.75" customHeight="1">
      <c r="B268" s="1477">
        <v>46264</v>
      </c>
      <c r="C268" s="379"/>
      <c r="D268" s="136"/>
      <c r="E268" s="136"/>
      <c r="F268" s="136"/>
      <c r="G268" s="105">
        <f t="shared" si="100"/>
        <v>0</v>
      </c>
      <c r="H268" s="1469"/>
      <c r="I268" s="1470"/>
      <c r="J268" s="1470"/>
      <c r="K268" s="1470"/>
      <c r="L268" s="1470"/>
      <c r="M268" s="1470"/>
      <c r="N268" s="1470"/>
      <c r="O268" s="1470"/>
      <c r="P268" s="1470"/>
      <c r="Q268" s="1470"/>
      <c r="R268" s="1470"/>
      <c r="S268" s="1470"/>
      <c r="T268" s="1470"/>
      <c r="U268" s="1470"/>
      <c r="V268" s="1470"/>
      <c r="W268" s="1470"/>
      <c r="X268" s="103">
        <f t="shared" si="101"/>
        <v>0</v>
      </c>
      <c r="Y268" s="641"/>
      <c r="Z268" s="641"/>
      <c r="AA268" s="143"/>
      <c r="AB268" s="143"/>
      <c r="AC268" s="143"/>
      <c r="AD268" s="143"/>
      <c r="AE268" s="143"/>
      <c r="AF268" s="143"/>
      <c r="AG268" s="143"/>
      <c r="AH268" s="143"/>
      <c r="AI268" s="143"/>
      <c r="AJ268" s="143"/>
      <c r="AK268" s="143"/>
      <c r="AL268" s="103">
        <f t="shared" si="102"/>
        <v>0</v>
      </c>
      <c r="AM268" s="136"/>
      <c r="AN268" s="136"/>
      <c r="AO268" s="136"/>
      <c r="AP268" s="105">
        <f t="shared" si="103"/>
        <v>0</v>
      </c>
      <c r="AQ268" s="99"/>
      <c r="AR268" s="99"/>
      <c r="AS268" s="99"/>
      <c r="AT268" s="124"/>
      <c r="AU268" s="224">
        <f t="shared" si="104"/>
        <v>0</v>
      </c>
      <c r="AV268" s="126"/>
      <c r="AW268" s="274"/>
      <c r="AX268" s="126"/>
      <c r="AY268" s="126"/>
      <c r="AZ268" s="126"/>
      <c r="BA268" s="126"/>
      <c r="BB268" s="141"/>
      <c r="BC268" s="152"/>
      <c r="BD268" s="152"/>
      <c r="BE268" s="152"/>
      <c r="BF268" s="152"/>
      <c r="BG268" s="308">
        <f t="shared" si="105"/>
        <v>0</v>
      </c>
      <c r="BH268" s="140">
        <f t="shared" si="106"/>
        <v>0</v>
      </c>
      <c r="BI268" s="132"/>
      <c r="BJ268" s="140">
        <f t="shared" si="107"/>
        <v>0</v>
      </c>
      <c r="BK268" s="141"/>
      <c r="BL268" s="141"/>
      <c r="BM268" s="141"/>
      <c r="BN268" s="141"/>
      <c r="BO268" s="141"/>
      <c r="BP268" s="141"/>
      <c r="BQ268" s="141"/>
      <c r="BR268" s="141"/>
      <c r="BS268" s="141"/>
      <c r="BT268" s="141"/>
      <c r="BU268" s="141"/>
      <c r="BV268" s="141"/>
      <c r="BW268" s="141"/>
      <c r="BX268" s="130">
        <f t="shared" si="108"/>
        <v>0</v>
      </c>
      <c r="BY268" s="132"/>
    </row>
    <row r="269" ht="15.75" customHeight="1">
      <c r="B269" s="1477">
        <v>46265</v>
      </c>
      <c r="C269" s="379"/>
      <c r="D269" s="136"/>
      <c r="E269" s="136"/>
      <c r="F269" s="136"/>
      <c r="G269" s="105">
        <f t="shared" si="100"/>
        <v>0</v>
      </c>
      <c r="H269" s="99"/>
      <c r="I269" s="99"/>
      <c r="J269" s="1470"/>
      <c r="K269" s="99"/>
      <c r="L269" s="99"/>
      <c r="M269" s="1470"/>
      <c r="N269" s="1470"/>
      <c r="O269" s="99"/>
      <c r="P269" s="99"/>
      <c r="Q269" s="99"/>
      <c r="R269" s="99"/>
      <c r="S269" s="99"/>
      <c r="T269" s="99"/>
      <c r="U269" s="99"/>
      <c r="V269" s="99"/>
      <c r="W269" s="99"/>
      <c r="X269" s="623">
        <f t="shared" si="101"/>
        <v>0</v>
      </c>
      <c r="Y269" s="658"/>
      <c r="Z269" s="641"/>
      <c r="AA269" s="143"/>
      <c r="AB269" s="143"/>
      <c r="AC269" s="143"/>
      <c r="AD269" s="143"/>
      <c r="AE269" s="143"/>
      <c r="AF269" s="143"/>
      <c r="AG269" s="143"/>
      <c r="AH269" s="143"/>
      <c r="AI269" s="143"/>
      <c r="AJ269" s="143"/>
      <c r="AK269" s="143"/>
      <c r="AL269" s="103">
        <f t="shared" si="102"/>
        <v>0</v>
      </c>
      <c r="AM269" s="136"/>
      <c r="AN269" s="136"/>
      <c r="AO269" s="136"/>
      <c r="AP269" s="105">
        <f t="shared" si="103"/>
        <v>0</v>
      </c>
      <c r="AQ269" s="99"/>
      <c r="AR269" s="99"/>
      <c r="AS269" s="99"/>
      <c r="AT269" s="124"/>
      <c r="AU269" s="232">
        <f t="shared" si="104"/>
        <v>0</v>
      </c>
      <c r="AV269" s="138"/>
      <c r="AW269" s="296"/>
      <c r="AX269" s="138"/>
      <c r="AY269" s="138"/>
      <c r="AZ269" s="138"/>
      <c r="BA269" s="138"/>
      <c r="BB269" s="163"/>
      <c r="BC269" s="879"/>
      <c r="BD269" s="879"/>
      <c r="BE269" s="879"/>
      <c r="BF269" s="879"/>
      <c r="BG269" s="308">
        <f t="shared" si="105"/>
        <v>0</v>
      </c>
      <c r="BH269" s="140">
        <f t="shared" si="106"/>
        <v>0</v>
      </c>
      <c r="BI269" s="132"/>
      <c r="BJ269" s="140">
        <f t="shared" si="107"/>
        <v>0</v>
      </c>
      <c r="BK269" s="141"/>
      <c r="BL269" s="141"/>
      <c r="BM269" s="141"/>
      <c r="BN269" s="141"/>
      <c r="BO269" s="141"/>
      <c r="BP269" s="141"/>
      <c r="BQ269" s="141"/>
      <c r="BR269" s="141"/>
      <c r="BS269" s="141"/>
      <c r="BT269" s="141"/>
      <c r="BU269" s="141"/>
      <c r="BV269" s="141"/>
      <c r="BW269" s="141"/>
      <c r="BX269" s="130">
        <f t="shared" si="108"/>
        <v>0</v>
      </c>
      <c r="BY269" s="132"/>
    </row>
    <row r="270" ht="15.75" customHeight="1">
      <c r="B270" s="2" t="s">
        <v>264</v>
      </c>
      <c r="C270" s="166">
        <f ref="C270:G270" t="shared" si="109">SUM(C239:C269)</f>
        <v>0</v>
      </c>
      <c r="D270" s="166">
        <f t="shared" si="109"/>
        <v>0</v>
      </c>
      <c r="E270" s="166">
        <f t="shared" si="109"/>
        <v>0</v>
      </c>
      <c r="F270" s="166">
        <f t="shared" si="109"/>
        <v>0</v>
      </c>
      <c r="G270" s="166">
        <f t="shared" si="109"/>
        <v>0</v>
      </c>
      <c r="H270" s="166"/>
      <c r="I270" s="166"/>
      <c r="J270" s="166">
        <f ref="J270:K270" t="shared" si="110">SUM(J239:J269)</f>
        <v>0</v>
      </c>
      <c r="K270" s="166">
        <f t="shared" si="110"/>
        <v>0</v>
      </c>
      <c r="L270" s="166"/>
      <c r="M270" s="166">
        <f ref="M270:O270" t="shared" si="111">SUM(M239:M269)</f>
        <v>0</v>
      </c>
      <c r="N270" s="166">
        <f t="shared" si="111"/>
        <v>0</v>
      </c>
      <c r="O270" s="166">
        <f t="shared" si="111"/>
        <v>0</v>
      </c>
      <c r="P270" s="166"/>
      <c r="Q270" s="166">
        <f>SUM(Q239:Q269)</f>
        <v>0</v>
      </c>
      <c r="R270" s="166"/>
      <c r="S270" s="166">
        <f ref="S270:T270" t="shared" si="112">SUM(S239:S269)</f>
        <v>0</v>
      </c>
      <c r="T270" s="166">
        <f t="shared" si="112"/>
        <v>0</v>
      </c>
      <c r="U270" s="166"/>
      <c r="V270" s="166">
        <f>SUM(V239:V269)</f>
        <v>0</v>
      </c>
      <c r="W270" s="166"/>
      <c r="X270" s="166">
        <f ref="X270:Y270" t="shared" si="113">SUM(X239:X269)</f>
        <v>0</v>
      </c>
      <c r="Y270" s="166">
        <f t="shared" si="113"/>
        <v>0</v>
      </c>
      <c r="Z270" s="166"/>
      <c r="AA270" s="166">
        <f ref="AA270:AP270" t="shared" si="114">SUM(AA239:AA269)</f>
        <v>0</v>
      </c>
      <c r="AB270" s="166">
        <f t="shared" si="114"/>
        <v>0</v>
      </c>
      <c r="AC270" s="166">
        <f t="shared" si="114"/>
        <v>0</v>
      </c>
      <c r="AD270" s="166">
        <f t="shared" si="114"/>
        <v>0</v>
      </c>
      <c r="AE270" s="166">
        <f t="shared" si="114"/>
        <v>0</v>
      </c>
      <c r="AF270" s="166">
        <f t="shared" si="114"/>
        <v>0</v>
      </c>
      <c r="AG270" s="166">
        <f t="shared" si="114"/>
        <v>0</v>
      </c>
      <c r="AH270" s="166">
        <f t="shared" si="114"/>
        <v>0</v>
      </c>
      <c r="AI270" s="166">
        <f t="shared" si="114"/>
        <v>0</v>
      </c>
      <c r="AJ270" s="166">
        <f t="shared" si="114"/>
        <v>0</v>
      </c>
      <c r="AK270" s="166">
        <f t="shared" si="114"/>
        <v>0</v>
      </c>
      <c r="AL270" s="166">
        <f t="shared" si="114"/>
        <v>0</v>
      </c>
      <c r="AM270" s="166">
        <f t="shared" si="114"/>
        <v>0</v>
      </c>
      <c r="AN270" s="166">
        <f t="shared" si="114"/>
        <v>0</v>
      </c>
      <c r="AO270" s="166">
        <f t="shared" si="114"/>
        <v>0</v>
      </c>
      <c r="AP270" s="166">
        <f t="shared" si="114"/>
        <v>0</v>
      </c>
      <c r="AQ270" s="166"/>
      <c r="AR270" s="166"/>
      <c r="AS270" s="166"/>
      <c r="AT270" s="166"/>
      <c r="AU270" s="165">
        <f ref="AU270:AV270" t="shared" si="115">SUM(AU239:AU269)</f>
        <v>0</v>
      </c>
      <c r="AV270" s="165">
        <f t="shared" si="115"/>
        <v>0</v>
      </c>
      <c r="AW270" s="166"/>
      <c r="AX270" s="166"/>
      <c r="AY270" s="166"/>
      <c r="AZ270" s="166"/>
      <c r="BA270" s="166"/>
      <c r="BB270" s="166"/>
      <c r="BC270" s="166"/>
      <c r="BD270" s="166"/>
      <c r="BE270" s="166"/>
      <c r="BF270" s="166"/>
      <c r="BG270" s="166">
        <f ref="BG270:BH270" t="shared" si="116">SUM(BG239:BG269)</f>
        <v>0</v>
      </c>
      <c r="BH270" s="166">
        <f t="shared" si="116"/>
        <v>0</v>
      </c>
      <c r="BI270" s="3"/>
      <c r="BJ270" s="172">
        <f>SUM(BJ239:BJ269)</f>
        <v>0</v>
      </c>
      <c r="BK270" s="165"/>
      <c r="BL270" s="165"/>
      <c r="BM270" s="165"/>
      <c r="BN270" s="165"/>
      <c r="BO270" s="165"/>
      <c r="BP270" s="165"/>
      <c r="BQ270" s="165"/>
      <c r="BR270" s="165"/>
      <c r="BS270" s="165"/>
      <c r="BT270" s="165">
        <f ref="BT270:BX270" t="shared" si="117">SUM(BT239:BT269)</f>
        <v>0</v>
      </c>
      <c r="BU270" s="165">
        <f t="shared" si="117"/>
        <v>0</v>
      </c>
      <c r="BV270" s="165">
        <f t="shared" si="117"/>
        <v>0</v>
      </c>
      <c r="BW270" s="165">
        <f t="shared" si="117"/>
        <v>0</v>
      </c>
      <c r="BX270" s="165">
        <f t="shared" si="117"/>
        <v>0</v>
      </c>
      <c r="BY270" s="3"/>
    </row>
    <row r="271" ht="15.75" customHeight="1">
      <c r="B271" s="2"/>
      <c r="C271" s="1482"/>
      <c r="Y271" s="1482"/>
      <c r="Z271" s="1482"/>
    </row>
    <row r="272" ht="15.75" customHeight="1">
      <c r="B272" s="2"/>
      <c r="C272" s="1482"/>
      <c r="Y272" s="1482"/>
      <c r="Z272" s="1482"/>
    </row>
    <row r="273" ht="15.75" customHeight="1">
      <c r="B273" s="1477">
        <v>46266</v>
      </c>
      <c r="C273" s="1079"/>
      <c r="D273" s="104"/>
      <c r="E273" s="97"/>
      <c r="F273" s="97"/>
      <c r="G273" s="216">
        <f ref="G273:G302" t="shared" si="118">+C273+D273+E273+F273</f>
        <v>0</v>
      </c>
      <c r="H273" s="1464"/>
      <c r="I273" s="1465"/>
      <c r="J273" s="1465"/>
      <c r="K273" s="1465"/>
      <c r="L273" s="1465"/>
      <c r="M273" s="1465"/>
      <c r="N273" s="1465"/>
      <c r="O273" s="1465"/>
      <c r="P273" s="1465"/>
      <c r="Q273" s="1465"/>
      <c r="R273" s="1465"/>
      <c r="S273" s="1465"/>
      <c r="T273" s="1465"/>
      <c r="U273" s="1465"/>
      <c r="V273" s="1465"/>
      <c r="W273" s="1468"/>
      <c r="X273" s="1012">
        <f ref="X273:X302" t="shared" si="119">SUM(H273:V273)</f>
        <v>0</v>
      </c>
      <c r="Y273" s="1465"/>
      <c r="Z273" s="1468"/>
      <c r="AA273" s="1010"/>
      <c r="AB273" s="1010"/>
      <c r="AC273" s="1010"/>
      <c r="AD273" s="1010"/>
      <c r="AE273" s="1010"/>
      <c r="AF273" s="1010"/>
      <c r="AG273" s="1010"/>
      <c r="AH273" s="1010"/>
      <c r="AI273" s="1010"/>
      <c r="AJ273" s="1010"/>
      <c r="AK273" s="1010"/>
      <c r="AL273" s="1012">
        <f ref="AL273:AL302" t="shared" si="120">SUM(Y273:AK273)</f>
        <v>0</v>
      </c>
      <c r="AM273" s="1013"/>
      <c r="AN273" s="1013"/>
      <c r="AO273" s="1013"/>
      <c r="AP273" s="1014">
        <f ref="AP273:AP302" t="shared" si="121">SUM(AM273:AO273)</f>
        <v>0</v>
      </c>
      <c r="AQ273" s="1013"/>
      <c r="AR273" s="1013"/>
      <c r="AS273" s="1013"/>
      <c r="AT273" s="1008"/>
      <c r="AU273" s="219">
        <f ref="AU273:AU302" t="shared" si="122">+G273-X273-AL273-AP273-AQ273-AR273-AS273-AT273</f>
        <v>0</v>
      </c>
      <c r="AV273" s="109"/>
      <c r="AW273" s="269"/>
      <c r="AX273" s="109"/>
      <c r="AY273" s="109"/>
      <c r="AZ273" s="109"/>
      <c r="BA273" s="109"/>
      <c r="BB273" s="196"/>
      <c r="BC273" s="490"/>
      <c r="BD273" s="490"/>
      <c r="BE273" s="490"/>
      <c r="BF273" s="490"/>
      <c r="BG273" s="1483">
        <f ref="BG273:BG302" t="shared" si="123">SUM(AV273:BF273)-BE273</f>
        <v>0</v>
      </c>
      <c r="BH273" s="1016">
        <f ref="BH273:BH302" t="shared" si="124">+AU273-BG273</f>
        <v>0</v>
      </c>
      <c r="BI273" s="3"/>
      <c r="BJ273" s="114">
        <f ref="BJ273:BJ302" t="shared" si="125">SUM(BK273:BW273)</f>
        <v>0</v>
      </c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115"/>
      <c r="BW273" s="115"/>
      <c r="BX273" s="116">
        <f ref="BX273:BX302" t="shared" si="126">+BH273-BJ273</f>
        <v>0</v>
      </c>
      <c r="BY273" s="3"/>
    </row>
    <row r="274" ht="15.75" customHeight="1">
      <c r="B274" s="1477">
        <v>46267</v>
      </c>
      <c r="C274" s="1310"/>
      <c r="D274" s="123"/>
      <c r="E274" s="120"/>
      <c r="F274" s="120"/>
      <c r="G274" s="147">
        <f t="shared" si="118"/>
        <v>0</v>
      </c>
      <c r="H274" s="1467"/>
      <c r="I274" s="1468"/>
      <c r="J274" s="1468"/>
      <c r="K274" s="1468"/>
      <c r="L274" s="1468"/>
      <c r="M274" s="1468"/>
      <c r="N274" s="1468"/>
      <c r="O274" s="1468"/>
      <c r="P274" s="1468"/>
      <c r="Q274" s="1468"/>
      <c r="R274" s="1468"/>
      <c r="S274" s="1468"/>
      <c r="T274" s="1468"/>
      <c r="U274" s="1468"/>
      <c r="V274" s="1468"/>
      <c r="W274" s="1468"/>
      <c r="X274" s="103">
        <f t="shared" si="119"/>
        <v>0</v>
      </c>
      <c r="Y274" s="1468"/>
      <c r="Z274" s="1468"/>
      <c r="AA274" s="143"/>
      <c r="AB274" s="143"/>
      <c r="AC274" s="143"/>
      <c r="AD274" s="143"/>
      <c r="AE274" s="143"/>
      <c r="AF274" s="143"/>
      <c r="AG274" s="143"/>
      <c r="AH274" s="143"/>
      <c r="AI274" s="143"/>
      <c r="AJ274" s="143"/>
      <c r="AK274" s="143"/>
      <c r="AL274" s="103">
        <f t="shared" si="120"/>
        <v>0</v>
      </c>
      <c r="AM274" s="123"/>
      <c r="AN274" s="123"/>
      <c r="AO274" s="123"/>
      <c r="AP274" s="105">
        <f t="shared" si="121"/>
        <v>0</v>
      </c>
      <c r="AQ274" s="123"/>
      <c r="AR274" s="123"/>
      <c r="AS274" s="123"/>
      <c r="AT274" s="120"/>
      <c r="AU274" s="224">
        <f t="shared" si="122"/>
        <v>0</v>
      </c>
      <c r="AV274" s="126"/>
      <c r="AW274" s="274"/>
      <c r="AX274" s="126"/>
      <c r="AY274" s="126"/>
      <c r="AZ274" s="126"/>
      <c r="BA274" s="126"/>
      <c r="BB274" s="141"/>
      <c r="BC274" s="152"/>
      <c r="BD274" s="152"/>
      <c r="BE274" s="152"/>
      <c r="BF274" s="152"/>
      <c r="BG274" s="308">
        <f t="shared" si="123"/>
        <v>0</v>
      </c>
      <c r="BH274" s="1017">
        <f t="shared" si="124"/>
        <v>0</v>
      </c>
      <c r="BI274" s="3"/>
      <c r="BJ274" s="113">
        <f t="shared" si="125"/>
        <v>0</v>
      </c>
      <c r="BK274" s="129"/>
      <c r="BL274" s="129"/>
      <c r="BM274" s="129"/>
      <c r="BN274" s="129"/>
      <c r="BO274" s="129"/>
      <c r="BP274" s="129"/>
      <c r="BQ274" s="129"/>
      <c r="BR274" s="129"/>
      <c r="BS274" s="129"/>
      <c r="BT274" s="129"/>
      <c r="BU274" s="129"/>
      <c r="BV274" s="129"/>
      <c r="BW274" s="129"/>
      <c r="BX274" s="130">
        <f t="shared" si="126"/>
        <v>0</v>
      </c>
      <c r="BY274" s="3"/>
    </row>
    <row r="275" ht="15.75" customHeight="1">
      <c r="B275" s="1477">
        <v>46268</v>
      </c>
      <c r="C275" s="1310"/>
      <c r="D275" s="123"/>
      <c r="E275" s="120"/>
      <c r="F275" s="120"/>
      <c r="G275" s="147">
        <f t="shared" si="118"/>
        <v>0</v>
      </c>
      <c r="H275" s="1467"/>
      <c r="I275" s="1468"/>
      <c r="J275" s="1468"/>
      <c r="K275" s="1468"/>
      <c r="L275" s="1468"/>
      <c r="M275" s="1468"/>
      <c r="N275" s="1468"/>
      <c r="O275" s="1468"/>
      <c r="P275" s="1468"/>
      <c r="Q275" s="1468"/>
      <c r="R275" s="1468"/>
      <c r="S275" s="1468"/>
      <c r="T275" s="1468"/>
      <c r="U275" s="1468"/>
      <c r="V275" s="1468"/>
      <c r="W275" s="1468"/>
      <c r="X275" s="103">
        <f t="shared" si="119"/>
        <v>0</v>
      </c>
      <c r="Y275" s="1468"/>
      <c r="Z275" s="1468"/>
      <c r="AA275" s="143"/>
      <c r="AB275" s="143"/>
      <c r="AC275" s="143"/>
      <c r="AD275" s="143"/>
      <c r="AE275" s="143"/>
      <c r="AF275" s="143"/>
      <c r="AG275" s="143"/>
      <c r="AH275" s="143"/>
      <c r="AI275" s="143"/>
      <c r="AJ275" s="143"/>
      <c r="AK275" s="143"/>
      <c r="AL275" s="103">
        <f t="shared" si="120"/>
        <v>0</v>
      </c>
      <c r="AM275" s="123"/>
      <c r="AN275" s="123"/>
      <c r="AO275" s="123"/>
      <c r="AP275" s="105">
        <f t="shared" si="121"/>
        <v>0</v>
      </c>
      <c r="AQ275" s="123"/>
      <c r="AR275" s="123"/>
      <c r="AS275" s="123"/>
      <c r="AT275" s="120"/>
      <c r="AU275" s="224">
        <f t="shared" si="122"/>
        <v>0</v>
      </c>
      <c r="AV275" s="126"/>
      <c r="AW275" s="274"/>
      <c r="AX275" s="126"/>
      <c r="AY275" s="126"/>
      <c r="AZ275" s="126"/>
      <c r="BA275" s="126"/>
      <c r="BB275" s="141"/>
      <c r="BC275" s="152"/>
      <c r="BD275" s="152"/>
      <c r="BE275" s="152"/>
      <c r="BF275" s="152"/>
      <c r="BG275" s="308">
        <f t="shared" si="123"/>
        <v>0</v>
      </c>
      <c r="BH275" s="1017">
        <f t="shared" si="124"/>
        <v>0</v>
      </c>
      <c r="BI275" s="3"/>
      <c r="BJ275" s="113">
        <f t="shared" si="125"/>
        <v>0</v>
      </c>
      <c r="BK275" s="129"/>
      <c r="BL275" s="129"/>
      <c r="BM275" s="129"/>
      <c r="BN275" s="129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30">
        <f t="shared" si="126"/>
        <v>0</v>
      </c>
      <c r="BY275" s="3"/>
    </row>
    <row r="276" ht="15.75" customHeight="1">
      <c r="B276" s="1477">
        <v>46269</v>
      </c>
      <c r="C276" s="379"/>
      <c r="D276" s="136"/>
      <c r="E276" s="135"/>
      <c r="F276" s="135"/>
      <c r="G276" s="147">
        <f t="shared" si="118"/>
        <v>0</v>
      </c>
      <c r="H276" s="1469"/>
      <c r="I276" s="1470"/>
      <c r="J276" s="1470"/>
      <c r="K276" s="1470"/>
      <c r="L276" s="1470"/>
      <c r="M276" s="1470"/>
      <c r="N276" s="1470"/>
      <c r="O276" s="1470"/>
      <c r="P276" s="1470"/>
      <c r="Q276" s="1470"/>
      <c r="R276" s="1470"/>
      <c r="S276" s="1470"/>
      <c r="T276" s="1470"/>
      <c r="U276" s="1470"/>
      <c r="V276" s="1470"/>
      <c r="W276" s="1470"/>
      <c r="X276" s="103">
        <f t="shared" si="119"/>
        <v>0</v>
      </c>
      <c r="Y276" s="1470"/>
      <c r="Z276" s="1470"/>
      <c r="AA276" s="143"/>
      <c r="AB276" s="143"/>
      <c r="AC276" s="143"/>
      <c r="AD276" s="143"/>
      <c r="AE276" s="143"/>
      <c r="AF276" s="143"/>
      <c r="AG276" s="143"/>
      <c r="AH276" s="143"/>
      <c r="AI276" s="143"/>
      <c r="AJ276" s="143"/>
      <c r="AK276" s="143"/>
      <c r="AL276" s="103">
        <f t="shared" si="120"/>
        <v>0</v>
      </c>
      <c r="AM276" s="136"/>
      <c r="AN276" s="136"/>
      <c r="AO276" s="136"/>
      <c r="AP276" s="105">
        <f t="shared" si="121"/>
        <v>0</v>
      </c>
      <c r="AQ276" s="136"/>
      <c r="AR276" s="136"/>
      <c r="AS276" s="136"/>
      <c r="AT276" s="135"/>
      <c r="AU276" s="224">
        <f t="shared" si="122"/>
        <v>0</v>
      </c>
      <c r="AV276" s="126"/>
      <c r="AW276" s="274"/>
      <c r="AX276" s="126"/>
      <c r="AY276" s="126"/>
      <c r="AZ276" s="126"/>
      <c r="BA276" s="126"/>
      <c r="BB276" s="141"/>
      <c r="BC276" s="152"/>
      <c r="BD276" s="152"/>
      <c r="BE276" s="152"/>
      <c r="BF276" s="152"/>
      <c r="BG276" s="308">
        <f t="shared" si="123"/>
        <v>0</v>
      </c>
      <c r="BH276" s="1018">
        <f t="shared" si="124"/>
        <v>0</v>
      </c>
      <c r="BI276" s="132"/>
      <c r="BJ276" s="140">
        <f t="shared" si="125"/>
        <v>0</v>
      </c>
      <c r="BK276" s="141"/>
      <c r="BL276" s="141"/>
      <c r="BM276" s="141"/>
      <c r="BN276" s="141"/>
      <c r="BO276" s="141"/>
      <c r="BP276" s="141"/>
      <c r="BQ276" s="141"/>
      <c r="BR276" s="141"/>
      <c r="BS276" s="141"/>
      <c r="BT276" s="141"/>
      <c r="BU276" s="141"/>
      <c r="BV276" s="141"/>
      <c r="BW276" s="141"/>
      <c r="BX276" s="130">
        <f t="shared" si="126"/>
        <v>0</v>
      </c>
      <c r="BY276" s="132"/>
    </row>
    <row r="277" ht="15.75" customHeight="1">
      <c r="B277" s="1477">
        <v>46270</v>
      </c>
      <c r="C277" s="379"/>
      <c r="D277" s="136"/>
      <c r="E277" s="135"/>
      <c r="F277" s="135"/>
      <c r="G277" s="147">
        <f t="shared" si="118"/>
        <v>0</v>
      </c>
      <c r="H277" s="1469"/>
      <c r="I277" s="1470"/>
      <c r="J277" s="1470"/>
      <c r="K277" s="1470"/>
      <c r="L277" s="1470"/>
      <c r="M277" s="1470"/>
      <c r="N277" s="1470"/>
      <c r="O277" s="1470"/>
      <c r="P277" s="1470"/>
      <c r="Q277" s="1470"/>
      <c r="R277" s="1470"/>
      <c r="S277" s="1470"/>
      <c r="T277" s="1470"/>
      <c r="U277" s="1470"/>
      <c r="V277" s="136"/>
      <c r="W277" s="136"/>
      <c r="X277" s="103">
        <f t="shared" si="119"/>
        <v>0</v>
      </c>
      <c r="Y277" s="1470"/>
      <c r="Z277" s="1470"/>
      <c r="AA277" s="143"/>
      <c r="AB277" s="143"/>
      <c r="AC277" s="143"/>
      <c r="AD277" s="143"/>
      <c r="AE277" s="143"/>
      <c r="AF277" s="143"/>
      <c r="AG277" s="143"/>
      <c r="AH277" s="143"/>
      <c r="AI277" s="143"/>
      <c r="AJ277" s="143"/>
      <c r="AK277" s="143"/>
      <c r="AL277" s="103">
        <f t="shared" si="120"/>
        <v>0</v>
      </c>
      <c r="AM277" s="136"/>
      <c r="AN277" s="136"/>
      <c r="AO277" s="136"/>
      <c r="AP277" s="105">
        <f t="shared" si="121"/>
        <v>0</v>
      </c>
      <c r="AQ277" s="136"/>
      <c r="AR277" s="136"/>
      <c r="AS277" s="136"/>
      <c r="AT277" s="135"/>
      <c r="AU277" s="224">
        <f t="shared" si="122"/>
        <v>0</v>
      </c>
      <c r="AV277" s="126"/>
      <c r="AW277" s="274"/>
      <c r="AX277" s="126"/>
      <c r="AY277" s="126"/>
      <c r="AZ277" s="126"/>
      <c r="BA277" s="126"/>
      <c r="BB277" s="141"/>
      <c r="BC277" s="152"/>
      <c r="BD277" s="152"/>
      <c r="BE277" s="152"/>
      <c r="BF277" s="152"/>
      <c r="BG277" s="308">
        <f t="shared" si="123"/>
        <v>0</v>
      </c>
      <c r="BH277" s="1018">
        <f t="shared" si="124"/>
        <v>0</v>
      </c>
      <c r="BI277" s="132"/>
      <c r="BJ277" s="140">
        <f t="shared" si="125"/>
        <v>0</v>
      </c>
      <c r="BK277" s="141"/>
      <c r="BL277" s="141"/>
      <c r="BM277" s="141"/>
      <c r="BN277" s="141"/>
      <c r="BO277" s="141"/>
      <c r="BP277" s="141"/>
      <c r="BQ277" s="141"/>
      <c r="BR277" s="141"/>
      <c r="BS277" s="141"/>
      <c r="BT277" s="141"/>
      <c r="BU277" s="141"/>
      <c r="BV277" s="141"/>
      <c r="BW277" s="141"/>
      <c r="BX277" s="130">
        <f t="shared" si="126"/>
        <v>0</v>
      </c>
      <c r="BY277" s="132"/>
    </row>
    <row r="278" ht="15.75" customHeight="1">
      <c r="B278" s="1477">
        <v>46271</v>
      </c>
      <c r="C278" s="379"/>
      <c r="D278" s="136"/>
      <c r="E278" s="135"/>
      <c r="F278" s="135"/>
      <c r="G278" s="147">
        <f t="shared" si="118"/>
        <v>0</v>
      </c>
      <c r="H278" s="1469"/>
      <c r="I278" s="1470"/>
      <c r="J278" s="1470"/>
      <c r="K278" s="1470"/>
      <c r="L278" s="1470"/>
      <c r="M278" s="1470"/>
      <c r="N278" s="1470"/>
      <c r="O278" s="1470"/>
      <c r="P278" s="1470"/>
      <c r="Q278" s="1470"/>
      <c r="R278" s="1470"/>
      <c r="S278" s="1470"/>
      <c r="T278" s="1470"/>
      <c r="U278" s="1470"/>
      <c r="V278" s="136"/>
      <c r="W278" s="136"/>
      <c r="X278" s="103">
        <f t="shared" si="119"/>
        <v>0</v>
      </c>
      <c r="Y278" s="1470"/>
      <c r="Z278" s="1470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03">
        <f t="shared" si="120"/>
        <v>0</v>
      </c>
      <c r="AM278" s="136"/>
      <c r="AN278" s="136"/>
      <c r="AO278" s="136"/>
      <c r="AP278" s="105">
        <f t="shared" si="121"/>
        <v>0</v>
      </c>
      <c r="AQ278" s="136"/>
      <c r="AR278" s="136"/>
      <c r="AS278" s="136"/>
      <c r="AT278" s="135"/>
      <c r="AU278" s="224">
        <f t="shared" si="122"/>
        <v>0</v>
      </c>
      <c r="AV278" s="126"/>
      <c r="AW278" s="274"/>
      <c r="AX278" s="126"/>
      <c r="AY278" s="126"/>
      <c r="AZ278" s="126"/>
      <c r="BA278" s="126"/>
      <c r="BB278" s="141"/>
      <c r="BC278" s="152"/>
      <c r="BD278" s="152"/>
      <c r="BE278" s="152"/>
      <c r="BF278" s="152"/>
      <c r="BG278" s="308">
        <f t="shared" si="123"/>
        <v>0</v>
      </c>
      <c r="BH278" s="1018">
        <f t="shared" si="124"/>
        <v>0</v>
      </c>
      <c r="BI278" s="132"/>
      <c r="BJ278" s="140">
        <f t="shared" si="125"/>
        <v>0</v>
      </c>
      <c r="BK278" s="141"/>
      <c r="BL278" s="141"/>
      <c r="BM278" s="141"/>
      <c r="BN278" s="141"/>
      <c r="BO278" s="141"/>
      <c r="BP278" s="141"/>
      <c r="BQ278" s="141"/>
      <c r="BR278" s="141"/>
      <c r="BS278" s="141"/>
      <c r="BT278" s="141"/>
      <c r="BU278" s="141"/>
      <c r="BV278" s="141"/>
      <c r="BW278" s="141"/>
      <c r="BX278" s="130">
        <f t="shared" si="126"/>
        <v>0</v>
      </c>
      <c r="BY278" s="132"/>
    </row>
    <row r="279" ht="15.75" customHeight="1">
      <c r="B279" s="1477">
        <v>46272</v>
      </c>
      <c r="C279" s="379"/>
      <c r="D279" s="136"/>
      <c r="E279" s="135"/>
      <c r="F279" s="135"/>
      <c r="G279" s="147">
        <f t="shared" si="118"/>
        <v>0</v>
      </c>
      <c r="H279" s="1469"/>
      <c r="I279" s="1470"/>
      <c r="J279" s="1470"/>
      <c r="K279" s="1470"/>
      <c r="L279" s="1470"/>
      <c r="M279" s="1470"/>
      <c r="N279" s="1470"/>
      <c r="O279" s="1470"/>
      <c r="P279" s="1470"/>
      <c r="Q279" s="1470"/>
      <c r="R279" s="1470"/>
      <c r="S279" s="1470"/>
      <c r="T279" s="1470"/>
      <c r="U279" s="1470"/>
      <c r="V279" s="136"/>
      <c r="W279" s="136"/>
      <c r="X279" s="103">
        <f t="shared" si="119"/>
        <v>0</v>
      </c>
      <c r="Y279" s="1470"/>
      <c r="Z279" s="1470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03">
        <f t="shared" si="120"/>
        <v>0</v>
      </c>
      <c r="AM279" s="136"/>
      <c r="AN279" s="136"/>
      <c r="AO279" s="136"/>
      <c r="AP279" s="105">
        <f t="shared" si="121"/>
        <v>0</v>
      </c>
      <c r="AQ279" s="136"/>
      <c r="AR279" s="136"/>
      <c r="AS279" s="136"/>
      <c r="AT279" s="135"/>
      <c r="AU279" s="224">
        <f t="shared" si="122"/>
        <v>0</v>
      </c>
      <c r="AV279" s="126"/>
      <c r="AW279" s="274"/>
      <c r="AX279" s="126"/>
      <c r="AY279" s="126"/>
      <c r="AZ279" s="126"/>
      <c r="BA279" s="126"/>
      <c r="BB279" s="141"/>
      <c r="BC279" s="152"/>
      <c r="BD279" s="152"/>
      <c r="BE279" s="152"/>
      <c r="BF279" s="152"/>
      <c r="BG279" s="308">
        <f t="shared" si="123"/>
        <v>0</v>
      </c>
      <c r="BH279" s="1018">
        <f t="shared" si="124"/>
        <v>0</v>
      </c>
      <c r="BI279" s="132"/>
      <c r="BJ279" s="140">
        <f t="shared" si="125"/>
        <v>0</v>
      </c>
      <c r="BK279" s="141"/>
      <c r="BL279" s="141"/>
      <c r="BM279" s="141"/>
      <c r="BN279" s="141"/>
      <c r="BO279" s="141"/>
      <c r="BP279" s="141"/>
      <c r="BQ279" s="141"/>
      <c r="BR279" s="141"/>
      <c r="BS279" s="141"/>
      <c r="BT279" s="141"/>
      <c r="BU279" s="141"/>
      <c r="BV279" s="141"/>
      <c r="BW279" s="141"/>
      <c r="BX279" s="130">
        <f t="shared" si="126"/>
        <v>0</v>
      </c>
      <c r="BY279" s="132"/>
    </row>
    <row r="280" ht="15.75" customHeight="1">
      <c r="B280" s="1477">
        <v>46273</v>
      </c>
      <c r="C280" s="379"/>
      <c r="D280" s="136"/>
      <c r="E280" s="135"/>
      <c r="F280" s="135"/>
      <c r="G280" s="147">
        <f t="shared" si="118"/>
        <v>0</v>
      </c>
      <c r="H280" s="1469"/>
      <c r="I280" s="1470"/>
      <c r="J280" s="1470"/>
      <c r="K280" s="1470"/>
      <c r="L280" s="1470"/>
      <c r="M280" s="1470"/>
      <c r="N280" s="1470"/>
      <c r="O280" s="1470"/>
      <c r="P280" s="1470"/>
      <c r="Q280" s="1470"/>
      <c r="R280" s="1470"/>
      <c r="S280" s="1470"/>
      <c r="T280" s="1470"/>
      <c r="U280" s="1470"/>
      <c r="V280" s="136"/>
      <c r="W280" s="136"/>
      <c r="X280" s="103">
        <f t="shared" si="119"/>
        <v>0</v>
      </c>
      <c r="Y280" s="1470"/>
      <c r="Z280" s="1470"/>
      <c r="AA280" s="143"/>
      <c r="AB280" s="143"/>
      <c r="AC280" s="143"/>
      <c r="AD280" s="143"/>
      <c r="AE280" s="143"/>
      <c r="AF280" s="143"/>
      <c r="AG280" s="143"/>
      <c r="AH280" s="143"/>
      <c r="AI280" s="143"/>
      <c r="AJ280" s="143"/>
      <c r="AK280" s="143"/>
      <c r="AL280" s="103">
        <f t="shared" si="120"/>
        <v>0</v>
      </c>
      <c r="AM280" s="136"/>
      <c r="AN280" s="136"/>
      <c r="AO280" s="136"/>
      <c r="AP280" s="105">
        <f t="shared" si="121"/>
        <v>0</v>
      </c>
      <c r="AQ280" s="136"/>
      <c r="AR280" s="136"/>
      <c r="AS280" s="136"/>
      <c r="AT280" s="135"/>
      <c r="AU280" s="224">
        <f t="shared" si="122"/>
        <v>0</v>
      </c>
      <c r="AV280" s="126"/>
      <c r="AW280" s="274"/>
      <c r="AX280" s="126"/>
      <c r="AY280" s="126"/>
      <c r="AZ280" s="126"/>
      <c r="BA280" s="126"/>
      <c r="BB280" s="141"/>
      <c r="BC280" s="152"/>
      <c r="BD280" s="152"/>
      <c r="BE280" s="152"/>
      <c r="BF280" s="152"/>
      <c r="BG280" s="308">
        <f t="shared" si="123"/>
        <v>0</v>
      </c>
      <c r="BH280" s="1018">
        <f t="shared" si="124"/>
        <v>0</v>
      </c>
      <c r="BI280" s="132"/>
      <c r="BJ280" s="140">
        <f t="shared" si="125"/>
        <v>0</v>
      </c>
      <c r="BK280" s="141"/>
      <c r="BL280" s="141"/>
      <c r="BM280" s="141"/>
      <c r="BN280" s="141"/>
      <c r="BO280" s="141"/>
      <c r="BP280" s="141"/>
      <c r="BQ280" s="141"/>
      <c r="BR280" s="141"/>
      <c r="BS280" s="141"/>
      <c r="BT280" s="141"/>
      <c r="BU280" s="141"/>
      <c r="BV280" s="141"/>
      <c r="BW280" s="141"/>
      <c r="BX280" s="130">
        <f t="shared" si="126"/>
        <v>0</v>
      </c>
      <c r="BY280" s="132"/>
    </row>
    <row r="281" ht="15.75" customHeight="1">
      <c r="B281" s="1477">
        <v>46274</v>
      </c>
      <c r="C281" s="379"/>
      <c r="D281" s="136"/>
      <c r="E281" s="135"/>
      <c r="F281" s="135"/>
      <c r="G281" s="147">
        <f t="shared" si="118"/>
        <v>0</v>
      </c>
      <c r="H281" s="1469"/>
      <c r="I281" s="1470"/>
      <c r="J281" s="1470"/>
      <c r="K281" s="1470"/>
      <c r="L281" s="1470"/>
      <c r="M281" s="1470"/>
      <c r="N281" s="1470"/>
      <c r="O281" s="1470"/>
      <c r="P281" s="1470"/>
      <c r="Q281" s="1470"/>
      <c r="R281" s="1470"/>
      <c r="S281" s="1470"/>
      <c r="T281" s="1470"/>
      <c r="U281" s="1470"/>
      <c r="V281" s="136"/>
      <c r="W281" s="136"/>
      <c r="X281" s="103">
        <f t="shared" si="119"/>
        <v>0</v>
      </c>
      <c r="Y281" s="1470"/>
      <c r="Z281" s="1470"/>
      <c r="AA281" s="143"/>
      <c r="AB281" s="143"/>
      <c r="AC281" s="143"/>
      <c r="AD281" s="143"/>
      <c r="AE281" s="143"/>
      <c r="AF281" s="143"/>
      <c r="AG281" s="143"/>
      <c r="AH281" s="143"/>
      <c r="AI281" s="143"/>
      <c r="AJ281" s="143"/>
      <c r="AK281" s="143"/>
      <c r="AL281" s="103">
        <f t="shared" si="120"/>
        <v>0</v>
      </c>
      <c r="AM281" s="136"/>
      <c r="AN281" s="136"/>
      <c r="AO281" s="136"/>
      <c r="AP281" s="105">
        <f t="shared" si="121"/>
        <v>0</v>
      </c>
      <c r="AQ281" s="136"/>
      <c r="AR281" s="136"/>
      <c r="AS281" s="136"/>
      <c r="AT281" s="135"/>
      <c r="AU281" s="224">
        <f t="shared" si="122"/>
        <v>0</v>
      </c>
      <c r="AV281" s="126"/>
      <c r="AW281" s="274"/>
      <c r="AX281" s="126"/>
      <c r="AY281" s="126"/>
      <c r="AZ281" s="126"/>
      <c r="BA281" s="126"/>
      <c r="BB281" s="141"/>
      <c r="BC281" s="152"/>
      <c r="BD281" s="152"/>
      <c r="BE281" s="152"/>
      <c r="BF281" s="152"/>
      <c r="BG281" s="308">
        <f t="shared" si="123"/>
        <v>0</v>
      </c>
      <c r="BH281" s="1018">
        <f t="shared" si="124"/>
        <v>0</v>
      </c>
      <c r="BI281" s="132"/>
      <c r="BJ281" s="140">
        <f t="shared" si="125"/>
        <v>0</v>
      </c>
      <c r="BK281" s="141"/>
      <c r="BL281" s="141"/>
      <c r="BM281" s="141"/>
      <c r="BN281" s="141"/>
      <c r="BO281" s="141"/>
      <c r="BP281" s="141"/>
      <c r="BQ281" s="141"/>
      <c r="BR281" s="141"/>
      <c r="BS281" s="141"/>
      <c r="BT281" s="141"/>
      <c r="BU281" s="141"/>
      <c r="BV281" s="141"/>
      <c r="BW281" s="141"/>
      <c r="BX281" s="130">
        <f t="shared" si="126"/>
        <v>0</v>
      </c>
      <c r="BY281" s="132"/>
    </row>
    <row r="282" ht="15.75" customHeight="1">
      <c r="B282" s="1477">
        <v>46275</v>
      </c>
      <c r="C282" s="379"/>
      <c r="D282" s="136"/>
      <c r="E282" s="135"/>
      <c r="F282" s="135"/>
      <c r="G282" s="147">
        <f t="shared" si="118"/>
        <v>0</v>
      </c>
      <c r="H282" s="1469"/>
      <c r="I282" s="1470"/>
      <c r="J282" s="1470"/>
      <c r="K282" s="1470"/>
      <c r="L282" s="1470"/>
      <c r="M282" s="1470"/>
      <c r="N282" s="1470"/>
      <c r="O282" s="1470"/>
      <c r="P282" s="1470"/>
      <c r="Q282" s="1470"/>
      <c r="R282" s="1470"/>
      <c r="S282" s="1470"/>
      <c r="T282" s="1470"/>
      <c r="U282" s="1470"/>
      <c r="V282" s="136"/>
      <c r="W282" s="136"/>
      <c r="X282" s="103">
        <f t="shared" si="119"/>
        <v>0</v>
      </c>
      <c r="Y282" s="1470"/>
      <c r="Z282" s="1470"/>
      <c r="AA282" s="143"/>
      <c r="AB282" s="143"/>
      <c r="AC282" s="143"/>
      <c r="AD282" s="143"/>
      <c r="AE282" s="143"/>
      <c r="AF282" s="143"/>
      <c r="AG282" s="143"/>
      <c r="AH282" s="143"/>
      <c r="AI282" s="143"/>
      <c r="AJ282" s="143"/>
      <c r="AK282" s="143"/>
      <c r="AL282" s="103">
        <f t="shared" si="120"/>
        <v>0</v>
      </c>
      <c r="AM282" s="136"/>
      <c r="AN282" s="136"/>
      <c r="AO282" s="136"/>
      <c r="AP282" s="105">
        <f t="shared" si="121"/>
        <v>0</v>
      </c>
      <c r="AQ282" s="136"/>
      <c r="AR282" s="136"/>
      <c r="AS282" s="136"/>
      <c r="AT282" s="135"/>
      <c r="AU282" s="224">
        <f t="shared" si="122"/>
        <v>0</v>
      </c>
      <c r="AV282" s="126"/>
      <c r="AW282" s="274"/>
      <c r="AX282" s="126"/>
      <c r="AY282" s="126"/>
      <c r="AZ282" s="126"/>
      <c r="BA282" s="126"/>
      <c r="BB282" s="141"/>
      <c r="BC282" s="152"/>
      <c r="BD282" s="152"/>
      <c r="BE282" s="152"/>
      <c r="BF282" s="152"/>
      <c r="BG282" s="308">
        <f t="shared" si="123"/>
        <v>0</v>
      </c>
      <c r="BH282" s="1018">
        <f t="shared" si="124"/>
        <v>0</v>
      </c>
      <c r="BI282" s="132"/>
      <c r="BJ282" s="140">
        <f t="shared" si="125"/>
        <v>0</v>
      </c>
      <c r="BK282" s="141"/>
      <c r="BL282" s="141"/>
      <c r="BM282" s="141"/>
      <c r="BN282" s="141"/>
      <c r="BO282" s="141"/>
      <c r="BP282" s="141"/>
      <c r="BQ282" s="141"/>
      <c r="BR282" s="141"/>
      <c r="BS282" s="141"/>
      <c r="BT282" s="141"/>
      <c r="BU282" s="141"/>
      <c r="BV282" s="141"/>
      <c r="BW282" s="141"/>
      <c r="BX282" s="130">
        <f t="shared" si="126"/>
        <v>0</v>
      </c>
      <c r="BY282" s="132"/>
    </row>
    <row r="283" ht="15.75" customHeight="1">
      <c r="B283" s="1477">
        <v>46276</v>
      </c>
      <c r="C283" s="379"/>
      <c r="D283" s="136"/>
      <c r="E283" s="135"/>
      <c r="F283" s="135"/>
      <c r="G283" s="147">
        <f t="shared" si="118"/>
        <v>0</v>
      </c>
      <c r="H283" s="1469"/>
      <c r="I283" s="1470"/>
      <c r="J283" s="1470"/>
      <c r="K283" s="1470"/>
      <c r="L283" s="1470"/>
      <c r="M283" s="1470"/>
      <c r="N283" s="1470"/>
      <c r="O283" s="1470"/>
      <c r="P283" s="1470"/>
      <c r="Q283" s="1470"/>
      <c r="R283" s="1470"/>
      <c r="S283" s="1470"/>
      <c r="T283" s="1470"/>
      <c r="U283" s="1470"/>
      <c r="V283" s="136"/>
      <c r="W283" s="136"/>
      <c r="X283" s="103">
        <f t="shared" si="119"/>
        <v>0</v>
      </c>
      <c r="Y283" s="1470"/>
      <c r="Z283" s="1470"/>
      <c r="AA283" s="143"/>
      <c r="AB283" s="143"/>
      <c r="AC283" s="143"/>
      <c r="AD283" s="143"/>
      <c r="AE283" s="143"/>
      <c r="AF283" s="143"/>
      <c r="AG283" s="143"/>
      <c r="AH283" s="143"/>
      <c r="AI283" s="143"/>
      <c r="AJ283" s="143"/>
      <c r="AK283" s="143"/>
      <c r="AL283" s="103">
        <f t="shared" si="120"/>
        <v>0</v>
      </c>
      <c r="AM283" s="136"/>
      <c r="AN283" s="136"/>
      <c r="AO283" s="136"/>
      <c r="AP283" s="105">
        <f t="shared" si="121"/>
        <v>0</v>
      </c>
      <c r="AQ283" s="136"/>
      <c r="AR283" s="136"/>
      <c r="AS283" s="136"/>
      <c r="AT283" s="135"/>
      <c r="AU283" s="224">
        <f t="shared" si="122"/>
        <v>0</v>
      </c>
      <c r="AV283" s="126"/>
      <c r="AW283" s="274"/>
      <c r="AX283" s="126"/>
      <c r="AY283" s="126"/>
      <c r="AZ283" s="126"/>
      <c r="BA283" s="126"/>
      <c r="BB283" s="141"/>
      <c r="BC283" s="152"/>
      <c r="BD283" s="152"/>
      <c r="BE283" s="152"/>
      <c r="BF283" s="152"/>
      <c r="BG283" s="308">
        <f t="shared" si="123"/>
        <v>0</v>
      </c>
      <c r="BH283" s="1018">
        <f t="shared" si="124"/>
        <v>0</v>
      </c>
      <c r="BI283" s="132"/>
      <c r="BJ283" s="140">
        <f t="shared" si="125"/>
        <v>0</v>
      </c>
      <c r="BK283" s="141"/>
      <c r="BL283" s="141"/>
      <c r="BM283" s="141"/>
      <c r="BN283" s="141"/>
      <c r="BO283" s="141"/>
      <c r="BP283" s="141"/>
      <c r="BQ283" s="141"/>
      <c r="BR283" s="141"/>
      <c r="BS283" s="141"/>
      <c r="BT283" s="141"/>
      <c r="BU283" s="141"/>
      <c r="BV283" s="141"/>
      <c r="BW283" s="141"/>
      <c r="BX283" s="130">
        <f t="shared" si="126"/>
        <v>0</v>
      </c>
      <c r="BY283" s="132"/>
    </row>
    <row r="284" ht="15.75" customHeight="1">
      <c r="B284" s="1477">
        <v>46277</v>
      </c>
      <c r="C284" s="379"/>
      <c r="D284" s="136"/>
      <c r="E284" s="135"/>
      <c r="F284" s="135"/>
      <c r="G284" s="147">
        <f t="shared" si="118"/>
        <v>0</v>
      </c>
      <c r="H284" s="1469"/>
      <c r="I284" s="1470"/>
      <c r="J284" s="1470"/>
      <c r="K284" s="1470"/>
      <c r="L284" s="1470"/>
      <c r="M284" s="1470"/>
      <c r="N284" s="1470"/>
      <c r="O284" s="1470"/>
      <c r="P284" s="1470"/>
      <c r="Q284" s="1470"/>
      <c r="R284" s="1470"/>
      <c r="S284" s="1470"/>
      <c r="T284" s="1470"/>
      <c r="U284" s="1470"/>
      <c r="V284" s="136"/>
      <c r="W284" s="136"/>
      <c r="X284" s="103">
        <f t="shared" si="119"/>
        <v>0</v>
      </c>
      <c r="Y284" s="1470"/>
      <c r="Z284" s="1470"/>
      <c r="AA284" s="143"/>
      <c r="AB284" s="143"/>
      <c r="AC284" s="143"/>
      <c r="AD284" s="143"/>
      <c r="AE284" s="143"/>
      <c r="AF284" s="143"/>
      <c r="AG284" s="143"/>
      <c r="AH284" s="143"/>
      <c r="AI284" s="143"/>
      <c r="AJ284" s="143"/>
      <c r="AK284" s="143"/>
      <c r="AL284" s="103">
        <f t="shared" si="120"/>
        <v>0</v>
      </c>
      <c r="AM284" s="136"/>
      <c r="AN284" s="136"/>
      <c r="AO284" s="136"/>
      <c r="AP284" s="105">
        <f t="shared" si="121"/>
        <v>0</v>
      </c>
      <c r="AQ284" s="136"/>
      <c r="AR284" s="136"/>
      <c r="AS284" s="136"/>
      <c r="AT284" s="135"/>
      <c r="AU284" s="224">
        <f t="shared" si="122"/>
        <v>0</v>
      </c>
      <c r="AV284" s="126"/>
      <c r="AW284" s="274"/>
      <c r="AX284" s="126"/>
      <c r="AY284" s="126"/>
      <c r="AZ284" s="126"/>
      <c r="BA284" s="126"/>
      <c r="BB284" s="141"/>
      <c r="BC284" s="152"/>
      <c r="BD284" s="152"/>
      <c r="BE284" s="152"/>
      <c r="BF284" s="152"/>
      <c r="BG284" s="308">
        <f t="shared" si="123"/>
        <v>0</v>
      </c>
      <c r="BH284" s="1018">
        <f t="shared" si="124"/>
        <v>0</v>
      </c>
      <c r="BI284" s="132"/>
      <c r="BJ284" s="140">
        <f t="shared" si="125"/>
        <v>0</v>
      </c>
      <c r="BK284" s="141"/>
      <c r="BL284" s="141"/>
      <c r="BM284" s="141"/>
      <c r="BN284" s="141"/>
      <c r="BO284" s="141"/>
      <c r="BP284" s="141"/>
      <c r="BQ284" s="141"/>
      <c r="BR284" s="141"/>
      <c r="BS284" s="141"/>
      <c r="BT284" s="141"/>
      <c r="BU284" s="141"/>
      <c r="BV284" s="141"/>
      <c r="BW284" s="141"/>
      <c r="BX284" s="130">
        <f t="shared" si="126"/>
        <v>0</v>
      </c>
      <c r="BY284" s="132"/>
    </row>
    <row r="285" ht="15.75" customHeight="1">
      <c r="B285" s="1477">
        <v>46278</v>
      </c>
      <c r="C285" s="379"/>
      <c r="D285" s="136"/>
      <c r="E285" s="135"/>
      <c r="F285" s="135"/>
      <c r="G285" s="147">
        <f t="shared" si="118"/>
        <v>0</v>
      </c>
      <c r="H285" s="1469"/>
      <c r="I285" s="1470"/>
      <c r="J285" s="1470"/>
      <c r="K285" s="1470"/>
      <c r="L285" s="1470"/>
      <c r="M285" s="1470"/>
      <c r="N285" s="1470"/>
      <c r="O285" s="1470"/>
      <c r="P285" s="1470"/>
      <c r="Q285" s="1470"/>
      <c r="R285" s="1470"/>
      <c r="S285" s="1470"/>
      <c r="T285" s="1470"/>
      <c r="U285" s="1470"/>
      <c r="V285" s="136"/>
      <c r="W285" s="136"/>
      <c r="X285" s="103">
        <f t="shared" si="119"/>
        <v>0</v>
      </c>
      <c r="Y285" s="1470"/>
      <c r="Z285" s="1470"/>
      <c r="AA285" s="143"/>
      <c r="AB285" s="143"/>
      <c r="AC285" s="143"/>
      <c r="AD285" s="143"/>
      <c r="AE285" s="143"/>
      <c r="AF285" s="143"/>
      <c r="AG285" s="143"/>
      <c r="AH285" s="143"/>
      <c r="AI285" s="143"/>
      <c r="AJ285" s="143"/>
      <c r="AK285" s="143"/>
      <c r="AL285" s="103">
        <f t="shared" si="120"/>
        <v>0</v>
      </c>
      <c r="AM285" s="136"/>
      <c r="AN285" s="136"/>
      <c r="AO285" s="136"/>
      <c r="AP285" s="105">
        <f t="shared" si="121"/>
        <v>0</v>
      </c>
      <c r="AQ285" s="136"/>
      <c r="AR285" s="136"/>
      <c r="AS285" s="136"/>
      <c r="AT285" s="135"/>
      <c r="AU285" s="224">
        <f t="shared" si="122"/>
        <v>0</v>
      </c>
      <c r="AV285" s="126"/>
      <c r="AW285" s="274"/>
      <c r="AX285" s="126"/>
      <c r="AY285" s="126"/>
      <c r="AZ285" s="126"/>
      <c r="BA285" s="126"/>
      <c r="BB285" s="141"/>
      <c r="BC285" s="152"/>
      <c r="BD285" s="152"/>
      <c r="BE285" s="152"/>
      <c r="BF285" s="152"/>
      <c r="BG285" s="308">
        <f t="shared" si="123"/>
        <v>0</v>
      </c>
      <c r="BH285" s="1018">
        <f t="shared" si="124"/>
        <v>0</v>
      </c>
      <c r="BI285" s="132"/>
      <c r="BJ285" s="140">
        <f t="shared" si="125"/>
        <v>0</v>
      </c>
      <c r="BK285" s="141"/>
      <c r="BL285" s="141"/>
      <c r="BM285" s="141"/>
      <c r="BN285" s="141"/>
      <c r="BO285" s="141"/>
      <c r="BP285" s="141"/>
      <c r="BQ285" s="141"/>
      <c r="BR285" s="141"/>
      <c r="BS285" s="141"/>
      <c r="BT285" s="141"/>
      <c r="BU285" s="141"/>
      <c r="BV285" s="141"/>
      <c r="BW285" s="141"/>
      <c r="BX285" s="130">
        <f t="shared" si="126"/>
        <v>0</v>
      </c>
      <c r="BY285" s="132"/>
    </row>
    <row r="286" ht="15.75" customHeight="1">
      <c r="B286" s="1477">
        <v>46279</v>
      </c>
      <c r="C286" s="379"/>
      <c r="D286" s="136"/>
      <c r="E286" s="135"/>
      <c r="F286" s="135"/>
      <c r="G286" s="147">
        <f t="shared" si="118"/>
        <v>0</v>
      </c>
      <c r="H286" s="1469"/>
      <c r="I286" s="142"/>
      <c r="J286" s="1470"/>
      <c r="K286" s="1470"/>
      <c r="L286" s="1470"/>
      <c r="M286" s="1470"/>
      <c r="N286" s="1470"/>
      <c r="O286" s="1470"/>
      <c r="P286" s="1470"/>
      <c r="Q286" s="1470"/>
      <c r="R286" s="1470"/>
      <c r="S286" s="1470"/>
      <c r="T286" s="1470"/>
      <c r="U286" s="1470"/>
      <c r="V286" s="136"/>
      <c r="W286" s="136"/>
      <c r="X286" s="103">
        <f t="shared" si="119"/>
        <v>0</v>
      </c>
      <c r="Y286" s="1470"/>
      <c r="Z286" s="1470"/>
      <c r="AA286" s="143"/>
      <c r="AB286" s="143"/>
      <c r="AC286" s="143"/>
      <c r="AD286" s="143"/>
      <c r="AE286" s="143"/>
      <c r="AF286" s="143"/>
      <c r="AG286" s="143"/>
      <c r="AH286" s="143"/>
      <c r="AI286" s="143"/>
      <c r="AJ286" s="143"/>
      <c r="AK286" s="143"/>
      <c r="AL286" s="103">
        <f t="shared" si="120"/>
        <v>0</v>
      </c>
      <c r="AM286" s="136"/>
      <c r="AN286" s="136"/>
      <c r="AO286" s="136"/>
      <c r="AP286" s="105">
        <f t="shared" si="121"/>
        <v>0</v>
      </c>
      <c r="AQ286" s="136"/>
      <c r="AR286" s="136"/>
      <c r="AS286" s="136"/>
      <c r="AT286" s="135"/>
      <c r="AU286" s="224">
        <f t="shared" si="122"/>
        <v>0</v>
      </c>
      <c r="AV286" s="126"/>
      <c r="AW286" s="274"/>
      <c r="AX286" s="126"/>
      <c r="AY286" s="126"/>
      <c r="AZ286" s="126"/>
      <c r="BA286" s="126"/>
      <c r="BB286" s="141"/>
      <c r="BC286" s="152"/>
      <c r="BD286" s="152"/>
      <c r="BE286" s="152"/>
      <c r="BF286" s="152"/>
      <c r="BG286" s="308">
        <f t="shared" si="123"/>
        <v>0</v>
      </c>
      <c r="BH286" s="1018">
        <f t="shared" si="124"/>
        <v>0</v>
      </c>
      <c r="BI286" s="132"/>
      <c r="BJ286" s="140">
        <f t="shared" si="125"/>
        <v>0</v>
      </c>
      <c r="BK286" s="141"/>
      <c r="BL286" s="141"/>
      <c r="BM286" s="141"/>
      <c r="BN286" s="141"/>
      <c r="BO286" s="141"/>
      <c r="BP286" s="141"/>
      <c r="BQ286" s="141"/>
      <c r="BR286" s="141"/>
      <c r="BS286" s="141"/>
      <c r="BT286" s="141"/>
      <c r="BU286" s="141"/>
      <c r="BV286" s="141"/>
      <c r="BW286" s="141"/>
      <c r="BX286" s="130">
        <f t="shared" si="126"/>
        <v>0</v>
      </c>
      <c r="BY286" s="132"/>
    </row>
    <row r="287" ht="15.75" customHeight="1">
      <c r="B287" s="1477">
        <v>46280</v>
      </c>
      <c r="C287" s="379"/>
      <c r="D287" s="136"/>
      <c r="E287" s="135"/>
      <c r="F287" s="135"/>
      <c r="G287" s="147">
        <f t="shared" si="118"/>
        <v>0</v>
      </c>
      <c r="H287" s="1469"/>
      <c r="I287" s="1470"/>
      <c r="J287" s="1470"/>
      <c r="K287" s="1470"/>
      <c r="L287" s="1470"/>
      <c r="M287" s="1470"/>
      <c r="N287" s="1470"/>
      <c r="O287" s="1470"/>
      <c r="P287" s="1470"/>
      <c r="Q287" s="1470"/>
      <c r="R287" s="1470"/>
      <c r="S287" s="1470"/>
      <c r="T287" s="1470"/>
      <c r="U287" s="1470"/>
      <c r="V287" s="136"/>
      <c r="W287" s="136"/>
      <c r="X287" s="103">
        <f t="shared" si="119"/>
        <v>0</v>
      </c>
      <c r="Y287" s="1470"/>
      <c r="Z287" s="1470"/>
      <c r="AA287" s="143"/>
      <c r="AB287" s="143"/>
      <c r="AC287" s="143"/>
      <c r="AD287" s="143"/>
      <c r="AE287" s="143"/>
      <c r="AF287" s="143"/>
      <c r="AG287" s="143"/>
      <c r="AH287" s="143"/>
      <c r="AI287" s="143"/>
      <c r="AJ287" s="143"/>
      <c r="AK287" s="143"/>
      <c r="AL287" s="103">
        <f t="shared" si="120"/>
        <v>0</v>
      </c>
      <c r="AM287" s="136"/>
      <c r="AN287" s="136"/>
      <c r="AO287" s="136"/>
      <c r="AP287" s="105">
        <f t="shared" si="121"/>
        <v>0</v>
      </c>
      <c r="AQ287" s="136"/>
      <c r="AR287" s="136"/>
      <c r="AS287" s="136"/>
      <c r="AT287" s="135"/>
      <c r="AU287" s="224">
        <f t="shared" si="122"/>
        <v>0</v>
      </c>
      <c r="AV287" s="126"/>
      <c r="AW287" s="274"/>
      <c r="AX287" s="126"/>
      <c r="AY287" s="126"/>
      <c r="AZ287" s="126"/>
      <c r="BA287" s="126"/>
      <c r="BB287" s="141"/>
      <c r="BC287" s="152"/>
      <c r="BD287" s="152"/>
      <c r="BE287" s="152"/>
      <c r="BF287" s="152"/>
      <c r="BG287" s="308">
        <f t="shared" si="123"/>
        <v>0</v>
      </c>
      <c r="BH287" s="1018">
        <f t="shared" si="124"/>
        <v>0</v>
      </c>
      <c r="BI287" s="132"/>
      <c r="BJ287" s="140">
        <f t="shared" si="125"/>
        <v>0</v>
      </c>
      <c r="BK287" s="141"/>
      <c r="BL287" s="141"/>
      <c r="BM287" s="141"/>
      <c r="BN287" s="141"/>
      <c r="BO287" s="141"/>
      <c r="BP287" s="141"/>
      <c r="BQ287" s="141"/>
      <c r="BR287" s="141"/>
      <c r="BS287" s="141"/>
      <c r="BT287" s="141"/>
      <c r="BU287" s="141"/>
      <c r="BV287" s="141"/>
      <c r="BW287" s="141"/>
      <c r="BX287" s="130">
        <f t="shared" si="126"/>
        <v>0</v>
      </c>
      <c r="BY287" s="132"/>
    </row>
    <row r="288" ht="15.75" customHeight="1">
      <c r="B288" s="1477">
        <v>46281</v>
      </c>
      <c r="C288" s="379"/>
      <c r="D288" s="136"/>
      <c r="E288" s="135"/>
      <c r="F288" s="135"/>
      <c r="G288" s="147">
        <f t="shared" si="118"/>
        <v>0</v>
      </c>
      <c r="H288" s="1469"/>
      <c r="I288" s="1470"/>
      <c r="J288" s="1470"/>
      <c r="K288" s="1470"/>
      <c r="L288" s="1470"/>
      <c r="M288" s="1470"/>
      <c r="N288" s="1470"/>
      <c r="O288" s="1470"/>
      <c r="P288" s="1470"/>
      <c r="Q288" s="1470"/>
      <c r="R288" s="1470"/>
      <c r="S288" s="1470"/>
      <c r="T288" s="1470"/>
      <c r="U288" s="1470"/>
      <c r="V288" s="1470"/>
      <c r="W288" s="1470"/>
      <c r="X288" s="103">
        <f t="shared" si="119"/>
        <v>0</v>
      </c>
      <c r="Y288" s="1470"/>
      <c r="Z288" s="1470"/>
      <c r="AA288" s="143"/>
      <c r="AB288" s="143"/>
      <c r="AC288" s="143"/>
      <c r="AD288" s="143"/>
      <c r="AE288" s="143"/>
      <c r="AF288" s="143"/>
      <c r="AG288" s="143"/>
      <c r="AH288" s="143"/>
      <c r="AI288" s="143"/>
      <c r="AJ288" s="143"/>
      <c r="AK288" s="143"/>
      <c r="AL288" s="103">
        <f t="shared" si="120"/>
        <v>0</v>
      </c>
      <c r="AM288" s="136"/>
      <c r="AN288" s="136"/>
      <c r="AO288" s="136"/>
      <c r="AP288" s="105">
        <f t="shared" si="121"/>
        <v>0</v>
      </c>
      <c r="AQ288" s="136"/>
      <c r="AR288" s="136"/>
      <c r="AS288" s="136"/>
      <c r="AT288" s="135"/>
      <c r="AU288" s="224">
        <f t="shared" si="122"/>
        <v>0</v>
      </c>
      <c r="AV288" s="126"/>
      <c r="AW288" s="274"/>
      <c r="AX288" s="126"/>
      <c r="AY288" s="126"/>
      <c r="AZ288" s="126"/>
      <c r="BA288" s="126"/>
      <c r="BB288" s="141"/>
      <c r="BC288" s="152"/>
      <c r="BD288" s="152"/>
      <c r="BE288" s="152"/>
      <c r="BF288" s="152"/>
      <c r="BG288" s="308">
        <f t="shared" si="123"/>
        <v>0</v>
      </c>
      <c r="BH288" s="1018">
        <f t="shared" si="124"/>
        <v>0</v>
      </c>
      <c r="BI288" s="132"/>
      <c r="BJ288" s="140">
        <f t="shared" si="125"/>
        <v>0</v>
      </c>
      <c r="BK288" s="141"/>
      <c r="BL288" s="141"/>
      <c r="BM288" s="141"/>
      <c r="BN288" s="141"/>
      <c r="BO288" s="141"/>
      <c r="BP288" s="141"/>
      <c r="BQ288" s="141"/>
      <c r="BR288" s="141"/>
      <c r="BS288" s="141"/>
      <c r="BT288" s="141"/>
      <c r="BU288" s="141"/>
      <c r="BV288" s="141"/>
      <c r="BW288" s="141"/>
      <c r="BX288" s="130">
        <f t="shared" si="126"/>
        <v>0</v>
      </c>
      <c r="BY288" s="132"/>
    </row>
    <row r="289" ht="15.75" customHeight="1">
      <c r="B289" s="1477">
        <v>46282</v>
      </c>
      <c r="C289" s="379"/>
      <c r="D289" s="136"/>
      <c r="E289" s="135"/>
      <c r="F289" s="135"/>
      <c r="G289" s="147">
        <f t="shared" si="118"/>
        <v>0</v>
      </c>
      <c r="H289" s="1474"/>
      <c r="I289" s="142"/>
      <c r="J289" s="1470"/>
      <c r="K289" s="1470"/>
      <c r="L289" s="1470"/>
      <c r="M289" s="1470"/>
      <c r="N289" s="1470"/>
      <c r="O289" s="1470"/>
      <c r="P289" s="1470"/>
      <c r="Q289" s="1470"/>
      <c r="R289" s="1470"/>
      <c r="S289" s="1470"/>
      <c r="T289" s="1470"/>
      <c r="U289" s="1470"/>
      <c r="V289" s="1470"/>
      <c r="W289" s="1470"/>
      <c r="X289" s="103">
        <f t="shared" si="119"/>
        <v>0</v>
      </c>
      <c r="Y289" s="1470"/>
      <c r="Z289" s="1470"/>
      <c r="AA289" s="143"/>
      <c r="AB289" s="143"/>
      <c r="AC289" s="143"/>
      <c r="AD289" s="143"/>
      <c r="AE289" s="143"/>
      <c r="AF289" s="143"/>
      <c r="AG289" s="143"/>
      <c r="AH289" s="143"/>
      <c r="AI289" s="143"/>
      <c r="AJ289" s="143"/>
      <c r="AK289" s="143"/>
      <c r="AL289" s="103">
        <f t="shared" si="120"/>
        <v>0</v>
      </c>
      <c r="AM289" s="136"/>
      <c r="AN289" s="136"/>
      <c r="AO289" s="136"/>
      <c r="AP289" s="105">
        <f t="shared" si="121"/>
        <v>0</v>
      </c>
      <c r="AQ289" s="136"/>
      <c r="AR289" s="136"/>
      <c r="AS289" s="136"/>
      <c r="AT289" s="135"/>
      <c r="AU289" s="224">
        <f t="shared" si="122"/>
        <v>0</v>
      </c>
      <c r="AV289" s="126"/>
      <c r="AW289" s="274"/>
      <c r="AX289" s="126"/>
      <c r="AY289" s="126"/>
      <c r="AZ289" s="126"/>
      <c r="BA289" s="126"/>
      <c r="BB289" s="141"/>
      <c r="BC289" s="152"/>
      <c r="BD289" s="152"/>
      <c r="BE289" s="152"/>
      <c r="BF289" s="152"/>
      <c r="BG289" s="308">
        <f t="shared" si="123"/>
        <v>0</v>
      </c>
      <c r="BH289" s="1018">
        <f t="shared" si="124"/>
        <v>0</v>
      </c>
      <c r="BI289" s="132"/>
      <c r="BJ289" s="140">
        <f t="shared" si="125"/>
        <v>0</v>
      </c>
      <c r="BK289" s="141"/>
      <c r="BL289" s="141"/>
      <c r="BM289" s="141"/>
      <c r="BN289" s="141"/>
      <c r="BO289" s="141"/>
      <c r="BP289" s="141"/>
      <c r="BQ289" s="141"/>
      <c r="BR289" s="141"/>
      <c r="BS289" s="141"/>
      <c r="BT289" s="141"/>
      <c r="BU289" s="141"/>
      <c r="BV289" s="141"/>
      <c r="BW289" s="141"/>
      <c r="BX289" s="130">
        <f t="shared" si="126"/>
        <v>0</v>
      </c>
      <c r="BY289" s="132"/>
    </row>
    <row r="290" ht="15.75" customHeight="1">
      <c r="B290" s="1477">
        <v>46283</v>
      </c>
      <c r="C290" s="379"/>
      <c r="D290" s="136"/>
      <c r="E290" s="135"/>
      <c r="F290" s="135"/>
      <c r="G290" s="147">
        <f t="shared" si="118"/>
        <v>0</v>
      </c>
      <c r="H290" s="1469"/>
      <c r="I290" s="1470"/>
      <c r="J290" s="1470"/>
      <c r="K290" s="1470"/>
      <c r="L290" s="1470"/>
      <c r="M290" s="1470"/>
      <c r="N290" s="1470"/>
      <c r="O290" s="1470"/>
      <c r="P290" s="1470"/>
      <c r="Q290" s="1470"/>
      <c r="R290" s="1470"/>
      <c r="S290" s="1470"/>
      <c r="T290" s="1470"/>
      <c r="U290" s="1470"/>
      <c r="V290" s="1470"/>
      <c r="W290" s="1470"/>
      <c r="X290" s="103">
        <f t="shared" si="119"/>
        <v>0</v>
      </c>
      <c r="Y290" s="1470"/>
      <c r="Z290" s="1470"/>
      <c r="AA290" s="143"/>
      <c r="AB290" s="143"/>
      <c r="AC290" s="143"/>
      <c r="AD290" s="143"/>
      <c r="AE290" s="143"/>
      <c r="AF290" s="143"/>
      <c r="AG290" s="143"/>
      <c r="AH290" s="143"/>
      <c r="AI290" s="143"/>
      <c r="AJ290" s="143"/>
      <c r="AK290" s="143"/>
      <c r="AL290" s="103">
        <f t="shared" si="120"/>
        <v>0</v>
      </c>
      <c r="AM290" s="136"/>
      <c r="AN290" s="136"/>
      <c r="AO290" s="136"/>
      <c r="AP290" s="105">
        <f t="shared" si="121"/>
        <v>0</v>
      </c>
      <c r="AQ290" s="136"/>
      <c r="AR290" s="136"/>
      <c r="AS290" s="136"/>
      <c r="AT290" s="135"/>
      <c r="AU290" s="224">
        <f t="shared" si="122"/>
        <v>0</v>
      </c>
      <c r="AV290" s="126"/>
      <c r="AW290" s="274"/>
      <c r="AX290" s="126"/>
      <c r="AY290" s="126"/>
      <c r="AZ290" s="126"/>
      <c r="BA290" s="126"/>
      <c r="BB290" s="141"/>
      <c r="BC290" s="152"/>
      <c r="BD290" s="152"/>
      <c r="BE290" s="152"/>
      <c r="BF290" s="152"/>
      <c r="BG290" s="308">
        <f t="shared" si="123"/>
        <v>0</v>
      </c>
      <c r="BH290" s="1018">
        <f t="shared" si="124"/>
        <v>0</v>
      </c>
      <c r="BI290" s="132"/>
      <c r="BJ290" s="140">
        <f t="shared" si="125"/>
        <v>0</v>
      </c>
      <c r="BK290" s="141"/>
      <c r="BL290" s="141"/>
      <c r="BM290" s="141"/>
      <c r="BN290" s="141"/>
      <c r="BO290" s="141"/>
      <c r="BP290" s="141"/>
      <c r="BQ290" s="141"/>
      <c r="BR290" s="141"/>
      <c r="BS290" s="141"/>
      <c r="BT290" s="141"/>
      <c r="BU290" s="141"/>
      <c r="BV290" s="141"/>
      <c r="BW290" s="141"/>
      <c r="BX290" s="130">
        <f t="shared" si="126"/>
        <v>0</v>
      </c>
      <c r="BY290" s="132"/>
    </row>
    <row r="291" ht="15.75" customHeight="1">
      <c r="B291" s="1477">
        <v>46284</v>
      </c>
      <c r="C291" s="379"/>
      <c r="D291" s="136"/>
      <c r="E291" s="135"/>
      <c r="F291" s="135"/>
      <c r="G291" s="147">
        <f t="shared" si="118"/>
        <v>0</v>
      </c>
      <c r="H291" s="1469"/>
      <c r="I291" s="1470"/>
      <c r="J291" s="1470"/>
      <c r="K291" s="1470"/>
      <c r="L291" s="1470"/>
      <c r="M291" s="1470"/>
      <c r="N291" s="1470"/>
      <c r="O291" s="1470"/>
      <c r="P291" s="1470"/>
      <c r="Q291" s="1470"/>
      <c r="R291" s="1470"/>
      <c r="S291" s="1470"/>
      <c r="T291" s="1470"/>
      <c r="U291" s="1470"/>
      <c r="V291" s="1470"/>
      <c r="W291" s="1470"/>
      <c r="X291" s="103">
        <f t="shared" si="119"/>
        <v>0</v>
      </c>
      <c r="Y291" s="1470"/>
      <c r="Z291" s="1470"/>
      <c r="AA291" s="143"/>
      <c r="AB291" s="143"/>
      <c r="AC291" s="143"/>
      <c r="AD291" s="143"/>
      <c r="AE291" s="143"/>
      <c r="AF291" s="143"/>
      <c r="AG291" s="143"/>
      <c r="AH291" s="143"/>
      <c r="AI291" s="143"/>
      <c r="AJ291" s="143"/>
      <c r="AK291" s="143"/>
      <c r="AL291" s="103">
        <f t="shared" si="120"/>
        <v>0</v>
      </c>
      <c r="AM291" s="136"/>
      <c r="AN291" s="136"/>
      <c r="AO291" s="136"/>
      <c r="AP291" s="105">
        <f t="shared" si="121"/>
        <v>0</v>
      </c>
      <c r="AQ291" s="136"/>
      <c r="AR291" s="136"/>
      <c r="AS291" s="136"/>
      <c r="AT291" s="135"/>
      <c r="AU291" s="224">
        <f t="shared" si="122"/>
        <v>0</v>
      </c>
      <c r="AV291" s="126"/>
      <c r="AW291" s="274"/>
      <c r="AX291" s="126"/>
      <c r="AY291" s="126"/>
      <c r="AZ291" s="126"/>
      <c r="BA291" s="126"/>
      <c r="BB291" s="141"/>
      <c r="BC291" s="152"/>
      <c r="BD291" s="152"/>
      <c r="BE291" s="152"/>
      <c r="BF291" s="152"/>
      <c r="BG291" s="308">
        <f t="shared" si="123"/>
        <v>0</v>
      </c>
      <c r="BH291" s="1018">
        <f t="shared" si="124"/>
        <v>0</v>
      </c>
      <c r="BI291" s="132"/>
      <c r="BJ291" s="140">
        <f t="shared" si="125"/>
        <v>0</v>
      </c>
      <c r="BK291" s="141"/>
      <c r="BL291" s="141"/>
      <c r="BM291" s="141"/>
      <c r="BN291" s="141"/>
      <c r="BO291" s="141"/>
      <c r="BP291" s="141"/>
      <c r="BQ291" s="141"/>
      <c r="BR291" s="141"/>
      <c r="BS291" s="141"/>
      <c r="BT291" s="141"/>
      <c r="BU291" s="141"/>
      <c r="BV291" s="141"/>
      <c r="BW291" s="141"/>
      <c r="BX291" s="130">
        <f t="shared" si="126"/>
        <v>0</v>
      </c>
      <c r="BY291" s="132"/>
    </row>
    <row r="292" ht="15.75" customHeight="1">
      <c r="B292" s="1477">
        <v>46285</v>
      </c>
      <c r="C292" s="379"/>
      <c r="D292" s="136"/>
      <c r="E292" s="135"/>
      <c r="F292" s="135"/>
      <c r="G292" s="147">
        <f t="shared" si="118"/>
        <v>0</v>
      </c>
      <c r="H292" s="1474"/>
      <c r="I292" s="142"/>
      <c r="J292" s="1470"/>
      <c r="K292" s="1470"/>
      <c r="L292" s="1470"/>
      <c r="M292" s="1470"/>
      <c r="N292" s="1470"/>
      <c r="O292" s="1470"/>
      <c r="P292" s="1470"/>
      <c r="Q292" s="1470"/>
      <c r="R292" s="1470"/>
      <c r="S292" s="1470"/>
      <c r="T292" s="1470"/>
      <c r="U292" s="1484"/>
      <c r="V292" s="1485"/>
      <c r="W292" s="1485"/>
      <c r="X292" s="103">
        <f t="shared" si="119"/>
        <v>0</v>
      </c>
      <c r="Y292" s="1470"/>
      <c r="Z292" s="1470"/>
      <c r="AA292" s="143"/>
      <c r="AB292" s="143"/>
      <c r="AC292" s="143"/>
      <c r="AD292" s="143"/>
      <c r="AE292" s="143"/>
      <c r="AF292" s="143"/>
      <c r="AG292" s="143"/>
      <c r="AH292" s="143"/>
      <c r="AI292" s="143"/>
      <c r="AJ292" s="143"/>
      <c r="AK292" s="143"/>
      <c r="AL292" s="103">
        <f t="shared" si="120"/>
        <v>0</v>
      </c>
      <c r="AM292" s="136"/>
      <c r="AN292" s="136"/>
      <c r="AO292" s="136"/>
      <c r="AP292" s="105">
        <f t="shared" si="121"/>
        <v>0</v>
      </c>
      <c r="AQ292" s="136"/>
      <c r="AR292" s="136"/>
      <c r="AS292" s="136"/>
      <c r="AT292" s="135"/>
      <c r="AU292" s="224">
        <f t="shared" si="122"/>
        <v>0</v>
      </c>
      <c r="AV292" s="126"/>
      <c r="AW292" s="274"/>
      <c r="AX292" s="126"/>
      <c r="AY292" s="126"/>
      <c r="AZ292" s="126"/>
      <c r="BA292" s="126"/>
      <c r="BB292" s="141"/>
      <c r="BC292" s="152"/>
      <c r="BD292" s="152"/>
      <c r="BE292" s="152"/>
      <c r="BF292" s="152"/>
      <c r="BG292" s="308">
        <f t="shared" si="123"/>
        <v>0</v>
      </c>
      <c r="BH292" s="1018">
        <f t="shared" si="124"/>
        <v>0</v>
      </c>
      <c r="BI292" s="132"/>
      <c r="BJ292" s="140">
        <f t="shared" si="125"/>
        <v>0</v>
      </c>
      <c r="BK292" s="141"/>
      <c r="BL292" s="141"/>
      <c r="BM292" s="141"/>
      <c r="BN292" s="141"/>
      <c r="BO292" s="141"/>
      <c r="BP292" s="141"/>
      <c r="BQ292" s="141"/>
      <c r="BR292" s="141"/>
      <c r="BS292" s="141"/>
      <c r="BT292" s="141"/>
      <c r="BU292" s="141"/>
      <c r="BV292" s="141"/>
      <c r="BW292" s="141"/>
      <c r="BX292" s="130">
        <f t="shared" si="126"/>
        <v>0</v>
      </c>
      <c r="BY292" s="132"/>
    </row>
    <row r="293" ht="15.75" customHeight="1">
      <c r="B293" s="1477">
        <v>46286</v>
      </c>
      <c r="C293" s="379"/>
      <c r="D293" s="136"/>
      <c r="E293" s="135"/>
      <c r="F293" s="135"/>
      <c r="G293" s="147">
        <f t="shared" si="118"/>
        <v>0</v>
      </c>
      <c r="H293" s="1469"/>
      <c r="I293" s="1470"/>
      <c r="J293" s="1470"/>
      <c r="K293" s="1470"/>
      <c r="L293" s="1470"/>
      <c r="M293" s="1470"/>
      <c r="N293" s="1470"/>
      <c r="O293" s="1470"/>
      <c r="P293" s="1470"/>
      <c r="Q293" s="1470"/>
      <c r="R293" s="1470"/>
      <c r="S293" s="1470"/>
      <c r="T293" s="1470"/>
      <c r="U293" s="1470"/>
      <c r="V293" s="1470"/>
      <c r="W293" s="1470"/>
      <c r="X293" s="103">
        <f t="shared" si="119"/>
        <v>0</v>
      </c>
      <c r="Y293" s="1470"/>
      <c r="Z293" s="1470"/>
      <c r="AA293" s="143"/>
      <c r="AB293" s="143"/>
      <c r="AC293" s="143"/>
      <c r="AD293" s="143"/>
      <c r="AE293" s="143"/>
      <c r="AF293" s="143"/>
      <c r="AG293" s="143"/>
      <c r="AH293" s="143"/>
      <c r="AI293" s="143"/>
      <c r="AJ293" s="143"/>
      <c r="AK293" s="143"/>
      <c r="AL293" s="103">
        <f t="shared" si="120"/>
        <v>0</v>
      </c>
      <c r="AM293" s="136"/>
      <c r="AN293" s="136"/>
      <c r="AO293" s="136"/>
      <c r="AP293" s="105">
        <f t="shared" si="121"/>
        <v>0</v>
      </c>
      <c r="AQ293" s="136"/>
      <c r="AR293" s="136"/>
      <c r="AS293" s="136"/>
      <c r="AT293" s="135"/>
      <c r="AU293" s="224">
        <f t="shared" si="122"/>
        <v>0</v>
      </c>
      <c r="AV293" s="126"/>
      <c r="AW293" s="274"/>
      <c r="AX293" s="126"/>
      <c r="AY293" s="126"/>
      <c r="AZ293" s="126"/>
      <c r="BA293" s="126"/>
      <c r="BB293" s="141"/>
      <c r="BC293" s="152"/>
      <c r="BD293" s="152"/>
      <c r="BE293" s="152"/>
      <c r="BF293" s="152"/>
      <c r="BG293" s="308">
        <f t="shared" si="123"/>
        <v>0</v>
      </c>
      <c r="BH293" s="1018">
        <f t="shared" si="124"/>
        <v>0</v>
      </c>
      <c r="BI293" s="132"/>
      <c r="BJ293" s="140">
        <f t="shared" si="125"/>
        <v>0</v>
      </c>
      <c r="BK293" s="141"/>
      <c r="BL293" s="141"/>
      <c r="BM293" s="141"/>
      <c r="BN293" s="141"/>
      <c r="BO293" s="141"/>
      <c r="BP293" s="141"/>
      <c r="BQ293" s="141"/>
      <c r="BR293" s="141"/>
      <c r="BS293" s="141"/>
      <c r="BT293" s="141"/>
      <c r="BU293" s="141"/>
      <c r="BV293" s="141"/>
      <c r="BW293" s="141"/>
      <c r="BX293" s="130">
        <f t="shared" si="126"/>
        <v>0</v>
      </c>
      <c r="BY293" s="132"/>
    </row>
    <row r="294" ht="15.75" customHeight="1">
      <c r="B294" s="1477">
        <v>46287</v>
      </c>
      <c r="C294" s="379"/>
      <c r="D294" s="136"/>
      <c r="E294" s="135"/>
      <c r="F294" s="135"/>
      <c r="G294" s="147">
        <f t="shared" si="118"/>
        <v>0</v>
      </c>
      <c r="H294" s="1469"/>
      <c r="I294" s="1470"/>
      <c r="J294" s="1470"/>
      <c r="K294" s="1470"/>
      <c r="L294" s="1470"/>
      <c r="M294" s="1470"/>
      <c r="N294" s="1470"/>
      <c r="O294" s="1470"/>
      <c r="P294" s="1470"/>
      <c r="Q294" s="1470"/>
      <c r="R294" s="1470"/>
      <c r="S294" s="1470"/>
      <c r="T294" s="1470"/>
      <c r="U294" s="1470"/>
      <c r="V294" s="136"/>
      <c r="W294" s="136"/>
      <c r="X294" s="103">
        <f t="shared" si="119"/>
        <v>0</v>
      </c>
      <c r="Y294" s="1470"/>
      <c r="Z294" s="1470"/>
      <c r="AA294" s="143"/>
      <c r="AB294" s="143"/>
      <c r="AC294" s="143"/>
      <c r="AD294" s="143"/>
      <c r="AE294" s="143"/>
      <c r="AF294" s="143"/>
      <c r="AG294" s="143"/>
      <c r="AH294" s="143"/>
      <c r="AI294" s="143"/>
      <c r="AJ294" s="143"/>
      <c r="AK294" s="143"/>
      <c r="AL294" s="103">
        <f t="shared" si="120"/>
        <v>0</v>
      </c>
      <c r="AM294" s="136"/>
      <c r="AN294" s="136"/>
      <c r="AO294" s="136"/>
      <c r="AP294" s="105">
        <f t="shared" si="121"/>
        <v>0</v>
      </c>
      <c r="AQ294" s="136"/>
      <c r="AR294" s="136"/>
      <c r="AS294" s="136"/>
      <c r="AT294" s="135"/>
      <c r="AU294" s="224">
        <f t="shared" si="122"/>
        <v>0</v>
      </c>
      <c r="AV294" s="126"/>
      <c r="AW294" s="274"/>
      <c r="AX294" s="126"/>
      <c r="AY294" s="126"/>
      <c r="AZ294" s="126"/>
      <c r="BA294" s="126"/>
      <c r="BB294" s="141"/>
      <c r="BC294" s="152"/>
      <c r="BD294" s="152"/>
      <c r="BE294" s="152"/>
      <c r="BF294" s="152"/>
      <c r="BG294" s="308">
        <f t="shared" si="123"/>
        <v>0</v>
      </c>
      <c r="BH294" s="1018">
        <f t="shared" si="124"/>
        <v>0</v>
      </c>
      <c r="BI294" s="132"/>
      <c r="BJ294" s="140">
        <f t="shared" si="125"/>
        <v>0</v>
      </c>
      <c r="BK294" s="141"/>
      <c r="BL294" s="141"/>
      <c r="BM294" s="141"/>
      <c r="BN294" s="141"/>
      <c r="BO294" s="141"/>
      <c r="BP294" s="141"/>
      <c r="BQ294" s="141"/>
      <c r="BR294" s="141"/>
      <c r="BS294" s="141"/>
      <c r="BT294" s="141"/>
      <c r="BU294" s="141"/>
      <c r="BV294" s="141"/>
      <c r="BW294" s="141"/>
      <c r="BX294" s="130">
        <f t="shared" si="126"/>
        <v>0</v>
      </c>
      <c r="BY294" s="132"/>
    </row>
    <row r="295" ht="15.75" customHeight="1">
      <c r="B295" s="1477">
        <v>46288</v>
      </c>
      <c r="C295" s="379"/>
      <c r="D295" s="136"/>
      <c r="E295" s="135"/>
      <c r="F295" s="135"/>
      <c r="G295" s="147">
        <f t="shared" si="118"/>
        <v>0</v>
      </c>
      <c r="H295" s="1475"/>
      <c r="I295" s="142"/>
      <c r="J295" s="1470"/>
      <c r="K295" s="1470"/>
      <c r="L295" s="1470"/>
      <c r="M295" s="1470"/>
      <c r="N295" s="1470"/>
      <c r="O295" s="1470"/>
      <c r="P295" s="1470"/>
      <c r="Q295" s="1470"/>
      <c r="R295" s="1470"/>
      <c r="S295" s="1470"/>
      <c r="T295" s="1470"/>
      <c r="U295" s="1470"/>
      <c r="V295" s="1470"/>
      <c r="W295" s="1470"/>
      <c r="X295" s="103">
        <f t="shared" si="119"/>
        <v>0</v>
      </c>
      <c r="Y295" s="1470"/>
      <c r="Z295" s="1470"/>
      <c r="AA295" s="143"/>
      <c r="AB295" s="143"/>
      <c r="AC295" s="143"/>
      <c r="AD295" s="143"/>
      <c r="AE295" s="143"/>
      <c r="AF295" s="143"/>
      <c r="AG295" s="143"/>
      <c r="AH295" s="143"/>
      <c r="AI295" s="143"/>
      <c r="AJ295" s="143"/>
      <c r="AK295" s="143"/>
      <c r="AL295" s="103">
        <f t="shared" si="120"/>
        <v>0</v>
      </c>
      <c r="AM295" s="136"/>
      <c r="AN295" s="136"/>
      <c r="AO295" s="136"/>
      <c r="AP295" s="105">
        <f t="shared" si="121"/>
        <v>0</v>
      </c>
      <c r="AQ295" s="136"/>
      <c r="AR295" s="136"/>
      <c r="AS295" s="136"/>
      <c r="AT295" s="135"/>
      <c r="AU295" s="224">
        <f t="shared" si="122"/>
        <v>0</v>
      </c>
      <c r="AV295" s="126"/>
      <c r="AW295" s="274"/>
      <c r="AX295" s="126"/>
      <c r="AY295" s="126"/>
      <c r="AZ295" s="126"/>
      <c r="BA295" s="126"/>
      <c r="BB295" s="141"/>
      <c r="BC295" s="152"/>
      <c r="BD295" s="152"/>
      <c r="BE295" s="152"/>
      <c r="BF295" s="152"/>
      <c r="BG295" s="308">
        <f t="shared" si="123"/>
        <v>0</v>
      </c>
      <c r="BH295" s="1018">
        <f t="shared" si="124"/>
        <v>0</v>
      </c>
      <c r="BI295" s="132"/>
      <c r="BJ295" s="140">
        <f t="shared" si="125"/>
        <v>0</v>
      </c>
      <c r="BK295" s="141"/>
      <c r="BL295" s="141"/>
      <c r="BM295" s="141"/>
      <c r="BN295" s="141"/>
      <c r="BO295" s="141"/>
      <c r="BP295" s="141"/>
      <c r="BQ295" s="141"/>
      <c r="BR295" s="141"/>
      <c r="BS295" s="141"/>
      <c r="BT295" s="141"/>
      <c r="BU295" s="141"/>
      <c r="BV295" s="141"/>
      <c r="BW295" s="141"/>
      <c r="BX295" s="130">
        <f t="shared" si="126"/>
        <v>0</v>
      </c>
      <c r="BY295" s="132"/>
    </row>
    <row r="296" ht="15.75" customHeight="1">
      <c r="B296" s="1477">
        <v>46289</v>
      </c>
      <c r="C296" s="379"/>
      <c r="D296" s="136"/>
      <c r="E296" s="135"/>
      <c r="F296" s="135"/>
      <c r="G296" s="147">
        <f t="shared" si="118"/>
        <v>0</v>
      </c>
      <c r="H296" s="1475"/>
      <c r="I296" s="1470"/>
      <c r="J296" s="1470"/>
      <c r="K296" s="1470"/>
      <c r="L296" s="1470"/>
      <c r="M296" s="1470"/>
      <c r="N296" s="1470"/>
      <c r="O296" s="1470"/>
      <c r="P296" s="1470"/>
      <c r="Q296" s="1470"/>
      <c r="R296" s="1470"/>
      <c r="S296" s="1470"/>
      <c r="T296" s="1470"/>
      <c r="U296" s="1470"/>
      <c r="V296" s="1486"/>
      <c r="W296" s="1486"/>
      <c r="X296" s="103">
        <f t="shared" si="119"/>
        <v>0</v>
      </c>
      <c r="Y296" s="1470"/>
      <c r="Z296" s="1470"/>
      <c r="AA296" s="143"/>
      <c r="AB296" s="143"/>
      <c r="AC296" s="143"/>
      <c r="AD296" s="143"/>
      <c r="AE296" s="143"/>
      <c r="AF296" s="143"/>
      <c r="AG296" s="143"/>
      <c r="AH296" s="143"/>
      <c r="AI296" s="143"/>
      <c r="AJ296" s="143"/>
      <c r="AK296" s="143"/>
      <c r="AL296" s="103">
        <f t="shared" si="120"/>
        <v>0</v>
      </c>
      <c r="AM296" s="136"/>
      <c r="AN296" s="136"/>
      <c r="AO296" s="136"/>
      <c r="AP296" s="105">
        <f t="shared" si="121"/>
        <v>0</v>
      </c>
      <c r="AQ296" s="136"/>
      <c r="AR296" s="136"/>
      <c r="AS296" s="136"/>
      <c r="AT296" s="135"/>
      <c r="AU296" s="224">
        <f t="shared" si="122"/>
        <v>0</v>
      </c>
      <c r="AV296" s="126"/>
      <c r="AW296" s="274"/>
      <c r="AX296" s="126"/>
      <c r="AY296" s="126"/>
      <c r="AZ296" s="126"/>
      <c r="BA296" s="126"/>
      <c r="BB296" s="141"/>
      <c r="BC296" s="152"/>
      <c r="BD296" s="152"/>
      <c r="BE296" s="152"/>
      <c r="BF296" s="152"/>
      <c r="BG296" s="308">
        <f t="shared" si="123"/>
        <v>0</v>
      </c>
      <c r="BH296" s="1018">
        <f t="shared" si="124"/>
        <v>0</v>
      </c>
      <c r="BI296" s="132"/>
      <c r="BJ296" s="140">
        <f t="shared" si="125"/>
        <v>0</v>
      </c>
      <c r="BK296" s="141"/>
      <c r="BL296" s="141"/>
      <c r="BM296" s="141"/>
      <c r="BN296" s="141"/>
      <c r="BO296" s="141"/>
      <c r="BP296" s="141"/>
      <c r="BQ296" s="141"/>
      <c r="BR296" s="141"/>
      <c r="BS296" s="141"/>
      <c r="BT296" s="141"/>
      <c r="BU296" s="141"/>
      <c r="BV296" s="141"/>
      <c r="BW296" s="141"/>
      <c r="BX296" s="130">
        <f t="shared" si="126"/>
        <v>0</v>
      </c>
      <c r="BY296" s="132"/>
    </row>
    <row r="297" ht="15.75" customHeight="1">
      <c r="B297" s="1477">
        <v>46290</v>
      </c>
      <c r="C297" s="379"/>
      <c r="D297" s="136"/>
      <c r="E297" s="135"/>
      <c r="F297" s="135"/>
      <c r="G297" s="147">
        <f t="shared" si="118"/>
        <v>0</v>
      </c>
      <c r="H297" s="1475"/>
      <c r="I297" s="1470"/>
      <c r="J297" s="1470"/>
      <c r="K297" s="1470"/>
      <c r="L297" s="1470"/>
      <c r="M297" s="1470"/>
      <c r="N297" s="1470"/>
      <c r="O297" s="1470"/>
      <c r="P297" s="1470"/>
      <c r="Q297" s="1470"/>
      <c r="R297" s="1470"/>
      <c r="S297" s="1470"/>
      <c r="T297" s="1470"/>
      <c r="U297" s="1470"/>
      <c r="V297" s="1486"/>
      <c r="W297" s="1486"/>
      <c r="X297" s="103">
        <f t="shared" si="119"/>
        <v>0</v>
      </c>
      <c r="Y297" s="1470"/>
      <c r="Z297" s="1470"/>
      <c r="AA297" s="143"/>
      <c r="AB297" s="143"/>
      <c r="AC297" s="143"/>
      <c r="AD297" s="143"/>
      <c r="AE297" s="143"/>
      <c r="AF297" s="143"/>
      <c r="AG297" s="143"/>
      <c r="AH297" s="143"/>
      <c r="AI297" s="143"/>
      <c r="AJ297" s="143"/>
      <c r="AK297" s="143"/>
      <c r="AL297" s="103">
        <f t="shared" si="120"/>
        <v>0</v>
      </c>
      <c r="AM297" s="136"/>
      <c r="AN297" s="136"/>
      <c r="AO297" s="136"/>
      <c r="AP297" s="105">
        <f t="shared" si="121"/>
        <v>0</v>
      </c>
      <c r="AQ297" s="136"/>
      <c r="AR297" s="136"/>
      <c r="AS297" s="136"/>
      <c r="AT297" s="135"/>
      <c r="AU297" s="224">
        <f t="shared" si="122"/>
        <v>0</v>
      </c>
      <c r="AV297" s="126"/>
      <c r="AW297" s="274"/>
      <c r="AX297" s="126"/>
      <c r="AY297" s="126"/>
      <c r="AZ297" s="126"/>
      <c r="BA297" s="126"/>
      <c r="BB297" s="141"/>
      <c r="BC297" s="152"/>
      <c r="BD297" s="152"/>
      <c r="BE297" s="152"/>
      <c r="BF297" s="152"/>
      <c r="BG297" s="308">
        <f t="shared" si="123"/>
        <v>0</v>
      </c>
      <c r="BH297" s="1018">
        <f t="shared" si="124"/>
        <v>0</v>
      </c>
      <c r="BI297" s="132"/>
      <c r="BJ297" s="140">
        <f t="shared" si="125"/>
        <v>0</v>
      </c>
      <c r="BK297" s="141"/>
      <c r="BL297" s="141"/>
      <c r="BM297" s="141"/>
      <c r="BN297" s="141"/>
      <c r="BO297" s="141"/>
      <c r="BP297" s="141"/>
      <c r="BQ297" s="141"/>
      <c r="BR297" s="141"/>
      <c r="BS297" s="141"/>
      <c r="BT297" s="141"/>
      <c r="BU297" s="141"/>
      <c r="BV297" s="141"/>
      <c r="BW297" s="141"/>
      <c r="BX297" s="130">
        <f t="shared" si="126"/>
        <v>0</v>
      </c>
      <c r="BY297" s="132"/>
    </row>
    <row r="298" ht="15.75" customHeight="1">
      <c r="B298" s="1477">
        <v>46291</v>
      </c>
      <c r="C298" s="379"/>
      <c r="D298" s="136"/>
      <c r="E298" s="135"/>
      <c r="F298" s="135"/>
      <c r="G298" s="147">
        <f t="shared" si="118"/>
        <v>0</v>
      </c>
      <c r="H298" s="1475"/>
      <c r="I298" s="142"/>
      <c r="J298" s="1470"/>
      <c r="K298" s="1470"/>
      <c r="L298" s="1470"/>
      <c r="M298" s="1470"/>
      <c r="N298" s="1470"/>
      <c r="O298" s="1470"/>
      <c r="P298" s="1470"/>
      <c r="Q298" s="1470"/>
      <c r="R298" s="1470"/>
      <c r="S298" s="1470"/>
      <c r="T298" s="1470"/>
      <c r="U298" s="1470"/>
      <c r="V298" s="1486"/>
      <c r="W298" s="1486"/>
      <c r="X298" s="103">
        <f t="shared" si="119"/>
        <v>0</v>
      </c>
      <c r="Y298" s="1470"/>
      <c r="Z298" s="1470"/>
      <c r="AA298" s="143"/>
      <c r="AB298" s="143"/>
      <c r="AC298" s="143"/>
      <c r="AD298" s="143"/>
      <c r="AE298" s="143"/>
      <c r="AF298" s="143"/>
      <c r="AG298" s="143"/>
      <c r="AH298" s="143"/>
      <c r="AI298" s="143"/>
      <c r="AJ298" s="143"/>
      <c r="AK298" s="143"/>
      <c r="AL298" s="103">
        <f t="shared" si="120"/>
        <v>0</v>
      </c>
      <c r="AM298" s="136"/>
      <c r="AN298" s="136"/>
      <c r="AO298" s="136"/>
      <c r="AP298" s="105">
        <f t="shared" si="121"/>
        <v>0</v>
      </c>
      <c r="AQ298" s="136"/>
      <c r="AR298" s="136"/>
      <c r="AS298" s="136"/>
      <c r="AT298" s="135"/>
      <c r="AU298" s="224">
        <f t="shared" si="122"/>
        <v>0</v>
      </c>
      <c r="AV298" s="126"/>
      <c r="AW298" s="274"/>
      <c r="AX298" s="126"/>
      <c r="AY298" s="126"/>
      <c r="AZ298" s="126"/>
      <c r="BA298" s="126"/>
      <c r="BB298" s="141"/>
      <c r="BC298" s="152"/>
      <c r="BD298" s="152"/>
      <c r="BE298" s="152"/>
      <c r="BF298" s="152"/>
      <c r="BG298" s="308">
        <f t="shared" si="123"/>
        <v>0</v>
      </c>
      <c r="BH298" s="1018">
        <f t="shared" si="124"/>
        <v>0</v>
      </c>
      <c r="BI298" s="132"/>
      <c r="BJ298" s="140">
        <f t="shared" si="125"/>
        <v>0</v>
      </c>
      <c r="BK298" s="141"/>
      <c r="BL298" s="141"/>
      <c r="BM298" s="141"/>
      <c r="BN298" s="141"/>
      <c r="BO298" s="141"/>
      <c r="BP298" s="141"/>
      <c r="BQ298" s="141"/>
      <c r="BR298" s="141"/>
      <c r="BS298" s="141"/>
      <c r="BT298" s="141"/>
      <c r="BU298" s="141"/>
      <c r="BV298" s="141"/>
      <c r="BW298" s="141"/>
      <c r="BX298" s="130">
        <f t="shared" si="126"/>
        <v>0</v>
      </c>
      <c r="BY298" s="132"/>
    </row>
    <row r="299" ht="15.75" customHeight="1">
      <c r="B299" s="1477">
        <v>46292</v>
      </c>
      <c r="C299" s="379"/>
      <c r="D299" s="136"/>
      <c r="E299" s="135"/>
      <c r="F299" s="135"/>
      <c r="G299" s="147">
        <f t="shared" si="118"/>
        <v>0</v>
      </c>
      <c r="H299" s="1475"/>
      <c r="I299" s="1470"/>
      <c r="J299" s="1470"/>
      <c r="K299" s="1470"/>
      <c r="L299" s="1470"/>
      <c r="M299" s="1470"/>
      <c r="N299" s="1470"/>
      <c r="O299" s="1470"/>
      <c r="P299" s="1470"/>
      <c r="Q299" s="1470"/>
      <c r="R299" s="1470"/>
      <c r="S299" s="1470"/>
      <c r="T299" s="1470"/>
      <c r="U299" s="1470"/>
      <c r="V299" s="463"/>
      <c r="W299" s="463"/>
      <c r="X299" s="103">
        <f t="shared" si="119"/>
        <v>0</v>
      </c>
      <c r="Y299" s="1470"/>
      <c r="Z299" s="1470"/>
      <c r="AA299" s="143"/>
      <c r="AB299" s="143"/>
      <c r="AC299" s="143"/>
      <c r="AD299" s="143"/>
      <c r="AE299" s="143"/>
      <c r="AF299" s="143"/>
      <c r="AG299" s="143"/>
      <c r="AH299" s="143"/>
      <c r="AI299" s="143"/>
      <c r="AJ299" s="143"/>
      <c r="AK299" s="143"/>
      <c r="AL299" s="103">
        <f t="shared" si="120"/>
        <v>0</v>
      </c>
      <c r="AM299" s="136"/>
      <c r="AN299" s="136"/>
      <c r="AO299" s="136"/>
      <c r="AP299" s="105">
        <f t="shared" si="121"/>
        <v>0</v>
      </c>
      <c r="AQ299" s="136"/>
      <c r="AR299" s="136"/>
      <c r="AS299" s="136"/>
      <c r="AT299" s="135"/>
      <c r="AU299" s="224">
        <f t="shared" si="122"/>
        <v>0</v>
      </c>
      <c r="AV299" s="126"/>
      <c r="AW299" s="274"/>
      <c r="AX299" s="126"/>
      <c r="AY299" s="126"/>
      <c r="AZ299" s="126"/>
      <c r="BA299" s="126"/>
      <c r="BB299" s="141"/>
      <c r="BC299" s="152"/>
      <c r="BD299" s="152"/>
      <c r="BE299" s="152"/>
      <c r="BF299" s="152"/>
      <c r="BG299" s="308">
        <f t="shared" si="123"/>
        <v>0</v>
      </c>
      <c r="BH299" s="1018">
        <f t="shared" si="124"/>
        <v>0</v>
      </c>
      <c r="BI299" s="132"/>
      <c r="BJ299" s="140">
        <f t="shared" si="125"/>
        <v>0</v>
      </c>
      <c r="BK299" s="141"/>
      <c r="BL299" s="141"/>
      <c r="BM299" s="141"/>
      <c r="BN299" s="141"/>
      <c r="BO299" s="141"/>
      <c r="BP299" s="141"/>
      <c r="BQ299" s="141"/>
      <c r="BR299" s="141"/>
      <c r="BS299" s="141"/>
      <c r="BT299" s="141"/>
      <c r="BU299" s="141"/>
      <c r="BV299" s="141"/>
      <c r="BW299" s="141"/>
      <c r="BX299" s="130">
        <f t="shared" si="126"/>
        <v>0</v>
      </c>
      <c r="BY299" s="132"/>
    </row>
    <row r="300" ht="15.75" customHeight="1">
      <c r="B300" s="1477">
        <v>46293</v>
      </c>
      <c r="C300" s="379"/>
      <c r="D300" s="136"/>
      <c r="E300" s="135"/>
      <c r="F300" s="135"/>
      <c r="G300" s="147">
        <f t="shared" si="118"/>
        <v>0</v>
      </c>
      <c r="H300" s="1475"/>
      <c r="I300" s="1470"/>
      <c r="J300" s="1470"/>
      <c r="K300" s="1470"/>
      <c r="L300" s="1470"/>
      <c r="M300" s="1470"/>
      <c r="N300" s="1470"/>
      <c r="O300" s="1470"/>
      <c r="P300" s="1470"/>
      <c r="Q300" s="1470"/>
      <c r="R300" s="1470"/>
      <c r="S300" s="1470"/>
      <c r="T300" s="1470"/>
      <c r="U300" s="1484"/>
      <c r="V300" s="1487"/>
      <c r="W300" s="1487"/>
      <c r="X300" s="103">
        <f t="shared" si="119"/>
        <v>0</v>
      </c>
      <c r="Y300" s="1470"/>
      <c r="Z300" s="1470"/>
      <c r="AA300" s="143"/>
      <c r="AB300" s="143"/>
      <c r="AC300" s="143"/>
      <c r="AD300" s="143"/>
      <c r="AE300" s="143"/>
      <c r="AF300" s="143"/>
      <c r="AG300" s="143"/>
      <c r="AH300" s="143"/>
      <c r="AI300" s="143"/>
      <c r="AJ300" s="143"/>
      <c r="AK300" s="143"/>
      <c r="AL300" s="103">
        <f t="shared" si="120"/>
        <v>0</v>
      </c>
      <c r="AM300" s="136"/>
      <c r="AN300" s="136"/>
      <c r="AO300" s="136"/>
      <c r="AP300" s="105">
        <f t="shared" si="121"/>
        <v>0</v>
      </c>
      <c r="AQ300" s="136"/>
      <c r="AR300" s="136"/>
      <c r="AS300" s="136"/>
      <c r="AT300" s="135"/>
      <c r="AU300" s="224">
        <f t="shared" si="122"/>
        <v>0</v>
      </c>
      <c r="AV300" s="126"/>
      <c r="AW300" s="274"/>
      <c r="AX300" s="126"/>
      <c r="AY300" s="126"/>
      <c r="AZ300" s="126"/>
      <c r="BA300" s="126"/>
      <c r="BB300" s="141"/>
      <c r="BC300" s="152"/>
      <c r="BD300" s="152"/>
      <c r="BE300" s="152"/>
      <c r="BF300" s="152"/>
      <c r="BG300" s="308">
        <f t="shared" si="123"/>
        <v>0</v>
      </c>
      <c r="BH300" s="1018">
        <f t="shared" si="124"/>
        <v>0</v>
      </c>
      <c r="BI300" s="132"/>
      <c r="BJ300" s="140">
        <f t="shared" si="125"/>
        <v>0</v>
      </c>
      <c r="BK300" s="141"/>
      <c r="BL300" s="141"/>
      <c r="BM300" s="141"/>
      <c r="BN300" s="141"/>
      <c r="BO300" s="141"/>
      <c r="BP300" s="141"/>
      <c r="BQ300" s="141"/>
      <c r="BR300" s="141"/>
      <c r="BS300" s="141"/>
      <c r="BT300" s="141"/>
      <c r="BU300" s="141"/>
      <c r="BV300" s="141"/>
      <c r="BW300" s="141"/>
      <c r="BX300" s="130">
        <f t="shared" si="126"/>
        <v>0</v>
      </c>
      <c r="BY300" s="132"/>
    </row>
    <row r="301" ht="15.75" customHeight="1">
      <c r="B301" s="1477">
        <v>46294</v>
      </c>
      <c r="C301" s="379"/>
      <c r="D301" s="136"/>
      <c r="E301" s="135"/>
      <c r="F301" s="135"/>
      <c r="G301" s="147">
        <f t="shared" si="118"/>
        <v>0</v>
      </c>
      <c r="H301" s="1475"/>
      <c r="I301" s="1470"/>
      <c r="J301" s="1470"/>
      <c r="K301" s="1470"/>
      <c r="L301" s="1470"/>
      <c r="M301" s="1470"/>
      <c r="N301" s="1470"/>
      <c r="O301" s="1470"/>
      <c r="P301" s="1470"/>
      <c r="Q301" s="1470"/>
      <c r="R301" s="1470"/>
      <c r="S301" s="1470"/>
      <c r="T301" s="1470"/>
      <c r="U301" s="1470"/>
      <c r="V301" s="463"/>
      <c r="W301" s="463"/>
      <c r="X301" s="103">
        <f t="shared" si="119"/>
        <v>0</v>
      </c>
      <c r="Y301" s="1470"/>
      <c r="Z301" s="1470"/>
      <c r="AA301" s="143"/>
      <c r="AB301" s="143"/>
      <c r="AC301" s="143"/>
      <c r="AD301" s="143"/>
      <c r="AE301" s="143"/>
      <c r="AF301" s="143"/>
      <c r="AG301" s="143"/>
      <c r="AH301" s="143"/>
      <c r="AI301" s="143"/>
      <c r="AJ301" s="143"/>
      <c r="AK301" s="143"/>
      <c r="AL301" s="103">
        <f t="shared" si="120"/>
        <v>0</v>
      </c>
      <c r="AM301" s="136"/>
      <c r="AN301" s="136"/>
      <c r="AO301" s="136"/>
      <c r="AP301" s="105">
        <f t="shared" si="121"/>
        <v>0</v>
      </c>
      <c r="AQ301" s="136"/>
      <c r="AR301" s="136"/>
      <c r="AS301" s="136"/>
      <c r="AT301" s="135"/>
      <c r="AU301" s="224">
        <f t="shared" si="122"/>
        <v>0</v>
      </c>
      <c r="AV301" s="126"/>
      <c r="AW301" s="274"/>
      <c r="AX301" s="126"/>
      <c r="AY301" s="126"/>
      <c r="AZ301" s="126"/>
      <c r="BA301" s="126"/>
      <c r="BB301" s="141"/>
      <c r="BC301" s="152"/>
      <c r="BD301" s="152"/>
      <c r="BE301" s="152"/>
      <c r="BF301" s="152"/>
      <c r="BG301" s="308">
        <f t="shared" si="123"/>
        <v>0</v>
      </c>
      <c r="BH301" s="1018">
        <f t="shared" si="124"/>
        <v>0</v>
      </c>
      <c r="BI301" s="132"/>
      <c r="BJ301" s="140">
        <f t="shared" si="125"/>
        <v>0</v>
      </c>
      <c r="BK301" s="141"/>
      <c r="BL301" s="141"/>
      <c r="BM301" s="141"/>
      <c r="BN301" s="141"/>
      <c r="BO301" s="141"/>
      <c r="BP301" s="141"/>
      <c r="BQ301" s="141"/>
      <c r="BR301" s="141"/>
      <c r="BS301" s="141"/>
      <c r="BT301" s="141"/>
      <c r="BU301" s="141"/>
      <c r="BV301" s="141"/>
      <c r="BW301" s="141"/>
      <c r="BX301" s="130">
        <f t="shared" si="126"/>
        <v>0</v>
      </c>
      <c r="BY301" s="132"/>
    </row>
    <row r="302" ht="15.75" customHeight="1">
      <c r="B302" s="1477">
        <v>46295</v>
      </c>
      <c r="C302" s="379"/>
      <c r="D302" s="136"/>
      <c r="E302" s="135"/>
      <c r="F302" s="135"/>
      <c r="G302" s="147">
        <f t="shared" si="118"/>
        <v>0</v>
      </c>
      <c r="H302" s="1475"/>
      <c r="I302" s="1470"/>
      <c r="J302" s="1470"/>
      <c r="K302" s="1470"/>
      <c r="L302" s="1470"/>
      <c r="M302" s="1470"/>
      <c r="N302" s="1470"/>
      <c r="O302" s="1470"/>
      <c r="P302" s="1470"/>
      <c r="Q302" s="1470"/>
      <c r="R302" s="1470"/>
      <c r="S302" s="1470"/>
      <c r="T302" s="1470"/>
      <c r="U302" s="1470"/>
      <c r="V302" s="463"/>
      <c r="W302" s="463"/>
      <c r="X302" s="103">
        <f t="shared" si="119"/>
        <v>0</v>
      </c>
      <c r="Y302" s="1470"/>
      <c r="Z302" s="1470"/>
      <c r="AA302" s="143"/>
      <c r="AB302" s="143"/>
      <c r="AC302" s="143"/>
      <c r="AD302" s="143"/>
      <c r="AE302" s="143"/>
      <c r="AF302" s="143"/>
      <c r="AG302" s="143"/>
      <c r="AH302" s="143"/>
      <c r="AI302" s="143"/>
      <c r="AJ302" s="143"/>
      <c r="AK302" s="143"/>
      <c r="AL302" s="103">
        <f t="shared" si="120"/>
        <v>0</v>
      </c>
      <c r="AM302" s="136"/>
      <c r="AN302" s="136"/>
      <c r="AO302" s="136"/>
      <c r="AP302" s="105">
        <f t="shared" si="121"/>
        <v>0</v>
      </c>
      <c r="AQ302" s="136"/>
      <c r="AR302" s="136"/>
      <c r="AS302" s="136"/>
      <c r="AT302" s="135"/>
      <c r="AU302" s="232">
        <f t="shared" si="122"/>
        <v>0</v>
      </c>
      <c r="AV302" s="138"/>
      <c r="AW302" s="274"/>
      <c r="AX302" s="126"/>
      <c r="AY302" s="126"/>
      <c r="AZ302" s="126"/>
      <c r="BA302" s="126"/>
      <c r="BB302" s="141"/>
      <c r="BC302" s="152"/>
      <c r="BD302" s="152"/>
      <c r="BE302" s="152"/>
      <c r="BF302" s="152"/>
      <c r="BG302" s="308">
        <f t="shared" si="123"/>
        <v>0</v>
      </c>
      <c r="BH302" s="1018">
        <f t="shared" si="124"/>
        <v>0</v>
      </c>
      <c r="BI302" s="132"/>
      <c r="BJ302" s="140">
        <f t="shared" si="125"/>
        <v>0</v>
      </c>
      <c r="BK302" s="141"/>
      <c r="BL302" s="141"/>
      <c r="BM302" s="141"/>
      <c r="BN302" s="141"/>
      <c r="BO302" s="141"/>
      <c r="BP302" s="141"/>
      <c r="BQ302" s="141"/>
      <c r="BR302" s="141"/>
      <c r="BS302" s="141"/>
      <c r="BT302" s="141"/>
      <c r="BU302" s="141"/>
      <c r="BV302" s="141"/>
      <c r="BW302" s="141"/>
      <c r="BX302" s="130">
        <f t="shared" si="126"/>
        <v>0</v>
      </c>
      <c r="BY302" s="132"/>
    </row>
    <row r="303" ht="15.75" customHeight="1">
      <c r="B303" s="2" t="s">
        <v>265</v>
      </c>
      <c r="C303" s="166">
        <f ref="C303:G303" t="shared" si="127">SUM(C272:C302)</f>
        <v>0</v>
      </c>
      <c r="D303" s="166">
        <f t="shared" si="127"/>
        <v>0</v>
      </c>
      <c r="E303" s="166">
        <f t="shared" si="127"/>
        <v>0</v>
      </c>
      <c r="F303" s="166">
        <f t="shared" si="127"/>
        <v>0</v>
      </c>
      <c r="G303" s="166">
        <f t="shared" si="127"/>
        <v>0</v>
      </c>
      <c r="H303" s="166"/>
      <c r="I303" s="166"/>
      <c r="J303" s="166">
        <f ref="J303:K303" t="shared" si="128">SUM(J273:J302)</f>
        <v>0</v>
      </c>
      <c r="K303" s="166">
        <f t="shared" si="128"/>
        <v>0</v>
      </c>
      <c r="L303" s="166"/>
      <c r="M303" s="166">
        <f ref="M303:O303" t="shared" si="129">SUM(M273:M302)</f>
        <v>0</v>
      </c>
      <c r="N303" s="166">
        <f t="shared" si="129"/>
        <v>0</v>
      </c>
      <c r="O303" s="166">
        <f t="shared" si="129"/>
        <v>0</v>
      </c>
      <c r="P303" s="166"/>
      <c r="Q303" s="166">
        <f>SUM(Q273:Q302)</f>
        <v>0</v>
      </c>
      <c r="R303" s="166"/>
      <c r="S303" s="166">
        <f ref="S303:T303" t="shared" si="130">SUM(S273:S302)</f>
        <v>0</v>
      </c>
      <c r="T303" s="166">
        <f t="shared" si="130"/>
        <v>0</v>
      </c>
      <c r="U303" s="166"/>
      <c r="V303" s="166">
        <f>SUM(V273:V302)</f>
        <v>0</v>
      </c>
      <c r="W303" s="166"/>
      <c r="X303" s="166">
        <f ref="X303:Y303" t="shared" si="131">SUM(X273:X302)</f>
        <v>0</v>
      </c>
      <c r="Y303" s="166">
        <f t="shared" si="131"/>
        <v>0</v>
      </c>
      <c r="Z303" s="166"/>
      <c r="AA303" s="166">
        <f>SUM(AA273:AA302)</f>
        <v>0</v>
      </c>
      <c r="AB303" s="166">
        <f ref="AB303:AP303" t="shared" si="132">SUM(AB272:AB302)</f>
        <v>0</v>
      </c>
      <c r="AC303" s="166">
        <f t="shared" si="132"/>
        <v>0</v>
      </c>
      <c r="AD303" s="166">
        <f t="shared" si="132"/>
        <v>0</v>
      </c>
      <c r="AE303" s="166">
        <f t="shared" si="132"/>
        <v>0</v>
      </c>
      <c r="AF303" s="166">
        <f t="shared" si="132"/>
        <v>0</v>
      </c>
      <c r="AG303" s="166">
        <f t="shared" si="132"/>
        <v>0</v>
      </c>
      <c r="AH303" s="166">
        <f t="shared" si="132"/>
        <v>0</v>
      </c>
      <c r="AI303" s="166">
        <f t="shared" si="132"/>
        <v>0</v>
      </c>
      <c r="AJ303" s="166">
        <f t="shared" si="132"/>
        <v>0</v>
      </c>
      <c r="AK303" s="166">
        <f t="shared" si="132"/>
        <v>0</v>
      </c>
      <c r="AL303" s="166">
        <f t="shared" si="132"/>
        <v>0</v>
      </c>
      <c r="AM303" s="166">
        <f t="shared" si="132"/>
        <v>0</v>
      </c>
      <c r="AN303" s="166">
        <f t="shared" si="132"/>
        <v>0</v>
      </c>
      <c r="AO303" s="166">
        <f t="shared" si="132"/>
        <v>0</v>
      </c>
      <c r="AP303" s="166">
        <f t="shared" si="132"/>
        <v>0</v>
      </c>
      <c r="AQ303" s="166"/>
      <c r="AR303" s="166"/>
      <c r="AS303" s="166"/>
      <c r="AT303" s="166"/>
      <c r="AU303" s="165">
        <f ref="AU303:AV303" t="shared" si="133">SUM(AU272:AU302)</f>
        <v>0</v>
      </c>
      <c r="AV303" s="165">
        <f t="shared" si="133"/>
        <v>0</v>
      </c>
      <c r="AW303" s="166"/>
      <c r="AX303" s="166"/>
      <c r="AY303" s="166"/>
      <c r="AZ303" s="166"/>
      <c r="BA303" s="166"/>
      <c r="BB303" s="166"/>
      <c r="BC303" s="166"/>
      <c r="BD303" s="166"/>
      <c r="BE303" s="166"/>
      <c r="BF303" s="166"/>
      <c r="BG303" s="166">
        <f ref="BG303:BH303" t="shared" si="134">SUM(BG272:BG302)</f>
        <v>0</v>
      </c>
      <c r="BH303" s="166">
        <f t="shared" si="134"/>
        <v>0</v>
      </c>
      <c r="BI303" s="3"/>
      <c r="BJ303" s="172">
        <f>SUM(BJ272:BJ302)</f>
        <v>0</v>
      </c>
      <c r="BK303" s="165"/>
      <c r="BL303" s="165"/>
      <c r="BM303" s="165"/>
      <c r="BN303" s="165"/>
      <c r="BO303" s="165"/>
      <c r="BP303" s="165"/>
      <c r="BQ303" s="165"/>
      <c r="BR303" s="165"/>
      <c r="BS303" s="165"/>
      <c r="BT303" s="165"/>
      <c r="BU303" s="165"/>
      <c r="BV303" s="165"/>
      <c r="BW303" s="165"/>
      <c r="BX303" s="165">
        <f>SUM(BX272:BX302)</f>
        <v>0</v>
      </c>
      <c r="BY303" s="3"/>
    </row>
    <row r="304" ht="15.75" customHeight="1">
      <c r="B304" s="2"/>
      <c r="C304" s="1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1"/>
      <c r="Z304" s="1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96"/>
      <c r="AM304" s="96"/>
      <c r="AN304" s="3"/>
      <c r="AO304" s="3"/>
      <c r="AP304" s="4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132"/>
      <c r="BG304" s="4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</row>
    <row r="305" ht="15.75" customHeight="1">
      <c r="B305" s="2"/>
      <c r="C305" s="1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1"/>
      <c r="Z305" s="1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176"/>
      <c r="AM305" s="176"/>
      <c r="AN305" s="3"/>
      <c r="AO305" s="3"/>
      <c r="AP305" s="4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132"/>
      <c r="BG305" s="4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</row>
    <row r="306" ht="15.75" customHeight="1">
      <c r="B306" s="1477">
        <v>46296</v>
      </c>
      <c r="C306" s="1079"/>
      <c r="D306" s="104"/>
      <c r="E306" s="104"/>
      <c r="F306" s="104"/>
      <c r="G306" s="191">
        <f ref="G306:G336" t="shared" si="135">+C306+D306+E306+F306</f>
        <v>0</v>
      </c>
      <c r="H306" s="1464"/>
      <c r="I306" s="1465"/>
      <c r="J306" s="1465"/>
      <c r="K306" s="1465"/>
      <c r="L306" s="1465"/>
      <c r="M306" s="1465"/>
      <c r="N306" s="1465"/>
      <c r="O306" s="1465"/>
      <c r="P306" s="1465"/>
      <c r="Q306" s="1465"/>
      <c r="R306" s="1465"/>
      <c r="S306" s="1465"/>
      <c r="T306" s="1465"/>
      <c r="U306" s="1465"/>
      <c r="V306" s="1465"/>
      <c r="W306" s="1468"/>
      <c r="X306" s="1012">
        <f ref="X306:X336" t="shared" si="136">SUM(H306:V306)</f>
        <v>0</v>
      </c>
      <c r="Y306" s="1480"/>
      <c r="Z306" s="641"/>
      <c r="AA306" s="101"/>
      <c r="AB306" s="186"/>
      <c r="AC306" s="186"/>
      <c r="AD306" s="186"/>
      <c r="AE306" s="186"/>
      <c r="AF306" s="186"/>
      <c r="AG306" s="186"/>
      <c r="AH306" s="186"/>
      <c r="AI306" s="186"/>
      <c r="AJ306" s="186"/>
      <c r="AK306" s="186"/>
      <c r="AL306" s="189">
        <f ref="AL306:AL336" t="shared" si="137">SUM(Y306:AK306)</f>
        <v>0</v>
      </c>
      <c r="AM306" s="104"/>
      <c r="AN306" s="104"/>
      <c r="AO306" s="104"/>
      <c r="AP306" s="191">
        <f ref="AP306:AP336" t="shared" si="138">SUM(AM306:AO306)</f>
        <v>0</v>
      </c>
      <c r="AQ306" s="101"/>
      <c r="AR306" s="101"/>
      <c r="AS306" s="101"/>
      <c r="AT306" s="106"/>
      <c r="AU306" s="219">
        <f ref="AU306:AU336" t="shared" si="139">+G306-X306-AL306-AP306-AQ306-AR306-AS306-AT306</f>
        <v>0</v>
      </c>
      <c r="AV306" s="109"/>
      <c r="AW306" s="269"/>
      <c r="AX306" s="109"/>
      <c r="AY306" s="109"/>
      <c r="AZ306" s="109"/>
      <c r="BA306" s="109"/>
      <c r="BB306" s="196"/>
      <c r="BC306" s="490"/>
      <c r="BD306" s="490"/>
      <c r="BE306" s="490"/>
      <c r="BF306" s="490"/>
      <c r="BG306" s="1331">
        <f ref="BG306:BG336" t="shared" si="140">SUM(AV306:BF306)-BE306</f>
        <v>0</v>
      </c>
      <c r="BH306" s="114">
        <f ref="BH306:BH336" t="shared" si="141">+AU306-BG306</f>
        <v>0</v>
      </c>
      <c r="BI306" s="3"/>
      <c r="BJ306" s="114">
        <f ref="BJ306:BJ336" t="shared" si="142">SUM(BK306:BW306)</f>
        <v>0</v>
      </c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115"/>
      <c r="BW306" s="115"/>
      <c r="BX306" s="116">
        <f ref="BX306:BX336" t="shared" si="143">+BH306-BJ306</f>
        <v>0</v>
      </c>
      <c r="BY306" s="3"/>
    </row>
    <row r="307" ht="15.75" customHeight="1">
      <c r="B307" s="1477">
        <v>46297</v>
      </c>
      <c r="C307" s="1310"/>
      <c r="D307" s="123"/>
      <c r="E307" s="123"/>
      <c r="F307" s="123"/>
      <c r="G307" s="105">
        <f t="shared" si="135"/>
        <v>0</v>
      </c>
      <c r="H307" s="1467"/>
      <c r="I307" s="1468"/>
      <c r="J307" s="1468"/>
      <c r="K307" s="1468"/>
      <c r="L307" s="1468"/>
      <c r="M307" s="1468"/>
      <c r="N307" s="1468"/>
      <c r="O307" s="1468"/>
      <c r="P307" s="1468"/>
      <c r="Q307" s="1468"/>
      <c r="R307" s="1468"/>
      <c r="S307" s="1468"/>
      <c r="T307" s="1468"/>
      <c r="U307" s="1468"/>
      <c r="V307" s="1468"/>
      <c r="W307" s="1468"/>
      <c r="X307" s="103">
        <f t="shared" si="136"/>
        <v>0</v>
      </c>
      <c r="Y307" s="641"/>
      <c r="Z307" s="641"/>
      <c r="AA307" s="99"/>
      <c r="AB307" s="143"/>
      <c r="AC307" s="143"/>
      <c r="AD307" s="143"/>
      <c r="AE307" s="143"/>
      <c r="AF307" s="143"/>
      <c r="AG307" s="143"/>
      <c r="AH307" s="143"/>
      <c r="AI307" s="143"/>
      <c r="AJ307" s="143"/>
      <c r="AK307" s="143"/>
      <c r="AL307" s="103">
        <f t="shared" si="137"/>
        <v>0</v>
      </c>
      <c r="AM307" s="123"/>
      <c r="AN307" s="123"/>
      <c r="AO307" s="123"/>
      <c r="AP307" s="105">
        <f t="shared" si="138"/>
        <v>0</v>
      </c>
      <c r="AQ307" s="99"/>
      <c r="AR307" s="99"/>
      <c r="AS307" s="99"/>
      <c r="AT307" s="124"/>
      <c r="AU307" s="224">
        <f t="shared" si="139"/>
        <v>0</v>
      </c>
      <c r="AV307" s="126"/>
      <c r="AW307" s="274"/>
      <c r="AX307" s="126"/>
      <c r="AY307" s="126"/>
      <c r="AZ307" s="126"/>
      <c r="BA307" s="126"/>
      <c r="BB307" s="141"/>
      <c r="BC307" s="152"/>
      <c r="BD307" s="152"/>
      <c r="BE307" s="152"/>
      <c r="BF307" s="152"/>
      <c r="BG307" s="308">
        <f t="shared" si="140"/>
        <v>0</v>
      </c>
      <c r="BH307" s="113">
        <f t="shared" si="141"/>
        <v>0</v>
      </c>
      <c r="BI307" s="3"/>
      <c r="BJ307" s="113">
        <f t="shared" si="142"/>
        <v>0</v>
      </c>
      <c r="BK307" s="129"/>
      <c r="BL307" s="129"/>
      <c r="BM307" s="129"/>
      <c r="BN307" s="129"/>
      <c r="BO307" s="129"/>
      <c r="BP307" s="129"/>
      <c r="BQ307" s="129"/>
      <c r="BR307" s="129"/>
      <c r="BS307" s="129"/>
      <c r="BT307" s="129"/>
      <c r="BU307" s="129"/>
      <c r="BV307" s="129"/>
      <c r="BW307" s="129"/>
      <c r="BX307" s="130">
        <f t="shared" si="143"/>
        <v>0</v>
      </c>
      <c r="BY307" s="3"/>
    </row>
    <row r="308" ht="15.75" customHeight="1">
      <c r="B308" s="1477">
        <v>46298</v>
      </c>
      <c r="C308" s="1310"/>
      <c r="D308" s="123"/>
      <c r="E308" s="123"/>
      <c r="F308" s="123"/>
      <c r="G308" s="105">
        <f t="shared" si="135"/>
        <v>0</v>
      </c>
      <c r="H308" s="1467"/>
      <c r="I308" s="1468"/>
      <c r="J308" s="1468"/>
      <c r="K308" s="1468"/>
      <c r="L308" s="1468"/>
      <c r="M308" s="1468"/>
      <c r="N308" s="1468"/>
      <c r="O308" s="1468"/>
      <c r="P308" s="1468"/>
      <c r="Q308" s="1468"/>
      <c r="R308" s="1468"/>
      <c r="S308" s="1468"/>
      <c r="T308" s="1468"/>
      <c r="U308" s="1468"/>
      <c r="V308" s="1468"/>
      <c r="W308" s="1468"/>
      <c r="X308" s="103">
        <f t="shared" si="136"/>
        <v>0</v>
      </c>
      <c r="Y308" s="641"/>
      <c r="Z308" s="641"/>
      <c r="AA308" s="99"/>
      <c r="AB308" s="143"/>
      <c r="AC308" s="143"/>
      <c r="AD308" s="143"/>
      <c r="AE308" s="143"/>
      <c r="AF308" s="143"/>
      <c r="AG308" s="143"/>
      <c r="AH308" s="143"/>
      <c r="AI308" s="143"/>
      <c r="AJ308" s="143"/>
      <c r="AK308" s="143"/>
      <c r="AL308" s="103">
        <f t="shared" si="137"/>
        <v>0</v>
      </c>
      <c r="AM308" s="123"/>
      <c r="AN308" s="123"/>
      <c r="AO308" s="123"/>
      <c r="AP308" s="105">
        <f t="shared" si="138"/>
        <v>0</v>
      </c>
      <c r="AQ308" s="99"/>
      <c r="AR308" s="99"/>
      <c r="AS308" s="99"/>
      <c r="AT308" s="124"/>
      <c r="AU308" s="224">
        <f t="shared" si="139"/>
        <v>0</v>
      </c>
      <c r="AV308" s="126"/>
      <c r="AW308" s="274"/>
      <c r="AX308" s="126"/>
      <c r="AY308" s="126"/>
      <c r="AZ308" s="126"/>
      <c r="BA308" s="126"/>
      <c r="BB308" s="141"/>
      <c r="BC308" s="152"/>
      <c r="BD308" s="152"/>
      <c r="BE308" s="152"/>
      <c r="BF308" s="152"/>
      <c r="BG308" s="308">
        <f t="shared" si="140"/>
        <v>0</v>
      </c>
      <c r="BH308" s="113">
        <f t="shared" si="141"/>
        <v>0</v>
      </c>
      <c r="BI308" s="3"/>
      <c r="BJ308" s="113">
        <f t="shared" si="142"/>
        <v>0</v>
      </c>
      <c r="BK308" s="129"/>
      <c r="BL308" s="129"/>
      <c r="BM308" s="129"/>
      <c r="BN308" s="129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30">
        <f t="shared" si="143"/>
        <v>0</v>
      </c>
      <c r="BY308" s="3"/>
    </row>
    <row r="309" ht="15.75" customHeight="1">
      <c r="B309" s="1477">
        <v>46299</v>
      </c>
      <c r="C309" s="1310"/>
      <c r="D309" s="123"/>
      <c r="E309" s="123"/>
      <c r="F309" s="123"/>
      <c r="G309" s="105">
        <f t="shared" si="135"/>
        <v>0</v>
      </c>
      <c r="H309" s="1467"/>
      <c r="I309" s="1468"/>
      <c r="J309" s="1468"/>
      <c r="K309" s="1468"/>
      <c r="L309" s="1468"/>
      <c r="M309" s="1468"/>
      <c r="N309" s="1468"/>
      <c r="O309" s="1468"/>
      <c r="P309" s="1468"/>
      <c r="Q309" s="1468"/>
      <c r="R309" s="1468"/>
      <c r="S309" s="1468"/>
      <c r="T309" s="1468"/>
      <c r="U309" s="1468"/>
      <c r="V309" s="1468"/>
      <c r="W309" s="1468"/>
      <c r="X309" s="103">
        <f t="shared" si="136"/>
        <v>0</v>
      </c>
      <c r="Y309" s="641"/>
      <c r="Z309" s="641"/>
      <c r="AA309" s="99"/>
      <c r="AB309" s="143"/>
      <c r="AC309" s="143"/>
      <c r="AD309" s="143"/>
      <c r="AE309" s="143"/>
      <c r="AF309" s="143"/>
      <c r="AG309" s="143"/>
      <c r="AH309" s="143"/>
      <c r="AI309" s="143"/>
      <c r="AJ309" s="143"/>
      <c r="AK309" s="143"/>
      <c r="AL309" s="103">
        <f t="shared" si="137"/>
        <v>0</v>
      </c>
      <c r="AM309" s="123"/>
      <c r="AN309" s="123"/>
      <c r="AO309" s="123"/>
      <c r="AP309" s="105">
        <f t="shared" si="138"/>
        <v>0</v>
      </c>
      <c r="AQ309" s="99"/>
      <c r="AR309" s="99"/>
      <c r="AS309" s="99"/>
      <c r="AT309" s="124"/>
      <c r="AU309" s="224">
        <f t="shared" si="139"/>
        <v>0</v>
      </c>
      <c r="AV309" s="126"/>
      <c r="AW309" s="274"/>
      <c r="AX309" s="126"/>
      <c r="AY309" s="126"/>
      <c r="AZ309" s="126"/>
      <c r="BA309" s="126"/>
      <c r="BB309" s="141"/>
      <c r="BC309" s="152"/>
      <c r="BD309" s="152"/>
      <c r="BE309" s="152"/>
      <c r="BF309" s="152"/>
      <c r="BG309" s="308">
        <f t="shared" si="140"/>
        <v>0</v>
      </c>
      <c r="BH309" s="113">
        <f t="shared" si="141"/>
        <v>0</v>
      </c>
      <c r="BI309" s="3"/>
      <c r="BJ309" s="113">
        <f t="shared" si="142"/>
        <v>0</v>
      </c>
      <c r="BK309" s="129"/>
      <c r="BL309" s="129"/>
      <c r="BM309" s="129"/>
      <c r="BN309" s="129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30">
        <f t="shared" si="143"/>
        <v>0</v>
      </c>
      <c r="BY309" s="3"/>
    </row>
    <row r="310" ht="15.75" customHeight="1">
      <c r="B310" s="1477">
        <v>46300</v>
      </c>
      <c r="C310" s="1310"/>
      <c r="D310" s="123"/>
      <c r="E310" s="123"/>
      <c r="F310" s="123"/>
      <c r="G310" s="105">
        <f t="shared" si="135"/>
        <v>0</v>
      </c>
      <c r="H310" s="1467"/>
      <c r="I310" s="1468"/>
      <c r="J310" s="1468"/>
      <c r="K310" s="1468"/>
      <c r="L310" s="1468"/>
      <c r="M310" s="1468"/>
      <c r="N310" s="1468"/>
      <c r="O310" s="1468"/>
      <c r="P310" s="1468"/>
      <c r="Q310" s="1468"/>
      <c r="R310" s="1468"/>
      <c r="S310" s="1468"/>
      <c r="T310" s="1468"/>
      <c r="U310" s="1468"/>
      <c r="V310" s="1468"/>
      <c r="W310" s="1468"/>
      <c r="X310" s="103">
        <f t="shared" si="136"/>
        <v>0</v>
      </c>
      <c r="Y310" s="641"/>
      <c r="Z310" s="641"/>
      <c r="AA310" s="99"/>
      <c r="AB310" s="143"/>
      <c r="AC310" s="143"/>
      <c r="AD310" s="143"/>
      <c r="AE310" s="143"/>
      <c r="AF310" s="143"/>
      <c r="AG310" s="143"/>
      <c r="AH310" s="143"/>
      <c r="AI310" s="143"/>
      <c r="AJ310" s="143"/>
      <c r="AK310" s="143"/>
      <c r="AL310" s="103">
        <f t="shared" si="137"/>
        <v>0</v>
      </c>
      <c r="AM310" s="123"/>
      <c r="AN310" s="123"/>
      <c r="AO310" s="123"/>
      <c r="AP310" s="105">
        <f t="shared" si="138"/>
        <v>0</v>
      </c>
      <c r="AQ310" s="99"/>
      <c r="AR310" s="99"/>
      <c r="AS310" s="99"/>
      <c r="AT310" s="124"/>
      <c r="AU310" s="224">
        <f t="shared" si="139"/>
        <v>0</v>
      </c>
      <c r="AV310" s="126"/>
      <c r="AW310" s="274"/>
      <c r="AX310" s="126"/>
      <c r="AY310" s="126"/>
      <c r="AZ310" s="126"/>
      <c r="BA310" s="126"/>
      <c r="BB310" s="141"/>
      <c r="BC310" s="152"/>
      <c r="BD310" s="152"/>
      <c r="BE310" s="152"/>
      <c r="BF310" s="152"/>
      <c r="BG310" s="308">
        <f t="shared" si="140"/>
        <v>0</v>
      </c>
      <c r="BH310" s="113">
        <f t="shared" si="141"/>
        <v>0</v>
      </c>
      <c r="BI310" s="3"/>
      <c r="BJ310" s="113">
        <f t="shared" si="142"/>
        <v>0</v>
      </c>
      <c r="BK310" s="129"/>
      <c r="BL310" s="129"/>
      <c r="BM310" s="129"/>
      <c r="BN310" s="129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30">
        <f t="shared" si="143"/>
        <v>0</v>
      </c>
      <c r="BY310" s="3"/>
    </row>
    <row r="311" ht="15.75" customHeight="1">
      <c r="B311" s="1477">
        <v>46301</v>
      </c>
      <c r="C311" s="379"/>
      <c r="D311" s="136"/>
      <c r="E311" s="136"/>
      <c r="F311" s="136"/>
      <c r="G311" s="105">
        <f t="shared" si="135"/>
        <v>0</v>
      </c>
      <c r="H311" s="1469"/>
      <c r="I311" s="1470"/>
      <c r="J311" s="1470"/>
      <c r="K311" s="1470"/>
      <c r="L311" s="1470"/>
      <c r="M311" s="1470"/>
      <c r="N311" s="1470"/>
      <c r="O311" s="1470"/>
      <c r="P311" s="1470"/>
      <c r="Q311" s="1470"/>
      <c r="R311" s="1470"/>
      <c r="S311" s="1470"/>
      <c r="T311" s="1470"/>
      <c r="U311" s="1470"/>
      <c r="V311" s="1470"/>
      <c r="W311" s="1470"/>
      <c r="X311" s="103">
        <f t="shared" si="136"/>
        <v>0</v>
      </c>
      <c r="Y311" s="641"/>
      <c r="Z311" s="641"/>
      <c r="AA311" s="99"/>
      <c r="AB311" s="143"/>
      <c r="AC311" s="143"/>
      <c r="AD311" s="143"/>
      <c r="AE311" s="143"/>
      <c r="AF311" s="143"/>
      <c r="AG311" s="143"/>
      <c r="AH311" s="143"/>
      <c r="AI311" s="143"/>
      <c r="AJ311" s="143"/>
      <c r="AK311" s="143"/>
      <c r="AL311" s="103">
        <f t="shared" si="137"/>
        <v>0</v>
      </c>
      <c r="AM311" s="136"/>
      <c r="AN311" s="136"/>
      <c r="AO311" s="136"/>
      <c r="AP311" s="105">
        <f t="shared" si="138"/>
        <v>0</v>
      </c>
      <c r="AQ311" s="99"/>
      <c r="AR311" s="99"/>
      <c r="AS311" s="99"/>
      <c r="AT311" s="124"/>
      <c r="AU311" s="224">
        <f t="shared" si="139"/>
        <v>0</v>
      </c>
      <c r="AV311" s="126"/>
      <c r="AW311" s="274"/>
      <c r="AX311" s="126"/>
      <c r="AY311" s="126"/>
      <c r="AZ311" s="126"/>
      <c r="BA311" s="126"/>
      <c r="BB311" s="141"/>
      <c r="BC311" s="152"/>
      <c r="BD311" s="152"/>
      <c r="BE311" s="152"/>
      <c r="BF311" s="152"/>
      <c r="BG311" s="308">
        <f t="shared" si="140"/>
        <v>0</v>
      </c>
      <c r="BH311" s="140">
        <f t="shared" si="141"/>
        <v>0</v>
      </c>
      <c r="BI311" s="132"/>
      <c r="BJ311" s="140">
        <f t="shared" si="142"/>
        <v>0</v>
      </c>
      <c r="BK311" s="141"/>
      <c r="BL311" s="141"/>
      <c r="BM311" s="141"/>
      <c r="BN311" s="141"/>
      <c r="BO311" s="141"/>
      <c r="BP311" s="141"/>
      <c r="BQ311" s="141"/>
      <c r="BR311" s="141"/>
      <c r="BS311" s="141"/>
      <c r="BT311" s="141"/>
      <c r="BU311" s="141"/>
      <c r="BV311" s="141"/>
      <c r="BW311" s="141"/>
      <c r="BX311" s="130">
        <f t="shared" si="143"/>
        <v>0</v>
      </c>
      <c r="BY311" s="132"/>
    </row>
    <row r="312" ht="15.75" customHeight="1">
      <c r="B312" s="1477">
        <v>46302</v>
      </c>
      <c r="C312" s="379"/>
      <c r="D312" s="136"/>
      <c r="E312" s="136"/>
      <c r="F312" s="136"/>
      <c r="G312" s="105">
        <f t="shared" si="135"/>
        <v>0</v>
      </c>
      <c r="H312" s="1469"/>
      <c r="I312" s="1470"/>
      <c r="J312" s="1470"/>
      <c r="K312" s="1470"/>
      <c r="L312" s="1470"/>
      <c r="M312" s="1470"/>
      <c r="N312" s="1470"/>
      <c r="O312" s="1470"/>
      <c r="P312" s="1470"/>
      <c r="Q312" s="1470"/>
      <c r="R312" s="1470"/>
      <c r="S312" s="1470"/>
      <c r="T312" s="1470"/>
      <c r="U312" s="1470"/>
      <c r="V312" s="1470"/>
      <c r="W312" s="1470"/>
      <c r="X312" s="103">
        <f t="shared" si="136"/>
        <v>0</v>
      </c>
      <c r="Y312" s="641"/>
      <c r="Z312" s="641"/>
      <c r="AA312" s="99"/>
      <c r="AB312" s="143"/>
      <c r="AC312" s="143"/>
      <c r="AD312" s="143"/>
      <c r="AE312" s="143"/>
      <c r="AF312" s="143"/>
      <c r="AG312" s="143"/>
      <c r="AH312" s="143"/>
      <c r="AI312" s="143"/>
      <c r="AJ312" s="143"/>
      <c r="AK312" s="143"/>
      <c r="AL312" s="103">
        <f t="shared" si="137"/>
        <v>0</v>
      </c>
      <c r="AM312" s="136"/>
      <c r="AN312" s="136"/>
      <c r="AO312" s="136"/>
      <c r="AP312" s="105">
        <f t="shared" si="138"/>
        <v>0</v>
      </c>
      <c r="AQ312" s="99"/>
      <c r="AR312" s="99"/>
      <c r="AS312" s="99"/>
      <c r="AT312" s="124"/>
      <c r="AU312" s="224">
        <f t="shared" si="139"/>
        <v>0</v>
      </c>
      <c r="AV312" s="126"/>
      <c r="AW312" s="274"/>
      <c r="AX312" s="126"/>
      <c r="AY312" s="126"/>
      <c r="AZ312" s="126"/>
      <c r="BA312" s="126"/>
      <c r="BB312" s="141"/>
      <c r="BC312" s="152"/>
      <c r="BD312" s="152"/>
      <c r="BE312" s="152"/>
      <c r="BF312" s="152"/>
      <c r="BG312" s="308">
        <f t="shared" si="140"/>
        <v>0</v>
      </c>
      <c r="BH312" s="140">
        <f t="shared" si="141"/>
        <v>0</v>
      </c>
      <c r="BI312" s="132"/>
      <c r="BJ312" s="140">
        <f t="shared" si="142"/>
        <v>0</v>
      </c>
      <c r="BK312" s="141"/>
      <c r="BL312" s="141"/>
      <c r="BM312" s="141"/>
      <c r="BN312" s="141"/>
      <c r="BO312" s="141"/>
      <c r="BP312" s="141"/>
      <c r="BQ312" s="141"/>
      <c r="BR312" s="141"/>
      <c r="BS312" s="141"/>
      <c r="BT312" s="141"/>
      <c r="BU312" s="141"/>
      <c r="BV312" s="141"/>
      <c r="BW312" s="141"/>
      <c r="BX312" s="130">
        <f t="shared" si="143"/>
        <v>0</v>
      </c>
      <c r="BY312" s="132"/>
    </row>
    <row r="313" ht="15.75" customHeight="1">
      <c r="B313" s="1477">
        <v>46303</v>
      </c>
      <c r="C313" s="379"/>
      <c r="D313" s="136"/>
      <c r="E313" s="136"/>
      <c r="F313" s="136"/>
      <c r="G313" s="105">
        <f t="shared" si="135"/>
        <v>0</v>
      </c>
      <c r="H313" s="1469"/>
      <c r="I313" s="1470"/>
      <c r="J313" s="1470"/>
      <c r="K313" s="1470"/>
      <c r="L313" s="1470"/>
      <c r="M313" s="1470"/>
      <c r="N313" s="1470"/>
      <c r="O313" s="1470"/>
      <c r="P313" s="1470"/>
      <c r="Q313" s="1470"/>
      <c r="R313" s="1470"/>
      <c r="S313" s="1470"/>
      <c r="T313" s="1470"/>
      <c r="U313" s="1470"/>
      <c r="V313" s="1470"/>
      <c r="W313" s="1470"/>
      <c r="X313" s="103">
        <f t="shared" si="136"/>
        <v>0</v>
      </c>
      <c r="Y313" s="641"/>
      <c r="Z313" s="641"/>
      <c r="AA313" s="99"/>
      <c r="AB313" s="143"/>
      <c r="AC313" s="143"/>
      <c r="AD313" s="143"/>
      <c r="AE313" s="143"/>
      <c r="AF313" s="143"/>
      <c r="AG313" s="143"/>
      <c r="AH313" s="143"/>
      <c r="AI313" s="143"/>
      <c r="AJ313" s="143"/>
      <c r="AK313" s="143"/>
      <c r="AL313" s="103">
        <f t="shared" si="137"/>
        <v>0</v>
      </c>
      <c r="AM313" s="136"/>
      <c r="AN313" s="136"/>
      <c r="AO313" s="136"/>
      <c r="AP313" s="105">
        <f t="shared" si="138"/>
        <v>0</v>
      </c>
      <c r="AQ313" s="99"/>
      <c r="AR313" s="99"/>
      <c r="AS313" s="99"/>
      <c r="AT313" s="124"/>
      <c r="AU313" s="224">
        <f t="shared" si="139"/>
        <v>0</v>
      </c>
      <c r="AV313" s="126"/>
      <c r="AW313" s="274"/>
      <c r="AX313" s="126"/>
      <c r="AY313" s="126"/>
      <c r="AZ313" s="126"/>
      <c r="BA313" s="126"/>
      <c r="BB313" s="141"/>
      <c r="BC313" s="152"/>
      <c r="BD313" s="152"/>
      <c r="BE313" s="152"/>
      <c r="BF313" s="152"/>
      <c r="BG313" s="308">
        <f t="shared" si="140"/>
        <v>0</v>
      </c>
      <c r="BH313" s="140">
        <f t="shared" si="141"/>
        <v>0</v>
      </c>
      <c r="BI313" s="132"/>
      <c r="BJ313" s="140">
        <f t="shared" si="142"/>
        <v>0</v>
      </c>
      <c r="BK313" s="141"/>
      <c r="BL313" s="141"/>
      <c r="BM313" s="141"/>
      <c r="BN313" s="141"/>
      <c r="BO313" s="141"/>
      <c r="BP313" s="141"/>
      <c r="BQ313" s="141"/>
      <c r="BR313" s="141"/>
      <c r="BS313" s="141"/>
      <c r="BT313" s="141"/>
      <c r="BU313" s="141"/>
      <c r="BV313" s="141"/>
      <c r="BW313" s="141"/>
      <c r="BX313" s="130">
        <f t="shared" si="143"/>
        <v>0</v>
      </c>
      <c r="BY313" s="132"/>
    </row>
    <row r="314" ht="15.75" customHeight="1">
      <c r="B314" s="1477">
        <v>46304</v>
      </c>
      <c r="C314" s="379"/>
      <c r="D314" s="136"/>
      <c r="E314" s="136"/>
      <c r="F314" s="136"/>
      <c r="G314" s="105">
        <f t="shared" si="135"/>
        <v>0</v>
      </c>
      <c r="H314" s="1469"/>
      <c r="I314" s="1470"/>
      <c r="J314" s="1470"/>
      <c r="K314" s="1470"/>
      <c r="L314" s="1470"/>
      <c r="M314" s="1470"/>
      <c r="N314" s="1470"/>
      <c r="O314" s="1470"/>
      <c r="P314" s="1470"/>
      <c r="Q314" s="1470"/>
      <c r="R314" s="1470"/>
      <c r="S314" s="1470"/>
      <c r="T314" s="1470"/>
      <c r="U314" s="1470"/>
      <c r="V314" s="1470"/>
      <c r="W314" s="1470"/>
      <c r="X314" s="103">
        <f t="shared" si="136"/>
        <v>0</v>
      </c>
      <c r="Y314" s="641"/>
      <c r="Z314" s="641"/>
      <c r="AA314" s="99"/>
      <c r="AB314" s="143"/>
      <c r="AC314" s="143"/>
      <c r="AD314" s="143"/>
      <c r="AE314" s="143"/>
      <c r="AF314" s="143"/>
      <c r="AG314" s="143"/>
      <c r="AH314" s="143"/>
      <c r="AI314" s="143"/>
      <c r="AJ314" s="143"/>
      <c r="AK314" s="143"/>
      <c r="AL314" s="103">
        <f t="shared" si="137"/>
        <v>0</v>
      </c>
      <c r="AM314" s="136"/>
      <c r="AN314" s="136"/>
      <c r="AO314" s="136"/>
      <c r="AP314" s="105">
        <f t="shared" si="138"/>
        <v>0</v>
      </c>
      <c r="AQ314" s="99"/>
      <c r="AR314" s="99"/>
      <c r="AS314" s="99"/>
      <c r="AT314" s="124"/>
      <c r="AU314" s="224">
        <f t="shared" si="139"/>
        <v>0</v>
      </c>
      <c r="AV314" s="126"/>
      <c r="AW314" s="274"/>
      <c r="AX314" s="126"/>
      <c r="AY314" s="126"/>
      <c r="AZ314" s="126"/>
      <c r="BA314" s="126"/>
      <c r="BB314" s="141"/>
      <c r="BC314" s="152"/>
      <c r="BD314" s="152"/>
      <c r="BE314" s="152"/>
      <c r="BF314" s="152"/>
      <c r="BG314" s="308">
        <f t="shared" si="140"/>
        <v>0</v>
      </c>
      <c r="BH314" s="140">
        <f t="shared" si="141"/>
        <v>0</v>
      </c>
      <c r="BI314" s="132"/>
      <c r="BJ314" s="140">
        <f t="shared" si="142"/>
        <v>0</v>
      </c>
      <c r="BK314" s="141"/>
      <c r="BL314" s="141"/>
      <c r="BM314" s="141"/>
      <c r="BN314" s="141"/>
      <c r="BO314" s="141"/>
      <c r="BP314" s="141"/>
      <c r="BQ314" s="141"/>
      <c r="BR314" s="141"/>
      <c r="BS314" s="141"/>
      <c r="BT314" s="141"/>
      <c r="BU314" s="141"/>
      <c r="BV314" s="141"/>
      <c r="BW314" s="141"/>
      <c r="BX314" s="130">
        <f t="shared" si="143"/>
        <v>0</v>
      </c>
      <c r="BY314" s="132"/>
    </row>
    <row r="315" ht="15.75" customHeight="1">
      <c r="B315" s="1477">
        <v>46305</v>
      </c>
      <c r="C315" s="379"/>
      <c r="D315" s="136"/>
      <c r="E315" s="136"/>
      <c r="F315" s="136"/>
      <c r="G315" s="105">
        <f t="shared" si="135"/>
        <v>0</v>
      </c>
      <c r="H315" s="1469"/>
      <c r="I315" s="1470"/>
      <c r="J315" s="1470"/>
      <c r="K315" s="1470"/>
      <c r="L315" s="1470"/>
      <c r="M315" s="1470"/>
      <c r="N315" s="1470"/>
      <c r="O315" s="1470"/>
      <c r="P315" s="1470"/>
      <c r="Q315" s="1470"/>
      <c r="R315" s="1470"/>
      <c r="S315" s="1470"/>
      <c r="T315" s="1470"/>
      <c r="U315" s="1470"/>
      <c r="V315" s="1470"/>
      <c r="W315" s="1470"/>
      <c r="X315" s="103">
        <f t="shared" si="136"/>
        <v>0</v>
      </c>
      <c r="Y315" s="641"/>
      <c r="Z315" s="641"/>
      <c r="AA315" s="99"/>
      <c r="AB315" s="143"/>
      <c r="AC315" s="143"/>
      <c r="AD315" s="143"/>
      <c r="AE315" s="143"/>
      <c r="AF315" s="143"/>
      <c r="AG315" s="143"/>
      <c r="AH315" s="143"/>
      <c r="AI315" s="143"/>
      <c r="AJ315" s="143"/>
      <c r="AK315" s="143"/>
      <c r="AL315" s="103">
        <f t="shared" si="137"/>
        <v>0</v>
      </c>
      <c r="AM315" s="136"/>
      <c r="AN315" s="136"/>
      <c r="AO315" s="136"/>
      <c r="AP315" s="105">
        <f t="shared" si="138"/>
        <v>0</v>
      </c>
      <c r="AQ315" s="99"/>
      <c r="AR315" s="99"/>
      <c r="AS315" s="99"/>
      <c r="AT315" s="124"/>
      <c r="AU315" s="224">
        <f t="shared" si="139"/>
        <v>0</v>
      </c>
      <c r="AV315" s="126"/>
      <c r="AW315" s="274"/>
      <c r="AX315" s="126"/>
      <c r="AY315" s="126"/>
      <c r="AZ315" s="126"/>
      <c r="BA315" s="126"/>
      <c r="BB315" s="141"/>
      <c r="BC315" s="152"/>
      <c r="BD315" s="152"/>
      <c r="BE315" s="152"/>
      <c r="BF315" s="152"/>
      <c r="BG315" s="308">
        <f t="shared" si="140"/>
        <v>0</v>
      </c>
      <c r="BH315" s="140">
        <f t="shared" si="141"/>
        <v>0</v>
      </c>
      <c r="BI315" s="132"/>
      <c r="BJ315" s="140">
        <f t="shared" si="142"/>
        <v>0</v>
      </c>
      <c r="BK315" s="141"/>
      <c r="BL315" s="141"/>
      <c r="BM315" s="141"/>
      <c r="BN315" s="141"/>
      <c r="BO315" s="141"/>
      <c r="BP315" s="141"/>
      <c r="BQ315" s="141"/>
      <c r="BR315" s="141"/>
      <c r="BS315" s="141"/>
      <c r="BT315" s="141"/>
      <c r="BU315" s="141"/>
      <c r="BV315" s="141"/>
      <c r="BW315" s="141"/>
      <c r="BX315" s="130">
        <f t="shared" si="143"/>
        <v>0</v>
      </c>
      <c r="BY315" s="132"/>
    </row>
    <row r="316" ht="14.25" customHeight="1">
      <c r="B316" s="1477">
        <v>46306</v>
      </c>
      <c r="C316" s="379"/>
      <c r="D316" s="136"/>
      <c r="E316" s="136"/>
      <c r="F316" s="136"/>
      <c r="G316" s="105">
        <f t="shared" si="135"/>
        <v>0</v>
      </c>
      <c r="H316" s="1469"/>
      <c r="I316" s="1470"/>
      <c r="J316" s="1470"/>
      <c r="K316" s="1470"/>
      <c r="L316" s="1470"/>
      <c r="M316" s="1470"/>
      <c r="N316" s="1470"/>
      <c r="O316" s="1470"/>
      <c r="P316" s="1470"/>
      <c r="Q316" s="1470"/>
      <c r="R316" s="1470"/>
      <c r="S316" s="1470"/>
      <c r="T316" s="1470"/>
      <c r="U316" s="1470"/>
      <c r="V316" s="1470"/>
      <c r="W316" s="1470"/>
      <c r="X316" s="103">
        <f t="shared" si="136"/>
        <v>0</v>
      </c>
      <c r="Y316" s="641"/>
      <c r="Z316" s="641"/>
      <c r="AA316" s="99"/>
      <c r="AB316" s="143"/>
      <c r="AC316" s="143"/>
      <c r="AD316" s="143"/>
      <c r="AE316" s="143"/>
      <c r="AF316" s="143"/>
      <c r="AG316" s="143"/>
      <c r="AH316" s="143"/>
      <c r="AI316" s="143"/>
      <c r="AJ316" s="143"/>
      <c r="AK316" s="143"/>
      <c r="AL316" s="103">
        <f t="shared" si="137"/>
        <v>0</v>
      </c>
      <c r="AM316" s="136"/>
      <c r="AN316" s="136"/>
      <c r="AO316" s="136"/>
      <c r="AP316" s="105">
        <f t="shared" si="138"/>
        <v>0</v>
      </c>
      <c r="AQ316" s="99"/>
      <c r="AR316" s="99"/>
      <c r="AS316" s="99"/>
      <c r="AT316" s="124"/>
      <c r="AU316" s="224">
        <f t="shared" si="139"/>
        <v>0</v>
      </c>
      <c r="AV316" s="126"/>
      <c r="AW316" s="274"/>
      <c r="AX316" s="126"/>
      <c r="AY316" s="126"/>
      <c r="AZ316" s="126"/>
      <c r="BA316" s="126"/>
      <c r="BB316" s="141"/>
      <c r="BC316" s="152"/>
      <c r="BD316" s="152"/>
      <c r="BE316" s="152"/>
      <c r="BF316" s="152"/>
      <c r="BG316" s="308">
        <f t="shared" si="140"/>
        <v>0</v>
      </c>
      <c r="BH316" s="140">
        <f t="shared" si="141"/>
        <v>0</v>
      </c>
      <c r="BI316" s="132"/>
      <c r="BJ316" s="140">
        <f t="shared" si="142"/>
        <v>0</v>
      </c>
      <c r="BK316" s="141"/>
      <c r="BL316" s="141"/>
      <c r="BM316" s="141"/>
      <c r="BN316" s="141"/>
      <c r="BO316" s="141"/>
      <c r="BP316" s="141"/>
      <c r="BQ316" s="141"/>
      <c r="BR316" s="141"/>
      <c r="BS316" s="141"/>
      <c r="BT316" s="141"/>
      <c r="BU316" s="141"/>
      <c r="BV316" s="141"/>
      <c r="BW316" s="141"/>
      <c r="BX316" s="130">
        <f t="shared" si="143"/>
        <v>0</v>
      </c>
      <c r="BY316" s="132"/>
    </row>
    <row r="317" ht="15.75" customHeight="1">
      <c r="B317" s="1477">
        <v>46307</v>
      </c>
      <c r="C317" s="379"/>
      <c r="D317" s="136"/>
      <c r="E317" s="136"/>
      <c r="F317" s="136"/>
      <c r="G317" s="105">
        <f t="shared" si="135"/>
        <v>0</v>
      </c>
      <c r="H317" s="1469"/>
      <c r="I317" s="1470"/>
      <c r="J317" s="1488"/>
      <c r="K317" s="1470"/>
      <c r="L317" s="1470"/>
      <c r="M317" s="1470"/>
      <c r="N317" s="1470"/>
      <c r="O317" s="1470"/>
      <c r="P317" s="1470"/>
      <c r="Q317" s="1470"/>
      <c r="R317" s="1470"/>
      <c r="S317" s="1470"/>
      <c r="T317" s="1470"/>
      <c r="U317" s="1470"/>
      <c r="V317" s="1470"/>
      <c r="W317" s="1470"/>
      <c r="X317" s="103">
        <f t="shared" si="136"/>
        <v>0</v>
      </c>
      <c r="Y317" s="641"/>
      <c r="Z317" s="641"/>
      <c r="AA317" s="99"/>
      <c r="AB317" s="143"/>
      <c r="AC317" s="143"/>
      <c r="AD317" s="143"/>
      <c r="AE317" s="143"/>
      <c r="AF317" s="143"/>
      <c r="AG317" s="143"/>
      <c r="AH317" s="143"/>
      <c r="AI317" s="143"/>
      <c r="AJ317" s="143"/>
      <c r="AK317" s="143"/>
      <c r="AL317" s="103">
        <f t="shared" si="137"/>
        <v>0</v>
      </c>
      <c r="AM317" s="136"/>
      <c r="AN317" s="136"/>
      <c r="AO317" s="136"/>
      <c r="AP317" s="105">
        <f t="shared" si="138"/>
        <v>0</v>
      </c>
      <c r="AQ317" s="99"/>
      <c r="AR317" s="99"/>
      <c r="AS317" s="99"/>
      <c r="AT317" s="124"/>
      <c r="AU317" s="224">
        <f t="shared" si="139"/>
        <v>0</v>
      </c>
      <c r="AV317" s="126"/>
      <c r="AW317" s="274"/>
      <c r="AX317" s="126"/>
      <c r="AY317" s="126"/>
      <c r="AZ317" s="126"/>
      <c r="BA317" s="126"/>
      <c r="BB317" s="141"/>
      <c r="BC317" s="152"/>
      <c r="BD317" s="152"/>
      <c r="BE317" s="152"/>
      <c r="BF317" s="152"/>
      <c r="BG317" s="308">
        <f t="shared" si="140"/>
        <v>0</v>
      </c>
      <c r="BH317" s="140">
        <f t="shared" si="141"/>
        <v>0</v>
      </c>
      <c r="BI317" s="132"/>
      <c r="BJ317" s="140">
        <f t="shared" si="142"/>
        <v>0</v>
      </c>
      <c r="BK317" s="141"/>
      <c r="BL317" s="141"/>
      <c r="BM317" s="141"/>
      <c r="BN317" s="141"/>
      <c r="BO317" s="141"/>
      <c r="BP317" s="141"/>
      <c r="BQ317" s="141"/>
      <c r="BR317" s="141"/>
      <c r="BS317" s="141"/>
      <c r="BT317" s="141"/>
      <c r="BU317" s="141"/>
      <c r="BV317" s="141"/>
      <c r="BW317" s="141"/>
      <c r="BX317" s="130">
        <f t="shared" si="143"/>
        <v>0</v>
      </c>
      <c r="BY317" s="132"/>
    </row>
    <row r="318" ht="15.75" customHeight="1">
      <c r="B318" s="1477">
        <v>46308</v>
      </c>
      <c r="C318" s="379"/>
      <c r="D318" s="136"/>
      <c r="E318" s="136"/>
      <c r="F318" s="136"/>
      <c r="G318" s="105">
        <f t="shared" si="135"/>
        <v>0</v>
      </c>
      <c r="H318" s="1469"/>
      <c r="I318" s="1470"/>
      <c r="J318" s="1488"/>
      <c r="K318" s="1470"/>
      <c r="L318" s="1470"/>
      <c r="M318" s="1470"/>
      <c r="N318" s="1470"/>
      <c r="O318" s="1470"/>
      <c r="P318" s="1470"/>
      <c r="Q318" s="1470"/>
      <c r="R318" s="1470"/>
      <c r="S318" s="1470"/>
      <c r="T318" s="1470"/>
      <c r="U318" s="1470"/>
      <c r="V318" s="1470"/>
      <c r="W318" s="1470"/>
      <c r="X318" s="103">
        <f t="shared" si="136"/>
        <v>0</v>
      </c>
      <c r="Y318" s="641"/>
      <c r="Z318" s="641"/>
      <c r="AA318" s="99"/>
      <c r="AB318" s="143"/>
      <c r="AC318" s="143"/>
      <c r="AD318" s="143"/>
      <c r="AE318" s="143"/>
      <c r="AF318" s="143"/>
      <c r="AG318" s="143"/>
      <c r="AH318" s="143"/>
      <c r="AI318" s="143"/>
      <c r="AJ318" s="143"/>
      <c r="AK318" s="143"/>
      <c r="AL318" s="103">
        <f t="shared" si="137"/>
        <v>0</v>
      </c>
      <c r="AM318" s="136"/>
      <c r="AN318" s="136"/>
      <c r="AO318" s="136"/>
      <c r="AP318" s="105">
        <f t="shared" si="138"/>
        <v>0</v>
      </c>
      <c r="AQ318" s="99"/>
      <c r="AR318" s="99"/>
      <c r="AS318" s="99"/>
      <c r="AT318" s="124"/>
      <c r="AU318" s="224">
        <f t="shared" si="139"/>
        <v>0</v>
      </c>
      <c r="AV318" s="126"/>
      <c r="AW318" s="274"/>
      <c r="AX318" s="126"/>
      <c r="AY318" s="126"/>
      <c r="AZ318" s="126"/>
      <c r="BA318" s="126"/>
      <c r="BB318" s="141"/>
      <c r="BC318" s="152"/>
      <c r="BD318" s="152"/>
      <c r="BE318" s="152"/>
      <c r="BF318" s="152"/>
      <c r="BG318" s="308">
        <f t="shared" si="140"/>
        <v>0</v>
      </c>
      <c r="BH318" s="140">
        <f t="shared" si="141"/>
        <v>0</v>
      </c>
      <c r="BI318" s="132"/>
      <c r="BJ318" s="140">
        <f t="shared" si="142"/>
        <v>0</v>
      </c>
      <c r="BK318" s="141"/>
      <c r="BL318" s="141"/>
      <c r="BM318" s="141"/>
      <c r="BN318" s="141"/>
      <c r="BO318" s="141"/>
      <c r="BP318" s="141"/>
      <c r="BQ318" s="141"/>
      <c r="BR318" s="141"/>
      <c r="BS318" s="141"/>
      <c r="BT318" s="141"/>
      <c r="BU318" s="141"/>
      <c r="BV318" s="141"/>
      <c r="BW318" s="141"/>
      <c r="BX318" s="130">
        <f t="shared" si="143"/>
        <v>0</v>
      </c>
      <c r="BY318" s="132"/>
    </row>
    <row r="319" ht="15.75" customHeight="1">
      <c r="B319" s="1477">
        <v>46309</v>
      </c>
      <c r="C319" s="379"/>
      <c r="D319" s="136"/>
      <c r="E319" s="136"/>
      <c r="F319" s="136"/>
      <c r="G319" s="105">
        <f t="shared" si="135"/>
        <v>0</v>
      </c>
      <c r="H319" s="1474"/>
      <c r="I319" s="142"/>
      <c r="J319" s="1488"/>
      <c r="K319" s="1470"/>
      <c r="L319" s="1470"/>
      <c r="M319" s="1470"/>
      <c r="N319" s="1470"/>
      <c r="O319" s="1470"/>
      <c r="P319" s="1470"/>
      <c r="Q319" s="1470"/>
      <c r="R319" s="1470"/>
      <c r="S319" s="1470"/>
      <c r="T319" s="1470"/>
      <c r="U319" s="1470"/>
      <c r="V319" s="1470"/>
      <c r="W319" s="1470"/>
      <c r="X319" s="103">
        <f t="shared" si="136"/>
        <v>0</v>
      </c>
      <c r="Y319" s="641"/>
      <c r="Z319" s="641"/>
      <c r="AA319" s="99"/>
      <c r="AB319" s="143"/>
      <c r="AC319" s="143"/>
      <c r="AD319" s="143"/>
      <c r="AE319" s="143"/>
      <c r="AF319" s="143"/>
      <c r="AG319" s="143"/>
      <c r="AH319" s="143"/>
      <c r="AI319" s="143"/>
      <c r="AJ319" s="143"/>
      <c r="AK319" s="143"/>
      <c r="AL319" s="103">
        <f t="shared" si="137"/>
        <v>0</v>
      </c>
      <c r="AM319" s="136"/>
      <c r="AN319" s="136"/>
      <c r="AO319" s="136"/>
      <c r="AP319" s="105">
        <f t="shared" si="138"/>
        <v>0</v>
      </c>
      <c r="AQ319" s="99"/>
      <c r="AR319" s="99"/>
      <c r="AS319" s="99"/>
      <c r="AT319" s="124"/>
      <c r="AU319" s="224">
        <f t="shared" si="139"/>
        <v>0</v>
      </c>
      <c r="AV319" s="126"/>
      <c r="AW319" s="274"/>
      <c r="AX319" s="126"/>
      <c r="AY319" s="126"/>
      <c r="AZ319" s="126"/>
      <c r="BA319" s="126"/>
      <c r="BB319" s="141"/>
      <c r="BC319" s="152"/>
      <c r="BD319" s="152"/>
      <c r="BE319" s="152"/>
      <c r="BF319" s="152"/>
      <c r="BG319" s="308">
        <f t="shared" si="140"/>
        <v>0</v>
      </c>
      <c r="BH319" s="140">
        <f t="shared" si="141"/>
        <v>0</v>
      </c>
      <c r="BI319" s="132"/>
      <c r="BJ319" s="140">
        <f t="shared" si="142"/>
        <v>0</v>
      </c>
      <c r="BK319" s="141"/>
      <c r="BL319" s="141"/>
      <c r="BM319" s="141"/>
      <c r="BN319" s="141"/>
      <c r="BO319" s="141"/>
      <c r="BP319" s="141"/>
      <c r="BQ319" s="141"/>
      <c r="BR319" s="141"/>
      <c r="BS319" s="141"/>
      <c r="BT319" s="141"/>
      <c r="BU319" s="141"/>
      <c r="BV319" s="141"/>
      <c r="BW319" s="141"/>
      <c r="BX319" s="130">
        <f t="shared" si="143"/>
        <v>0</v>
      </c>
      <c r="BY319" s="132"/>
    </row>
    <row r="320" ht="15.75" customHeight="1">
      <c r="B320" s="1477">
        <v>46310</v>
      </c>
      <c r="C320" s="379"/>
      <c r="D320" s="136"/>
      <c r="E320" s="136"/>
      <c r="F320" s="136"/>
      <c r="G320" s="105">
        <f t="shared" si="135"/>
        <v>0</v>
      </c>
      <c r="H320" s="1469"/>
      <c r="I320" s="1470"/>
      <c r="J320" s="1488"/>
      <c r="K320" s="1470"/>
      <c r="L320" s="1470"/>
      <c r="M320" s="1470"/>
      <c r="N320" s="1470"/>
      <c r="O320" s="1470"/>
      <c r="P320" s="1470"/>
      <c r="Q320" s="1470"/>
      <c r="R320" s="1470"/>
      <c r="S320" s="1470"/>
      <c r="T320" s="1470"/>
      <c r="U320" s="1470"/>
      <c r="V320" s="136"/>
      <c r="W320" s="136"/>
      <c r="X320" s="103">
        <f t="shared" si="136"/>
        <v>0</v>
      </c>
      <c r="Y320" s="641"/>
      <c r="Z320" s="641"/>
      <c r="AA320" s="99"/>
      <c r="AB320" s="143"/>
      <c r="AC320" s="143"/>
      <c r="AD320" s="143"/>
      <c r="AE320" s="143"/>
      <c r="AF320" s="143"/>
      <c r="AG320" s="143"/>
      <c r="AH320" s="143"/>
      <c r="AI320" s="143"/>
      <c r="AJ320" s="143"/>
      <c r="AK320" s="143"/>
      <c r="AL320" s="103">
        <f t="shared" si="137"/>
        <v>0</v>
      </c>
      <c r="AM320" s="136"/>
      <c r="AN320" s="136"/>
      <c r="AO320" s="136"/>
      <c r="AP320" s="105">
        <f t="shared" si="138"/>
        <v>0</v>
      </c>
      <c r="AQ320" s="99"/>
      <c r="AR320" s="99"/>
      <c r="AS320" s="99"/>
      <c r="AT320" s="124"/>
      <c r="AU320" s="224">
        <f t="shared" si="139"/>
        <v>0</v>
      </c>
      <c r="AV320" s="126"/>
      <c r="AW320" s="274"/>
      <c r="AX320" s="126"/>
      <c r="AY320" s="126"/>
      <c r="AZ320" s="126"/>
      <c r="BA320" s="126"/>
      <c r="BB320" s="141"/>
      <c r="BC320" s="152"/>
      <c r="BD320" s="152"/>
      <c r="BE320" s="152"/>
      <c r="BF320" s="152"/>
      <c r="BG320" s="308">
        <f t="shared" si="140"/>
        <v>0</v>
      </c>
      <c r="BH320" s="140">
        <f t="shared" si="141"/>
        <v>0</v>
      </c>
      <c r="BI320" s="132"/>
      <c r="BJ320" s="140">
        <f t="shared" si="142"/>
        <v>0</v>
      </c>
      <c r="BK320" s="141"/>
      <c r="BL320" s="141"/>
      <c r="BM320" s="141"/>
      <c r="BN320" s="141"/>
      <c r="BO320" s="141"/>
      <c r="BP320" s="141"/>
      <c r="BQ320" s="141"/>
      <c r="BR320" s="141"/>
      <c r="BS320" s="141"/>
      <c r="BT320" s="141"/>
      <c r="BU320" s="141"/>
      <c r="BV320" s="141"/>
      <c r="BW320" s="141"/>
      <c r="BX320" s="130">
        <f t="shared" si="143"/>
        <v>0</v>
      </c>
      <c r="BY320" s="132"/>
    </row>
    <row r="321" ht="15.75" customHeight="1">
      <c r="B321" s="1477">
        <v>46311</v>
      </c>
      <c r="C321" s="379"/>
      <c r="D321" s="136"/>
      <c r="E321" s="136"/>
      <c r="F321" s="136"/>
      <c r="G321" s="105">
        <f t="shared" si="135"/>
        <v>0</v>
      </c>
      <c r="H321" s="1469"/>
      <c r="I321" s="1470"/>
      <c r="J321" s="1488"/>
      <c r="K321" s="1470"/>
      <c r="L321" s="1470"/>
      <c r="M321" s="1470"/>
      <c r="N321" s="1470"/>
      <c r="O321" s="1470"/>
      <c r="P321" s="1470"/>
      <c r="Q321" s="1470"/>
      <c r="R321" s="1470"/>
      <c r="S321" s="1470"/>
      <c r="T321" s="1470"/>
      <c r="U321" s="1470"/>
      <c r="V321" s="1470"/>
      <c r="W321" s="1470"/>
      <c r="X321" s="103">
        <f t="shared" si="136"/>
        <v>0</v>
      </c>
      <c r="Y321" s="641"/>
      <c r="Z321" s="641"/>
      <c r="AA321" s="99"/>
      <c r="AB321" s="143"/>
      <c r="AC321" s="143"/>
      <c r="AD321" s="143"/>
      <c r="AE321" s="143"/>
      <c r="AF321" s="143"/>
      <c r="AG321" s="143"/>
      <c r="AH321" s="143"/>
      <c r="AI321" s="143"/>
      <c r="AJ321" s="143"/>
      <c r="AK321" s="143"/>
      <c r="AL321" s="103">
        <f t="shared" si="137"/>
        <v>0</v>
      </c>
      <c r="AM321" s="136"/>
      <c r="AN321" s="136"/>
      <c r="AO321" s="136"/>
      <c r="AP321" s="105">
        <f t="shared" si="138"/>
        <v>0</v>
      </c>
      <c r="AQ321" s="99"/>
      <c r="AR321" s="99"/>
      <c r="AS321" s="99"/>
      <c r="AT321" s="124"/>
      <c r="AU321" s="224">
        <f t="shared" si="139"/>
        <v>0</v>
      </c>
      <c r="AV321" s="126"/>
      <c r="AW321" s="274"/>
      <c r="AX321" s="126"/>
      <c r="AY321" s="126"/>
      <c r="AZ321" s="126"/>
      <c r="BA321" s="126"/>
      <c r="BB321" s="141"/>
      <c r="BC321" s="152"/>
      <c r="BD321" s="152"/>
      <c r="BE321" s="152"/>
      <c r="BF321" s="152"/>
      <c r="BG321" s="308">
        <f t="shared" si="140"/>
        <v>0</v>
      </c>
      <c r="BH321" s="140">
        <f t="shared" si="141"/>
        <v>0</v>
      </c>
      <c r="BI321" s="132"/>
      <c r="BJ321" s="140">
        <f t="shared" si="142"/>
        <v>0</v>
      </c>
      <c r="BK321" s="141"/>
      <c r="BL321" s="141"/>
      <c r="BM321" s="141"/>
      <c r="BN321" s="141"/>
      <c r="BO321" s="141"/>
      <c r="BP321" s="141"/>
      <c r="BQ321" s="141"/>
      <c r="BR321" s="141"/>
      <c r="BS321" s="141"/>
      <c r="BT321" s="141"/>
      <c r="BU321" s="141"/>
      <c r="BV321" s="141"/>
      <c r="BW321" s="141"/>
      <c r="BX321" s="130">
        <f t="shared" si="143"/>
        <v>0</v>
      </c>
      <c r="BY321" s="132"/>
    </row>
    <row r="322" ht="15.75" customHeight="1">
      <c r="B322" s="1477">
        <v>46312</v>
      </c>
      <c r="C322" s="379"/>
      <c r="D322" s="136"/>
      <c r="E322" s="136"/>
      <c r="F322" s="136"/>
      <c r="G322" s="105">
        <f t="shared" si="135"/>
        <v>0</v>
      </c>
      <c r="H322" s="1474"/>
      <c r="I322" s="142"/>
      <c r="J322" s="1488"/>
      <c r="K322" s="1470"/>
      <c r="L322" s="1470"/>
      <c r="M322" s="1470"/>
      <c r="N322" s="1470"/>
      <c r="O322" s="1470"/>
      <c r="P322" s="1470"/>
      <c r="Q322" s="1470"/>
      <c r="R322" s="1470"/>
      <c r="S322" s="1470"/>
      <c r="T322" s="1470"/>
      <c r="U322" s="1470"/>
      <c r="V322" s="1470"/>
      <c r="W322" s="1470"/>
      <c r="X322" s="103">
        <f t="shared" si="136"/>
        <v>0</v>
      </c>
      <c r="Y322" s="641"/>
      <c r="Z322" s="641"/>
      <c r="AA322" s="99"/>
      <c r="AB322" s="143"/>
      <c r="AC322" s="143"/>
      <c r="AD322" s="143"/>
      <c r="AE322" s="143"/>
      <c r="AF322" s="143"/>
      <c r="AG322" s="143"/>
      <c r="AH322" s="143"/>
      <c r="AI322" s="143"/>
      <c r="AJ322" s="143"/>
      <c r="AK322" s="143"/>
      <c r="AL322" s="103">
        <f t="shared" si="137"/>
        <v>0</v>
      </c>
      <c r="AM322" s="136"/>
      <c r="AN322" s="136"/>
      <c r="AO322" s="136"/>
      <c r="AP322" s="105">
        <f t="shared" si="138"/>
        <v>0</v>
      </c>
      <c r="AQ322" s="99"/>
      <c r="AR322" s="99"/>
      <c r="AS322" s="99"/>
      <c r="AT322" s="124"/>
      <c r="AU322" s="224">
        <f t="shared" si="139"/>
        <v>0</v>
      </c>
      <c r="AV322" s="126"/>
      <c r="AW322" s="274"/>
      <c r="AX322" s="126"/>
      <c r="AY322" s="126"/>
      <c r="AZ322" s="126"/>
      <c r="BA322" s="126"/>
      <c r="BB322" s="141"/>
      <c r="BC322" s="152"/>
      <c r="BD322" s="152"/>
      <c r="BE322" s="152"/>
      <c r="BF322" s="152"/>
      <c r="BG322" s="308">
        <f t="shared" si="140"/>
        <v>0</v>
      </c>
      <c r="BH322" s="140">
        <f t="shared" si="141"/>
        <v>0</v>
      </c>
      <c r="BI322" s="132"/>
      <c r="BJ322" s="140">
        <f t="shared" si="142"/>
        <v>0</v>
      </c>
      <c r="BK322" s="141"/>
      <c r="BL322" s="141"/>
      <c r="BM322" s="141"/>
      <c r="BN322" s="141"/>
      <c r="BO322" s="141"/>
      <c r="BP322" s="141"/>
      <c r="BQ322" s="141"/>
      <c r="BR322" s="141"/>
      <c r="BS322" s="141"/>
      <c r="BT322" s="141"/>
      <c r="BU322" s="141"/>
      <c r="BV322" s="141"/>
      <c r="BW322" s="141"/>
      <c r="BX322" s="130">
        <f t="shared" si="143"/>
        <v>0</v>
      </c>
      <c r="BY322" s="132"/>
    </row>
    <row r="323" ht="15.75" customHeight="1">
      <c r="B323" s="1477">
        <v>46313</v>
      </c>
      <c r="C323" s="379"/>
      <c r="D323" s="136"/>
      <c r="E323" s="136"/>
      <c r="F323" s="136"/>
      <c r="G323" s="105">
        <f t="shared" si="135"/>
        <v>0</v>
      </c>
      <c r="H323" s="1469"/>
      <c r="I323" s="1470"/>
      <c r="J323" s="1488"/>
      <c r="K323" s="1470"/>
      <c r="L323" s="1470"/>
      <c r="M323" s="1470"/>
      <c r="N323" s="1470"/>
      <c r="O323" s="1470"/>
      <c r="P323" s="1470"/>
      <c r="Q323" s="1470"/>
      <c r="R323" s="1470"/>
      <c r="S323" s="1470"/>
      <c r="T323" s="1470"/>
      <c r="U323" s="1470"/>
      <c r="V323" s="1470"/>
      <c r="W323" s="1470"/>
      <c r="X323" s="103">
        <f t="shared" si="136"/>
        <v>0</v>
      </c>
      <c r="Y323" s="641"/>
      <c r="Z323" s="641"/>
      <c r="AA323" s="99"/>
      <c r="AB323" s="143"/>
      <c r="AC323" s="143"/>
      <c r="AD323" s="143"/>
      <c r="AE323" s="143"/>
      <c r="AF323" s="143"/>
      <c r="AG323" s="143"/>
      <c r="AH323" s="143"/>
      <c r="AI323" s="143"/>
      <c r="AJ323" s="143"/>
      <c r="AK323" s="143"/>
      <c r="AL323" s="103">
        <f t="shared" si="137"/>
        <v>0</v>
      </c>
      <c r="AM323" s="136"/>
      <c r="AN323" s="136"/>
      <c r="AO323" s="136"/>
      <c r="AP323" s="105">
        <f t="shared" si="138"/>
        <v>0</v>
      </c>
      <c r="AQ323" s="99"/>
      <c r="AR323" s="99"/>
      <c r="AS323" s="99"/>
      <c r="AT323" s="124"/>
      <c r="AU323" s="224">
        <f t="shared" si="139"/>
        <v>0</v>
      </c>
      <c r="AV323" s="126"/>
      <c r="AW323" s="274"/>
      <c r="AX323" s="126"/>
      <c r="AY323" s="126"/>
      <c r="AZ323" s="126"/>
      <c r="BA323" s="126"/>
      <c r="BB323" s="141"/>
      <c r="BC323" s="152"/>
      <c r="BD323" s="152"/>
      <c r="BE323" s="152"/>
      <c r="BF323" s="152"/>
      <c r="BG323" s="308">
        <f t="shared" si="140"/>
        <v>0</v>
      </c>
      <c r="BH323" s="140">
        <f t="shared" si="141"/>
        <v>0</v>
      </c>
      <c r="BI323" s="132"/>
      <c r="BJ323" s="140">
        <f t="shared" si="142"/>
        <v>0</v>
      </c>
      <c r="BK323" s="141"/>
      <c r="BL323" s="141"/>
      <c r="BM323" s="141"/>
      <c r="BN323" s="141"/>
      <c r="BO323" s="141"/>
      <c r="BP323" s="141"/>
      <c r="BQ323" s="141"/>
      <c r="BR323" s="141"/>
      <c r="BS323" s="141"/>
      <c r="BT323" s="141"/>
      <c r="BU323" s="141"/>
      <c r="BV323" s="141"/>
      <c r="BW323" s="141"/>
      <c r="BX323" s="130">
        <f t="shared" si="143"/>
        <v>0</v>
      </c>
      <c r="BY323" s="132"/>
    </row>
    <row r="324" ht="15.75" customHeight="1">
      <c r="B324" s="1477">
        <v>46314</v>
      </c>
      <c r="C324" s="379"/>
      <c r="D324" s="136"/>
      <c r="E324" s="136"/>
      <c r="F324" s="136"/>
      <c r="G324" s="105">
        <f t="shared" si="135"/>
        <v>0</v>
      </c>
      <c r="H324" s="1469"/>
      <c r="I324" s="1470"/>
      <c r="J324" s="1488"/>
      <c r="K324" s="1470"/>
      <c r="L324" s="1470"/>
      <c r="M324" s="1470"/>
      <c r="N324" s="1470"/>
      <c r="O324" s="1470"/>
      <c r="P324" s="1470"/>
      <c r="Q324" s="1470"/>
      <c r="R324" s="1470"/>
      <c r="S324" s="1470"/>
      <c r="T324" s="1470"/>
      <c r="U324" s="1470"/>
      <c r="V324" s="1470"/>
      <c r="W324" s="1470"/>
      <c r="X324" s="103">
        <f t="shared" si="136"/>
        <v>0</v>
      </c>
      <c r="Y324" s="641"/>
      <c r="Z324" s="641"/>
      <c r="AA324" s="99"/>
      <c r="AB324" s="143"/>
      <c r="AC324" s="143"/>
      <c r="AD324" s="143"/>
      <c r="AE324" s="143"/>
      <c r="AF324" s="143"/>
      <c r="AG324" s="143"/>
      <c r="AH324" s="143"/>
      <c r="AI324" s="143"/>
      <c r="AJ324" s="143"/>
      <c r="AK324" s="143"/>
      <c r="AL324" s="103">
        <f t="shared" si="137"/>
        <v>0</v>
      </c>
      <c r="AM324" s="136"/>
      <c r="AN324" s="136"/>
      <c r="AO324" s="136"/>
      <c r="AP324" s="105">
        <f t="shared" si="138"/>
        <v>0</v>
      </c>
      <c r="AQ324" s="99"/>
      <c r="AR324" s="99"/>
      <c r="AS324" s="99"/>
      <c r="AT324" s="124"/>
      <c r="AU324" s="224">
        <f t="shared" si="139"/>
        <v>0</v>
      </c>
      <c r="AV324" s="126"/>
      <c r="AW324" s="274"/>
      <c r="AX324" s="126"/>
      <c r="AY324" s="126"/>
      <c r="AZ324" s="126"/>
      <c r="BA324" s="126"/>
      <c r="BB324" s="141"/>
      <c r="BC324" s="152"/>
      <c r="BD324" s="152"/>
      <c r="BE324" s="152"/>
      <c r="BF324" s="152"/>
      <c r="BG324" s="308">
        <f t="shared" si="140"/>
        <v>0</v>
      </c>
      <c r="BH324" s="140">
        <f t="shared" si="141"/>
        <v>0</v>
      </c>
      <c r="BI324" s="132"/>
      <c r="BJ324" s="140">
        <f t="shared" si="142"/>
        <v>0</v>
      </c>
      <c r="BK324" s="141"/>
      <c r="BL324" s="141"/>
      <c r="BM324" s="141"/>
      <c r="BN324" s="141"/>
      <c r="BO324" s="141"/>
      <c r="BP324" s="141"/>
      <c r="BQ324" s="141"/>
      <c r="BR324" s="141"/>
      <c r="BS324" s="141"/>
      <c r="BT324" s="141"/>
      <c r="BU324" s="141"/>
      <c r="BV324" s="141"/>
      <c r="BW324" s="141"/>
      <c r="BX324" s="130">
        <f t="shared" si="143"/>
        <v>0</v>
      </c>
      <c r="BY324" s="132"/>
    </row>
    <row r="325" ht="15.75" customHeight="1">
      <c r="B325" s="1477">
        <v>46315</v>
      </c>
      <c r="C325" s="379"/>
      <c r="D325" s="136"/>
      <c r="E325" s="136"/>
      <c r="F325" s="136"/>
      <c r="G325" s="105">
        <f t="shared" si="135"/>
        <v>0</v>
      </c>
      <c r="H325" s="1474"/>
      <c r="I325" s="142"/>
      <c r="J325" s="1488"/>
      <c r="K325" s="1470"/>
      <c r="L325" s="1470"/>
      <c r="M325" s="1470"/>
      <c r="N325" s="1470"/>
      <c r="O325" s="1470"/>
      <c r="P325" s="1470"/>
      <c r="Q325" s="1470"/>
      <c r="R325" s="1470"/>
      <c r="S325" s="1470"/>
      <c r="T325" s="1470"/>
      <c r="U325" s="1470"/>
      <c r="V325" s="1470"/>
      <c r="W325" s="1470"/>
      <c r="X325" s="103">
        <f t="shared" si="136"/>
        <v>0</v>
      </c>
      <c r="Y325" s="641"/>
      <c r="Z325" s="641"/>
      <c r="AA325" s="99"/>
      <c r="AB325" s="143"/>
      <c r="AC325" s="143"/>
      <c r="AD325" s="143"/>
      <c r="AE325" s="143"/>
      <c r="AF325" s="143"/>
      <c r="AG325" s="143"/>
      <c r="AH325" s="143"/>
      <c r="AI325" s="143"/>
      <c r="AJ325" s="143"/>
      <c r="AK325" s="143"/>
      <c r="AL325" s="103">
        <f t="shared" si="137"/>
        <v>0</v>
      </c>
      <c r="AM325" s="136"/>
      <c r="AN325" s="136"/>
      <c r="AO325" s="136"/>
      <c r="AP325" s="105">
        <f t="shared" si="138"/>
        <v>0</v>
      </c>
      <c r="AQ325" s="99"/>
      <c r="AR325" s="99"/>
      <c r="AS325" s="99"/>
      <c r="AT325" s="124"/>
      <c r="AU325" s="224">
        <f t="shared" si="139"/>
        <v>0</v>
      </c>
      <c r="AV325" s="126"/>
      <c r="AW325" s="274"/>
      <c r="AX325" s="126"/>
      <c r="AY325" s="126"/>
      <c r="AZ325" s="126"/>
      <c r="BA325" s="126"/>
      <c r="BB325" s="141"/>
      <c r="BC325" s="152"/>
      <c r="BD325" s="152"/>
      <c r="BE325" s="152"/>
      <c r="BF325" s="152"/>
      <c r="BG325" s="308">
        <f t="shared" si="140"/>
        <v>0</v>
      </c>
      <c r="BH325" s="140">
        <f t="shared" si="141"/>
        <v>0</v>
      </c>
      <c r="BI325" s="132"/>
      <c r="BJ325" s="140">
        <f t="shared" si="142"/>
        <v>0</v>
      </c>
      <c r="BK325" s="141"/>
      <c r="BL325" s="141"/>
      <c r="BM325" s="141"/>
      <c r="BN325" s="141"/>
      <c r="BO325" s="141"/>
      <c r="BP325" s="141"/>
      <c r="BQ325" s="141"/>
      <c r="BR325" s="141"/>
      <c r="BS325" s="141"/>
      <c r="BT325" s="141"/>
      <c r="BU325" s="141"/>
      <c r="BV325" s="141"/>
      <c r="BW325" s="141"/>
      <c r="BX325" s="130">
        <f t="shared" si="143"/>
        <v>0</v>
      </c>
      <c r="BY325" s="132"/>
    </row>
    <row r="326" ht="15.75" customHeight="1">
      <c r="B326" s="1477">
        <v>46316</v>
      </c>
      <c r="C326" s="379"/>
      <c r="D326" s="136"/>
      <c r="E326" s="136"/>
      <c r="F326" s="136"/>
      <c r="G326" s="105">
        <f t="shared" si="135"/>
        <v>0</v>
      </c>
      <c r="H326" s="1469"/>
      <c r="I326" s="1470"/>
      <c r="J326" s="1488"/>
      <c r="K326" s="1470"/>
      <c r="L326" s="1470"/>
      <c r="M326" s="1470"/>
      <c r="N326" s="1470"/>
      <c r="O326" s="1470"/>
      <c r="P326" s="1470"/>
      <c r="Q326" s="1470"/>
      <c r="R326" s="1470"/>
      <c r="S326" s="1470"/>
      <c r="T326" s="1470"/>
      <c r="U326" s="1470"/>
      <c r="V326" s="1470"/>
      <c r="W326" s="1470"/>
      <c r="X326" s="103">
        <f t="shared" si="136"/>
        <v>0</v>
      </c>
      <c r="Y326" s="641"/>
      <c r="Z326" s="641"/>
      <c r="AA326" s="99"/>
      <c r="AB326" s="143"/>
      <c r="AC326" s="143"/>
      <c r="AD326" s="143"/>
      <c r="AE326" s="143"/>
      <c r="AF326" s="143"/>
      <c r="AG326" s="143"/>
      <c r="AH326" s="143"/>
      <c r="AI326" s="143"/>
      <c r="AJ326" s="143"/>
      <c r="AK326" s="143"/>
      <c r="AL326" s="103">
        <f t="shared" si="137"/>
        <v>0</v>
      </c>
      <c r="AM326" s="136"/>
      <c r="AN326" s="136"/>
      <c r="AO326" s="136"/>
      <c r="AP326" s="105">
        <f t="shared" si="138"/>
        <v>0</v>
      </c>
      <c r="AQ326" s="99"/>
      <c r="AR326" s="99"/>
      <c r="AS326" s="99"/>
      <c r="AT326" s="124"/>
      <c r="AU326" s="224">
        <f t="shared" si="139"/>
        <v>0</v>
      </c>
      <c r="AV326" s="126"/>
      <c r="AW326" s="274"/>
      <c r="AX326" s="126"/>
      <c r="AY326" s="126"/>
      <c r="AZ326" s="126"/>
      <c r="BA326" s="126"/>
      <c r="BB326" s="141"/>
      <c r="BC326" s="152"/>
      <c r="BD326" s="152"/>
      <c r="BE326" s="152"/>
      <c r="BF326" s="152"/>
      <c r="BG326" s="308">
        <f t="shared" si="140"/>
        <v>0</v>
      </c>
      <c r="BH326" s="140">
        <f t="shared" si="141"/>
        <v>0</v>
      </c>
      <c r="BI326" s="132"/>
      <c r="BJ326" s="140">
        <f t="shared" si="142"/>
        <v>0</v>
      </c>
      <c r="BK326" s="141"/>
      <c r="BL326" s="141"/>
      <c r="BM326" s="141"/>
      <c r="BN326" s="141"/>
      <c r="BO326" s="141"/>
      <c r="BP326" s="141"/>
      <c r="BQ326" s="141"/>
      <c r="BR326" s="141"/>
      <c r="BS326" s="141"/>
      <c r="BT326" s="141"/>
      <c r="BU326" s="141"/>
      <c r="BV326" s="141"/>
      <c r="BW326" s="141"/>
      <c r="BX326" s="130">
        <f t="shared" si="143"/>
        <v>0</v>
      </c>
      <c r="BY326" s="132"/>
    </row>
    <row r="327" ht="15.75" customHeight="1">
      <c r="B327" s="1477">
        <v>46317</v>
      </c>
      <c r="C327" s="379"/>
      <c r="D327" s="136"/>
      <c r="E327" s="136"/>
      <c r="F327" s="136"/>
      <c r="G327" s="105">
        <f t="shared" si="135"/>
        <v>0</v>
      </c>
      <c r="H327" s="1469"/>
      <c r="I327" s="1470"/>
      <c r="J327" s="1488"/>
      <c r="K327" s="1470"/>
      <c r="L327" s="1470"/>
      <c r="M327" s="1470"/>
      <c r="N327" s="1470"/>
      <c r="O327" s="1470"/>
      <c r="P327" s="1470"/>
      <c r="Q327" s="1470"/>
      <c r="R327" s="1470"/>
      <c r="S327" s="1470"/>
      <c r="T327" s="1470"/>
      <c r="U327" s="1470"/>
      <c r="V327" s="1470"/>
      <c r="W327" s="1470"/>
      <c r="X327" s="103">
        <f t="shared" si="136"/>
        <v>0</v>
      </c>
      <c r="Y327" s="641"/>
      <c r="Z327" s="641"/>
      <c r="AA327" s="99"/>
      <c r="AB327" s="143"/>
      <c r="AC327" s="143"/>
      <c r="AD327" s="143"/>
      <c r="AE327" s="143"/>
      <c r="AF327" s="143"/>
      <c r="AG327" s="143"/>
      <c r="AH327" s="143"/>
      <c r="AI327" s="143"/>
      <c r="AJ327" s="143"/>
      <c r="AK327" s="143"/>
      <c r="AL327" s="103">
        <f t="shared" si="137"/>
        <v>0</v>
      </c>
      <c r="AM327" s="136"/>
      <c r="AN327" s="136"/>
      <c r="AO327" s="136"/>
      <c r="AP327" s="105">
        <f t="shared" si="138"/>
        <v>0</v>
      </c>
      <c r="AQ327" s="99"/>
      <c r="AR327" s="99"/>
      <c r="AS327" s="99"/>
      <c r="AT327" s="124"/>
      <c r="AU327" s="224">
        <f t="shared" si="139"/>
        <v>0</v>
      </c>
      <c r="AV327" s="126"/>
      <c r="AW327" s="274"/>
      <c r="AX327" s="126"/>
      <c r="AY327" s="126"/>
      <c r="AZ327" s="126"/>
      <c r="BA327" s="126"/>
      <c r="BB327" s="141"/>
      <c r="BC327" s="152"/>
      <c r="BD327" s="152"/>
      <c r="BE327" s="152"/>
      <c r="BF327" s="152"/>
      <c r="BG327" s="308">
        <f t="shared" si="140"/>
        <v>0</v>
      </c>
      <c r="BH327" s="140">
        <f t="shared" si="141"/>
        <v>0</v>
      </c>
      <c r="BI327" s="132"/>
      <c r="BJ327" s="140">
        <f t="shared" si="142"/>
        <v>0</v>
      </c>
      <c r="BK327" s="141"/>
      <c r="BL327" s="141"/>
      <c r="BM327" s="141"/>
      <c r="BN327" s="141"/>
      <c r="BO327" s="141"/>
      <c r="BP327" s="141"/>
      <c r="BQ327" s="141"/>
      <c r="BR327" s="141"/>
      <c r="BS327" s="141"/>
      <c r="BT327" s="141"/>
      <c r="BU327" s="141"/>
      <c r="BV327" s="141"/>
      <c r="BW327" s="141"/>
      <c r="BX327" s="130">
        <f t="shared" si="143"/>
        <v>0</v>
      </c>
      <c r="BY327" s="132"/>
    </row>
    <row r="328" ht="15.75" customHeight="1">
      <c r="B328" s="1477">
        <v>46318</v>
      </c>
      <c r="C328" s="379"/>
      <c r="D328" s="136"/>
      <c r="E328" s="136"/>
      <c r="F328" s="136"/>
      <c r="G328" s="105">
        <f t="shared" si="135"/>
        <v>0</v>
      </c>
      <c r="H328" s="1474"/>
      <c r="I328" s="142"/>
      <c r="J328" s="1488"/>
      <c r="K328" s="1470"/>
      <c r="L328" s="1470"/>
      <c r="M328" s="1470"/>
      <c r="N328" s="1470"/>
      <c r="O328" s="1470"/>
      <c r="P328" s="1470"/>
      <c r="Q328" s="1470"/>
      <c r="R328" s="1470"/>
      <c r="S328" s="1470"/>
      <c r="T328" s="1470"/>
      <c r="U328" s="1470"/>
      <c r="V328" s="1470"/>
      <c r="W328" s="1470"/>
      <c r="X328" s="103">
        <f t="shared" si="136"/>
        <v>0</v>
      </c>
      <c r="Y328" s="641"/>
      <c r="Z328" s="641"/>
      <c r="AA328" s="99"/>
      <c r="AB328" s="143"/>
      <c r="AC328" s="143"/>
      <c r="AD328" s="143"/>
      <c r="AE328" s="143"/>
      <c r="AF328" s="143"/>
      <c r="AG328" s="143"/>
      <c r="AH328" s="143"/>
      <c r="AI328" s="143"/>
      <c r="AJ328" s="143"/>
      <c r="AK328" s="143"/>
      <c r="AL328" s="103">
        <f t="shared" si="137"/>
        <v>0</v>
      </c>
      <c r="AM328" s="136"/>
      <c r="AN328" s="136"/>
      <c r="AO328" s="136"/>
      <c r="AP328" s="105">
        <f t="shared" si="138"/>
        <v>0</v>
      </c>
      <c r="AQ328" s="136"/>
      <c r="AR328" s="99"/>
      <c r="AS328" s="99"/>
      <c r="AT328" s="124"/>
      <c r="AU328" s="224">
        <f t="shared" si="139"/>
        <v>0</v>
      </c>
      <c r="AV328" s="126"/>
      <c r="AW328" s="274"/>
      <c r="AX328" s="126"/>
      <c r="AY328" s="126"/>
      <c r="AZ328" s="126"/>
      <c r="BA328" s="126"/>
      <c r="BB328" s="141"/>
      <c r="BC328" s="152"/>
      <c r="BD328" s="152"/>
      <c r="BE328" s="152"/>
      <c r="BF328" s="152"/>
      <c r="BG328" s="308">
        <f t="shared" si="140"/>
        <v>0</v>
      </c>
      <c r="BH328" s="140">
        <f t="shared" si="141"/>
        <v>0</v>
      </c>
      <c r="BI328" s="132"/>
      <c r="BJ328" s="140">
        <f t="shared" si="142"/>
        <v>0</v>
      </c>
      <c r="BK328" s="141"/>
      <c r="BL328" s="141"/>
      <c r="BM328" s="141"/>
      <c r="BN328" s="141"/>
      <c r="BO328" s="141"/>
      <c r="BP328" s="141"/>
      <c r="BQ328" s="141"/>
      <c r="BR328" s="141"/>
      <c r="BS328" s="141"/>
      <c r="BT328" s="141"/>
      <c r="BU328" s="141"/>
      <c r="BV328" s="141"/>
      <c r="BW328" s="141"/>
      <c r="BX328" s="130">
        <f t="shared" si="143"/>
        <v>0</v>
      </c>
      <c r="BY328" s="132"/>
    </row>
    <row r="329" ht="15.75" customHeight="1">
      <c r="B329" s="1477">
        <v>46319</v>
      </c>
      <c r="C329" s="379"/>
      <c r="D329" s="136"/>
      <c r="E329" s="136"/>
      <c r="F329" s="136"/>
      <c r="G329" s="105">
        <f t="shared" si="135"/>
        <v>0</v>
      </c>
      <c r="H329" s="1469"/>
      <c r="I329" s="1470"/>
      <c r="J329" s="1488"/>
      <c r="K329" s="1470"/>
      <c r="L329" s="1470"/>
      <c r="M329" s="1470"/>
      <c r="N329" s="1470"/>
      <c r="O329" s="1470"/>
      <c r="P329" s="1470"/>
      <c r="Q329" s="1470"/>
      <c r="R329" s="1470"/>
      <c r="S329" s="1470"/>
      <c r="T329" s="1470"/>
      <c r="U329" s="1470"/>
      <c r="V329" s="1470"/>
      <c r="W329" s="1470"/>
      <c r="X329" s="103">
        <f t="shared" si="136"/>
        <v>0</v>
      </c>
      <c r="Y329" s="641"/>
      <c r="Z329" s="641"/>
      <c r="AA329" s="99"/>
      <c r="AB329" s="143"/>
      <c r="AC329" s="143"/>
      <c r="AD329" s="143"/>
      <c r="AE329" s="143"/>
      <c r="AF329" s="143"/>
      <c r="AG329" s="143"/>
      <c r="AH329" s="143"/>
      <c r="AI329" s="143"/>
      <c r="AJ329" s="143"/>
      <c r="AK329" s="143"/>
      <c r="AL329" s="103">
        <f t="shared" si="137"/>
        <v>0</v>
      </c>
      <c r="AM329" s="136"/>
      <c r="AN329" s="136"/>
      <c r="AO329" s="136"/>
      <c r="AP329" s="105">
        <f t="shared" si="138"/>
        <v>0</v>
      </c>
      <c r="AQ329" s="136"/>
      <c r="AR329" s="99"/>
      <c r="AS329" s="99"/>
      <c r="AT329" s="124"/>
      <c r="AU329" s="224">
        <f t="shared" si="139"/>
        <v>0</v>
      </c>
      <c r="AV329" s="126"/>
      <c r="AW329" s="274"/>
      <c r="AX329" s="126"/>
      <c r="AY329" s="126"/>
      <c r="AZ329" s="126"/>
      <c r="BA329" s="126"/>
      <c r="BB329" s="141"/>
      <c r="BC329" s="152"/>
      <c r="BD329" s="152"/>
      <c r="BE329" s="152"/>
      <c r="BF329" s="152"/>
      <c r="BG329" s="308">
        <f t="shared" si="140"/>
        <v>0</v>
      </c>
      <c r="BH329" s="140">
        <f t="shared" si="141"/>
        <v>0</v>
      </c>
      <c r="BI329" s="132"/>
      <c r="BJ329" s="140">
        <f t="shared" si="142"/>
        <v>0</v>
      </c>
      <c r="BK329" s="141"/>
      <c r="BL329" s="141"/>
      <c r="BM329" s="141"/>
      <c r="BN329" s="141"/>
      <c r="BO329" s="141"/>
      <c r="BP329" s="141"/>
      <c r="BQ329" s="141"/>
      <c r="BR329" s="141"/>
      <c r="BS329" s="141"/>
      <c r="BT329" s="141"/>
      <c r="BU329" s="141"/>
      <c r="BV329" s="141"/>
      <c r="BW329" s="141"/>
      <c r="BX329" s="130">
        <f t="shared" si="143"/>
        <v>0</v>
      </c>
      <c r="BY329" s="132"/>
    </row>
    <row r="330" ht="15.75" customHeight="1">
      <c r="B330" s="1477">
        <v>46320</v>
      </c>
      <c r="C330" s="379"/>
      <c r="D330" s="136"/>
      <c r="E330" s="136"/>
      <c r="F330" s="136"/>
      <c r="G330" s="105">
        <f t="shared" si="135"/>
        <v>0</v>
      </c>
      <c r="H330" s="1469"/>
      <c r="I330" s="1470"/>
      <c r="J330" s="1488"/>
      <c r="K330" s="1470"/>
      <c r="L330" s="1470"/>
      <c r="M330" s="1470"/>
      <c r="N330" s="1470"/>
      <c r="O330" s="1470"/>
      <c r="P330" s="1470"/>
      <c r="Q330" s="1470"/>
      <c r="R330" s="1470"/>
      <c r="S330" s="1470"/>
      <c r="T330" s="1470"/>
      <c r="U330" s="1470"/>
      <c r="V330" s="1470"/>
      <c r="W330" s="1470"/>
      <c r="X330" s="103">
        <f t="shared" si="136"/>
        <v>0</v>
      </c>
      <c r="Y330" s="641"/>
      <c r="Z330" s="641"/>
      <c r="AA330" s="99"/>
      <c r="AB330" s="143"/>
      <c r="AC330" s="143"/>
      <c r="AD330" s="143"/>
      <c r="AE330" s="143"/>
      <c r="AF330" s="143"/>
      <c r="AG330" s="143"/>
      <c r="AH330" s="143"/>
      <c r="AI330" s="143"/>
      <c r="AJ330" s="143"/>
      <c r="AK330" s="143"/>
      <c r="AL330" s="103">
        <f t="shared" si="137"/>
        <v>0</v>
      </c>
      <c r="AM330" s="136"/>
      <c r="AN330" s="136"/>
      <c r="AO330" s="136"/>
      <c r="AP330" s="105">
        <f t="shared" si="138"/>
        <v>0</v>
      </c>
      <c r="AQ330" s="136"/>
      <c r="AR330" s="99"/>
      <c r="AS330" s="99"/>
      <c r="AT330" s="124"/>
      <c r="AU330" s="224">
        <f t="shared" si="139"/>
        <v>0</v>
      </c>
      <c r="AV330" s="126"/>
      <c r="AW330" s="274"/>
      <c r="AX330" s="126"/>
      <c r="AY330" s="126"/>
      <c r="AZ330" s="126"/>
      <c r="BA330" s="126"/>
      <c r="BB330" s="141"/>
      <c r="BC330" s="152"/>
      <c r="BD330" s="152"/>
      <c r="BE330" s="152"/>
      <c r="BF330" s="152"/>
      <c r="BG330" s="308">
        <f t="shared" si="140"/>
        <v>0</v>
      </c>
      <c r="BH330" s="140">
        <f t="shared" si="141"/>
        <v>0</v>
      </c>
      <c r="BI330" s="132"/>
      <c r="BJ330" s="140">
        <f t="shared" si="142"/>
        <v>0</v>
      </c>
      <c r="BK330" s="141"/>
      <c r="BL330" s="141"/>
      <c r="BM330" s="141"/>
      <c r="BN330" s="141"/>
      <c r="BO330" s="141"/>
      <c r="BP330" s="141"/>
      <c r="BQ330" s="141"/>
      <c r="BR330" s="141"/>
      <c r="BS330" s="141"/>
      <c r="BT330" s="141"/>
      <c r="BU330" s="141"/>
      <c r="BV330" s="141"/>
      <c r="BW330" s="141"/>
      <c r="BX330" s="130">
        <f t="shared" si="143"/>
        <v>0</v>
      </c>
      <c r="BY330" s="132"/>
    </row>
    <row r="331" ht="15.75" customHeight="1">
      <c r="B331" s="1477">
        <v>46321</v>
      </c>
      <c r="C331" s="379"/>
      <c r="D331" s="136"/>
      <c r="E331" s="136"/>
      <c r="F331" s="136"/>
      <c r="G331" s="105">
        <f t="shared" si="135"/>
        <v>0</v>
      </c>
      <c r="H331" s="1474"/>
      <c r="I331" s="142"/>
      <c r="J331" s="1488"/>
      <c r="K331" s="1470"/>
      <c r="L331" s="1470"/>
      <c r="M331" s="1470"/>
      <c r="N331" s="1470"/>
      <c r="O331" s="1470"/>
      <c r="P331" s="1470"/>
      <c r="Q331" s="1470"/>
      <c r="R331" s="1470"/>
      <c r="S331" s="1470"/>
      <c r="T331" s="1470"/>
      <c r="U331" s="1470"/>
      <c r="V331" s="1470"/>
      <c r="W331" s="1470"/>
      <c r="X331" s="103">
        <f t="shared" si="136"/>
        <v>0</v>
      </c>
      <c r="Y331" s="641"/>
      <c r="Z331" s="641"/>
      <c r="AA331" s="99"/>
      <c r="AB331" s="143"/>
      <c r="AC331" s="143"/>
      <c r="AD331" s="143"/>
      <c r="AE331" s="143"/>
      <c r="AF331" s="143"/>
      <c r="AG331" s="143"/>
      <c r="AH331" s="143"/>
      <c r="AI331" s="143"/>
      <c r="AJ331" s="143"/>
      <c r="AK331" s="143"/>
      <c r="AL331" s="103">
        <f t="shared" si="137"/>
        <v>0</v>
      </c>
      <c r="AM331" s="136"/>
      <c r="AN331" s="136"/>
      <c r="AO331" s="136"/>
      <c r="AP331" s="105">
        <f t="shared" si="138"/>
        <v>0</v>
      </c>
      <c r="AQ331" s="136"/>
      <c r="AR331" s="99"/>
      <c r="AS331" s="99"/>
      <c r="AT331" s="124"/>
      <c r="AU331" s="224">
        <f t="shared" si="139"/>
        <v>0</v>
      </c>
      <c r="AV331" s="126"/>
      <c r="AW331" s="274"/>
      <c r="AX331" s="126"/>
      <c r="AY331" s="126"/>
      <c r="AZ331" s="126"/>
      <c r="BA331" s="126"/>
      <c r="BB331" s="141"/>
      <c r="BC331" s="152"/>
      <c r="BD331" s="152"/>
      <c r="BE331" s="152"/>
      <c r="BF331" s="152"/>
      <c r="BG331" s="308">
        <f t="shared" si="140"/>
        <v>0</v>
      </c>
      <c r="BH331" s="140">
        <f t="shared" si="141"/>
        <v>0</v>
      </c>
      <c r="BI331" s="132"/>
      <c r="BJ331" s="140">
        <f t="shared" si="142"/>
        <v>0</v>
      </c>
      <c r="BK331" s="141"/>
      <c r="BL331" s="141"/>
      <c r="BM331" s="141"/>
      <c r="BN331" s="141"/>
      <c r="BO331" s="141"/>
      <c r="BP331" s="141"/>
      <c r="BQ331" s="141"/>
      <c r="BR331" s="141"/>
      <c r="BS331" s="141"/>
      <c r="BT331" s="141"/>
      <c r="BU331" s="141"/>
      <c r="BV331" s="141"/>
      <c r="BW331" s="141"/>
      <c r="BX331" s="130">
        <f t="shared" si="143"/>
        <v>0</v>
      </c>
      <c r="BY331" s="132"/>
    </row>
    <row r="332" ht="15.75" customHeight="1">
      <c r="B332" s="1477">
        <v>46322</v>
      </c>
      <c r="C332" s="379"/>
      <c r="D332" s="136"/>
      <c r="E332" s="136"/>
      <c r="F332" s="136"/>
      <c r="G332" s="105">
        <f t="shared" si="135"/>
        <v>0</v>
      </c>
      <c r="H332" s="1469"/>
      <c r="I332" s="1470"/>
      <c r="J332" s="1488"/>
      <c r="K332" s="1470"/>
      <c r="L332" s="1470"/>
      <c r="M332" s="1470"/>
      <c r="N332" s="1470"/>
      <c r="O332" s="1470"/>
      <c r="P332" s="1470"/>
      <c r="Q332" s="1470"/>
      <c r="R332" s="1470"/>
      <c r="S332" s="1470"/>
      <c r="T332" s="1470"/>
      <c r="U332" s="1470"/>
      <c r="V332" s="1470"/>
      <c r="W332" s="1470"/>
      <c r="X332" s="103">
        <f t="shared" si="136"/>
        <v>0</v>
      </c>
      <c r="Y332" s="641"/>
      <c r="Z332" s="641"/>
      <c r="AA332" s="99"/>
      <c r="AB332" s="143"/>
      <c r="AC332" s="143"/>
      <c r="AD332" s="143"/>
      <c r="AE332" s="143"/>
      <c r="AF332" s="143"/>
      <c r="AG332" s="143"/>
      <c r="AH332" s="143"/>
      <c r="AI332" s="143"/>
      <c r="AJ332" s="143"/>
      <c r="AK332" s="143"/>
      <c r="AL332" s="103">
        <f t="shared" si="137"/>
        <v>0</v>
      </c>
      <c r="AM332" s="136"/>
      <c r="AN332" s="136"/>
      <c r="AO332" s="136"/>
      <c r="AP332" s="105">
        <f t="shared" si="138"/>
        <v>0</v>
      </c>
      <c r="AQ332" s="136"/>
      <c r="AR332" s="99"/>
      <c r="AS332" s="99"/>
      <c r="AT332" s="124"/>
      <c r="AU332" s="224">
        <f t="shared" si="139"/>
        <v>0</v>
      </c>
      <c r="AV332" s="126"/>
      <c r="AW332" s="274"/>
      <c r="AX332" s="126"/>
      <c r="AY332" s="126"/>
      <c r="AZ332" s="126"/>
      <c r="BA332" s="126"/>
      <c r="BB332" s="141"/>
      <c r="BC332" s="152"/>
      <c r="BD332" s="152"/>
      <c r="BE332" s="152"/>
      <c r="BF332" s="152"/>
      <c r="BG332" s="308">
        <f t="shared" si="140"/>
        <v>0</v>
      </c>
      <c r="BH332" s="140">
        <f t="shared" si="141"/>
        <v>0</v>
      </c>
      <c r="BI332" s="132"/>
      <c r="BJ332" s="140">
        <f t="shared" si="142"/>
        <v>0</v>
      </c>
      <c r="BK332" s="141"/>
      <c r="BL332" s="141"/>
      <c r="BM332" s="141"/>
      <c r="BN332" s="141"/>
      <c r="BO332" s="141"/>
      <c r="BP332" s="141"/>
      <c r="BQ332" s="141"/>
      <c r="BR332" s="141"/>
      <c r="BS332" s="141"/>
      <c r="BT332" s="141"/>
      <c r="BU332" s="141"/>
      <c r="BV332" s="141"/>
      <c r="BW332" s="141"/>
      <c r="BX332" s="130">
        <f t="shared" si="143"/>
        <v>0</v>
      </c>
      <c r="BY332" s="132"/>
    </row>
    <row r="333" ht="15.75" customHeight="1">
      <c r="B333" s="1477">
        <v>46323</v>
      </c>
      <c r="C333" s="379"/>
      <c r="D333" s="136"/>
      <c r="E333" s="136"/>
      <c r="F333" s="136"/>
      <c r="G333" s="105">
        <f t="shared" si="135"/>
        <v>0</v>
      </c>
      <c r="H333" s="1469"/>
      <c r="I333" s="1470"/>
      <c r="J333" s="1488"/>
      <c r="K333" s="1470"/>
      <c r="L333" s="1470"/>
      <c r="M333" s="1470"/>
      <c r="N333" s="1470"/>
      <c r="O333" s="1470"/>
      <c r="P333" s="1470"/>
      <c r="Q333" s="1470"/>
      <c r="R333" s="1470"/>
      <c r="S333" s="1470"/>
      <c r="T333" s="1470"/>
      <c r="U333" s="1470"/>
      <c r="V333" s="1470"/>
      <c r="W333" s="1470"/>
      <c r="X333" s="103">
        <f t="shared" si="136"/>
        <v>0</v>
      </c>
      <c r="Y333" s="641"/>
      <c r="Z333" s="641"/>
      <c r="AA333" s="99"/>
      <c r="AB333" s="143"/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03">
        <f t="shared" si="137"/>
        <v>0</v>
      </c>
      <c r="AM333" s="136"/>
      <c r="AN333" s="136"/>
      <c r="AO333" s="136"/>
      <c r="AP333" s="105">
        <f t="shared" si="138"/>
        <v>0</v>
      </c>
      <c r="AQ333" s="136"/>
      <c r="AR333" s="99"/>
      <c r="AS333" s="99"/>
      <c r="AT333" s="124"/>
      <c r="AU333" s="224">
        <f t="shared" si="139"/>
        <v>0</v>
      </c>
      <c r="AV333" s="126"/>
      <c r="AW333" s="274"/>
      <c r="AX333" s="126"/>
      <c r="AY333" s="126"/>
      <c r="AZ333" s="126"/>
      <c r="BA333" s="126"/>
      <c r="BB333" s="141"/>
      <c r="BC333" s="152"/>
      <c r="BD333" s="152"/>
      <c r="BE333" s="152"/>
      <c r="BF333" s="152"/>
      <c r="BG333" s="308">
        <f t="shared" si="140"/>
        <v>0</v>
      </c>
      <c r="BH333" s="140">
        <f t="shared" si="141"/>
        <v>0</v>
      </c>
      <c r="BI333" s="132"/>
      <c r="BJ333" s="140">
        <f t="shared" si="142"/>
        <v>0</v>
      </c>
      <c r="BK333" s="141"/>
      <c r="BL333" s="141"/>
      <c r="BM333" s="141"/>
      <c r="BN333" s="141"/>
      <c r="BO333" s="141"/>
      <c r="BP333" s="141"/>
      <c r="BQ333" s="141"/>
      <c r="BR333" s="141"/>
      <c r="BS333" s="141"/>
      <c r="BT333" s="141"/>
      <c r="BU333" s="141"/>
      <c r="BV333" s="141"/>
      <c r="BW333" s="141"/>
      <c r="BX333" s="130">
        <f t="shared" si="143"/>
        <v>0</v>
      </c>
      <c r="BY333" s="132"/>
    </row>
    <row r="334" ht="15.75" customHeight="1">
      <c r="B334" s="1477">
        <v>46324</v>
      </c>
      <c r="C334" s="379"/>
      <c r="D334" s="136"/>
      <c r="E334" s="136"/>
      <c r="F334" s="136"/>
      <c r="G334" s="105">
        <f t="shared" si="135"/>
        <v>0</v>
      </c>
      <c r="H334" s="1474"/>
      <c r="I334" s="142"/>
      <c r="J334" s="1488"/>
      <c r="K334" s="1470"/>
      <c r="L334" s="1470"/>
      <c r="M334" s="1470"/>
      <c r="N334" s="1470"/>
      <c r="O334" s="1470"/>
      <c r="P334" s="1470"/>
      <c r="Q334" s="1470"/>
      <c r="R334" s="1470"/>
      <c r="S334" s="1470"/>
      <c r="T334" s="1470"/>
      <c r="U334" s="1470"/>
      <c r="V334" s="1470"/>
      <c r="W334" s="1470"/>
      <c r="X334" s="103">
        <f t="shared" si="136"/>
        <v>0</v>
      </c>
      <c r="Y334" s="641"/>
      <c r="Z334" s="641"/>
      <c r="AA334" s="99"/>
      <c r="AB334" s="143"/>
      <c r="AC334" s="143"/>
      <c r="AD334" s="143"/>
      <c r="AE334" s="143"/>
      <c r="AF334" s="143"/>
      <c r="AG334" s="143"/>
      <c r="AH334" s="143"/>
      <c r="AI334" s="143"/>
      <c r="AJ334" s="143"/>
      <c r="AK334" s="143"/>
      <c r="AL334" s="103">
        <f t="shared" si="137"/>
        <v>0</v>
      </c>
      <c r="AM334" s="136"/>
      <c r="AN334" s="136"/>
      <c r="AO334" s="136"/>
      <c r="AP334" s="105">
        <f t="shared" si="138"/>
        <v>0</v>
      </c>
      <c r="AQ334" s="99"/>
      <c r="AR334" s="99"/>
      <c r="AS334" s="99"/>
      <c r="AT334" s="124"/>
      <c r="AU334" s="224">
        <f t="shared" si="139"/>
        <v>0</v>
      </c>
      <c r="AV334" s="126"/>
      <c r="AW334" s="274"/>
      <c r="AX334" s="126"/>
      <c r="AY334" s="126"/>
      <c r="AZ334" s="126"/>
      <c r="BA334" s="126"/>
      <c r="BB334" s="141"/>
      <c r="BC334" s="152"/>
      <c r="BD334" s="152"/>
      <c r="BE334" s="152"/>
      <c r="BF334" s="152"/>
      <c r="BG334" s="308">
        <f t="shared" si="140"/>
        <v>0</v>
      </c>
      <c r="BH334" s="140">
        <f t="shared" si="141"/>
        <v>0</v>
      </c>
      <c r="BI334" s="132"/>
      <c r="BJ334" s="140">
        <f t="shared" si="142"/>
        <v>0</v>
      </c>
      <c r="BK334" s="141"/>
      <c r="BL334" s="141"/>
      <c r="BM334" s="141"/>
      <c r="BN334" s="141"/>
      <c r="BO334" s="141"/>
      <c r="BP334" s="141"/>
      <c r="BQ334" s="141"/>
      <c r="BR334" s="141"/>
      <c r="BS334" s="141"/>
      <c r="BT334" s="141"/>
      <c r="BU334" s="141"/>
      <c r="BV334" s="141"/>
      <c r="BW334" s="141"/>
      <c r="BX334" s="130">
        <f t="shared" si="143"/>
        <v>0</v>
      </c>
      <c r="BY334" s="132"/>
    </row>
    <row r="335" ht="15.75" customHeight="1">
      <c r="B335" s="1477">
        <v>46325</v>
      </c>
      <c r="C335" s="379"/>
      <c r="D335" s="136"/>
      <c r="E335" s="136"/>
      <c r="F335" s="136"/>
      <c r="G335" s="105">
        <f t="shared" si="135"/>
        <v>0</v>
      </c>
      <c r="H335" s="1469"/>
      <c r="I335" s="1470"/>
      <c r="J335" s="1488"/>
      <c r="K335" s="1470"/>
      <c r="L335" s="1470"/>
      <c r="M335" s="1470"/>
      <c r="N335" s="1470"/>
      <c r="O335" s="1470"/>
      <c r="P335" s="1470"/>
      <c r="Q335" s="1470"/>
      <c r="R335" s="1470"/>
      <c r="S335" s="1470"/>
      <c r="T335" s="1470"/>
      <c r="U335" s="1470"/>
      <c r="V335" s="1470"/>
      <c r="W335" s="1470"/>
      <c r="X335" s="103">
        <f t="shared" si="136"/>
        <v>0</v>
      </c>
      <c r="Y335" s="641"/>
      <c r="Z335" s="641"/>
      <c r="AA335" s="99"/>
      <c r="AB335" s="143"/>
      <c r="AC335" s="143"/>
      <c r="AD335" s="143"/>
      <c r="AE335" s="143"/>
      <c r="AF335" s="143"/>
      <c r="AG335" s="143"/>
      <c r="AH335" s="143"/>
      <c r="AI335" s="143"/>
      <c r="AJ335" s="143"/>
      <c r="AK335" s="143"/>
      <c r="AL335" s="103">
        <f t="shared" si="137"/>
        <v>0</v>
      </c>
      <c r="AM335" s="136"/>
      <c r="AN335" s="136"/>
      <c r="AO335" s="136"/>
      <c r="AP335" s="105">
        <f t="shared" si="138"/>
        <v>0</v>
      </c>
      <c r="AQ335" s="99"/>
      <c r="AR335" s="99"/>
      <c r="AS335" s="99"/>
      <c r="AT335" s="124"/>
      <c r="AU335" s="224">
        <f t="shared" si="139"/>
        <v>0</v>
      </c>
      <c r="AV335" s="126"/>
      <c r="AW335" s="274"/>
      <c r="AX335" s="126"/>
      <c r="AY335" s="126"/>
      <c r="AZ335" s="126"/>
      <c r="BA335" s="126"/>
      <c r="BB335" s="141"/>
      <c r="BC335" s="152"/>
      <c r="BD335" s="152"/>
      <c r="BE335" s="152"/>
      <c r="BF335" s="152"/>
      <c r="BG335" s="308">
        <f t="shared" si="140"/>
        <v>0</v>
      </c>
      <c r="BH335" s="140">
        <f t="shared" si="141"/>
        <v>0</v>
      </c>
      <c r="BI335" s="132"/>
      <c r="BJ335" s="140">
        <f t="shared" si="142"/>
        <v>0</v>
      </c>
      <c r="BK335" s="141"/>
      <c r="BL335" s="141"/>
      <c r="BM335" s="141"/>
      <c r="BN335" s="141"/>
      <c r="BO335" s="141"/>
      <c r="BP335" s="141"/>
      <c r="BQ335" s="141"/>
      <c r="BR335" s="141"/>
      <c r="BS335" s="141"/>
      <c r="BT335" s="141"/>
      <c r="BU335" s="141"/>
      <c r="BV335" s="141"/>
      <c r="BW335" s="141"/>
      <c r="BX335" s="130">
        <f t="shared" si="143"/>
        <v>0</v>
      </c>
      <c r="BY335" s="132"/>
    </row>
    <row r="336" ht="15.75" customHeight="1">
      <c r="B336" s="1477">
        <v>46326</v>
      </c>
      <c r="C336" s="379"/>
      <c r="D336" s="136"/>
      <c r="E336" s="136"/>
      <c r="F336" s="136"/>
      <c r="G336" s="105">
        <f t="shared" si="135"/>
        <v>0</v>
      </c>
      <c r="H336" s="99"/>
      <c r="I336" s="99"/>
      <c r="J336" s="1488"/>
      <c r="K336" s="1470"/>
      <c r="L336" s="99"/>
      <c r="M336" s="611"/>
      <c r="N336" s="1470"/>
      <c r="O336" s="143"/>
      <c r="P336" s="143"/>
      <c r="Q336" s="143"/>
      <c r="R336" s="143"/>
      <c r="S336" s="143"/>
      <c r="T336" s="143"/>
      <c r="U336" s="143"/>
      <c r="V336" s="143"/>
      <c r="W336" s="143"/>
      <c r="X336" s="623">
        <f t="shared" si="136"/>
        <v>0</v>
      </c>
      <c r="Y336" s="658"/>
      <c r="Z336" s="641"/>
      <c r="AA336" s="99"/>
      <c r="AB336" s="143"/>
      <c r="AC336" s="143"/>
      <c r="AD336" s="143"/>
      <c r="AE336" s="143"/>
      <c r="AF336" s="143"/>
      <c r="AG336" s="143"/>
      <c r="AH336" s="143"/>
      <c r="AI336" s="143"/>
      <c r="AJ336" s="143"/>
      <c r="AK336" s="143"/>
      <c r="AL336" s="103">
        <f t="shared" si="137"/>
        <v>0</v>
      </c>
      <c r="AM336" s="136"/>
      <c r="AN336" s="136"/>
      <c r="AO336" s="136"/>
      <c r="AP336" s="105">
        <f t="shared" si="138"/>
        <v>0</v>
      </c>
      <c r="AQ336" s="99"/>
      <c r="AR336" s="99"/>
      <c r="AS336" s="99"/>
      <c r="AT336" s="124"/>
      <c r="AU336" s="224">
        <f t="shared" si="139"/>
        <v>0</v>
      </c>
      <c r="AV336" s="138"/>
      <c r="AW336" s="296"/>
      <c r="AX336" s="138"/>
      <c r="AY336" s="138"/>
      <c r="AZ336" s="138"/>
      <c r="BA336" s="138"/>
      <c r="BB336" s="163"/>
      <c r="BC336" s="879"/>
      <c r="BD336" s="879"/>
      <c r="BE336" s="879"/>
      <c r="BF336" s="879"/>
      <c r="BG336" s="308">
        <f t="shared" si="140"/>
        <v>0</v>
      </c>
      <c r="BH336" s="140">
        <f t="shared" si="141"/>
        <v>0</v>
      </c>
      <c r="BI336" s="132"/>
      <c r="BJ336" s="140">
        <f t="shared" si="142"/>
        <v>0</v>
      </c>
      <c r="BK336" s="141"/>
      <c r="BL336" s="141"/>
      <c r="BM336" s="141"/>
      <c r="BN336" s="141"/>
      <c r="BO336" s="141"/>
      <c r="BP336" s="141"/>
      <c r="BQ336" s="141"/>
      <c r="BR336" s="141"/>
      <c r="BS336" s="141"/>
      <c r="BT336" s="141"/>
      <c r="BU336" s="141"/>
      <c r="BV336" s="141"/>
      <c r="BW336" s="141"/>
      <c r="BX336" s="130">
        <f t="shared" si="143"/>
        <v>0</v>
      </c>
      <c r="BY336" s="132"/>
    </row>
    <row r="337" ht="15.75" customHeight="1">
      <c r="B337" s="2" t="s">
        <v>84</v>
      </c>
      <c r="C337" s="166">
        <f ref="C337:G337" t="shared" si="144">SUM(C306:C336)</f>
        <v>0</v>
      </c>
      <c r="D337" s="166">
        <f t="shared" si="144"/>
        <v>0</v>
      </c>
      <c r="E337" s="166">
        <f t="shared" si="144"/>
        <v>0</v>
      </c>
      <c r="F337" s="166">
        <f t="shared" si="144"/>
        <v>0</v>
      </c>
      <c r="G337" s="166">
        <f t="shared" si="144"/>
        <v>0</v>
      </c>
      <c r="H337" s="166"/>
      <c r="I337" s="166"/>
      <c r="J337" s="166">
        <f ref="J337:K337" t="shared" si="145">SUM(J306:J336)</f>
        <v>0</v>
      </c>
      <c r="K337" s="166">
        <f t="shared" si="145"/>
        <v>0</v>
      </c>
      <c r="L337" s="166"/>
      <c r="M337" s="166">
        <f ref="M337:O337" t="shared" si="146">SUM(M306:M336)</f>
        <v>0</v>
      </c>
      <c r="N337" s="166">
        <f t="shared" si="146"/>
        <v>0</v>
      </c>
      <c r="O337" s="166">
        <f t="shared" si="146"/>
        <v>0</v>
      </c>
      <c r="P337" s="166"/>
      <c r="Q337" s="166">
        <f>SUM(Q306:Q336)</f>
        <v>0</v>
      </c>
      <c r="R337" s="166"/>
      <c r="S337" s="166">
        <f ref="S337:T337" t="shared" si="147">SUM(S306:S336)</f>
        <v>0</v>
      </c>
      <c r="T337" s="166">
        <f t="shared" si="147"/>
        <v>0</v>
      </c>
      <c r="U337" s="166"/>
      <c r="V337" s="166">
        <f>SUM(V306:V336)</f>
        <v>0</v>
      </c>
      <c r="W337" s="166"/>
      <c r="X337" s="166">
        <f ref="X337:Y337" t="shared" si="148">SUM(X306:X336)</f>
        <v>0</v>
      </c>
      <c r="Y337" s="166">
        <f t="shared" si="148"/>
        <v>0</v>
      </c>
      <c r="Z337" s="166"/>
      <c r="AA337" s="166">
        <f ref="AA337:AP337" t="shared" si="149">SUM(AA306:AA336)</f>
        <v>0</v>
      </c>
      <c r="AB337" s="166">
        <f t="shared" si="149"/>
        <v>0</v>
      </c>
      <c r="AC337" s="166">
        <f t="shared" si="149"/>
        <v>0</v>
      </c>
      <c r="AD337" s="166">
        <f t="shared" si="149"/>
        <v>0</v>
      </c>
      <c r="AE337" s="166">
        <f t="shared" si="149"/>
        <v>0</v>
      </c>
      <c r="AF337" s="166">
        <f t="shared" si="149"/>
        <v>0</v>
      </c>
      <c r="AG337" s="166">
        <f t="shared" si="149"/>
        <v>0</v>
      </c>
      <c r="AH337" s="166">
        <f t="shared" si="149"/>
        <v>0</v>
      </c>
      <c r="AI337" s="166">
        <f t="shared" si="149"/>
        <v>0</v>
      </c>
      <c r="AJ337" s="166">
        <f t="shared" si="149"/>
        <v>0</v>
      </c>
      <c r="AK337" s="166">
        <f t="shared" si="149"/>
        <v>0</v>
      </c>
      <c r="AL337" s="166">
        <f t="shared" si="149"/>
        <v>0</v>
      </c>
      <c r="AM337" s="166">
        <f t="shared" si="149"/>
        <v>0</v>
      </c>
      <c r="AN337" s="166">
        <f t="shared" si="149"/>
        <v>0</v>
      </c>
      <c r="AO337" s="166">
        <f t="shared" si="149"/>
        <v>0</v>
      </c>
      <c r="AP337" s="166">
        <f t="shared" si="149"/>
        <v>0</v>
      </c>
      <c r="AQ337" s="166"/>
      <c r="AR337" s="166"/>
      <c r="AS337" s="166"/>
      <c r="AT337" s="167"/>
      <c r="AU337" s="1476">
        <f ref="AU337:AV337" t="shared" si="150">SUM(AU306:AU336)</f>
        <v>0</v>
      </c>
      <c r="AV337" s="1390">
        <f t="shared" si="150"/>
        <v>0</v>
      </c>
      <c r="AW337" s="166"/>
      <c r="AX337" s="166"/>
      <c r="AY337" s="166"/>
      <c r="AZ337" s="166"/>
      <c r="BA337" s="166"/>
      <c r="BB337" s="166"/>
      <c r="BC337" s="166"/>
      <c r="BD337" s="166"/>
      <c r="BE337" s="166"/>
      <c r="BF337" s="166"/>
      <c r="BG337" s="166">
        <f ref="BG337:BH337" t="shared" si="151">SUM(BG306:BG336)</f>
        <v>0</v>
      </c>
      <c r="BH337" s="166">
        <f t="shared" si="151"/>
        <v>0</v>
      </c>
      <c r="BI337" s="3"/>
      <c r="BJ337" s="172">
        <f>SUM(BJ306:BJ336)</f>
        <v>0</v>
      </c>
      <c r="BK337" s="166"/>
      <c r="BL337" s="166"/>
      <c r="BM337" s="166"/>
      <c r="BN337" s="166"/>
      <c r="BO337" s="166"/>
      <c r="BP337" s="166"/>
      <c r="BQ337" s="166"/>
      <c r="BR337" s="166"/>
      <c r="BS337" s="166"/>
      <c r="BT337" s="166"/>
      <c r="BU337" s="166"/>
      <c r="BV337" s="166"/>
      <c r="BW337" s="166"/>
      <c r="BX337" s="166">
        <f>SUM(BX306:BX336)</f>
        <v>0</v>
      </c>
      <c r="BY337" s="3"/>
    </row>
    <row r="338" ht="15.75" customHeight="1">
      <c r="B338" s="2"/>
      <c r="C338" s="1482"/>
      <c r="Y338" s="1482"/>
      <c r="Z338" s="1482"/>
    </row>
    <row r="339" ht="15.75" customHeight="1">
      <c r="B339" s="2"/>
      <c r="C339" s="1482"/>
      <c r="Y339" s="1482"/>
      <c r="Z339" s="1482"/>
    </row>
    <row r="340" ht="15.75" customHeight="1">
      <c r="B340" s="1477">
        <v>46327</v>
      </c>
      <c r="C340" s="417"/>
      <c r="D340" s="190"/>
      <c r="E340" s="182"/>
      <c r="F340" s="182"/>
      <c r="G340" s="216">
        <f ref="G340:G369" t="shared" si="152">+C340+D340+E340+F340</f>
        <v>0</v>
      </c>
      <c r="H340" s="1478"/>
      <c r="I340" s="1479"/>
      <c r="J340" s="1479"/>
      <c r="K340" s="1479"/>
      <c r="L340" s="1479"/>
      <c r="M340" s="1479"/>
      <c r="N340" s="1479"/>
      <c r="O340" s="1479"/>
      <c r="P340" s="1479"/>
      <c r="Q340" s="1479"/>
      <c r="R340" s="1479"/>
      <c r="S340" s="1479"/>
      <c r="T340" s="1479"/>
      <c r="U340" s="1479"/>
      <c r="V340" s="1479"/>
      <c r="W340" s="1470"/>
      <c r="X340" s="1012">
        <f ref="X340:X369" t="shared" si="153">SUM(H340:V340)</f>
        <v>0</v>
      </c>
      <c r="Y340" s="1479"/>
      <c r="Z340" s="1470"/>
      <c r="AA340" s="1471"/>
      <c r="AB340" s="1010"/>
      <c r="AC340" s="1010"/>
      <c r="AD340" s="1010"/>
      <c r="AE340" s="1010"/>
      <c r="AF340" s="1010"/>
      <c r="AG340" s="1010"/>
      <c r="AH340" s="1010"/>
      <c r="AI340" s="1010"/>
      <c r="AJ340" s="1010"/>
      <c r="AK340" s="1010"/>
      <c r="AL340" s="1012">
        <f ref="AL340:AL369" t="shared" si="154">SUM(Y340:AK340)</f>
        <v>0</v>
      </c>
      <c r="AM340" s="1026"/>
      <c r="AN340" s="1026"/>
      <c r="AO340" s="1026"/>
      <c r="AP340" s="1014">
        <f ref="AP340:AP369" t="shared" si="155">SUM(AM340:AO340)</f>
        <v>0</v>
      </c>
      <c r="AQ340" s="1026"/>
      <c r="AR340" s="1026"/>
      <c r="AS340" s="1026"/>
      <c r="AT340" s="1489"/>
      <c r="AU340" s="219">
        <f ref="AU340:AU369" t="shared" si="156">+G340-X340-AL340-AP340-AQ340-AR340-AS340-AT340</f>
        <v>0</v>
      </c>
      <c r="AV340" s="109"/>
      <c r="AW340" s="639"/>
      <c r="AX340" s="847"/>
      <c r="AY340" s="847"/>
      <c r="AZ340" s="847"/>
      <c r="BA340" s="847"/>
      <c r="BB340" s="1490"/>
      <c r="BC340" s="1491"/>
      <c r="BD340" s="1491"/>
      <c r="BE340" s="1491"/>
      <c r="BF340" s="1491"/>
      <c r="BG340" s="1483">
        <f ref="BG340:BG369" t="shared" si="157">SUM(AV340:BF340)-BE340</f>
        <v>0</v>
      </c>
      <c r="BH340" s="1492">
        <f ref="BH340:BH369" t="shared" si="158">+AU340-BG340</f>
        <v>0</v>
      </c>
      <c r="BI340" s="132"/>
      <c r="BJ340" s="195">
        <f ref="BJ340:BJ369" t="shared" si="159">SUM(BK340:BW340)</f>
        <v>0</v>
      </c>
      <c r="BK340" s="196"/>
      <c r="BL340" s="196"/>
      <c r="BM340" s="196"/>
      <c r="BN340" s="196"/>
      <c r="BO340" s="196"/>
      <c r="BP340" s="196"/>
      <c r="BQ340" s="196"/>
      <c r="BR340" s="196"/>
      <c r="BS340" s="196"/>
      <c r="BT340" s="196"/>
      <c r="BU340" s="196"/>
      <c r="BV340" s="196"/>
      <c r="BW340" s="196"/>
      <c r="BX340" s="116">
        <f ref="BX340:BX369" t="shared" si="160">+BH340-BJ340</f>
        <v>0</v>
      </c>
      <c r="BY340" s="132"/>
    </row>
    <row r="341" ht="15.75" customHeight="1">
      <c r="B341" s="1477">
        <v>46328</v>
      </c>
      <c r="C341" s="379"/>
      <c r="D341" s="136"/>
      <c r="E341" s="135"/>
      <c r="F341" s="135"/>
      <c r="G341" s="147">
        <f t="shared" si="152"/>
        <v>0</v>
      </c>
      <c r="H341" s="1469"/>
      <c r="I341" s="1470"/>
      <c r="J341" s="1470"/>
      <c r="K341" s="1470"/>
      <c r="L341" s="1470"/>
      <c r="M341" s="1470"/>
      <c r="N341" s="1470"/>
      <c r="O341" s="1470"/>
      <c r="P341" s="1470"/>
      <c r="Q341" s="1470"/>
      <c r="R341" s="1470"/>
      <c r="S341" s="1470"/>
      <c r="T341" s="1470"/>
      <c r="U341" s="1470"/>
      <c r="V341" s="1470"/>
      <c r="W341" s="1470"/>
      <c r="X341" s="103">
        <f t="shared" si="153"/>
        <v>0</v>
      </c>
      <c r="Y341" s="1470"/>
      <c r="Z341" s="1470"/>
      <c r="AA341" s="99"/>
      <c r="AB341" s="143"/>
      <c r="AC341" s="143"/>
      <c r="AD341" s="143"/>
      <c r="AE341" s="143"/>
      <c r="AF341" s="143"/>
      <c r="AG341" s="143"/>
      <c r="AH341" s="143"/>
      <c r="AI341" s="143"/>
      <c r="AJ341" s="143"/>
      <c r="AK341" s="143"/>
      <c r="AL341" s="103">
        <f t="shared" si="154"/>
        <v>0</v>
      </c>
      <c r="AM341" s="136"/>
      <c r="AN341" s="136"/>
      <c r="AO341" s="136"/>
      <c r="AP341" s="105">
        <f t="shared" si="155"/>
        <v>0</v>
      </c>
      <c r="AQ341" s="136"/>
      <c r="AR341" s="136"/>
      <c r="AS341" s="136"/>
      <c r="AT341" s="135"/>
      <c r="AU341" s="224">
        <f t="shared" si="156"/>
        <v>0</v>
      </c>
      <c r="AV341" s="126"/>
      <c r="AW341" s="274"/>
      <c r="AX341" s="126"/>
      <c r="AY341" s="126"/>
      <c r="AZ341" s="126"/>
      <c r="BA341" s="126"/>
      <c r="BB341" s="141"/>
      <c r="BC341" s="152"/>
      <c r="BD341" s="152"/>
      <c r="BE341" s="152"/>
      <c r="BF341" s="152"/>
      <c r="BG341" s="308">
        <f t="shared" si="157"/>
        <v>0</v>
      </c>
      <c r="BH341" s="1018">
        <f t="shared" si="158"/>
        <v>0</v>
      </c>
      <c r="BI341" s="132"/>
      <c r="BJ341" s="140">
        <f t="shared" si="159"/>
        <v>0</v>
      </c>
      <c r="BK341" s="141"/>
      <c r="BL341" s="141"/>
      <c r="BM341" s="141"/>
      <c r="BN341" s="141"/>
      <c r="BO341" s="141"/>
      <c r="BP341" s="141"/>
      <c r="BQ341" s="141"/>
      <c r="BR341" s="141"/>
      <c r="BS341" s="141"/>
      <c r="BT341" s="141"/>
      <c r="BU341" s="141"/>
      <c r="BV341" s="141"/>
      <c r="BW341" s="141"/>
      <c r="BX341" s="130">
        <f t="shared" si="160"/>
        <v>0</v>
      </c>
      <c r="BY341" s="132"/>
    </row>
    <row r="342" ht="15.75" customHeight="1">
      <c r="B342" s="1477">
        <v>46329</v>
      </c>
      <c r="C342" s="379"/>
      <c r="D342" s="136"/>
      <c r="E342" s="135"/>
      <c r="F342" s="135"/>
      <c r="G342" s="147">
        <f t="shared" si="152"/>
        <v>0</v>
      </c>
      <c r="H342" s="1469"/>
      <c r="I342" s="1470"/>
      <c r="J342" s="1470"/>
      <c r="K342" s="1470"/>
      <c r="L342" s="1470"/>
      <c r="M342" s="1470"/>
      <c r="N342" s="1470"/>
      <c r="O342" s="1470"/>
      <c r="P342" s="1470"/>
      <c r="Q342" s="1470"/>
      <c r="R342" s="1470"/>
      <c r="S342" s="1470"/>
      <c r="T342" s="1470"/>
      <c r="U342" s="1470"/>
      <c r="V342" s="1470"/>
      <c r="W342" s="1470"/>
      <c r="X342" s="103">
        <f t="shared" si="153"/>
        <v>0</v>
      </c>
      <c r="Y342" s="1470"/>
      <c r="Z342" s="1470"/>
      <c r="AA342" s="99"/>
      <c r="AB342" s="143"/>
      <c r="AC342" s="143"/>
      <c r="AD342" s="143"/>
      <c r="AE342" s="143"/>
      <c r="AF342" s="143"/>
      <c r="AG342" s="143"/>
      <c r="AH342" s="143"/>
      <c r="AI342" s="143"/>
      <c r="AJ342" s="143"/>
      <c r="AK342" s="143"/>
      <c r="AL342" s="103">
        <f t="shared" si="154"/>
        <v>0</v>
      </c>
      <c r="AM342" s="136"/>
      <c r="AN342" s="136"/>
      <c r="AO342" s="136"/>
      <c r="AP342" s="105">
        <f t="shared" si="155"/>
        <v>0</v>
      </c>
      <c r="AQ342" s="136"/>
      <c r="AR342" s="136"/>
      <c r="AS342" s="136"/>
      <c r="AT342" s="135"/>
      <c r="AU342" s="224">
        <f t="shared" si="156"/>
        <v>0</v>
      </c>
      <c r="AV342" s="126"/>
      <c r="AW342" s="274"/>
      <c r="AX342" s="126"/>
      <c r="AY342" s="126"/>
      <c r="AZ342" s="126"/>
      <c r="BA342" s="126"/>
      <c r="BB342" s="141"/>
      <c r="BC342" s="152"/>
      <c r="BD342" s="152"/>
      <c r="BE342" s="152"/>
      <c r="BF342" s="152"/>
      <c r="BG342" s="308">
        <f t="shared" si="157"/>
        <v>0</v>
      </c>
      <c r="BH342" s="1018">
        <f t="shared" si="158"/>
        <v>0</v>
      </c>
      <c r="BI342" s="132"/>
      <c r="BJ342" s="140">
        <f t="shared" si="159"/>
        <v>0</v>
      </c>
      <c r="BK342" s="141"/>
      <c r="BL342" s="141"/>
      <c r="BM342" s="141"/>
      <c r="BN342" s="141"/>
      <c r="BO342" s="141"/>
      <c r="BP342" s="141"/>
      <c r="BQ342" s="141"/>
      <c r="BR342" s="141"/>
      <c r="BS342" s="141"/>
      <c r="BT342" s="141"/>
      <c r="BU342" s="141"/>
      <c r="BV342" s="141"/>
      <c r="BW342" s="141"/>
      <c r="BX342" s="130">
        <f t="shared" si="160"/>
        <v>0</v>
      </c>
      <c r="BY342" s="132"/>
    </row>
    <row r="343" ht="15.75" customHeight="1">
      <c r="B343" s="1477">
        <v>46330</v>
      </c>
      <c r="C343" s="379"/>
      <c r="D343" s="136"/>
      <c r="E343" s="135"/>
      <c r="F343" s="135"/>
      <c r="G343" s="147">
        <f t="shared" si="152"/>
        <v>0</v>
      </c>
      <c r="H343" s="1469"/>
      <c r="I343" s="1470"/>
      <c r="J343" s="1470"/>
      <c r="K343" s="1470"/>
      <c r="L343" s="1470"/>
      <c r="M343" s="1470"/>
      <c r="N343" s="1470"/>
      <c r="O343" s="1470"/>
      <c r="P343" s="1470"/>
      <c r="Q343" s="1470"/>
      <c r="R343" s="1470"/>
      <c r="S343" s="1470"/>
      <c r="T343" s="1470"/>
      <c r="U343" s="1470"/>
      <c r="V343" s="1470"/>
      <c r="W343" s="1470"/>
      <c r="X343" s="103">
        <f t="shared" si="153"/>
        <v>0</v>
      </c>
      <c r="Y343" s="1470"/>
      <c r="Z343" s="1470"/>
      <c r="AA343" s="99"/>
      <c r="AB343" s="143"/>
      <c r="AC343" s="143"/>
      <c r="AD343" s="143"/>
      <c r="AE343" s="143"/>
      <c r="AF343" s="143"/>
      <c r="AG343" s="143"/>
      <c r="AH343" s="143"/>
      <c r="AI343" s="143"/>
      <c r="AJ343" s="143"/>
      <c r="AK343" s="143"/>
      <c r="AL343" s="103">
        <f t="shared" si="154"/>
        <v>0</v>
      </c>
      <c r="AM343" s="136"/>
      <c r="AN343" s="136"/>
      <c r="AO343" s="136"/>
      <c r="AP343" s="105">
        <f t="shared" si="155"/>
        <v>0</v>
      </c>
      <c r="AQ343" s="136"/>
      <c r="AR343" s="136"/>
      <c r="AS343" s="136"/>
      <c r="AT343" s="135"/>
      <c r="AU343" s="224">
        <f t="shared" si="156"/>
        <v>0</v>
      </c>
      <c r="AV343" s="126"/>
      <c r="AW343" s="274"/>
      <c r="AX343" s="126"/>
      <c r="AY343" s="126"/>
      <c r="AZ343" s="126"/>
      <c r="BA343" s="126"/>
      <c r="BB343" s="141"/>
      <c r="BC343" s="152"/>
      <c r="BD343" s="152"/>
      <c r="BE343" s="152"/>
      <c r="BF343" s="152"/>
      <c r="BG343" s="308">
        <f t="shared" si="157"/>
        <v>0</v>
      </c>
      <c r="BH343" s="1018">
        <f t="shared" si="158"/>
        <v>0</v>
      </c>
      <c r="BI343" s="132"/>
      <c r="BJ343" s="140">
        <f t="shared" si="159"/>
        <v>0</v>
      </c>
      <c r="BK343" s="141"/>
      <c r="BL343" s="141"/>
      <c r="BM343" s="141"/>
      <c r="BN343" s="141"/>
      <c r="BO343" s="141"/>
      <c r="BP343" s="141"/>
      <c r="BQ343" s="141"/>
      <c r="BR343" s="141"/>
      <c r="BS343" s="141"/>
      <c r="BT343" s="141"/>
      <c r="BU343" s="141"/>
      <c r="BV343" s="141"/>
      <c r="BW343" s="141"/>
      <c r="BX343" s="130">
        <f t="shared" si="160"/>
        <v>0</v>
      </c>
      <c r="BY343" s="132"/>
    </row>
    <row r="344" ht="15.75" customHeight="1">
      <c r="B344" s="1477">
        <v>46331</v>
      </c>
      <c r="C344" s="379"/>
      <c r="D344" s="136"/>
      <c r="E344" s="135"/>
      <c r="F344" s="135"/>
      <c r="G344" s="147">
        <f t="shared" si="152"/>
        <v>0</v>
      </c>
      <c r="H344" s="1469"/>
      <c r="I344" s="1470"/>
      <c r="J344" s="1470"/>
      <c r="K344" s="1470"/>
      <c r="L344" s="1470"/>
      <c r="M344" s="1470"/>
      <c r="N344" s="1470"/>
      <c r="O344" s="1470"/>
      <c r="P344" s="1470"/>
      <c r="Q344" s="1470"/>
      <c r="R344" s="1470"/>
      <c r="S344" s="1470"/>
      <c r="T344" s="1470"/>
      <c r="U344" s="1470"/>
      <c r="V344" s="1470"/>
      <c r="W344" s="1470"/>
      <c r="X344" s="103">
        <f t="shared" si="153"/>
        <v>0</v>
      </c>
      <c r="Y344" s="1470"/>
      <c r="Z344" s="1470"/>
      <c r="AA344" s="99"/>
      <c r="AB344" s="143"/>
      <c r="AC344" s="143"/>
      <c r="AD344" s="143"/>
      <c r="AE344" s="143"/>
      <c r="AF344" s="143"/>
      <c r="AG344" s="143"/>
      <c r="AH344" s="143"/>
      <c r="AI344" s="143"/>
      <c r="AJ344" s="143"/>
      <c r="AK344" s="143"/>
      <c r="AL344" s="103">
        <f t="shared" si="154"/>
        <v>0</v>
      </c>
      <c r="AM344" s="136"/>
      <c r="AN344" s="136"/>
      <c r="AO344" s="136"/>
      <c r="AP344" s="105">
        <f t="shared" si="155"/>
        <v>0</v>
      </c>
      <c r="AQ344" s="136"/>
      <c r="AR344" s="136"/>
      <c r="AS344" s="136"/>
      <c r="AT344" s="135"/>
      <c r="AU344" s="224">
        <f t="shared" si="156"/>
        <v>0</v>
      </c>
      <c r="AV344" s="126"/>
      <c r="AW344" s="274"/>
      <c r="AX344" s="126"/>
      <c r="AY344" s="126"/>
      <c r="AZ344" s="126"/>
      <c r="BA344" s="126"/>
      <c r="BB344" s="141"/>
      <c r="BC344" s="152"/>
      <c r="BD344" s="152"/>
      <c r="BE344" s="152"/>
      <c r="BF344" s="152"/>
      <c r="BG344" s="308">
        <f t="shared" si="157"/>
        <v>0</v>
      </c>
      <c r="BH344" s="1018">
        <f t="shared" si="158"/>
        <v>0</v>
      </c>
      <c r="BI344" s="132"/>
      <c r="BJ344" s="140">
        <f t="shared" si="159"/>
        <v>0</v>
      </c>
      <c r="BK344" s="141"/>
      <c r="BL344" s="141"/>
      <c r="BM344" s="141"/>
      <c r="BN344" s="141"/>
      <c r="BO344" s="141"/>
      <c r="BP344" s="141"/>
      <c r="BQ344" s="141"/>
      <c r="BR344" s="141"/>
      <c r="BS344" s="141"/>
      <c r="BT344" s="141"/>
      <c r="BU344" s="141"/>
      <c r="BV344" s="141"/>
      <c r="BW344" s="141"/>
      <c r="BX344" s="130">
        <f t="shared" si="160"/>
        <v>0</v>
      </c>
      <c r="BY344" s="132"/>
    </row>
    <row r="345" ht="15.75" customHeight="1">
      <c r="B345" s="1477">
        <v>46332</v>
      </c>
      <c r="C345" s="379"/>
      <c r="D345" s="136"/>
      <c r="E345" s="135"/>
      <c r="F345" s="135"/>
      <c r="G345" s="147">
        <f t="shared" si="152"/>
        <v>0</v>
      </c>
      <c r="H345" s="1469"/>
      <c r="I345" s="1470"/>
      <c r="J345" s="1470"/>
      <c r="K345" s="1470"/>
      <c r="L345" s="1470"/>
      <c r="M345" s="1470"/>
      <c r="N345" s="1470"/>
      <c r="O345" s="1470"/>
      <c r="P345" s="1470"/>
      <c r="Q345" s="1470"/>
      <c r="R345" s="1470"/>
      <c r="S345" s="1470"/>
      <c r="T345" s="1470"/>
      <c r="U345" s="1470"/>
      <c r="V345" s="1470"/>
      <c r="W345" s="1470"/>
      <c r="X345" s="103">
        <f t="shared" si="153"/>
        <v>0</v>
      </c>
      <c r="Y345" s="1470"/>
      <c r="Z345" s="1470"/>
      <c r="AA345" s="99"/>
      <c r="AB345" s="143"/>
      <c r="AC345" s="143"/>
      <c r="AD345" s="143"/>
      <c r="AE345" s="143"/>
      <c r="AF345" s="143"/>
      <c r="AG345" s="143"/>
      <c r="AH345" s="143"/>
      <c r="AI345" s="143"/>
      <c r="AJ345" s="143"/>
      <c r="AK345" s="143"/>
      <c r="AL345" s="103">
        <f t="shared" si="154"/>
        <v>0</v>
      </c>
      <c r="AM345" s="136"/>
      <c r="AN345" s="136"/>
      <c r="AO345" s="136"/>
      <c r="AP345" s="105">
        <f t="shared" si="155"/>
        <v>0</v>
      </c>
      <c r="AQ345" s="136"/>
      <c r="AR345" s="136"/>
      <c r="AS345" s="136"/>
      <c r="AT345" s="135"/>
      <c r="AU345" s="224">
        <f t="shared" si="156"/>
        <v>0</v>
      </c>
      <c r="AV345" s="126"/>
      <c r="AW345" s="274"/>
      <c r="AX345" s="126"/>
      <c r="AY345" s="126"/>
      <c r="AZ345" s="126"/>
      <c r="BA345" s="126"/>
      <c r="BB345" s="141"/>
      <c r="BC345" s="152"/>
      <c r="BD345" s="152"/>
      <c r="BE345" s="152"/>
      <c r="BF345" s="152"/>
      <c r="BG345" s="308">
        <f t="shared" si="157"/>
        <v>0</v>
      </c>
      <c r="BH345" s="1018">
        <f t="shared" si="158"/>
        <v>0</v>
      </c>
      <c r="BI345" s="132"/>
      <c r="BJ345" s="140">
        <f t="shared" si="159"/>
        <v>0</v>
      </c>
      <c r="BK345" s="141"/>
      <c r="BL345" s="141"/>
      <c r="BM345" s="141"/>
      <c r="BN345" s="141"/>
      <c r="BO345" s="141"/>
      <c r="BP345" s="141"/>
      <c r="BQ345" s="141"/>
      <c r="BR345" s="141"/>
      <c r="BS345" s="141"/>
      <c r="BT345" s="141"/>
      <c r="BU345" s="141"/>
      <c r="BV345" s="141"/>
      <c r="BW345" s="141"/>
      <c r="BX345" s="130">
        <f t="shared" si="160"/>
        <v>0</v>
      </c>
      <c r="BY345" s="132"/>
    </row>
    <row r="346" ht="15.75" customHeight="1">
      <c r="B346" s="1477">
        <v>46333</v>
      </c>
      <c r="C346" s="379"/>
      <c r="D346" s="136"/>
      <c r="E346" s="135"/>
      <c r="F346" s="135"/>
      <c r="G346" s="147">
        <f t="shared" si="152"/>
        <v>0</v>
      </c>
      <c r="H346" s="1469"/>
      <c r="I346" s="1470"/>
      <c r="J346" s="1470"/>
      <c r="K346" s="1470"/>
      <c r="L346" s="1470"/>
      <c r="M346" s="1470"/>
      <c r="N346" s="1470"/>
      <c r="O346" s="1470"/>
      <c r="P346" s="1470"/>
      <c r="Q346" s="1470"/>
      <c r="R346" s="1470"/>
      <c r="S346" s="1470"/>
      <c r="T346" s="1470"/>
      <c r="U346" s="1470"/>
      <c r="V346" s="1470"/>
      <c r="W346" s="1470"/>
      <c r="X346" s="103">
        <f t="shared" si="153"/>
        <v>0</v>
      </c>
      <c r="Y346" s="1470"/>
      <c r="Z346" s="1470"/>
      <c r="AA346" s="99"/>
      <c r="AB346" s="143"/>
      <c r="AC346" s="143"/>
      <c r="AD346" s="143"/>
      <c r="AE346" s="143"/>
      <c r="AF346" s="143"/>
      <c r="AG346" s="143"/>
      <c r="AH346" s="143"/>
      <c r="AI346" s="143"/>
      <c r="AJ346" s="143"/>
      <c r="AK346" s="143"/>
      <c r="AL346" s="103">
        <f t="shared" si="154"/>
        <v>0</v>
      </c>
      <c r="AM346" s="136"/>
      <c r="AN346" s="136"/>
      <c r="AO346" s="136"/>
      <c r="AP346" s="105">
        <f t="shared" si="155"/>
        <v>0</v>
      </c>
      <c r="AQ346" s="136"/>
      <c r="AR346" s="136"/>
      <c r="AS346" s="136"/>
      <c r="AT346" s="135"/>
      <c r="AU346" s="224">
        <f t="shared" si="156"/>
        <v>0</v>
      </c>
      <c r="AV346" s="126"/>
      <c r="AW346" s="274"/>
      <c r="AX346" s="126"/>
      <c r="AY346" s="126"/>
      <c r="AZ346" s="126"/>
      <c r="BA346" s="126"/>
      <c r="BB346" s="141"/>
      <c r="BC346" s="152"/>
      <c r="BD346" s="152"/>
      <c r="BE346" s="152"/>
      <c r="BF346" s="152"/>
      <c r="BG346" s="308">
        <f t="shared" si="157"/>
        <v>0</v>
      </c>
      <c r="BH346" s="1018">
        <f t="shared" si="158"/>
        <v>0</v>
      </c>
      <c r="BI346" s="132"/>
      <c r="BJ346" s="140">
        <f t="shared" si="159"/>
        <v>0</v>
      </c>
      <c r="BK346" s="141"/>
      <c r="BL346" s="141"/>
      <c r="BM346" s="141"/>
      <c r="BN346" s="141"/>
      <c r="BO346" s="141"/>
      <c r="BP346" s="141"/>
      <c r="BQ346" s="141"/>
      <c r="BR346" s="141"/>
      <c r="BS346" s="141"/>
      <c r="BT346" s="141"/>
      <c r="BU346" s="141"/>
      <c r="BV346" s="141"/>
      <c r="BW346" s="141"/>
      <c r="BX346" s="130">
        <f t="shared" si="160"/>
        <v>0</v>
      </c>
      <c r="BY346" s="132"/>
    </row>
    <row r="347" ht="15.75" customHeight="1">
      <c r="B347" s="1477">
        <v>46334</v>
      </c>
      <c r="C347" s="379"/>
      <c r="D347" s="136"/>
      <c r="E347" s="135"/>
      <c r="F347" s="135"/>
      <c r="G347" s="147">
        <f t="shared" si="152"/>
        <v>0</v>
      </c>
      <c r="H347" s="1469"/>
      <c r="I347" s="1470"/>
      <c r="J347" s="1470"/>
      <c r="K347" s="1470"/>
      <c r="L347" s="1470"/>
      <c r="M347" s="1470"/>
      <c r="N347" s="1470"/>
      <c r="O347" s="1470"/>
      <c r="P347" s="1470"/>
      <c r="Q347" s="1470"/>
      <c r="R347" s="1470"/>
      <c r="S347" s="1470"/>
      <c r="T347" s="1470"/>
      <c r="U347" s="1470"/>
      <c r="V347" s="1470"/>
      <c r="W347" s="1470"/>
      <c r="X347" s="103">
        <f t="shared" si="153"/>
        <v>0</v>
      </c>
      <c r="Y347" s="1470"/>
      <c r="Z347" s="1470"/>
      <c r="AA347" s="99"/>
      <c r="AB347" s="143"/>
      <c r="AC347" s="143"/>
      <c r="AD347" s="143"/>
      <c r="AE347" s="143"/>
      <c r="AF347" s="143"/>
      <c r="AG347" s="143"/>
      <c r="AH347" s="143"/>
      <c r="AI347" s="143"/>
      <c r="AJ347" s="143"/>
      <c r="AK347" s="143"/>
      <c r="AL347" s="103">
        <f t="shared" si="154"/>
        <v>0</v>
      </c>
      <c r="AM347" s="136"/>
      <c r="AN347" s="136"/>
      <c r="AO347" s="136"/>
      <c r="AP347" s="105">
        <f t="shared" si="155"/>
        <v>0</v>
      </c>
      <c r="AQ347" s="136"/>
      <c r="AR347" s="136"/>
      <c r="AS347" s="136"/>
      <c r="AT347" s="135"/>
      <c r="AU347" s="224">
        <f t="shared" si="156"/>
        <v>0</v>
      </c>
      <c r="AV347" s="126"/>
      <c r="AW347" s="274"/>
      <c r="AX347" s="126"/>
      <c r="AY347" s="126"/>
      <c r="AZ347" s="126"/>
      <c r="BA347" s="126"/>
      <c r="BB347" s="141"/>
      <c r="BC347" s="152"/>
      <c r="BD347" s="152"/>
      <c r="BE347" s="152"/>
      <c r="BF347" s="152"/>
      <c r="BG347" s="308">
        <f t="shared" si="157"/>
        <v>0</v>
      </c>
      <c r="BH347" s="1018">
        <f t="shared" si="158"/>
        <v>0</v>
      </c>
      <c r="BI347" s="132"/>
      <c r="BJ347" s="140">
        <f t="shared" si="159"/>
        <v>0</v>
      </c>
      <c r="BK347" s="141"/>
      <c r="BL347" s="141"/>
      <c r="BM347" s="141"/>
      <c r="BN347" s="141"/>
      <c r="BO347" s="141"/>
      <c r="BP347" s="141"/>
      <c r="BQ347" s="141"/>
      <c r="BR347" s="141"/>
      <c r="BS347" s="141"/>
      <c r="BT347" s="141"/>
      <c r="BU347" s="141"/>
      <c r="BV347" s="141"/>
      <c r="BW347" s="141"/>
      <c r="BX347" s="130">
        <f t="shared" si="160"/>
        <v>0</v>
      </c>
      <c r="BY347" s="132"/>
    </row>
    <row r="348" ht="15.75" customHeight="1">
      <c r="B348" s="1477">
        <v>46335</v>
      </c>
      <c r="C348" s="379"/>
      <c r="D348" s="136"/>
      <c r="E348" s="135"/>
      <c r="F348" s="135"/>
      <c r="G348" s="147">
        <f t="shared" si="152"/>
        <v>0</v>
      </c>
      <c r="H348" s="1469"/>
      <c r="I348" s="1470"/>
      <c r="J348" s="1470"/>
      <c r="K348" s="1470"/>
      <c r="L348" s="1470"/>
      <c r="M348" s="1470"/>
      <c r="N348" s="1470"/>
      <c r="O348" s="1470"/>
      <c r="P348" s="1470"/>
      <c r="Q348" s="1470"/>
      <c r="R348" s="1470"/>
      <c r="S348" s="1470"/>
      <c r="T348" s="1470"/>
      <c r="U348" s="1470"/>
      <c r="V348" s="1470"/>
      <c r="W348" s="1470"/>
      <c r="X348" s="103">
        <f t="shared" si="153"/>
        <v>0</v>
      </c>
      <c r="Y348" s="1470"/>
      <c r="Z348" s="1470"/>
      <c r="AA348" s="99"/>
      <c r="AB348" s="143"/>
      <c r="AC348" s="143"/>
      <c r="AD348" s="143"/>
      <c r="AE348" s="143"/>
      <c r="AF348" s="143"/>
      <c r="AG348" s="143"/>
      <c r="AH348" s="143"/>
      <c r="AI348" s="143"/>
      <c r="AJ348" s="143"/>
      <c r="AK348" s="143"/>
      <c r="AL348" s="103">
        <f t="shared" si="154"/>
        <v>0</v>
      </c>
      <c r="AM348" s="136"/>
      <c r="AN348" s="136"/>
      <c r="AO348" s="136"/>
      <c r="AP348" s="105">
        <f t="shared" si="155"/>
        <v>0</v>
      </c>
      <c r="AQ348" s="136"/>
      <c r="AR348" s="136"/>
      <c r="AS348" s="136"/>
      <c r="AT348" s="135"/>
      <c r="AU348" s="224">
        <f t="shared" si="156"/>
        <v>0</v>
      </c>
      <c r="AV348" s="126"/>
      <c r="AW348" s="274"/>
      <c r="AX348" s="126"/>
      <c r="AY348" s="126"/>
      <c r="AZ348" s="126"/>
      <c r="BA348" s="126"/>
      <c r="BB348" s="141"/>
      <c r="BC348" s="152"/>
      <c r="BD348" s="152"/>
      <c r="BE348" s="152"/>
      <c r="BF348" s="152"/>
      <c r="BG348" s="308">
        <f t="shared" si="157"/>
        <v>0</v>
      </c>
      <c r="BH348" s="1018">
        <f t="shared" si="158"/>
        <v>0</v>
      </c>
      <c r="BI348" s="132"/>
      <c r="BJ348" s="140">
        <f t="shared" si="159"/>
        <v>0</v>
      </c>
      <c r="BK348" s="141"/>
      <c r="BL348" s="141"/>
      <c r="BM348" s="141"/>
      <c r="BN348" s="141"/>
      <c r="BO348" s="141"/>
      <c r="BP348" s="141"/>
      <c r="BQ348" s="141"/>
      <c r="BR348" s="141"/>
      <c r="BS348" s="141"/>
      <c r="BT348" s="141"/>
      <c r="BU348" s="141"/>
      <c r="BV348" s="141"/>
      <c r="BW348" s="141"/>
      <c r="BX348" s="130">
        <f t="shared" si="160"/>
        <v>0</v>
      </c>
      <c r="BY348" s="132"/>
    </row>
    <row r="349" ht="15.75" customHeight="1">
      <c r="B349" s="1477">
        <v>46336</v>
      </c>
      <c r="C349" s="379"/>
      <c r="D349" s="136"/>
      <c r="E349" s="135"/>
      <c r="F349" s="135"/>
      <c r="G349" s="147">
        <f t="shared" si="152"/>
        <v>0</v>
      </c>
      <c r="H349" s="1469"/>
      <c r="I349" s="1470"/>
      <c r="J349" s="1470"/>
      <c r="K349" s="1470"/>
      <c r="L349" s="1470"/>
      <c r="M349" s="1470"/>
      <c r="N349" s="1470"/>
      <c r="O349" s="1470"/>
      <c r="P349" s="1470"/>
      <c r="Q349" s="1470"/>
      <c r="R349" s="1470"/>
      <c r="S349" s="1470"/>
      <c r="T349" s="1470"/>
      <c r="U349" s="1470"/>
      <c r="V349" s="1470"/>
      <c r="W349" s="1470"/>
      <c r="X349" s="103">
        <f t="shared" si="153"/>
        <v>0</v>
      </c>
      <c r="Y349" s="1470"/>
      <c r="Z349" s="1470"/>
      <c r="AA349" s="99"/>
      <c r="AB349" s="143"/>
      <c r="AC349" s="143"/>
      <c r="AD349" s="143"/>
      <c r="AE349" s="143"/>
      <c r="AF349" s="143"/>
      <c r="AG349" s="143"/>
      <c r="AH349" s="143"/>
      <c r="AI349" s="143"/>
      <c r="AJ349" s="143"/>
      <c r="AK349" s="143"/>
      <c r="AL349" s="103">
        <f t="shared" si="154"/>
        <v>0</v>
      </c>
      <c r="AM349" s="136"/>
      <c r="AN349" s="136"/>
      <c r="AO349" s="136"/>
      <c r="AP349" s="105">
        <f t="shared" si="155"/>
        <v>0</v>
      </c>
      <c r="AQ349" s="136"/>
      <c r="AR349" s="136"/>
      <c r="AS349" s="136"/>
      <c r="AT349" s="135"/>
      <c r="AU349" s="224">
        <f t="shared" si="156"/>
        <v>0</v>
      </c>
      <c r="AV349" s="126"/>
      <c r="AW349" s="274"/>
      <c r="AX349" s="126"/>
      <c r="AY349" s="126"/>
      <c r="AZ349" s="126"/>
      <c r="BA349" s="126"/>
      <c r="BB349" s="141"/>
      <c r="BC349" s="152"/>
      <c r="BD349" s="152"/>
      <c r="BE349" s="152"/>
      <c r="BF349" s="152"/>
      <c r="BG349" s="308">
        <f t="shared" si="157"/>
        <v>0</v>
      </c>
      <c r="BH349" s="1018">
        <f t="shared" si="158"/>
        <v>0</v>
      </c>
      <c r="BI349" s="132"/>
      <c r="BJ349" s="140">
        <f t="shared" si="159"/>
        <v>0</v>
      </c>
      <c r="BK349" s="141"/>
      <c r="BL349" s="141"/>
      <c r="BM349" s="141"/>
      <c r="BN349" s="141"/>
      <c r="BO349" s="141"/>
      <c r="BP349" s="141"/>
      <c r="BQ349" s="141"/>
      <c r="BR349" s="141"/>
      <c r="BS349" s="141"/>
      <c r="BT349" s="141"/>
      <c r="BU349" s="141"/>
      <c r="BV349" s="141"/>
      <c r="BW349" s="141"/>
      <c r="BX349" s="130">
        <f t="shared" si="160"/>
        <v>0</v>
      </c>
      <c r="BY349" s="132"/>
    </row>
    <row r="350" ht="15.75" customHeight="1">
      <c r="B350" s="1477">
        <v>46337</v>
      </c>
      <c r="C350" s="379"/>
      <c r="D350" s="136"/>
      <c r="E350" s="135"/>
      <c r="F350" s="135"/>
      <c r="G350" s="147">
        <f t="shared" si="152"/>
        <v>0</v>
      </c>
      <c r="H350" s="1475"/>
      <c r="I350" s="1470"/>
      <c r="J350" s="1470"/>
      <c r="K350" s="1470"/>
      <c r="L350" s="1470"/>
      <c r="M350" s="1470"/>
      <c r="N350" s="1470"/>
      <c r="O350" s="1470"/>
      <c r="P350" s="1470"/>
      <c r="Q350" s="1470"/>
      <c r="R350" s="1470"/>
      <c r="S350" s="1470"/>
      <c r="T350" s="1470"/>
      <c r="U350" s="1470"/>
      <c r="V350" s="1470"/>
      <c r="W350" s="1470"/>
      <c r="X350" s="103">
        <f t="shared" si="153"/>
        <v>0</v>
      </c>
      <c r="Y350" s="1470"/>
      <c r="Z350" s="1470"/>
      <c r="AA350" s="99"/>
      <c r="AB350" s="143"/>
      <c r="AC350" s="143"/>
      <c r="AD350" s="143"/>
      <c r="AE350" s="143"/>
      <c r="AF350" s="143"/>
      <c r="AG350" s="143"/>
      <c r="AH350" s="143"/>
      <c r="AI350" s="143"/>
      <c r="AJ350" s="143"/>
      <c r="AK350" s="143"/>
      <c r="AL350" s="103">
        <f t="shared" si="154"/>
        <v>0</v>
      </c>
      <c r="AM350" s="136"/>
      <c r="AN350" s="136"/>
      <c r="AO350" s="136"/>
      <c r="AP350" s="105">
        <f t="shared" si="155"/>
        <v>0</v>
      </c>
      <c r="AQ350" s="136"/>
      <c r="AR350" s="136"/>
      <c r="AS350" s="136"/>
      <c r="AT350" s="135"/>
      <c r="AU350" s="224">
        <f t="shared" si="156"/>
        <v>0</v>
      </c>
      <c r="AV350" s="126"/>
      <c r="AW350" s="274"/>
      <c r="AX350" s="126"/>
      <c r="AY350" s="126"/>
      <c r="AZ350" s="126"/>
      <c r="BA350" s="126"/>
      <c r="BB350" s="141"/>
      <c r="BC350" s="152"/>
      <c r="BD350" s="152"/>
      <c r="BE350" s="152"/>
      <c r="BF350" s="152"/>
      <c r="BG350" s="308">
        <f t="shared" si="157"/>
        <v>0</v>
      </c>
      <c r="BH350" s="1018">
        <f t="shared" si="158"/>
        <v>0</v>
      </c>
      <c r="BI350" s="132"/>
      <c r="BJ350" s="140">
        <f t="shared" si="159"/>
        <v>0</v>
      </c>
      <c r="BK350" s="141"/>
      <c r="BL350" s="141"/>
      <c r="BM350" s="141"/>
      <c r="BN350" s="141"/>
      <c r="BO350" s="141"/>
      <c r="BP350" s="141"/>
      <c r="BQ350" s="141"/>
      <c r="BR350" s="141"/>
      <c r="BS350" s="141"/>
      <c r="BT350" s="141"/>
      <c r="BU350" s="141"/>
      <c r="BV350" s="141"/>
      <c r="BW350" s="141"/>
      <c r="BX350" s="130">
        <f t="shared" si="160"/>
        <v>0</v>
      </c>
      <c r="BY350" s="132"/>
    </row>
    <row r="351" ht="15.75" customHeight="1">
      <c r="B351" s="1477">
        <v>46338</v>
      </c>
      <c r="C351" s="379"/>
      <c r="D351" s="136"/>
      <c r="E351" s="135"/>
      <c r="F351" s="135"/>
      <c r="G351" s="147">
        <f t="shared" si="152"/>
        <v>0</v>
      </c>
      <c r="H351" s="1469"/>
      <c r="I351" s="1470"/>
      <c r="J351" s="1470"/>
      <c r="K351" s="1470"/>
      <c r="L351" s="1470"/>
      <c r="M351" s="1470"/>
      <c r="N351" s="1470"/>
      <c r="O351" s="1470"/>
      <c r="P351" s="1470"/>
      <c r="Q351" s="1470"/>
      <c r="R351" s="1470"/>
      <c r="S351" s="1470"/>
      <c r="T351" s="1470"/>
      <c r="U351" s="1470"/>
      <c r="V351" s="1470"/>
      <c r="W351" s="1470"/>
      <c r="X351" s="103">
        <f t="shared" si="153"/>
        <v>0</v>
      </c>
      <c r="Y351" s="1470"/>
      <c r="Z351" s="1470"/>
      <c r="AA351" s="99"/>
      <c r="AB351" s="143"/>
      <c r="AC351" s="143"/>
      <c r="AD351" s="143"/>
      <c r="AE351" s="143"/>
      <c r="AF351" s="143"/>
      <c r="AG351" s="143"/>
      <c r="AH351" s="143"/>
      <c r="AI351" s="143"/>
      <c r="AJ351" s="143"/>
      <c r="AK351" s="143"/>
      <c r="AL351" s="103">
        <f t="shared" si="154"/>
        <v>0</v>
      </c>
      <c r="AM351" s="136"/>
      <c r="AN351" s="136"/>
      <c r="AO351" s="136"/>
      <c r="AP351" s="105">
        <f t="shared" si="155"/>
        <v>0</v>
      </c>
      <c r="AQ351" s="136"/>
      <c r="AR351" s="136"/>
      <c r="AS351" s="136"/>
      <c r="AT351" s="135"/>
      <c r="AU351" s="224">
        <f t="shared" si="156"/>
        <v>0</v>
      </c>
      <c r="AV351" s="126"/>
      <c r="AW351" s="274"/>
      <c r="AX351" s="126"/>
      <c r="AY351" s="126"/>
      <c r="AZ351" s="126"/>
      <c r="BA351" s="126"/>
      <c r="BB351" s="141"/>
      <c r="BC351" s="152"/>
      <c r="BD351" s="152"/>
      <c r="BE351" s="152"/>
      <c r="BF351" s="152"/>
      <c r="BG351" s="308">
        <f t="shared" si="157"/>
        <v>0</v>
      </c>
      <c r="BH351" s="1018">
        <f t="shared" si="158"/>
        <v>0</v>
      </c>
      <c r="BI351" s="132"/>
      <c r="BJ351" s="140">
        <f t="shared" si="159"/>
        <v>0</v>
      </c>
      <c r="BK351" s="141"/>
      <c r="BL351" s="141"/>
      <c r="BM351" s="141"/>
      <c r="BN351" s="141"/>
      <c r="BO351" s="141"/>
      <c r="BP351" s="141"/>
      <c r="BQ351" s="141"/>
      <c r="BR351" s="141"/>
      <c r="BS351" s="141"/>
      <c r="BT351" s="141"/>
      <c r="BU351" s="141"/>
      <c r="BV351" s="141"/>
      <c r="BW351" s="141"/>
      <c r="BX351" s="130">
        <f t="shared" si="160"/>
        <v>0</v>
      </c>
      <c r="BY351" s="132"/>
    </row>
    <row r="352" ht="15.75" customHeight="1">
      <c r="B352" s="1477">
        <v>46339</v>
      </c>
      <c r="C352" s="379"/>
      <c r="D352" s="136"/>
      <c r="E352" s="135"/>
      <c r="F352" s="135"/>
      <c r="G352" s="147">
        <f t="shared" si="152"/>
        <v>0</v>
      </c>
      <c r="H352" s="1469"/>
      <c r="I352" s="1470"/>
      <c r="J352" s="1470"/>
      <c r="K352" s="1470"/>
      <c r="L352" s="1470"/>
      <c r="M352" s="1470"/>
      <c r="N352" s="1470"/>
      <c r="O352" s="1470"/>
      <c r="P352" s="1470"/>
      <c r="Q352" s="1470"/>
      <c r="R352" s="1470"/>
      <c r="S352" s="1470"/>
      <c r="T352" s="1470"/>
      <c r="U352" s="1470"/>
      <c r="V352" s="1470"/>
      <c r="W352" s="1470"/>
      <c r="X352" s="103">
        <f t="shared" si="153"/>
        <v>0</v>
      </c>
      <c r="Y352" s="1470"/>
      <c r="Z352" s="1470"/>
      <c r="AA352" s="99"/>
      <c r="AB352" s="143"/>
      <c r="AC352" s="143"/>
      <c r="AD352" s="143"/>
      <c r="AE352" s="143"/>
      <c r="AF352" s="143"/>
      <c r="AG352" s="143"/>
      <c r="AH352" s="143"/>
      <c r="AI352" s="143"/>
      <c r="AJ352" s="143"/>
      <c r="AK352" s="143"/>
      <c r="AL352" s="103">
        <f t="shared" si="154"/>
        <v>0</v>
      </c>
      <c r="AM352" s="136"/>
      <c r="AN352" s="136"/>
      <c r="AO352" s="136"/>
      <c r="AP352" s="105">
        <f t="shared" si="155"/>
        <v>0</v>
      </c>
      <c r="AQ352" s="136"/>
      <c r="AR352" s="136"/>
      <c r="AS352" s="136"/>
      <c r="AT352" s="135"/>
      <c r="AU352" s="224">
        <f t="shared" si="156"/>
        <v>0</v>
      </c>
      <c r="AV352" s="126"/>
      <c r="AW352" s="274"/>
      <c r="AX352" s="126"/>
      <c r="AY352" s="126"/>
      <c r="AZ352" s="126"/>
      <c r="BA352" s="126"/>
      <c r="BB352" s="141"/>
      <c r="BC352" s="152"/>
      <c r="BD352" s="152"/>
      <c r="BE352" s="152"/>
      <c r="BF352" s="152"/>
      <c r="BG352" s="308">
        <f t="shared" si="157"/>
        <v>0</v>
      </c>
      <c r="BH352" s="1018">
        <f t="shared" si="158"/>
        <v>0</v>
      </c>
      <c r="BI352" s="132"/>
      <c r="BJ352" s="140">
        <f t="shared" si="159"/>
        <v>0</v>
      </c>
      <c r="BK352" s="141"/>
      <c r="BL352" s="141"/>
      <c r="BM352" s="141"/>
      <c r="BN352" s="141"/>
      <c r="BO352" s="141"/>
      <c r="BP352" s="141"/>
      <c r="BQ352" s="141"/>
      <c r="BR352" s="141"/>
      <c r="BS352" s="141"/>
      <c r="BT352" s="141"/>
      <c r="BU352" s="141"/>
      <c r="BV352" s="141"/>
      <c r="BW352" s="141"/>
      <c r="BX352" s="130">
        <f t="shared" si="160"/>
        <v>0</v>
      </c>
      <c r="BY352" s="132"/>
    </row>
    <row r="353" ht="15.75" customHeight="1">
      <c r="B353" s="1477">
        <v>46340</v>
      </c>
      <c r="C353" s="379"/>
      <c r="D353" s="136"/>
      <c r="E353" s="135"/>
      <c r="F353" s="135"/>
      <c r="G353" s="147">
        <f t="shared" si="152"/>
        <v>0</v>
      </c>
      <c r="H353" s="1469"/>
      <c r="I353" s="142"/>
      <c r="J353" s="1470"/>
      <c r="K353" s="1470"/>
      <c r="L353" s="1470"/>
      <c r="M353" s="1470"/>
      <c r="N353" s="1470"/>
      <c r="O353" s="1470"/>
      <c r="P353" s="1470"/>
      <c r="Q353" s="1470"/>
      <c r="R353" s="1470"/>
      <c r="S353" s="1470"/>
      <c r="T353" s="1470"/>
      <c r="U353" s="1470"/>
      <c r="V353" s="1470"/>
      <c r="W353" s="1470"/>
      <c r="X353" s="103">
        <f t="shared" si="153"/>
        <v>0</v>
      </c>
      <c r="Y353" s="1470"/>
      <c r="Z353" s="1470"/>
      <c r="AA353" s="99"/>
      <c r="AB353" s="143"/>
      <c r="AC353" s="143"/>
      <c r="AD353" s="143"/>
      <c r="AE353" s="143"/>
      <c r="AF353" s="143"/>
      <c r="AG353" s="143"/>
      <c r="AH353" s="143"/>
      <c r="AI353" s="143"/>
      <c r="AJ353" s="143"/>
      <c r="AK353" s="143"/>
      <c r="AL353" s="103">
        <f t="shared" si="154"/>
        <v>0</v>
      </c>
      <c r="AM353" s="136"/>
      <c r="AN353" s="136"/>
      <c r="AO353" s="136"/>
      <c r="AP353" s="105">
        <f t="shared" si="155"/>
        <v>0</v>
      </c>
      <c r="AQ353" s="136"/>
      <c r="AR353" s="136"/>
      <c r="AS353" s="136"/>
      <c r="AT353" s="135"/>
      <c r="AU353" s="224">
        <f t="shared" si="156"/>
        <v>0</v>
      </c>
      <c r="AV353" s="126"/>
      <c r="AW353" s="274"/>
      <c r="AX353" s="126"/>
      <c r="AY353" s="126"/>
      <c r="AZ353" s="126"/>
      <c r="BA353" s="126"/>
      <c r="BB353" s="141"/>
      <c r="BC353" s="152"/>
      <c r="BD353" s="152"/>
      <c r="BE353" s="152"/>
      <c r="BF353" s="152"/>
      <c r="BG353" s="308">
        <f t="shared" si="157"/>
        <v>0</v>
      </c>
      <c r="BH353" s="1018">
        <f t="shared" si="158"/>
        <v>0</v>
      </c>
      <c r="BI353" s="132"/>
      <c r="BJ353" s="140">
        <f t="shared" si="159"/>
        <v>0</v>
      </c>
      <c r="BK353" s="141"/>
      <c r="BL353" s="141"/>
      <c r="BM353" s="141"/>
      <c r="BN353" s="141"/>
      <c r="BO353" s="141"/>
      <c r="BP353" s="141"/>
      <c r="BQ353" s="141"/>
      <c r="BR353" s="141"/>
      <c r="BS353" s="141"/>
      <c r="BT353" s="141"/>
      <c r="BU353" s="141"/>
      <c r="BV353" s="141"/>
      <c r="BW353" s="141"/>
      <c r="BX353" s="130">
        <f t="shared" si="160"/>
        <v>0</v>
      </c>
      <c r="BY353" s="132"/>
    </row>
    <row r="354" ht="15.75" customHeight="1">
      <c r="B354" s="1477">
        <v>46341</v>
      </c>
      <c r="C354" s="379"/>
      <c r="D354" s="136"/>
      <c r="E354" s="135"/>
      <c r="F354" s="135"/>
      <c r="G354" s="147">
        <f t="shared" si="152"/>
        <v>0</v>
      </c>
      <c r="H354" s="1469"/>
      <c r="I354" s="1470"/>
      <c r="J354" s="1470"/>
      <c r="K354" s="1470"/>
      <c r="L354" s="1470"/>
      <c r="M354" s="1470"/>
      <c r="N354" s="1470"/>
      <c r="O354" s="1470"/>
      <c r="P354" s="1470"/>
      <c r="Q354" s="1470"/>
      <c r="R354" s="1470"/>
      <c r="S354" s="1470"/>
      <c r="T354" s="1470"/>
      <c r="U354" s="1470"/>
      <c r="V354" s="1470"/>
      <c r="W354" s="1470"/>
      <c r="X354" s="103">
        <f t="shared" si="153"/>
        <v>0</v>
      </c>
      <c r="Y354" s="1470"/>
      <c r="Z354" s="1470"/>
      <c r="AA354" s="99"/>
      <c r="AB354" s="143"/>
      <c r="AC354" s="143"/>
      <c r="AD354" s="143"/>
      <c r="AE354" s="143"/>
      <c r="AF354" s="143"/>
      <c r="AG354" s="143"/>
      <c r="AH354" s="143"/>
      <c r="AI354" s="143"/>
      <c r="AJ354" s="143"/>
      <c r="AK354" s="143"/>
      <c r="AL354" s="103">
        <f t="shared" si="154"/>
        <v>0</v>
      </c>
      <c r="AM354" s="136"/>
      <c r="AN354" s="136"/>
      <c r="AO354" s="136"/>
      <c r="AP354" s="105">
        <f t="shared" si="155"/>
        <v>0</v>
      </c>
      <c r="AQ354" s="136"/>
      <c r="AR354" s="136"/>
      <c r="AS354" s="136"/>
      <c r="AT354" s="135"/>
      <c r="AU354" s="224">
        <f t="shared" si="156"/>
        <v>0</v>
      </c>
      <c r="AV354" s="126"/>
      <c r="AW354" s="274"/>
      <c r="AX354" s="126"/>
      <c r="AY354" s="126"/>
      <c r="AZ354" s="126"/>
      <c r="BA354" s="126"/>
      <c r="BB354" s="141"/>
      <c r="BC354" s="152"/>
      <c r="BD354" s="152"/>
      <c r="BE354" s="152"/>
      <c r="BF354" s="152"/>
      <c r="BG354" s="308">
        <f t="shared" si="157"/>
        <v>0</v>
      </c>
      <c r="BH354" s="1018">
        <f t="shared" si="158"/>
        <v>0</v>
      </c>
      <c r="BI354" s="132"/>
      <c r="BJ354" s="140">
        <f t="shared" si="159"/>
        <v>0</v>
      </c>
      <c r="BK354" s="141"/>
      <c r="BL354" s="141"/>
      <c r="BM354" s="141"/>
      <c r="BN354" s="141"/>
      <c r="BO354" s="141"/>
      <c r="BP354" s="141"/>
      <c r="BQ354" s="141"/>
      <c r="BR354" s="141"/>
      <c r="BS354" s="141"/>
      <c r="BT354" s="141"/>
      <c r="BU354" s="141"/>
      <c r="BV354" s="141"/>
      <c r="BW354" s="141"/>
      <c r="BX354" s="130">
        <f t="shared" si="160"/>
        <v>0</v>
      </c>
      <c r="BY354" s="132"/>
    </row>
    <row r="355" ht="15.75" customHeight="1">
      <c r="B355" s="1477">
        <v>46342</v>
      </c>
      <c r="C355" s="379"/>
      <c r="D355" s="136"/>
      <c r="E355" s="135"/>
      <c r="F355" s="135"/>
      <c r="G355" s="147">
        <f t="shared" si="152"/>
        <v>0</v>
      </c>
      <c r="H355" s="1469"/>
      <c r="I355" s="1470"/>
      <c r="J355" s="1488"/>
      <c r="K355" s="1470"/>
      <c r="L355" s="1470"/>
      <c r="M355" s="1470"/>
      <c r="N355" s="1470"/>
      <c r="O355" s="1470"/>
      <c r="P355" s="1470"/>
      <c r="Q355" s="1470"/>
      <c r="R355" s="1470"/>
      <c r="S355" s="1470"/>
      <c r="T355" s="1470"/>
      <c r="U355" s="1470"/>
      <c r="V355" s="1470"/>
      <c r="W355" s="1470"/>
      <c r="X355" s="103">
        <f t="shared" si="153"/>
        <v>0</v>
      </c>
      <c r="Y355" s="1470"/>
      <c r="Z355" s="1470"/>
      <c r="AA355" s="99"/>
      <c r="AB355" s="143"/>
      <c r="AC355" s="143"/>
      <c r="AD355" s="143"/>
      <c r="AE355" s="143"/>
      <c r="AF355" s="143"/>
      <c r="AG355" s="143"/>
      <c r="AH355" s="143"/>
      <c r="AI355" s="143"/>
      <c r="AJ355" s="143"/>
      <c r="AK355" s="143"/>
      <c r="AL355" s="103">
        <f t="shared" si="154"/>
        <v>0</v>
      </c>
      <c r="AM355" s="136"/>
      <c r="AN355" s="136"/>
      <c r="AO355" s="136"/>
      <c r="AP355" s="105">
        <f t="shared" si="155"/>
        <v>0</v>
      </c>
      <c r="AQ355" s="136"/>
      <c r="AR355" s="136"/>
      <c r="AS355" s="136"/>
      <c r="AT355" s="135"/>
      <c r="AU355" s="224">
        <f t="shared" si="156"/>
        <v>0</v>
      </c>
      <c r="AV355" s="126"/>
      <c r="AW355" s="274"/>
      <c r="AX355" s="126"/>
      <c r="AY355" s="126"/>
      <c r="AZ355" s="126"/>
      <c r="BA355" s="126"/>
      <c r="BB355" s="141"/>
      <c r="BC355" s="152"/>
      <c r="BD355" s="152"/>
      <c r="BE355" s="152"/>
      <c r="BF355" s="152"/>
      <c r="BG355" s="308">
        <f t="shared" si="157"/>
        <v>0</v>
      </c>
      <c r="BH355" s="1018">
        <f t="shared" si="158"/>
        <v>0</v>
      </c>
      <c r="BI355" s="132"/>
      <c r="BJ355" s="140">
        <f t="shared" si="159"/>
        <v>0</v>
      </c>
      <c r="BK355" s="141"/>
      <c r="BL355" s="141"/>
      <c r="BM355" s="141"/>
      <c r="BN355" s="141"/>
      <c r="BO355" s="141"/>
      <c r="BP355" s="141"/>
      <c r="BQ355" s="141"/>
      <c r="BR355" s="141"/>
      <c r="BS355" s="141"/>
      <c r="BT355" s="141"/>
      <c r="BU355" s="141"/>
      <c r="BV355" s="141"/>
      <c r="BW355" s="141"/>
      <c r="BX355" s="130">
        <f t="shared" si="160"/>
        <v>0</v>
      </c>
      <c r="BY355" s="132"/>
    </row>
    <row r="356" ht="15.75" customHeight="1">
      <c r="B356" s="1477">
        <v>46343</v>
      </c>
      <c r="C356" s="379"/>
      <c r="D356" s="136"/>
      <c r="E356" s="135"/>
      <c r="F356" s="135"/>
      <c r="G356" s="147">
        <f t="shared" si="152"/>
        <v>0</v>
      </c>
      <c r="H356" s="1474"/>
      <c r="I356" s="142"/>
      <c r="J356" s="1488"/>
      <c r="K356" s="1470"/>
      <c r="L356" s="1470"/>
      <c r="M356" s="1470"/>
      <c r="N356" s="1470"/>
      <c r="O356" s="1470"/>
      <c r="P356" s="1470"/>
      <c r="Q356" s="1470"/>
      <c r="R356" s="1470"/>
      <c r="S356" s="1470"/>
      <c r="T356" s="1470"/>
      <c r="U356" s="1470"/>
      <c r="V356" s="1470"/>
      <c r="W356" s="1470"/>
      <c r="X356" s="103">
        <f t="shared" si="153"/>
        <v>0</v>
      </c>
      <c r="Y356" s="1470"/>
      <c r="Z356" s="1470"/>
      <c r="AA356" s="99"/>
      <c r="AB356" s="143"/>
      <c r="AC356" s="143"/>
      <c r="AD356" s="143"/>
      <c r="AE356" s="143"/>
      <c r="AF356" s="143"/>
      <c r="AG356" s="143"/>
      <c r="AH356" s="143"/>
      <c r="AI356" s="143"/>
      <c r="AJ356" s="143"/>
      <c r="AK356" s="143"/>
      <c r="AL356" s="103">
        <f t="shared" si="154"/>
        <v>0</v>
      </c>
      <c r="AM356" s="136"/>
      <c r="AN356" s="136"/>
      <c r="AO356" s="136"/>
      <c r="AP356" s="105">
        <f t="shared" si="155"/>
        <v>0</v>
      </c>
      <c r="AQ356" s="136"/>
      <c r="AR356" s="136"/>
      <c r="AS356" s="136"/>
      <c r="AT356" s="135"/>
      <c r="AU356" s="224">
        <f t="shared" si="156"/>
        <v>0</v>
      </c>
      <c r="AV356" s="126"/>
      <c r="AW356" s="274"/>
      <c r="AX356" s="126"/>
      <c r="AY356" s="126"/>
      <c r="AZ356" s="126"/>
      <c r="BA356" s="126"/>
      <c r="BB356" s="141"/>
      <c r="BC356" s="152"/>
      <c r="BD356" s="152"/>
      <c r="BE356" s="152"/>
      <c r="BF356" s="152"/>
      <c r="BG356" s="308">
        <f t="shared" si="157"/>
        <v>0</v>
      </c>
      <c r="BH356" s="1018">
        <f t="shared" si="158"/>
        <v>0</v>
      </c>
      <c r="BI356" s="132"/>
      <c r="BJ356" s="140">
        <f t="shared" si="159"/>
        <v>0</v>
      </c>
      <c r="BK356" s="141"/>
      <c r="BL356" s="141"/>
      <c r="BM356" s="141"/>
      <c r="BN356" s="141"/>
      <c r="BO356" s="141"/>
      <c r="BP356" s="141"/>
      <c r="BQ356" s="141"/>
      <c r="BR356" s="141"/>
      <c r="BS356" s="141"/>
      <c r="BT356" s="141"/>
      <c r="BU356" s="141"/>
      <c r="BV356" s="141"/>
      <c r="BW356" s="141"/>
      <c r="BX356" s="130">
        <f t="shared" si="160"/>
        <v>0</v>
      </c>
      <c r="BY356" s="132"/>
    </row>
    <row r="357" ht="15.75" customHeight="1">
      <c r="B357" s="1477">
        <v>46344</v>
      </c>
      <c r="C357" s="379"/>
      <c r="D357" s="136"/>
      <c r="E357" s="135"/>
      <c r="F357" s="135"/>
      <c r="G357" s="147">
        <f t="shared" si="152"/>
        <v>0</v>
      </c>
      <c r="H357" s="1469"/>
      <c r="I357" s="1470"/>
      <c r="J357" s="1488"/>
      <c r="K357" s="1470"/>
      <c r="L357" s="1470"/>
      <c r="M357" s="1470"/>
      <c r="N357" s="1470"/>
      <c r="O357" s="1470"/>
      <c r="P357" s="1470"/>
      <c r="Q357" s="1470"/>
      <c r="R357" s="1470"/>
      <c r="S357" s="1470"/>
      <c r="T357" s="1470"/>
      <c r="U357" s="1470"/>
      <c r="V357" s="1470"/>
      <c r="W357" s="1470"/>
      <c r="X357" s="103">
        <f t="shared" si="153"/>
        <v>0</v>
      </c>
      <c r="Y357" s="1470"/>
      <c r="Z357" s="1470"/>
      <c r="AA357" s="99"/>
      <c r="AB357" s="143"/>
      <c r="AC357" s="143"/>
      <c r="AD357" s="143"/>
      <c r="AE357" s="143"/>
      <c r="AF357" s="143"/>
      <c r="AG357" s="143"/>
      <c r="AH357" s="143"/>
      <c r="AI357" s="143"/>
      <c r="AJ357" s="143"/>
      <c r="AK357" s="143"/>
      <c r="AL357" s="103">
        <f t="shared" si="154"/>
        <v>0</v>
      </c>
      <c r="AM357" s="136"/>
      <c r="AN357" s="136"/>
      <c r="AO357" s="136"/>
      <c r="AP357" s="105">
        <f t="shared" si="155"/>
        <v>0</v>
      </c>
      <c r="AQ357" s="136"/>
      <c r="AR357" s="136"/>
      <c r="AS357" s="136"/>
      <c r="AT357" s="135"/>
      <c r="AU357" s="224">
        <f t="shared" si="156"/>
        <v>0</v>
      </c>
      <c r="AV357" s="126"/>
      <c r="AW357" s="274"/>
      <c r="AX357" s="126"/>
      <c r="AY357" s="126"/>
      <c r="AZ357" s="126"/>
      <c r="BA357" s="126"/>
      <c r="BB357" s="141"/>
      <c r="BC357" s="152"/>
      <c r="BD357" s="152"/>
      <c r="BE357" s="152"/>
      <c r="BF357" s="152"/>
      <c r="BG357" s="308">
        <f t="shared" si="157"/>
        <v>0</v>
      </c>
      <c r="BH357" s="1018">
        <f t="shared" si="158"/>
        <v>0</v>
      </c>
      <c r="BI357" s="132"/>
      <c r="BJ357" s="140">
        <f t="shared" si="159"/>
        <v>0</v>
      </c>
      <c r="BK357" s="141"/>
      <c r="BL357" s="141"/>
      <c r="BM357" s="141"/>
      <c r="BN357" s="141"/>
      <c r="BO357" s="141"/>
      <c r="BP357" s="141"/>
      <c r="BQ357" s="141"/>
      <c r="BR357" s="141"/>
      <c r="BS357" s="141"/>
      <c r="BT357" s="141"/>
      <c r="BU357" s="141"/>
      <c r="BV357" s="141"/>
      <c r="BW357" s="141"/>
      <c r="BX357" s="130">
        <f t="shared" si="160"/>
        <v>0</v>
      </c>
      <c r="BY357" s="132"/>
    </row>
    <row r="358" ht="15.75" customHeight="1">
      <c r="B358" s="1477">
        <v>46345</v>
      </c>
      <c r="C358" s="379"/>
      <c r="D358" s="136"/>
      <c r="E358" s="135"/>
      <c r="F358" s="135"/>
      <c r="G358" s="147">
        <f t="shared" si="152"/>
        <v>0</v>
      </c>
      <c r="H358" s="1469"/>
      <c r="I358" s="1470"/>
      <c r="J358" s="1488"/>
      <c r="K358" s="1470"/>
      <c r="L358" s="1470"/>
      <c r="M358" s="1470"/>
      <c r="N358" s="1470"/>
      <c r="O358" s="1470"/>
      <c r="P358" s="1470"/>
      <c r="Q358" s="1470"/>
      <c r="R358" s="1470"/>
      <c r="S358" s="1470"/>
      <c r="T358" s="1470"/>
      <c r="U358" s="1470"/>
      <c r="V358" s="1470"/>
      <c r="W358" s="1470"/>
      <c r="X358" s="103">
        <f t="shared" si="153"/>
        <v>0</v>
      </c>
      <c r="Y358" s="1470"/>
      <c r="Z358" s="1470"/>
      <c r="AA358" s="99"/>
      <c r="AB358" s="143"/>
      <c r="AC358" s="143"/>
      <c r="AD358" s="143"/>
      <c r="AE358" s="143"/>
      <c r="AF358" s="143"/>
      <c r="AG358" s="143"/>
      <c r="AH358" s="143"/>
      <c r="AI358" s="143"/>
      <c r="AJ358" s="143"/>
      <c r="AK358" s="143"/>
      <c r="AL358" s="103">
        <f t="shared" si="154"/>
        <v>0</v>
      </c>
      <c r="AM358" s="136"/>
      <c r="AN358" s="136"/>
      <c r="AO358" s="136"/>
      <c r="AP358" s="105">
        <f t="shared" si="155"/>
        <v>0</v>
      </c>
      <c r="AQ358" s="136"/>
      <c r="AR358" s="136"/>
      <c r="AS358" s="136"/>
      <c r="AT358" s="135"/>
      <c r="AU358" s="224">
        <f t="shared" si="156"/>
        <v>0</v>
      </c>
      <c r="AV358" s="126"/>
      <c r="AW358" s="274"/>
      <c r="AX358" s="126"/>
      <c r="AY358" s="126"/>
      <c r="AZ358" s="126"/>
      <c r="BA358" s="126"/>
      <c r="BB358" s="141"/>
      <c r="BC358" s="152"/>
      <c r="BD358" s="152"/>
      <c r="BE358" s="152"/>
      <c r="BF358" s="152"/>
      <c r="BG358" s="308">
        <f t="shared" si="157"/>
        <v>0</v>
      </c>
      <c r="BH358" s="1018">
        <f t="shared" si="158"/>
        <v>0</v>
      </c>
      <c r="BI358" s="132"/>
      <c r="BJ358" s="140">
        <f t="shared" si="159"/>
        <v>0</v>
      </c>
      <c r="BK358" s="141"/>
      <c r="BL358" s="141"/>
      <c r="BM358" s="141"/>
      <c r="BN358" s="141"/>
      <c r="BO358" s="141"/>
      <c r="BP358" s="141"/>
      <c r="BQ358" s="141"/>
      <c r="BR358" s="141"/>
      <c r="BS358" s="141"/>
      <c r="BT358" s="141"/>
      <c r="BU358" s="141"/>
      <c r="BV358" s="141"/>
      <c r="BW358" s="141"/>
      <c r="BX358" s="130">
        <f t="shared" si="160"/>
        <v>0</v>
      </c>
      <c r="BY358" s="132"/>
    </row>
    <row r="359" ht="15.75" customHeight="1">
      <c r="B359" s="1477">
        <v>46346</v>
      </c>
      <c r="C359" s="379"/>
      <c r="D359" s="136"/>
      <c r="E359" s="135"/>
      <c r="F359" s="135"/>
      <c r="G359" s="147">
        <f t="shared" si="152"/>
        <v>0</v>
      </c>
      <c r="H359" s="1474"/>
      <c r="I359" s="142"/>
      <c r="J359" s="1488"/>
      <c r="K359" s="1470"/>
      <c r="L359" s="1470"/>
      <c r="M359" s="1470"/>
      <c r="N359" s="1470"/>
      <c r="O359" s="1470"/>
      <c r="P359" s="1470"/>
      <c r="Q359" s="1470"/>
      <c r="R359" s="1470"/>
      <c r="S359" s="1470"/>
      <c r="T359" s="1470"/>
      <c r="U359" s="1470"/>
      <c r="V359" s="1470"/>
      <c r="W359" s="1470"/>
      <c r="X359" s="103">
        <f t="shared" si="153"/>
        <v>0</v>
      </c>
      <c r="Y359" s="1470"/>
      <c r="Z359" s="1470"/>
      <c r="AA359" s="99"/>
      <c r="AB359" s="143"/>
      <c r="AC359" s="143"/>
      <c r="AD359" s="143"/>
      <c r="AE359" s="143"/>
      <c r="AF359" s="143"/>
      <c r="AG359" s="143"/>
      <c r="AH359" s="143"/>
      <c r="AI359" s="143"/>
      <c r="AJ359" s="143"/>
      <c r="AK359" s="143"/>
      <c r="AL359" s="103">
        <f t="shared" si="154"/>
        <v>0</v>
      </c>
      <c r="AM359" s="136"/>
      <c r="AN359" s="136"/>
      <c r="AO359" s="136"/>
      <c r="AP359" s="105">
        <f t="shared" si="155"/>
        <v>0</v>
      </c>
      <c r="AQ359" s="136"/>
      <c r="AR359" s="136"/>
      <c r="AS359" s="136"/>
      <c r="AT359" s="135"/>
      <c r="AU359" s="224">
        <f t="shared" si="156"/>
        <v>0</v>
      </c>
      <c r="AV359" s="126"/>
      <c r="AW359" s="274"/>
      <c r="AX359" s="126"/>
      <c r="AY359" s="126"/>
      <c r="AZ359" s="126"/>
      <c r="BA359" s="126"/>
      <c r="BB359" s="141"/>
      <c r="BC359" s="152"/>
      <c r="BD359" s="152"/>
      <c r="BE359" s="152"/>
      <c r="BF359" s="152"/>
      <c r="BG359" s="308">
        <f t="shared" si="157"/>
        <v>0</v>
      </c>
      <c r="BH359" s="1018">
        <f t="shared" si="158"/>
        <v>0</v>
      </c>
      <c r="BI359" s="132"/>
      <c r="BJ359" s="140">
        <f t="shared" si="159"/>
        <v>0</v>
      </c>
      <c r="BK359" s="141"/>
      <c r="BL359" s="141"/>
      <c r="BM359" s="141"/>
      <c r="BN359" s="141"/>
      <c r="BO359" s="141"/>
      <c r="BP359" s="141"/>
      <c r="BQ359" s="141"/>
      <c r="BR359" s="141"/>
      <c r="BS359" s="141"/>
      <c r="BT359" s="141"/>
      <c r="BU359" s="141"/>
      <c r="BV359" s="141"/>
      <c r="BW359" s="141"/>
      <c r="BX359" s="130">
        <f t="shared" si="160"/>
        <v>0</v>
      </c>
      <c r="BY359" s="132"/>
    </row>
    <row r="360" ht="15.75" customHeight="1">
      <c r="B360" s="1477">
        <v>46347</v>
      </c>
      <c r="C360" s="379"/>
      <c r="D360" s="136"/>
      <c r="E360" s="135"/>
      <c r="F360" s="135"/>
      <c r="G360" s="147">
        <f t="shared" si="152"/>
        <v>0</v>
      </c>
      <c r="H360" s="1469"/>
      <c r="I360" s="1470"/>
      <c r="J360" s="1488"/>
      <c r="K360" s="1470"/>
      <c r="L360" s="1470"/>
      <c r="M360" s="1470"/>
      <c r="N360" s="1470"/>
      <c r="O360" s="1470"/>
      <c r="P360" s="1470"/>
      <c r="Q360" s="1470"/>
      <c r="R360" s="1470"/>
      <c r="S360" s="1470"/>
      <c r="T360" s="1470"/>
      <c r="U360" s="1470"/>
      <c r="V360" s="1470"/>
      <c r="W360" s="1470"/>
      <c r="X360" s="103">
        <f t="shared" si="153"/>
        <v>0</v>
      </c>
      <c r="Y360" s="1470"/>
      <c r="Z360" s="1470"/>
      <c r="AA360" s="99"/>
      <c r="AB360" s="143"/>
      <c r="AC360" s="143"/>
      <c r="AD360" s="143"/>
      <c r="AE360" s="143"/>
      <c r="AF360" s="143"/>
      <c r="AG360" s="143"/>
      <c r="AH360" s="143"/>
      <c r="AI360" s="143"/>
      <c r="AJ360" s="143"/>
      <c r="AK360" s="143"/>
      <c r="AL360" s="103">
        <f t="shared" si="154"/>
        <v>0</v>
      </c>
      <c r="AM360" s="136"/>
      <c r="AN360" s="136"/>
      <c r="AO360" s="136"/>
      <c r="AP360" s="105">
        <f t="shared" si="155"/>
        <v>0</v>
      </c>
      <c r="AQ360" s="136"/>
      <c r="AR360" s="136"/>
      <c r="AS360" s="136"/>
      <c r="AT360" s="135"/>
      <c r="AU360" s="224">
        <f t="shared" si="156"/>
        <v>0</v>
      </c>
      <c r="AV360" s="126"/>
      <c r="AW360" s="274"/>
      <c r="AX360" s="126"/>
      <c r="AY360" s="126"/>
      <c r="AZ360" s="126"/>
      <c r="BA360" s="126"/>
      <c r="BB360" s="141"/>
      <c r="BC360" s="152"/>
      <c r="BD360" s="152"/>
      <c r="BE360" s="152"/>
      <c r="BF360" s="152"/>
      <c r="BG360" s="308">
        <f t="shared" si="157"/>
        <v>0</v>
      </c>
      <c r="BH360" s="1018">
        <f t="shared" si="158"/>
        <v>0</v>
      </c>
      <c r="BI360" s="132"/>
      <c r="BJ360" s="140">
        <f t="shared" si="159"/>
        <v>0</v>
      </c>
      <c r="BK360" s="141"/>
      <c r="BL360" s="141"/>
      <c r="BM360" s="141"/>
      <c r="BN360" s="141"/>
      <c r="BO360" s="141"/>
      <c r="BP360" s="141"/>
      <c r="BQ360" s="141"/>
      <c r="BR360" s="141"/>
      <c r="BS360" s="141"/>
      <c r="BT360" s="141"/>
      <c r="BU360" s="141"/>
      <c r="BV360" s="141"/>
      <c r="BW360" s="141"/>
      <c r="BX360" s="130">
        <f t="shared" si="160"/>
        <v>0</v>
      </c>
      <c r="BY360" s="132"/>
    </row>
    <row r="361" ht="15.75" customHeight="1">
      <c r="B361" s="1477">
        <v>46348</v>
      </c>
      <c r="C361" s="379"/>
      <c r="D361" s="136"/>
      <c r="E361" s="135"/>
      <c r="F361" s="135"/>
      <c r="G361" s="147">
        <f t="shared" si="152"/>
        <v>0</v>
      </c>
      <c r="H361" s="1469"/>
      <c r="I361" s="1470"/>
      <c r="J361" s="1488"/>
      <c r="K361" s="1470"/>
      <c r="L361" s="1470"/>
      <c r="M361" s="1470"/>
      <c r="N361" s="1470"/>
      <c r="O361" s="1470"/>
      <c r="P361" s="1470"/>
      <c r="Q361" s="1470"/>
      <c r="R361" s="1470"/>
      <c r="S361" s="1470"/>
      <c r="T361" s="1470"/>
      <c r="U361" s="1470"/>
      <c r="V361" s="1470"/>
      <c r="W361" s="1470"/>
      <c r="X361" s="103">
        <f t="shared" si="153"/>
        <v>0</v>
      </c>
      <c r="Y361" s="1470"/>
      <c r="Z361" s="1470"/>
      <c r="AA361" s="99"/>
      <c r="AB361" s="143"/>
      <c r="AC361" s="143"/>
      <c r="AD361" s="143"/>
      <c r="AE361" s="143"/>
      <c r="AF361" s="143"/>
      <c r="AG361" s="143"/>
      <c r="AH361" s="143"/>
      <c r="AI361" s="143"/>
      <c r="AJ361" s="143"/>
      <c r="AK361" s="143"/>
      <c r="AL361" s="103">
        <f t="shared" si="154"/>
        <v>0</v>
      </c>
      <c r="AM361" s="136"/>
      <c r="AN361" s="136"/>
      <c r="AO361" s="136"/>
      <c r="AP361" s="105">
        <f t="shared" si="155"/>
        <v>0</v>
      </c>
      <c r="AQ361" s="136"/>
      <c r="AR361" s="136"/>
      <c r="AS361" s="136"/>
      <c r="AT361" s="135"/>
      <c r="AU361" s="224">
        <f t="shared" si="156"/>
        <v>0</v>
      </c>
      <c r="AV361" s="126"/>
      <c r="AW361" s="274"/>
      <c r="AX361" s="126"/>
      <c r="AY361" s="126"/>
      <c r="AZ361" s="126"/>
      <c r="BA361" s="126"/>
      <c r="BB361" s="141"/>
      <c r="BC361" s="152"/>
      <c r="BD361" s="152"/>
      <c r="BE361" s="152"/>
      <c r="BF361" s="152"/>
      <c r="BG361" s="308">
        <f t="shared" si="157"/>
        <v>0</v>
      </c>
      <c r="BH361" s="1018">
        <f t="shared" si="158"/>
        <v>0</v>
      </c>
      <c r="BI361" s="132"/>
      <c r="BJ361" s="140">
        <f t="shared" si="159"/>
        <v>0</v>
      </c>
      <c r="BK361" s="141"/>
      <c r="BL361" s="141"/>
      <c r="BM361" s="141"/>
      <c r="BN361" s="141"/>
      <c r="BO361" s="141"/>
      <c r="BP361" s="141"/>
      <c r="BQ361" s="141"/>
      <c r="BR361" s="141"/>
      <c r="BS361" s="141"/>
      <c r="BT361" s="141"/>
      <c r="BU361" s="141"/>
      <c r="BV361" s="141"/>
      <c r="BW361" s="141"/>
      <c r="BX361" s="130">
        <f t="shared" si="160"/>
        <v>0</v>
      </c>
      <c r="BY361" s="132"/>
    </row>
    <row r="362" ht="15.75" customHeight="1">
      <c r="B362" s="1477">
        <v>46349</v>
      </c>
      <c r="C362" s="379"/>
      <c r="D362" s="136"/>
      <c r="E362" s="135"/>
      <c r="F362" s="135"/>
      <c r="G362" s="147">
        <f t="shared" si="152"/>
        <v>0</v>
      </c>
      <c r="H362" s="1475"/>
      <c r="I362" s="142"/>
      <c r="J362" s="1488"/>
      <c r="K362" s="1470"/>
      <c r="L362" s="1470"/>
      <c r="M362" s="1470"/>
      <c r="N362" s="1470"/>
      <c r="O362" s="1470"/>
      <c r="P362" s="1470"/>
      <c r="Q362" s="1470"/>
      <c r="R362" s="1470"/>
      <c r="S362" s="1470"/>
      <c r="T362" s="1470"/>
      <c r="U362" s="1470"/>
      <c r="V362" s="1470"/>
      <c r="W362" s="1470"/>
      <c r="X362" s="103">
        <f t="shared" si="153"/>
        <v>0</v>
      </c>
      <c r="Y362" s="1470"/>
      <c r="Z362" s="1470"/>
      <c r="AA362" s="99"/>
      <c r="AB362" s="143"/>
      <c r="AC362" s="143"/>
      <c r="AD362" s="143"/>
      <c r="AE362" s="143"/>
      <c r="AF362" s="143"/>
      <c r="AG362" s="143"/>
      <c r="AH362" s="143"/>
      <c r="AI362" s="143"/>
      <c r="AJ362" s="143"/>
      <c r="AK362" s="143"/>
      <c r="AL362" s="103">
        <f t="shared" si="154"/>
        <v>0</v>
      </c>
      <c r="AM362" s="136"/>
      <c r="AN362" s="136"/>
      <c r="AO362" s="136"/>
      <c r="AP362" s="105">
        <f t="shared" si="155"/>
        <v>0</v>
      </c>
      <c r="AQ362" s="136"/>
      <c r="AR362" s="136"/>
      <c r="AS362" s="136"/>
      <c r="AT362" s="135"/>
      <c r="AU362" s="224">
        <f t="shared" si="156"/>
        <v>0</v>
      </c>
      <c r="AV362" s="126"/>
      <c r="AW362" s="274"/>
      <c r="AX362" s="126"/>
      <c r="AY362" s="126"/>
      <c r="AZ362" s="126"/>
      <c r="BA362" s="126"/>
      <c r="BB362" s="141"/>
      <c r="BC362" s="152"/>
      <c r="BD362" s="152"/>
      <c r="BE362" s="152"/>
      <c r="BF362" s="152"/>
      <c r="BG362" s="308">
        <f t="shared" si="157"/>
        <v>0</v>
      </c>
      <c r="BH362" s="1018">
        <f t="shared" si="158"/>
        <v>0</v>
      </c>
      <c r="BI362" s="132"/>
      <c r="BJ362" s="140">
        <f t="shared" si="159"/>
        <v>0</v>
      </c>
      <c r="BK362" s="141"/>
      <c r="BL362" s="141"/>
      <c r="BM362" s="141"/>
      <c r="BN362" s="141"/>
      <c r="BO362" s="141"/>
      <c r="BP362" s="141"/>
      <c r="BQ362" s="141"/>
      <c r="BR362" s="141"/>
      <c r="BS362" s="141"/>
      <c r="BT362" s="141"/>
      <c r="BU362" s="141"/>
      <c r="BV362" s="141"/>
      <c r="BW362" s="141"/>
      <c r="BX362" s="130">
        <f t="shared" si="160"/>
        <v>0</v>
      </c>
      <c r="BY362" s="132"/>
    </row>
    <row r="363" ht="15.75" customHeight="1">
      <c r="B363" s="1477">
        <v>46350</v>
      </c>
      <c r="C363" s="379"/>
      <c r="D363" s="136"/>
      <c r="E363" s="135"/>
      <c r="F363" s="135"/>
      <c r="G363" s="147">
        <f t="shared" si="152"/>
        <v>0</v>
      </c>
      <c r="H363" s="1475"/>
      <c r="I363" s="1470"/>
      <c r="J363" s="1488"/>
      <c r="K363" s="1470"/>
      <c r="L363" s="1470"/>
      <c r="M363" s="1470"/>
      <c r="N363" s="1470"/>
      <c r="O363" s="1470"/>
      <c r="P363" s="1470"/>
      <c r="Q363" s="1470"/>
      <c r="R363" s="1470"/>
      <c r="S363" s="1470"/>
      <c r="T363" s="1470"/>
      <c r="U363" s="1470"/>
      <c r="V363" s="1470"/>
      <c r="W363" s="1470"/>
      <c r="X363" s="103">
        <f t="shared" si="153"/>
        <v>0</v>
      </c>
      <c r="Y363" s="1470"/>
      <c r="Z363" s="1470"/>
      <c r="AA363" s="99"/>
      <c r="AB363" s="143"/>
      <c r="AC363" s="143"/>
      <c r="AD363" s="143"/>
      <c r="AE363" s="143"/>
      <c r="AF363" s="143"/>
      <c r="AG363" s="143"/>
      <c r="AH363" s="143"/>
      <c r="AI363" s="143"/>
      <c r="AJ363" s="143"/>
      <c r="AK363" s="143"/>
      <c r="AL363" s="103">
        <f t="shared" si="154"/>
        <v>0</v>
      </c>
      <c r="AM363" s="136"/>
      <c r="AN363" s="136"/>
      <c r="AO363" s="136"/>
      <c r="AP363" s="105">
        <f t="shared" si="155"/>
        <v>0</v>
      </c>
      <c r="AQ363" s="136"/>
      <c r="AR363" s="136"/>
      <c r="AS363" s="136"/>
      <c r="AT363" s="135"/>
      <c r="AU363" s="224">
        <f t="shared" si="156"/>
        <v>0</v>
      </c>
      <c r="AV363" s="126"/>
      <c r="AW363" s="274"/>
      <c r="AX363" s="126"/>
      <c r="AY363" s="126"/>
      <c r="AZ363" s="126"/>
      <c r="BA363" s="126"/>
      <c r="BB363" s="141"/>
      <c r="BC363" s="152"/>
      <c r="BD363" s="152"/>
      <c r="BE363" s="152"/>
      <c r="BF363" s="152"/>
      <c r="BG363" s="308">
        <f t="shared" si="157"/>
        <v>0</v>
      </c>
      <c r="BH363" s="1018">
        <f t="shared" si="158"/>
        <v>0</v>
      </c>
      <c r="BI363" s="132"/>
      <c r="BJ363" s="140">
        <f t="shared" si="159"/>
        <v>0</v>
      </c>
      <c r="BK363" s="141"/>
      <c r="BL363" s="141"/>
      <c r="BM363" s="141"/>
      <c r="BN363" s="141"/>
      <c r="BO363" s="141"/>
      <c r="BP363" s="141"/>
      <c r="BQ363" s="141"/>
      <c r="BR363" s="141"/>
      <c r="BS363" s="141"/>
      <c r="BT363" s="141"/>
      <c r="BU363" s="141"/>
      <c r="BV363" s="141"/>
      <c r="BW363" s="141"/>
      <c r="BX363" s="130">
        <f t="shared" si="160"/>
        <v>0</v>
      </c>
      <c r="BY363" s="132"/>
    </row>
    <row r="364" ht="15.75" customHeight="1">
      <c r="B364" s="1477">
        <v>46351</v>
      </c>
      <c r="C364" s="379"/>
      <c r="D364" s="136"/>
      <c r="E364" s="135"/>
      <c r="F364" s="135"/>
      <c r="G364" s="147">
        <f t="shared" si="152"/>
        <v>0</v>
      </c>
      <c r="H364" s="1475"/>
      <c r="I364" s="1470"/>
      <c r="J364" s="1488"/>
      <c r="K364" s="1470"/>
      <c r="L364" s="1470"/>
      <c r="M364" s="1470"/>
      <c r="N364" s="1470"/>
      <c r="O364" s="1470"/>
      <c r="P364" s="1470"/>
      <c r="Q364" s="1470"/>
      <c r="R364" s="1470"/>
      <c r="S364" s="1470"/>
      <c r="T364" s="1470"/>
      <c r="U364" s="1470"/>
      <c r="V364" s="1470"/>
      <c r="W364" s="1470"/>
      <c r="X364" s="103">
        <f t="shared" si="153"/>
        <v>0</v>
      </c>
      <c r="Y364" s="1470"/>
      <c r="Z364" s="1470"/>
      <c r="AA364" s="99"/>
      <c r="AB364" s="143"/>
      <c r="AC364" s="143"/>
      <c r="AD364" s="143"/>
      <c r="AE364" s="143"/>
      <c r="AF364" s="143"/>
      <c r="AG364" s="143"/>
      <c r="AH364" s="143"/>
      <c r="AI364" s="143"/>
      <c r="AJ364" s="143"/>
      <c r="AK364" s="143"/>
      <c r="AL364" s="103">
        <f t="shared" si="154"/>
        <v>0</v>
      </c>
      <c r="AM364" s="136"/>
      <c r="AN364" s="136"/>
      <c r="AO364" s="136"/>
      <c r="AP364" s="105">
        <f t="shared" si="155"/>
        <v>0</v>
      </c>
      <c r="AQ364" s="136"/>
      <c r="AR364" s="136"/>
      <c r="AS364" s="136"/>
      <c r="AT364" s="135"/>
      <c r="AU364" s="224">
        <f t="shared" si="156"/>
        <v>0</v>
      </c>
      <c r="AV364" s="126"/>
      <c r="AW364" s="274"/>
      <c r="AX364" s="126"/>
      <c r="AY364" s="126"/>
      <c r="AZ364" s="126"/>
      <c r="BA364" s="126"/>
      <c r="BB364" s="141"/>
      <c r="BC364" s="152"/>
      <c r="BD364" s="152"/>
      <c r="BE364" s="152"/>
      <c r="BF364" s="152"/>
      <c r="BG364" s="308">
        <f t="shared" si="157"/>
        <v>0</v>
      </c>
      <c r="BH364" s="1018">
        <f t="shared" si="158"/>
        <v>0</v>
      </c>
      <c r="BI364" s="132"/>
      <c r="BJ364" s="140">
        <f t="shared" si="159"/>
        <v>0</v>
      </c>
      <c r="BK364" s="141"/>
      <c r="BL364" s="141"/>
      <c r="BM364" s="141"/>
      <c r="BN364" s="141"/>
      <c r="BO364" s="141"/>
      <c r="BP364" s="141"/>
      <c r="BQ364" s="141"/>
      <c r="BR364" s="141"/>
      <c r="BS364" s="141"/>
      <c r="BT364" s="141"/>
      <c r="BU364" s="141"/>
      <c r="BV364" s="141"/>
      <c r="BW364" s="141"/>
      <c r="BX364" s="130">
        <f t="shared" si="160"/>
        <v>0</v>
      </c>
      <c r="BY364" s="132"/>
    </row>
    <row r="365" ht="15.75" customHeight="1">
      <c r="B365" s="1477">
        <v>46352</v>
      </c>
      <c r="C365" s="379"/>
      <c r="D365" s="136"/>
      <c r="E365" s="135"/>
      <c r="F365" s="135"/>
      <c r="G365" s="147">
        <f t="shared" si="152"/>
        <v>0</v>
      </c>
      <c r="H365" s="1475"/>
      <c r="I365" s="142"/>
      <c r="J365" s="1488"/>
      <c r="K365" s="1470"/>
      <c r="L365" s="1470"/>
      <c r="M365" s="1470"/>
      <c r="N365" s="1470"/>
      <c r="O365" s="1470"/>
      <c r="P365" s="1470"/>
      <c r="Q365" s="1470"/>
      <c r="R365" s="1470"/>
      <c r="S365" s="1470"/>
      <c r="T365" s="1470"/>
      <c r="U365" s="1470"/>
      <c r="V365" s="1470"/>
      <c r="W365" s="1470"/>
      <c r="X365" s="103">
        <f t="shared" si="153"/>
        <v>0</v>
      </c>
      <c r="Y365" s="1470"/>
      <c r="Z365" s="1470"/>
      <c r="AA365" s="99"/>
      <c r="AB365" s="143"/>
      <c r="AC365" s="143"/>
      <c r="AD365" s="143"/>
      <c r="AE365" s="143"/>
      <c r="AF365" s="143"/>
      <c r="AG365" s="143"/>
      <c r="AH365" s="143"/>
      <c r="AI365" s="143"/>
      <c r="AJ365" s="143"/>
      <c r="AK365" s="143"/>
      <c r="AL365" s="103">
        <f t="shared" si="154"/>
        <v>0</v>
      </c>
      <c r="AM365" s="136"/>
      <c r="AN365" s="136"/>
      <c r="AO365" s="136"/>
      <c r="AP365" s="105">
        <f t="shared" si="155"/>
        <v>0</v>
      </c>
      <c r="AQ365" s="136"/>
      <c r="AR365" s="136"/>
      <c r="AS365" s="136"/>
      <c r="AT365" s="135"/>
      <c r="AU365" s="224">
        <f t="shared" si="156"/>
        <v>0</v>
      </c>
      <c r="AV365" s="126"/>
      <c r="AW365" s="274"/>
      <c r="AX365" s="126"/>
      <c r="AY365" s="126"/>
      <c r="AZ365" s="126"/>
      <c r="BA365" s="126"/>
      <c r="BB365" s="141"/>
      <c r="BC365" s="152"/>
      <c r="BD365" s="152"/>
      <c r="BE365" s="152"/>
      <c r="BF365" s="152"/>
      <c r="BG365" s="308">
        <f t="shared" si="157"/>
        <v>0</v>
      </c>
      <c r="BH365" s="1018">
        <f t="shared" si="158"/>
        <v>0</v>
      </c>
      <c r="BI365" s="132"/>
      <c r="BJ365" s="140">
        <f t="shared" si="159"/>
        <v>0</v>
      </c>
      <c r="BK365" s="141"/>
      <c r="BL365" s="141"/>
      <c r="BM365" s="141"/>
      <c r="BN365" s="141"/>
      <c r="BO365" s="141"/>
      <c r="BP365" s="141"/>
      <c r="BQ365" s="141"/>
      <c r="BR365" s="141"/>
      <c r="BS365" s="141"/>
      <c r="BT365" s="141"/>
      <c r="BU365" s="141"/>
      <c r="BV365" s="141"/>
      <c r="BW365" s="141"/>
      <c r="BX365" s="130">
        <f t="shared" si="160"/>
        <v>0</v>
      </c>
      <c r="BY365" s="132"/>
    </row>
    <row r="366" ht="15.75" customHeight="1">
      <c r="B366" s="1477">
        <v>46353</v>
      </c>
      <c r="C366" s="379"/>
      <c r="D366" s="136"/>
      <c r="E366" s="135"/>
      <c r="F366" s="135"/>
      <c r="G366" s="147">
        <f t="shared" si="152"/>
        <v>0</v>
      </c>
      <c r="H366" s="1475"/>
      <c r="I366" s="1470"/>
      <c r="J366" s="1488"/>
      <c r="K366" s="1470"/>
      <c r="L366" s="1470"/>
      <c r="M366" s="1470"/>
      <c r="N366" s="1470"/>
      <c r="O366" s="1470"/>
      <c r="P366" s="1470"/>
      <c r="Q366" s="1470"/>
      <c r="R366" s="1470"/>
      <c r="S366" s="1470"/>
      <c r="T366" s="1470"/>
      <c r="U366" s="1470"/>
      <c r="V366" s="1470"/>
      <c r="W366" s="1470"/>
      <c r="X366" s="103">
        <f t="shared" si="153"/>
        <v>0</v>
      </c>
      <c r="Y366" s="1470"/>
      <c r="Z366" s="1470"/>
      <c r="AA366" s="99"/>
      <c r="AB366" s="143"/>
      <c r="AC366" s="143"/>
      <c r="AD366" s="143"/>
      <c r="AE366" s="143"/>
      <c r="AF366" s="143"/>
      <c r="AG366" s="143"/>
      <c r="AH366" s="143"/>
      <c r="AI366" s="143"/>
      <c r="AJ366" s="143"/>
      <c r="AK366" s="143"/>
      <c r="AL366" s="103">
        <f t="shared" si="154"/>
        <v>0</v>
      </c>
      <c r="AM366" s="136"/>
      <c r="AN366" s="136"/>
      <c r="AO366" s="136"/>
      <c r="AP366" s="105">
        <f t="shared" si="155"/>
        <v>0</v>
      </c>
      <c r="AQ366" s="136"/>
      <c r="AR366" s="136"/>
      <c r="AS366" s="136"/>
      <c r="AT366" s="135"/>
      <c r="AU366" s="224">
        <f t="shared" si="156"/>
        <v>0</v>
      </c>
      <c r="AV366" s="126"/>
      <c r="AW366" s="274"/>
      <c r="AX366" s="126"/>
      <c r="AY366" s="126"/>
      <c r="AZ366" s="126"/>
      <c r="BA366" s="126"/>
      <c r="BB366" s="141"/>
      <c r="BC366" s="152"/>
      <c r="BD366" s="152"/>
      <c r="BE366" s="152"/>
      <c r="BF366" s="152"/>
      <c r="BG366" s="308">
        <f t="shared" si="157"/>
        <v>0</v>
      </c>
      <c r="BH366" s="1018">
        <f t="shared" si="158"/>
        <v>0</v>
      </c>
      <c r="BI366" s="132"/>
      <c r="BJ366" s="140">
        <f t="shared" si="159"/>
        <v>0</v>
      </c>
      <c r="BK366" s="141"/>
      <c r="BL366" s="141"/>
      <c r="BM366" s="141"/>
      <c r="BN366" s="141"/>
      <c r="BO366" s="141"/>
      <c r="BP366" s="141"/>
      <c r="BQ366" s="141"/>
      <c r="BR366" s="141"/>
      <c r="BS366" s="141"/>
      <c r="BT366" s="141"/>
      <c r="BU366" s="141"/>
      <c r="BV366" s="141"/>
      <c r="BW366" s="141"/>
      <c r="BX366" s="130">
        <f t="shared" si="160"/>
        <v>0</v>
      </c>
      <c r="BY366" s="132"/>
    </row>
    <row r="367" ht="15.75" customHeight="1">
      <c r="B367" s="1477">
        <v>46354</v>
      </c>
      <c r="C367" s="379"/>
      <c r="D367" s="136"/>
      <c r="E367" s="135"/>
      <c r="F367" s="135"/>
      <c r="G367" s="147">
        <f t="shared" si="152"/>
        <v>0</v>
      </c>
      <c r="H367" s="1475"/>
      <c r="I367" s="1470"/>
      <c r="J367" s="1488"/>
      <c r="K367" s="1470"/>
      <c r="L367" s="1470"/>
      <c r="M367" s="1470"/>
      <c r="N367" s="1470"/>
      <c r="O367" s="1470"/>
      <c r="P367" s="1470"/>
      <c r="Q367" s="1470"/>
      <c r="R367" s="1470"/>
      <c r="S367" s="1470"/>
      <c r="T367" s="1470"/>
      <c r="U367" s="1470"/>
      <c r="V367" s="1470"/>
      <c r="W367" s="1470"/>
      <c r="X367" s="103">
        <f t="shared" si="153"/>
        <v>0</v>
      </c>
      <c r="Y367" s="1470"/>
      <c r="Z367" s="1470"/>
      <c r="AA367" s="99"/>
      <c r="AB367" s="143"/>
      <c r="AC367" s="143"/>
      <c r="AD367" s="143"/>
      <c r="AE367" s="143"/>
      <c r="AF367" s="143"/>
      <c r="AG367" s="143"/>
      <c r="AH367" s="143"/>
      <c r="AI367" s="143"/>
      <c r="AJ367" s="143"/>
      <c r="AK367" s="143"/>
      <c r="AL367" s="103">
        <f t="shared" si="154"/>
        <v>0</v>
      </c>
      <c r="AM367" s="136"/>
      <c r="AN367" s="136"/>
      <c r="AO367" s="136"/>
      <c r="AP367" s="105">
        <f t="shared" si="155"/>
        <v>0</v>
      </c>
      <c r="AQ367" s="136"/>
      <c r="AR367" s="136"/>
      <c r="AS367" s="136"/>
      <c r="AT367" s="135"/>
      <c r="AU367" s="224">
        <f t="shared" si="156"/>
        <v>0</v>
      </c>
      <c r="AV367" s="126"/>
      <c r="AW367" s="274"/>
      <c r="AX367" s="126"/>
      <c r="AY367" s="126"/>
      <c r="AZ367" s="126"/>
      <c r="BA367" s="126"/>
      <c r="BB367" s="141"/>
      <c r="BC367" s="152"/>
      <c r="BD367" s="152"/>
      <c r="BE367" s="152"/>
      <c r="BF367" s="152"/>
      <c r="BG367" s="308">
        <f t="shared" si="157"/>
        <v>0</v>
      </c>
      <c r="BH367" s="1018">
        <f t="shared" si="158"/>
        <v>0</v>
      </c>
      <c r="BI367" s="132"/>
      <c r="BJ367" s="140">
        <f t="shared" si="159"/>
        <v>0</v>
      </c>
      <c r="BK367" s="141"/>
      <c r="BL367" s="141"/>
      <c r="BM367" s="141"/>
      <c r="BN367" s="141"/>
      <c r="BO367" s="141"/>
      <c r="BP367" s="141"/>
      <c r="BQ367" s="141"/>
      <c r="BR367" s="141"/>
      <c r="BS367" s="141"/>
      <c r="BT367" s="141"/>
      <c r="BU367" s="141"/>
      <c r="BV367" s="141"/>
      <c r="BW367" s="141"/>
      <c r="BX367" s="130">
        <f t="shared" si="160"/>
        <v>0</v>
      </c>
      <c r="BY367" s="132"/>
    </row>
    <row r="368" ht="15.75" customHeight="1">
      <c r="B368" s="1477">
        <v>46355</v>
      </c>
      <c r="C368" s="379"/>
      <c r="D368" s="136"/>
      <c r="E368" s="135"/>
      <c r="F368" s="135"/>
      <c r="G368" s="147">
        <f t="shared" si="152"/>
        <v>0</v>
      </c>
      <c r="H368" s="1475"/>
      <c r="I368" s="142"/>
      <c r="J368" s="1488"/>
      <c r="K368" s="1470"/>
      <c r="L368" s="1470"/>
      <c r="M368" s="1470"/>
      <c r="N368" s="1470"/>
      <c r="O368" s="1470"/>
      <c r="P368" s="1470"/>
      <c r="Q368" s="1470"/>
      <c r="R368" s="1470"/>
      <c r="S368" s="1470"/>
      <c r="T368" s="1470"/>
      <c r="U368" s="1470"/>
      <c r="V368" s="1470"/>
      <c r="W368" s="1470"/>
      <c r="X368" s="103">
        <f t="shared" si="153"/>
        <v>0</v>
      </c>
      <c r="Y368" s="1470"/>
      <c r="Z368" s="1470"/>
      <c r="AA368" s="99"/>
      <c r="AB368" s="143"/>
      <c r="AC368" s="143"/>
      <c r="AD368" s="143"/>
      <c r="AE368" s="143"/>
      <c r="AF368" s="143"/>
      <c r="AG368" s="143"/>
      <c r="AH368" s="143"/>
      <c r="AI368" s="143"/>
      <c r="AJ368" s="143"/>
      <c r="AK368" s="143"/>
      <c r="AL368" s="103">
        <f t="shared" si="154"/>
        <v>0</v>
      </c>
      <c r="AM368" s="136"/>
      <c r="AN368" s="136"/>
      <c r="AO368" s="136"/>
      <c r="AP368" s="105">
        <f t="shared" si="155"/>
        <v>0</v>
      </c>
      <c r="AQ368" s="136"/>
      <c r="AR368" s="136"/>
      <c r="AS368" s="136"/>
      <c r="AT368" s="135"/>
      <c r="AU368" s="224">
        <f t="shared" si="156"/>
        <v>0</v>
      </c>
      <c r="AV368" s="126"/>
      <c r="AW368" s="274"/>
      <c r="AX368" s="126"/>
      <c r="AY368" s="126"/>
      <c r="AZ368" s="126"/>
      <c r="BA368" s="126"/>
      <c r="BB368" s="141"/>
      <c r="BC368" s="152"/>
      <c r="BD368" s="152"/>
      <c r="BE368" s="152"/>
      <c r="BF368" s="152"/>
      <c r="BG368" s="308">
        <f t="shared" si="157"/>
        <v>0</v>
      </c>
      <c r="BH368" s="1018">
        <f t="shared" si="158"/>
        <v>0</v>
      </c>
      <c r="BI368" s="132"/>
      <c r="BJ368" s="140">
        <f t="shared" si="159"/>
        <v>0</v>
      </c>
      <c r="BK368" s="141"/>
      <c r="BL368" s="141"/>
      <c r="BM368" s="141"/>
      <c r="BN368" s="141"/>
      <c r="BO368" s="141"/>
      <c r="BP368" s="141"/>
      <c r="BQ368" s="141"/>
      <c r="BR368" s="141"/>
      <c r="BS368" s="141"/>
      <c r="BT368" s="141"/>
      <c r="BU368" s="141"/>
      <c r="BV368" s="141"/>
      <c r="BW368" s="141"/>
      <c r="BX368" s="130">
        <f t="shared" si="160"/>
        <v>0</v>
      </c>
      <c r="BY368" s="132"/>
    </row>
    <row r="369" ht="15.75" customHeight="1">
      <c r="B369" s="1477">
        <v>46356</v>
      </c>
      <c r="C369" s="379"/>
      <c r="D369" s="136"/>
      <c r="E369" s="135"/>
      <c r="F369" s="135"/>
      <c r="G369" s="147">
        <f t="shared" si="152"/>
        <v>0</v>
      </c>
      <c r="H369" s="1475"/>
      <c r="I369" s="1470"/>
      <c r="J369" s="1488"/>
      <c r="K369" s="1470"/>
      <c r="L369" s="1470"/>
      <c r="M369" s="1470"/>
      <c r="N369" s="1470"/>
      <c r="O369" s="1470"/>
      <c r="P369" s="1470"/>
      <c r="Q369" s="1470"/>
      <c r="R369" s="1470"/>
      <c r="S369" s="1470"/>
      <c r="T369" s="1470"/>
      <c r="U369" s="1470"/>
      <c r="V369" s="1470"/>
      <c r="W369" s="1470"/>
      <c r="X369" s="103">
        <f t="shared" si="153"/>
        <v>0</v>
      </c>
      <c r="Y369" s="1470"/>
      <c r="Z369" s="1470"/>
      <c r="AA369" s="99"/>
      <c r="AB369" s="143"/>
      <c r="AC369" s="143"/>
      <c r="AD369" s="143"/>
      <c r="AE369" s="143"/>
      <c r="AF369" s="143"/>
      <c r="AG369" s="143"/>
      <c r="AH369" s="143"/>
      <c r="AI369" s="143"/>
      <c r="AJ369" s="143"/>
      <c r="AK369" s="143"/>
      <c r="AL369" s="103">
        <f t="shared" si="154"/>
        <v>0</v>
      </c>
      <c r="AM369" s="136"/>
      <c r="AN369" s="136"/>
      <c r="AO369" s="136"/>
      <c r="AP369" s="105">
        <f t="shared" si="155"/>
        <v>0</v>
      </c>
      <c r="AQ369" s="136"/>
      <c r="AR369" s="136"/>
      <c r="AS369" s="136"/>
      <c r="AT369" s="135"/>
      <c r="AU369" s="224">
        <f t="shared" si="156"/>
        <v>0</v>
      </c>
      <c r="AV369" s="138"/>
      <c r="AW369" s="152"/>
      <c r="AX369" s="141"/>
      <c r="AY369" s="141"/>
      <c r="AZ369" s="141"/>
      <c r="BA369" s="141"/>
      <c r="BB369" s="141"/>
      <c r="BC369" s="152"/>
      <c r="BD369" s="152"/>
      <c r="BE369" s="152"/>
      <c r="BF369" s="152"/>
      <c r="BG369" s="308">
        <f t="shared" si="157"/>
        <v>0</v>
      </c>
      <c r="BH369" s="1018">
        <f t="shared" si="158"/>
        <v>0</v>
      </c>
      <c r="BI369" s="132"/>
      <c r="BJ369" s="140">
        <f t="shared" si="159"/>
        <v>0</v>
      </c>
      <c r="BK369" s="141"/>
      <c r="BL369" s="141"/>
      <c r="BM369" s="141"/>
      <c r="BN369" s="141"/>
      <c r="BO369" s="141"/>
      <c r="BP369" s="141"/>
      <c r="BQ369" s="141"/>
      <c r="BR369" s="141"/>
      <c r="BS369" s="141"/>
      <c r="BT369" s="141"/>
      <c r="BU369" s="141"/>
      <c r="BV369" s="141"/>
      <c r="BW369" s="141"/>
      <c r="BX369" s="130">
        <f t="shared" si="160"/>
        <v>0</v>
      </c>
      <c r="BY369" s="132"/>
    </row>
    <row r="370" ht="15.75" customHeight="1">
      <c r="B370" s="2" t="s">
        <v>85</v>
      </c>
      <c r="C370" s="617">
        <f ref="C370:K370" t="shared" si="161">SUM(C340:C369)</f>
        <v>0</v>
      </c>
      <c r="D370" s="617">
        <f t="shared" si="161"/>
        <v>0</v>
      </c>
      <c r="E370" s="617">
        <f t="shared" si="161"/>
        <v>0</v>
      </c>
      <c r="F370" s="617">
        <f t="shared" si="161"/>
        <v>0</v>
      </c>
      <c r="G370" s="617">
        <f t="shared" si="161"/>
        <v>0</v>
      </c>
      <c r="H370" s="617">
        <f t="shared" si="161"/>
        <v>0</v>
      </c>
      <c r="I370" s="617">
        <f t="shared" si="161"/>
        <v>0</v>
      </c>
      <c r="J370" s="617">
        <f t="shared" si="161"/>
        <v>0</v>
      </c>
      <c r="K370" s="617">
        <f t="shared" si="161"/>
        <v>0</v>
      </c>
      <c r="L370" s="617"/>
      <c r="M370" s="617">
        <f ref="M370:O370" t="shared" si="162">SUM(M340:M369)</f>
        <v>0</v>
      </c>
      <c r="N370" s="617">
        <f t="shared" si="162"/>
        <v>0</v>
      </c>
      <c r="O370" s="617">
        <f t="shared" si="162"/>
        <v>0</v>
      </c>
      <c r="P370" s="617"/>
      <c r="Q370" s="617">
        <f>SUM(Q340:Q369)</f>
        <v>0</v>
      </c>
      <c r="R370" s="617"/>
      <c r="S370" s="617">
        <f ref="S370:T370" t="shared" si="163">SUM(S340:S369)</f>
        <v>0</v>
      </c>
      <c r="T370" s="617">
        <f t="shared" si="163"/>
        <v>0</v>
      </c>
      <c r="U370" s="617"/>
      <c r="V370" s="617">
        <f>SUM(V340:V369)</f>
        <v>0</v>
      </c>
      <c r="W370" s="617"/>
      <c r="X370" s="617">
        <f ref="X370:Y370" t="shared" si="164">SUM(X340:X369)</f>
        <v>0</v>
      </c>
      <c r="Y370" s="617">
        <f t="shared" si="164"/>
        <v>0</v>
      </c>
      <c r="Z370" s="617"/>
      <c r="AA370" s="617">
        <f ref="AA370:AM370" t="shared" si="165">SUM(AA340:AA369)</f>
        <v>0</v>
      </c>
      <c r="AB370" s="617">
        <f t="shared" si="165"/>
        <v>0</v>
      </c>
      <c r="AC370" s="617">
        <f t="shared" si="165"/>
        <v>0</v>
      </c>
      <c r="AD370" s="617">
        <f t="shared" si="165"/>
        <v>0</v>
      </c>
      <c r="AE370" s="617">
        <f t="shared" si="165"/>
        <v>0</v>
      </c>
      <c r="AF370" s="617">
        <f t="shared" si="165"/>
        <v>0</v>
      </c>
      <c r="AG370" s="617">
        <f t="shared" si="165"/>
        <v>0</v>
      </c>
      <c r="AH370" s="617">
        <f t="shared" si="165"/>
        <v>0</v>
      </c>
      <c r="AI370" s="617">
        <f t="shared" si="165"/>
        <v>0</v>
      </c>
      <c r="AJ370" s="617">
        <f t="shared" si="165"/>
        <v>0</v>
      </c>
      <c r="AK370" s="617">
        <f t="shared" si="165"/>
        <v>0</v>
      </c>
      <c r="AL370" s="617">
        <f t="shared" si="165"/>
        <v>0</v>
      </c>
      <c r="AM370" s="617">
        <f t="shared" si="165"/>
        <v>0</v>
      </c>
      <c r="AN370" s="617"/>
      <c r="AO370" s="617"/>
      <c r="AP370" s="617">
        <f>SUM(AP340:AP369)</f>
        <v>0</v>
      </c>
      <c r="AQ370" s="617"/>
      <c r="AR370" s="617"/>
      <c r="AS370" s="617"/>
      <c r="AT370" s="617"/>
      <c r="AU370" s="617">
        <f ref="AU370:AV370" t="shared" si="166">SUM(AU340:AU369)</f>
        <v>0</v>
      </c>
      <c r="AV370" s="1068">
        <f t="shared" si="166"/>
        <v>0</v>
      </c>
      <c r="AW370" s="617"/>
      <c r="AX370" s="617"/>
      <c r="AY370" s="617"/>
      <c r="AZ370" s="617"/>
      <c r="BA370" s="617"/>
      <c r="BB370" s="617"/>
      <c r="BC370" s="617"/>
      <c r="BD370" s="617"/>
      <c r="BE370" s="617"/>
      <c r="BF370" s="617"/>
      <c r="BG370" s="617">
        <f ref="BG370:BJ370" t="shared" si="167">SUM(BG340:BG369)</f>
        <v>0</v>
      </c>
      <c r="BH370" s="617">
        <f t="shared" si="167"/>
        <v>0</v>
      </c>
      <c r="BI370" s="617">
        <f t="shared" si="167"/>
        <v>0</v>
      </c>
      <c r="BJ370" s="617">
        <f t="shared" si="167"/>
        <v>0</v>
      </c>
      <c r="BK370" s="617"/>
      <c r="BL370" s="617"/>
      <c r="BM370" s="617"/>
      <c r="BN370" s="617"/>
      <c r="BO370" s="617"/>
      <c r="BP370" s="617"/>
      <c r="BQ370" s="617"/>
      <c r="BR370" s="617"/>
      <c r="BS370" s="617"/>
      <c r="BT370" s="617">
        <f ref="BT370:BX370" t="shared" si="168">SUM(BT340:BT369)</f>
        <v>0</v>
      </c>
      <c r="BU370" s="617">
        <f t="shared" si="168"/>
        <v>0</v>
      </c>
      <c r="BV370" s="617">
        <f t="shared" si="168"/>
        <v>0</v>
      </c>
      <c r="BW370" s="617">
        <f t="shared" si="168"/>
        <v>0</v>
      </c>
      <c r="BX370" s="617">
        <f t="shared" si="168"/>
        <v>0</v>
      </c>
      <c r="BY370" s="132"/>
    </row>
    <row r="371" ht="15.75" customHeight="1">
      <c r="B371" s="2"/>
      <c r="C371" s="1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1"/>
      <c r="Z371" s="1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96"/>
      <c r="AM371" s="96"/>
      <c r="AN371" s="3"/>
      <c r="AO371" s="3"/>
      <c r="AP371" s="4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132"/>
      <c r="BG371" s="4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</row>
    <row r="372" ht="15.75" customHeight="1">
      <c r="B372" s="2"/>
      <c r="C372" s="1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1"/>
      <c r="Z372" s="1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176"/>
      <c r="AM372" s="176"/>
      <c r="AN372" s="3"/>
      <c r="AO372" s="3"/>
      <c r="AP372" s="4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132"/>
      <c r="BG372" s="4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</row>
    <row r="373" ht="15.75" customHeight="1">
      <c r="B373" s="1477">
        <v>46357</v>
      </c>
      <c r="C373" s="1079"/>
      <c r="D373" s="104"/>
      <c r="E373" s="104"/>
      <c r="F373" s="104"/>
      <c r="G373" s="191">
        <f ref="G373:G403" t="shared" si="169">+C373+D373+E373+F373</f>
        <v>0</v>
      </c>
      <c r="H373" s="1464"/>
      <c r="I373" s="1465"/>
      <c r="J373" s="1465"/>
      <c r="K373" s="1465"/>
      <c r="L373" s="1465"/>
      <c r="M373" s="1465"/>
      <c r="N373" s="1465"/>
      <c r="O373" s="1465"/>
      <c r="P373" s="1465"/>
      <c r="Q373" s="1465"/>
      <c r="R373" s="1465"/>
      <c r="S373" s="1465"/>
      <c r="T373" s="1465"/>
      <c r="U373" s="1465"/>
      <c r="V373" s="1465"/>
      <c r="W373" s="1468"/>
      <c r="X373" s="1012">
        <f ref="X373:X403" t="shared" si="170">SUM(H373:V373)</f>
        <v>0</v>
      </c>
      <c r="Y373" s="1493"/>
      <c r="Z373" s="611"/>
      <c r="AA373" s="186"/>
      <c r="AB373" s="186"/>
      <c r="AC373" s="186"/>
      <c r="AD373" s="186"/>
      <c r="AE373" s="186"/>
      <c r="AF373" s="186"/>
      <c r="AG373" s="186"/>
      <c r="AH373" s="186"/>
      <c r="AI373" s="186"/>
      <c r="AJ373" s="186"/>
      <c r="AK373" s="186"/>
      <c r="AL373" s="189">
        <f ref="AL373:AL403" t="shared" si="171">SUM(Y373:AK373)</f>
        <v>0</v>
      </c>
      <c r="AM373" s="104"/>
      <c r="AN373" s="104"/>
      <c r="AO373" s="104"/>
      <c r="AP373" s="191">
        <f ref="AP373:AP403" t="shared" si="172">SUM(AM373:AO373)</f>
        <v>0</v>
      </c>
      <c r="AQ373" s="101"/>
      <c r="AR373" s="101"/>
      <c r="AS373" s="101"/>
      <c r="AT373" s="106"/>
      <c r="AU373" s="219">
        <f ref="AU373:AU403" t="shared" si="173">+G373-X373-AL373-AP373-AQ373-AR373-AS373-AT373</f>
        <v>0</v>
      </c>
      <c r="AV373" s="109"/>
      <c r="AW373" s="269"/>
      <c r="AX373" s="109"/>
      <c r="AY373" s="109"/>
      <c r="AZ373" s="109"/>
      <c r="BA373" s="109"/>
      <c r="BB373" s="196"/>
      <c r="BC373" s="490"/>
      <c r="BD373" s="490"/>
      <c r="BE373" s="490"/>
      <c r="BF373" s="490"/>
      <c r="BG373" s="1331">
        <f ref="BG373:BG403" t="shared" si="174">SUM(AV373:BF373)-BE373</f>
        <v>0</v>
      </c>
      <c r="BH373" s="114">
        <f ref="BH373:BH403" t="shared" si="175">+AU373-BG373</f>
        <v>0</v>
      </c>
      <c r="BI373" s="3"/>
      <c r="BJ373" s="114">
        <f ref="BJ373:BJ403" t="shared" si="176">SUM(BK373:BW373)</f>
        <v>0</v>
      </c>
      <c r="BK373" s="115"/>
      <c r="BL373" s="115"/>
      <c r="BM373" s="115"/>
      <c r="BN373" s="115"/>
      <c r="BO373" s="115"/>
      <c r="BP373" s="115"/>
      <c r="BQ373" s="115"/>
      <c r="BR373" s="115"/>
      <c r="BS373" s="115"/>
      <c r="BT373" s="115"/>
      <c r="BU373" s="115"/>
      <c r="BV373" s="115"/>
      <c r="BW373" s="115"/>
      <c r="BX373" s="1494">
        <f ref="BX373:BX403" t="shared" si="177">+BH373-BJ373</f>
        <v>0</v>
      </c>
      <c r="BY373" s="3"/>
    </row>
    <row r="374" ht="15.75" customHeight="1">
      <c r="B374" s="1477">
        <v>46358</v>
      </c>
      <c r="C374" s="1310"/>
      <c r="D374" s="123"/>
      <c r="E374" s="123"/>
      <c r="F374" s="123"/>
      <c r="G374" s="105">
        <f t="shared" si="169"/>
        <v>0</v>
      </c>
      <c r="H374" s="1467"/>
      <c r="I374" s="1468"/>
      <c r="J374" s="1468"/>
      <c r="K374" s="1468"/>
      <c r="L374" s="1468"/>
      <c r="M374" s="1468"/>
      <c r="N374" s="1468"/>
      <c r="O374" s="1468"/>
      <c r="P374" s="1468"/>
      <c r="Q374" s="1468"/>
      <c r="R374" s="1468"/>
      <c r="S374" s="1468"/>
      <c r="T374" s="1468"/>
      <c r="U374" s="1468"/>
      <c r="V374" s="1468"/>
      <c r="W374" s="1468"/>
      <c r="X374" s="103">
        <f t="shared" si="170"/>
        <v>0</v>
      </c>
      <c r="Y374" s="611"/>
      <c r="Z374" s="611"/>
      <c r="AA374" s="143"/>
      <c r="AB374" s="143"/>
      <c r="AC374" s="143"/>
      <c r="AD374" s="143"/>
      <c r="AE374" s="143"/>
      <c r="AF374" s="143"/>
      <c r="AG374" s="143"/>
      <c r="AH374" s="143"/>
      <c r="AI374" s="143"/>
      <c r="AJ374" s="143"/>
      <c r="AK374" s="143"/>
      <c r="AL374" s="103">
        <f t="shared" si="171"/>
        <v>0</v>
      </c>
      <c r="AM374" s="123"/>
      <c r="AN374" s="123"/>
      <c r="AO374" s="123"/>
      <c r="AP374" s="105">
        <f t="shared" si="172"/>
        <v>0</v>
      </c>
      <c r="AQ374" s="99"/>
      <c r="AR374" s="99"/>
      <c r="AS374" s="99"/>
      <c r="AT374" s="124"/>
      <c r="AU374" s="224">
        <f t="shared" si="173"/>
        <v>0</v>
      </c>
      <c r="AV374" s="126"/>
      <c r="AW374" s="274"/>
      <c r="AX374" s="126"/>
      <c r="AY374" s="126"/>
      <c r="AZ374" s="126"/>
      <c r="BA374" s="126"/>
      <c r="BB374" s="141"/>
      <c r="BC374" s="152"/>
      <c r="BD374" s="152"/>
      <c r="BE374" s="152"/>
      <c r="BF374" s="152"/>
      <c r="BG374" s="308">
        <f t="shared" si="174"/>
        <v>0</v>
      </c>
      <c r="BH374" s="113">
        <f t="shared" si="175"/>
        <v>0</v>
      </c>
      <c r="BI374" s="3"/>
      <c r="BJ374" s="113">
        <f t="shared" si="176"/>
        <v>0</v>
      </c>
      <c r="BK374" s="129"/>
      <c r="BL374" s="129"/>
      <c r="BM374" s="129"/>
      <c r="BN374" s="129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408">
        <f t="shared" si="177"/>
        <v>0</v>
      </c>
      <c r="BY374" s="3"/>
    </row>
    <row r="375" ht="15.75" customHeight="1">
      <c r="B375" s="1477">
        <v>46359</v>
      </c>
      <c r="C375" s="1310"/>
      <c r="D375" s="123"/>
      <c r="E375" s="123"/>
      <c r="F375" s="123"/>
      <c r="G375" s="105">
        <f t="shared" si="169"/>
        <v>0</v>
      </c>
      <c r="H375" s="1467"/>
      <c r="I375" s="1468"/>
      <c r="J375" s="1468"/>
      <c r="K375" s="1468"/>
      <c r="L375" s="1468"/>
      <c r="M375" s="1468"/>
      <c r="N375" s="1468"/>
      <c r="O375" s="1468"/>
      <c r="P375" s="1468"/>
      <c r="Q375" s="1468"/>
      <c r="R375" s="1468"/>
      <c r="S375" s="1468"/>
      <c r="T375" s="1468"/>
      <c r="U375" s="1468"/>
      <c r="V375" s="1468"/>
      <c r="W375" s="1468"/>
      <c r="X375" s="103">
        <f t="shared" si="170"/>
        <v>0</v>
      </c>
      <c r="Y375" s="611"/>
      <c r="Z375" s="611"/>
      <c r="AA375" s="143"/>
      <c r="AB375" s="143"/>
      <c r="AC375" s="143"/>
      <c r="AD375" s="143"/>
      <c r="AE375" s="143"/>
      <c r="AF375" s="143"/>
      <c r="AG375" s="143"/>
      <c r="AH375" s="143"/>
      <c r="AI375" s="143"/>
      <c r="AJ375" s="143"/>
      <c r="AK375" s="143"/>
      <c r="AL375" s="103">
        <f t="shared" si="171"/>
        <v>0</v>
      </c>
      <c r="AM375" s="123"/>
      <c r="AN375" s="123"/>
      <c r="AO375" s="123"/>
      <c r="AP375" s="105">
        <f t="shared" si="172"/>
        <v>0</v>
      </c>
      <c r="AQ375" s="99"/>
      <c r="AR375" s="99"/>
      <c r="AS375" s="99"/>
      <c r="AT375" s="124"/>
      <c r="AU375" s="224">
        <f t="shared" si="173"/>
        <v>0</v>
      </c>
      <c r="AV375" s="126"/>
      <c r="AW375" s="274"/>
      <c r="AX375" s="126"/>
      <c r="AY375" s="126"/>
      <c r="AZ375" s="126"/>
      <c r="BA375" s="126"/>
      <c r="BB375" s="141"/>
      <c r="BC375" s="152"/>
      <c r="BD375" s="152"/>
      <c r="BE375" s="152"/>
      <c r="BF375" s="152"/>
      <c r="BG375" s="308">
        <f t="shared" si="174"/>
        <v>0</v>
      </c>
      <c r="BH375" s="113">
        <f t="shared" si="175"/>
        <v>0</v>
      </c>
      <c r="BI375" s="3"/>
      <c r="BJ375" s="113">
        <f t="shared" si="176"/>
        <v>0</v>
      </c>
      <c r="BK375" s="129"/>
      <c r="BL375" s="129"/>
      <c r="BM375" s="129"/>
      <c r="BN375" s="129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408">
        <f t="shared" si="177"/>
        <v>0</v>
      </c>
      <c r="BY375" s="3"/>
    </row>
    <row r="376" ht="15.75" customHeight="1">
      <c r="B376" s="1477">
        <v>46360</v>
      </c>
      <c r="C376" s="1310"/>
      <c r="D376" s="123"/>
      <c r="E376" s="123"/>
      <c r="F376" s="123"/>
      <c r="G376" s="105">
        <f t="shared" si="169"/>
        <v>0</v>
      </c>
      <c r="H376" s="1467"/>
      <c r="I376" s="1468"/>
      <c r="J376" s="1468"/>
      <c r="K376" s="1468"/>
      <c r="L376" s="1468"/>
      <c r="M376" s="1468"/>
      <c r="N376" s="1468"/>
      <c r="O376" s="1468"/>
      <c r="P376" s="1468"/>
      <c r="Q376" s="1468"/>
      <c r="R376" s="1468"/>
      <c r="S376" s="1468"/>
      <c r="T376" s="1468"/>
      <c r="U376" s="1468"/>
      <c r="V376" s="1468"/>
      <c r="W376" s="1468"/>
      <c r="X376" s="103">
        <f t="shared" si="170"/>
        <v>0</v>
      </c>
      <c r="Y376" s="611"/>
      <c r="Z376" s="611"/>
      <c r="AA376" s="143"/>
      <c r="AB376" s="143"/>
      <c r="AC376" s="143"/>
      <c r="AD376" s="143"/>
      <c r="AE376" s="143"/>
      <c r="AF376" s="143"/>
      <c r="AG376" s="143"/>
      <c r="AH376" s="143"/>
      <c r="AI376" s="143"/>
      <c r="AJ376" s="143"/>
      <c r="AK376" s="143"/>
      <c r="AL376" s="103">
        <f t="shared" si="171"/>
        <v>0</v>
      </c>
      <c r="AM376" s="123"/>
      <c r="AN376" s="123"/>
      <c r="AO376" s="123"/>
      <c r="AP376" s="105">
        <f t="shared" si="172"/>
        <v>0</v>
      </c>
      <c r="AQ376" s="99"/>
      <c r="AR376" s="99"/>
      <c r="AS376" s="99"/>
      <c r="AT376" s="124"/>
      <c r="AU376" s="224">
        <f t="shared" si="173"/>
        <v>0</v>
      </c>
      <c r="AV376" s="126"/>
      <c r="AW376" s="274"/>
      <c r="AX376" s="126"/>
      <c r="AY376" s="126"/>
      <c r="AZ376" s="126"/>
      <c r="BA376" s="126"/>
      <c r="BB376" s="141"/>
      <c r="BC376" s="152"/>
      <c r="BD376" s="152"/>
      <c r="BE376" s="152"/>
      <c r="BF376" s="152"/>
      <c r="BG376" s="308">
        <f t="shared" si="174"/>
        <v>0</v>
      </c>
      <c r="BH376" s="113">
        <f t="shared" si="175"/>
        <v>0</v>
      </c>
      <c r="BI376" s="3"/>
      <c r="BJ376" s="113">
        <f t="shared" si="176"/>
        <v>0</v>
      </c>
      <c r="BK376" s="129"/>
      <c r="BL376" s="129"/>
      <c r="BM376" s="129"/>
      <c r="BN376" s="129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408">
        <f t="shared" si="177"/>
        <v>0</v>
      </c>
      <c r="BY376" s="3"/>
    </row>
    <row r="377" ht="15.75" customHeight="1">
      <c r="B377" s="1477">
        <v>46361</v>
      </c>
      <c r="C377" s="1310"/>
      <c r="D377" s="123"/>
      <c r="E377" s="123"/>
      <c r="F377" s="123"/>
      <c r="G377" s="105">
        <f t="shared" si="169"/>
        <v>0</v>
      </c>
      <c r="H377" s="1467"/>
      <c r="I377" s="1468"/>
      <c r="J377" s="1468"/>
      <c r="K377" s="1468"/>
      <c r="L377" s="1468"/>
      <c r="M377" s="1468"/>
      <c r="N377" s="1468"/>
      <c r="O377" s="1468"/>
      <c r="P377" s="1468"/>
      <c r="Q377" s="1468"/>
      <c r="R377" s="1468"/>
      <c r="S377" s="1468"/>
      <c r="T377" s="1468"/>
      <c r="U377" s="1468"/>
      <c r="V377" s="1468"/>
      <c r="W377" s="1468"/>
      <c r="X377" s="103">
        <f t="shared" si="170"/>
        <v>0</v>
      </c>
      <c r="Y377" s="611"/>
      <c r="Z377" s="611"/>
      <c r="AA377" s="143"/>
      <c r="AB377" s="143"/>
      <c r="AC377" s="143"/>
      <c r="AD377" s="143"/>
      <c r="AE377" s="143"/>
      <c r="AF377" s="143"/>
      <c r="AG377" s="143"/>
      <c r="AH377" s="143"/>
      <c r="AI377" s="143"/>
      <c r="AJ377" s="143"/>
      <c r="AK377" s="143"/>
      <c r="AL377" s="103">
        <f t="shared" si="171"/>
        <v>0</v>
      </c>
      <c r="AM377" s="123"/>
      <c r="AN377" s="123"/>
      <c r="AO377" s="123"/>
      <c r="AP377" s="105">
        <f t="shared" si="172"/>
        <v>0</v>
      </c>
      <c r="AQ377" s="99"/>
      <c r="AR377" s="99"/>
      <c r="AS377" s="99"/>
      <c r="AT377" s="124"/>
      <c r="AU377" s="224">
        <f t="shared" si="173"/>
        <v>0</v>
      </c>
      <c r="AV377" s="126"/>
      <c r="AW377" s="274"/>
      <c r="AX377" s="126"/>
      <c r="AY377" s="126"/>
      <c r="AZ377" s="126"/>
      <c r="BA377" s="126"/>
      <c r="BB377" s="141"/>
      <c r="BC377" s="152"/>
      <c r="BD377" s="152"/>
      <c r="BE377" s="152"/>
      <c r="BF377" s="152"/>
      <c r="BG377" s="308">
        <f t="shared" si="174"/>
        <v>0</v>
      </c>
      <c r="BH377" s="113">
        <f t="shared" si="175"/>
        <v>0</v>
      </c>
      <c r="BI377" s="3"/>
      <c r="BJ377" s="113">
        <f t="shared" si="176"/>
        <v>0</v>
      </c>
      <c r="BK377" s="129"/>
      <c r="BL377" s="129"/>
      <c r="BM377" s="129"/>
      <c r="BN377" s="129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408">
        <f t="shared" si="177"/>
        <v>0</v>
      </c>
      <c r="BY377" s="3"/>
    </row>
    <row r="378" ht="15.75" customHeight="1">
      <c r="B378" s="1477">
        <v>46362</v>
      </c>
      <c r="C378" s="1310"/>
      <c r="D378" s="123"/>
      <c r="E378" s="123"/>
      <c r="F378" s="123"/>
      <c r="G378" s="105">
        <f t="shared" si="169"/>
        <v>0</v>
      </c>
      <c r="H378" s="1467"/>
      <c r="I378" s="1468"/>
      <c r="J378" s="1468"/>
      <c r="K378" s="1468"/>
      <c r="L378" s="1468"/>
      <c r="M378" s="1468"/>
      <c r="N378" s="1468"/>
      <c r="O378" s="1468"/>
      <c r="P378" s="1468"/>
      <c r="Q378" s="1468"/>
      <c r="R378" s="1468"/>
      <c r="S378" s="1468"/>
      <c r="T378" s="1468"/>
      <c r="U378" s="1468"/>
      <c r="V378" s="1468"/>
      <c r="W378" s="1468"/>
      <c r="X378" s="103">
        <f t="shared" si="170"/>
        <v>0</v>
      </c>
      <c r="Y378" s="611"/>
      <c r="Z378" s="611"/>
      <c r="AA378" s="143"/>
      <c r="AB378" s="143"/>
      <c r="AC378" s="143"/>
      <c r="AD378" s="143"/>
      <c r="AE378" s="143"/>
      <c r="AF378" s="143"/>
      <c r="AG378" s="143"/>
      <c r="AH378" s="143"/>
      <c r="AI378" s="143"/>
      <c r="AJ378" s="143"/>
      <c r="AK378" s="143"/>
      <c r="AL378" s="103">
        <f t="shared" si="171"/>
        <v>0</v>
      </c>
      <c r="AM378" s="123"/>
      <c r="AN378" s="123"/>
      <c r="AO378" s="123"/>
      <c r="AP378" s="105">
        <f t="shared" si="172"/>
        <v>0</v>
      </c>
      <c r="AQ378" s="99"/>
      <c r="AR378" s="99"/>
      <c r="AS378" s="99"/>
      <c r="AT378" s="124"/>
      <c r="AU378" s="224">
        <f t="shared" si="173"/>
        <v>0</v>
      </c>
      <c r="AV378" s="126"/>
      <c r="AW378" s="274"/>
      <c r="AX378" s="126"/>
      <c r="AY378" s="126"/>
      <c r="AZ378" s="126"/>
      <c r="BA378" s="126"/>
      <c r="BB378" s="141"/>
      <c r="BC378" s="152"/>
      <c r="BD378" s="152"/>
      <c r="BE378" s="152"/>
      <c r="BF378" s="152"/>
      <c r="BG378" s="308">
        <f t="shared" si="174"/>
        <v>0</v>
      </c>
      <c r="BH378" s="113">
        <f t="shared" si="175"/>
        <v>0</v>
      </c>
      <c r="BI378" s="3"/>
      <c r="BJ378" s="113">
        <f t="shared" si="176"/>
        <v>0</v>
      </c>
      <c r="BK378" s="129"/>
      <c r="BL378" s="129"/>
      <c r="BM378" s="129"/>
      <c r="BN378" s="129"/>
      <c r="BO378" s="129"/>
      <c r="BP378" s="129"/>
      <c r="BQ378" s="129"/>
      <c r="BR378" s="129"/>
      <c r="BS378" s="129"/>
      <c r="BT378" s="129"/>
      <c r="BU378" s="129"/>
      <c r="BV378" s="129"/>
      <c r="BW378" s="129"/>
      <c r="BX378" s="1408">
        <f t="shared" si="177"/>
        <v>0</v>
      </c>
      <c r="BY378" s="3"/>
    </row>
    <row r="379" ht="15.75" customHeight="1">
      <c r="B379" s="1477">
        <v>46363</v>
      </c>
      <c r="C379" s="379"/>
      <c r="D379" s="136"/>
      <c r="E379" s="136"/>
      <c r="F379" s="136"/>
      <c r="G379" s="105">
        <f t="shared" si="169"/>
        <v>0</v>
      </c>
      <c r="H379" s="1469"/>
      <c r="I379" s="1470"/>
      <c r="J379" s="1470"/>
      <c r="K379" s="1470"/>
      <c r="L379" s="1470"/>
      <c r="M379" s="1470"/>
      <c r="N379" s="1470"/>
      <c r="O379" s="1470"/>
      <c r="P379" s="1470"/>
      <c r="Q379" s="1470"/>
      <c r="R379" s="1470"/>
      <c r="S379" s="1470"/>
      <c r="T379" s="1470"/>
      <c r="U379" s="1470"/>
      <c r="V379" s="1470"/>
      <c r="W379" s="1470"/>
      <c r="X379" s="103">
        <f t="shared" si="170"/>
        <v>0</v>
      </c>
      <c r="Y379" s="611"/>
      <c r="Z379" s="611"/>
      <c r="AA379" s="143"/>
      <c r="AB379" s="143"/>
      <c r="AC379" s="143"/>
      <c r="AD379" s="143"/>
      <c r="AE379" s="143"/>
      <c r="AF379" s="143"/>
      <c r="AG379" s="143"/>
      <c r="AH379" s="143"/>
      <c r="AI379" s="143"/>
      <c r="AJ379" s="143"/>
      <c r="AK379" s="143"/>
      <c r="AL379" s="103">
        <f t="shared" si="171"/>
        <v>0</v>
      </c>
      <c r="AM379" s="136"/>
      <c r="AN379" s="136"/>
      <c r="AO379" s="136"/>
      <c r="AP379" s="105">
        <f t="shared" si="172"/>
        <v>0</v>
      </c>
      <c r="AQ379" s="99"/>
      <c r="AR379" s="99"/>
      <c r="AS379" s="99"/>
      <c r="AT379" s="124"/>
      <c r="AU379" s="224">
        <f t="shared" si="173"/>
        <v>0</v>
      </c>
      <c r="AV379" s="126"/>
      <c r="AW379" s="274"/>
      <c r="AX379" s="126"/>
      <c r="AY379" s="126"/>
      <c r="AZ379" s="126"/>
      <c r="BA379" s="126"/>
      <c r="BB379" s="141"/>
      <c r="BC379" s="152"/>
      <c r="BD379" s="152"/>
      <c r="BE379" s="152"/>
      <c r="BF379" s="152"/>
      <c r="BG379" s="308">
        <f t="shared" si="174"/>
        <v>0</v>
      </c>
      <c r="BH379" s="140">
        <f t="shared" si="175"/>
        <v>0</v>
      </c>
      <c r="BI379" s="132"/>
      <c r="BJ379" s="140">
        <f t="shared" si="176"/>
        <v>0</v>
      </c>
      <c r="BK379" s="141"/>
      <c r="BL379" s="141"/>
      <c r="BM379" s="141"/>
      <c r="BN379" s="141"/>
      <c r="BO379" s="141"/>
      <c r="BP379" s="141"/>
      <c r="BQ379" s="141"/>
      <c r="BR379" s="141"/>
      <c r="BS379" s="141"/>
      <c r="BT379" s="141"/>
      <c r="BU379" s="141"/>
      <c r="BV379" s="141"/>
      <c r="BW379" s="141"/>
      <c r="BX379" s="1408">
        <f t="shared" si="177"/>
        <v>0</v>
      </c>
      <c r="BY379" s="132"/>
    </row>
    <row r="380" ht="15.75" customHeight="1">
      <c r="B380" s="1477">
        <v>46364</v>
      </c>
      <c r="C380" s="379"/>
      <c r="D380" s="136"/>
      <c r="E380" s="136"/>
      <c r="F380" s="136"/>
      <c r="G380" s="105">
        <f t="shared" si="169"/>
        <v>0</v>
      </c>
      <c r="H380" s="1469"/>
      <c r="I380" s="1470"/>
      <c r="J380" s="1470"/>
      <c r="K380" s="1470"/>
      <c r="L380" s="1470"/>
      <c r="M380" s="1470"/>
      <c r="N380" s="1470"/>
      <c r="O380" s="1470"/>
      <c r="P380" s="1470"/>
      <c r="Q380" s="1470"/>
      <c r="R380" s="1470"/>
      <c r="S380" s="1470"/>
      <c r="T380" s="1470"/>
      <c r="U380" s="1470"/>
      <c r="V380" s="1470"/>
      <c r="W380" s="1470"/>
      <c r="X380" s="103">
        <f t="shared" si="170"/>
        <v>0</v>
      </c>
      <c r="Y380" s="611"/>
      <c r="Z380" s="611"/>
      <c r="AA380" s="143"/>
      <c r="AB380" s="143"/>
      <c r="AC380" s="143"/>
      <c r="AD380" s="143"/>
      <c r="AE380" s="143"/>
      <c r="AF380" s="143"/>
      <c r="AG380" s="143"/>
      <c r="AH380" s="143"/>
      <c r="AI380" s="143"/>
      <c r="AJ380" s="143"/>
      <c r="AK380" s="143"/>
      <c r="AL380" s="103">
        <f t="shared" si="171"/>
        <v>0</v>
      </c>
      <c r="AM380" s="136"/>
      <c r="AN380" s="136"/>
      <c r="AO380" s="136"/>
      <c r="AP380" s="105">
        <f t="shared" si="172"/>
        <v>0</v>
      </c>
      <c r="AQ380" s="99"/>
      <c r="AR380" s="99"/>
      <c r="AS380" s="99"/>
      <c r="AT380" s="124"/>
      <c r="AU380" s="224">
        <f t="shared" si="173"/>
        <v>0</v>
      </c>
      <c r="AV380" s="126"/>
      <c r="AW380" s="274"/>
      <c r="AX380" s="126"/>
      <c r="AY380" s="126"/>
      <c r="AZ380" s="126"/>
      <c r="BA380" s="126"/>
      <c r="BB380" s="141"/>
      <c r="BC380" s="152"/>
      <c r="BD380" s="152"/>
      <c r="BE380" s="152"/>
      <c r="BF380" s="152"/>
      <c r="BG380" s="308">
        <f t="shared" si="174"/>
        <v>0</v>
      </c>
      <c r="BH380" s="140">
        <f t="shared" si="175"/>
        <v>0</v>
      </c>
      <c r="BI380" s="132"/>
      <c r="BJ380" s="140">
        <f t="shared" si="176"/>
        <v>0</v>
      </c>
      <c r="BK380" s="141"/>
      <c r="BL380" s="141"/>
      <c r="BM380" s="141"/>
      <c r="BN380" s="141"/>
      <c r="BO380" s="141"/>
      <c r="BP380" s="141"/>
      <c r="BQ380" s="141"/>
      <c r="BR380" s="141"/>
      <c r="BS380" s="141"/>
      <c r="BT380" s="141"/>
      <c r="BU380" s="141"/>
      <c r="BV380" s="141"/>
      <c r="BW380" s="141"/>
      <c r="BX380" s="1408">
        <f t="shared" si="177"/>
        <v>0</v>
      </c>
      <c r="BY380" s="132"/>
    </row>
    <row r="381" ht="15.75" customHeight="1">
      <c r="B381" s="1477">
        <v>46365</v>
      </c>
      <c r="C381" s="379"/>
      <c r="D381" s="136"/>
      <c r="E381" s="136"/>
      <c r="F381" s="136"/>
      <c r="G381" s="105">
        <f t="shared" si="169"/>
        <v>0</v>
      </c>
      <c r="H381" s="1469"/>
      <c r="I381" s="1470"/>
      <c r="J381" s="1470"/>
      <c r="K381" s="1470"/>
      <c r="L381" s="1470"/>
      <c r="M381" s="1470"/>
      <c r="N381" s="1470"/>
      <c r="O381" s="1470"/>
      <c r="P381" s="1470"/>
      <c r="Q381" s="1470"/>
      <c r="R381" s="1470"/>
      <c r="S381" s="1470"/>
      <c r="T381" s="1470"/>
      <c r="U381" s="1470"/>
      <c r="V381" s="1470"/>
      <c r="W381" s="1470"/>
      <c r="X381" s="103">
        <f t="shared" si="170"/>
        <v>0</v>
      </c>
      <c r="Y381" s="611"/>
      <c r="Z381" s="611"/>
      <c r="AA381" s="143"/>
      <c r="AB381" s="143"/>
      <c r="AC381" s="143"/>
      <c r="AD381" s="143"/>
      <c r="AE381" s="143"/>
      <c r="AF381" s="143"/>
      <c r="AG381" s="143"/>
      <c r="AH381" s="143"/>
      <c r="AI381" s="143"/>
      <c r="AJ381" s="143"/>
      <c r="AK381" s="143"/>
      <c r="AL381" s="103">
        <f t="shared" si="171"/>
        <v>0</v>
      </c>
      <c r="AM381" s="136"/>
      <c r="AN381" s="136"/>
      <c r="AO381" s="136"/>
      <c r="AP381" s="105">
        <f t="shared" si="172"/>
        <v>0</v>
      </c>
      <c r="AQ381" s="99"/>
      <c r="AR381" s="99"/>
      <c r="AS381" s="99"/>
      <c r="AT381" s="124"/>
      <c r="AU381" s="224">
        <f t="shared" si="173"/>
        <v>0</v>
      </c>
      <c r="AV381" s="126"/>
      <c r="AW381" s="274"/>
      <c r="AX381" s="126"/>
      <c r="AY381" s="126"/>
      <c r="AZ381" s="126"/>
      <c r="BA381" s="126"/>
      <c r="BB381" s="141"/>
      <c r="BC381" s="152"/>
      <c r="BD381" s="152"/>
      <c r="BE381" s="152"/>
      <c r="BF381" s="152"/>
      <c r="BG381" s="308">
        <f t="shared" si="174"/>
        <v>0</v>
      </c>
      <c r="BH381" s="140">
        <f t="shared" si="175"/>
        <v>0</v>
      </c>
      <c r="BI381" s="132"/>
      <c r="BJ381" s="140">
        <f t="shared" si="176"/>
        <v>0</v>
      </c>
      <c r="BK381" s="141"/>
      <c r="BL381" s="141"/>
      <c r="BM381" s="141"/>
      <c r="BN381" s="141"/>
      <c r="BO381" s="141"/>
      <c r="BP381" s="141"/>
      <c r="BQ381" s="141"/>
      <c r="BR381" s="141"/>
      <c r="BS381" s="141"/>
      <c r="BT381" s="141"/>
      <c r="BU381" s="141"/>
      <c r="BV381" s="141"/>
      <c r="BW381" s="141"/>
      <c r="BX381" s="1408">
        <f t="shared" si="177"/>
        <v>0</v>
      </c>
      <c r="BY381" s="132"/>
    </row>
    <row r="382" ht="15.75" customHeight="1">
      <c r="B382" s="1477">
        <v>46366</v>
      </c>
      <c r="C382" s="379"/>
      <c r="D382" s="136"/>
      <c r="E382" s="136"/>
      <c r="F382" s="136"/>
      <c r="G382" s="105">
        <f t="shared" si="169"/>
        <v>0</v>
      </c>
      <c r="H382" s="1469"/>
      <c r="I382" s="1470"/>
      <c r="J382" s="1470"/>
      <c r="K382" s="1470"/>
      <c r="L382" s="1470"/>
      <c r="M382" s="1470"/>
      <c r="N382" s="1470"/>
      <c r="O382" s="1470"/>
      <c r="P382" s="1470"/>
      <c r="Q382" s="1470"/>
      <c r="R382" s="1470"/>
      <c r="S382" s="1470"/>
      <c r="T382" s="1470"/>
      <c r="U382" s="1470"/>
      <c r="V382" s="1470"/>
      <c r="W382" s="1470"/>
      <c r="X382" s="103">
        <f t="shared" si="170"/>
        <v>0</v>
      </c>
      <c r="Y382" s="611"/>
      <c r="Z382" s="611"/>
      <c r="AA382" s="143"/>
      <c r="AB382" s="143"/>
      <c r="AC382" s="143"/>
      <c r="AD382" s="143"/>
      <c r="AE382" s="143"/>
      <c r="AF382" s="143"/>
      <c r="AG382" s="143"/>
      <c r="AH382" s="143"/>
      <c r="AI382" s="143"/>
      <c r="AJ382" s="143"/>
      <c r="AK382" s="143"/>
      <c r="AL382" s="103">
        <f t="shared" si="171"/>
        <v>0</v>
      </c>
      <c r="AM382" s="136"/>
      <c r="AN382" s="136"/>
      <c r="AO382" s="136"/>
      <c r="AP382" s="105">
        <f t="shared" si="172"/>
        <v>0</v>
      </c>
      <c r="AQ382" s="99"/>
      <c r="AR382" s="99"/>
      <c r="AS382" s="99"/>
      <c r="AT382" s="124"/>
      <c r="AU382" s="224">
        <f t="shared" si="173"/>
        <v>0</v>
      </c>
      <c r="AV382" s="126"/>
      <c r="AW382" s="274"/>
      <c r="AX382" s="126"/>
      <c r="AY382" s="126"/>
      <c r="AZ382" s="126"/>
      <c r="BA382" s="126"/>
      <c r="BB382" s="141"/>
      <c r="BC382" s="152"/>
      <c r="BD382" s="152"/>
      <c r="BE382" s="152"/>
      <c r="BF382" s="152"/>
      <c r="BG382" s="308">
        <f t="shared" si="174"/>
        <v>0</v>
      </c>
      <c r="BH382" s="140">
        <f t="shared" si="175"/>
        <v>0</v>
      </c>
      <c r="BI382" s="132"/>
      <c r="BJ382" s="140">
        <f t="shared" si="176"/>
        <v>0</v>
      </c>
      <c r="BK382" s="141"/>
      <c r="BL382" s="141"/>
      <c r="BM382" s="141"/>
      <c r="BN382" s="141"/>
      <c r="BO382" s="141"/>
      <c r="BP382" s="141"/>
      <c r="BQ382" s="141"/>
      <c r="BR382" s="141"/>
      <c r="BS382" s="141"/>
      <c r="BT382" s="141"/>
      <c r="BU382" s="141"/>
      <c r="BV382" s="141"/>
      <c r="BW382" s="141"/>
      <c r="BX382" s="1408">
        <f t="shared" si="177"/>
        <v>0</v>
      </c>
      <c r="BY382" s="132"/>
    </row>
    <row r="383" ht="15.75" customHeight="1">
      <c r="B383" s="1477">
        <v>46367</v>
      </c>
      <c r="C383" s="379"/>
      <c r="D383" s="136"/>
      <c r="E383" s="136"/>
      <c r="F383" s="136"/>
      <c r="G383" s="105">
        <f t="shared" si="169"/>
        <v>0</v>
      </c>
      <c r="H383" s="1469"/>
      <c r="I383" s="1470"/>
      <c r="J383" s="1470"/>
      <c r="K383" s="1470"/>
      <c r="L383" s="1470"/>
      <c r="M383" s="1470"/>
      <c r="N383" s="1470"/>
      <c r="O383" s="1470"/>
      <c r="P383" s="1470"/>
      <c r="Q383" s="1470"/>
      <c r="R383" s="1470"/>
      <c r="S383" s="1470"/>
      <c r="T383" s="1470"/>
      <c r="U383" s="1470"/>
      <c r="V383" s="1470"/>
      <c r="W383" s="1470"/>
      <c r="X383" s="103">
        <f t="shared" si="170"/>
        <v>0</v>
      </c>
      <c r="Y383" s="611"/>
      <c r="Z383" s="611"/>
      <c r="AA383" s="143"/>
      <c r="AB383" s="143"/>
      <c r="AC383" s="143"/>
      <c r="AD383" s="143"/>
      <c r="AE383" s="143"/>
      <c r="AF383" s="143"/>
      <c r="AG383" s="143"/>
      <c r="AH383" s="143"/>
      <c r="AI383" s="143"/>
      <c r="AJ383" s="143"/>
      <c r="AK383" s="143"/>
      <c r="AL383" s="103">
        <f t="shared" si="171"/>
        <v>0</v>
      </c>
      <c r="AM383" s="136"/>
      <c r="AN383" s="136"/>
      <c r="AO383" s="136"/>
      <c r="AP383" s="105">
        <f t="shared" si="172"/>
        <v>0</v>
      </c>
      <c r="AQ383" s="99"/>
      <c r="AR383" s="99"/>
      <c r="AS383" s="99"/>
      <c r="AT383" s="124"/>
      <c r="AU383" s="224">
        <f t="shared" si="173"/>
        <v>0</v>
      </c>
      <c r="AV383" s="126"/>
      <c r="AW383" s="274"/>
      <c r="AX383" s="126"/>
      <c r="AY383" s="126"/>
      <c r="AZ383" s="126"/>
      <c r="BA383" s="126"/>
      <c r="BB383" s="141"/>
      <c r="BC383" s="152"/>
      <c r="BD383" s="152"/>
      <c r="BE383" s="152"/>
      <c r="BF383" s="152"/>
      <c r="BG383" s="308">
        <f t="shared" si="174"/>
        <v>0</v>
      </c>
      <c r="BH383" s="140">
        <f t="shared" si="175"/>
        <v>0</v>
      </c>
      <c r="BI383" s="132"/>
      <c r="BJ383" s="140">
        <f t="shared" si="176"/>
        <v>0</v>
      </c>
      <c r="BK383" s="141"/>
      <c r="BL383" s="141"/>
      <c r="BM383" s="141"/>
      <c r="BN383" s="141"/>
      <c r="BO383" s="141"/>
      <c r="BP383" s="141"/>
      <c r="BQ383" s="141"/>
      <c r="BR383" s="141"/>
      <c r="BS383" s="141"/>
      <c r="BT383" s="141"/>
      <c r="BU383" s="141"/>
      <c r="BV383" s="141"/>
      <c r="BW383" s="141"/>
      <c r="BX383" s="1408">
        <f t="shared" si="177"/>
        <v>0</v>
      </c>
      <c r="BY383" s="132"/>
    </row>
    <row r="384" ht="15.75" customHeight="1">
      <c r="B384" s="1477">
        <v>46368</v>
      </c>
      <c r="C384" s="379"/>
      <c r="D384" s="136"/>
      <c r="E384" s="136"/>
      <c r="F384" s="136"/>
      <c r="G384" s="105">
        <f t="shared" si="169"/>
        <v>0</v>
      </c>
      <c r="H384" s="1469"/>
      <c r="I384" s="1470"/>
      <c r="J384" s="1470"/>
      <c r="K384" s="1470"/>
      <c r="L384" s="1470"/>
      <c r="M384" s="1470"/>
      <c r="N384" s="1470"/>
      <c r="O384" s="1470"/>
      <c r="P384" s="1470"/>
      <c r="Q384" s="1470"/>
      <c r="R384" s="1470"/>
      <c r="S384" s="1470"/>
      <c r="T384" s="1470"/>
      <c r="U384" s="1470"/>
      <c r="V384" s="1470"/>
      <c r="W384" s="1470"/>
      <c r="X384" s="103">
        <f t="shared" si="170"/>
        <v>0</v>
      </c>
      <c r="Y384" s="611"/>
      <c r="Z384" s="611"/>
      <c r="AA384" s="143"/>
      <c r="AB384" s="143"/>
      <c r="AC384" s="143"/>
      <c r="AD384" s="143"/>
      <c r="AE384" s="143"/>
      <c r="AF384" s="143"/>
      <c r="AG384" s="143"/>
      <c r="AH384" s="143"/>
      <c r="AI384" s="143"/>
      <c r="AJ384" s="143"/>
      <c r="AK384" s="143"/>
      <c r="AL384" s="103">
        <f t="shared" si="171"/>
        <v>0</v>
      </c>
      <c r="AM384" s="136"/>
      <c r="AN384" s="136"/>
      <c r="AO384" s="136"/>
      <c r="AP384" s="105">
        <f t="shared" si="172"/>
        <v>0</v>
      </c>
      <c r="AQ384" s="99"/>
      <c r="AR384" s="99"/>
      <c r="AS384" s="99"/>
      <c r="AT384" s="124"/>
      <c r="AU384" s="224">
        <f t="shared" si="173"/>
        <v>0</v>
      </c>
      <c r="AV384" s="126"/>
      <c r="AW384" s="274"/>
      <c r="AX384" s="126"/>
      <c r="AY384" s="126"/>
      <c r="AZ384" s="126"/>
      <c r="BA384" s="126"/>
      <c r="BB384" s="141"/>
      <c r="BC384" s="152"/>
      <c r="BD384" s="152"/>
      <c r="BE384" s="152"/>
      <c r="BF384" s="152"/>
      <c r="BG384" s="308">
        <f t="shared" si="174"/>
        <v>0</v>
      </c>
      <c r="BH384" s="140">
        <f t="shared" si="175"/>
        <v>0</v>
      </c>
      <c r="BI384" s="132"/>
      <c r="BJ384" s="140">
        <f t="shared" si="176"/>
        <v>0</v>
      </c>
      <c r="BK384" s="141"/>
      <c r="BL384" s="141"/>
      <c r="BM384" s="141"/>
      <c r="BN384" s="141"/>
      <c r="BO384" s="141"/>
      <c r="BP384" s="141"/>
      <c r="BQ384" s="141"/>
      <c r="BR384" s="141"/>
      <c r="BS384" s="141"/>
      <c r="BT384" s="141"/>
      <c r="BU384" s="141"/>
      <c r="BV384" s="141"/>
      <c r="BW384" s="141"/>
      <c r="BX384" s="1408">
        <f t="shared" si="177"/>
        <v>0</v>
      </c>
      <c r="BY384" s="132"/>
    </row>
    <row r="385" ht="15.75" customHeight="1">
      <c r="B385" s="1477">
        <v>46369</v>
      </c>
      <c r="C385" s="379"/>
      <c r="D385" s="136"/>
      <c r="E385" s="136"/>
      <c r="F385" s="136"/>
      <c r="G385" s="105">
        <f t="shared" si="169"/>
        <v>0</v>
      </c>
      <c r="H385" s="1469"/>
      <c r="I385" s="1470"/>
      <c r="J385" s="1470"/>
      <c r="K385" s="1470"/>
      <c r="L385" s="1470"/>
      <c r="M385" s="1470"/>
      <c r="N385" s="1470"/>
      <c r="O385" s="1470"/>
      <c r="P385" s="1470"/>
      <c r="Q385" s="1470"/>
      <c r="R385" s="1470"/>
      <c r="S385" s="1470"/>
      <c r="T385" s="1470"/>
      <c r="U385" s="1470"/>
      <c r="V385" s="1470"/>
      <c r="W385" s="1470"/>
      <c r="X385" s="103">
        <f t="shared" si="170"/>
        <v>0</v>
      </c>
      <c r="Y385" s="611"/>
      <c r="Z385" s="611"/>
      <c r="AA385" s="143"/>
      <c r="AB385" s="143"/>
      <c r="AC385" s="143"/>
      <c r="AD385" s="143"/>
      <c r="AE385" s="143"/>
      <c r="AF385" s="143"/>
      <c r="AG385" s="143"/>
      <c r="AH385" s="143"/>
      <c r="AI385" s="143"/>
      <c r="AJ385" s="143"/>
      <c r="AK385" s="143"/>
      <c r="AL385" s="103">
        <f t="shared" si="171"/>
        <v>0</v>
      </c>
      <c r="AM385" s="136"/>
      <c r="AN385" s="136"/>
      <c r="AO385" s="136"/>
      <c r="AP385" s="105">
        <f t="shared" si="172"/>
        <v>0</v>
      </c>
      <c r="AQ385" s="99"/>
      <c r="AR385" s="99"/>
      <c r="AS385" s="99"/>
      <c r="AT385" s="124"/>
      <c r="AU385" s="224">
        <f t="shared" si="173"/>
        <v>0</v>
      </c>
      <c r="AV385" s="126"/>
      <c r="AW385" s="274"/>
      <c r="AX385" s="126"/>
      <c r="AY385" s="126"/>
      <c r="AZ385" s="126"/>
      <c r="BA385" s="126"/>
      <c r="BB385" s="141"/>
      <c r="BC385" s="152"/>
      <c r="BD385" s="152"/>
      <c r="BE385" s="152"/>
      <c r="BF385" s="152"/>
      <c r="BG385" s="308">
        <f t="shared" si="174"/>
        <v>0</v>
      </c>
      <c r="BH385" s="140">
        <f t="shared" si="175"/>
        <v>0</v>
      </c>
      <c r="BI385" s="132"/>
      <c r="BJ385" s="140">
        <f t="shared" si="176"/>
        <v>0</v>
      </c>
      <c r="BK385" s="141"/>
      <c r="BL385" s="141"/>
      <c r="BM385" s="141"/>
      <c r="BN385" s="141"/>
      <c r="BO385" s="141"/>
      <c r="BP385" s="141"/>
      <c r="BQ385" s="141"/>
      <c r="BR385" s="141"/>
      <c r="BS385" s="141"/>
      <c r="BT385" s="141"/>
      <c r="BU385" s="141"/>
      <c r="BV385" s="141"/>
      <c r="BW385" s="141"/>
      <c r="BX385" s="1408">
        <f t="shared" si="177"/>
        <v>0</v>
      </c>
      <c r="BY385" s="132"/>
    </row>
    <row r="386" ht="15.75" customHeight="1">
      <c r="B386" s="1477">
        <v>46370</v>
      </c>
      <c r="C386" s="379"/>
      <c r="D386" s="136"/>
      <c r="E386" s="136"/>
      <c r="F386" s="136"/>
      <c r="G386" s="105">
        <f t="shared" si="169"/>
        <v>0</v>
      </c>
      <c r="H386" s="1474"/>
      <c r="I386" s="142"/>
      <c r="J386" s="1470"/>
      <c r="K386" s="1470"/>
      <c r="L386" s="1470"/>
      <c r="M386" s="1470"/>
      <c r="N386" s="1470"/>
      <c r="O386" s="1470"/>
      <c r="P386" s="1470"/>
      <c r="Q386" s="1470"/>
      <c r="R386" s="1470"/>
      <c r="S386" s="1470"/>
      <c r="T386" s="1470"/>
      <c r="U386" s="1470"/>
      <c r="V386" s="1470"/>
      <c r="W386" s="1470"/>
      <c r="X386" s="103">
        <f t="shared" si="170"/>
        <v>0</v>
      </c>
      <c r="Y386" s="611"/>
      <c r="Z386" s="611"/>
      <c r="AA386" s="143"/>
      <c r="AB386" s="143"/>
      <c r="AC386" s="143"/>
      <c r="AD386" s="143"/>
      <c r="AE386" s="143"/>
      <c r="AF386" s="143"/>
      <c r="AG386" s="143"/>
      <c r="AH386" s="143"/>
      <c r="AI386" s="143"/>
      <c r="AJ386" s="143"/>
      <c r="AK386" s="143"/>
      <c r="AL386" s="103">
        <f t="shared" si="171"/>
        <v>0</v>
      </c>
      <c r="AM386" s="136"/>
      <c r="AN386" s="136"/>
      <c r="AO386" s="136"/>
      <c r="AP386" s="105">
        <f t="shared" si="172"/>
        <v>0</v>
      </c>
      <c r="AQ386" s="99"/>
      <c r="AR386" s="99"/>
      <c r="AS386" s="99"/>
      <c r="AT386" s="124"/>
      <c r="AU386" s="224">
        <f t="shared" si="173"/>
        <v>0</v>
      </c>
      <c r="AV386" s="126"/>
      <c r="AW386" s="274"/>
      <c r="AX386" s="126"/>
      <c r="AY386" s="126"/>
      <c r="AZ386" s="126"/>
      <c r="BA386" s="126"/>
      <c r="BB386" s="141"/>
      <c r="BC386" s="152"/>
      <c r="BD386" s="152"/>
      <c r="BE386" s="152"/>
      <c r="BF386" s="152"/>
      <c r="BG386" s="308">
        <f t="shared" si="174"/>
        <v>0</v>
      </c>
      <c r="BH386" s="140">
        <f t="shared" si="175"/>
        <v>0</v>
      </c>
      <c r="BI386" s="132"/>
      <c r="BJ386" s="140">
        <f t="shared" si="176"/>
        <v>0</v>
      </c>
      <c r="BK386" s="141"/>
      <c r="BL386" s="141"/>
      <c r="BM386" s="141"/>
      <c r="BN386" s="141"/>
      <c r="BO386" s="141"/>
      <c r="BP386" s="141"/>
      <c r="BQ386" s="141"/>
      <c r="BR386" s="141"/>
      <c r="BS386" s="141"/>
      <c r="BT386" s="141"/>
      <c r="BU386" s="141"/>
      <c r="BV386" s="141"/>
      <c r="BW386" s="141"/>
      <c r="BX386" s="1408">
        <f t="shared" si="177"/>
        <v>0</v>
      </c>
      <c r="BY386" s="132"/>
    </row>
    <row r="387" ht="15.75" customHeight="1">
      <c r="B387" s="1477">
        <v>46371</v>
      </c>
      <c r="C387" s="379"/>
      <c r="D387" s="136"/>
      <c r="E387" s="136"/>
      <c r="F387" s="136"/>
      <c r="G387" s="105">
        <f t="shared" si="169"/>
        <v>0</v>
      </c>
      <c r="H387" s="1469"/>
      <c r="I387" s="1470"/>
      <c r="J387" s="1470"/>
      <c r="K387" s="1470"/>
      <c r="L387" s="1470"/>
      <c r="M387" s="1470"/>
      <c r="N387" s="1470"/>
      <c r="O387" s="1470"/>
      <c r="P387" s="1470"/>
      <c r="Q387" s="1470"/>
      <c r="R387" s="1470"/>
      <c r="S387" s="1470"/>
      <c r="T387" s="1470"/>
      <c r="U387" s="1470"/>
      <c r="V387" s="1470"/>
      <c r="W387" s="1470"/>
      <c r="X387" s="103">
        <f t="shared" si="170"/>
        <v>0</v>
      </c>
      <c r="Y387" s="611"/>
      <c r="Z387" s="611"/>
      <c r="AA387" s="143"/>
      <c r="AB387" s="143"/>
      <c r="AC387" s="143"/>
      <c r="AD387" s="143"/>
      <c r="AE387" s="143"/>
      <c r="AF387" s="143"/>
      <c r="AG387" s="143"/>
      <c r="AH387" s="143"/>
      <c r="AI387" s="143"/>
      <c r="AJ387" s="143"/>
      <c r="AK387" s="143"/>
      <c r="AL387" s="103">
        <f t="shared" si="171"/>
        <v>0</v>
      </c>
      <c r="AM387" s="136"/>
      <c r="AN387" s="136"/>
      <c r="AO387" s="136"/>
      <c r="AP387" s="105">
        <f t="shared" si="172"/>
        <v>0</v>
      </c>
      <c r="AQ387" s="99"/>
      <c r="AR387" s="99"/>
      <c r="AS387" s="99"/>
      <c r="AT387" s="124"/>
      <c r="AU387" s="224">
        <f t="shared" si="173"/>
        <v>0</v>
      </c>
      <c r="AV387" s="126"/>
      <c r="AW387" s="274"/>
      <c r="AX387" s="126"/>
      <c r="AY387" s="126"/>
      <c r="AZ387" s="126"/>
      <c r="BA387" s="126"/>
      <c r="BB387" s="141"/>
      <c r="BC387" s="152"/>
      <c r="BD387" s="152"/>
      <c r="BE387" s="152"/>
      <c r="BF387" s="152"/>
      <c r="BG387" s="308">
        <f t="shared" si="174"/>
        <v>0</v>
      </c>
      <c r="BH387" s="140">
        <f t="shared" si="175"/>
        <v>0</v>
      </c>
      <c r="BI387" s="132"/>
      <c r="BJ387" s="140">
        <f t="shared" si="176"/>
        <v>0</v>
      </c>
      <c r="BK387" s="141"/>
      <c r="BL387" s="141"/>
      <c r="BM387" s="141"/>
      <c r="BN387" s="141"/>
      <c r="BO387" s="141"/>
      <c r="BP387" s="141"/>
      <c r="BQ387" s="141"/>
      <c r="BR387" s="141"/>
      <c r="BS387" s="141"/>
      <c r="BT387" s="141"/>
      <c r="BU387" s="141"/>
      <c r="BV387" s="141"/>
      <c r="BW387" s="141"/>
      <c r="BX387" s="1408">
        <f t="shared" si="177"/>
        <v>0</v>
      </c>
      <c r="BY387" s="132"/>
    </row>
    <row r="388" ht="15.75" customHeight="1">
      <c r="B388" s="1477">
        <v>46372</v>
      </c>
      <c r="C388" s="379"/>
      <c r="D388" s="136"/>
      <c r="E388" s="136"/>
      <c r="F388" s="136"/>
      <c r="G388" s="105">
        <f t="shared" si="169"/>
        <v>0</v>
      </c>
      <c r="H388" s="1469"/>
      <c r="I388" s="1470"/>
      <c r="J388" s="1470"/>
      <c r="K388" s="1470"/>
      <c r="L388" s="1470"/>
      <c r="M388" s="1470"/>
      <c r="N388" s="1470"/>
      <c r="O388" s="1470"/>
      <c r="P388" s="1470"/>
      <c r="Q388" s="1470"/>
      <c r="R388" s="1470"/>
      <c r="S388" s="1470"/>
      <c r="T388" s="1470"/>
      <c r="U388" s="1470"/>
      <c r="V388" s="1470"/>
      <c r="W388" s="1470"/>
      <c r="X388" s="103">
        <f t="shared" si="170"/>
        <v>0</v>
      </c>
      <c r="Y388" s="611"/>
      <c r="Z388" s="611"/>
      <c r="AA388" s="143"/>
      <c r="AB388" s="143"/>
      <c r="AC388" s="143"/>
      <c r="AD388" s="143"/>
      <c r="AE388" s="143"/>
      <c r="AF388" s="143"/>
      <c r="AG388" s="143"/>
      <c r="AH388" s="143"/>
      <c r="AI388" s="143"/>
      <c r="AJ388" s="143"/>
      <c r="AK388" s="143"/>
      <c r="AL388" s="103">
        <f t="shared" si="171"/>
        <v>0</v>
      </c>
      <c r="AM388" s="136"/>
      <c r="AN388" s="136"/>
      <c r="AO388" s="136"/>
      <c r="AP388" s="105">
        <f t="shared" si="172"/>
        <v>0</v>
      </c>
      <c r="AQ388" s="99"/>
      <c r="AR388" s="99"/>
      <c r="AS388" s="99"/>
      <c r="AT388" s="124"/>
      <c r="AU388" s="224">
        <f t="shared" si="173"/>
        <v>0</v>
      </c>
      <c r="AV388" s="126"/>
      <c r="AW388" s="274"/>
      <c r="AX388" s="126"/>
      <c r="AY388" s="126"/>
      <c r="AZ388" s="126"/>
      <c r="BA388" s="126"/>
      <c r="BB388" s="141"/>
      <c r="BC388" s="152"/>
      <c r="BD388" s="152"/>
      <c r="BE388" s="152"/>
      <c r="BF388" s="152"/>
      <c r="BG388" s="308">
        <f t="shared" si="174"/>
        <v>0</v>
      </c>
      <c r="BH388" s="140">
        <f t="shared" si="175"/>
        <v>0</v>
      </c>
      <c r="BI388" s="132"/>
      <c r="BJ388" s="140">
        <f t="shared" si="176"/>
        <v>0</v>
      </c>
      <c r="BK388" s="141"/>
      <c r="BL388" s="141"/>
      <c r="BM388" s="141"/>
      <c r="BN388" s="141"/>
      <c r="BO388" s="141"/>
      <c r="BP388" s="141"/>
      <c r="BQ388" s="141"/>
      <c r="BR388" s="141"/>
      <c r="BS388" s="141"/>
      <c r="BT388" s="141"/>
      <c r="BU388" s="141"/>
      <c r="BV388" s="141"/>
      <c r="BW388" s="141"/>
      <c r="BX388" s="1408">
        <f t="shared" si="177"/>
        <v>0</v>
      </c>
      <c r="BY388" s="132"/>
    </row>
    <row r="389" ht="15.75" customHeight="1">
      <c r="B389" s="1477">
        <v>46373</v>
      </c>
      <c r="C389" s="379"/>
      <c r="D389" s="136"/>
      <c r="E389" s="136"/>
      <c r="F389" s="136"/>
      <c r="G389" s="105">
        <f t="shared" si="169"/>
        <v>0</v>
      </c>
      <c r="H389" s="1469"/>
      <c r="I389" s="142"/>
      <c r="J389" s="1470"/>
      <c r="K389" s="1470"/>
      <c r="L389" s="1470"/>
      <c r="M389" s="1470"/>
      <c r="N389" s="1470"/>
      <c r="O389" s="1470"/>
      <c r="P389" s="1470"/>
      <c r="Q389" s="1470"/>
      <c r="R389" s="1470"/>
      <c r="S389" s="1470"/>
      <c r="T389" s="1470"/>
      <c r="U389" s="1470"/>
      <c r="V389" s="1470"/>
      <c r="W389" s="1470"/>
      <c r="X389" s="103">
        <f t="shared" si="170"/>
        <v>0</v>
      </c>
      <c r="Y389" s="611"/>
      <c r="Z389" s="611"/>
      <c r="AA389" s="143"/>
      <c r="AB389" s="143"/>
      <c r="AC389" s="143"/>
      <c r="AD389" s="143"/>
      <c r="AE389" s="143"/>
      <c r="AF389" s="143"/>
      <c r="AG389" s="143"/>
      <c r="AH389" s="143"/>
      <c r="AI389" s="143"/>
      <c r="AJ389" s="143"/>
      <c r="AK389" s="143"/>
      <c r="AL389" s="103">
        <f t="shared" si="171"/>
        <v>0</v>
      </c>
      <c r="AM389" s="136"/>
      <c r="AN389" s="136"/>
      <c r="AO389" s="136"/>
      <c r="AP389" s="105">
        <f t="shared" si="172"/>
        <v>0</v>
      </c>
      <c r="AQ389" s="99"/>
      <c r="AR389" s="99"/>
      <c r="AS389" s="99"/>
      <c r="AT389" s="124"/>
      <c r="AU389" s="224">
        <f t="shared" si="173"/>
        <v>0</v>
      </c>
      <c r="AV389" s="126"/>
      <c r="AW389" s="274"/>
      <c r="AX389" s="126"/>
      <c r="AY389" s="126"/>
      <c r="AZ389" s="126"/>
      <c r="BA389" s="126"/>
      <c r="BB389" s="141"/>
      <c r="BC389" s="152"/>
      <c r="BD389" s="152"/>
      <c r="BE389" s="152"/>
      <c r="BF389" s="152"/>
      <c r="BG389" s="308">
        <f t="shared" si="174"/>
        <v>0</v>
      </c>
      <c r="BH389" s="140">
        <f t="shared" si="175"/>
        <v>0</v>
      </c>
      <c r="BI389" s="132"/>
      <c r="BJ389" s="140">
        <f t="shared" si="176"/>
        <v>0</v>
      </c>
      <c r="BK389" s="141"/>
      <c r="BL389" s="141"/>
      <c r="BM389" s="141"/>
      <c r="BN389" s="141"/>
      <c r="BO389" s="141"/>
      <c r="BP389" s="141"/>
      <c r="BQ389" s="141"/>
      <c r="BR389" s="141"/>
      <c r="BS389" s="141"/>
      <c r="BT389" s="141"/>
      <c r="BU389" s="141"/>
      <c r="BV389" s="141"/>
      <c r="BW389" s="141"/>
      <c r="BX389" s="1408">
        <f t="shared" si="177"/>
        <v>0</v>
      </c>
      <c r="BY389" s="132"/>
    </row>
    <row r="390" ht="15.75" customHeight="1">
      <c r="B390" s="1477">
        <v>46374</v>
      </c>
      <c r="C390" s="379"/>
      <c r="D390" s="136"/>
      <c r="E390" s="136"/>
      <c r="F390" s="136"/>
      <c r="G390" s="105">
        <f t="shared" si="169"/>
        <v>0</v>
      </c>
      <c r="I390" s="1470"/>
      <c r="J390" s="1470"/>
      <c r="K390" s="1470"/>
      <c r="L390" s="1470"/>
      <c r="M390" s="1470"/>
      <c r="N390" s="1470"/>
      <c r="O390" s="1470"/>
      <c r="P390" s="1470"/>
      <c r="Q390" s="1470"/>
      <c r="R390" s="1470"/>
      <c r="S390" s="1470"/>
      <c r="T390" s="1470"/>
      <c r="U390" s="1470"/>
      <c r="V390" s="1470"/>
      <c r="W390" s="1470"/>
      <c r="X390" s="103">
        <f t="shared" si="170"/>
        <v>0</v>
      </c>
      <c r="Y390" s="611"/>
      <c r="Z390" s="611"/>
      <c r="AA390" s="143"/>
      <c r="AB390" s="143"/>
      <c r="AC390" s="143"/>
      <c r="AD390" s="143"/>
      <c r="AE390" s="143"/>
      <c r="AF390" s="143"/>
      <c r="AG390" s="143"/>
      <c r="AH390" s="143"/>
      <c r="AI390" s="143"/>
      <c r="AJ390" s="143"/>
      <c r="AK390" s="143"/>
      <c r="AL390" s="103">
        <f t="shared" si="171"/>
        <v>0</v>
      </c>
      <c r="AM390" s="136"/>
      <c r="AN390" s="136"/>
      <c r="AO390" s="136"/>
      <c r="AP390" s="105">
        <f t="shared" si="172"/>
        <v>0</v>
      </c>
      <c r="AQ390" s="99"/>
      <c r="AR390" s="99"/>
      <c r="AS390" s="99"/>
      <c r="AT390" s="124"/>
      <c r="AU390" s="224">
        <f t="shared" si="173"/>
        <v>0</v>
      </c>
      <c r="AV390" s="126"/>
      <c r="AW390" s="274"/>
      <c r="AX390" s="126"/>
      <c r="AY390" s="126"/>
      <c r="AZ390" s="126"/>
      <c r="BA390" s="126"/>
      <c r="BB390" s="141"/>
      <c r="BC390" s="152"/>
      <c r="BD390" s="152"/>
      <c r="BE390" s="152"/>
      <c r="BF390" s="152"/>
      <c r="BG390" s="308">
        <f t="shared" si="174"/>
        <v>0</v>
      </c>
      <c r="BH390" s="140">
        <f t="shared" si="175"/>
        <v>0</v>
      </c>
      <c r="BI390" s="132"/>
      <c r="BJ390" s="140">
        <f t="shared" si="176"/>
        <v>0</v>
      </c>
      <c r="BK390" s="141"/>
      <c r="BL390" s="141"/>
      <c r="BM390" s="141"/>
      <c r="BN390" s="141"/>
      <c r="BO390" s="141"/>
      <c r="BP390" s="141"/>
      <c r="BQ390" s="141"/>
      <c r="BR390" s="141"/>
      <c r="BS390" s="141"/>
      <c r="BT390" s="141"/>
      <c r="BU390" s="141"/>
      <c r="BV390" s="141"/>
      <c r="BW390" s="141"/>
      <c r="BX390" s="1408">
        <f t="shared" si="177"/>
        <v>0</v>
      </c>
      <c r="BY390" s="132"/>
    </row>
    <row r="391" ht="15.75" customHeight="1">
      <c r="B391" s="1477">
        <v>46375</v>
      </c>
      <c r="C391" s="379"/>
      <c r="D391" s="136"/>
      <c r="E391" s="136"/>
      <c r="F391" s="136"/>
      <c r="G391" s="105">
        <f t="shared" si="169"/>
        <v>0</v>
      </c>
      <c r="H391" s="1469"/>
      <c r="I391" s="1470"/>
      <c r="J391" s="1470"/>
      <c r="K391" s="1470"/>
      <c r="L391" s="1470"/>
      <c r="M391" s="1470"/>
      <c r="N391" s="1470"/>
      <c r="O391" s="1470"/>
      <c r="P391" s="1470"/>
      <c r="Q391" s="1470"/>
      <c r="R391" s="1470"/>
      <c r="S391" s="1470"/>
      <c r="T391" s="1470"/>
      <c r="U391" s="1470"/>
      <c r="V391" s="1470"/>
      <c r="W391" s="1470"/>
      <c r="X391" s="103">
        <f t="shared" si="170"/>
        <v>0</v>
      </c>
      <c r="Y391" s="611"/>
      <c r="Z391" s="611"/>
      <c r="AA391" s="143"/>
      <c r="AB391" s="143"/>
      <c r="AC391" s="143"/>
      <c r="AD391" s="143"/>
      <c r="AE391" s="143"/>
      <c r="AF391" s="143"/>
      <c r="AG391" s="143"/>
      <c r="AH391" s="143"/>
      <c r="AI391" s="143"/>
      <c r="AJ391" s="143"/>
      <c r="AK391" s="143"/>
      <c r="AL391" s="103">
        <f t="shared" si="171"/>
        <v>0</v>
      </c>
      <c r="AM391" s="301"/>
      <c r="AN391" s="136"/>
      <c r="AO391" s="136"/>
      <c r="AP391" s="105">
        <f t="shared" si="172"/>
        <v>0</v>
      </c>
      <c r="AQ391" s="99"/>
      <c r="AR391" s="99"/>
      <c r="AS391" s="99"/>
      <c r="AT391" s="124"/>
      <c r="AU391" s="224">
        <f t="shared" si="173"/>
        <v>0</v>
      </c>
      <c r="AV391" s="126"/>
      <c r="AW391" s="274"/>
      <c r="AX391" s="126"/>
      <c r="AY391" s="126"/>
      <c r="AZ391" s="126"/>
      <c r="BA391" s="126"/>
      <c r="BB391" s="141"/>
      <c r="BC391" s="152"/>
      <c r="BD391" s="152"/>
      <c r="BE391" s="152"/>
      <c r="BF391" s="152"/>
      <c r="BG391" s="308">
        <f t="shared" si="174"/>
        <v>0</v>
      </c>
      <c r="BH391" s="140">
        <f t="shared" si="175"/>
        <v>0</v>
      </c>
      <c r="BI391" s="132"/>
      <c r="BJ391" s="140">
        <f t="shared" si="176"/>
        <v>0</v>
      </c>
      <c r="BK391" s="141"/>
      <c r="BL391" s="141"/>
      <c r="BM391" s="141"/>
      <c r="BN391" s="141"/>
      <c r="BO391" s="141"/>
      <c r="BP391" s="141"/>
      <c r="BQ391" s="141"/>
      <c r="BR391" s="141"/>
      <c r="BS391" s="141"/>
      <c r="BT391" s="141"/>
      <c r="BU391" s="141"/>
      <c r="BV391" s="141"/>
      <c r="BW391" s="141"/>
      <c r="BX391" s="1408">
        <f t="shared" si="177"/>
        <v>0</v>
      </c>
      <c r="BY391" s="132"/>
    </row>
    <row r="392" ht="15.75" customHeight="1">
      <c r="B392" s="1477">
        <v>46376</v>
      </c>
      <c r="C392" s="379"/>
      <c r="D392" s="136"/>
      <c r="E392" s="136"/>
      <c r="F392" s="136"/>
      <c r="G392" s="105">
        <f t="shared" si="169"/>
        <v>0</v>
      </c>
      <c r="H392" s="1474"/>
      <c r="I392" s="142"/>
      <c r="J392" s="1470"/>
      <c r="K392" s="1470"/>
      <c r="L392" s="1470"/>
      <c r="M392" s="1470"/>
      <c r="N392" s="1470"/>
      <c r="O392" s="1470"/>
      <c r="P392" s="1470"/>
      <c r="Q392" s="1470"/>
      <c r="R392" s="1470"/>
      <c r="S392" s="1470"/>
      <c r="T392" s="1470"/>
      <c r="U392" s="1470"/>
      <c r="V392" s="1470"/>
      <c r="W392" s="1470"/>
      <c r="X392" s="103">
        <f t="shared" si="170"/>
        <v>0</v>
      </c>
      <c r="Y392" s="611"/>
      <c r="Z392" s="611"/>
      <c r="AA392" s="143"/>
      <c r="AB392" s="143"/>
      <c r="AC392" s="143"/>
      <c r="AD392" s="143"/>
      <c r="AE392" s="143"/>
      <c r="AF392" s="143"/>
      <c r="AG392" s="143"/>
      <c r="AH392" s="143"/>
      <c r="AI392" s="143"/>
      <c r="AJ392" s="143"/>
      <c r="AK392" s="143"/>
      <c r="AL392" s="103">
        <f t="shared" si="171"/>
        <v>0</v>
      </c>
      <c r="AM392" s="136"/>
      <c r="AN392" s="136"/>
      <c r="AO392" s="136"/>
      <c r="AP392" s="105">
        <f t="shared" si="172"/>
        <v>0</v>
      </c>
      <c r="AQ392" s="99"/>
      <c r="AR392" s="99"/>
      <c r="AS392" s="99"/>
      <c r="AT392" s="124"/>
      <c r="AU392" s="224">
        <f t="shared" si="173"/>
        <v>0</v>
      </c>
      <c r="AV392" s="126"/>
      <c r="AW392" s="274"/>
      <c r="AX392" s="126"/>
      <c r="AY392" s="126"/>
      <c r="AZ392" s="126"/>
      <c r="BA392" s="126"/>
      <c r="BB392" s="141"/>
      <c r="BC392" s="152"/>
      <c r="BD392" s="152"/>
      <c r="BE392" s="152"/>
      <c r="BF392" s="152"/>
      <c r="BG392" s="308">
        <f t="shared" si="174"/>
        <v>0</v>
      </c>
      <c r="BH392" s="140">
        <f t="shared" si="175"/>
        <v>0</v>
      </c>
      <c r="BI392" s="132"/>
      <c r="BJ392" s="140">
        <f t="shared" si="176"/>
        <v>0</v>
      </c>
      <c r="BK392" s="141"/>
      <c r="BL392" s="141"/>
      <c r="BM392" s="141"/>
      <c r="BN392" s="141"/>
      <c r="BO392" s="141"/>
      <c r="BP392" s="141"/>
      <c r="BQ392" s="141"/>
      <c r="BR392" s="141"/>
      <c r="BS392" s="141"/>
      <c r="BT392" s="141"/>
      <c r="BU392" s="141"/>
      <c r="BV392" s="141"/>
      <c r="BW392" s="141"/>
      <c r="BX392" s="1408">
        <f t="shared" si="177"/>
        <v>0</v>
      </c>
      <c r="BY392" s="132"/>
    </row>
    <row r="393" ht="15.75" customHeight="1">
      <c r="B393" s="1477">
        <v>46377</v>
      </c>
      <c r="C393" s="379"/>
      <c r="D393" s="136"/>
      <c r="E393" s="136"/>
      <c r="F393" s="136"/>
      <c r="G393" s="105">
        <f t="shared" si="169"/>
        <v>0</v>
      </c>
      <c r="H393" s="1469"/>
      <c r="I393" s="1470"/>
      <c r="J393" s="1470"/>
      <c r="K393" s="1470"/>
      <c r="L393" s="1470"/>
      <c r="M393" s="1470"/>
      <c r="N393" s="1470"/>
      <c r="O393" s="1470"/>
      <c r="P393" s="1470"/>
      <c r="Q393" s="1470"/>
      <c r="R393" s="1470"/>
      <c r="S393" s="1470"/>
      <c r="T393" s="1470"/>
      <c r="U393" s="1470"/>
      <c r="V393" s="1470"/>
      <c r="W393" s="1470"/>
      <c r="X393" s="103">
        <f t="shared" si="170"/>
        <v>0</v>
      </c>
      <c r="Y393" s="611"/>
      <c r="Z393" s="611"/>
      <c r="AA393" s="143"/>
      <c r="AB393" s="143"/>
      <c r="AC393" s="143"/>
      <c r="AD393" s="143"/>
      <c r="AE393" s="143"/>
      <c r="AF393" s="143"/>
      <c r="AG393" s="143"/>
      <c r="AH393" s="143"/>
      <c r="AI393" s="143"/>
      <c r="AJ393" s="143"/>
      <c r="AK393" s="143"/>
      <c r="AL393" s="103">
        <f t="shared" si="171"/>
        <v>0</v>
      </c>
      <c r="AM393" s="136"/>
      <c r="AN393" s="136"/>
      <c r="AO393" s="136"/>
      <c r="AP393" s="105">
        <f t="shared" si="172"/>
        <v>0</v>
      </c>
      <c r="AQ393" s="99"/>
      <c r="AR393" s="99"/>
      <c r="AS393" s="99"/>
      <c r="AT393" s="124"/>
      <c r="AU393" s="224">
        <f t="shared" si="173"/>
        <v>0</v>
      </c>
      <c r="AV393" s="126"/>
      <c r="AW393" s="274"/>
      <c r="AX393" s="126"/>
      <c r="AY393" s="126"/>
      <c r="AZ393" s="126"/>
      <c r="BA393" s="126"/>
      <c r="BB393" s="141"/>
      <c r="BC393" s="152"/>
      <c r="BD393" s="152"/>
      <c r="BE393" s="152"/>
      <c r="BF393" s="152"/>
      <c r="BG393" s="308">
        <f t="shared" si="174"/>
        <v>0</v>
      </c>
      <c r="BH393" s="140">
        <f t="shared" si="175"/>
        <v>0</v>
      </c>
      <c r="BI393" s="132"/>
      <c r="BJ393" s="140">
        <f t="shared" si="176"/>
        <v>0</v>
      </c>
      <c r="BK393" s="141"/>
      <c r="BL393" s="141"/>
      <c r="BM393" s="141"/>
      <c r="BN393" s="141"/>
      <c r="BO393" s="141"/>
      <c r="BP393" s="141"/>
      <c r="BQ393" s="141"/>
      <c r="BR393" s="141"/>
      <c r="BS393" s="141"/>
      <c r="BT393" s="141"/>
      <c r="BU393" s="141"/>
      <c r="BV393" s="141"/>
      <c r="BW393" s="141"/>
      <c r="BX393" s="1408">
        <f t="shared" si="177"/>
        <v>0</v>
      </c>
      <c r="BY393" s="132"/>
    </row>
    <row r="394" ht="15.75" customHeight="1">
      <c r="B394" s="1477">
        <v>46378</v>
      </c>
      <c r="C394" s="379"/>
      <c r="D394" s="136"/>
      <c r="E394" s="136"/>
      <c r="F394" s="136"/>
      <c r="G394" s="105">
        <f t="shared" si="169"/>
        <v>0</v>
      </c>
      <c r="H394" s="1469"/>
      <c r="I394" s="1470"/>
      <c r="J394" s="1470"/>
      <c r="K394" s="1470"/>
      <c r="L394" s="1470"/>
      <c r="M394" s="1470"/>
      <c r="N394" s="1470"/>
      <c r="O394" s="1470"/>
      <c r="P394" s="1470"/>
      <c r="Q394" s="1470"/>
      <c r="R394" s="1470"/>
      <c r="S394" s="1470"/>
      <c r="T394" s="1470"/>
      <c r="U394" s="1470"/>
      <c r="V394" s="1470"/>
      <c r="W394" s="1470"/>
      <c r="X394" s="103">
        <f t="shared" si="170"/>
        <v>0</v>
      </c>
      <c r="Y394" s="611"/>
      <c r="Z394" s="611"/>
      <c r="AA394" s="143"/>
      <c r="AB394" s="143"/>
      <c r="AC394" s="143"/>
      <c r="AD394" s="143"/>
      <c r="AE394" s="143"/>
      <c r="AF394" s="143"/>
      <c r="AG394" s="143"/>
      <c r="AH394" s="143"/>
      <c r="AI394" s="143"/>
      <c r="AJ394" s="143"/>
      <c r="AK394" s="143"/>
      <c r="AL394" s="103">
        <f t="shared" si="171"/>
        <v>0</v>
      </c>
      <c r="AM394" s="136"/>
      <c r="AN394" s="136"/>
      <c r="AO394" s="136"/>
      <c r="AP394" s="105">
        <f t="shared" si="172"/>
        <v>0</v>
      </c>
      <c r="AQ394" s="99"/>
      <c r="AR394" s="99"/>
      <c r="AS394" s="99"/>
      <c r="AT394" s="124"/>
      <c r="AU394" s="224">
        <f t="shared" si="173"/>
        <v>0</v>
      </c>
      <c r="AV394" s="126"/>
      <c r="AW394" s="274"/>
      <c r="AX394" s="126"/>
      <c r="AY394" s="126"/>
      <c r="AZ394" s="126"/>
      <c r="BA394" s="126"/>
      <c r="BB394" s="141"/>
      <c r="BC394" s="152"/>
      <c r="BD394" s="152"/>
      <c r="BE394" s="152"/>
      <c r="BF394" s="152"/>
      <c r="BG394" s="308">
        <f t="shared" si="174"/>
        <v>0</v>
      </c>
      <c r="BH394" s="140">
        <f t="shared" si="175"/>
        <v>0</v>
      </c>
      <c r="BI394" s="132"/>
      <c r="BJ394" s="140">
        <f t="shared" si="176"/>
        <v>0</v>
      </c>
      <c r="BK394" s="141"/>
      <c r="BL394" s="141"/>
      <c r="BM394" s="141"/>
      <c r="BN394" s="141"/>
      <c r="BO394" s="141"/>
      <c r="BP394" s="141"/>
      <c r="BQ394" s="141"/>
      <c r="BR394" s="141"/>
      <c r="BS394" s="141"/>
      <c r="BT394" s="141"/>
      <c r="BU394" s="141"/>
      <c r="BV394" s="141"/>
      <c r="BW394" s="141"/>
      <c r="BX394" s="1408">
        <f t="shared" si="177"/>
        <v>0</v>
      </c>
      <c r="BY394" s="132"/>
    </row>
    <row r="395" ht="15.75" customHeight="1">
      <c r="B395" s="1477">
        <v>46379</v>
      </c>
      <c r="C395" s="379"/>
      <c r="D395" s="136"/>
      <c r="E395" s="136"/>
      <c r="F395" s="136"/>
      <c r="G395" s="105">
        <f t="shared" si="169"/>
        <v>0</v>
      </c>
      <c r="H395" s="1474"/>
      <c r="I395" s="142"/>
      <c r="J395" s="1470"/>
      <c r="K395" s="1470"/>
      <c r="L395" s="1470"/>
      <c r="M395" s="1470"/>
      <c r="N395" s="1470"/>
      <c r="O395" s="1470"/>
      <c r="P395" s="1470"/>
      <c r="Q395" s="1470"/>
      <c r="R395" s="1470"/>
      <c r="S395" s="1470"/>
      <c r="T395" s="1470"/>
      <c r="U395" s="1470"/>
      <c r="V395" s="1470"/>
      <c r="W395" s="1470"/>
      <c r="X395" s="103">
        <f t="shared" si="170"/>
        <v>0</v>
      </c>
      <c r="Y395" s="611"/>
      <c r="Z395" s="611"/>
      <c r="AA395" s="143"/>
      <c r="AB395" s="143"/>
      <c r="AC395" s="143"/>
      <c r="AD395" s="143"/>
      <c r="AE395" s="143"/>
      <c r="AF395" s="143"/>
      <c r="AG395" s="143"/>
      <c r="AH395" s="143"/>
      <c r="AI395" s="143"/>
      <c r="AJ395" s="143"/>
      <c r="AK395" s="143"/>
      <c r="AL395" s="103">
        <f t="shared" si="171"/>
        <v>0</v>
      </c>
      <c r="AM395" s="136"/>
      <c r="AN395" s="136"/>
      <c r="AO395" s="136"/>
      <c r="AP395" s="105">
        <f t="shared" si="172"/>
        <v>0</v>
      </c>
      <c r="AQ395" s="99"/>
      <c r="AR395" s="99"/>
      <c r="AS395" s="99"/>
      <c r="AT395" s="124"/>
      <c r="AU395" s="224">
        <f t="shared" si="173"/>
        <v>0</v>
      </c>
      <c r="AV395" s="126"/>
      <c r="AW395" s="274"/>
      <c r="AX395" s="126"/>
      <c r="AY395" s="126"/>
      <c r="AZ395" s="126"/>
      <c r="BA395" s="126"/>
      <c r="BB395" s="141"/>
      <c r="BC395" s="152"/>
      <c r="BD395" s="152"/>
      <c r="BE395" s="152"/>
      <c r="BF395" s="152"/>
      <c r="BG395" s="308">
        <f t="shared" si="174"/>
        <v>0</v>
      </c>
      <c r="BH395" s="140">
        <f t="shared" si="175"/>
        <v>0</v>
      </c>
      <c r="BI395" s="132"/>
      <c r="BJ395" s="140">
        <f t="shared" si="176"/>
        <v>0</v>
      </c>
      <c r="BK395" s="141"/>
      <c r="BL395" s="141"/>
      <c r="BM395" s="141"/>
      <c r="BN395" s="141"/>
      <c r="BO395" s="141"/>
      <c r="BP395" s="141"/>
      <c r="BQ395" s="141"/>
      <c r="BR395" s="141"/>
      <c r="BS395" s="141"/>
      <c r="BT395" s="141"/>
      <c r="BU395" s="141"/>
      <c r="BV395" s="141"/>
      <c r="BW395" s="141"/>
      <c r="BX395" s="1408">
        <f t="shared" si="177"/>
        <v>0</v>
      </c>
      <c r="BY395" s="132"/>
    </row>
    <row r="396" ht="15.75" customHeight="1">
      <c r="B396" s="1477">
        <v>46380</v>
      </c>
      <c r="C396" s="379"/>
      <c r="D396" s="136"/>
      <c r="E396" s="136"/>
      <c r="F396" s="136"/>
      <c r="G396" s="105">
        <f t="shared" si="169"/>
        <v>0</v>
      </c>
      <c r="H396" s="1469"/>
      <c r="I396" s="1470"/>
      <c r="J396" s="1470"/>
      <c r="K396" s="1470"/>
      <c r="L396" s="1470"/>
      <c r="M396" s="1470"/>
      <c r="N396" s="1470"/>
      <c r="O396" s="1470"/>
      <c r="P396" s="1470"/>
      <c r="Q396" s="1470"/>
      <c r="R396" s="1470"/>
      <c r="S396" s="1470"/>
      <c r="T396" s="1470"/>
      <c r="U396" s="1470"/>
      <c r="V396" s="1470"/>
      <c r="W396" s="1470"/>
      <c r="X396" s="103">
        <f t="shared" si="170"/>
        <v>0</v>
      </c>
      <c r="Y396" s="611"/>
      <c r="Z396" s="611"/>
      <c r="AA396" s="143"/>
      <c r="AB396" s="143"/>
      <c r="AC396" s="143"/>
      <c r="AD396" s="143"/>
      <c r="AE396" s="143"/>
      <c r="AF396" s="143"/>
      <c r="AG396" s="143"/>
      <c r="AH396" s="143"/>
      <c r="AI396" s="143"/>
      <c r="AJ396" s="143"/>
      <c r="AK396" s="143"/>
      <c r="AL396" s="103">
        <f t="shared" si="171"/>
        <v>0</v>
      </c>
      <c r="AM396" s="136"/>
      <c r="AN396" s="136"/>
      <c r="AO396" s="136"/>
      <c r="AP396" s="105">
        <f t="shared" si="172"/>
        <v>0</v>
      </c>
      <c r="AQ396" s="99"/>
      <c r="AR396" s="99"/>
      <c r="AS396" s="99"/>
      <c r="AT396" s="124"/>
      <c r="AU396" s="224">
        <f t="shared" si="173"/>
        <v>0</v>
      </c>
      <c r="AV396" s="126"/>
      <c r="AW396" s="274"/>
      <c r="AX396" s="126"/>
      <c r="AY396" s="126"/>
      <c r="AZ396" s="126"/>
      <c r="BA396" s="126"/>
      <c r="BB396" s="141"/>
      <c r="BC396" s="152"/>
      <c r="BD396" s="152"/>
      <c r="BE396" s="152"/>
      <c r="BF396" s="152"/>
      <c r="BG396" s="308">
        <f t="shared" si="174"/>
        <v>0</v>
      </c>
      <c r="BH396" s="140">
        <f t="shared" si="175"/>
        <v>0</v>
      </c>
      <c r="BI396" s="132"/>
      <c r="BJ396" s="140">
        <f t="shared" si="176"/>
        <v>0</v>
      </c>
      <c r="BK396" s="141"/>
      <c r="BL396" s="141"/>
      <c r="BM396" s="141"/>
      <c r="BN396" s="141"/>
      <c r="BO396" s="141"/>
      <c r="BP396" s="141"/>
      <c r="BQ396" s="141"/>
      <c r="BR396" s="141"/>
      <c r="BS396" s="141"/>
      <c r="BT396" s="141"/>
      <c r="BU396" s="141"/>
      <c r="BV396" s="141"/>
      <c r="BW396" s="141"/>
      <c r="BX396" s="1408">
        <f t="shared" si="177"/>
        <v>0</v>
      </c>
      <c r="BY396" s="132"/>
    </row>
    <row r="397" ht="15.75" customHeight="1">
      <c r="B397" s="1477">
        <v>46381</v>
      </c>
      <c r="C397" s="379"/>
      <c r="D397" s="136"/>
      <c r="E397" s="136"/>
      <c r="F397" s="136"/>
      <c r="G397" s="105">
        <f t="shared" si="169"/>
        <v>0</v>
      </c>
      <c r="H397" s="1469"/>
      <c r="I397" s="1470"/>
      <c r="J397" s="1470"/>
      <c r="K397" s="1470"/>
      <c r="L397" s="1470"/>
      <c r="M397" s="1470"/>
      <c r="N397" s="1470"/>
      <c r="O397" s="1470"/>
      <c r="P397" s="1470"/>
      <c r="Q397" s="1470"/>
      <c r="R397" s="1470"/>
      <c r="S397" s="1470"/>
      <c r="T397" s="1470"/>
      <c r="U397" s="1470"/>
      <c r="V397" s="1470"/>
      <c r="W397" s="1470"/>
      <c r="X397" s="103">
        <f t="shared" si="170"/>
        <v>0</v>
      </c>
      <c r="Y397" s="611"/>
      <c r="Z397" s="611"/>
      <c r="AA397" s="143"/>
      <c r="AB397" s="143"/>
      <c r="AC397" s="143"/>
      <c r="AD397" s="143"/>
      <c r="AE397" s="143"/>
      <c r="AF397" s="143"/>
      <c r="AG397" s="143"/>
      <c r="AH397" s="143"/>
      <c r="AI397" s="143"/>
      <c r="AJ397" s="143"/>
      <c r="AK397" s="143"/>
      <c r="AL397" s="103">
        <f t="shared" si="171"/>
        <v>0</v>
      </c>
      <c r="AM397" s="136"/>
      <c r="AN397" s="136"/>
      <c r="AO397" s="136"/>
      <c r="AP397" s="105">
        <f t="shared" si="172"/>
        <v>0</v>
      </c>
      <c r="AQ397" s="99"/>
      <c r="AR397" s="99"/>
      <c r="AS397" s="99"/>
      <c r="AT397" s="124"/>
      <c r="AU397" s="224">
        <f t="shared" si="173"/>
        <v>0</v>
      </c>
      <c r="AV397" s="126"/>
      <c r="AW397" s="274"/>
      <c r="AX397" s="126"/>
      <c r="AY397" s="126"/>
      <c r="AZ397" s="126"/>
      <c r="BA397" s="126"/>
      <c r="BB397" s="141"/>
      <c r="BC397" s="152"/>
      <c r="BD397" s="152"/>
      <c r="BE397" s="152"/>
      <c r="BF397" s="152"/>
      <c r="BG397" s="308">
        <f t="shared" si="174"/>
        <v>0</v>
      </c>
      <c r="BH397" s="140">
        <f t="shared" si="175"/>
        <v>0</v>
      </c>
      <c r="BI397" s="132"/>
      <c r="BJ397" s="140">
        <f t="shared" si="176"/>
        <v>0</v>
      </c>
      <c r="BK397" s="141"/>
      <c r="BL397" s="141"/>
      <c r="BM397" s="141"/>
      <c r="BN397" s="141"/>
      <c r="BO397" s="141"/>
      <c r="BP397" s="141"/>
      <c r="BQ397" s="141"/>
      <c r="BR397" s="141"/>
      <c r="BS397" s="141"/>
      <c r="BT397" s="141"/>
      <c r="BU397" s="141"/>
      <c r="BV397" s="141"/>
      <c r="BW397" s="141"/>
      <c r="BX397" s="1408">
        <f t="shared" si="177"/>
        <v>0</v>
      </c>
      <c r="BY397" s="132"/>
    </row>
    <row r="398" ht="15.75" customHeight="1">
      <c r="B398" s="1477">
        <v>46382</v>
      </c>
      <c r="C398" s="379"/>
      <c r="D398" s="136"/>
      <c r="E398" s="136"/>
      <c r="F398" s="136"/>
      <c r="G398" s="105">
        <f t="shared" si="169"/>
        <v>0</v>
      </c>
      <c r="H398" s="1474"/>
      <c r="I398" s="142"/>
      <c r="J398" s="1470"/>
      <c r="K398" s="1470"/>
      <c r="L398" s="1470"/>
      <c r="M398" s="1470"/>
      <c r="N398" s="1470"/>
      <c r="O398" s="1470"/>
      <c r="P398" s="1470"/>
      <c r="Q398" s="1470"/>
      <c r="R398" s="1470"/>
      <c r="S398" s="1470"/>
      <c r="T398" s="1470"/>
      <c r="U398" s="1470"/>
      <c r="V398" s="1470"/>
      <c r="W398" s="1470"/>
      <c r="X398" s="103">
        <f t="shared" si="170"/>
        <v>0</v>
      </c>
      <c r="Y398" s="611"/>
      <c r="Z398" s="611"/>
      <c r="AA398" s="143"/>
      <c r="AB398" s="143"/>
      <c r="AC398" s="143"/>
      <c r="AD398" s="143"/>
      <c r="AE398" s="143"/>
      <c r="AF398" s="143"/>
      <c r="AG398" s="143"/>
      <c r="AH398" s="143"/>
      <c r="AI398" s="143"/>
      <c r="AJ398" s="143"/>
      <c r="AK398" s="143"/>
      <c r="AL398" s="103">
        <f t="shared" si="171"/>
        <v>0</v>
      </c>
      <c r="AM398" s="136"/>
      <c r="AN398" s="136"/>
      <c r="AO398" s="136"/>
      <c r="AP398" s="105">
        <f t="shared" si="172"/>
        <v>0</v>
      </c>
      <c r="AQ398" s="99"/>
      <c r="AR398" s="99"/>
      <c r="AS398" s="99"/>
      <c r="AT398" s="124"/>
      <c r="AU398" s="224">
        <f t="shared" si="173"/>
        <v>0</v>
      </c>
      <c r="AV398" s="126"/>
      <c r="AW398" s="274"/>
      <c r="AX398" s="126"/>
      <c r="AY398" s="126"/>
      <c r="AZ398" s="126"/>
      <c r="BA398" s="126"/>
      <c r="BB398" s="141"/>
      <c r="BC398" s="152"/>
      <c r="BD398" s="152"/>
      <c r="BE398" s="152"/>
      <c r="BF398" s="152"/>
      <c r="BG398" s="308">
        <f t="shared" si="174"/>
        <v>0</v>
      </c>
      <c r="BH398" s="140">
        <f t="shared" si="175"/>
        <v>0</v>
      </c>
      <c r="BI398" s="132"/>
      <c r="BJ398" s="140">
        <f t="shared" si="176"/>
        <v>0</v>
      </c>
      <c r="BK398" s="141"/>
      <c r="BL398" s="141"/>
      <c r="BM398" s="141"/>
      <c r="BN398" s="141"/>
      <c r="BO398" s="141"/>
      <c r="BP398" s="141"/>
      <c r="BQ398" s="141"/>
      <c r="BR398" s="141"/>
      <c r="BS398" s="141"/>
      <c r="BT398" s="141"/>
      <c r="BU398" s="141"/>
      <c r="BV398" s="141"/>
      <c r="BW398" s="141"/>
      <c r="BX398" s="1408">
        <f t="shared" si="177"/>
        <v>0</v>
      </c>
      <c r="BY398" s="132"/>
    </row>
    <row r="399" ht="15.75" customHeight="1">
      <c r="B399" s="1477">
        <v>46383</v>
      </c>
      <c r="C399" s="379"/>
      <c r="D399" s="136"/>
      <c r="E399" s="136"/>
      <c r="F399" s="136"/>
      <c r="G399" s="105">
        <f t="shared" si="169"/>
        <v>0</v>
      </c>
      <c r="H399" s="1469"/>
      <c r="I399" s="1470"/>
      <c r="J399" s="1470"/>
      <c r="K399" s="1470"/>
      <c r="L399" s="1470"/>
      <c r="M399" s="1470"/>
      <c r="N399" s="1470"/>
      <c r="O399" s="1470"/>
      <c r="P399" s="1470"/>
      <c r="Q399" s="1470"/>
      <c r="R399" s="1470"/>
      <c r="S399" s="1470"/>
      <c r="T399" s="1470"/>
      <c r="U399" s="1470"/>
      <c r="V399" s="1470"/>
      <c r="W399" s="1470"/>
      <c r="X399" s="103">
        <f t="shared" si="170"/>
        <v>0</v>
      </c>
      <c r="Y399" s="611"/>
      <c r="Z399" s="611"/>
      <c r="AA399" s="143"/>
      <c r="AB399" s="143"/>
      <c r="AC399" s="143"/>
      <c r="AD399" s="143"/>
      <c r="AE399" s="143"/>
      <c r="AF399" s="143"/>
      <c r="AG399" s="143"/>
      <c r="AH399" s="143"/>
      <c r="AI399" s="143"/>
      <c r="AJ399" s="143"/>
      <c r="AK399" s="143"/>
      <c r="AL399" s="103">
        <f t="shared" si="171"/>
        <v>0</v>
      </c>
      <c r="AM399" s="136"/>
      <c r="AN399" s="136"/>
      <c r="AO399" s="136"/>
      <c r="AP399" s="105">
        <f t="shared" si="172"/>
        <v>0</v>
      </c>
      <c r="AQ399" s="99"/>
      <c r="AR399" s="99"/>
      <c r="AS399" s="99"/>
      <c r="AT399" s="124"/>
      <c r="AU399" s="224">
        <f t="shared" si="173"/>
        <v>0</v>
      </c>
      <c r="AV399" s="126"/>
      <c r="AW399" s="274"/>
      <c r="AX399" s="126"/>
      <c r="AY399" s="126"/>
      <c r="AZ399" s="126"/>
      <c r="BA399" s="126"/>
      <c r="BB399" s="141"/>
      <c r="BC399" s="152"/>
      <c r="BD399" s="152"/>
      <c r="BE399" s="152"/>
      <c r="BF399" s="152"/>
      <c r="BG399" s="308">
        <f t="shared" si="174"/>
        <v>0</v>
      </c>
      <c r="BH399" s="140">
        <f t="shared" si="175"/>
        <v>0</v>
      </c>
      <c r="BI399" s="132"/>
      <c r="BJ399" s="140">
        <f t="shared" si="176"/>
        <v>0</v>
      </c>
      <c r="BK399" s="141"/>
      <c r="BL399" s="141"/>
      <c r="BM399" s="141"/>
      <c r="BN399" s="141"/>
      <c r="BO399" s="141"/>
      <c r="BP399" s="141"/>
      <c r="BQ399" s="141"/>
      <c r="BR399" s="141"/>
      <c r="BS399" s="141"/>
      <c r="BT399" s="141"/>
      <c r="BU399" s="141"/>
      <c r="BV399" s="141"/>
      <c r="BW399" s="141"/>
      <c r="BX399" s="1408">
        <f t="shared" si="177"/>
        <v>0</v>
      </c>
      <c r="BY399" s="132"/>
    </row>
    <row r="400" ht="15.75" customHeight="1">
      <c r="B400" s="1477">
        <v>46384</v>
      </c>
      <c r="C400" s="379"/>
      <c r="D400" s="136"/>
      <c r="E400" s="136"/>
      <c r="F400" s="136"/>
      <c r="G400" s="105">
        <f t="shared" si="169"/>
        <v>0</v>
      </c>
      <c r="H400" s="1469"/>
      <c r="I400" s="1470"/>
      <c r="J400" s="1470"/>
      <c r="K400" s="1470"/>
      <c r="L400" s="1470"/>
      <c r="M400" s="1470"/>
      <c r="N400" s="1470"/>
      <c r="O400" s="1470"/>
      <c r="P400" s="1470"/>
      <c r="Q400" s="1470"/>
      <c r="R400" s="1470"/>
      <c r="S400" s="1470"/>
      <c r="T400" s="1470"/>
      <c r="U400" s="1470"/>
      <c r="V400" s="1470"/>
      <c r="W400" s="1470"/>
      <c r="X400" s="103">
        <f t="shared" si="170"/>
        <v>0</v>
      </c>
      <c r="Y400" s="611"/>
      <c r="Z400" s="611"/>
      <c r="AA400" s="143"/>
      <c r="AB400" s="143"/>
      <c r="AC400" s="143"/>
      <c r="AD400" s="143"/>
      <c r="AE400" s="143"/>
      <c r="AF400" s="143"/>
      <c r="AG400" s="143"/>
      <c r="AH400" s="143"/>
      <c r="AI400" s="143"/>
      <c r="AJ400" s="143"/>
      <c r="AK400" s="143"/>
      <c r="AL400" s="103">
        <f t="shared" si="171"/>
        <v>0</v>
      </c>
      <c r="AM400" s="136"/>
      <c r="AN400" s="136"/>
      <c r="AO400" s="136"/>
      <c r="AP400" s="105">
        <f t="shared" si="172"/>
        <v>0</v>
      </c>
      <c r="AQ400" s="99"/>
      <c r="AR400" s="99"/>
      <c r="AS400" s="99"/>
      <c r="AT400" s="124"/>
      <c r="AU400" s="224">
        <f t="shared" si="173"/>
        <v>0</v>
      </c>
      <c r="AV400" s="126"/>
      <c r="AW400" s="274"/>
      <c r="AX400" s="126"/>
      <c r="AY400" s="126"/>
      <c r="AZ400" s="126"/>
      <c r="BA400" s="126"/>
      <c r="BB400" s="141"/>
      <c r="BC400" s="152"/>
      <c r="BD400" s="152"/>
      <c r="BE400" s="152"/>
      <c r="BF400" s="152"/>
      <c r="BG400" s="308">
        <f t="shared" si="174"/>
        <v>0</v>
      </c>
      <c r="BH400" s="140">
        <f t="shared" si="175"/>
        <v>0</v>
      </c>
      <c r="BI400" s="132"/>
      <c r="BJ400" s="140">
        <f t="shared" si="176"/>
        <v>0</v>
      </c>
      <c r="BK400" s="141"/>
      <c r="BL400" s="141"/>
      <c r="BM400" s="141"/>
      <c r="BN400" s="141"/>
      <c r="BO400" s="141"/>
      <c r="BP400" s="141"/>
      <c r="BQ400" s="141"/>
      <c r="BR400" s="141"/>
      <c r="BS400" s="141"/>
      <c r="BT400" s="141"/>
      <c r="BU400" s="141"/>
      <c r="BV400" s="141"/>
      <c r="BW400" s="141"/>
      <c r="BX400" s="1408">
        <f t="shared" si="177"/>
        <v>0</v>
      </c>
      <c r="BY400" s="132"/>
    </row>
    <row r="401" ht="15.75" customHeight="1">
      <c r="B401" s="1477">
        <v>46385</v>
      </c>
      <c r="C401" s="379"/>
      <c r="D401" s="136"/>
      <c r="E401" s="136"/>
      <c r="F401" s="136"/>
      <c r="G401" s="105">
        <f t="shared" si="169"/>
        <v>0</v>
      </c>
      <c r="H401" s="1474"/>
      <c r="I401" s="142"/>
      <c r="J401" s="1470"/>
      <c r="K401" s="1470"/>
      <c r="L401" s="1470"/>
      <c r="M401" s="1470"/>
      <c r="N401" s="1470"/>
      <c r="O401" s="1470"/>
      <c r="P401" s="1470"/>
      <c r="Q401" s="1470"/>
      <c r="R401" s="1470"/>
      <c r="S401" s="1470"/>
      <c r="T401" s="1470"/>
      <c r="U401" s="1470"/>
      <c r="V401" s="1470"/>
      <c r="W401" s="1470"/>
      <c r="X401" s="103">
        <f t="shared" si="170"/>
        <v>0</v>
      </c>
      <c r="Y401" s="611"/>
      <c r="Z401" s="611"/>
      <c r="AA401" s="143"/>
      <c r="AB401" s="143"/>
      <c r="AC401" s="143"/>
      <c r="AD401" s="143"/>
      <c r="AE401" s="143"/>
      <c r="AF401" s="143"/>
      <c r="AG401" s="143"/>
      <c r="AH401" s="143"/>
      <c r="AI401" s="143"/>
      <c r="AJ401" s="143"/>
      <c r="AK401" s="143"/>
      <c r="AL401" s="103">
        <f t="shared" si="171"/>
        <v>0</v>
      </c>
      <c r="AM401" s="136"/>
      <c r="AN401" s="136"/>
      <c r="AO401" s="136"/>
      <c r="AP401" s="105">
        <f t="shared" si="172"/>
        <v>0</v>
      </c>
      <c r="AQ401" s="99"/>
      <c r="AR401" s="99"/>
      <c r="AS401" s="99"/>
      <c r="AT401" s="124"/>
      <c r="AU401" s="224">
        <f t="shared" si="173"/>
        <v>0</v>
      </c>
      <c r="AV401" s="126"/>
      <c r="AW401" s="274"/>
      <c r="AX401" s="126"/>
      <c r="AY401" s="126"/>
      <c r="AZ401" s="126"/>
      <c r="BA401" s="126"/>
      <c r="BB401" s="141"/>
      <c r="BC401" s="152"/>
      <c r="BD401" s="152"/>
      <c r="BE401" s="152"/>
      <c r="BF401" s="152"/>
      <c r="BG401" s="308">
        <f t="shared" si="174"/>
        <v>0</v>
      </c>
      <c r="BH401" s="140">
        <f t="shared" si="175"/>
        <v>0</v>
      </c>
      <c r="BI401" s="132"/>
      <c r="BJ401" s="140">
        <f t="shared" si="176"/>
        <v>0</v>
      </c>
      <c r="BK401" s="141"/>
      <c r="BL401" s="141"/>
      <c r="BM401" s="141"/>
      <c r="BN401" s="141"/>
      <c r="BO401" s="141"/>
      <c r="BP401" s="141"/>
      <c r="BQ401" s="141"/>
      <c r="BR401" s="141"/>
      <c r="BS401" s="141"/>
      <c r="BT401" s="141"/>
      <c r="BU401" s="141"/>
      <c r="BV401" s="141"/>
      <c r="BW401" s="141"/>
      <c r="BX401" s="1408">
        <f t="shared" si="177"/>
        <v>0</v>
      </c>
      <c r="BY401" s="132"/>
    </row>
    <row r="402" ht="15.75" customHeight="1">
      <c r="B402" s="1477">
        <v>46386</v>
      </c>
      <c r="C402" s="379"/>
      <c r="D402" s="136"/>
      <c r="E402" s="136"/>
      <c r="F402" s="136"/>
      <c r="G402" s="105">
        <f t="shared" si="169"/>
        <v>0</v>
      </c>
      <c r="H402" s="1469"/>
      <c r="I402" s="1470"/>
      <c r="J402" s="1470"/>
      <c r="K402" s="1470"/>
      <c r="L402" s="1470"/>
      <c r="M402" s="1470"/>
      <c r="N402" s="1470"/>
      <c r="O402" s="1470"/>
      <c r="P402" s="1470"/>
      <c r="Q402" s="1470"/>
      <c r="R402" s="1470"/>
      <c r="S402" s="1470"/>
      <c r="T402" s="1470"/>
      <c r="U402" s="1470"/>
      <c r="V402" s="1470"/>
      <c r="W402" s="1470"/>
      <c r="X402" s="103">
        <f t="shared" si="170"/>
        <v>0</v>
      </c>
      <c r="AA402" s="143"/>
      <c r="AB402" s="143"/>
      <c r="AC402" s="143"/>
      <c r="AD402" s="143"/>
      <c r="AE402" s="143"/>
      <c r="AF402" s="143"/>
      <c r="AG402" s="143"/>
      <c r="AH402" s="143"/>
      <c r="AI402" s="143"/>
      <c r="AJ402" s="143"/>
      <c r="AK402" s="143"/>
      <c r="AL402" s="103">
        <f t="shared" si="171"/>
        <v>0</v>
      </c>
      <c r="AM402" s="136"/>
      <c r="AN402" s="136"/>
      <c r="AO402" s="136"/>
      <c r="AP402" s="105">
        <f t="shared" si="172"/>
        <v>0</v>
      </c>
      <c r="AQ402" s="99"/>
      <c r="AR402" s="99"/>
      <c r="AS402" s="99"/>
      <c r="AT402" s="124"/>
      <c r="AU402" s="224">
        <f t="shared" si="173"/>
        <v>0</v>
      </c>
      <c r="AV402" s="126"/>
      <c r="AW402" s="274"/>
      <c r="AX402" s="126"/>
      <c r="AY402" s="126"/>
      <c r="AZ402" s="126"/>
      <c r="BA402" s="126"/>
      <c r="BB402" s="141"/>
      <c r="BC402" s="152"/>
      <c r="BD402" s="152"/>
      <c r="BE402" s="152"/>
      <c r="BF402" s="152"/>
      <c r="BG402" s="308">
        <f t="shared" si="174"/>
        <v>0</v>
      </c>
      <c r="BH402" s="140">
        <f t="shared" si="175"/>
        <v>0</v>
      </c>
      <c r="BI402" s="132"/>
      <c r="BJ402" s="140">
        <f t="shared" si="176"/>
        <v>0</v>
      </c>
      <c r="BK402" s="141"/>
      <c r="BL402" s="141"/>
      <c r="BM402" s="141"/>
      <c r="BN402" s="141"/>
      <c r="BO402" s="141"/>
      <c r="BP402" s="141"/>
      <c r="BQ402" s="141"/>
      <c r="BR402" s="141"/>
      <c r="BS402" s="141"/>
      <c r="BT402" s="141"/>
      <c r="BU402" s="141"/>
      <c r="BV402" s="141"/>
      <c r="BW402" s="141"/>
      <c r="BX402" s="1408">
        <f t="shared" si="177"/>
        <v>0</v>
      </c>
      <c r="BY402" s="132"/>
    </row>
    <row r="403" ht="15.75" customHeight="1">
      <c r="B403" s="1477">
        <v>46387</v>
      </c>
      <c r="C403" s="379"/>
      <c r="D403" s="136"/>
      <c r="E403" s="136"/>
      <c r="F403" s="136"/>
      <c r="G403" s="105">
        <f t="shared" si="169"/>
        <v>0</v>
      </c>
      <c r="H403" s="143"/>
      <c r="I403" s="143"/>
      <c r="J403" s="1470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03">
        <f t="shared" si="170"/>
        <v>0</v>
      </c>
      <c r="Y403" s="826"/>
      <c r="Z403" s="826"/>
      <c r="AA403" s="143"/>
      <c r="AB403" s="143"/>
      <c r="AC403" s="143"/>
      <c r="AD403" s="143"/>
      <c r="AE403" s="143"/>
      <c r="AF403" s="143"/>
      <c r="AG403" s="143"/>
      <c r="AH403" s="143"/>
      <c r="AI403" s="143"/>
      <c r="AJ403" s="143"/>
      <c r="AK403" s="143"/>
      <c r="AL403" s="103">
        <f t="shared" si="171"/>
        <v>0</v>
      </c>
      <c r="AM403" s="136"/>
      <c r="AN403" s="136"/>
      <c r="AO403" s="136"/>
      <c r="AP403" s="105">
        <f t="shared" si="172"/>
        <v>0</v>
      </c>
      <c r="AQ403" s="99"/>
      <c r="AR403" s="99"/>
      <c r="AS403" s="99"/>
      <c r="AT403" s="124"/>
      <c r="AU403" s="232">
        <f t="shared" si="173"/>
        <v>0</v>
      </c>
      <c r="AV403" s="138"/>
      <c r="AW403" s="296"/>
      <c r="AX403" s="138"/>
      <c r="AY403" s="138"/>
      <c r="AZ403" s="138"/>
      <c r="BA403" s="138"/>
      <c r="BB403" s="163"/>
      <c r="BC403" s="879"/>
      <c r="BD403" s="879"/>
      <c r="BE403" s="879"/>
      <c r="BF403" s="879"/>
      <c r="BG403" s="308">
        <f t="shared" si="174"/>
        <v>0</v>
      </c>
      <c r="BH403" s="140">
        <f t="shared" si="175"/>
        <v>0</v>
      </c>
      <c r="BI403" s="132"/>
      <c r="BJ403" s="140">
        <f t="shared" si="176"/>
        <v>0</v>
      </c>
      <c r="BK403" s="141"/>
      <c r="BL403" s="141"/>
      <c r="BM403" s="141"/>
      <c r="BN403" s="141"/>
      <c r="BO403" s="141"/>
      <c r="BP403" s="141"/>
      <c r="BQ403" s="141"/>
      <c r="BR403" s="141"/>
      <c r="BS403" s="141"/>
      <c r="BT403" s="163"/>
      <c r="BU403" s="163"/>
      <c r="BV403" s="163"/>
      <c r="BW403" s="163"/>
      <c r="BX403" s="1408">
        <f t="shared" si="177"/>
        <v>0</v>
      </c>
      <c r="BY403" s="132"/>
    </row>
    <row r="404" ht="15.75" customHeight="1">
      <c r="B404" s="2" t="s">
        <v>86</v>
      </c>
      <c r="C404" s="166">
        <f ref="C404:O404" t="shared" si="178">SUM(C373:C403)</f>
        <v>0</v>
      </c>
      <c r="D404" s="166">
        <f t="shared" si="178"/>
        <v>0</v>
      </c>
      <c r="E404" s="166">
        <f t="shared" si="178"/>
        <v>0</v>
      </c>
      <c r="F404" s="166">
        <f t="shared" si="178"/>
        <v>0</v>
      </c>
      <c r="G404" s="166">
        <f t="shared" si="178"/>
        <v>0</v>
      </c>
      <c r="H404" s="166">
        <f t="shared" si="178"/>
        <v>0</v>
      </c>
      <c r="I404" s="166">
        <f t="shared" si="178"/>
        <v>0</v>
      </c>
      <c r="J404" s="166">
        <f t="shared" si="178"/>
        <v>0</v>
      </c>
      <c r="K404" s="166">
        <f t="shared" si="178"/>
        <v>0</v>
      </c>
      <c r="L404" s="166">
        <f t="shared" si="178"/>
        <v>0</v>
      </c>
      <c r="M404" s="166">
        <f t="shared" si="178"/>
        <v>0</v>
      </c>
      <c r="N404" s="166">
        <f t="shared" si="178"/>
        <v>0</v>
      </c>
      <c r="O404" s="166">
        <f t="shared" si="178"/>
        <v>0</v>
      </c>
      <c r="P404" s="166"/>
      <c r="Q404" s="166">
        <f>SUM(Q373:Q403)</f>
        <v>0</v>
      </c>
      <c r="R404" s="166"/>
      <c r="S404" s="166">
        <f ref="S404:V404" t="shared" si="179">SUM(S373:S403)</f>
        <v>0</v>
      </c>
      <c r="T404" s="166">
        <f t="shared" si="179"/>
        <v>0</v>
      </c>
      <c r="U404" s="166">
        <f t="shared" si="179"/>
        <v>0</v>
      </c>
      <c r="V404" s="166">
        <f t="shared" si="179"/>
        <v>0</v>
      </c>
      <c r="W404" s="166"/>
      <c r="X404" s="166">
        <f ref="X404:Y404" t="shared" si="180">SUM(X373:X403)</f>
        <v>0</v>
      </c>
      <c r="Y404" s="166">
        <f t="shared" si="180"/>
        <v>0</v>
      </c>
      <c r="Z404" s="166"/>
      <c r="AA404" s="166">
        <f ref="AA404:BH404" t="shared" si="181">SUM(AA373:AA403)</f>
        <v>0</v>
      </c>
      <c r="AB404" s="166">
        <f t="shared" si="181"/>
        <v>0</v>
      </c>
      <c r="AC404" s="166">
        <f t="shared" si="181"/>
        <v>0</v>
      </c>
      <c r="AD404" s="166">
        <f t="shared" si="181"/>
        <v>0</v>
      </c>
      <c r="AE404" s="166">
        <f t="shared" si="181"/>
        <v>0</v>
      </c>
      <c r="AF404" s="166">
        <f t="shared" si="181"/>
        <v>0</v>
      </c>
      <c r="AG404" s="166">
        <f t="shared" si="181"/>
        <v>0</v>
      </c>
      <c r="AH404" s="166">
        <f t="shared" si="181"/>
        <v>0</v>
      </c>
      <c r="AI404" s="166">
        <f t="shared" si="181"/>
        <v>0</v>
      </c>
      <c r="AJ404" s="166">
        <f t="shared" si="181"/>
        <v>0</v>
      </c>
      <c r="AK404" s="166">
        <f t="shared" si="181"/>
        <v>0</v>
      </c>
      <c r="AL404" s="166">
        <f t="shared" si="181"/>
        <v>0</v>
      </c>
      <c r="AM404" s="166">
        <f t="shared" si="181"/>
        <v>0</v>
      </c>
      <c r="AN404" s="166">
        <f t="shared" si="181"/>
        <v>0</v>
      </c>
      <c r="AO404" s="166">
        <f t="shared" si="181"/>
        <v>0</v>
      </c>
      <c r="AP404" s="166">
        <f t="shared" si="181"/>
        <v>0</v>
      </c>
      <c r="AQ404" s="166">
        <f t="shared" si="181"/>
        <v>0</v>
      </c>
      <c r="AR404" s="166">
        <f t="shared" si="181"/>
        <v>0</v>
      </c>
      <c r="AS404" s="166">
        <f t="shared" si="181"/>
        <v>0</v>
      </c>
      <c r="AT404" s="166">
        <f t="shared" si="181"/>
        <v>0</v>
      </c>
      <c r="AU404" s="165">
        <f t="shared" si="181"/>
        <v>0</v>
      </c>
      <c r="AV404" s="165">
        <f t="shared" si="181"/>
        <v>0</v>
      </c>
      <c r="AW404" s="166">
        <f t="shared" si="181"/>
        <v>0</v>
      </c>
      <c r="AX404" s="166">
        <f t="shared" si="181"/>
        <v>0</v>
      </c>
      <c r="AY404" s="166">
        <f t="shared" si="181"/>
        <v>0</v>
      </c>
      <c r="AZ404" s="166">
        <f t="shared" si="181"/>
        <v>0</v>
      </c>
      <c r="BA404" s="166">
        <f t="shared" si="181"/>
        <v>0</v>
      </c>
      <c r="BB404" s="166">
        <f t="shared" si="181"/>
        <v>0</v>
      </c>
      <c r="BC404" s="166">
        <f t="shared" si="181"/>
        <v>0</v>
      </c>
      <c r="BD404" s="166">
        <f t="shared" si="181"/>
        <v>0</v>
      </c>
      <c r="BE404" s="166">
        <f t="shared" si="181"/>
        <v>0</v>
      </c>
      <c r="BF404" s="166">
        <f t="shared" si="181"/>
        <v>0</v>
      </c>
      <c r="BG404" s="166">
        <f t="shared" si="181"/>
        <v>0</v>
      </c>
      <c r="BH404" s="166">
        <f t="shared" si="181"/>
        <v>0</v>
      </c>
      <c r="BI404" s="3"/>
      <c r="BJ404" s="172">
        <f ref="BJ404:BX404" t="shared" si="182">SUM(BJ373:BJ403)</f>
        <v>0</v>
      </c>
      <c r="BK404" s="165">
        <f t="shared" si="182"/>
        <v>0</v>
      </c>
      <c r="BL404" s="165">
        <f t="shared" si="182"/>
        <v>0</v>
      </c>
      <c r="BM404" s="165">
        <f t="shared" si="182"/>
        <v>0</v>
      </c>
      <c r="BN404" s="165">
        <f t="shared" si="182"/>
        <v>0</v>
      </c>
      <c r="BO404" s="165">
        <f t="shared" si="182"/>
        <v>0</v>
      </c>
      <c r="BP404" s="165">
        <f t="shared" si="182"/>
        <v>0</v>
      </c>
      <c r="BQ404" s="165">
        <f t="shared" si="182"/>
        <v>0</v>
      </c>
      <c r="BR404" s="165">
        <f t="shared" si="182"/>
        <v>0</v>
      </c>
      <c r="BS404" s="165">
        <f t="shared" si="182"/>
        <v>0</v>
      </c>
      <c r="BT404" s="165">
        <f t="shared" si="182"/>
        <v>0</v>
      </c>
      <c r="BU404" s="165">
        <f t="shared" si="182"/>
        <v>0</v>
      </c>
      <c r="BV404" s="165">
        <f t="shared" si="182"/>
        <v>0</v>
      </c>
      <c r="BW404" s="165">
        <f t="shared" si="182"/>
        <v>0</v>
      </c>
      <c r="BX404" s="165">
        <f t="shared" si="182"/>
        <v>0</v>
      </c>
      <c r="BY404" s="3"/>
    </row>
    <row r="405" ht="15.75" customHeight="1">
      <c r="B405" s="2"/>
      <c r="C405" s="1482"/>
      <c r="Y405" s="1482"/>
      <c r="Z405" s="1482"/>
    </row>
  </sheetData>
  <pageMargins left="0.7" right="0.7" top="0.75" bottom="0.75" header="0" footer="0"/>
  <pageSetup orientation="portrait"/>
  <headerFooter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BD407"/>
  <sheetViews>
    <sheetView showGridLines="0" zoomScale="37" zoomScaleNormal="37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A144" sqref="BA144"/>
    </sheetView>
  </sheetViews>
  <sheetFormatPr baseColWidth="10" defaultColWidth="14.42578125" defaultRowHeight="15" customHeight="1" x14ac:dyDescent="0.25"/>
  <cols>
    <col min="1" max="1" width="2.140625" customWidth="1"/>
    <col min="2" max="2" width="15.42578125" customWidth="1"/>
    <col min="3" max="3" width="13.42578125" customWidth="1"/>
    <col min="4" max="4" hidden="1" width="13.42578125" customWidth="1"/>
    <col min="5" max="5" hidden="1" width="12.42578125" customWidth="1"/>
    <col min="6" max="6" width="13.85546875" customWidth="1"/>
    <col min="7" max="8" width="13.42578125" customWidth="1"/>
    <col min="9" max="9" width="11.7109375" customWidth="1"/>
    <col min="10" max="10" width="13.7109375" customWidth="1"/>
    <col min="11" max="11" width="11.7109375" customWidth="1"/>
    <col min="12" max="12" width="13.7109375" customWidth="1"/>
    <col min="13" max="13" width="18" customWidth="1"/>
    <col min="14" max="14" width="17.42578125" customWidth="1"/>
    <col min="15" max="23" hidden="1" width="12.7109375" customWidth="1"/>
    <col min="24" max="24" width="16.85546875" customWidth="1"/>
    <col min="25" max="25" width="16.42578125" customWidth="1"/>
    <col min="26" max="26" width="12" customWidth="1"/>
    <col min="27" max="27" width="12.85546875" customWidth="1"/>
    <col min="28" max="28" hidden="1" width="12.85546875" customWidth="1"/>
    <col min="29" max="29" width="12.5703125" customWidth="1"/>
    <col min="30" max="30" width="16.42578125" customWidth="1"/>
    <col min="31" max="31" width="12.7109375" customWidth="1"/>
    <col min="32" max="32" width="12.140625" customWidth="1"/>
    <col min="33" max="33" width="12.7109375" customWidth="1"/>
    <col min="34" max="34" width="13.140625" customWidth="1"/>
    <col min="35" max="36" width="11.85546875" customWidth="1"/>
    <col min="38" max="43" hidden="1" width="11.85546875" customWidth="1"/>
    <col min="44" max="44" hidden="1" width="13.42578125" customWidth="1"/>
    <col min="45" max="45" width="11.85546875" customWidth="1"/>
    <col min="46" max="46" width="13" customWidth="1"/>
    <col min="47" max="47" width="16.42578125" customWidth="1"/>
    <col min="48" max="48" width="6.28515625" customWidth="1"/>
    <col min="49" max="49" width="11.42578125" customWidth="1"/>
    <col min="50" max="50" width="12.7109375" customWidth="1"/>
    <col min="51" max="51" width="11.42578125" customWidth="1"/>
    <col min="52" max="54" width="12.7109375" customWidth="1"/>
    <col min="55" max="55" width="11.42578125" customWidth="1"/>
    <col min="56" max="56" width="3.42578125" customWidth="1"/>
  </cols>
  <sheetData>
    <row r="1" ht="7.5" customHeight="1">
      <c r="A1" s="1"/>
      <c r="B1" s="1495"/>
      <c r="C1" s="3"/>
      <c r="D1" s="3"/>
      <c r="E1" s="3"/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3"/>
      <c r="AF1" s="3"/>
      <c r="AG1" s="3"/>
      <c r="AH1" s="4"/>
      <c r="AI1" s="132"/>
      <c r="AJ1" s="132"/>
      <c r="AK1" s="132"/>
      <c r="AL1" s="3"/>
      <c r="AM1" s="3"/>
      <c r="AN1" s="3"/>
      <c r="AO1" s="132"/>
      <c r="AP1" s="132"/>
      <c r="AQ1" s="132"/>
      <c r="AR1" s="132"/>
      <c r="AS1" s="132"/>
      <c r="AT1" s="4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ht="12.75" customHeight="1">
      <c r="A2" s="14"/>
      <c r="B2" s="1496" t="s">
        <v>303</v>
      </c>
      <c r="C2" s="14"/>
      <c r="D2" s="14"/>
      <c r="E2" s="14"/>
      <c r="F2" s="14"/>
      <c r="G2" s="15"/>
      <c r="H2" s="15"/>
      <c r="I2" s="15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6"/>
      <c r="AE2" s="16"/>
      <c r="AF2" s="16"/>
      <c r="AG2" s="16"/>
      <c r="AH2" s="16"/>
      <c r="AI2" s="1389"/>
      <c r="AJ2" s="1389"/>
      <c r="AK2" s="1389"/>
      <c r="AL2" s="16"/>
      <c r="AM2" s="16"/>
      <c r="AN2" s="16"/>
      <c r="AO2" s="14"/>
      <c r="AP2" s="14"/>
      <c r="AQ2" s="14"/>
      <c r="AR2" s="14"/>
      <c r="AS2" s="14"/>
      <c r="AT2" s="16"/>
      <c r="AU2" s="14"/>
      <c r="AV2" s="14"/>
      <c r="AW2" s="14"/>
      <c r="AX2" s="14"/>
      <c r="AY2" s="14"/>
      <c r="AZ2" s="14"/>
      <c r="BA2" s="14"/>
      <c r="BB2" s="14"/>
      <c r="BC2" s="14"/>
      <c r="BD2" s="14"/>
    </row>
    <row r="3" ht="12" customHeight="1">
      <c r="A3" s="313"/>
      <c r="B3" s="1497"/>
      <c r="C3" s="315" t="s">
        <v>304</v>
      </c>
      <c r="D3" s="313"/>
      <c r="E3" s="313"/>
      <c r="F3" s="313"/>
      <c r="G3" s="316"/>
      <c r="H3" s="316"/>
      <c r="I3" s="316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13"/>
      <c r="AP3" s="313"/>
      <c r="AQ3" s="313"/>
      <c r="AR3" s="313"/>
      <c r="AS3" s="313"/>
      <c r="AT3" s="3"/>
      <c r="AU3" s="313"/>
      <c r="AV3" s="313"/>
      <c r="AW3" s="313" t="s">
        <v>3</v>
      </c>
      <c r="AX3" s="313"/>
      <c r="AY3" s="313"/>
      <c r="AZ3" s="313"/>
      <c r="BA3" s="313"/>
      <c r="BB3" s="313"/>
      <c r="BC3" s="313"/>
      <c r="BD3" s="313"/>
    </row>
    <row r="4" ht="7.5" customHeight="1">
      <c r="A4" s="3"/>
      <c r="B4" s="1498"/>
      <c r="C4" s="3"/>
      <c r="D4" s="3"/>
      <c r="E4" s="3"/>
      <c r="F4" s="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693"/>
      <c r="V4" s="693"/>
      <c r="W4" s="693"/>
      <c r="X4" s="693"/>
      <c r="Y4" s="693"/>
      <c r="Z4" s="25" t="s">
        <v>4</v>
      </c>
      <c r="AA4" s="3"/>
      <c r="AB4" s="3"/>
      <c r="AC4" s="3"/>
      <c r="AD4" s="695" t="s">
        <v>5</v>
      </c>
      <c r="AE4" s="693"/>
      <c r="AF4" s="693"/>
      <c r="AG4" s="693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3"/>
      <c r="AY4" s="3"/>
      <c r="AZ4" s="3"/>
      <c r="BA4" s="3"/>
      <c r="BB4" s="3"/>
      <c r="BC4" s="175"/>
      <c r="BD4" s="3"/>
    </row>
    <row r="5" ht="13.5" customHeight="1">
      <c r="A5" s="33"/>
      <c r="B5" s="1499" t="s">
        <v>6</v>
      </c>
      <c r="C5" s="566">
        <f>939.13-0-0</f>
      </c>
      <c r="D5" s="566" t="s">
        <v>7</v>
      </c>
      <c r="E5" s="567" t="s">
        <v>8</v>
      </c>
      <c r="F5" s="568" t="s">
        <v>9</v>
      </c>
      <c r="G5" s="61" t="s">
        <v>8</v>
      </c>
      <c r="H5" s="570" t="s">
        <v>10</v>
      </c>
      <c r="I5" s="571" t="s">
        <v>10</v>
      </c>
      <c r="J5" s="571" t="s">
        <v>10</v>
      </c>
      <c r="K5" s="571" t="s">
        <v>10</v>
      </c>
      <c r="L5" s="571" t="s">
        <v>10</v>
      </c>
      <c r="M5" s="571" t="s">
        <v>11</v>
      </c>
      <c r="N5" s="571" t="s">
        <v>12</v>
      </c>
      <c r="O5" s="571" t="s">
        <v>12</v>
      </c>
      <c r="P5" s="571" t="s">
        <v>12</v>
      </c>
      <c r="Q5" s="571" t="s">
        <v>12</v>
      </c>
      <c r="R5" s="571" t="s">
        <v>12</v>
      </c>
      <c r="S5" s="571" t="s">
        <v>12</v>
      </c>
      <c r="T5" s="571" t="s">
        <v>12</v>
      </c>
      <c r="U5" s="571" t="s">
        <v>12</v>
      </c>
      <c r="V5" s="571" t="s">
        <v>12</v>
      </c>
      <c r="W5" s="571" t="s">
        <v>12</v>
      </c>
      <c r="X5" s="571" t="s">
        <v>12</v>
      </c>
      <c r="Y5" s="708" t="s">
        <v>12</v>
      </c>
      <c r="Z5" s="709" t="s">
        <v>12</v>
      </c>
      <c r="AA5" s="572">
        <v>156.58</v>
      </c>
      <c r="AB5" s="573" t="s">
        <v>13</v>
      </c>
      <c r="AC5" s="573" t="s">
        <v>13</v>
      </c>
      <c r="AD5" s="605" t="s">
        <v>14</v>
      </c>
      <c r="AE5" s="574" t="s">
        <v>15</v>
      </c>
      <c r="AF5" s="574" t="s">
        <v>15</v>
      </c>
      <c r="AG5" s="576" t="s">
        <v>16</v>
      </c>
      <c r="AH5" s="51" t="s">
        <v>4</v>
      </c>
      <c r="AI5" s="62" t="s">
        <v>17</v>
      </c>
      <c r="AJ5" s="883" t="s">
        <v>17</v>
      </c>
      <c r="AK5" s="59" t="s">
        <v>20</v>
      </c>
      <c r="AL5" s="59" t="s">
        <v>20</v>
      </c>
      <c r="AM5" s="59" t="s">
        <v>20</v>
      </c>
      <c r="AN5" s="59" t="s">
        <v>20</v>
      </c>
      <c r="AO5" s="715" t="s">
        <v>20</v>
      </c>
      <c r="AP5" s="715" t="s">
        <v>20</v>
      </c>
      <c r="AQ5" s="715" t="s">
        <v>21</v>
      </c>
      <c r="AR5" s="59" t="s">
        <v>22</v>
      </c>
      <c r="AS5" s="59" t="s">
        <v>24</v>
      </c>
      <c r="AT5" s="1500" t="s">
        <v>5</v>
      </c>
      <c r="AU5" s="58" t="s">
        <v>25</v>
      </c>
      <c r="AV5" s="33"/>
      <c r="AW5" s="58" t="s">
        <v>4</v>
      </c>
      <c r="AX5" s="59" t="s">
        <v>26</v>
      </c>
      <c r="AY5" s="59" t="s">
        <v>89</v>
      </c>
      <c r="AZ5" s="59" t="s">
        <v>27</v>
      </c>
      <c r="BA5" s="59" t="s">
        <v>28</v>
      </c>
      <c r="BB5" s="59" t="s">
        <v>28</v>
      </c>
      <c r="BC5" s="60" t="s">
        <v>29</v>
      </c>
      <c r="BD5" s="33"/>
    </row>
    <row r="6" ht="13.5" customHeight="1">
      <c r="A6" s="33"/>
      <c r="B6" s="1501"/>
      <c r="C6" s="584" t="s">
        <v>30</v>
      </c>
      <c r="D6" s="584" t="s">
        <v>31</v>
      </c>
      <c r="E6" s="585" t="s">
        <v>32</v>
      </c>
      <c r="F6" s="586" t="s">
        <v>33</v>
      </c>
      <c r="G6" s="92" t="s">
        <v>34</v>
      </c>
      <c r="H6" s="588" t="s">
        <v>305</v>
      </c>
      <c r="I6" s="588" t="s">
        <v>282</v>
      </c>
      <c r="J6" s="588" t="s">
        <v>179</v>
      </c>
      <c r="K6" s="588" t="s">
        <v>106</v>
      </c>
      <c r="L6" s="588" t="s">
        <v>190</v>
      </c>
      <c r="M6" s="595" t="s">
        <v>48</v>
      </c>
      <c r="N6" s="1502" t="s">
        <v>306</v>
      </c>
      <c r="O6" s="733" t="s">
        <v>75</v>
      </c>
      <c r="P6" s="733" t="s">
        <v>52</v>
      </c>
      <c r="Q6" s="733" t="s">
        <v>53</v>
      </c>
      <c r="R6" s="733" t="s">
        <v>54</v>
      </c>
      <c r="S6" s="733" t="s">
        <v>55</v>
      </c>
      <c r="T6" s="733" t="s">
        <v>56</v>
      </c>
      <c r="U6" s="733" t="s">
        <v>57</v>
      </c>
      <c r="V6" s="733" t="s">
        <v>58</v>
      </c>
      <c r="W6" s="733" t="s">
        <v>59</v>
      </c>
      <c r="X6" s="733" t="s">
        <v>307</v>
      </c>
      <c r="Y6" s="733" t="s">
        <v>308</v>
      </c>
      <c r="Z6" s="595" t="s">
        <v>30</v>
      </c>
      <c r="AA6" s="599" t="s">
        <v>30</v>
      </c>
      <c r="AB6" s="600" t="s">
        <v>31</v>
      </c>
      <c r="AC6" s="600" t="s">
        <v>32</v>
      </c>
      <c r="AD6" s="90" t="s">
        <v>34</v>
      </c>
      <c r="AE6" s="601" t="s">
        <v>48</v>
      </c>
      <c r="AF6" s="601" t="s">
        <v>31</v>
      </c>
      <c r="AG6" s="603" t="s">
        <v>60</v>
      </c>
      <c r="AH6" s="1503" t="s">
        <v>61</v>
      </c>
      <c r="AI6" s="1504" t="s">
        <v>62</v>
      </c>
      <c r="AJ6" s="888" t="s">
        <v>65</v>
      </c>
      <c r="AK6" s="90" t="s">
        <v>158</v>
      </c>
      <c r="AL6" s="90" t="s">
        <v>66</v>
      </c>
      <c r="AM6" s="90" t="s">
        <v>67</v>
      </c>
      <c r="AN6" s="90" t="s">
        <v>68</v>
      </c>
      <c r="AO6" s="1345" t="s">
        <v>31</v>
      </c>
      <c r="AP6" s="1345" t="s">
        <v>32</v>
      </c>
      <c r="AQ6" s="1345" t="s">
        <v>32</v>
      </c>
      <c r="AR6" s="90"/>
      <c r="AS6" s="90" t="s">
        <v>69</v>
      </c>
      <c r="AT6" s="1505" t="s">
        <v>70</v>
      </c>
      <c r="AU6" s="89" t="s">
        <v>71</v>
      </c>
      <c r="AV6" s="33"/>
      <c r="AW6" s="89" t="s">
        <v>72</v>
      </c>
      <c r="AX6" s="90"/>
      <c r="AY6" s="90" t="s">
        <v>125</v>
      </c>
      <c r="AZ6" s="90" t="s">
        <v>73</v>
      </c>
      <c r="BA6" s="90" t="s">
        <v>74</v>
      </c>
      <c r="BB6" s="90">
        <v>2</v>
      </c>
      <c r="BC6" s="91"/>
      <c r="BD6" s="33"/>
    </row>
    <row r="7" ht="14.25" customHeight="1">
      <c r="A7" s="3"/>
      <c r="B7" s="1506">
        <v>46023</v>
      </c>
      <c r="C7" s="896">
        <f>12350.94-0-0</f>
      </c>
      <c r="D7" s="104"/>
      <c r="E7" s="97"/>
      <c r="F7" s="97"/>
      <c r="G7" s="147">
        <f ref="G7:G37" t="shared" si="0">+C7+D7+E7+F7</f>
        <v>0</v>
      </c>
      <c r="H7" s="1048"/>
      <c r="I7" s="186"/>
      <c r="J7" s="186"/>
      <c r="K7" s="186"/>
      <c r="L7" s="894"/>
      <c r="M7" s="103">
        <f ref="M7:M37" t="shared" si="1">SUM(H7:L7)</f>
        <v>0</v>
      </c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03">
        <f ref="Z7:Z37" t="shared" si="2">SUM(N7:Y7)</f>
        <v>0</v>
      </c>
      <c r="AA7" s="983">
        <v>1714.54</v>
      </c>
      <c r="AB7" s="104"/>
      <c r="AC7" s="104"/>
      <c r="AD7" s="105">
        <f ref="AD7:AD37" t="shared" si="3">SUM(AA7:AC7)</f>
        <v>0</v>
      </c>
      <c r="AE7" s="1148"/>
      <c r="AF7" s="186"/>
      <c r="AG7" s="1507"/>
      <c r="AH7" s="1508">
        <f ref="AH7:AH37" t="shared" si="4">+G7-M7-Z7-AD7-AE7-AF7-AG7</f>
        <v>0</v>
      </c>
      <c r="AI7" s="1905">
        <v>10636.4</v>
      </c>
      <c r="AJ7" s="1708"/>
      <c r="AK7" s="1906"/>
      <c r="AL7" s="1537"/>
      <c r="AM7" s="1546"/>
      <c r="AN7" s="1546"/>
      <c r="AO7" s="1537"/>
      <c r="AP7" s="1708"/>
      <c r="AQ7" s="1708"/>
      <c r="AR7" s="1708"/>
      <c r="AS7" s="1708"/>
      <c r="AT7" s="222">
        <f ref="AT7:AT37" t="shared" si="5">SUM(AI7:AS7)-AR7</f>
        <v>0</v>
      </c>
      <c r="AU7" s="114">
        <f ref="AU7:AU37" t="shared" si="6">+AH7-AT7</f>
        <v>0</v>
      </c>
      <c r="AV7" s="3"/>
      <c r="AW7" s="114">
        <f ref="AW7:AW37" t="shared" si="7">SUM(AX7:BB7)</f>
        <v>0</v>
      </c>
      <c r="AX7" s="115"/>
      <c r="AY7" s="115"/>
      <c r="AZ7" s="898"/>
      <c r="BA7" s="899"/>
      <c r="BB7" s="899"/>
      <c r="BC7" s="116">
        <f ref="BC7:BC37" t="shared" si="8">+AU7-AW7</f>
        <v>0</v>
      </c>
      <c r="BD7" s="3"/>
    </row>
    <row r="8" ht="14.25" customHeight="1">
      <c r="A8" s="3"/>
      <c r="B8" s="1506">
        <v>46024</v>
      </c>
      <c r="C8" s="906"/>
      <c r="D8" s="123"/>
      <c r="E8" s="120"/>
      <c r="F8" s="120"/>
      <c r="G8" s="147">
        <f t="shared" si="0"/>
        <v>0</v>
      </c>
      <c r="H8" s="1059"/>
      <c r="I8" s="143"/>
      <c r="J8" s="143"/>
      <c r="K8" s="143"/>
      <c r="L8" s="992"/>
      <c r="M8" s="103">
        <f t="shared" si="1"/>
        <v>0</v>
      </c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03">
        <f t="shared" si="2"/>
        <v>0</v>
      </c>
      <c r="AA8" s="906"/>
      <c r="AB8" s="123"/>
      <c r="AC8" s="123"/>
      <c r="AD8" s="105">
        <f t="shared" si="3"/>
        <v>0</v>
      </c>
      <c r="AE8" s="905"/>
      <c r="AF8" s="143"/>
      <c r="AG8" s="1509"/>
      <c r="AH8" s="1510">
        <f t="shared" si="4"/>
        <v>0</v>
      </c>
      <c r="AI8" s="1907"/>
      <c r="AJ8" s="1709"/>
      <c r="AK8" s="1908"/>
      <c r="AL8" s="1546"/>
      <c r="AM8" s="1546"/>
      <c r="AN8" s="1546"/>
      <c r="AO8" s="1546"/>
      <c r="AP8" s="1709"/>
      <c r="AQ8" s="1709"/>
      <c r="AR8" s="1709"/>
      <c r="AS8" s="1709"/>
      <c r="AT8" s="222">
        <f t="shared" si="5"/>
        <v>0</v>
      </c>
      <c r="AU8" s="113">
        <f t="shared" si="6"/>
        <v>0</v>
      </c>
      <c r="AV8" s="3"/>
      <c r="AW8" s="113">
        <f t="shared" si="7"/>
        <v>0</v>
      </c>
      <c r="AX8" s="129"/>
      <c r="AY8" s="129"/>
      <c r="AZ8" s="908"/>
      <c r="BA8" s="909"/>
      <c r="BB8" s="909"/>
      <c r="BC8" s="130">
        <f t="shared" si="8"/>
        <v>0</v>
      </c>
      <c r="BD8" s="3"/>
    </row>
    <row r="9" ht="14.25" customHeight="1">
      <c r="A9" s="3"/>
      <c r="B9" s="1506">
        <v>46025</v>
      </c>
      <c r="C9" s="906">
        <f>13860.53-0-0</f>
      </c>
      <c r="D9" s="123"/>
      <c r="E9" s="120"/>
      <c r="F9" s="120"/>
      <c r="G9" s="147">
        <f t="shared" si="0"/>
        <v>0</v>
      </c>
      <c r="H9" s="1150"/>
      <c r="I9" s="143"/>
      <c r="J9" s="143"/>
      <c r="K9" s="143"/>
      <c r="L9" s="905"/>
      <c r="M9" s="103">
        <f t="shared" si="1"/>
        <v>0</v>
      </c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03">
        <f t="shared" si="2"/>
        <v>0</v>
      </c>
      <c r="AA9" s="911">
        <v>2455.4</v>
      </c>
      <c r="AB9" s="123"/>
      <c r="AC9" s="123"/>
      <c r="AD9" s="105">
        <f t="shared" si="3"/>
        <v>0</v>
      </c>
      <c r="AE9" s="992">
        <v>30</v>
      </c>
      <c r="AF9" s="143"/>
      <c r="AG9" s="1509"/>
      <c r="AH9" s="1510">
        <f t="shared" si="4"/>
        <v>0</v>
      </c>
      <c r="AI9" s="1907">
        <v>11375.1</v>
      </c>
      <c r="AJ9" s="1709"/>
      <c r="AK9" s="1908"/>
      <c r="AL9" s="1546"/>
      <c r="AM9" s="1546"/>
      <c r="AN9" s="1546"/>
      <c r="AO9" s="1546"/>
      <c r="AP9" s="1709"/>
      <c r="AQ9" s="1709"/>
      <c r="AR9" s="1709"/>
      <c r="AS9" s="1709"/>
      <c r="AT9" s="222">
        <f t="shared" si="5"/>
        <v>0</v>
      </c>
      <c r="AU9" s="113">
        <f t="shared" si="6"/>
        <v>0</v>
      </c>
      <c r="AV9" s="3"/>
      <c r="AW9" s="113">
        <f t="shared" si="7"/>
        <v>0</v>
      </c>
      <c r="AX9" s="129"/>
      <c r="AY9" s="129"/>
      <c r="AZ9" s="908"/>
      <c r="BA9" s="1511"/>
      <c r="BB9" s="909"/>
      <c r="BC9" s="130">
        <f t="shared" si="8"/>
        <v>0</v>
      </c>
      <c r="BD9" s="3"/>
    </row>
    <row r="10" ht="14.25" customHeight="1">
      <c r="A10" s="3"/>
      <c r="B10" s="1506">
        <v>46026</v>
      </c>
      <c r="C10" s="906">
        <f>15754.67-0-0</f>
      </c>
      <c r="D10" s="123"/>
      <c r="E10" s="120"/>
      <c r="F10" s="120"/>
      <c r="G10" s="147">
        <f t="shared" si="0"/>
        <v>0</v>
      </c>
      <c r="H10" s="1150"/>
      <c r="I10" s="143"/>
      <c r="J10" s="143"/>
      <c r="K10" s="143"/>
      <c r="L10" s="905"/>
      <c r="M10" s="103">
        <f t="shared" si="1"/>
        <v>0</v>
      </c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03">
        <f t="shared" si="2"/>
        <v>0</v>
      </c>
      <c r="AA10" s="911">
        <v>2345.5</v>
      </c>
      <c r="AB10" s="123"/>
      <c r="AC10" s="123"/>
      <c r="AD10" s="105">
        <f t="shared" si="3"/>
        <v>0</v>
      </c>
      <c r="AE10" s="987">
        <v>20</v>
      </c>
      <c r="AF10" s="143"/>
      <c r="AG10" s="1509"/>
      <c r="AH10" s="1510">
        <f t="shared" si="4"/>
        <v>0</v>
      </c>
      <c r="AI10" s="1907">
        <v>13389.2</v>
      </c>
      <c r="AJ10" s="1709"/>
      <c r="AK10" s="1909"/>
      <c r="AL10" s="1546"/>
      <c r="AM10" s="1546"/>
      <c r="AN10" s="1546"/>
      <c r="AO10" s="1546"/>
      <c r="AP10" s="1709"/>
      <c r="AQ10" s="1709"/>
      <c r="AR10" s="1709"/>
      <c r="AS10" s="1709"/>
      <c r="AT10" s="222">
        <f t="shared" si="5"/>
        <v>0</v>
      </c>
      <c r="AU10" s="113">
        <f t="shared" si="6"/>
        <v>0</v>
      </c>
      <c r="AV10" s="3"/>
      <c r="AW10" s="113">
        <f t="shared" si="7"/>
        <v>0</v>
      </c>
      <c r="AX10" s="129"/>
      <c r="AY10" s="129"/>
      <c r="AZ10" s="908"/>
      <c r="BA10" s="909"/>
      <c r="BB10" s="909"/>
      <c r="BC10" s="130">
        <f t="shared" si="8"/>
        <v>0</v>
      </c>
      <c r="BD10" s="3"/>
    </row>
    <row r="11" ht="14.25" customHeight="1">
      <c r="A11" s="3"/>
      <c r="B11" s="1506">
        <v>46027</v>
      </c>
      <c r="C11" s="906">
        <f>11676.53-0-0</f>
      </c>
      <c r="D11" s="123"/>
      <c r="E11" s="120"/>
      <c r="F11" s="120"/>
      <c r="G11" s="147">
        <f t="shared" si="0"/>
        <v>0</v>
      </c>
      <c r="H11" s="1059">
        <v>558</v>
      </c>
      <c r="I11" s="143"/>
      <c r="J11" s="143"/>
      <c r="K11" s="143"/>
      <c r="L11" s="905"/>
      <c r="M11" s="103">
        <f t="shared" si="1"/>
        <v>0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03">
        <f t="shared" si="2"/>
        <v>0</v>
      </c>
      <c r="AA11" s="911">
        <v>2074.85</v>
      </c>
      <c r="AB11" s="123"/>
      <c r="AC11" s="123"/>
      <c r="AD11" s="105">
        <f t="shared" si="3"/>
        <v>0</v>
      </c>
      <c r="AE11" s="992">
        <v>30</v>
      </c>
      <c r="AF11" s="143"/>
      <c r="AG11" s="1509"/>
      <c r="AH11" s="1510">
        <f t="shared" si="4"/>
        <v>0</v>
      </c>
      <c r="AI11" s="1907">
        <v>8945.2</v>
      </c>
      <c r="AJ11" s="1709"/>
      <c r="AK11" s="1909"/>
      <c r="AL11" s="1546"/>
      <c r="AM11" s="1546"/>
      <c r="AN11" s="1546"/>
      <c r="AO11" s="1546"/>
      <c r="AP11" s="1709"/>
      <c r="AQ11" s="1709"/>
      <c r="AR11" s="1709"/>
      <c r="AS11" s="1709"/>
      <c r="AT11" s="222">
        <f t="shared" si="5"/>
        <v>0</v>
      </c>
      <c r="AU11" s="113">
        <f t="shared" si="6"/>
        <v>0</v>
      </c>
      <c r="AV11" s="3"/>
      <c r="AW11" s="113">
        <f t="shared" si="7"/>
        <v>0</v>
      </c>
      <c r="AX11" s="129"/>
      <c r="AY11" s="129"/>
      <c r="AZ11" s="908"/>
      <c r="BA11" s="1062"/>
      <c r="BB11" s="909">
        <v>68.5</v>
      </c>
      <c r="BC11" s="130">
        <f t="shared" si="8"/>
        <v>0</v>
      </c>
      <c r="BD11" s="3"/>
    </row>
    <row r="12" ht="14.25" customHeight="1">
      <c r="A12" s="132"/>
      <c r="B12" s="1506">
        <v>46028</v>
      </c>
      <c r="C12" s="906">
        <f>40125.98-0-0</f>
      </c>
      <c r="D12" s="136"/>
      <c r="E12" s="135"/>
      <c r="F12" s="135"/>
      <c r="G12" s="147">
        <f t="shared" si="0"/>
        <v>0</v>
      </c>
      <c r="H12" s="1149">
        <v>232.5</v>
      </c>
      <c r="I12" s="143"/>
      <c r="J12" s="143"/>
      <c r="K12" s="143"/>
      <c r="L12" s="905"/>
      <c r="M12" s="103">
        <f t="shared" si="1"/>
        <v>0</v>
      </c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03">
        <f t="shared" si="2"/>
        <v>0</v>
      </c>
      <c r="AA12" s="906">
        <v>786.4</v>
      </c>
      <c r="AB12" s="136"/>
      <c r="AC12" s="136"/>
      <c r="AD12" s="105">
        <f t="shared" si="3"/>
        <v>0</v>
      </c>
      <c r="AE12" s="992">
        <v>1696.75</v>
      </c>
      <c r="AF12" s="143"/>
      <c r="AG12" s="1509"/>
      <c r="AH12" s="1510">
        <f t="shared" si="4"/>
        <v>0</v>
      </c>
      <c r="AI12" s="1907">
        <v>9065.3</v>
      </c>
      <c r="AJ12" s="1718">
        <v>27535.05</v>
      </c>
      <c r="AK12" s="1908"/>
      <c r="AL12" s="1546"/>
      <c r="AM12" s="1546"/>
      <c r="AN12" s="1546"/>
      <c r="AO12" s="1546"/>
      <c r="AP12" s="1709"/>
      <c r="AQ12" s="1709"/>
      <c r="AR12" s="1709"/>
      <c r="AS12" s="1709"/>
      <c r="AT12" s="222">
        <f t="shared" si="5"/>
        <v>0</v>
      </c>
      <c r="AU12" s="140">
        <f t="shared" si="6"/>
        <v>0</v>
      </c>
      <c r="AV12" s="132"/>
      <c r="AW12" s="140">
        <f t="shared" si="7"/>
        <v>0</v>
      </c>
      <c r="AX12" s="141"/>
      <c r="AY12" s="141"/>
      <c r="AZ12" s="908"/>
      <c r="BA12" s="1261"/>
      <c r="BB12" s="909">
        <v>810</v>
      </c>
      <c r="BC12" s="130">
        <f t="shared" si="8"/>
        <v>0</v>
      </c>
      <c r="BD12" s="132"/>
    </row>
    <row r="13" ht="14.25" customHeight="1">
      <c r="A13" s="132"/>
      <c r="B13" s="1506">
        <v>46029</v>
      </c>
      <c r="C13" s="906">
        <f>13449.18-0-0</f>
      </c>
      <c r="D13" s="136"/>
      <c r="E13" s="135"/>
      <c r="F13" s="135"/>
      <c r="G13" s="147">
        <f t="shared" si="0"/>
        <v>0</v>
      </c>
      <c r="H13" s="1149">
        <v>1859.5</v>
      </c>
      <c r="I13" s="143"/>
      <c r="J13" s="143"/>
      <c r="K13" s="143"/>
      <c r="L13" s="905"/>
      <c r="M13" s="103">
        <f t="shared" si="1"/>
        <v>0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03">
        <f t="shared" si="2"/>
        <v>0</v>
      </c>
      <c r="AA13" s="911">
        <v>2081.41</v>
      </c>
      <c r="AB13" s="136"/>
      <c r="AC13" s="136"/>
      <c r="AD13" s="105">
        <f t="shared" si="3"/>
        <v>0</v>
      </c>
      <c r="AE13" s="992"/>
      <c r="AF13" s="143"/>
      <c r="AG13" s="1509"/>
      <c r="AH13" s="1510">
        <f t="shared" si="4"/>
        <v>0</v>
      </c>
      <c r="AI13" s="1907">
        <v>9508.3</v>
      </c>
      <c r="AJ13" s="1709"/>
      <c r="AK13" s="1908"/>
      <c r="AL13" s="1546"/>
      <c r="AM13" s="1546"/>
      <c r="AN13" s="1546"/>
      <c r="AO13" s="1546"/>
      <c r="AP13" s="1709"/>
      <c r="AQ13" s="1709"/>
      <c r="AR13" s="1709"/>
      <c r="AS13" s="1709"/>
      <c r="AT13" s="222">
        <f t="shared" si="5"/>
        <v>0</v>
      </c>
      <c r="AU13" s="140">
        <f t="shared" si="6"/>
        <v>0</v>
      </c>
      <c r="AV13" s="132"/>
      <c r="AW13" s="140">
        <f t="shared" si="7"/>
        <v>0</v>
      </c>
      <c r="AX13" s="141"/>
      <c r="AY13" s="141"/>
      <c r="AZ13" s="908"/>
      <c r="BA13" s="909"/>
      <c r="BB13" s="910"/>
      <c r="BC13" s="130">
        <f t="shared" si="8"/>
        <v>0</v>
      </c>
      <c r="BD13" s="132"/>
    </row>
    <row r="14" ht="14.25" customHeight="1">
      <c r="A14" s="132"/>
      <c r="B14" s="1506">
        <v>46030</v>
      </c>
      <c r="C14" s="906">
        <f>38312.08-0-0</f>
      </c>
      <c r="D14" s="136"/>
      <c r="E14" s="135"/>
      <c r="F14" s="135"/>
      <c r="G14" s="147">
        <f t="shared" si="0"/>
        <v>0</v>
      </c>
      <c r="H14" s="1149">
        <v>434</v>
      </c>
      <c r="I14" s="143"/>
      <c r="J14" s="143"/>
      <c r="K14" s="143"/>
      <c r="L14" s="904"/>
      <c r="M14" s="103">
        <f t="shared" si="1"/>
        <v>0</v>
      </c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03">
        <f t="shared" si="2"/>
        <v>0</v>
      </c>
      <c r="AA14" s="906">
        <v>1823.9</v>
      </c>
      <c r="AB14" s="136"/>
      <c r="AC14" s="136"/>
      <c r="AD14" s="105">
        <f t="shared" si="3"/>
        <v>0</v>
      </c>
      <c r="AE14" s="992">
        <v>1600</v>
      </c>
      <c r="AF14" s="143"/>
      <c r="AG14" s="1509"/>
      <c r="AH14" s="1510">
        <f t="shared" si="4"/>
        <v>0</v>
      </c>
      <c r="AI14" s="1907">
        <v>7854.2</v>
      </c>
      <c r="AJ14" s="1718">
        <v>25800</v>
      </c>
      <c r="AK14" s="1908"/>
      <c r="AL14" s="1546"/>
      <c r="AM14" s="1546"/>
      <c r="AN14" s="1546"/>
      <c r="AO14" s="1546"/>
      <c r="AP14" s="1709"/>
      <c r="AQ14" s="1709"/>
      <c r="AR14" s="1709"/>
      <c r="AS14" s="1709"/>
      <c r="AT14" s="222">
        <f t="shared" si="5"/>
        <v>0</v>
      </c>
      <c r="AU14" s="140">
        <f t="shared" si="6"/>
        <v>0</v>
      </c>
      <c r="AV14" s="132"/>
      <c r="AW14" s="140">
        <f t="shared" si="7"/>
        <v>0</v>
      </c>
      <c r="AX14" s="141"/>
      <c r="AY14" s="141"/>
      <c r="AZ14" s="908"/>
      <c r="BA14" s="1062"/>
      <c r="BB14" s="909">
        <v>800</v>
      </c>
      <c r="BC14" s="130">
        <f t="shared" si="8"/>
        <v>0</v>
      </c>
      <c r="BD14" s="132"/>
    </row>
    <row r="15" ht="14.25" customHeight="1">
      <c r="A15" s="132"/>
      <c r="B15" s="1506">
        <v>46031</v>
      </c>
      <c r="C15" s="906">
        <f>12128.60-0-0</f>
      </c>
      <c r="D15" s="136"/>
      <c r="E15" s="135"/>
      <c r="F15" s="135"/>
      <c r="G15" s="147">
        <f t="shared" si="0"/>
        <v>0</v>
      </c>
      <c r="H15" s="1149">
        <v>15.5</v>
      </c>
      <c r="I15" s="143"/>
      <c r="J15" s="143"/>
      <c r="K15" s="143"/>
      <c r="L15" s="905"/>
      <c r="M15" s="103">
        <f t="shared" si="1"/>
        <v>0</v>
      </c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03">
        <f t="shared" si="2"/>
        <v>0</v>
      </c>
      <c r="AA15" s="906">
        <v>1446</v>
      </c>
      <c r="AB15" s="136"/>
      <c r="AC15" s="136"/>
      <c r="AD15" s="105">
        <f t="shared" si="3"/>
        <v>0</v>
      </c>
      <c r="AE15" s="905"/>
      <c r="AF15" s="143"/>
      <c r="AG15" s="1509"/>
      <c r="AH15" s="1510">
        <f t="shared" si="4"/>
        <v>0</v>
      </c>
      <c r="AI15" s="1907">
        <v>9982.1</v>
      </c>
      <c r="AJ15" s="1718">
        <v>685</v>
      </c>
      <c r="AK15" s="1908"/>
      <c r="AL15" s="1546"/>
      <c r="AM15" s="1546"/>
      <c r="AN15" s="1546"/>
      <c r="AO15" s="1546"/>
      <c r="AP15" s="1709"/>
      <c r="AQ15" s="1709"/>
      <c r="AR15" s="1709"/>
      <c r="AS15" s="1709"/>
      <c r="AT15" s="222">
        <f t="shared" si="5"/>
        <v>0</v>
      </c>
      <c r="AU15" s="140">
        <f t="shared" si="6"/>
        <v>0</v>
      </c>
      <c r="AV15" s="132"/>
      <c r="AW15" s="140">
        <f t="shared" si="7"/>
        <v>0</v>
      </c>
      <c r="AX15" s="141"/>
      <c r="AY15" s="141"/>
      <c r="AZ15" s="908"/>
      <c r="BA15" s="909"/>
      <c r="BB15" s="909"/>
      <c r="BC15" s="130">
        <f t="shared" si="8"/>
        <v>0</v>
      </c>
      <c r="BD15" s="132"/>
    </row>
    <row r="16" ht="14.25" customHeight="1">
      <c r="A16" s="132"/>
      <c r="B16" s="1506">
        <v>46032</v>
      </c>
      <c r="C16" s="906">
        <f>11590.90-0-0</f>
      </c>
      <c r="D16" s="136"/>
      <c r="E16" s="135"/>
      <c r="F16" s="135"/>
      <c r="G16" s="147">
        <f t="shared" si="0"/>
        <v>0</v>
      </c>
      <c r="H16" s="1152">
        <v>232.5</v>
      </c>
      <c r="I16" s="143"/>
      <c r="J16" s="143"/>
      <c r="K16" s="143"/>
      <c r="L16" s="905"/>
      <c r="M16" s="103">
        <f t="shared" si="1"/>
        <v>0</v>
      </c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03">
        <f t="shared" si="2"/>
        <v>0</v>
      </c>
      <c r="AA16" s="911">
        <v>2045.31</v>
      </c>
      <c r="AB16" s="136"/>
      <c r="AC16" s="136"/>
      <c r="AD16" s="105">
        <f t="shared" si="3"/>
        <v>0</v>
      </c>
      <c r="AE16" s="992">
        <v>10</v>
      </c>
      <c r="AF16" s="143"/>
      <c r="AG16" s="1509"/>
      <c r="AH16" s="1510">
        <f t="shared" si="4"/>
        <v>0</v>
      </c>
      <c r="AI16" s="1907">
        <v>9303.1</v>
      </c>
      <c r="AJ16" s="1709"/>
      <c r="AK16" s="1908"/>
      <c r="AL16" s="1546"/>
      <c r="AM16" s="1546"/>
      <c r="AN16" s="1546"/>
      <c r="AO16" s="1546"/>
      <c r="AP16" s="1709"/>
      <c r="AQ16" s="1709"/>
      <c r="AR16" s="1709"/>
      <c r="AS16" s="1709"/>
      <c r="AT16" s="222">
        <f t="shared" si="5"/>
        <v>0</v>
      </c>
      <c r="AU16" s="140">
        <f t="shared" si="6"/>
        <v>0</v>
      </c>
      <c r="AV16" s="132"/>
      <c r="AW16" s="140">
        <f t="shared" si="7"/>
        <v>0</v>
      </c>
      <c r="AX16" s="141"/>
      <c r="AY16" s="141"/>
      <c r="AZ16" s="908"/>
      <c r="BA16" s="910"/>
      <c r="BB16" s="910"/>
      <c r="BC16" s="130">
        <f t="shared" si="8"/>
        <v>0</v>
      </c>
      <c r="BD16" s="132"/>
    </row>
    <row r="17" ht="14.25" customHeight="1">
      <c r="A17" s="132"/>
      <c r="B17" s="1506">
        <v>46033</v>
      </c>
      <c r="C17" s="906">
        <f>11400.27-0-0</f>
      </c>
      <c r="D17" s="136"/>
      <c r="E17" s="135"/>
      <c r="F17" s="135"/>
      <c r="G17" s="147">
        <f t="shared" si="0"/>
        <v>0</v>
      </c>
      <c r="H17" s="1053"/>
      <c r="I17" s="143"/>
      <c r="J17" s="143"/>
      <c r="K17" s="143"/>
      <c r="L17" s="905"/>
      <c r="M17" s="103">
        <f t="shared" si="1"/>
        <v>0</v>
      </c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03">
        <f t="shared" si="2"/>
        <v>0</v>
      </c>
      <c r="AA17" s="906">
        <v>2037.8</v>
      </c>
      <c r="AB17" s="136"/>
      <c r="AC17" s="136"/>
      <c r="AD17" s="105">
        <f t="shared" si="3"/>
        <v>0</v>
      </c>
      <c r="AE17" s="987"/>
      <c r="AF17" s="143"/>
      <c r="AG17" s="1509"/>
      <c r="AH17" s="1510">
        <f t="shared" si="4"/>
        <v>0</v>
      </c>
      <c r="AI17" s="1907">
        <v>9362.5</v>
      </c>
      <c r="AJ17" s="1709"/>
      <c r="AK17" s="1909"/>
      <c r="AL17" s="1546"/>
      <c r="AM17" s="1546"/>
      <c r="AN17" s="1546"/>
      <c r="AO17" s="1546"/>
      <c r="AP17" s="1709"/>
      <c r="AQ17" s="1709"/>
      <c r="AR17" s="1709"/>
      <c r="AS17" s="1709"/>
      <c r="AT17" s="222">
        <f t="shared" si="5"/>
        <v>0</v>
      </c>
      <c r="AU17" s="140">
        <f t="shared" si="6"/>
        <v>0</v>
      </c>
      <c r="AV17" s="132"/>
      <c r="AW17" s="140">
        <f t="shared" si="7"/>
        <v>0</v>
      </c>
      <c r="AX17" s="141"/>
      <c r="AY17" s="141"/>
      <c r="AZ17" s="908"/>
      <c r="BA17" s="909"/>
      <c r="BB17" s="1511"/>
      <c r="BC17" s="130">
        <f t="shared" si="8"/>
        <v>0</v>
      </c>
      <c r="BD17" s="132"/>
    </row>
    <row r="18" ht="14.25" customHeight="1">
      <c r="A18" s="132"/>
      <c r="B18" s="1506">
        <v>46034</v>
      </c>
      <c r="C18" s="906">
        <f>25224.00-0-0</f>
      </c>
      <c r="D18" s="136"/>
      <c r="E18" s="135"/>
      <c r="F18" s="135"/>
      <c r="G18" s="147">
        <f t="shared" si="0"/>
        <v>0</v>
      </c>
      <c r="H18" s="1059">
        <v>1019.5</v>
      </c>
      <c r="I18" s="143"/>
      <c r="J18" s="143"/>
      <c r="K18" s="143"/>
      <c r="L18" s="905"/>
      <c r="M18" s="103">
        <f t="shared" si="1"/>
        <v>0</v>
      </c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03">
        <f t="shared" si="2"/>
        <v>0</v>
      </c>
      <c r="AA18" s="906">
        <v>1245.3</v>
      </c>
      <c r="AB18" s="136"/>
      <c r="AC18" s="136"/>
      <c r="AD18" s="105">
        <f t="shared" si="3"/>
        <v>0</v>
      </c>
      <c r="AE18" s="992">
        <v>920</v>
      </c>
      <c r="AF18" s="143"/>
      <c r="AG18" s="1509"/>
      <c r="AH18" s="1510">
        <f t="shared" si="4"/>
        <v>0</v>
      </c>
      <c r="AI18" s="1907">
        <v>7125.2</v>
      </c>
      <c r="AJ18" s="1718">
        <v>14514</v>
      </c>
      <c r="AK18" s="1908"/>
      <c r="AL18" s="1546"/>
      <c r="AM18" s="1546"/>
      <c r="AN18" s="1546"/>
      <c r="AO18" s="1546"/>
      <c r="AP18" s="1709"/>
      <c r="AQ18" s="1709"/>
      <c r="AR18" s="1709"/>
      <c r="AS18" s="1709"/>
      <c r="AT18" s="222">
        <f t="shared" si="5"/>
        <v>0</v>
      </c>
      <c r="AU18" s="140">
        <f t="shared" si="6"/>
        <v>0</v>
      </c>
      <c r="AV18" s="132"/>
      <c r="AW18" s="140">
        <f t="shared" si="7"/>
        <v>0</v>
      </c>
      <c r="AX18" s="141"/>
      <c r="AY18" s="141"/>
      <c r="AZ18" s="908"/>
      <c r="BA18" s="1062"/>
      <c r="BB18" s="909">
        <v>400</v>
      </c>
      <c r="BC18" s="130">
        <f t="shared" si="8"/>
        <v>0</v>
      </c>
      <c r="BD18" s="132"/>
    </row>
    <row r="19" ht="14.25" customHeight="1">
      <c r="A19" s="132"/>
      <c r="B19" s="1506">
        <v>46035</v>
      </c>
      <c r="C19" s="906">
        <f>11671.97-0-0</f>
      </c>
      <c r="D19" s="136"/>
      <c r="E19" s="135"/>
      <c r="F19" s="135"/>
      <c r="G19" s="147">
        <f t="shared" si="0"/>
        <v>0</v>
      </c>
      <c r="H19" s="1149">
        <v>2206</v>
      </c>
      <c r="I19" s="143"/>
      <c r="J19" s="143"/>
      <c r="K19" s="143"/>
      <c r="L19" s="905"/>
      <c r="M19" s="103">
        <f t="shared" si="1"/>
        <v>0</v>
      </c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03">
        <f t="shared" si="2"/>
        <v>0</v>
      </c>
      <c r="AA19" s="906">
        <v>1668</v>
      </c>
      <c r="AB19" s="136"/>
      <c r="AC19" s="136"/>
      <c r="AD19" s="105">
        <f t="shared" si="3"/>
        <v>0</v>
      </c>
      <c r="AE19" s="992">
        <v>30</v>
      </c>
      <c r="AF19" s="143"/>
      <c r="AG19" s="1509"/>
      <c r="AH19" s="1510">
        <f t="shared" si="4"/>
        <v>0</v>
      </c>
      <c r="AI19" s="1907">
        <v>7623</v>
      </c>
      <c r="AJ19" s="1709"/>
      <c r="AK19" s="1908"/>
      <c r="AL19" s="1546"/>
      <c r="AM19" s="1546"/>
      <c r="AN19" s="1546"/>
      <c r="AO19" s="1546"/>
      <c r="AP19" s="1709"/>
      <c r="AQ19" s="1709"/>
      <c r="AR19" s="1709"/>
      <c r="AS19" s="1709"/>
      <c r="AT19" s="222">
        <f t="shared" si="5"/>
        <v>0</v>
      </c>
      <c r="AU19" s="140">
        <f t="shared" si="6"/>
        <v>0</v>
      </c>
      <c r="AV19" s="132"/>
      <c r="AW19" s="140">
        <f t="shared" si="7"/>
        <v>0</v>
      </c>
      <c r="AX19" s="141"/>
      <c r="AY19" s="141"/>
      <c r="AZ19" s="908"/>
      <c r="BA19" s="1062"/>
      <c r="BB19" s="909">
        <v>105</v>
      </c>
      <c r="BC19" s="130">
        <f t="shared" si="8"/>
        <v>0</v>
      </c>
      <c r="BD19" s="132"/>
    </row>
    <row r="20" ht="14.25" customHeight="1">
      <c r="A20" s="132"/>
      <c r="B20" s="1506">
        <v>46036</v>
      </c>
      <c r="C20" s="906">
        <f>12175.61-0-0</f>
      </c>
      <c r="D20" s="136"/>
      <c r="E20" s="135"/>
      <c r="F20" s="135"/>
      <c r="G20" s="147">
        <f t="shared" si="0"/>
        <v>0</v>
      </c>
      <c r="H20" s="1149">
        <v>1007.5</v>
      </c>
      <c r="I20" s="143"/>
      <c r="J20" s="143"/>
      <c r="K20" s="143"/>
      <c r="L20" s="905"/>
      <c r="M20" s="103">
        <f t="shared" si="1"/>
        <v>0</v>
      </c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03">
        <f t="shared" si="2"/>
        <v>0</v>
      </c>
      <c r="AA20" s="911">
        <v>1765.62</v>
      </c>
      <c r="AB20" s="136"/>
      <c r="AC20" s="136"/>
      <c r="AD20" s="105">
        <f t="shared" si="3"/>
        <v>0</v>
      </c>
      <c r="AE20" s="992">
        <v>55</v>
      </c>
      <c r="AF20" s="143"/>
      <c r="AG20" s="1509"/>
      <c r="AH20" s="1510">
        <f t="shared" si="4"/>
        <v>0</v>
      </c>
      <c r="AI20" s="1907">
        <v>8687.5</v>
      </c>
      <c r="AJ20" s="1718">
        <v>660</v>
      </c>
      <c r="AK20" s="1908"/>
      <c r="AL20" s="1546"/>
      <c r="AM20" s="1546"/>
      <c r="AN20" s="1546"/>
      <c r="AO20" s="1546"/>
      <c r="AP20" s="1709"/>
      <c r="AQ20" s="1709"/>
      <c r="AR20" s="1709"/>
      <c r="AS20" s="1709"/>
      <c r="AT20" s="222">
        <f t="shared" si="5"/>
        <v>0</v>
      </c>
      <c r="AU20" s="140">
        <f t="shared" si="6"/>
        <v>0</v>
      </c>
      <c r="AV20" s="132"/>
      <c r="AW20" s="140">
        <f t="shared" si="7"/>
        <v>0</v>
      </c>
      <c r="AX20" s="141"/>
      <c r="AY20" s="141"/>
      <c r="AZ20" s="914"/>
      <c r="BA20" s="909"/>
      <c r="BB20" s="909"/>
      <c r="BC20" s="130">
        <f t="shared" si="8"/>
        <v>0</v>
      </c>
      <c r="BD20" s="132"/>
    </row>
    <row r="21" ht="14.25" customHeight="1">
      <c r="A21" s="132"/>
      <c r="B21" s="1506">
        <v>46037</v>
      </c>
      <c r="C21" s="906">
        <f>13000.47-0-0</f>
      </c>
      <c r="D21" s="136"/>
      <c r="E21" s="135"/>
      <c r="F21" s="135"/>
      <c r="G21" s="147">
        <f t="shared" si="0"/>
        <v>0</v>
      </c>
      <c r="H21" s="1149">
        <v>1463.5</v>
      </c>
      <c r="I21" s="143"/>
      <c r="J21" s="143"/>
      <c r="K21" s="143"/>
      <c r="L21" s="905"/>
      <c r="M21" s="103">
        <f t="shared" si="1"/>
        <v>0</v>
      </c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03">
        <f t="shared" si="2"/>
        <v>0</v>
      </c>
      <c r="AA21" s="906">
        <v>2224.4</v>
      </c>
      <c r="AB21" s="136"/>
      <c r="AC21" s="136"/>
      <c r="AD21" s="105">
        <f t="shared" si="3"/>
        <v>0</v>
      </c>
      <c r="AE21" s="992">
        <v>60</v>
      </c>
      <c r="AF21" s="143"/>
      <c r="AG21" s="1509"/>
      <c r="AH21" s="1510">
        <f t="shared" si="4"/>
        <v>0</v>
      </c>
      <c r="AI21" s="1907">
        <v>7960.4</v>
      </c>
      <c r="AJ21" s="1718">
        <v>660</v>
      </c>
      <c r="AK21" s="1908"/>
      <c r="AL21" s="1546"/>
      <c r="AM21" s="1546"/>
      <c r="AN21" s="1546"/>
      <c r="AO21" s="1546"/>
      <c r="AP21" s="1709"/>
      <c r="AQ21" s="1709"/>
      <c r="AR21" s="1709"/>
      <c r="AS21" s="1709"/>
      <c r="AT21" s="222">
        <f t="shared" si="5"/>
        <v>0</v>
      </c>
      <c r="AU21" s="140">
        <f t="shared" si="6"/>
        <v>0</v>
      </c>
      <c r="AV21" s="132"/>
      <c r="AW21" s="140">
        <f t="shared" si="7"/>
        <v>0</v>
      </c>
      <c r="AX21" s="141"/>
      <c r="AY21" s="141"/>
      <c r="AZ21" s="908"/>
      <c r="BA21" s="1062"/>
      <c r="BB21" s="909">
        <v>632.2</v>
      </c>
      <c r="BC21" s="130">
        <f t="shared" si="8"/>
        <v>0</v>
      </c>
      <c r="BD21" s="132"/>
    </row>
    <row r="22" ht="14.25" customHeight="1">
      <c r="A22" s="132"/>
      <c r="B22" s="1506">
        <v>46038</v>
      </c>
      <c r="C22" s="906">
        <f>8881.93-0-0</f>
      </c>
      <c r="D22" s="136"/>
      <c r="E22" s="135"/>
      <c r="F22" s="135"/>
      <c r="G22" s="147">
        <f t="shared" si="0"/>
        <v>0</v>
      </c>
      <c r="H22" s="1149">
        <v>542.5</v>
      </c>
      <c r="I22" s="143"/>
      <c r="J22" s="143"/>
      <c r="K22" s="143"/>
      <c r="L22" s="905"/>
      <c r="M22" s="103">
        <f t="shared" si="1"/>
        <v>0</v>
      </c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03">
        <f t="shared" si="2"/>
        <v>0</v>
      </c>
      <c r="AA22" s="911">
        <v>992.2</v>
      </c>
      <c r="AB22" s="136"/>
      <c r="AC22" s="136"/>
      <c r="AD22" s="105">
        <f t="shared" si="3"/>
        <v>0</v>
      </c>
      <c r="AE22" s="905"/>
      <c r="AF22" s="143"/>
      <c r="AG22" s="1509"/>
      <c r="AH22" s="1510">
        <f t="shared" si="4"/>
        <v>0</v>
      </c>
      <c r="AI22" s="1907">
        <v>7347.2</v>
      </c>
      <c r="AJ22" s="1709"/>
      <c r="AK22" s="1908"/>
      <c r="AL22" s="1546"/>
      <c r="AM22" s="1546"/>
      <c r="AN22" s="1546"/>
      <c r="AO22" s="1546"/>
      <c r="AP22" s="1709"/>
      <c r="AQ22" s="1709"/>
      <c r="AR22" s="1709"/>
      <c r="AS22" s="1709"/>
      <c r="AT22" s="222">
        <f t="shared" si="5"/>
        <v>0</v>
      </c>
      <c r="AU22" s="140">
        <f t="shared" si="6"/>
        <v>0</v>
      </c>
      <c r="AV22" s="132"/>
      <c r="AW22" s="140">
        <f t="shared" si="7"/>
        <v>0</v>
      </c>
      <c r="AX22" s="141"/>
      <c r="AY22" s="141"/>
      <c r="AZ22" s="908"/>
      <c r="BA22" s="909"/>
      <c r="BB22" s="909"/>
      <c r="BC22" s="130">
        <f t="shared" si="8"/>
        <v>0</v>
      </c>
      <c r="BD22" s="132"/>
    </row>
    <row r="23" ht="14.25" customHeight="1">
      <c r="A23" s="132"/>
      <c r="B23" s="1506">
        <v>46039</v>
      </c>
      <c r="C23" s="906">
        <f>14195.77-0-0</f>
      </c>
      <c r="D23" s="136"/>
      <c r="E23" s="135"/>
      <c r="F23" s="135"/>
      <c r="G23" s="147">
        <f t="shared" si="0"/>
        <v>0</v>
      </c>
      <c r="H23" s="1149">
        <v>496</v>
      </c>
      <c r="I23" s="143"/>
      <c r="J23" s="143"/>
      <c r="K23" s="143"/>
      <c r="L23" s="905"/>
      <c r="M23" s="103">
        <f t="shared" si="1"/>
        <v>0</v>
      </c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03">
        <f t="shared" si="2"/>
        <v>0</v>
      </c>
      <c r="AA23" s="911">
        <v>2966.5</v>
      </c>
      <c r="AB23" s="136"/>
      <c r="AC23" s="136"/>
      <c r="AD23" s="105">
        <f t="shared" si="3"/>
        <v>0</v>
      </c>
      <c r="AE23" s="992">
        <v>30</v>
      </c>
      <c r="AF23" s="143"/>
      <c r="AG23" s="1509"/>
      <c r="AH23" s="1510">
        <f t="shared" si="4"/>
        <v>0</v>
      </c>
      <c r="AI23" s="1907">
        <v>10703.3</v>
      </c>
      <c r="AJ23" s="1709"/>
      <c r="AK23" s="1908"/>
      <c r="AL23" s="1546"/>
      <c r="AM23" s="1546"/>
      <c r="AN23" s="1546"/>
      <c r="AO23" s="1546"/>
      <c r="AP23" s="1709"/>
      <c r="AQ23" s="1709"/>
      <c r="AR23" s="1709"/>
      <c r="AS23" s="1709"/>
      <c r="AT23" s="222">
        <f t="shared" si="5"/>
        <v>0</v>
      </c>
      <c r="AU23" s="140">
        <f t="shared" si="6"/>
        <v>0</v>
      </c>
      <c r="AV23" s="132"/>
      <c r="AW23" s="140">
        <f t="shared" si="7"/>
        <v>0</v>
      </c>
      <c r="AX23" s="141"/>
      <c r="AY23" s="141"/>
      <c r="AZ23" s="908"/>
      <c r="BA23" s="909"/>
      <c r="BB23" s="909"/>
      <c r="BC23" s="130">
        <f t="shared" si="8"/>
        <v>0</v>
      </c>
      <c r="BD23" s="132"/>
    </row>
    <row r="24" ht="14.25" customHeight="1">
      <c r="A24" s="132"/>
      <c r="B24" s="1506">
        <v>46040</v>
      </c>
      <c r="C24" s="906">
        <f>15363.45-0-0</f>
      </c>
      <c r="D24" s="136"/>
      <c r="E24" s="135"/>
      <c r="F24" s="135"/>
      <c r="G24" s="147">
        <f t="shared" si="0"/>
        <v>0</v>
      </c>
      <c r="H24" s="1149"/>
      <c r="I24" s="143"/>
      <c r="J24" s="143"/>
      <c r="K24" s="143"/>
      <c r="L24" s="905"/>
      <c r="M24" s="103">
        <f t="shared" si="1"/>
        <v>0</v>
      </c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03">
        <f t="shared" si="2"/>
        <v>0</v>
      </c>
      <c r="AA24" s="906">
        <v>2061.9</v>
      </c>
      <c r="AB24" s="136"/>
      <c r="AC24" s="136"/>
      <c r="AD24" s="105">
        <f t="shared" si="3"/>
        <v>0</v>
      </c>
      <c r="AE24" s="905"/>
      <c r="AF24" s="143"/>
      <c r="AG24" s="1509"/>
      <c r="AH24" s="1510">
        <f t="shared" si="4"/>
        <v>0</v>
      </c>
      <c r="AI24" s="1907">
        <v>13301.6</v>
      </c>
      <c r="AJ24" s="1709"/>
      <c r="AK24" s="1908"/>
      <c r="AL24" s="1546"/>
      <c r="AM24" s="1546"/>
      <c r="AN24" s="1546"/>
      <c r="AO24" s="1546"/>
      <c r="AP24" s="1709"/>
      <c r="AQ24" s="1709"/>
      <c r="AR24" s="1709"/>
      <c r="AS24" s="1709"/>
      <c r="AT24" s="222">
        <f t="shared" si="5"/>
        <v>0</v>
      </c>
      <c r="AU24" s="140">
        <f t="shared" si="6"/>
        <v>0</v>
      </c>
      <c r="AV24" s="132"/>
      <c r="AW24" s="140">
        <f t="shared" si="7"/>
        <v>0</v>
      </c>
      <c r="AX24" s="141"/>
      <c r="AY24" s="141"/>
      <c r="AZ24" s="908"/>
      <c r="BA24" s="909"/>
      <c r="BB24" s="909"/>
      <c r="BC24" s="130">
        <f t="shared" si="8"/>
        <v>0</v>
      </c>
      <c r="BD24" s="132"/>
    </row>
    <row r="25" ht="14.25" customHeight="1">
      <c r="A25" s="132"/>
      <c r="B25" s="1506">
        <v>46041</v>
      </c>
      <c r="C25" s="906">
        <f>13334.44-0-0</f>
      </c>
      <c r="D25" s="136"/>
      <c r="E25" s="135"/>
      <c r="F25" s="135"/>
      <c r="G25" s="147">
        <f t="shared" si="0"/>
        <v>0</v>
      </c>
      <c r="H25" s="1059">
        <v>527</v>
      </c>
      <c r="I25" s="143"/>
      <c r="J25" s="143"/>
      <c r="K25" s="143"/>
      <c r="L25" s="905"/>
      <c r="M25" s="103">
        <f t="shared" si="1"/>
        <v>0</v>
      </c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03">
        <f t="shared" si="2"/>
        <v>0</v>
      </c>
      <c r="AA25" s="906">
        <v>1319.9</v>
      </c>
      <c r="AB25" s="136"/>
      <c r="AC25" s="136"/>
      <c r="AD25" s="105">
        <f t="shared" si="3"/>
        <v>0</v>
      </c>
      <c r="AE25" s="992">
        <v>75</v>
      </c>
      <c r="AF25" s="143"/>
      <c r="AG25" s="1509"/>
      <c r="AH25" s="1510">
        <f t="shared" si="4"/>
        <v>0</v>
      </c>
      <c r="AI25" s="1907">
        <v>9432.5</v>
      </c>
      <c r="AJ25" s="1718">
        <v>1980</v>
      </c>
      <c r="AK25" s="1908"/>
      <c r="AL25" s="1546"/>
      <c r="AM25" s="1546"/>
      <c r="AN25" s="1546"/>
      <c r="AO25" s="1546"/>
      <c r="AP25" s="1709"/>
      <c r="AQ25" s="1709"/>
      <c r="AR25" s="1709"/>
      <c r="AS25" s="1709"/>
      <c r="AT25" s="222">
        <f t="shared" si="5"/>
        <v>0</v>
      </c>
      <c r="AU25" s="140">
        <f t="shared" si="6"/>
        <v>0</v>
      </c>
      <c r="AV25" s="132"/>
      <c r="AW25" s="140">
        <f t="shared" si="7"/>
        <v>0</v>
      </c>
      <c r="AX25" s="141"/>
      <c r="AY25" s="141"/>
      <c r="AZ25" s="908"/>
      <c r="BA25" s="909"/>
      <c r="BB25" s="909"/>
      <c r="BC25" s="130">
        <f t="shared" si="8"/>
        <v>0</v>
      </c>
      <c r="BD25" s="132"/>
    </row>
    <row r="26" ht="14.25" customHeight="1">
      <c r="A26" s="132"/>
      <c r="B26" s="1506">
        <v>46042</v>
      </c>
      <c r="C26" s="906">
        <f>41022.54-0-0</f>
      </c>
      <c r="D26" s="136"/>
      <c r="E26" s="135"/>
      <c r="F26" s="135"/>
      <c r="G26" s="147">
        <f t="shared" si="0"/>
        <v>0</v>
      </c>
      <c r="H26" s="1152">
        <v>961</v>
      </c>
      <c r="I26" s="143"/>
      <c r="J26" s="143"/>
      <c r="K26" s="143"/>
      <c r="L26" s="905"/>
      <c r="M26" s="103">
        <f t="shared" si="1"/>
        <v>0</v>
      </c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03">
        <f t="shared" si="2"/>
        <v>0</v>
      </c>
      <c r="AA26" s="906">
        <v>1693</v>
      </c>
      <c r="AB26" s="136"/>
      <c r="AC26" s="136"/>
      <c r="AD26" s="105">
        <f t="shared" si="3"/>
        <v>0</v>
      </c>
      <c r="AE26" s="988">
        <v>1690</v>
      </c>
      <c r="AF26" s="143"/>
      <c r="AG26" s="1509"/>
      <c r="AH26" s="1510">
        <f t="shared" si="4"/>
        <v>0</v>
      </c>
      <c r="AI26" s="1907">
        <v>8454.5</v>
      </c>
      <c r="AJ26" s="1718">
        <v>27414</v>
      </c>
      <c r="AK26" s="1909"/>
      <c r="AL26" s="1546"/>
      <c r="AM26" s="1546"/>
      <c r="AN26" s="1546"/>
      <c r="AO26" s="1546"/>
      <c r="AP26" s="1709"/>
      <c r="AQ26" s="1709"/>
      <c r="AR26" s="1709"/>
      <c r="AS26" s="1709"/>
      <c r="AT26" s="222">
        <f t="shared" si="5"/>
        <v>0</v>
      </c>
      <c r="AU26" s="140">
        <f t="shared" si="6"/>
        <v>0</v>
      </c>
      <c r="AV26" s="132"/>
      <c r="AW26" s="140">
        <f t="shared" si="7"/>
        <v>0</v>
      </c>
      <c r="AX26" s="141"/>
      <c r="AY26" s="141"/>
      <c r="AZ26" s="908"/>
      <c r="BA26" s="1062"/>
      <c r="BB26" s="909">
        <v>810</v>
      </c>
      <c r="BC26" s="130">
        <f t="shared" si="8"/>
        <v>0</v>
      </c>
      <c r="BD26" s="132"/>
    </row>
    <row r="27" ht="14.25" customHeight="1">
      <c r="A27" s="132"/>
      <c r="B27" s="1506">
        <v>46043</v>
      </c>
      <c r="C27" s="906">
        <f>13082.10-0-0</f>
      </c>
      <c r="D27" s="136"/>
      <c r="E27" s="135"/>
      <c r="F27" s="135"/>
      <c r="G27" s="147">
        <f t="shared" si="0"/>
        <v>0</v>
      </c>
      <c r="H27" s="1149">
        <v>1441.5</v>
      </c>
      <c r="I27" s="143"/>
      <c r="J27" s="143"/>
      <c r="K27" s="143"/>
      <c r="L27" s="904"/>
      <c r="M27" s="103">
        <f t="shared" si="1"/>
        <v>0</v>
      </c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03">
        <f t="shared" si="2"/>
        <v>0</v>
      </c>
      <c r="AA27" s="911">
        <v>2420.59</v>
      </c>
      <c r="AB27" s="136"/>
      <c r="AC27" s="136"/>
      <c r="AD27" s="105">
        <f t="shared" si="3"/>
        <v>0</v>
      </c>
      <c r="AE27" s="987">
        <v>40</v>
      </c>
      <c r="AF27" s="143"/>
      <c r="AG27" s="1509"/>
      <c r="AH27" s="1510">
        <f t="shared" si="4"/>
        <v>0</v>
      </c>
      <c r="AI27" s="1907">
        <v>9111.5</v>
      </c>
      <c r="AJ27" s="1709"/>
      <c r="AK27" s="1909"/>
      <c r="AL27" s="1546"/>
      <c r="AM27" s="1546"/>
      <c r="AN27" s="1546"/>
      <c r="AO27" s="1546"/>
      <c r="AP27" s="1709"/>
      <c r="AQ27" s="1709"/>
      <c r="AR27" s="1709"/>
      <c r="AS27" s="1709"/>
      <c r="AT27" s="222">
        <f t="shared" si="5"/>
        <v>0</v>
      </c>
      <c r="AU27" s="140">
        <f t="shared" si="6"/>
        <v>0</v>
      </c>
      <c r="AV27" s="132"/>
      <c r="AW27" s="140">
        <f t="shared" si="7"/>
        <v>0</v>
      </c>
      <c r="AX27" s="141"/>
      <c r="AY27" s="141"/>
      <c r="AZ27" s="914"/>
      <c r="BA27" s="1062"/>
      <c r="BB27" s="909">
        <v>68.5</v>
      </c>
      <c r="BC27" s="130">
        <f t="shared" si="8"/>
        <v>0</v>
      </c>
      <c r="BD27" s="132"/>
    </row>
    <row r="28" ht="14.25" customHeight="1">
      <c r="A28" s="132"/>
      <c r="B28" s="1506">
        <v>46044</v>
      </c>
      <c r="C28" s="906">
        <f>12255.94-0-0</f>
      </c>
      <c r="D28" s="136"/>
      <c r="E28" s="135"/>
      <c r="F28" s="135"/>
      <c r="G28" s="147">
        <f t="shared" si="0"/>
        <v>0</v>
      </c>
      <c r="H28" s="1149">
        <v>744</v>
      </c>
      <c r="I28" s="143"/>
      <c r="J28" s="143"/>
      <c r="K28" s="143"/>
      <c r="L28" s="905"/>
      <c r="M28" s="103">
        <f t="shared" si="1"/>
        <v>0</v>
      </c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03">
        <f t="shared" si="2"/>
        <v>0</v>
      </c>
      <c r="AA28" s="906">
        <v>2964</v>
      </c>
      <c r="AB28" s="136"/>
      <c r="AC28" s="136"/>
      <c r="AD28" s="105">
        <f t="shared" si="3"/>
        <v>0</v>
      </c>
      <c r="AE28" s="992">
        <v>30</v>
      </c>
      <c r="AF28" s="143"/>
      <c r="AG28" s="1509"/>
      <c r="AH28" s="1510">
        <f t="shared" si="4"/>
        <v>0</v>
      </c>
      <c r="AI28" s="1907">
        <v>8517.9</v>
      </c>
      <c r="AJ28" s="1709"/>
      <c r="AK28" s="1908"/>
      <c r="AL28" s="1546"/>
      <c r="AM28" s="1546"/>
      <c r="AN28" s="1546"/>
      <c r="AO28" s="1546"/>
      <c r="AP28" s="1709"/>
      <c r="AQ28" s="1709"/>
      <c r="AR28" s="1709"/>
      <c r="AS28" s="1709"/>
      <c r="AT28" s="222">
        <f t="shared" si="5"/>
        <v>0</v>
      </c>
      <c r="AU28" s="140">
        <f t="shared" si="6"/>
        <v>0</v>
      </c>
      <c r="AV28" s="132"/>
      <c r="AW28" s="140">
        <f t="shared" si="7"/>
        <v>0</v>
      </c>
      <c r="AX28" s="141"/>
      <c r="AY28" s="141"/>
      <c r="AZ28" s="908"/>
      <c r="BA28" s="909"/>
      <c r="BB28" s="909"/>
      <c r="BC28" s="130">
        <f t="shared" si="8"/>
        <v>0</v>
      </c>
      <c r="BD28" s="132"/>
    </row>
    <row r="29" ht="14.25" customHeight="1">
      <c r="A29" s="132"/>
      <c r="B29" s="1506">
        <v>46045</v>
      </c>
      <c r="C29" s="906">
        <f>12392.11-0-0</f>
      </c>
      <c r="D29" s="136"/>
      <c r="E29" s="135"/>
      <c r="F29" s="135"/>
      <c r="G29" s="147">
        <f t="shared" si="0"/>
        <v>0</v>
      </c>
      <c r="H29" s="1152">
        <v>2359.5</v>
      </c>
      <c r="I29" s="143"/>
      <c r="J29" s="143"/>
      <c r="K29" s="143"/>
      <c r="L29" s="905"/>
      <c r="M29" s="103">
        <f t="shared" si="1"/>
        <v>0</v>
      </c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03">
        <f t="shared" si="2"/>
        <v>0</v>
      </c>
      <c r="AA29" s="906">
        <v>1550.3</v>
      </c>
      <c r="AB29" s="136"/>
      <c r="AC29" s="136"/>
      <c r="AD29" s="105">
        <f t="shared" si="3"/>
        <v>0</v>
      </c>
      <c r="AE29" s="992">
        <v>40</v>
      </c>
      <c r="AF29" s="143"/>
      <c r="AG29" s="1509"/>
      <c r="AH29" s="1510">
        <f t="shared" si="4"/>
        <v>0</v>
      </c>
      <c r="AI29" s="1907">
        <v>8442.3</v>
      </c>
      <c r="AJ29" s="1709"/>
      <c r="AK29" s="1908"/>
      <c r="AL29" s="1546"/>
      <c r="AM29" s="1546"/>
      <c r="AN29" s="1546"/>
      <c r="AO29" s="1546"/>
      <c r="AP29" s="1709"/>
      <c r="AQ29" s="1709"/>
      <c r="AR29" s="1709"/>
      <c r="AS29" s="1709"/>
      <c r="AT29" s="222">
        <f t="shared" si="5"/>
        <v>0</v>
      </c>
      <c r="AU29" s="140">
        <f t="shared" si="6"/>
        <v>0</v>
      </c>
      <c r="AV29" s="132"/>
      <c r="AW29" s="140">
        <f t="shared" si="7"/>
        <v>0</v>
      </c>
      <c r="AX29" s="141"/>
      <c r="AY29" s="141"/>
      <c r="AZ29" s="908"/>
      <c r="BA29" s="909"/>
      <c r="BB29" s="909"/>
      <c r="BC29" s="130">
        <f t="shared" si="8"/>
        <v>0</v>
      </c>
      <c r="BD29" s="132"/>
    </row>
    <row r="30" ht="14.25" customHeight="1">
      <c r="A30" s="132"/>
      <c r="B30" s="1506">
        <v>46046</v>
      </c>
      <c r="C30" s="906">
        <f>28033.92-0-0</f>
      </c>
      <c r="D30" s="136"/>
      <c r="E30" s="135"/>
      <c r="F30" s="135"/>
      <c r="G30" s="147">
        <f t="shared" si="0"/>
        <v>0</v>
      </c>
      <c r="H30" s="1149">
        <v>325.5</v>
      </c>
      <c r="I30" s="143"/>
      <c r="J30" s="143"/>
      <c r="K30" s="143"/>
      <c r="L30" s="905"/>
      <c r="M30" s="103">
        <f t="shared" si="1"/>
        <v>0</v>
      </c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03">
        <f t="shared" si="2"/>
        <v>0</v>
      </c>
      <c r="AA30" s="906">
        <v>1639.5</v>
      </c>
      <c r="AB30" s="136"/>
      <c r="AC30" s="136"/>
      <c r="AD30" s="105">
        <f t="shared" si="3"/>
        <v>0</v>
      </c>
      <c r="AE30" s="992">
        <v>810</v>
      </c>
      <c r="AF30" s="143"/>
      <c r="AG30" s="1509"/>
      <c r="AH30" s="1510">
        <f t="shared" si="4"/>
        <v>0</v>
      </c>
      <c r="AI30" s="1907">
        <v>11958.9</v>
      </c>
      <c r="AJ30" s="1718">
        <v>12900</v>
      </c>
      <c r="AK30" s="1908"/>
      <c r="AL30" s="1546"/>
      <c r="AM30" s="1546"/>
      <c r="AN30" s="1546"/>
      <c r="AO30" s="1546"/>
      <c r="AP30" s="1709"/>
      <c r="AQ30" s="1709"/>
      <c r="AR30" s="1709"/>
      <c r="AS30" s="1709"/>
      <c r="AT30" s="222">
        <f t="shared" si="5"/>
        <v>0</v>
      </c>
      <c r="AU30" s="140">
        <f t="shared" si="6"/>
        <v>0</v>
      </c>
      <c r="AV30" s="132"/>
      <c r="AW30" s="140">
        <f t="shared" si="7"/>
        <v>0</v>
      </c>
      <c r="AX30" s="141"/>
      <c r="AY30" s="141"/>
      <c r="AZ30" s="908"/>
      <c r="BA30" s="1062"/>
      <c r="BB30" s="909">
        <v>400</v>
      </c>
      <c r="BC30" s="130">
        <f t="shared" si="8"/>
        <v>0</v>
      </c>
      <c r="BD30" s="132"/>
    </row>
    <row r="31" ht="14.25" customHeight="1">
      <c r="A31" s="132"/>
      <c r="B31" s="1506">
        <v>46047</v>
      </c>
      <c r="C31" s="906">
        <f>12033.12-0-0</f>
      </c>
      <c r="D31" s="136"/>
      <c r="E31" s="135"/>
      <c r="F31" s="135"/>
      <c r="G31" s="147">
        <f t="shared" si="0"/>
        <v>0</v>
      </c>
      <c r="H31" s="1150"/>
      <c r="I31" s="143"/>
      <c r="J31" s="143"/>
      <c r="K31" s="143"/>
      <c r="L31" s="905"/>
      <c r="M31" s="103">
        <f t="shared" si="1"/>
        <v>0</v>
      </c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03">
        <f t="shared" si="2"/>
        <v>0</v>
      </c>
      <c r="AA31" s="906">
        <v>1580.4</v>
      </c>
      <c r="AB31" s="136"/>
      <c r="AC31" s="136"/>
      <c r="AD31" s="105">
        <f t="shared" si="3"/>
        <v>0</v>
      </c>
      <c r="AE31" s="905"/>
      <c r="AF31" s="143"/>
      <c r="AG31" s="1509"/>
      <c r="AH31" s="1510">
        <f t="shared" si="4"/>
        <v>0</v>
      </c>
      <c r="AI31" s="1907">
        <v>10452.7</v>
      </c>
      <c r="AJ31" s="1709"/>
      <c r="AK31" s="1908"/>
      <c r="AL31" s="1546"/>
      <c r="AM31" s="1546"/>
      <c r="AN31" s="1546"/>
      <c r="AO31" s="1546"/>
      <c r="AP31" s="1709"/>
      <c r="AQ31" s="1709"/>
      <c r="AR31" s="1709"/>
      <c r="AS31" s="1709"/>
      <c r="AT31" s="222">
        <f t="shared" si="5"/>
        <v>0</v>
      </c>
      <c r="AU31" s="140">
        <f t="shared" si="6"/>
        <v>0</v>
      </c>
      <c r="AV31" s="132"/>
      <c r="AW31" s="140">
        <f t="shared" si="7"/>
        <v>0</v>
      </c>
      <c r="AX31" s="141"/>
      <c r="AY31" s="141"/>
      <c r="AZ31" s="908"/>
      <c r="BA31" s="909"/>
      <c r="BB31" s="909"/>
      <c r="BC31" s="130">
        <f t="shared" si="8"/>
        <v>0</v>
      </c>
      <c r="BD31" s="132"/>
    </row>
    <row r="32" ht="14.25" customHeight="1">
      <c r="A32" s="132"/>
      <c r="B32" s="1506">
        <v>46048</v>
      </c>
      <c r="C32" s="906">
        <f>15949.72-0-0</f>
      </c>
      <c r="D32" s="136"/>
      <c r="E32" s="135"/>
      <c r="F32" s="135"/>
      <c r="G32" s="147">
        <f t="shared" si="0"/>
        <v>0</v>
      </c>
      <c r="H32" s="1053">
        <v>673</v>
      </c>
      <c r="I32" s="143"/>
      <c r="J32" s="143"/>
      <c r="K32" s="143"/>
      <c r="L32" s="992">
        <v>350</v>
      </c>
      <c r="M32" s="103">
        <f t="shared" si="1"/>
        <v>0</v>
      </c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03">
        <f t="shared" si="2"/>
        <v>0</v>
      </c>
      <c r="AA32" s="906">
        <v>2725</v>
      </c>
      <c r="AB32" s="136"/>
      <c r="AC32" s="136"/>
      <c r="AD32" s="105">
        <f t="shared" si="3"/>
        <v>0</v>
      </c>
      <c r="AE32" s="992">
        <v>96.75</v>
      </c>
      <c r="AF32" s="143"/>
      <c r="AG32" s="1509"/>
      <c r="AH32" s="1510">
        <f t="shared" si="4"/>
        <v>0</v>
      </c>
      <c r="AI32" s="1907">
        <v>10491</v>
      </c>
      <c r="AJ32" s="1718">
        <v>1614</v>
      </c>
      <c r="AK32" s="1908"/>
      <c r="AL32" s="1546"/>
      <c r="AM32" s="1546"/>
      <c r="AN32" s="1546"/>
      <c r="AO32" s="1546"/>
      <c r="AP32" s="1709"/>
      <c r="AQ32" s="1709"/>
      <c r="AR32" s="1709"/>
      <c r="AS32" s="1709"/>
      <c r="AT32" s="222">
        <f t="shared" si="5"/>
        <v>0</v>
      </c>
      <c r="AU32" s="140">
        <f t="shared" si="6"/>
        <v>0</v>
      </c>
      <c r="AV32" s="132"/>
      <c r="AW32" s="140">
        <f t="shared" si="7"/>
        <v>0</v>
      </c>
      <c r="AX32" s="141"/>
      <c r="AY32" s="141"/>
      <c r="AZ32" s="908"/>
      <c r="BA32" s="909"/>
      <c r="BB32" s="909"/>
      <c r="BC32" s="130">
        <f t="shared" si="8"/>
        <v>0</v>
      </c>
      <c r="BD32" s="132"/>
    </row>
    <row r="33" ht="14.25" customHeight="1">
      <c r="A33" s="132"/>
      <c r="B33" s="1506">
        <v>46049</v>
      </c>
      <c r="C33" s="906">
        <f>10460.65-0-0</f>
      </c>
      <c r="D33" s="136"/>
      <c r="E33" s="135"/>
      <c r="F33" s="135"/>
      <c r="G33" s="147">
        <f t="shared" si="0"/>
        <v>0</v>
      </c>
      <c r="H33" s="1149">
        <v>310</v>
      </c>
      <c r="I33" s="143"/>
      <c r="J33" s="143"/>
      <c r="K33" s="143"/>
      <c r="L33" s="905"/>
      <c r="M33" s="103">
        <f t="shared" si="1"/>
        <v>0</v>
      </c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03">
        <f t="shared" si="2"/>
        <v>0</v>
      </c>
      <c r="AA33" s="906">
        <v>1781.2</v>
      </c>
      <c r="AB33" s="136"/>
      <c r="AC33" s="136"/>
      <c r="AD33" s="105">
        <f t="shared" si="3"/>
        <v>0</v>
      </c>
      <c r="AE33" s="992">
        <v>30</v>
      </c>
      <c r="AF33" s="143"/>
      <c r="AG33" s="1509"/>
      <c r="AH33" s="1510">
        <f t="shared" si="4"/>
        <v>0</v>
      </c>
      <c r="AI33" s="1907">
        <v>8339.3</v>
      </c>
      <c r="AJ33" s="1709"/>
      <c r="AK33" s="1908"/>
      <c r="AL33" s="1546"/>
      <c r="AM33" s="1546"/>
      <c r="AN33" s="1546"/>
      <c r="AO33" s="1546"/>
      <c r="AP33" s="1709"/>
      <c r="AQ33" s="1709"/>
      <c r="AR33" s="1709"/>
      <c r="AS33" s="1709"/>
      <c r="AT33" s="222">
        <f t="shared" si="5"/>
        <v>0</v>
      </c>
      <c r="AU33" s="140">
        <f t="shared" si="6"/>
        <v>0</v>
      </c>
      <c r="AV33" s="132"/>
      <c r="AW33" s="140">
        <f t="shared" si="7"/>
        <v>0</v>
      </c>
      <c r="AX33" s="141"/>
      <c r="AY33" s="141"/>
      <c r="AZ33" s="914"/>
      <c r="BA33" s="909"/>
      <c r="BB33" s="909"/>
      <c r="BC33" s="130">
        <f t="shared" si="8"/>
        <v>0</v>
      </c>
      <c r="BD33" s="132"/>
    </row>
    <row r="34" ht="14.25" customHeight="1">
      <c r="A34" s="132"/>
      <c r="B34" s="1506">
        <v>46050</v>
      </c>
      <c r="C34" s="906">
        <f>37134.60-0-0</f>
      </c>
      <c r="D34" s="136"/>
      <c r="E34" s="135"/>
      <c r="F34" s="135"/>
      <c r="G34" s="147">
        <f t="shared" si="0"/>
        <v>0</v>
      </c>
      <c r="H34" s="1149">
        <v>170.5</v>
      </c>
      <c r="I34" s="143"/>
      <c r="J34" s="143"/>
      <c r="K34" s="143"/>
      <c r="L34" s="905"/>
      <c r="M34" s="103">
        <f t="shared" si="1"/>
        <v>0</v>
      </c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03">
        <f t="shared" si="2"/>
        <v>0</v>
      </c>
      <c r="AA34" s="906">
        <v>1118.6</v>
      </c>
      <c r="AB34" s="136"/>
      <c r="AC34" s="136"/>
      <c r="AD34" s="105">
        <f t="shared" si="3"/>
        <v>0</v>
      </c>
      <c r="AE34" s="992">
        <v>1600</v>
      </c>
      <c r="AF34" s="143"/>
      <c r="AG34" s="1509"/>
      <c r="AH34" s="1510">
        <f t="shared" si="4"/>
        <v>0</v>
      </c>
      <c r="AI34" s="1907">
        <v>7645.7</v>
      </c>
      <c r="AJ34" s="1718">
        <v>25800</v>
      </c>
      <c r="AK34" s="1908"/>
      <c r="AL34" s="1546"/>
      <c r="AM34" s="1546"/>
      <c r="AN34" s="1546"/>
      <c r="AO34" s="1546"/>
      <c r="AP34" s="1709"/>
      <c r="AQ34" s="1709"/>
      <c r="AR34" s="1709"/>
      <c r="AS34" s="1709"/>
      <c r="AT34" s="222">
        <f t="shared" si="5"/>
        <v>0</v>
      </c>
      <c r="AU34" s="140">
        <f t="shared" si="6"/>
        <v>0</v>
      </c>
      <c r="AV34" s="132"/>
      <c r="AW34" s="140">
        <f t="shared" si="7"/>
        <v>0</v>
      </c>
      <c r="AX34" s="141"/>
      <c r="AY34" s="141"/>
      <c r="AZ34" s="908"/>
      <c r="BA34" s="1062"/>
      <c r="BB34" s="909">
        <v>800</v>
      </c>
      <c r="BC34" s="130">
        <f t="shared" si="8"/>
        <v>0</v>
      </c>
      <c r="BD34" s="132"/>
    </row>
    <row r="35" ht="14.25" customHeight="1">
      <c r="A35" s="132"/>
      <c r="B35" s="1506">
        <v>46051</v>
      </c>
      <c r="C35" s="906">
        <f>9281.45-0-0</f>
      </c>
      <c r="D35" s="136"/>
      <c r="E35" s="135"/>
      <c r="F35" s="135"/>
      <c r="G35" s="147">
        <f t="shared" si="0"/>
        <v>0</v>
      </c>
      <c r="H35" s="1149">
        <v>411.59</v>
      </c>
      <c r="I35" s="143"/>
      <c r="J35" s="143"/>
      <c r="K35" s="143"/>
      <c r="L35" s="905"/>
      <c r="M35" s="103">
        <f t="shared" si="1"/>
        <v>0</v>
      </c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03">
        <f t="shared" si="2"/>
        <v>0</v>
      </c>
      <c r="AA35" s="911">
        <v>1227.1</v>
      </c>
      <c r="AB35" s="136"/>
      <c r="AC35" s="136"/>
      <c r="AD35" s="105">
        <f t="shared" si="3"/>
        <v>0</v>
      </c>
      <c r="AE35" s="905"/>
      <c r="AF35" s="143"/>
      <c r="AG35" s="1509"/>
      <c r="AH35" s="1510">
        <f t="shared" si="4"/>
        <v>0</v>
      </c>
      <c r="AI35" s="1907">
        <v>7642.8</v>
      </c>
      <c r="AJ35" s="1709"/>
      <c r="AK35" s="1908"/>
      <c r="AL35" s="1546"/>
      <c r="AM35" s="1546"/>
      <c r="AN35" s="1546"/>
      <c r="AO35" s="1546"/>
      <c r="AP35" s="1709"/>
      <c r="AQ35" s="1709"/>
      <c r="AR35" s="1709"/>
      <c r="AS35" s="1709"/>
      <c r="AT35" s="222">
        <f t="shared" si="5"/>
        <v>0</v>
      </c>
      <c r="AU35" s="140">
        <f t="shared" si="6"/>
        <v>0</v>
      </c>
      <c r="AV35" s="132"/>
      <c r="AW35" s="140">
        <f t="shared" si="7"/>
        <v>0</v>
      </c>
      <c r="AX35" s="141"/>
      <c r="AY35" s="141"/>
      <c r="AZ35" s="908"/>
      <c r="BA35" s="910"/>
      <c r="BB35" s="909"/>
      <c r="BC35" s="130">
        <f t="shared" si="8"/>
        <v>0</v>
      </c>
      <c r="BD35" s="132"/>
    </row>
    <row r="36" ht="14.25" customHeight="1">
      <c r="A36" s="132"/>
      <c r="B36" s="1506">
        <v>46052</v>
      </c>
      <c r="C36" s="906">
        <f>42419.30-0-0</f>
      </c>
      <c r="D36" s="136"/>
      <c r="E36" s="135"/>
      <c r="F36" s="135"/>
      <c r="G36" s="147">
        <f t="shared" si="0"/>
        <v>0</v>
      </c>
      <c r="H36" s="1152">
        <v>300.2</v>
      </c>
      <c r="I36" s="143"/>
      <c r="J36" s="143"/>
      <c r="K36" s="143"/>
      <c r="L36" s="905"/>
      <c r="M36" s="103">
        <f t="shared" si="1"/>
        <v>0</v>
      </c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03">
        <f t="shared" si="2"/>
        <v>0</v>
      </c>
      <c r="AA36" s="906">
        <v>2906.35</v>
      </c>
      <c r="AB36" s="136"/>
      <c r="AC36" s="136"/>
      <c r="AD36" s="105">
        <f t="shared" si="3"/>
        <v>0</v>
      </c>
      <c r="AE36" s="987">
        <v>2918</v>
      </c>
      <c r="AF36" s="143"/>
      <c r="AG36" s="1509"/>
      <c r="AH36" s="1510">
        <f t="shared" si="4"/>
        <v>0</v>
      </c>
      <c r="AI36" s="1907">
        <v>7392.3</v>
      </c>
      <c r="AJ36" s="1718">
        <v>27910</v>
      </c>
      <c r="AK36" s="1909"/>
      <c r="AL36" s="1546"/>
      <c r="AM36" s="1546"/>
      <c r="AN36" s="1546"/>
      <c r="AO36" s="1546"/>
      <c r="AP36" s="1709"/>
      <c r="AQ36" s="1709"/>
      <c r="AR36" s="1709"/>
      <c r="AS36" s="1709"/>
      <c r="AT36" s="222">
        <f t="shared" si="5"/>
        <v>0</v>
      </c>
      <c r="AU36" s="140">
        <f t="shared" si="6"/>
        <v>0</v>
      </c>
      <c r="AV36" s="132"/>
      <c r="AW36" s="140">
        <f t="shared" si="7"/>
        <v>0</v>
      </c>
      <c r="AX36" s="141"/>
      <c r="AY36" s="141"/>
      <c r="AZ36" s="908"/>
      <c r="BA36" s="1261"/>
      <c r="BB36" s="909">
        <v>992.5</v>
      </c>
      <c r="BC36" s="130">
        <f t="shared" si="8"/>
        <v>0</v>
      </c>
      <c r="BD36" s="132"/>
    </row>
    <row r="37" ht="14.25" customHeight="1">
      <c r="A37" s="132"/>
      <c r="B37" s="1506">
        <v>46053</v>
      </c>
      <c r="C37" s="924">
        <f>13484.02-0-0</f>
      </c>
      <c r="D37" s="159"/>
      <c r="E37" s="156"/>
      <c r="F37" s="156"/>
      <c r="G37" s="147">
        <f t="shared" si="0"/>
        <v>0</v>
      </c>
      <c r="H37" s="1512">
        <v>1680.5</v>
      </c>
      <c r="I37" s="157"/>
      <c r="J37" s="157"/>
      <c r="K37" s="157"/>
      <c r="L37" s="923"/>
      <c r="M37" s="103">
        <f t="shared" si="1"/>
        <v>0</v>
      </c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03">
        <f t="shared" si="2"/>
        <v>0</v>
      </c>
      <c r="AA37" s="1001">
        <v>1625.2</v>
      </c>
      <c r="AB37" s="159"/>
      <c r="AC37" s="159"/>
      <c r="AD37" s="105">
        <f t="shared" si="3"/>
        <v>0</v>
      </c>
      <c r="AE37" s="1002"/>
      <c r="AF37" s="157"/>
      <c r="AG37" s="1513"/>
      <c r="AH37" s="1514">
        <f t="shared" si="4"/>
        <v>0</v>
      </c>
      <c r="AI37" s="1910">
        <v>10178.3</v>
      </c>
      <c r="AJ37" s="1720"/>
      <c r="AK37" s="1911"/>
      <c r="AL37" s="1557"/>
      <c r="AM37" s="1546"/>
      <c r="AN37" s="1546"/>
      <c r="AO37" s="1557"/>
      <c r="AP37" s="1720"/>
      <c r="AQ37" s="1720"/>
      <c r="AR37" s="1720"/>
      <c r="AS37" s="1720"/>
      <c r="AT37" s="222">
        <f t="shared" si="5"/>
        <v>0</v>
      </c>
      <c r="AU37" s="162">
        <f t="shared" si="6"/>
        <v>0</v>
      </c>
      <c r="AV37" s="132"/>
      <c r="AW37" s="162">
        <f t="shared" si="7"/>
        <v>0</v>
      </c>
      <c r="AX37" s="163"/>
      <c r="AY37" s="163"/>
      <c r="AZ37" s="926"/>
      <c r="BA37" s="1515"/>
      <c r="BB37" s="1515"/>
      <c r="BC37" s="164">
        <f t="shared" si="8"/>
        <v>0</v>
      </c>
      <c r="BD37" s="132"/>
    </row>
    <row r="38" ht="14.25" customHeight="1">
      <c r="A38" s="3"/>
      <c r="B38" s="1495" t="s">
        <v>186</v>
      </c>
      <c r="C38" s="166">
        <f ref="C38:BA38" t="shared" si="9">SUM(C7:C37)</f>
        <v>0</v>
      </c>
      <c r="D38" s="166">
        <f t="shared" si="9"/>
        <v>0</v>
      </c>
      <c r="E38" s="166">
        <f t="shared" si="9"/>
        <v>0</v>
      </c>
      <c r="F38" s="166">
        <f t="shared" si="9"/>
        <v>0</v>
      </c>
      <c r="G38" s="166">
        <f t="shared" si="9"/>
        <v>0</v>
      </c>
      <c r="H38" s="166">
        <f t="shared" si="9"/>
        <v>0</v>
      </c>
      <c r="I38" s="166">
        <f t="shared" si="9"/>
        <v>0</v>
      </c>
      <c r="J38" s="166">
        <f t="shared" si="9"/>
        <v>0</v>
      </c>
      <c r="K38" s="166">
        <f t="shared" si="9"/>
        <v>0</v>
      </c>
      <c r="L38" s="166">
        <f t="shared" si="9"/>
        <v>0</v>
      </c>
      <c r="M38" s="166">
        <f t="shared" si="9"/>
        <v>0</v>
      </c>
      <c r="N38" s="166">
        <f t="shared" si="9"/>
        <v>0</v>
      </c>
      <c r="O38" s="166">
        <f t="shared" si="9"/>
        <v>0</v>
      </c>
      <c r="P38" s="166">
        <f t="shared" si="9"/>
        <v>0</v>
      </c>
      <c r="Q38" s="166">
        <f t="shared" si="9"/>
        <v>0</v>
      </c>
      <c r="R38" s="166">
        <f t="shared" si="9"/>
        <v>0</v>
      </c>
      <c r="S38" s="166">
        <f t="shared" si="9"/>
        <v>0</v>
      </c>
      <c r="T38" s="166">
        <f t="shared" si="9"/>
        <v>0</v>
      </c>
      <c r="U38" s="166">
        <f t="shared" si="9"/>
        <v>0</v>
      </c>
      <c r="V38" s="166">
        <f t="shared" si="9"/>
        <v>0</v>
      </c>
      <c r="W38" s="166">
        <f t="shared" si="9"/>
        <v>0</v>
      </c>
      <c r="X38" s="166">
        <f t="shared" si="9"/>
        <v>0</v>
      </c>
      <c r="Y38" s="166">
        <f t="shared" si="9"/>
        <v>0</v>
      </c>
      <c r="Z38" s="166">
        <f t="shared" si="9"/>
        <v>0</v>
      </c>
      <c r="AA38" s="166">
        <f t="shared" si="9"/>
        <v>0</v>
      </c>
      <c r="AB38" s="166">
        <f t="shared" si="9"/>
        <v>0</v>
      </c>
      <c r="AC38" s="166">
        <f t="shared" si="9"/>
        <v>0</v>
      </c>
      <c r="AD38" s="166">
        <f t="shared" si="9"/>
        <v>0</v>
      </c>
      <c r="AE38" s="166">
        <f t="shared" si="9"/>
        <v>0</v>
      </c>
      <c r="AF38" s="166">
        <f t="shared" si="9"/>
        <v>0</v>
      </c>
      <c r="AG38" s="166">
        <f t="shared" si="9"/>
        <v>0</v>
      </c>
      <c r="AH38" s="170">
        <f t="shared" si="9"/>
        <v>0</v>
      </c>
      <c r="AI38" s="165">
        <f t="shared" si="9"/>
        <v>0</v>
      </c>
      <c r="AJ38" s="166">
        <f t="shared" si="9"/>
        <v>0</v>
      </c>
      <c r="AK38" s="166">
        <f t="shared" si="9"/>
        <v>0</v>
      </c>
      <c r="AL38" s="166">
        <f t="shared" si="9"/>
        <v>0</v>
      </c>
      <c r="AM38" s="166">
        <f t="shared" si="9"/>
        <v>0</v>
      </c>
      <c r="AN38" s="166">
        <f t="shared" si="9"/>
        <v>0</v>
      </c>
      <c r="AO38" s="166">
        <f t="shared" si="9"/>
        <v>0</v>
      </c>
      <c r="AP38" s="166">
        <f t="shared" si="9"/>
        <v>0</v>
      </c>
      <c r="AQ38" s="166">
        <f t="shared" si="9"/>
        <v>0</v>
      </c>
      <c r="AR38" s="166">
        <f t="shared" si="9"/>
        <v>0</v>
      </c>
      <c r="AS38" s="166">
        <f t="shared" si="9"/>
        <v>0</v>
      </c>
      <c r="AT38" s="166">
        <f t="shared" si="9"/>
        <v>0</v>
      </c>
      <c r="AU38" s="166">
        <f t="shared" si="9"/>
        <v>0</v>
      </c>
      <c r="AV38" s="166">
        <f t="shared" si="9"/>
        <v>0</v>
      </c>
      <c r="AW38" s="166">
        <f t="shared" si="9"/>
        <v>0</v>
      </c>
      <c r="AX38" s="166">
        <f t="shared" si="9"/>
        <v>0</v>
      </c>
      <c r="AY38" s="166">
        <f t="shared" si="9"/>
        <v>0</v>
      </c>
      <c r="AZ38" s="166">
        <f t="shared" si="9"/>
        <v>0</v>
      </c>
      <c r="BA38" s="166">
        <f t="shared" si="9"/>
        <v>0</v>
      </c>
      <c r="BB38" s="166"/>
      <c r="BC38" s="166">
        <f>SUM(BC7:BC37)</f>
        <v>0</v>
      </c>
      <c r="BD38" s="3"/>
    </row>
    <row r="39" ht="14.25" customHeight="1">
      <c r="A39" s="3"/>
      <c r="B39" s="1516"/>
      <c r="C39" s="3"/>
      <c r="D39" s="3"/>
      <c r="E39" s="3"/>
      <c r="F39" s="3"/>
      <c r="G39" s="4"/>
      <c r="H39" s="3"/>
      <c r="I39" s="3"/>
      <c r="J39" s="3"/>
      <c r="K39" s="3"/>
      <c r="L39" s="17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4"/>
      <c r="AE39" s="3"/>
      <c r="AF39" s="3"/>
      <c r="AG39" s="3"/>
      <c r="AH39" s="4"/>
      <c r="AI39" s="132"/>
      <c r="AJ39" s="132"/>
      <c r="AK39" s="132"/>
      <c r="AL39" s="3"/>
      <c r="AM39" s="3"/>
      <c r="AN39" s="3"/>
      <c r="AO39" s="132"/>
      <c r="AP39" s="132"/>
      <c r="AQ39" s="132"/>
      <c r="AR39" s="132"/>
      <c r="AS39" s="132"/>
      <c r="AT39" s="4"/>
      <c r="AU39" s="3"/>
      <c r="AV39" s="3"/>
      <c r="AW39" s="173"/>
      <c r="AX39" s="3"/>
      <c r="AY39" s="3"/>
      <c r="AZ39" s="3"/>
      <c r="BA39" s="3"/>
      <c r="BB39" s="3"/>
      <c r="BC39" s="173"/>
      <c r="BD39" s="3"/>
    </row>
    <row r="40" ht="14.25" customHeight="1">
      <c r="A40" s="3"/>
      <c r="B40" s="1516"/>
      <c r="C40" s="3"/>
      <c r="D40" s="3"/>
      <c r="E40" s="3"/>
      <c r="F40" s="3"/>
      <c r="G40" s="4"/>
      <c r="H40" s="3"/>
      <c r="I40" s="3"/>
      <c r="J40" s="3"/>
      <c r="K40" s="3"/>
      <c r="L40" s="17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176"/>
      <c r="AA40" s="3"/>
      <c r="AB40" s="3"/>
      <c r="AC40" s="3"/>
      <c r="AD40" s="4"/>
      <c r="AE40" s="3"/>
      <c r="AF40" s="3"/>
      <c r="AG40" s="3"/>
      <c r="AH40" s="4"/>
      <c r="AI40" s="132"/>
      <c r="AJ40" s="132"/>
      <c r="AK40" s="132"/>
      <c r="AL40" s="3"/>
      <c r="AM40" s="3"/>
      <c r="AN40" s="3"/>
      <c r="AO40" s="132"/>
      <c r="AP40" s="132"/>
      <c r="AQ40" s="132"/>
      <c r="AR40" s="132"/>
      <c r="AS40" s="132"/>
      <c r="AT40" s="177"/>
      <c r="AU40" s="3"/>
      <c r="AV40" s="3"/>
      <c r="AW40" s="178"/>
      <c r="AX40" s="176"/>
      <c r="AY40" s="176"/>
      <c r="AZ40" s="176"/>
      <c r="BA40" s="176"/>
      <c r="BB40" s="176"/>
      <c r="BC40" s="178"/>
      <c r="BD40" s="3"/>
    </row>
    <row r="41" ht="14.25" customHeight="1">
      <c r="A41" s="3"/>
      <c r="B41" s="1506">
        <v>46054</v>
      </c>
      <c r="C41" s="95">
        <f>11692.04-0-0</f>
      </c>
      <c r="D41" s="104"/>
      <c r="E41" s="97"/>
      <c r="F41" s="97"/>
      <c r="G41" s="216">
        <f ref="G41:G69" t="shared" si="10">+C41+D41+E41+F41</f>
        <v>0</v>
      </c>
      <c r="H41" s="187"/>
      <c r="I41" s="186"/>
      <c r="J41" s="186"/>
      <c r="K41" s="186"/>
      <c r="L41" s="186"/>
      <c r="M41" s="189">
        <f ref="M41:M69" t="shared" si="11">SUM(H41:L41)</f>
        <v>0</v>
      </c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03">
        <f ref="Z41:Z69" t="shared" si="12">SUM(N41:Y41)</f>
        <v>0</v>
      </c>
      <c r="AA41" s="95">
        <v>1629.5</v>
      </c>
      <c r="AB41" s="104"/>
      <c r="AC41" s="104"/>
      <c r="AD41" s="191">
        <f ref="AD41:AD69" t="shared" si="13">SUM(AA41:AC41)</f>
        <v>0</v>
      </c>
      <c r="AE41" s="186"/>
      <c r="AF41" s="186"/>
      <c r="AG41" s="1507"/>
      <c r="AH41" s="1508">
        <f ref="AH41:AH69" t="shared" si="14">+G41-M41-Z41-AD41-AE41-AF41-AG41</f>
        <v>0</v>
      </c>
      <c r="AI41" s="1912">
        <v>10062.5</v>
      </c>
      <c r="AJ41" s="1913"/>
      <c r="AK41" s="1913"/>
      <c r="AL41" s="196"/>
      <c r="AM41" s="196"/>
      <c r="AN41" s="196"/>
      <c r="AO41" s="196"/>
      <c r="AP41" s="490"/>
      <c r="AQ41" s="490"/>
      <c r="AR41" s="490"/>
      <c r="AS41" s="490"/>
      <c r="AT41" s="222">
        <f ref="AT41:AT69" t="shared" si="15">SUM(AI41:AS41)-AR41</f>
        <v>0</v>
      </c>
      <c r="AU41" s="114">
        <f ref="AU41:AU69" t="shared" si="16">+AH41-AT41</f>
        <v>0</v>
      </c>
      <c r="AV41" s="3"/>
      <c r="AW41" s="114">
        <f ref="AW41:AW69" t="shared" si="17">SUM(AX41:BB41)</f>
        <v>0</v>
      </c>
      <c r="AX41" s="115"/>
      <c r="AY41" s="115"/>
      <c r="AZ41" s="115"/>
      <c r="BA41" s="115"/>
      <c r="BB41" s="115"/>
      <c r="BC41" s="116">
        <f ref="BC41:BC69" t="shared" si="18">+AU41-AW41</f>
        <v>0</v>
      </c>
      <c r="BD41" s="3"/>
    </row>
    <row r="42" ht="14.25" customHeight="1">
      <c r="A42" s="3"/>
      <c r="B42" s="1506">
        <v>46055</v>
      </c>
      <c r="C42" s="119">
        <f>12335.69-0-0</f>
      </c>
      <c r="D42" s="123"/>
      <c r="E42" s="120"/>
      <c r="F42" s="120"/>
      <c r="G42" s="147">
        <f t="shared" si="10"/>
        <v>0</v>
      </c>
      <c r="H42" s="199">
        <v>869</v>
      </c>
      <c r="I42" s="143"/>
      <c r="J42" s="143"/>
      <c r="K42" s="143"/>
      <c r="L42" s="143"/>
      <c r="M42" s="103">
        <f t="shared" si="11"/>
        <v>0</v>
      </c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03">
        <f t="shared" si="12"/>
        <v>0</v>
      </c>
      <c r="AA42" s="119">
        <v>1746.1</v>
      </c>
      <c r="AB42" s="123"/>
      <c r="AC42" s="123"/>
      <c r="AD42" s="105">
        <f t="shared" si="13"/>
        <v>0</v>
      </c>
      <c r="AE42" s="143"/>
      <c r="AF42" s="143"/>
      <c r="AG42" s="1509"/>
      <c r="AH42" s="1510">
        <f t="shared" si="14"/>
        <v>0</v>
      </c>
      <c r="AI42" s="1914">
        <v>5220.6</v>
      </c>
      <c r="AJ42" s="1655"/>
      <c r="AK42" s="1655"/>
      <c r="AL42" s="141"/>
      <c r="AM42" s="141"/>
      <c r="AN42" s="141"/>
      <c r="AO42" s="141"/>
      <c r="AP42" s="152"/>
      <c r="AQ42" s="152"/>
      <c r="AR42" s="152"/>
      <c r="AS42" s="152"/>
      <c r="AT42" s="222">
        <f t="shared" si="15"/>
        <v>0</v>
      </c>
      <c r="AU42" s="113">
        <f t="shared" si="16"/>
        <v>0</v>
      </c>
      <c r="AV42" s="3"/>
      <c r="AW42" s="113">
        <f t="shared" si="17"/>
        <v>0</v>
      </c>
      <c r="AX42" s="129"/>
      <c r="AY42" s="129"/>
      <c r="AZ42" s="129"/>
      <c r="BA42" s="131"/>
      <c r="BB42" s="129">
        <v>4500</v>
      </c>
      <c r="BC42" s="130">
        <f t="shared" si="18"/>
        <v>0</v>
      </c>
      <c r="BD42" s="3"/>
    </row>
    <row r="43" ht="14.25" customHeight="1">
      <c r="A43" s="3"/>
      <c r="B43" s="1506">
        <v>46056</v>
      </c>
      <c r="C43" s="119">
        <f>11305.15-0-0</f>
      </c>
      <c r="D43" s="123"/>
      <c r="E43" s="120"/>
      <c r="F43" s="120"/>
      <c r="G43" s="147">
        <f t="shared" si="10"/>
        <v>0</v>
      </c>
      <c r="H43" s="199">
        <v>1311.4</v>
      </c>
      <c r="I43" s="143"/>
      <c r="J43" s="143"/>
      <c r="K43" s="143"/>
      <c r="L43" s="143"/>
      <c r="M43" s="103">
        <f t="shared" si="11"/>
        <v>0</v>
      </c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03">
        <f t="shared" si="12"/>
        <v>0</v>
      </c>
      <c r="AA43" s="119">
        <v>1120.9</v>
      </c>
      <c r="AB43" s="123"/>
      <c r="AC43" s="123"/>
      <c r="AD43" s="105">
        <f t="shared" si="13"/>
        <v>0</v>
      </c>
      <c r="AE43" s="143"/>
      <c r="AF43" s="143"/>
      <c r="AG43" s="1509"/>
      <c r="AH43" s="1510">
        <f t="shared" si="14"/>
        <v>0</v>
      </c>
      <c r="AI43" s="1914">
        <v>7050.3</v>
      </c>
      <c r="AJ43" s="1655"/>
      <c r="AK43" s="1655"/>
      <c r="AL43" s="141"/>
      <c r="AM43" s="141"/>
      <c r="AN43" s="141"/>
      <c r="AO43" s="141"/>
      <c r="AP43" s="152"/>
      <c r="AQ43" s="152"/>
      <c r="AR43" s="152"/>
      <c r="AS43" s="152"/>
      <c r="AT43" s="222">
        <f t="shared" si="15"/>
        <v>0</v>
      </c>
      <c r="AU43" s="113">
        <f t="shared" si="16"/>
        <v>0</v>
      </c>
      <c r="AV43" s="3"/>
      <c r="AW43" s="113">
        <f t="shared" si="17"/>
        <v>0</v>
      </c>
      <c r="AX43" s="129"/>
      <c r="AY43" s="129"/>
      <c r="AZ43" s="129"/>
      <c r="BA43" s="131"/>
      <c r="BB43" s="129">
        <v>1822.5</v>
      </c>
      <c r="BC43" s="130">
        <f t="shared" si="18"/>
        <v>0</v>
      </c>
      <c r="BD43" s="3"/>
    </row>
    <row r="44" ht="14.25" customHeight="1">
      <c r="A44" s="132"/>
      <c r="B44" s="1506">
        <v>46057</v>
      </c>
      <c r="C44" s="134">
        <f>11157.79-0-0</f>
      </c>
      <c r="D44" s="136"/>
      <c r="E44" s="135"/>
      <c r="F44" s="135"/>
      <c r="G44" s="147">
        <f t="shared" si="10"/>
        <v>0</v>
      </c>
      <c r="H44" s="144">
        <v>397.8</v>
      </c>
      <c r="I44" s="143"/>
      <c r="J44" s="143"/>
      <c r="K44" s="143"/>
      <c r="L44" s="134">
        <v>350</v>
      </c>
      <c r="M44" s="103">
        <f t="shared" si="11"/>
        <v>0</v>
      </c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03">
        <f t="shared" si="12"/>
        <v>0</v>
      </c>
      <c r="AA44" s="134">
        <v>1622.55</v>
      </c>
      <c r="AB44" s="136"/>
      <c r="AC44" s="136"/>
      <c r="AD44" s="105">
        <f t="shared" si="13"/>
        <v>0</v>
      </c>
      <c r="AE44" s="143"/>
      <c r="AF44" s="143"/>
      <c r="AG44" s="1509"/>
      <c r="AH44" s="1510">
        <f t="shared" si="14"/>
        <v>0</v>
      </c>
      <c r="AI44" s="1914">
        <v>8787.5</v>
      </c>
      <c r="AJ44" s="1655"/>
      <c r="AK44" s="1655"/>
      <c r="AL44" s="141"/>
      <c r="AM44" s="141"/>
      <c r="AN44" s="141"/>
      <c r="AO44" s="141"/>
      <c r="AP44" s="152"/>
      <c r="AQ44" s="152"/>
      <c r="AR44" s="152"/>
      <c r="AS44" s="152"/>
      <c r="AT44" s="222">
        <f t="shared" si="15"/>
        <v>0</v>
      </c>
      <c r="AU44" s="140">
        <f t="shared" si="16"/>
        <v>0</v>
      </c>
      <c r="AV44" s="132"/>
      <c r="AW44" s="140">
        <f t="shared" si="17"/>
        <v>0</v>
      </c>
      <c r="AX44" s="141"/>
      <c r="AY44" s="141"/>
      <c r="AZ44" s="141"/>
      <c r="BA44" s="495"/>
      <c r="BB44" s="495"/>
      <c r="BC44" s="130">
        <f t="shared" si="18"/>
        <v>0</v>
      </c>
      <c r="BD44" s="132"/>
    </row>
    <row r="45" ht="14.25" customHeight="1">
      <c r="A45" s="132"/>
      <c r="B45" s="1506">
        <v>46058</v>
      </c>
      <c r="C45" s="134">
        <f>13815.86-0-0</f>
      </c>
      <c r="D45" s="136"/>
      <c r="E45" s="135"/>
      <c r="F45" s="135"/>
      <c r="G45" s="147">
        <f t="shared" si="10"/>
        <v>0</v>
      </c>
      <c r="H45" s="199">
        <v>1357</v>
      </c>
      <c r="I45" s="143"/>
      <c r="J45" s="143"/>
      <c r="K45" s="143"/>
      <c r="L45" s="143"/>
      <c r="M45" s="103">
        <f t="shared" si="11"/>
        <v>0</v>
      </c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03">
        <f t="shared" si="12"/>
        <v>0</v>
      </c>
      <c r="AA45" s="134">
        <v>1838.7</v>
      </c>
      <c r="AB45" s="136"/>
      <c r="AC45" s="136"/>
      <c r="AD45" s="105">
        <f t="shared" si="13"/>
        <v>0</v>
      </c>
      <c r="AE45" s="145">
        <v>90</v>
      </c>
      <c r="AF45" s="143"/>
      <c r="AG45" s="1509"/>
      <c r="AH45" s="1510">
        <f t="shared" si="14"/>
        <v>0</v>
      </c>
      <c r="AI45" s="1914">
        <v>7950.1</v>
      </c>
      <c r="AJ45" s="1915">
        <v>2580</v>
      </c>
      <c r="AK45" s="1655"/>
      <c r="AL45" s="141"/>
      <c r="AM45" s="141"/>
      <c r="AN45" s="141"/>
      <c r="AO45" s="141"/>
      <c r="AP45" s="152"/>
      <c r="AQ45" s="152"/>
      <c r="AR45" s="152"/>
      <c r="AS45" s="152"/>
      <c r="AT45" s="222">
        <f t="shared" si="15"/>
        <v>0</v>
      </c>
      <c r="AU45" s="140">
        <f t="shared" si="16"/>
        <v>0</v>
      </c>
      <c r="AV45" s="132"/>
      <c r="AW45" s="140">
        <f t="shared" si="17"/>
        <v>0</v>
      </c>
      <c r="AX45" s="141"/>
      <c r="AY45" s="141"/>
      <c r="AZ45" s="141"/>
      <c r="BA45" s="141"/>
      <c r="BB45" s="141"/>
      <c r="BC45" s="130">
        <f t="shared" si="18"/>
        <v>0</v>
      </c>
      <c r="BD45" s="132"/>
    </row>
    <row r="46" ht="14.25" customHeight="1">
      <c r="A46" s="132"/>
      <c r="B46" s="1506">
        <v>46059</v>
      </c>
      <c r="C46" s="134">
        <f>45909.27-0-0</f>
      </c>
      <c r="D46" s="136"/>
      <c r="E46" s="135"/>
      <c r="F46" s="135"/>
      <c r="G46" s="147">
        <f t="shared" si="10"/>
        <v>0</v>
      </c>
      <c r="H46" s="199">
        <v>553</v>
      </c>
      <c r="I46" s="143"/>
      <c r="J46" s="143"/>
      <c r="K46" s="143"/>
      <c r="L46" s="143"/>
      <c r="M46" s="103">
        <f t="shared" si="11"/>
        <v>0</v>
      </c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03">
        <f t="shared" si="12"/>
        <v>0</v>
      </c>
      <c r="AA46" s="134">
        <v>2003</v>
      </c>
      <c r="AB46" s="136"/>
      <c r="AC46" s="136"/>
      <c r="AD46" s="105">
        <f t="shared" si="13"/>
        <v>0</v>
      </c>
      <c r="AE46" s="145">
        <v>3220</v>
      </c>
      <c r="AF46" s="143"/>
      <c r="AG46" s="1509"/>
      <c r="AH46" s="1510">
        <f t="shared" si="14"/>
        <v>0</v>
      </c>
      <c r="AI46" s="1914">
        <v>9203.3</v>
      </c>
      <c r="AJ46" s="1915">
        <v>30130</v>
      </c>
      <c r="AK46" s="1655"/>
      <c r="AL46" s="141"/>
      <c r="AM46" s="141"/>
      <c r="AN46" s="141"/>
      <c r="AO46" s="141"/>
      <c r="AP46" s="152"/>
      <c r="AQ46" s="152"/>
      <c r="AR46" s="152"/>
      <c r="AS46" s="152"/>
      <c r="AT46" s="222">
        <f t="shared" si="15"/>
        <v>0</v>
      </c>
      <c r="AU46" s="140">
        <f t="shared" si="16"/>
        <v>0</v>
      </c>
      <c r="AV46" s="132"/>
      <c r="AW46" s="140">
        <f t="shared" si="17"/>
        <v>0</v>
      </c>
      <c r="AX46" s="141"/>
      <c r="AY46" s="141"/>
      <c r="AZ46" s="141"/>
      <c r="BA46" s="150"/>
      <c r="BB46" s="141">
        <v>800</v>
      </c>
      <c r="BC46" s="130">
        <f t="shared" si="18"/>
        <v>0</v>
      </c>
      <c r="BD46" s="132"/>
    </row>
    <row r="47" ht="14.25" customHeight="1">
      <c r="A47" s="132"/>
      <c r="B47" s="1506">
        <v>46060</v>
      </c>
      <c r="C47" s="134">
        <f>12576.97-0-0</f>
      </c>
      <c r="D47" s="136"/>
      <c r="E47" s="135"/>
      <c r="F47" s="135"/>
      <c r="G47" s="147">
        <f t="shared" si="10"/>
        <v>0</v>
      </c>
      <c r="H47" s="199">
        <v>158</v>
      </c>
      <c r="I47" s="143"/>
      <c r="J47" s="143"/>
      <c r="K47" s="143"/>
      <c r="L47" s="143"/>
      <c r="M47" s="103">
        <f t="shared" si="11"/>
        <v>0</v>
      </c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03">
        <f t="shared" si="12"/>
        <v>0</v>
      </c>
      <c r="AA47" s="134">
        <v>1335.59</v>
      </c>
      <c r="AB47" s="136"/>
      <c r="AC47" s="136"/>
      <c r="AD47" s="105">
        <f t="shared" si="13"/>
        <v>0</v>
      </c>
      <c r="AE47" s="143"/>
      <c r="AF47" s="143"/>
      <c r="AG47" s="1509"/>
      <c r="AH47" s="1510">
        <f t="shared" si="14"/>
        <v>0</v>
      </c>
      <c r="AI47" s="1914">
        <v>10963.4</v>
      </c>
      <c r="AJ47" s="1655"/>
      <c r="AK47" s="1655"/>
      <c r="AL47" s="141"/>
      <c r="AM47" s="141"/>
      <c r="AN47" s="141"/>
      <c r="AO47" s="141"/>
      <c r="AP47" s="152"/>
      <c r="AQ47" s="152"/>
      <c r="AR47" s="152"/>
      <c r="AS47" s="152"/>
      <c r="AT47" s="222">
        <f t="shared" si="15"/>
        <v>0</v>
      </c>
      <c r="AU47" s="140">
        <f t="shared" si="16"/>
        <v>0</v>
      </c>
      <c r="AV47" s="132"/>
      <c r="AW47" s="140">
        <f t="shared" si="17"/>
        <v>0</v>
      </c>
      <c r="AX47" s="141"/>
      <c r="AY47" s="141"/>
      <c r="AZ47" s="141"/>
      <c r="BA47" s="150"/>
      <c r="BB47" s="141">
        <v>120</v>
      </c>
      <c r="BC47" s="130">
        <f t="shared" si="18"/>
        <v>0</v>
      </c>
      <c r="BD47" s="132"/>
    </row>
    <row r="48" ht="14.25" customHeight="1">
      <c r="A48" s="132"/>
      <c r="B48" s="1506">
        <v>46061</v>
      </c>
      <c r="C48" s="134">
        <f>15089.11-0-0</f>
      </c>
      <c r="D48" s="136"/>
      <c r="E48" s="135"/>
      <c r="F48" s="135"/>
      <c r="G48" s="147">
        <f t="shared" si="10"/>
        <v>0</v>
      </c>
      <c r="H48" s="144"/>
      <c r="I48" s="143"/>
      <c r="J48" s="143"/>
      <c r="K48" s="143"/>
      <c r="L48" s="143"/>
      <c r="M48" s="103">
        <f t="shared" si="11"/>
        <v>0</v>
      </c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03">
        <f t="shared" si="12"/>
        <v>0</v>
      </c>
      <c r="AA48" s="134">
        <v>2091.6</v>
      </c>
      <c r="AB48" s="136"/>
      <c r="AC48" s="136"/>
      <c r="AD48" s="105">
        <f t="shared" si="13"/>
        <v>0</v>
      </c>
      <c r="AE48" s="143"/>
      <c r="AF48" s="143"/>
      <c r="AG48" s="1509"/>
      <c r="AH48" s="1510">
        <f t="shared" si="14"/>
        <v>0</v>
      </c>
      <c r="AI48" s="1914">
        <v>12997.5</v>
      </c>
      <c r="AJ48" s="1655"/>
      <c r="AK48" s="1655"/>
      <c r="AL48" s="141"/>
      <c r="AM48" s="141"/>
      <c r="AN48" s="141"/>
      <c r="AO48" s="141"/>
      <c r="AP48" s="152"/>
      <c r="AQ48" s="152"/>
      <c r="AR48" s="152"/>
      <c r="AS48" s="152"/>
      <c r="AT48" s="222">
        <f t="shared" si="15"/>
        <v>0</v>
      </c>
      <c r="AU48" s="140">
        <f t="shared" si="16"/>
        <v>0</v>
      </c>
      <c r="AV48" s="132"/>
      <c r="AW48" s="140">
        <f t="shared" si="17"/>
        <v>0</v>
      </c>
      <c r="AX48" s="141"/>
      <c r="AY48" s="141"/>
      <c r="AZ48" s="141"/>
      <c r="BA48" s="141"/>
      <c r="BB48" s="141"/>
      <c r="BC48" s="130">
        <f t="shared" si="18"/>
        <v>0</v>
      </c>
      <c r="BD48" s="132"/>
    </row>
    <row r="49" ht="14.25" customHeight="1">
      <c r="A49" s="132"/>
      <c r="B49" s="1506">
        <v>46062</v>
      </c>
      <c r="C49" s="134">
        <f>13141.53-0-0</f>
      </c>
      <c r="D49" s="136"/>
      <c r="E49" s="135"/>
      <c r="F49" s="135"/>
      <c r="G49" s="147">
        <f t="shared" si="10"/>
        <v>0</v>
      </c>
      <c r="H49" s="199">
        <v>2183.3</v>
      </c>
      <c r="I49" s="143"/>
      <c r="J49" s="143"/>
      <c r="K49" s="143"/>
      <c r="L49" s="143"/>
      <c r="M49" s="103">
        <f t="shared" si="11"/>
        <v>0</v>
      </c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03">
        <f t="shared" si="12"/>
        <v>0</v>
      </c>
      <c r="AA49" s="134">
        <v>1251.5</v>
      </c>
      <c r="AB49" s="136"/>
      <c r="AC49" s="136"/>
      <c r="AD49" s="105">
        <f t="shared" si="13"/>
        <v>0</v>
      </c>
      <c r="AE49" s="143"/>
      <c r="AF49" s="143"/>
      <c r="AG49" s="1509"/>
      <c r="AH49" s="1510">
        <f t="shared" si="14"/>
        <v>0</v>
      </c>
      <c r="AI49" s="1914">
        <v>9706.7</v>
      </c>
      <c r="AJ49" s="1655"/>
      <c r="AK49" s="1655"/>
      <c r="AL49" s="141"/>
      <c r="AM49" s="141"/>
      <c r="AN49" s="141"/>
      <c r="AO49" s="141"/>
      <c r="AP49" s="152"/>
      <c r="AQ49" s="152"/>
      <c r="AR49" s="152"/>
      <c r="AS49" s="152"/>
      <c r="AT49" s="222">
        <f t="shared" si="15"/>
        <v>0</v>
      </c>
      <c r="AU49" s="140">
        <f t="shared" si="16"/>
        <v>0</v>
      </c>
      <c r="AV49" s="132"/>
      <c r="AW49" s="140">
        <f t="shared" si="17"/>
        <v>0</v>
      </c>
      <c r="AX49" s="141"/>
      <c r="AY49" s="141"/>
      <c r="AZ49" s="141"/>
      <c r="BA49" s="141"/>
      <c r="BB49" s="141"/>
      <c r="BC49" s="130">
        <f t="shared" si="18"/>
        <v>0</v>
      </c>
      <c r="BD49" s="132"/>
    </row>
    <row r="50" ht="14.25" customHeight="1">
      <c r="A50" s="132"/>
      <c r="B50" s="1506">
        <v>46063</v>
      </c>
      <c r="C50" s="134">
        <f>44163.04-0-0</f>
      </c>
      <c r="D50" s="136"/>
      <c r="E50" s="135"/>
      <c r="F50" s="135"/>
      <c r="G50" s="147">
        <f t="shared" si="10"/>
        <v>0</v>
      </c>
      <c r="H50" s="199">
        <v>1074.4</v>
      </c>
      <c r="I50" s="143"/>
      <c r="J50" s="143"/>
      <c r="K50" s="143"/>
      <c r="L50" s="143"/>
      <c r="M50" s="103">
        <f t="shared" si="11"/>
        <v>0</v>
      </c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03">
        <f t="shared" si="12"/>
        <v>0</v>
      </c>
      <c r="AA50" s="134">
        <v>2531.69</v>
      </c>
      <c r="AB50" s="136"/>
      <c r="AC50" s="136"/>
      <c r="AD50" s="105">
        <f t="shared" si="13"/>
        <v>0</v>
      </c>
      <c r="AE50" s="145">
        <v>2890</v>
      </c>
      <c r="AF50" s="143"/>
      <c r="AG50" s="1509"/>
      <c r="AH50" s="1510">
        <f t="shared" si="14"/>
        <v>0</v>
      </c>
      <c r="AI50" s="1914">
        <v>8957</v>
      </c>
      <c r="AJ50" s="1915">
        <v>27910</v>
      </c>
      <c r="AK50" s="1655"/>
      <c r="AL50" s="141"/>
      <c r="AM50" s="141"/>
      <c r="AN50" s="141"/>
      <c r="AO50" s="141"/>
      <c r="AP50" s="152"/>
      <c r="AQ50" s="152"/>
      <c r="AR50" s="152"/>
      <c r="AS50" s="152"/>
      <c r="AT50" s="222">
        <f t="shared" si="15"/>
        <v>0</v>
      </c>
      <c r="AU50" s="140">
        <f t="shared" si="16"/>
        <v>0</v>
      </c>
      <c r="AV50" s="132"/>
      <c r="AW50" s="140">
        <f t="shared" si="17"/>
        <v>0</v>
      </c>
      <c r="AX50" s="141"/>
      <c r="AY50" s="141"/>
      <c r="AZ50" s="141"/>
      <c r="BA50" s="150"/>
      <c r="BB50" s="141">
        <v>800</v>
      </c>
      <c r="BC50" s="130">
        <f t="shared" si="18"/>
        <v>0</v>
      </c>
      <c r="BD50" s="132"/>
    </row>
    <row r="51" ht="14.25" customHeight="1">
      <c r="A51" s="132"/>
      <c r="B51" s="1506">
        <v>46064</v>
      </c>
      <c r="C51" s="134">
        <f>11539.73-0-0</f>
      </c>
      <c r="D51" s="136"/>
      <c r="E51" s="135"/>
      <c r="F51" s="135"/>
      <c r="G51" s="147">
        <f t="shared" si="10"/>
        <v>0</v>
      </c>
      <c r="H51" s="199">
        <v>805.8</v>
      </c>
      <c r="I51" s="143"/>
      <c r="J51" s="143"/>
      <c r="K51" s="143"/>
      <c r="L51" s="143"/>
      <c r="M51" s="103">
        <f t="shared" si="11"/>
        <v>0</v>
      </c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03">
        <f t="shared" si="12"/>
        <v>0</v>
      </c>
      <c r="AA51" s="134">
        <v>1615.9</v>
      </c>
      <c r="AB51" s="136"/>
      <c r="AC51" s="136"/>
      <c r="AD51" s="105">
        <f t="shared" si="13"/>
        <v>0</v>
      </c>
      <c r="AE51" s="145">
        <v>10</v>
      </c>
      <c r="AF51" s="143"/>
      <c r="AG51" s="1509"/>
      <c r="AH51" s="1510">
        <f t="shared" si="14"/>
        <v>0</v>
      </c>
      <c r="AI51" s="1914">
        <v>9107.1</v>
      </c>
      <c r="AJ51" s="1655"/>
      <c r="AK51" s="1655"/>
      <c r="AL51" s="141"/>
      <c r="AM51" s="141"/>
      <c r="AN51" s="141"/>
      <c r="AO51" s="141"/>
      <c r="AP51" s="152"/>
      <c r="AQ51" s="152"/>
      <c r="AR51" s="152"/>
      <c r="AS51" s="152"/>
      <c r="AT51" s="222">
        <f t="shared" si="15"/>
        <v>0</v>
      </c>
      <c r="AU51" s="140">
        <f t="shared" si="16"/>
        <v>0</v>
      </c>
      <c r="AV51" s="132"/>
      <c r="AW51" s="140">
        <f t="shared" si="17"/>
        <v>0</v>
      </c>
      <c r="AX51" s="141"/>
      <c r="AY51" s="141"/>
      <c r="AZ51" s="141"/>
      <c r="BA51" s="141"/>
      <c r="BB51" s="141"/>
      <c r="BC51" s="130">
        <f t="shared" si="18"/>
        <v>0</v>
      </c>
      <c r="BD51" s="132"/>
    </row>
    <row r="52" ht="14.25" customHeight="1">
      <c r="A52" s="132"/>
      <c r="B52" s="1506">
        <v>46065</v>
      </c>
      <c r="C52" s="134">
        <f>13295.32-0-0</f>
      </c>
      <c r="D52" s="136"/>
      <c r="E52" s="135"/>
      <c r="F52" s="135"/>
      <c r="G52" s="147">
        <f t="shared" si="10"/>
        <v>0</v>
      </c>
      <c r="H52" s="199">
        <v>553</v>
      </c>
      <c r="I52" s="143"/>
      <c r="J52" s="143"/>
      <c r="K52" s="143"/>
      <c r="L52" s="145">
        <v>350</v>
      </c>
      <c r="M52" s="103">
        <f t="shared" si="11"/>
        <v>0</v>
      </c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03">
        <f t="shared" si="12"/>
        <v>0</v>
      </c>
      <c r="AA52" s="134">
        <v>1997.7</v>
      </c>
      <c r="AB52" s="136"/>
      <c r="AC52" s="136"/>
      <c r="AD52" s="105">
        <f t="shared" si="13"/>
        <v>0</v>
      </c>
      <c r="AE52" s="145">
        <v>35.04</v>
      </c>
      <c r="AF52" s="143"/>
      <c r="AG52" s="1509"/>
      <c r="AH52" s="1510">
        <f t="shared" si="14"/>
        <v>0</v>
      </c>
      <c r="AI52" s="1914">
        <v>10060.6</v>
      </c>
      <c r="AJ52" s="1655"/>
      <c r="AK52" s="1655"/>
      <c r="AL52" s="141"/>
      <c r="AM52" s="141"/>
      <c r="AN52" s="141"/>
      <c r="AO52" s="141"/>
      <c r="AP52" s="152"/>
      <c r="AQ52" s="152"/>
      <c r="AR52" s="152"/>
      <c r="AS52" s="152"/>
      <c r="AT52" s="222">
        <f t="shared" si="15"/>
        <v>0</v>
      </c>
      <c r="AU52" s="140">
        <f t="shared" si="16"/>
        <v>0</v>
      </c>
      <c r="AV52" s="132"/>
      <c r="AW52" s="140">
        <f t="shared" si="17"/>
        <v>0</v>
      </c>
      <c r="AX52" s="141"/>
      <c r="AY52" s="141"/>
      <c r="AZ52" s="141"/>
      <c r="BA52" s="150"/>
      <c r="BB52" s="141">
        <v>300</v>
      </c>
      <c r="BC52" s="130">
        <f t="shared" si="18"/>
        <v>0</v>
      </c>
      <c r="BD52" s="132"/>
    </row>
    <row r="53" ht="14.25" customHeight="1">
      <c r="A53" s="132"/>
      <c r="B53" s="1506">
        <v>46066</v>
      </c>
      <c r="C53" s="134">
        <f>9429.63-0-0</f>
      </c>
      <c r="D53" s="136"/>
      <c r="E53" s="135"/>
      <c r="F53" s="135"/>
      <c r="G53" s="147">
        <f t="shared" si="10"/>
        <v>0</v>
      </c>
      <c r="H53" s="199">
        <v>884.8</v>
      </c>
      <c r="I53" s="143"/>
      <c r="J53" s="143"/>
      <c r="K53" s="143"/>
      <c r="L53" s="143"/>
      <c r="M53" s="103">
        <f t="shared" si="11"/>
        <v>0</v>
      </c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03">
        <f t="shared" si="12"/>
        <v>0</v>
      </c>
      <c r="AA53" s="134">
        <v>873.7</v>
      </c>
      <c r="AB53" s="136"/>
      <c r="AC53" s="136"/>
      <c r="AD53" s="105">
        <f t="shared" si="13"/>
        <v>0</v>
      </c>
      <c r="AE53" s="143"/>
      <c r="AF53" s="143"/>
      <c r="AG53" s="1509"/>
      <c r="AH53" s="1510">
        <f t="shared" si="14"/>
        <v>0</v>
      </c>
      <c r="AI53" s="1914">
        <v>7598.6</v>
      </c>
      <c r="AJ53" s="1655"/>
      <c r="AK53" s="1655"/>
      <c r="AL53" s="141"/>
      <c r="AM53" s="141"/>
      <c r="AN53" s="141"/>
      <c r="AO53" s="141"/>
      <c r="AP53" s="152"/>
      <c r="AQ53" s="152"/>
      <c r="AR53" s="152"/>
      <c r="AS53" s="152"/>
      <c r="AT53" s="222">
        <f t="shared" si="15"/>
        <v>0</v>
      </c>
      <c r="AU53" s="140">
        <f t="shared" si="16"/>
        <v>0</v>
      </c>
      <c r="AV53" s="132"/>
      <c r="AW53" s="140">
        <f t="shared" si="17"/>
        <v>0</v>
      </c>
      <c r="AX53" s="141"/>
      <c r="AY53" s="141"/>
      <c r="AZ53" s="141"/>
      <c r="BA53" s="150"/>
      <c r="BB53" s="141">
        <v>72.5</v>
      </c>
      <c r="BC53" s="130">
        <f t="shared" si="18"/>
        <v>0</v>
      </c>
      <c r="BD53" s="132"/>
    </row>
    <row r="54" ht="14.25" customHeight="1">
      <c r="A54" s="132"/>
      <c r="B54" s="1506">
        <v>46067</v>
      </c>
      <c r="C54" s="134">
        <f>10928.89-0-0</f>
      </c>
      <c r="D54" s="136"/>
      <c r="E54" s="135"/>
      <c r="F54" s="135"/>
      <c r="G54" s="147">
        <f t="shared" si="10"/>
        <v>0</v>
      </c>
      <c r="H54" s="199">
        <v>363.4</v>
      </c>
      <c r="I54" s="143"/>
      <c r="J54" s="143"/>
      <c r="K54" s="143"/>
      <c r="L54" s="143"/>
      <c r="M54" s="103">
        <f t="shared" si="11"/>
        <v>0</v>
      </c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03">
        <f t="shared" si="12"/>
        <v>0</v>
      </c>
      <c r="AA54" s="134">
        <v>1931.1</v>
      </c>
      <c r="AB54" s="136"/>
      <c r="AC54" s="136"/>
      <c r="AD54" s="105">
        <f t="shared" si="13"/>
        <v>0</v>
      </c>
      <c r="AE54" s="143"/>
      <c r="AF54" s="143"/>
      <c r="AG54" s="1509"/>
      <c r="AH54" s="1510">
        <f t="shared" si="14"/>
        <v>0</v>
      </c>
      <c r="AI54" s="1914">
        <v>8034.4</v>
      </c>
      <c r="AJ54" s="1655"/>
      <c r="AK54" s="1655"/>
      <c r="AL54" s="141"/>
      <c r="AM54" s="141"/>
      <c r="AN54" s="141"/>
      <c r="AO54" s="141"/>
      <c r="AP54" s="152"/>
      <c r="AQ54" s="152"/>
      <c r="AR54" s="152"/>
      <c r="AS54" s="152"/>
      <c r="AT54" s="222">
        <f t="shared" si="15"/>
        <v>0</v>
      </c>
      <c r="AU54" s="140">
        <f t="shared" si="16"/>
        <v>0</v>
      </c>
      <c r="AV54" s="132"/>
      <c r="AW54" s="140">
        <f t="shared" si="17"/>
        <v>0</v>
      </c>
      <c r="AX54" s="141"/>
      <c r="AY54" s="141"/>
      <c r="AZ54" s="141"/>
      <c r="BA54" s="150"/>
      <c r="BB54" s="141">
        <v>600</v>
      </c>
      <c r="BC54" s="130">
        <f t="shared" si="18"/>
        <v>0</v>
      </c>
      <c r="BD54" s="132"/>
    </row>
    <row r="55" ht="14.25" customHeight="1">
      <c r="A55" s="132"/>
      <c r="B55" s="1506">
        <v>46068</v>
      </c>
      <c r="C55" s="134">
        <f>12218.15-0-0</f>
      </c>
      <c r="D55" s="136"/>
      <c r="E55" s="135"/>
      <c r="F55" s="135"/>
      <c r="G55" s="147">
        <f t="shared" si="10"/>
        <v>0</v>
      </c>
      <c r="H55" s="144"/>
      <c r="I55" s="143"/>
      <c r="J55" s="143"/>
      <c r="K55" s="143"/>
      <c r="L55" s="143"/>
      <c r="M55" s="103">
        <f t="shared" si="11"/>
        <v>0</v>
      </c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03">
        <f t="shared" si="12"/>
        <v>0</v>
      </c>
      <c r="AA55" s="134">
        <v>1737.81</v>
      </c>
      <c r="AB55" s="136"/>
      <c r="AC55" s="136"/>
      <c r="AD55" s="105">
        <f t="shared" si="13"/>
        <v>0</v>
      </c>
      <c r="AE55" s="143"/>
      <c r="AF55" s="143"/>
      <c r="AG55" s="1509"/>
      <c r="AH55" s="1510">
        <f t="shared" si="14"/>
        <v>0</v>
      </c>
      <c r="AI55" s="1914">
        <v>10480.3</v>
      </c>
      <c r="AJ55" s="1655"/>
      <c r="AK55" s="1655"/>
      <c r="AL55" s="141"/>
      <c r="AM55" s="141"/>
      <c r="AN55" s="141"/>
      <c r="AO55" s="141"/>
      <c r="AP55" s="152"/>
      <c r="AQ55" s="152"/>
      <c r="AR55" s="152"/>
      <c r="AS55" s="152"/>
      <c r="AT55" s="222">
        <f t="shared" si="15"/>
        <v>0</v>
      </c>
      <c r="AU55" s="140">
        <f t="shared" si="16"/>
        <v>0</v>
      </c>
      <c r="AV55" s="132"/>
      <c r="AW55" s="140">
        <f t="shared" si="17"/>
        <v>0</v>
      </c>
      <c r="AX55" s="141"/>
      <c r="AY55" s="141"/>
      <c r="AZ55" s="141"/>
      <c r="BA55" s="141"/>
      <c r="BB55" s="141"/>
      <c r="BC55" s="130">
        <f t="shared" si="18"/>
        <v>0</v>
      </c>
      <c r="BD55" s="132"/>
    </row>
    <row r="56" ht="14.25" customHeight="1">
      <c r="A56" s="132"/>
      <c r="B56" s="1506">
        <v>46069</v>
      </c>
      <c r="C56" s="134">
        <f>42197.63-0-0</f>
      </c>
      <c r="D56" s="136"/>
      <c r="E56" s="135"/>
      <c r="F56" s="135"/>
      <c r="G56" s="147">
        <f t="shared" si="10"/>
        <v>0</v>
      </c>
      <c r="H56" s="199">
        <v>15.8</v>
      </c>
      <c r="I56" s="143"/>
      <c r="J56" s="143"/>
      <c r="K56" s="143"/>
      <c r="L56" s="143"/>
      <c r="M56" s="103">
        <f t="shared" si="11"/>
        <v>0</v>
      </c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03">
        <f t="shared" si="12"/>
        <v>0</v>
      </c>
      <c r="AA56" s="134">
        <v>2002.5</v>
      </c>
      <c r="AB56" s="136"/>
      <c r="AC56" s="136"/>
      <c r="AD56" s="105">
        <f t="shared" si="13"/>
        <v>0</v>
      </c>
      <c r="AE56" s="145">
        <v>2800</v>
      </c>
      <c r="AF56" s="143"/>
      <c r="AG56" s="1509"/>
      <c r="AH56" s="1510">
        <f t="shared" si="14"/>
        <v>0</v>
      </c>
      <c r="AI56" s="1914">
        <v>9436.8</v>
      </c>
      <c r="AJ56" s="1915">
        <v>27070</v>
      </c>
      <c r="AK56" s="1655"/>
      <c r="AL56" s="141"/>
      <c r="AM56" s="141"/>
      <c r="AN56" s="141"/>
      <c r="AO56" s="141"/>
      <c r="AP56" s="152"/>
      <c r="AQ56" s="152"/>
      <c r="AR56" s="152"/>
      <c r="AS56" s="152"/>
      <c r="AT56" s="222">
        <f t="shared" si="15"/>
        <v>0</v>
      </c>
      <c r="AU56" s="140">
        <f t="shared" si="16"/>
        <v>0</v>
      </c>
      <c r="AV56" s="132"/>
      <c r="AW56" s="140">
        <f t="shared" si="17"/>
        <v>0</v>
      </c>
      <c r="AX56" s="141"/>
      <c r="AY56" s="141"/>
      <c r="AZ56" s="141"/>
      <c r="BA56" s="150"/>
      <c r="BB56" s="141">
        <v>872.5</v>
      </c>
      <c r="BC56" s="130">
        <f t="shared" si="18"/>
        <v>0</v>
      </c>
      <c r="BD56" s="132"/>
    </row>
    <row r="57" ht="14.25" customHeight="1">
      <c r="A57" s="132"/>
      <c r="B57" s="1506">
        <v>46070</v>
      </c>
      <c r="C57" s="134">
        <f>9689.23-0-0</f>
      </c>
      <c r="D57" s="136"/>
      <c r="E57" s="135"/>
      <c r="F57" s="135"/>
      <c r="G57" s="147">
        <f t="shared" si="10"/>
        <v>0</v>
      </c>
      <c r="H57" s="199">
        <v>410.8</v>
      </c>
      <c r="I57" s="143"/>
      <c r="J57" s="143"/>
      <c r="K57" s="143"/>
      <c r="L57" s="143"/>
      <c r="M57" s="103">
        <f t="shared" si="11"/>
        <v>0</v>
      </c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03">
        <f t="shared" si="12"/>
        <v>0</v>
      </c>
      <c r="AA57" s="134">
        <v>840.5</v>
      </c>
      <c r="AB57" s="136"/>
      <c r="AC57" s="136"/>
      <c r="AD57" s="105">
        <f t="shared" si="13"/>
        <v>0</v>
      </c>
      <c r="AE57" s="143"/>
      <c r="AF57" s="143"/>
      <c r="AG57" s="1509"/>
      <c r="AH57" s="1510">
        <f t="shared" si="14"/>
        <v>0</v>
      </c>
      <c r="AI57" s="1914">
        <v>8437.9</v>
      </c>
      <c r="AJ57" s="1916"/>
      <c r="AK57" s="1656"/>
      <c r="AL57" s="141"/>
      <c r="AM57" s="152"/>
      <c r="AN57" s="141"/>
      <c r="AO57" s="141"/>
      <c r="AP57" s="152"/>
      <c r="AQ57" s="152"/>
      <c r="AR57" s="152"/>
      <c r="AS57" s="152"/>
      <c r="AT57" s="222">
        <f t="shared" si="15"/>
        <v>0</v>
      </c>
      <c r="AU57" s="140">
        <f t="shared" si="16"/>
        <v>0</v>
      </c>
      <c r="AV57" s="132"/>
      <c r="AW57" s="140">
        <f t="shared" si="17"/>
        <v>0</v>
      </c>
      <c r="AX57" s="141"/>
      <c r="AY57" s="141"/>
      <c r="AZ57" s="141"/>
      <c r="BA57" s="141"/>
      <c r="BB57" s="141"/>
      <c r="BC57" s="130">
        <f t="shared" si="18"/>
        <v>0</v>
      </c>
      <c r="BD57" s="132"/>
    </row>
    <row r="58" ht="14.25" customHeight="1">
      <c r="A58" s="132"/>
      <c r="B58" s="1506">
        <v>46071</v>
      </c>
      <c r="C58" s="134">
        <f>14021.52-0-0</f>
      </c>
      <c r="D58" s="136"/>
      <c r="E58" s="135"/>
      <c r="F58" s="135"/>
      <c r="G58" s="147">
        <f t="shared" si="10"/>
        <v>0</v>
      </c>
      <c r="H58" s="199">
        <v>379.2</v>
      </c>
      <c r="I58" s="143"/>
      <c r="J58" s="143"/>
      <c r="K58" s="143"/>
      <c r="L58" s="143"/>
      <c r="M58" s="103">
        <f t="shared" si="11"/>
        <v>0</v>
      </c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03">
        <f t="shared" si="12"/>
        <v>0</v>
      </c>
      <c r="AA58" s="134">
        <v>2252.4</v>
      </c>
      <c r="AB58" s="136"/>
      <c r="AC58" s="136"/>
      <c r="AD58" s="105">
        <f t="shared" si="13"/>
        <v>0</v>
      </c>
      <c r="AE58" s="145">
        <v>120</v>
      </c>
      <c r="AF58" s="143"/>
      <c r="AG58" s="1509"/>
      <c r="AH58" s="1510">
        <f t="shared" si="14"/>
        <v>0</v>
      </c>
      <c r="AI58" s="1914">
        <v>9450.9</v>
      </c>
      <c r="AJ58" s="1915">
        <v>1710</v>
      </c>
      <c r="AK58" s="1655"/>
      <c r="AL58" s="141"/>
      <c r="AM58" s="141"/>
      <c r="AN58" s="141"/>
      <c r="AO58" s="141"/>
      <c r="AP58" s="152"/>
      <c r="AQ58" s="152"/>
      <c r="AR58" s="152"/>
      <c r="AS58" s="152"/>
      <c r="AT58" s="222">
        <f t="shared" si="15"/>
        <v>0</v>
      </c>
      <c r="AU58" s="140">
        <f t="shared" si="16"/>
        <v>0</v>
      </c>
      <c r="AV58" s="132"/>
      <c r="AW58" s="140">
        <f t="shared" si="17"/>
        <v>0</v>
      </c>
      <c r="AX58" s="141"/>
      <c r="AY58" s="141"/>
      <c r="AZ58" s="141"/>
      <c r="BA58" s="150"/>
      <c r="BB58" s="141">
        <v>108</v>
      </c>
      <c r="BC58" s="130">
        <f t="shared" si="18"/>
        <v>0</v>
      </c>
      <c r="BD58" s="132"/>
    </row>
    <row r="59" ht="14.25" customHeight="1">
      <c r="A59" s="132"/>
      <c r="B59" s="1506">
        <v>46072</v>
      </c>
      <c r="C59" s="134">
        <f>46545.56-0-0</f>
      </c>
      <c r="D59" s="136"/>
      <c r="E59" s="135"/>
      <c r="F59" s="135"/>
      <c r="G59" s="147">
        <f t="shared" si="10"/>
        <v>0</v>
      </c>
      <c r="H59" s="144">
        <v>2381.3</v>
      </c>
      <c r="I59" s="143"/>
      <c r="J59" s="143"/>
      <c r="K59" s="143"/>
      <c r="L59" s="145">
        <v>350</v>
      </c>
      <c r="M59" s="103">
        <f t="shared" si="11"/>
        <v>0</v>
      </c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03">
        <f t="shared" si="12"/>
        <v>0</v>
      </c>
      <c r="AA59" s="134">
        <v>2126.5</v>
      </c>
      <c r="AB59" s="136"/>
      <c r="AC59" s="136"/>
      <c r="AD59" s="105">
        <f t="shared" si="13"/>
        <v>0</v>
      </c>
      <c r="AE59" s="145">
        <v>3170</v>
      </c>
      <c r="AF59" s="143"/>
      <c r="AG59" s="1509"/>
      <c r="AH59" s="1510">
        <f t="shared" si="14"/>
        <v>0</v>
      </c>
      <c r="AI59" s="1914">
        <v>8142.8</v>
      </c>
      <c r="AJ59" s="1915">
        <v>29475</v>
      </c>
      <c r="AK59" s="1655"/>
      <c r="AL59" s="141"/>
      <c r="AM59" s="141"/>
      <c r="AN59" s="141"/>
      <c r="AO59" s="141"/>
      <c r="AP59" s="152"/>
      <c r="AQ59" s="152"/>
      <c r="AR59" s="152"/>
      <c r="AS59" s="152"/>
      <c r="AT59" s="222">
        <f t="shared" si="15"/>
        <v>0</v>
      </c>
      <c r="AU59" s="140">
        <f t="shared" si="16"/>
        <v>0</v>
      </c>
      <c r="AV59" s="132"/>
      <c r="AW59" s="140">
        <f t="shared" si="17"/>
        <v>0</v>
      </c>
      <c r="AX59" s="141"/>
      <c r="AY59" s="141"/>
      <c r="AZ59" s="141"/>
      <c r="BA59" s="150"/>
      <c r="BB59" s="141">
        <v>900</v>
      </c>
      <c r="BC59" s="130">
        <f t="shared" si="18"/>
        <v>0</v>
      </c>
      <c r="BD59" s="132"/>
    </row>
    <row r="60" ht="14.25" customHeight="1">
      <c r="A60" s="132"/>
      <c r="B60" s="1506">
        <v>46073</v>
      </c>
      <c r="C60" s="134">
        <f>10314.53-0-0</f>
      </c>
      <c r="D60" s="136"/>
      <c r="E60" s="135"/>
      <c r="F60" s="135"/>
      <c r="G60" s="147">
        <f t="shared" si="10"/>
        <v>0</v>
      </c>
      <c r="H60" s="199">
        <v>771.04</v>
      </c>
      <c r="I60" s="143"/>
      <c r="J60" s="143"/>
      <c r="K60" s="143"/>
      <c r="L60" s="143"/>
      <c r="M60" s="103">
        <f t="shared" si="11"/>
        <v>0</v>
      </c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03">
        <f t="shared" si="12"/>
        <v>0</v>
      </c>
      <c r="AA60" s="134">
        <v>1113.34</v>
      </c>
      <c r="AB60" s="136"/>
      <c r="AC60" s="136"/>
      <c r="AD60" s="105">
        <f t="shared" si="13"/>
        <v>0</v>
      </c>
      <c r="AE60" s="143"/>
      <c r="AF60" s="143"/>
      <c r="AG60" s="1509"/>
      <c r="AH60" s="1510">
        <f t="shared" si="14"/>
        <v>0</v>
      </c>
      <c r="AI60" s="1914">
        <v>8357.7</v>
      </c>
      <c r="AJ60" s="1655"/>
      <c r="AK60" s="1655"/>
      <c r="AL60" s="141"/>
      <c r="AM60" s="141"/>
      <c r="AN60" s="141"/>
      <c r="AO60" s="141"/>
      <c r="AP60" s="152"/>
      <c r="AQ60" s="152"/>
      <c r="AR60" s="152"/>
      <c r="AS60" s="152"/>
      <c r="AT60" s="222">
        <f t="shared" si="15"/>
        <v>0</v>
      </c>
      <c r="AU60" s="140">
        <f t="shared" si="16"/>
        <v>0</v>
      </c>
      <c r="AV60" s="132"/>
      <c r="AW60" s="140">
        <f t="shared" si="17"/>
        <v>0</v>
      </c>
      <c r="AX60" s="141"/>
      <c r="AY60" s="141"/>
      <c r="AZ60" s="141"/>
      <c r="BA60" s="150"/>
      <c r="BB60" s="141">
        <v>72.5</v>
      </c>
      <c r="BC60" s="130">
        <f t="shared" si="18"/>
        <v>0</v>
      </c>
      <c r="BD60" s="132"/>
    </row>
    <row r="61" ht="14.25" customHeight="1">
      <c r="A61" s="132"/>
      <c r="B61" s="1506">
        <v>46074</v>
      </c>
      <c r="C61" s="134">
        <f>14207.25-0-0</f>
      </c>
      <c r="D61" s="136"/>
      <c r="E61" s="135"/>
      <c r="F61" s="135"/>
      <c r="G61" s="147">
        <f t="shared" si="10"/>
        <v>0</v>
      </c>
      <c r="H61" s="144">
        <v>1173.9</v>
      </c>
      <c r="I61" s="143"/>
      <c r="J61" s="143"/>
      <c r="K61" s="143"/>
      <c r="L61" s="143"/>
      <c r="M61" s="103">
        <f t="shared" si="11"/>
        <v>0</v>
      </c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03">
        <f t="shared" si="12"/>
        <v>0</v>
      </c>
      <c r="AA61" s="134">
        <v>2014.9</v>
      </c>
      <c r="AB61" s="136"/>
      <c r="AC61" s="136"/>
      <c r="AD61" s="105">
        <f t="shared" si="13"/>
        <v>0</v>
      </c>
      <c r="AE61" s="143"/>
      <c r="AF61" s="143"/>
      <c r="AG61" s="1509"/>
      <c r="AH61" s="1510">
        <f t="shared" si="14"/>
        <v>0</v>
      </c>
      <c r="AI61" s="1914">
        <v>10974.9</v>
      </c>
      <c r="AJ61" s="1655"/>
      <c r="AK61" s="1655"/>
      <c r="AL61" s="141"/>
      <c r="AM61" s="141"/>
      <c r="AN61" s="141"/>
      <c r="AO61" s="141"/>
      <c r="AP61" s="152"/>
      <c r="AQ61" s="152"/>
      <c r="AR61" s="152"/>
      <c r="AS61" s="152"/>
      <c r="AT61" s="222">
        <f t="shared" si="15"/>
        <v>0</v>
      </c>
      <c r="AU61" s="140">
        <f t="shared" si="16"/>
        <v>0</v>
      </c>
      <c r="AV61" s="132"/>
      <c r="AW61" s="140">
        <f t="shared" si="17"/>
        <v>0</v>
      </c>
      <c r="AX61" s="141"/>
      <c r="AY61" s="141"/>
      <c r="AZ61" s="141"/>
      <c r="BA61" s="150"/>
      <c r="BB61" s="141">
        <v>43.5</v>
      </c>
      <c r="BC61" s="130">
        <f t="shared" si="18"/>
        <v>0</v>
      </c>
      <c r="BD61" s="132"/>
    </row>
    <row r="62" ht="14.25" customHeight="1">
      <c r="A62" s="132"/>
      <c r="B62" s="1506">
        <v>46075</v>
      </c>
      <c r="C62" s="134">
        <f>14729.29-0-0</f>
      </c>
      <c r="D62" s="136"/>
      <c r="E62" s="135"/>
      <c r="F62" s="135"/>
      <c r="G62" s="147">
        <f t="shared" si="10"/>
        <v>0</v>
      </c>
      <c r="H62" s="144"/>
      <c r="I62" s="143"/>
      <c r="J62" s="143"/>
      <c r="K62" s="143"/>
      <c r="L62" s="143"/>
      <c r="M62" s="103">
        <f t="shared" si="11"/>
        <v>0</v>
      </c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03">
        <f t="shared" si="12"/>
        <v>0</v>
      </c>
      <c r="AA62" s="134">
        <v>2117.42</v>
      </c>
      <c r="AB62" s="136"/>
      <c r="AC62" s="136"/>
      <c r="AD62" s="105">
        <f t="shared" si="13"/>
        <v>0</v>
      </c>
      <c r="AE62" s="143"/>
      <c r="AF62" s="143"/>
      <c r="AG62" s="1509"/>
      <c r="AH62" s="1510">
        <f t="shared" si="14"/>
        <v>0</v>
      </c>
      <c r="AI62" s="1914">
        <v>12351.8</v>
      </c>
      <c r="AJ62" s="1655"/>
      <c r="AK62" s="1655"/>
      <c r="AL62" s="141"/>
      <c r="AM62" s="141"/>
      <c r="AN62" s="141"/>
      <c r="AO62" s="141"/>
      <c r="AP62" s="152"/>
      <c r="AQ62" s="152"/>
      <c r="AR62" s="152"/>
      <c r="AS62" s="152"/>
      <c r="AT62" s="222">
        <f t="shared" si="15"/>
        <v>0</v>
      </c>
      <c r="AU62" s="140">
        <f t="shared" si="16"/>
        <v>0</v>
      </c>
      <c r="AV62" s="132"/>
      <c r="AW62" s="140">
        <f t="shared" si="17"/>
        <v>0</v>
      </c>
      <c r="AX62" s="141"/>
      <c r="AY62" s="141"/>
      <c r="AZ62" s="141"/>
      <c r="BA62" s="150"/>
      <c r="BB62" s="141">
        <v>260</v>
      </c>
      <c r="BC62" s="130">
        <f t="shared" si="18"/>
        <v>0</v>
      </c>
      <c r="BD62" s="132"/>
    </row>
    <row r="63" ht="14.25" customHeight="1">
      <c r="A63" s="132"/>
      <c r="B63" s="1506">
        <v>46076</v>
      </c>
      <c r="C63" s="134">
        <f>13179.48-0-0</f>
      </c>
      <c r="D63" s="136"/>
      <c r="E63" s="135"/>
      <c r="F63" s="135"/>
      <c r="G63" s="147">
        <f t="shared" si="10"/>
        <v>0</v>
      </c>
      <c r="H63" s="199">
        <v>1521.5</v>
      </c>
      <c r="I63" s="143"/>
      <c r="J63" s="143"/>
      <c r="K63" s="143"/>
      <c r="L63" s="143"/>
      <c r="M63" s="103">
        <f t="shared" si="11"/>
        <v>0</v>
      </c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03">
        <f t="shared" si="12"/>
        <v>0</v>
      </c>
      <c r="AA63" s="134">
        <v>1732.11</v>
      </c>
      <c r="AB63" s="136"/>
      <c r="AC63" s="136"/>
      <c r="AD63" s="105">
        <f t="shared" si="13"/>
        <v>0</v>
      </c>
      <c r="AE63" s="143"/>
      <c r="AF63" s="143"/>
      <c r="AG63" s="1509"/>
      <c r="AH63" s="1510">
        <f t="shared" si="14"/>
        <v>0</v>
      </c>
      <c r="AI63" s="1914">
        <v>9925.9</v>
      </c>
      <c r="AJ63" s="1655"/>
      <c r="AK63" s="1655"/>
      <c r="AL63" s="141"/>
      <c r="AM63" s="141"/>
      <c r="AN63" s="141"/>
      <c r="AO63" s="141"/>
      <c r="AP63" s="152"/>
      <c r="AQ63" s="152"/>
      <c r="AR63" s="152"/>
      <c r="AS63" s="152"/>
      <c r="AT63" s="222">
        <f t="shared" si="15"/>
        <v>0</v>
      </c>
      <c r="AU63" s="140">
        <f t="shared" si="16"/>
        <v>0</v>
      </c>
      <c r="AV63" s="132"/>
      <c r="AW63" s="140">
        <f t="shared" si="17"/>
        <v>0</v>
      </c>
      <c r="AX63" s="141"/>
      <c r="AY63" s="141"/>
      <c r="AZ63" s="141"/>
      <c r="BA63" s="141"/>
      <c r="BB63" s="141"/>
      <c r="BC63" s="130">
        <f t="shared" si="18"/>
        <v>0</v>
      </c>
      <c r="BD63" s="132"/>
    </row>
    <row r="64" ht="14.25" customHeight="1">
      <c r="A64" s="132"/>
      <c r="B64" s="1506">
        <v>46077</v>
      </c>
      <c r="C64" s="134">
        <f>57723.05-0-0</f>
      </c>
      <c r="D64" s="136"/>
      <c r="E64" s="135"/>
      <c r="F64" s="135"/>
      <c r="G64" s="147">
        <f t="shared" si="10"/>
        <v>0</v>
      </c>
      <c r="H64" s="144">
        <v>720.3</v>
      </c>
      <c r="I64" s="143"/>
      <c r="J64" s="143"/>
      <c r="K64" s="143"/>
      <c r="L64" s="145">
        <v>350</v>
      </c>
      <c r="M64" s="103">
        <f t="shared" si="11"/>
        <v>0</v>
      </c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03">
        <f t="shared" si="12"/>
        <v>0</v>
      </c>
      <c r="AA64" s="134">
        <v>1870.8</v>
      </c>
      <c r="AB64" s="136"/>
      <c r="AC64" s="136"/>
      <c r="AD64" s="105">
        <f t="shared" si="13"/>
        <v>0</v>
      </c>
      <c r="AE64" s="145">
        <v>4200</v>
      </c>
      <c r="AF64" s="143"/>
      <c r="AG64" s="1509"/>
      <c r="AH64" s="1510">
        <f t="shared" si="14"/>
        <v>0</v>
      </c>
      <c r="AI64" s="1914">
        <v>10081.9</v>
      </c>
      <c r="AJ64" s="1915">
        <v>39300</v>
      </c>
      <c r="AK64" s="1655"/>
      <c r="AL64" s="141"/>
      <c r="AM64" s="141"/>
      <c r="AN64" s="141"/>
      <c r="AO64" s="141"/>
      <c r="AP64" s="152"/>
      <c r="AQ64" s="152"/>
      <c r="AR64" s="152"/>
      <c r="AS64" s="152"/>
      <c r="AT64" s="222">
        <f t="shared" si="15"/>
        <v>0</v>
      </c>
      <c r="AU64" s="140">
        <f t="shared" si="16"/>
        <v>0</v>
      </c>
      <c r="AV64" s="132"/>
      <c r="AW64" s="140">
        <f t="shared" si="17"/>
        <v>0</v>
      </c>
      <c r="AX64" s="141"/>
      <c r="AY64" s="141"/>
      <c r="AZ64" s="141"/>
      <c r="BA64" s="150"/>
      <c r="BB64" s="141">
        <v>1200</v>
      </c>
      <c r="BC64" s="130">
        <f t="shared" si="18"/>
        <v>0</v>
      </c>
      <c r="BD64" s="132"/>
    </row>
    <row r="65" ht="14.25" customHeight="1">
      <c r="A65" s="132"/>
      <c r="B65" s="1506">
        <v>46078</v>
      </c>
      <c r="C65" s="134">
        <f>11955.83-0-0</f>
      </c>
      <c r="D65" s="136"/>
      <c r="E65" s="135"/>
      <c r="F65" s="135"/>
      <c r="G65" s="147">
        <f t="shared" si="10"/>
        <v>0</v>
      </c>
      <c r="H65" s="199">
        <v>1537.3</v>
      </c>
      <c r="I65" s="143"/>
      <c r="J65" s="143"/>
      <c r="K65" s="143"/>
      <c r="L65" s="143"/>
      <c r="M65" s="103">
        <f t="shared" si="11"/>
        <v>0</v>
      </c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03">
        <f t="shared" si="12"/>
        <v>0</v>
      </c>
      <c r="AA65" s="134">
        <v>1099.88</v>
      </c>
      <c r="AB65" s="136"/>
      <c r="AC65" s="136"/>
      <c r="AD65" s="105">
        <f t="shared" si="13"/>
        <v>0</v>
      </c>
      <c r="AE65" s="145">
        <v>10</v>
      </c>
      <c r="AF65" s="143"/>
      <c r="AG65" s="1509"/>
      <c r="AH65" s="1510">
        <f t="shared" si="14"/>
        <v>0</v>
      </c>
      <c r="AI65" s="1914">
        <v>9308.7</v>
      </c>
      <c r="AJ65" s="1655"/>
      <c r="AK65" s="1655"/>
      <c r="AL65" s="141"/>
      <c r="AM65" s="141"/>
      <c r="AN65" s="141"/>
      <c r="AO65" s="141"/>
      <c r="AP65" s="152"/>
      <c r="AQ65" s="152"/>
      <c r="AR65" s="152"/>
      <c r="AS65" s="152"/>
      <c r="AT65" s="222">
        <f t="shared" si="15"/>
        <v>0</v>
      </c>
      <c r="AU65" s="140">
        <f t="shared" si="16"/>
        <v>0</v>
      </c>
      <c r="AV65" s="132"/>
      <c r="AW65" s="140">
        <f t="shared" si="17"/>
        <v>0</v>
      </c>
      <c r="AX65" s="141"/>
      <c r="AY65" s="141"/>
      <c r="AZ65" s="141"/>
      <c r="BA65" s="141"/>
      <c r="BB65" s="141"/>
      <c r="BC65" s="130">
        <f t="shared" si="18"/>
        <v>0</v>
      </c>
      <c r="BD65" s="132"/>
    </row>
    <row r="66" ht="14.25" customHeight="1">
      <c r="A66" s="132"/>
      <c r="B66" s="1506">
        <v>46079</v>
      </c>
      <c r="C66" s="134">
        <f>17446.24-0-0</f>
      </c>
      <c r="D66" s="136"/>
      <c r="E66" s="135"/>
      <c r="F66" s="135"/>
      <c r="G66" s="147">
        <f t="shared" si="10"/>
        <v>0</v>
      </c>
      <c r="H66" s="199">
        <v>905.3</v>
      </c>
      <c r="I66" s="143"/>
      <c r="J66" s="143"/>
      <c r="K66" s="143"/>
      <c r="L66" s="143"/>
      <c r="M66" s="103">
        <f t="shared" si="11"/>
        <v>0</v>
      </c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03">
        <f t="shared" si="12"/>
        <v>0</v>
      </c>
      <c r="AA66" s="134">
        <v>2233.6</v>
      </c>
      <c r="AB66" s="136"/>
      <c r="AC66" s="136"/>
      <c r="AD66" s="105">
        <f t="shared" si="13"/>
        <v>0</v>
      </c>
      <c r="AE66" s="145">
        <v>30</v>
      </c>
      <c r="AF66" s="143"/>
      <c r="AG66" s="1509"/>
      <c r="AH66" s="1510">
        <f t="shared" si="14"/>
        <v>0</v>
      </c>
      <c r="AI66" s="1914">
        <v>12631</v>
      </c>
      <c r="AJ66" s="1655"/>
      <c r="AK66" s="1655"/>
      <c r="AL66" s="141"/>
      <c r="AM66" s="141"/>
      <c r="AN66" s="141"/>
      <c r="AO66" s="141"/>
      <c r="AP66" s="152"/>
      <c r="AQ66" s="152"/>
      <c r="AR66" s="152"/>
      <c r="AS66" s="152"/>
      <c r="AT66" s="222">
        <f t="shared" si="15"/>
        <v>0</v>
      </c>
      <c r="AU66" s="140">
        <f t="shared" si="16"/>
        <v>0</v>
      </c>
      <c r="AV66" s="132"/>
      <c r="AW66" s="140">
        <f t="shared" si="17"/>
        <v>0</v>
      </c>
      <c r="AX66" s="141"/>
      <c r="AY66" s="141"/>
      <c r="AZ66" s="141"/>
      <c r="BA66" s="150"/>
      <c r="BB66" s="141">
        <v>1646.3</v>
      </c>
      <c r="BC66" s="130">
        <f t="shared" si="18"/>
        <v>0</v>
      </c>
      <c r="BD66" s="132"/>
    </row>
    <row r="67" ht="14.25" customHeight="1">
      <c r="A67" s="132"/>
      <c r="B67" s="1506">
        <v>46080</v>
      </c>
      <c r="C67" s="134">
        <f>13192.38-0-0</f>
      </c>
      <c r="D67" s="136"/>
      <c r="E67" s="135"/>
      <c r="F67" s="135"/>
      <c r="G67" s="147">
        <f t="shared" si="10"/>
        <v>0</v>
      </c>
      <c r="H67" s="199">
        <v>2668.5</v>
      </c>
      <c r="I67" s="143"/>
      <c r="J67" s="1517"/>
      <c r="K67" s="143"/>
      <c r="L67" s="143"/>
      <c r="M67" s="103">
        <f t="shared" si="11"/>
        <v>0</v>
      </c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03">
        <f t="shared" si="12"/>
        <v>0</v>
      </c>
      <c r="AA67" s="134">
        <v>1729</v>
      </c>
      <c r="AB67" s="136"/>
      <c r="AC67" s="136"/>
      <c r="AD67" s="105">
        <f t="shared" si="13"/>
        <v>0</v>
      </c>
      <c r="AE67" s="145">
        <v>10</v>
      </c>
      <c r="AF67" s="143"/>
      <c r="AG67" s="1509"/>
      <c r="AH67" s="1510">
        <f t="shared" si="14"/>
        <v>0</v>
      </c>
      <c r="AI67" s="1914">
        <v>8607.4</v>
      </c>
      <c r="AJ67" s="1655"/>
      <c r="AK67" s="1655"/>
      <c r="AL67" s="141"/>
      <c r="AM67" s="141"/>
      <c r="AN67" s="141"/>
      <c r="AO67" s="141"/>
      <c r="AP67" s="152"/>
      <c r="AQ67" s="152"/>
      <c r="AR67" s="152"/>
      <c r="AS67" s="152"/>
      <c r="AT67" s="222">
        <f t="shared" si="15"/>
        <v>0</v>
      </c>
      <c r="AU67" s="140">
        <f t="shared" si="16"/>
        <v>0</v>
      </c>
      <c r="AV67" s="132"/>
      <c r="AW67" s="140">
        <f t="shared" si="17"/>
        <v>0</v>
      </c>
      <c r="AX67" s="141"/>
      <c r="AY67" s="141"/>
      <c r="AZ67" s="141"/>
      <c r="BA67" s="150"/>
      <c r="BB67" s="141">
        <v>177.5</v>
      </c>
      <c r="BC67" s="130">
        <f t="shared" si="18"/>
        <v>0</v>
      </c>
      <c r="BD67" s="132"/>
    </row>
    <row r="68" ht="14.25" customHeight="1">
      <c r="A68" s="132"/>
      <c r="B68" s="1506">
        <v>46081</v>
      </c>
      <c r="C68" s="134">
        <f>16442.79-0-0</f>
      </c>
      <c r="D68" s="136"/>
      <c r="E68" s="135"/>
      <c r="F68" s="135"/>
      <c r="G68" s="147">
        <f t="shared" si="10"/>
        <v>0</v>
      </c>
      <c r="H68" s="199"/>
      <c r="I68" s="143"/>
      <c r="J68" s="1517"/>
      <c r="K68" s="143"/>
      <c r="L68" s="143"/>
      <c r="M68" s="103">
        <f t="shared" si="11"/>
        <v>0</v>
      </c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03">
        <f t="shared" si="12"/>
        <v>0</v>
      </c>
      <c r="AA68" s="134">
        <v>2929.07</v>
      </c>
      <c r="AB68" s="136"/>
      <c r="AC68" s="136"/>
      <c r="AD68" s="105">
        <f t="shared" si="13"/>
        <v>0</v>
      </c>
      <c r="AE68" s="143"/>
      <c r="AF68" s="143"/>
      <c r="AG68" s="1509"/>
      <c r="AH68" s="1510">
        <f t="shared" si="14"/>
        <v>0</v>
      </c>
      <c r="AI68" s="1914">
        <v>13513.7</v>
      </c>
      <c r="AJ68" s="1655"/>
      <c r="AK68" s="1655"/>
      <c r="AL68" s="141"/>
      <c r="AM68" s="141"/>
      <c r="AN68" s="141"/>
      <c r="AO68" s="141"/>
      <c r="AP68" s="152"/>
      <c r="AQ68" s="152"/>
      <c r="AR68" s="152"/>
      <c r="AS68" s="152"/>
      <c r="AT68" s="222">
        <f t="shared" si="15"/>
        <v>0</v>
      </c>
      <c r="AU68" s="140">
        <f t="shared" si="16"/>
        <v>0</v>
      </c>
      <c r="AV68" s="132"/>
      <c r="AW68" s="140">
        <f t="shared" si="17"/>
        <v>0</v>
      </c>
      <c r="AX68" s="141"/>
      <c r="AY68" s="141"/>
      <c r="AZ68" s="141"/>
      <c r="BA68" s="141"/>
      <c r="BB68" s="141"/>
      <c r="BC68" s="130">
        <f t="shared" si="18"/>
        <v>0</v>
      </c>
      <c r="BD68" s="132"/>
    </row>
    <row r="69" ht="14.25" customHeight="1">
      <c r="A69" s="132"/>
      <c r="B69" s="1518"/>
      <c r="C69" s="136"/>
      <c r="D69" s="136"/>
      <c r="E69" s="135"/>
      <c r="F69" s="135"/>
      <c r="G69" s="147">
        <f t="shared" si="10"/>
        <v>0</v>
      </c>
      <c r="H69" s="144"/>
      <c r="I69" s="143"/>
      <c r="J69" s="143"/>
      <c r="K69" s="143"/>
      <c r="L69" s="143"/>
      <c r="M69" s="103">
        <f t="shared" si="11"/>
        <v>0</v>
      </c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03">
        <f t="shared" si="12"/>
        <v>0</v>
      </c>
      <c r="AA69" s="136"/>
      <c r="AB69" s="136"/>
      <c r="AC69" s="136"/>
      <c r="AD69" s="105">
        <f t="shared" si="13"/>
        <v>0</v>
      </c>
      <c r="AE69" s="143"/>
      <c r="AF69" s="143"/>
      <c r="AG69" s="1509"/>
      <c r="AH69" s="1514">
        <f t="shared" si="14"/>
        <v>0</v>
      </c>
      <c r="AI69" s="1917"/>
      <c r="AJ69" s="1655"/>
      <c r="AK69" s="1655"/>
      <c r="AL69" s="141"/>
      <c r="AM69" s="141"/>
      <c r="AN69" s="141"/>
      <c r="AO69" s="141"/>
      <c r="AP69" s="152"/>
      <c r="AQ69" s="152"/>
      <c r="AR69" s="152"/>
      <c r="AS69" s="152"/>
      <c r="AT69" s="222">
        <f t="shared" si="15"/>
        <v>0</v>
      </c>
      <c r="AU69" s="140">
        <f t="shared" si="16"/>
        <v>0</v>
      </c>
      <c r="AV69" s="132"/>
      <c r="AW69" s="140">
        <f t="shared" si="17"/>
        <v>0</v>
      </c>
      <c r="AX69" s="141"/>
      <c r="AY69" s="141"/>
      <c r="AZ69" s="141"/>
      <c r="BA69" s="141"/>
      <c r="BB69" s="141"/>
      <c r="BC69" s="130">
        <f t="shared" si="18"/>
        <v>0</v>
      </c>
      <c r="BD69" s="132"/>
    </row>
    <row r="70" ht="14.25" customHeight="1">
      <c r="A70" s="3"/>
      <c r="B70" s="1519" t="s">
        <v>258</v>
      </c>
      <c r="C70" s="166">
        <f ref="C70:AU70" t="shared" si="19">SUM(C41:C69)</f>
        <v>0</v>
      </c>
      <c r="D70" s="166">
        <f t="shared" si="19"/>
        <v>0</v>
      </c>
      <c r="E70" s="166">
        <f t="shared" si="19"/>
        <v>0</v>
      </c>
      <c r="F70" s="166">
        <f t="shared" si="19"/>
        <v>0</v>
      </c>
      <c r="G70" s="166">
        <f t="shared" si="19"/>
        <v>0</v>
      </c>
      <c r="H70" s="166">
        <f t="shared" si="19"/>
        <v>0</v>
      </c>
      <c r="I70" s="166">
        <f t="shared" si="19"/>
        <v>0</v>
      </c>
      <c r="J70" s="166">
        <f t="shared" si="19"/>
        <v>0</v>
      </c>
      <c r="K70" s="166">
        <f t="shared" si="19"/>
        <v>0</v>
      </c>
      <c r="L70" s="166">
        <f t="shared" si="19"/>
        <v>0</v>
      </c>
      <c r="M70" s="166">
        <f t="shared" si="19"/>
        <v>0</v>
      </c>
      <c r="N70" s="166">
        <f t="shared" si="19"/>
        <v>0</v>
      </c>
      <c r="O70" s="166">
        <f t="shared" si="19"/>
        <v>0</v>
      </c>
      <c r="P70" s="166">
        <f t="shared" si="19"/>
        <v>0</v>
      </c>
      <c r="Q70" s="166">
        <f t="shared" si="19"/>
        <v>0</v>
      </c>
      <c r="R70" s="166">
        <f t="shared" si="19"/>
        <v>0</v>
      </c>
      <c r="S70" s="166">
        <f t="shared" si="19"/>
        <v>0</v>
      </c>
      <c r="T70" s="166">
        <f t="shared" si="19"/>
        <v>0</v>
      </c>
      <c r="U70" s="166">
        <f t="shared" si="19"/>
        <v>0</v>
      </c>
      <c r="V70" s="166">
        <f t="shared" si="19"/>
        <v>0</v>
      </c>
      <c r="W70" s="166">
        <f t="shared" si="19"/>
        <v>0</v>
      </c>
      <c r="X70" s="166">
        <f t="shared" si="19"/>
        <v>0</v>
      </c>
      <c r="Y70" s="166">
        <f t="shared" si="19"/>
        <v>0</v>
      </c>
      <c r="Z70" s="166">
        <f t="shared" si="19"/>
        <v>0</v>
      </c>
      <c r="AA70" s="166">
        <f t="shared" si="19"/>
        <v>0</v>
      </c>
      <c r="AB70" s="166">
        <f t="shared" si="19"/>
        <v>0</v>
      </c>
      <c r="AC70" s="166">
        <f t="shared" si="19"/>
        <v>0</v>
      </c>
      <c r="AD70" s="166">
        <f t="shared" si="19"/>
        <v>0</v>
      </c>
      <c r="AE70" s="166">
        <f t="shared" si="19"/>
        <v>0</v>
      </c>
      <c r="AF70" s="166">
        <f t="shared" si="19"/>
        <v>0</v>
      </c>
      <c r="AG70" s="166">
        <f t="shared" si="19"/>
        <v>0</v>
      </c>
      <c r="AH70" s="170">
        <f t="shared" si="19"/>
        <v>0</v>
      </c>
      <c r="AI70" s="165">
        <f t="shared" si="19"/>
        <v>0</v>
      </c>
      <c r="AJ70" s="166">
        <f t="shared" si="19"/>
        <v>0</v>
      </c>
      <c r="AK70" s="166">
        <f t="shared" si="19"/>
        <v>0</v>
      </c>
      <c r="AL70" s="166">
        <f t="shared" si="19"/>
        <v>0</v>
      </c>
      <c r="AM70" s="166">
        <f t="shared" si="19"/>
        <v>0</v>
      </c>
      <c r="AN70" s="166">
        <f t="shared" si="19"/>
        <v>0</v>
      </c>
      <c r="AO70" s="166">
        <f t="shared" si="19"/>
        <v>0</v>
      </c>
      <c r="AP70" s="166">
        <f t="shared" si="19"/>
        <v>0</v>
      </c>
      <c r="AQ70" s="166">
        <f t="shared" si="19"/>
        <v>0</v>
      </c>
      <c r="AR70" s="166">
        <f t="shared" si="19"/>
        <v>0</v>
      </c>
      <c r="AS70" s="166">
        <f t="shared" si="19"/>
        <v>0</v>
      </c>
      <c r="AT70" s="166">
        <f t="shared" si="19"/>
        <v>0</v>
      </c>
      <c r="AU70" s="166">
        <f t="shared" si="19"/>
        <v>0</v>
      </c>
      <c r="AV70" s="235"/>
      <c r="AW70" s="166">
        <f ref="AW70:BA70" t="shared" si="20">SUM(AW41:AW69)</f>
        <v>0</v>
      </c>
      <c r="AX70" s="166">
        <f t="shared" si="20"/>
        <v>0</v>
      </c>
      <c r="AY70" s="166">
        <f t="shared" si="20"/>
        <v>0</v>
      </c>
      <c r="AZ70" s="166">
        <f t="shared" si="20"/>
        <v>0</v>
      </c>
      <c r="BA70" s="166">
        <f t="shared" si="20"/>
        <v>0</v>
      </c>
      <c r="BB70" s="166"/>
      <c r="BC70" s="166">
        <f>SUM(BC41:BC69)</f>
        <v>0</v>
      </c>
      <c r="BD70" s="132"/>
    </row>
    <row r="71" ht="14.25" customHeight="1">
      <c r="A71" s="1"/>
      <c r="B71" s="1495"/>
      <c r="C71" s="3"/>
      <c r="D71" s="3"/>
      <c r="E71" s="3"/>
      <c r="F71" s="3"/>
      <c r="G71" s="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4"/>
      <c r="AE71" s="3"/>
      <c r="AF71" s="3"/>
      <c r="AG71" s="3"/>
      <c r="AH71" s="4"/>
      <c r="AI71" s="316"/>
      <c r="AJ71" s="316"/>
      <c r="AK71" s="316"/>
      <c r="AL71" s="316"/>
      <c r="AM71" s="207"/>
      <c r="AN71" s="207"/>
      <c r="AO71" s="207"/>
      <c r="AP71" s="316"/>
      <c r="AQ71" s="316"/>
      <c r="AR71" s="316"/>
      <c r="AS71" s="316"/>
      <c r="AT71" s="316"/>
      <c r="AU71" s="316"/>
      <c r="AV71" s="235"/>
      <c r="AW71" s="3"/>
      <c r="AX71" s="3"/>
      <c r="AY71" s="3"/>
      <c r="AZ71" s="207"/>
      <c r="BA71" s="207"/>
      <c r="BB71" s="207"/>
      <c r="BC71" s="3"/>
      <c r="BD71" s="132"/>
    </row>
    <row r="72" ht="14.25" customHeight="1">
      <c r="A72" s="1"/>
      <c r="B72" s="1495"/>
      <c r="C72" s="3"/>
      <c r="D72" s="3"/>
      <c r="E72" s="3"/>
      <c r="F72" s="3"/>
      <c r="G72" s="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4"/>
      <c r="AE72" s="3"/>
      <c r="AF72" s="3"/>
      <c r="AG72" s="3"/>
      <c r="AH72" s="4"/>
      <c r="AI72" s="316"/>
      <c r="AJ72" s="316"/>
      <c r="AK72" s="316"/>
      <c r="AL72" s="316"/>
      <c r="AM72" s="207"/>
      <c r="AN72" s="207"/>
      <c r="AO72" s="207"/>
      <c r="AP72" s="316"/>
      <c r="AQ72" s="316"/>
      <c r="AR72" s="316"/>
      <c r="AS72" s="316"/>
      <c r="AT72" s="316"/>
      <c r="AU72" s="316"/>
      <c r="AV72" s="3"/>
      <c r="AW72" s="3"/>
      <c r="AX72" s="3"/>
      <c r="AY72" s="3"/>
      <c r="AZ72" s="207"/>
      <c r="BA72" s="207"/>
      <c r="BB72" s="207"/>
      <c r="BC72" s="3"/>
      <c r="BD72" s="3"/>
    </row>
    <row r="73" ht="14.25" customHeight="1">
      <c r="A73" s="205"/>
      <c r="B73" s="775"/>
      <c r="C73" s="207"/>
      <c r="D73" s="207"/>
      <c r="E73" s="207"/>
      <c r="F73" s="207"/>
      <c r="G73" s="208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9"/>
      <c r="AA73" s="207"/>
      <c r="AB73" s="207"/>
      <c r="AC73" s="207"/>
      <c r="AD73" s="208"/>
      <c r="AE73" s="207"/>
      <c r="AF73" s="207"/>
      <c r="AG73" s="207"/>
      <c r="AH73" s="210"/>
      <c r="AI73" s="316"/>
      <c r="AJ73" s="316"/>
      <c r="AK73" s="316"/>
      <c r="AL73" s="207"/>
      <c r="AM73" s="207"/>
      <c r="AN73" s="207"/>
      <c r="AO73" s="316"/>
      <c r="AP73" s="316"/>
      <c r="AQ73" s="316"/>
      <c r="AR73" s="316"/>
      <c r="AS73" s="316"/>
      <c r="AT73" s="214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</row>
    <row r="74" ht="14.25" customHeight="1">
      <c r="A74" s="3"/>
      <c r="B74" s="1520">
        <v>46082</v>
      </c>
      <c r="C74" s="95">
        <f>18301.97-0-0</f>
      </c>
      <c r="D74" s="104"/>
      <c r="E74" s="97"/>
      <c r="F74" s="97"/>
      <c r="G74" s="216">
        <f ref="G74:G104" t="shared" si="21">+C74+D74+E74+F74</f>
        <v>0</v>
      </c>
      <c r="H74" s="187"/>
      <c r="I74" s="186"/>
      <c r="J74" s="186"/>
      <c r="K74" s="186"/>
      <c r="L74" s="186"/>
      <c r="M74" s="103">
        <f ref="M74:M104" t="shared" si="22">SUM(H74:L74)</f>
        <v>0</v>
      </c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03">
        <f ref="Z74:Z104" t="shared" si="23">SUM(N74:Y74)</f>
        <v>0</v>
      </c>
      <c r="AA74" s="95">
        <v>2721.5</v>
      </c>
      <c r="AB74" s="104"/>
      <c r="AC74" s="104"/>
      <c r="AD74" s="191">
        <f ref="AD74:AD104" t="shared" si="24">SUM(AA74:AC74)</f>
        <v>0</v>
      </c>
      <c r="AE74" s="186"/>
      <c r="AF74" s="186"/>
      <c r="AG74" s="193"/>
      <c r="AH74" s="1514">
        <f ref="AH74:AH104" t="shared" si="25">+G74-M74-Z74-AD74-AE74-AF74-AG74</f>
        <v>0</v>
      </c>
      <c r="AI74" s="1721">
        <v>15580.5</v>
      </c>
      <c r="AJ74" s="1708"/>
      <c r="AK74" s="1708"/>
      <c r="AL74" s="1537"/>
      <c r="AM74" s="1537"/>
      <c r="AN74" s="1537"/>
      <c r="AO74" s="1537"/>
      <c r="AP74" s="1708"/>
      <c r="AQ74" s="1708"/>
      <c r="AR74" s="1708"/>
      <c r="AS74" s="1708"/>
      <c r="AT74" s="222">
        <f ref="AT74:AT104" t="shared" si="26">SUM(AI74:AS74)-AR74</f>
        <v>0</v>
      </c>
      <c r="AU74" s="114">
        <f ref="AU74:AU104" t="shared" si="27">+AH74-AT74</f>
        <v>0</v>
      </c>
      <c r="AV74" s="3"/>
      <c r="AW74" s="114">
        <f ref="AW74:AW104" t="shared" si="28">SUM(AX74:BB74)</f>
        <v>0</v>
      </c>
      <c r="AX74" s="115"/>
      <c r="AY74" s="115"/>
      <c r="AZ74" s="115"/>
      <c r="BA74" s="115"/>
      <c r="BB74" s="115"/>
      <c r="BC74" s="116">
        <f ref="BC74:BC104" t="shared" si="29">+AU74-AW74</f>
        <v>0</v>
      </c>
      <c r="BD74" s="3"/>
    </row>
    <row r="75" ht="14.25" customHeight="1">
      <c r="A75" s="3"/>
      <c r="B75" s="1520">
        <v>46083</v>
      </c>
      <c r="C75" s="119">
        <f>25645.99-0-0</f>
      </c>
      <c r="D75" s="123"/>
      <c r="E75" s="120"/>
      <c r="F75" s="120"/>
      <c r="G75" s="147">
        <f t="shared" si="21"/>
        <v>0</v>
      </c>
      <c r="H75" s="199">
        <v>2318.1</v>
      </c>
      <c r="I75" s="143"/>
      <c r="J75" s="143"/>
      <c r="K75" s="143"/>
      <c r="L75" s="143"/>
      <c r="M75" s="103">
        <f t="shared" si="22"/>
        <v>0</v>
      </c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03">
        <f t="shared" si="23"/>
        <v>0</v>
      </c>
      <c r="AA75" s="119">
        <v>2352.8</v>
      </c>
      <c r="AB75" s="123"/>
      <c r="AC75" s="123"/>
      <c r="AD75" s="105">
        <f t="shared" si="24"/>
        <v>0</v>
      </c>
      <c r="AE75" s="145">
        <v>1050</v>
      </c>
      <c r="AF75" s="143"/>
      <c r="AG75" s="146"/>
      <c r="AH75" s="1514">
        <f t="shared" si="25"/>
        <v>0</v>
      </c>
      <c r="AI75" s="1554">
        <v>9800.1</v>
      </c>
      <c r="AJ75" s="1718">
        <v>9825</v>
      </c>
      <c r="AK75" s="1709"/>
      <c r="AL75" s="1546"/>
      <c r="AM75" s="1546"/>
      <c r="AN75" s="1546"/>
      <c r="AO75" s="1546"/>
      <c r="AP75" s="1709"/>
      <c r="AQ75" s="1709"/>
      <c r="AR75" s="1709"/>
      <c r="AS75" s="1709"/>
      <c r="AT75" s="222">
        <f t="shared" si="26"/>
        <v>0</v>
      </c>
      <c r="AU75" s="113">
        <f t="shared" si="27"/>
        <v>0</v>
      </c>
      <c r="AV75" s="3"/>
      <c r="AW75" s="113">
        <f t="shared" si="28"/>
        <v>0</v>
      </c>
      <c r="AX75" s="129"/>
      <c r="AY75" s="129"/>
      <c r="AZ75" s="129"/>
      <c r="BA75" s="131"/>
      <c r="BB75" s="129">
        <v>300</v>
      </c>
      <c r="BC75" s="130">
        <f t="shared" si="29"/>
        <v>0</v>
      </c>
      <c r="BD75" s="3"/>
    </row>
    <row r="76" ht="14.25" customHeight="1">
      <c r="A76" s="3"/>
      <c r="B76" s="1520">
        <v>46084</v>
      </c>
      <c r="C76" s="119">
        <f>18307.99-0-0</f>
      </c>
      <c r="D76" s="123"/>
      <c r="E76" s="120"/>
      <c r="F76" s="120"/>
      <c r="G76" s="147">
        <f t="shared" si="21"/>
        <v>0</v>
      </c>
      <c r="H76" s="199">
        <v>183.1</v>
      </c>
      <c r="I76" s="143"/>
      <c r="J76" s="143"/>
      <c r="K76" s="143"/>
      <c r="L76" s="143"/>
      <c r="M76" s="103">
        <f t="shared" si="22"/>
        <v>0</v>
      </c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03">
        <f t="shared" si="23"/>
        <v>0</v>
      </c>
      <c r="AA76" s="119">
        <v>1691.2</v>
      </c>
      <c r="AB76" s="123"/>
      <c r="AC76" s="123"/>
      <c r="AD76" s="105">
        <f t="shared" si="24"/>
        <v>0</v>
      </c>
      <c r="AE76" s="145">
        <v>370</v>
      </c>
      <c r="AF76" s="143"/>
      <c r="AG76" s="146"/>
      <c r="AH76" s="1514">
        <f t="shared" si="25"/>
        <v>0</v>
      </c>
      <c r="AI76" s="1554">
        <v>12688.7</v>
      </c>
      <c r="AJ76" s="1718">
        <v>3275</v>
      </c>
      <c r="AK76" s="1709"/>
      <c r="AL76" s="1546"/>
      <c r="AM76" s="1546"/>
      <c r="AN76" s="1546"/>
      <c r="AO76" s="1546"/>
      <c r="AP76" s="1709"/>
      <c r="AQ76" s="1709"/>
      <c r="AR76" s="1709"/>
      <c r="AS76" s="1709"/>
      <c r="AT76" s="222">
        <f t="shared" si="26"/>
        <v>0</v>
      </c>
      <c r="AU76" s="113">
        <f t="shared" si="27"/>
        <v>0</v>
      </c>
      <c r="AV76" s="3"/>
      <c r="AW76" s="113">
        <f t="shared" si="28"/>
        <v>0</v>
      </c>
      <c r="AX76" s="129"/>
      <c r="AY76" s="129"/>
      <c r="AZ76" s="129"/>
      <c r="BA76" s="131"/>
      <c r="BB76" s="129">
        <v>100</v>
      </c>
      <c r="BC76" s="130">
        <f t="shared" si="29"/>
        <v>0</v>
      </c>
      <c r="BD76" s="3"/>
    </row>
    <row r="77" ht="14.25" customHeight="1">
      <c r="A77" s="3"/>
      <c r="B77" s="1520">
        <v>46085</v>
      </c>
      <c r="C77" s="119">
        <f>11171.02-0-0</f>
      </c>
      <c r="D77" s="123"/>
      <c r="E77" s="120"/>
      <c r="F77" s="120"/>
      <c r="G77" s="147">
        <f t="shared" si="21"/>
        <v>0</v>
      </c>
      <c r="H77" s="199">
        <v>80</v>
      </c>
      <c r="I77" s="143"/>
      <c r="J77" s="143"/>
      <c r="K77" s="143"/>
      <c r="L77" s="145">
        <v>350</v>
      </c>
      <c r="M77" s="103">
        <f t="shared" si="22"/>
        <v>0</v>
      </c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03">
        <f t="shared" si="23"/>
        <v>0</v>
      </c>
      <c r="AA77" s="119">
        <v>1839.5</v>
      </c>
      <c r="AB77" s="123"/>
      <c r="AC77" s="123"/>
      <c r="AD77" s="105">
        <f t="shared" si="24"/>
        <v>0</v>
      </c>
      <c r="AE77" s="145"/>
      <c r="AF77" s="143"/>
      <c r="AG77" s="146"/>
      <c r="AH77" s="1514">
        <f t="shared" si="25"/>
        <v>0</v>
      </c>
      <c r="AI77" s="1554">
        <v>8901.5</v>
      </c>
      <c r="AJ77" s="1709"/>
      <c r="AK77" s="1709"/>
      <c r="AL77" s="1546"/>
      <c r="AM77" s="1546"/>
      <c r="AN77" s="1546"/>
      <c r="AO77" s="1546"/>
      <c r="AP77" s="1709"/>
      <c r="AQ77" s="1709"/>
      <c r="AR77" s="1709"/>
      <c r="AS77" s="1709"/>
      <c r="AT77" s="222">
        <f t="shared" si="26"/>
        <v>0</v>
      </c>
      <c r="AU77" s="113">
        <f t="shared" si="27"/>
        <v>0</v>
      </c>
      <c r="AV77" s="3"/>
      <c r="AW77" s="113">
        <f t="shared" si="28"/>
        <v>0</v>
      </c>
      <c r="AX77" s="129"/>
      <c r="AY77" s="129"/>
      <c r="AZ77" s="141"/>
      <c r="BA77" s="129"/>
      <c r="BB77" s="129"/>
      <c r="BC77" s="130">
        <f t="shared" si="29"/>
        <v>0</v>
      </c>
      <c r="BD77" s="3"/>
    </row>
    <row r="78" ht="14.25" customHeight="1">
      <c r="A78" s="3"/>
      <c r="B78" s="1520">
        <v>46086</v>
      </c>
      <c r="C78" s="119">
        <f>11707.20-0-0</f>
      </c>
      <c r="D78" s="123"/>
      <c r="E78" s="120"/>
      <c r="F78" s="120"/>
      <c r="G78" s="147">
        <f t="shared" si="21"/>
        <v>0</v>
      </c>
      <c r="H78" s="199">
        <v>873</v>
      </c>
      <c r="I78" s="143"/>
      <c r="J78" s="143"/>
      <c r="K78" s="143"/>
      <c r="L78" s="143"/>
      <c r="M78" s="103">
        <f t="shared" si="22"/>
        <v>0</v>
      </c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03">
        <f t="shared" si="23"/>
        <v>0</v>
      </c>
      <c r="AA78" s="119">
        <v>1578.8</v>
      </c>
      <c r="AB78" s="123"/>
      <c r="AC78" s="123"/>
      <c r="AD78" s="105">
        <f t="shared" si="24"/>
        <v>0</v>
      </c>
      <c r="AE78" s="143"/>
      <c r="AF78" s="143"/>
      <c r="AG78" s="146"/>
      <c r="AH78" s="1514">
        <f t="shared" si="25"/>
        <v>0</v>
      </c>
      <c r="AI78" s="1554">
        <v>9255.4</v>
      </c>
      <c r="AJ78" s="1709"/>
      <c r="AK78" s="1709"/>
      <c r="AL78" s="1546"/>
      <c r="AM78" s="1546"/>
      <c r="AN78" s="1546"/>
      <c r="AO78" s="1546"/>
      <c r="AP78" s="1709"/>
      <c r="AQ78" s="1709"/>
      <c r="AR78" s="1709"/>
      <c r="AS78" s="1709"/>
      <c r="AT78" s="222">
        <f t="shared" si="26"/>
        <v>0</v>
      </c>
      <c r="AU78" s="113">
        <f t="shared" si="27"/>
        <v>0</v>
      </c>
      <c r="AV78" s="3"/>
      <c r="AW78" s="113">
        <f t="shared" si="28"/>
        <v>0</v>
      </c>
      <c r="AX78" s="129"/>
      <c r="AY78" s="141"/>
      <c r="AZ78" s="129"/>
      <c r="BA78" s="129"/>
      <c r="BB78" s="129"/>
      <c r="BC78" s="130">
        <f t="shared" si="29"/>
        <v>0</v>
      </c>
      <c r="BD78" s="3"/>
    </row>
    <row r="79" ht="14.25" customHeight="1">
      <c r="A79" s="3"/>
      <c r="B79" s="1520">
        <v>46087</v>
      </c>
      <c r="C79" s="119">
        <f>58425.62-0-0</f>
      </c>
      <c r="D79" s="123"/>
      <c r="E79" s="120"/>
      <c r="F79" s="120"/>
      <c r="G79" s="147">
        <f t="shared" si="21"/>
        <v>0</v>
      </c>
      <c r="H79" s="199">
        <v>813.4</v>
      </c>
      <c r="I79" s="143"/>
      <c r="J79" s="143"/>
      <c r="K79" s="143"/>
      <c r="L79" s="143"/>
      <c r="M79" s="103">
        <f t="shared" si="22"/>
        <v>0</v>
      </c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03">
        <f t="shared" si="23"/>
        <v>0</v>
      </c>
      <c r="AA79" s="199">
        <v>1676.06</v>
      </c>
      <c r="AB79" s="123"/>
      <c r="AC79" s="123"/>
      <c r="AD79" s="105">
        <f t="shared" si="24"/>
        <v>0</v>
      </c>
      <c r="AE79" s="145">
        <v>3800</v>
      </c>
      <c r="AF79" s="143"/>
      <c r="AG79" s="146"/>
      <c r="AH79" s="1514">
        <f t="shared" si="25"/>
        <v>0</v>
      </c>
      <c r="AI79" s="1554">
        <v>11676.2</v>
      </c>
      <c r="AJ79" s="1718">
        <v>39450</v>
      </c>
      <c r="AK79" s="1709"/>
      <c r="AL79" s="1546"/>
      <c r="AM79" s="1546"/>
      <c r="AN79" s="1546"/>
      <c r="AO79" s="1546"/>
      <c r="AP79" s="1709"/>
      <c r="AQ79" s="1709"/>
      <c r="AR79" s="1709"/>
      <c r="AS79" s="1709"/>
      <c r="AT79" s="222">
        <f t="shared" si="26"/>
        <v>0</v>
      </c>
      <c r="AU79" s="113">
        <f t="shared" si="27"/>
        <v>0</v>
      </c>
      <c r="AV79" s="3"/>
      <c r="AW79" s="113">
        <f t="shared" si="28"/>
        <v>0</v>
      </c>
      <c r="AX79" s="129"/>
      <c r="AY79" s="141"/>
      <c r="AZ79" s="129"/>
      <c r="BA79" s="131"/>
      <c r="BB79" s="129">
        <v>1010</v>
      </c>
      <c r="BC79" s="130">
        <f t="shared" si="29"/>
        <v>0</v>
      </c>
      <c r="BD79" s="3"/>
    </row>
    <row r="80" ht="14.25" customHeight="1">
      <c r="A80" s="132"/>
      <c r="B80" s="1520">
        <v>46088</v>
      </c>
      <c r="C80" s="134">
        <f>13958.85-0-0</f>
      </c>
      <c r="D80" s="136"/>
      <c r="E80" s="135"/>
      <c r="F80" s="135"/>
      <c r="G80" s="147">
        <f t="shared" si="21"/>
        <v>0</v>
      </c>
      <c r="H80" s="199">
        <v>116.2</v>
      </c>
      <c r="I80" s="143"/>
      <c r="J80" s="143"/>
      <c r="K80" s="143"/>
      <c r="L80" s="143"/>
      <c r="M80" s="103">
        <f t="shared" si="22"/>
        <v>0</v>
      </c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03">
        <f t="shared" si="23"/>
        <v>0</v>
      </c>
      <c r="AA80" s="134">
        <v>2642.78</v>
      </c>
      <c r="AB80" s="136"/>
      <c r="AC80" s="136"/>
      <c r="AD80" s="105">
        <f t="shared" si="24"/>
        <v>0</v>
      </c>
      <c r="AE80" s="143"/>
      <c r="AF80" s="143"/>
      <c r="AG80" s="146"/>
      <c r="AH80" s="1514">
        <f t="shared" si="25"/>
        <v>0</v>
      </c>
      <c r="AI80" s="1554">
        <v>11199.9</v>
      </c>
      <c r="AJ80" s="1709"/>
      <c r="AK80" s="1709"/>
      <c r="AL80" s="1546"/>
      <c r="AM80" s="1546"/>
      <c r="AN80" s="1546"/>
      <c r="AO80" s="1546"/>
      <c r="AP80" s="1709"/>
      <c r="AQ80" s="1709"/>
      <c r="AR80" s="1709"/>
      <c r="AS80" s="1709"/>
      <c r="AT80" s="222">
        <f t="shared" si="26"/>
        <v>0</v>
      </c>
      <c r="AU80" s="140">
        <f t="shared" si="27"/>
        <v>0</v>
      </c>
      <c r="AV80" s="132"/>
      <c r="AW80" s="140">
        <f t="shared" si="28"/>
        <v>0</v>
      </c>
      <c r="AX80" s="141"/>
      <c r="AY80" s="141"/>
      <c r="AZ80" s="141"/>
      <c r="BA80" s="141"/>
      <c r="BB80" s="141"/>
      <c r="BC80" s="130">
        <f t="shared" si="29"/>
        <v>0</v>
      </c>
      <c r="BD80" s="132"/>
    </row>
    <row r="81" ht="14.25" customHeight="1">
      <c r="A81" s="132"/>
      <c r="B81" s="1520">
        <v>46089</v>
      </c>
      <c r="C81" s="134">
        <f>16465.40-0-0</f>
      </c>
      <c r="D81" s="136"/>
      <c r="E81" s="135"/>
      <c r="F81" s="135"/>
      <c r="G81" s="147">
        <f t="shared" si="21"/>
        <v>0</v>
      </c>
      <c r="H81" s="144"/>
      <c r="I81" s="143"/>
      <c r="J81" s="143"/>
      <c r="K81" s="143"/>
      <c r="L81" s="143"/>
      <c r="M81" s="103">
        <f t="shared" si="22"/>
        <v>0</v>
      </c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03">
        <f t="shared" si="23"/>
        <v>0</v>
      </c>
      <c r="AA81" s="134">
        <v>2741.4</v>
      </c>
      <c r="AB81" s="136"/>
      <c r="AC81" s="136"/>
      <c r="AD81" s="105">
        <f t="shared" si="24"/>
        <v>0</v>
      </c>
      <c r="AE81" s="143"/>
      <c r="AF81" s="143"/>
      <c r="AG81" s="146"/>
      <c r="AH81" s="1514">
        <f t="shared" si="25"/>
        <v>0</v>
      </c>
      <c r="AI81" s="1554">
        <v>13724</v>
      </c>
      <c r="AJ81" s="1709"/>
      <c r="AK81" s="1709"/>
      <c r="AL81" s="1546"/>
      <c r="AM81" s="1546"/>
      <c r="AN81" s="1546"/>
      <c r="AO81" s="1546"/>
      <c r="AP81" s="1709"/>
      <c r="AQ81" s="1709"/>
      <c r="AR81" s="1709"/>
      <c r="AS81" s="1709"/>
      <c r="AT81" s="222">
        <f t="shared" si="26"/>
        <v>0</v>
      </c>
      <c r="AU81" s="140">
        <f t="shared" si="27"/>
        <v>0</v>
      </c>
      <c r="AV81" s="132"/>
      <c r="AW81" s="140">
        <f t="shared" si="28"/>
        <v>0</v>
      </c>
      <c r="AX81" s="141"/>
      <c r="AY81" s="141"/>
      <c r="AZ81" s="141"/>
      <c r="BA81" s="141"/>
      <c r="BB81" s="141"/>
      <c r="BC81" s="130">
        <f t="shared" si="29"/>
        <v>0</v>
      </c>
      <c r="BD81" s="132"/>
    </row>
    <row r="82" ht="14.25" customHeight="1">
      <c r="A82" s="132"/>
      <c r="B82" s="1520">
        <v>46090</v>
      </c>
      <c r="C82" s="134">
        <f>58484.06-0-0</f>
      </c>
      <c r="D82" s="136"/>
      <c r="E82" s="135"/>
      <c r="F82" s="135"/>
      <c r="G82" s="147">
        <f t="shared" si="21"/>
        <v>0</v>
      </c>
      <c r="H82" s="144">
        <v>1266.1</v>
      </c>
      <c r="I82" s="143"/>
      <c r="J82" s="143"/>
      <c r="K82" s="143"/>
      <c r="L82" s="145">
        <v>350</v>
      </c>
      <c r="M82" s="103">
        <f t="shared" si="22"/>
        <v>0</v>
      </c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03">
        <f t="shared" si="23"/>
        <v>0</v>
      </c>
      <c r="AA82" s="134">
        <v>1988.7</v>
      </c>
      <c r="AB82" s="136"/>
      <c r="AC82" s="136"/>
      <c r="AD82" s="105">
        <f t="shared" si="24"/>
        <v>0</v>
      </c>
      <c r="AE82" s="145">
        <v>4000</v>
      </c>
      <c r="AF82" s="143"/>
      <c r="AG82" s="146"/>
      <c r="AH82" s="1514">
        <f t="shared" si="25"/>
        <v>0</v>
      </c>
      <c r="AI82" s="1554">
        <v>10129.3</v>
      </c>
      <c r="AJ82" s="1718">
        <v>39750</v>
      </c>
      <c r="AK82" s="1709"/>
      <c r="AL82" s="1546"/>
      <c r="AM82" s="1546"/>
      <c r="AN82" s="1546"/>
      <c r="AO82" s="1546"/>
      <c r="AP82" s="1709"/>
      <c r="AQ82" s="1709"/>
      <c r="AR82" s="1709"/>
      <c r="AS82" s="1709"/>
      <c r="AT82" s="222">
        <f t="shared" si="26"/>
        <v>0</v>
      </c>
      <c r="AU82" s="140">
        <f t="shared" si="27"/>
        <v>0</v>
      </c>
      <c r="AV82" s="132"/>
      <c r="AW82" s="140">
        <f t="shared" si="28"/>
        <v>0</v>
      </c>
      <c r="AX82" s="141"/>
      <c r="AY82" s="141"/>
      <c r="AZ82" s="141"/>
      <c r="BA82" s="150"/>
      <c r="BB82" s="141">
        <v>1000</v>
      </c>
      <c r="BC82" s="130">
        <f t="shared" si="29"/>
        <v>0</v>
      </c>
      <c r="BD82" s="132"/>
    </row>
    <row r="83" ht="14.25" customHeight="1">
      <c r="A83" s="132"/>
      <c r="B83" s="1520">
        <v>46091</v>
      </c>
      <c r="C83" s="134">
        <f>11850.96-0-0</f>
      </c>
      <c r="D83" s="136"/>
      <c r="E83" s="135"/>
      <c r="F83" s="135"/>
      <c r="G83" s="147">
        <f t="shared" si="21"/>
        <v>0</v>
      </c>
      <c r="H83" s="199">
        <v>249</v>
      </c>
      <c r="I83" s="143"/>
      <c r="J83" s="143"/>
      <c r="K83" s="143"/>
      <c r="L83" s="143"/>
      <c r="M83" s="103">
        <f t="shared" si="22"/>
        <v>0</v>
      </c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03">
        <f t="shared" si="23"/>
        <v>0</v>
      </c>
      <c r="AA83" s="134">
        <v>933.82</v>
      </c>
      <c r="AB83" s="136"/>
      <c r="AC83" s="136"/>
      <c r="AD83" s="105">
        <f t="shared" si="24"/>
        <v>0</v>
      </c>
      <c r="AE83" s="143"/>
      <c r="AF83" s="143"/>
      <c r="AG83" s="146"/>
      <c r="AH83" s="1514">
        <f t="shared" si="25"/>
        <v>0</v>
      </c>
      <c r="AI83" s="1554">
        <v>10668.1</v>
      </c>
      <c r="AJ83" s="1709"/>
      <c r="AK83" s="1709"/>
      <c r="AL83" s="1546"/>
      <c r="AM83" s="1546"/>
      <c r="AN83" s="1546"/>
      <c r="AO83" s="1546"/>
      <c r="AP83" s="1709"/>
      <c r="AQ83" s="1709"/>
      <c r="AR83" s="1709"/>
      <c r="AS83" s="1709"/>
      <c r="AT83" s="222">
        <f t="shared" si="26"/>
        <v>0</v>
      </c>
      <c r="AU83" s="140">
        <f t="shared" si="27"/>
        <v>0</v>
      </c>
      <c r="AV83" s="132"/>
      <c r="AW83" s="140">
        <f t="shared" si="28"/>
        <v>0</v>
      </c>
      <c r="AX83" s="141"/>
      <c r="AY83" s="141"/>
      <c r="AZ83" s="141"/>
      <c r="BA83" s="141"/>
      <c r="BB83" s="141"/>
      <c r="BC83" s="130">
        <f t="shared" si="29"/>
        <v>0</v>
      </c>
      <c r="BD83" s="132"/>
    </row>
    <row r="84" ht="14.25" customHeight="1">
      <c r="A84" s="132"/>
      <c r="B84" s="1520">
        <v>46092</v>
      </c>
      <c r="C84" s="134">
        <f>13638.09-0-0</f>
      </c>
      <c r="D84" s="136"/>
      <c r="E84" s="135"/>
      <c r="F84" s="135"/>
      <c r="G84" s="147">
        <f t="shared" si="21"/>
        <v>0</v>
      </c>
      <c r="H84" s="199">
        <v>1861.7</v>
      </c>
      <c r="I84" s="143"/>
      <c r="J84" s="143"/>
      <c r="K84" s="143"/>
      <c r="L84" s="143"/>
      <c r="M84" s="103">
        <f t="shared" si="22"/>
        <v>0</v>
      </c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03">
        <f t="shared" si="23"/>
        <v>0</v>
      </c>
      <c r="AA84" s="134">
        <v>1399.2</v>
      </c>
      <c r="AB84" s="136"/>
      <c r="AC84" s="136"/>
      <c r="AD84" s="105">
        <f t="shared" si="24"/>
        <v>0</v>
      </c>
      <c r="AE84" s="143"/>
      <c r="AF84" s="143"/>
      <c r="AG84" s="146"/>
      <c r="AH84" s="1514">
        <f t="shared" si="25"/>
        <v>0</v>
      </c>
      <c r="AI84" s="1554">
        <v>10377.2</v>
      </c>
      <c r="AJ84" s="1709"/>
      <c r="AK84" s="1709"/>
      <c r="AL84" s="1546"/>
      <c r="AM84" s="1546"/>
      <c r="AN84" s="1546"/>
      <c r="AO84" s="1546"/>
      <c r="AP84" s="1709"/>
      <c r="AQ84" s="1709"/>
      <c r="AR84" s="1709"/>
      <c r="AS84" s="1709"/>
      <c r="AT84" s="222">
        <f t="shared" si="26"/>
        <v>0</v>
      </c>
      <c r="AU84" s="140">
        <f t="shared" si="27"/>
        <v>0</v>
      </c>
      <c r="AV84" s="132"/>
      <c r="AW84" s="140">
        <f t="shared" si="28"/>
        <v>0</v>
      </c>
      <c r="AX84" s="141"/>
      <c r="AY84" s="141"/>
      <c r="AZ84" s="141"/>
      <c r="BA84" s="141"/>
      <c r="BB84" s="141"/>
      <c r="BC84" s="130">
        <f t="shared" si="29"/>
        <v>0</v>
      </c>
      <c r="BD84" s="132"/>
    </row>
    <row r="85" ht="14.25" customHeight="1">
      <c r="A85" s="132"/>
      <c r="B85" s="1520">
        <v>46093</v>
      </c>
      <c r="C85" s="134">
        <f>11919.52-0-0</f>
      </c>
      <c r="D85" s="136"/>
      <c r="E85" s="135"/>
      <c r="F85" s="135"/>
      <c r="G85" s="147">
        <f t="shared" si="21"/>
        <v>0</v>
      </c>
      <c r="H85" s="199">
        <v>813.1</v>
      </c>
      <c r="I85" s="143"/>
      <c r="J85" s="143"/>
      <c r="K85" s="143"/>
      <c r="L85" s="143"/>
      <c r="M85" s="103">
        <f t="shared" si="22"/>
        <v>0</v>
      </c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03">
        <f t="shared" si="23"/>
        <v>0</v>
      </c>
      <c r="AA85" s="134">
        <v>942.1</v>
      </c>
      <c r="AB85" s="136"/>
      <c r="AC85" s="136"/>
      <c r="AD85" s="105">
        <f t="shared" si="24"/>
        <v>0</v>
      </c>
      <c r="AE85" s="143"/>
      <c r="AF85" s="143"/>
      <c r="AG85" s="146"/>
      <c r="AH85" s="1514">
        <f t="shared" si="25"/>
        <v>0</v>
      </c>
      <c r="AI85" s="1554">
        <v>9803</v>
      </c>
      <c r="AJ85" s="1709"/>
      <c r="AK85" s="1709"/>
      <c r="AL85" s="1546"/>
      <c r="AM85" s="1546"/>
      <c r="AN85" s="1546"/>
      <c r="AO85" s="1546"/>
      <c r="AP85" s="1709"/>
      <c r="AQ85" s="1709"/>
      <c r="AR85" s="1709"/>
      <c r="AS85" s="1709"/>
      <c r="AT85" s="222">
        <f t="shared" si="26"/>
        <v>0</v>
      </c>
      <c r="AU85" s="140">
        <f t="shared" si="27"/>
        <v>0</v>
      </c>
      <c r="AV85" s="132"/>
      <c r="AW85" s="140">
        <f t="shared" si="28"/>
        <v>0</v>
      </c>
      <c r="AX85" s="141"/>
      <c r="AY85" s="141"/>
      <c r="AZ85" s="141"/>
      <c r="BA85" s="150"/>
      <c r="BB85" s="141">
        <v>361.4</v>
      </c>
      <c r="BC85" s="130">
        <f t="shared" si="29"/>
        <v>0</v>
      </c>
      <c r="BD85" s="132"/>
    </row>
    <row r="86" ht="14.25" customHeight="1">
      <c r="A86" s="132"/>
      <c r="B86" s="1520">
        <v>46094</v>
      </c>
      <c r="C86" s="134">
        <f>11853.20-0-0</f>
      </c>
      <c r="D86" s="136"/>
      <c r="E86" s="135"/>
      <c r="F86" s="135"/>
      <c r="G86" s="147">
        <f t="shared" si="21"/>
        <v>0</v>
      </c>
      <c r="H86" s="199">
        <v>709.3</v>
      </c>
      <c r="I86" s="143"/>
      <c r="J86" s="143"/>
      <c r="K86" s="143"/>
      <c r="L86" s="143"/>
      <c r="M86" s="103">
        <f t="shared" si="22"/>
        <v>0</v>
      </c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03">
        <f t="shared" si="23"/>
        <v>0</v>
      </c>
      <c r="AA86" s="134">
        <v>1613.7</v>
      </c>
      <c r="AB86" s="136"/>
      <c r="AC86" s="136"/>
      <c r="AD86" s="105">
        <f t="shared" si="24"/>
        <v>0</v>
      </c>
      <c r="AE86" s="143"/>
      <c r="AF86" s="143"/>
      <c r="AG86" s="146"/>
      <c r="AH86" s="1514">
        <f t="shared" si="25"/>
        <v>0</v>
      </c>
      <c r="AI86" s="1554">
        <v>9530.2</v>
      </c>
      <c r="AJ86" s="1709"/>
      <c r="AK86" s="1709"/>
      <c r="AL86" s="1546"/>
      <c r="AM86" s="1546"/>
      <c r="AN86" s="1546"/>
      <c r="AO86" s="1546"/>
      <c r="AP86" s="1709"/>
      <c r="AQ86" s="1709"/>
      <c r="AR86" s="1709"/>
      <c r="AS86" s="1709"/>
      <c r="AT86" s="222">
        <f t="shared" si="26"/>
        <v>0</v>
      </c>
      <c r="AU86" s="140">
        <f t="shared" si="27"/>
        <v>0</v>
      </c>
      <c r="AV86" s="132"/>
      <c r="AW86" s="140">
        <f t="shared" si="28"/>
        <v>0</v>
      </c>
      <c r="AX86" s="141"/>
      <c r="AY86" s="141"/>
      <c r="AZ86" s="141"/>
      <c r="BA86" s="141"/>
      <c r="BB86" s="141"/>
      <c r="BC86" s="130">
        <f t="shared" si="29"/>
        <v>0</v>
      </c>
      <c r="BD86" s="132"/>
    </row>
    <row r="87" ht="14.25" customHeight="1">
      <c r="A87" s="132"/>
      <c r="B87" s="1520">
        <v>46095</v>
      </c>
      <c r="C87" s="134">
        <f>14489.89-0-0</f>
      </c>
      <c r="D87" s="136"/>
      <c r="E87" s="135"/>
      <c r="F87" s="135"/>
      <c r="G87" s="147">
        <f t="shared" si="21"/>
        <v>0</v>
      </c>
      <c r="H87" s="199">
        <v>380.6</v>
      </c>
      <c r="I87" s="143"/>
      <c r="J87" s="143"/>
      <c r="K87" s="143"/>
      <c r="L87" s="145">
        <v>350</v>
      </c>
      <c r="M87" s="103">
        <f t="shared" si="22"/>
        <v>0</v>
      </c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03">
        <f t="shared" si="23"/>
        <v>0</v>
      </c>
      <c r="AA87" s="134">
        <v>1727.65</v>
      </c>
      <c r="AB87" s="136"/>
      <c r="AC87" s="136"/>
      <c r="AD87" s="105">
        <f t="shared" si="24"/>
        <v>0</v>
      </c>
      <c r="AE87" s="143"/>
      <c r="AF87" s="143"/>
      <c r="AG87" s="146"/>
      <c r="AH87" s="1514">
        <f t="shared" si="25"/>
        <v>0</v>
      </c>
      <c r="AI87" s="1554">
        <v>11977.7</v>
      </c>
      <c r="AJ87" s="1709"/>
      <c r="AK87" s="1709"/>
      <c r="AL87" s="1546"/>
      <c r="AM87" s="1546"/>
      <c r="AN87" s="1546"/>
      <c r="AO87" s="1546"/>
      <c r="AP87" s="1709"/>
      <c r="AQ87" s="1709"/>
      <c r="AR87" s="1709"/>
      <c r="AS87" s="1709"/>
      <c r="AT87" s="222">
        <f t="shared" si="26"/>
        <v>0</v>
      </c>
      <c r="AU87" s="140">
        <f t="shared" si="27"/>
        <v>0</v>
      </c>
      <c r="AV87" s="132"/>
      <c r="AW87" s="140">
        <f t="shared" si="28"/>
        <v>0</v>
      </c>
      <c r="AX87" s="141"/>
      <c r="AY87" s="141"/>
      <c r="AZ87" s="141"/>
      <c r="BA87" s="150"/>
      <c r="BB87" s="141">
        <v>54</v>
      </c>
      <c r="BC87" s="130">
        <f t="shared" si="29"/>
        <v>0</v>
      </c>
      <c r="BD87" s="132"/>
    </row>
    <row r="88" ht="14.25" customHeight="1">
      <c r="A88" s="132"/>
      <c r="B88" s="1520">
        <v>46096</v>
      </c>
      <c r="C88" s="134">
        <f>15221.26-0-0</f>
      </c>
      <c r="D88" s="136"/>
      <c r="E88" s="135"/>
      <c r="F88" s="135"/>
      <c r="G88" s="147">
        <f t="shared" si="21"/>
        <v>0</v>
      </c>
      <c r="H88" s="144"/>
      <c r="I88" s="143"/>
      <c r="J88" s="143"/>
      <c r="K88" s="143"/>
      <c r="L88" s="143"/>
      <c r="M88" s="103">
        <f t="shared" si="22"/>
        <v>0</v>
      </c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03">
        <f t="shared" si="23"/>
        <v>0</v>
      </c>
      <c r="AA88" s="134">
        <v>2965.46</v>
      </c>
      <c r="AB88" s="136"/>
      <c r="AC88" s="136"/>
      <c r="AD88" s="105">
        <f t="shared" si="24"/>
        <v>0</v>
      </c>
      <c r="AE88" s="143"/>
      <c r="AF88" s="143"/>
      <c r="AG88" s="146"/>
      <c r="AH88" s="1514">
        <f t="shared" si="25"/>
        <v>0</v>
      </c>
      <c r="AI88" s="1554">
        <v>12255.8</v>
      </c>
      <c r="AJ88" s="1709"/>
      <c r="AK88" s="1709"/>
      <c r="AL88" s="1546"/>
      <c r="AM88" s="1546"/>
      <c r="AN88" s="1546"/>
      <c r="AO88" s="1546"/>
      <c r="AP88" s="1709"/>
      <c r="AQ88" s="1709"/>
      <c r="AR88" s="1709"/>
      <c r="AS88" s="1709"/>
      <c r="AT88" s="222">
        <f t="shared" si="26"/>
        <v>0</v>
      </c>
      <c r="AU88" s="140">
        <f t="shared" si="27"/>
        <v>0</v>
      </c>
      <c r="AV88" s="132"/>
      <c r="AW88" s="140">
        <f t="shared" si="28"/>
        <v>0</v>
      </c>
      <c r="AX88" s="141"/>
      <c r="AY88" s="141"/>
      <c r="AZ88" s="141"/>
      <c r="BA88" s="141"/>
      <c r="BB88" s="141"/>
      <c r="BC88" s="130">
        <f t="shared" si="29"/>
        <v>0</v>
      </c>
      <c r="BD88" s="132"/>
    </row>
    <row r="89" ht="14.25" customHeight="1">
      <c r="A89" s="132"/>
      <c r="B89" s="1520">
        <v>46097</v>
      </c>
      <c r="C89" s="134">
        <f>12810.83-0-0</f>
      </c>
      <c r="D89" s="136"/>
      <c r="E89" s="135"/>
      <c r="F89" s="135"/>
      <c r="G89" s="147">
        <f t="shared" si="21"/>
        <v>0</v>
      </c>
      <c r="H89" s="199">
        <v>1321.8</v>
      </c>
      <c r="I89" s="143"/>
      <c r="J89" s="143"/>
      <c r="K89" s="143"/>
      <c r="L89" s="143"/>
      <c r="M89" s="103">
        <f t="shared" si="22"/>
        <v>0</v>
      </c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03">
        <f t="shared" si="23"/>
        <v>0</v>
      </c>
      <c r="AA89" s="134">
        <v>1895.11</v>
      </c>
      <c r="AB89" s="136"/>
      <c r="AC89" s="136"/>
      <c r="AD89" s="105">
        <f t="shared" si="24"/>
        <v>0</v>
      </c>
      <c r="AE89" s="143"/>
      <c r="AF89" s="143"/>
      <c r="AG89" s="146"/>
      <c r="AH89" s="1514">
        <f t="shared" si="25"/>
        <v>0</v>
      </c>
      <c r="AI89" s="1554">
        <v>9593.9</v>
      </c>
      <c r="AJ89" s="1709"/>
      <c r="AK89" s="1709"/>
      <c r="AL89" s="1546"/>
      <c r="AM89" s="1546"/>
      <c r="AN89" s="1546"/>
      <c r="AO89" s="1546"/>
      <c r="AP89" s="1709"/>
      <c r="AQ89" s="1709"/>
      <c r="AR89" s="1709"/>
      <c r="AS89" s="1709"/>
      <c r="AT89" s="222">
        <f t="shared" si="26"/>
        <v>0</v>
      </c>
      <c r="AU89" s="140">
        <f t="shared" si="27"/>
        <v>0</v>
      </c>
      <c r="AV89" s="132"/>
      <c r="AW89" s="140">
        <f t="shared" si="28"/>
        <v>0</v>
      </c>
      <c r="AX89" s="141"/>
      <c r="AY89" s="141"/>
      <c r="AZ89" s="141"/>
      <c r="BA89" s="141"/>
      <c r="BB89" s="141"/>
      <c r="BC89" s="130">
        <f t="shared" si="29"/>
        <v>0</v>
      </c>
      <c r="BD89" s="132"/>
    </row>
    <row r="90" ht="14.25" customHeight="1">
      <c r="A90" s="132"/>
      <c r="B90" s="1520">
        <v>46098</v>
      </c>
      <c r="C90" s="134">
        <f>13377.15-0-0</f>
      </c>
      <c r="D90" s="136"/>
      <c r="E90" s="135"/>
      <c r="F90" s="135"/>
      <c r="G90" s="147">
        <f t="shared" si="21"/>
        <v>0</v>
      </c>
      <c r="H90" s="199">
        <v>813.1</v>
      </c>
      <c r="I90" s="143"/>
      <c r="J90" s="143"/>
      <c r="K90" s="143"/>
      <c r="L90" s="143"/>
      <c r="M90" s="103">
        <f t="shared" si="22"/>
        <v>0</v>
      </c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03">
        <f t="shared" si="23"/>
        <v>0</v>
      </c>
      <c r="AA90" s="134">
        <v>2541.93</v>
      </c>
      <c r="AB90" s="136"/>
      <c r="AC90" s="136"/>
      <c r="AD90" s="105">
        <f t="shared" si="24"/>
        <v>0</v>
      </c>
      <c r="AE90" s="143"/>
      <c r="AF90" s="143"/>
      <c r="AG90" s="146"/>
      <c r="AH90" s="1514">
        <f t="shared" si="25"/>
        <v>0</v>
      </c>
      <c r="AI90" s="1554">
        <v>9875.1</v>
      </c>
      <c r="AJ90" s="1709"/>
      <c r="AK90" s="1709"/>
      <c r="AL90" s="1546"/>
      <c r="AM90" s="1546"/>
      <c r="AN90" s="1546"/>
      <c r="AO90" s="1546"/>
      <c r="AP90" s="1709"/>
      <c r="AQ90" s="1709"/>
      <c r="AR90" s="1709"/>
      <c r="AS90" s="1709"/>
      <c r="AT90" s="222">
        <f t="shared" si="26"/>
        <v>0</v>
      </c>
      <c r="AU90" s="140">
        <f t="shared" si="27"/>
        <v>0</v>
      </c>
      <c r="AV90" s="132"/>
      <c r="AW90" s="140">
        <f t="shared" si="28"/>
        <v>0</v>
      </c>
      <c r="AX90" s="141"/>
      <c r="AY90" s="141"/>
      <c r="AZ90" s="141"/>
      <c r="BA90" s="150"/>
      <c r="BB90" s="141">
        <v>147</v>
      </c>
      <c r="BC90" s="130">
        <f t="shared" si="29"/>
        <v>0</v>
      </c>
      <c r="BD90" s="132"/>
    </row>
    <row r="91" ht="14.25" customHeight="1">
      <c r="A91" s="132"/>
      <c r="B91" s="1520">
        <v>46099</v>
      </c>
      <c r="C91" s="134">
        <f>15829.89-0-0</f>
      </c>
      <c r="D91" s="136"/>
      <c r="E91" s="135"/>
      <c r="F91" s="135"/>
      <c r="G91" s="147">
        <f t="shared" si="21"/>
        <v>0</v>
      </c>
      <c r="H91" s="199">
        <v>1235.2</v>
      </c>
      <c r="I91" s="143"/>
      <c r="J91" s="143"/>
      <c r="K91" s="143"/>
      <c r="L91" s="143"/>
      <c r="M91" s="103">
        <f t="shared" si="22"/>
        <v>0</v>
      </c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03">
        <f t="shared" si="23"/>
        <v>0</v>
      </c>
      <c r="AA91" s="134">
        <v>2198.57</v>
      </c>
      <c r="AB91" s="136"/>
      <c r="AC91" s="136"/>
      <c r="AD91" s="105">
        <f t="shared" si="24"/>
        <v>0</v>
      </c>
      <c r="AE91" s="145">
        <v>12</v>
      </c>
      <c r="AF91" s="143"/>
      <c r="AG91" s="146"/>
      <c r="AH91" s="1514">
        <f t="shared" si="25"/>
        <v>0</v>
      </c>
      <c r="AI91" s="1554">
        <v>11256.1</v>
      </c>
      <c r="AJ91" s="1718">
        <v>1128</v>
      </c>
      <c r="AK91" s="1709"/>
      <c r="AL91" s="1546"/>
      <c r="AM91" s="1546"/>
      <c r="AN91" s="1546"/>
      <c r="AO91" s="1546"/>
      <c r="AP91" s="1709"/>
      <c r="AQ91" s="1709"/>
      <c r="AR91" s="1709"/>
      <c r="AS91" s="1709"/>
      <c r="AT91" s="222">
        <f t="shared" si="26"/>
        <v>0</v>
      </c>
      <c r="AU91" s="140">
        <f t="shared" si="27"/>
        <v>0</v>
      </c>
      <c r="AV91" s="132"/>
      <c r="AW91" s="140">
        <f t="shared" si="28"/>
        <v>0</v>
      </c>
      <c r="AX91" s="141"/>
      <c r="AY91" s="141"/>
      <c r="AZ91" s="141"/>
      <c r="BA91" s="141"/>
      <c r="BB91" s="141"/>
      <c r="BC91" s="130">
        <f t="shared" si="29"/>
        <v>0</v>
      </c>
      <c r="BD91" s="132"/>
    </row>
    <row r="92" ht="14.25" customHeight="1">
      <c r="A92" s="132"/>
      <c r="B92" s="1520">
        <v>46100</v>
      </c>
      <c r="C92" s="134">
        <f>17745.87-0-0</f>
      </c>
      <c r="D92" s="136"/>
      <c r="E92" s="135"/>
      <c r="F92" s="135"/>
      <c r="G92" s="147">
        <f t="shared" si="21"/>
        <v>0</v>
      </c>
      <c r="H92" s="199">
        <v>617.6</v>
      </c>
      <c r="I92" s="143"/>
      <c r="J92" s="143"/>
      <c r="K92" s="143"/>
      <c r="L92" s="143"/>
      <c r="M92" s="103">
        <f t="shared" si="22"/>
        <v>0</v>
      </c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03">
        <f t="shared" si="23"/>
        <v>0</v>
      </c>
      <c r="AA92" s="134">
        <v>1990</v>
      </c>
      <c r="AB92" s="136"/>
      <c r="AC92" s="136"/>
      <c r="AD92" s="105">
        <f t="shared" si="24"/>
        <v>0</v>
      </c>
      <c r="AE92" s="143"/>
      <c r="AF92" s="143"/>
      <c r="AG92" s="146"/>
      <c r="AH92" s="1514">
        <f t="shared" si="25"/>
        <v>0</v>
      </c>
      <c r="AI92" s="1554">
        <v>15138.3</v>
      </c>
      <c r="AJ92" s="1709"/>
      <c r="AK92" s="1709"/>
      <c r="AL92" s="1546"/>
      <c r="AM92" s="1546"/>
      <c r="AN92" s="1546"/>
      <c r="AO92" s="1546"/>
      <c r="AP92" s="1709"/>
      <c r="AQ92" s="1709"/>
      <c r="AR92" s="1709"/>
      <c r="AS92" s="1709"/>
      <c r="AT92" s="222">
        <f t="shared" si="26"/>
        <v>0</v>
      </c>
      <c r="AU92" s="140">
        <f t="shared" si="27"/>
        <v>0</v>
      </c>
      <c r="AV92" s="132"/>
      <c r="AW92" s="140">
        <f t="shared" si="28"/>
        <v>0</v>
      </c>
      <c r="AX92" s="141"/>
      <c r="AY92" s="141"/>
      <c r="AZ92" s="141"/>
      <c r="BA92" s="141"/>
      <c r="BB92" s="141"/>
      <c r="BC92" s="130">
        <f t="shared" si="29"/>
        <v>0</v>
      </c>
      <c r="BD92" s="132"/>
    </row>
    <row r="93" ht="14.25" customHeight="1">
      <c r="A93" s="132"/>
      <c r="B93" s="1520">
        <v>46101</v>
      </c>
      <c r="C93" s="134">
        <f>16451.76-0-0</f>
      </c>
      <c r="D93" s="136"/>
      <c r="E93" s="135"/>
      <c r="F93" s="135"/>
      <c r="G93" s="147">
        <f t="shared" si="21"/>
        <v>0</v>
      </c>
      <c r="H93" s="199">
        <v>1486.1</v>
      </c>
      <c r="I93" s="143"/>
      <c r="J93" s="143"/>
      <c r="K93" s="143"/>
      <c r="L93" s="145">
        <v>350</v>
      </c>
      <c r="M93" s="103">
        <f t="shared" si="22"/>
        <v>0</v>
      </c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03">
        <f t="shared" si="23"/>
        <v>0</v>
      </c>
      <c r="AA93" s="134">
        <v>2306.8</v>
      </c>
      <c r="AB93" s="136"/>
      <c r="AC93" s="136"/>
      <c r="AD93" s="105">
        <f t="shared" si="24"/>
        <v>0</v>
      </c>
      <c r="AE93" s="143"/>
      <c r="AF93" s="143"/>
      <c r="AG93" s="146"/>
      <c r="AH93" s="1514">
        <f t="shared" si="25"/>
        <v>0</v>
      </c>
      <c r="AI93" s="1554">
        <v>12308.8</v>
      </c>
      <c r="AJ93" s="1709"/>
      <c r="AK93" s="1709"/>
      <c r="AL93" s="1546"/>
      <c r="AM93" s="1546"/>
      <c r="AN93" s="1546"/>
      <c r="AO93" s="1546"/>
      <c r="AP93" s="1709"/>
      <c r="AQ93" s="1709"/>
      <c r="AR93" s="1709"/>
      <c r="AS93" s="1709"/>
      <c r="AT93" s="222">
        <f t="shared" si="26"/>
        <v>0</v>
      </c>
      <c r="AU93" s="140">
        <f t="shared" si="27"/>
        <v>0</v>
      </c>
      <c r="AV93" s="132"/>
      <c r="AW93" s="140">
        <f t="shared" si="28"/>
        <v>0</v>
      </c>
      <c r="AX93" s="141"/>
      <c r="AY93" s="141"/>
      <c r="AZ93" s="141"/>
      <c r="BA93" s="141"/>
      <c r="BB93" s="141"/>
      <c r="BC93" s="130">
        <f t="shared" si="29"/>
        <v>0</v>
      </c>
      <c r="BD93" s="132"/>
    </row>
    <row r="94" ht="14.25" customHeight="1">
      <c r="A94" s="132"/>
      <c r="B94" s="1520">
        <v>46102</v>
      </c>
      <c r="C94" s="134">
        <f>19720.23-0-0</f>
      </c>
      <c r="D94" s="136"/>
      <c r="E94" s="135"/>
      <c r="F94" s="135"/>
      <c r="G94" s="147">
        <f t="shared" si="21"/>
        <v>0</v>
      </c>
      <c r="H94" s="144">
        <v>3178.5</v>
      </c>
      <c r="I94" s="143"/>
      <c r="J94" s="143"/>
      <c r="K94" s="143"/>
      <c r="L94" s="143"/>
      <c r="M94" s="103">
        <f t="shared" si="22"/>
        <v>0</v>
      </c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03">
        <f t="shared" si="23"/>
        <v>0</v>
      </c>
      <c r="AA94" s="134">
        <v>3254.55</v>
      </c>
      <c r="AB94" s="136"/>
      <c r="AC94" s="136"/>
      <c r="AD94" s="105">
        <f t="shared" si="24"/>
        <v>0</v>
      </c>
      <c r="AE94" s="143"/>
      <c r="AF94" s="143"/>
      <c r="AG94" s="146"/>
      <c r="AH94" s="1514">
        <f t="shared" si="25"/>
        <v>0</v>
      </c>
      <c r="AI94" s="1554">
        <v>13077.1</v>
      </c>
      <c r="AJ94" s="1709"/>
      <c r="AK94" s="1709"/>
      <c r="AL94" s="1546"/>
      <c r="AM94" s="1546"/>
      <c r="AN94" s="1546"/>
      <c r="AO94" s="1546"/>
      <c r="AP94" s="1709"/>
      <c r="AQ94" s="1709"/>
      <c r="AR94" s="1709"/>
      <c r="AS94" s="1709"/>
      <c r="AT94" s="222">
        <f t="shared" si="26"/>
        <v>0</v>
      </c>
      <c r="AU94" s="140">
        <f t="shared" si="27"/>
        <v>0</v>
      </c>
      <c r="AV94" s="132"/>
      <c r="AW94" s="140">
        <f t="shared" si="28"/>
        <v>0</v>
      </c>
      <c r="AX94" s="141"/>
      <c r="AY94" s="141"/>
      <c r="AZ94" s="141"/>
      <c r="BA94" s="150"/>
      <c r="BB94" s="141">
        <v>210</v>
      </c>
      <c r="BC94" s="130">
        <f t="shared" si="29"/>
        <v>0</v>
      </c>
      <c r="BD94" s="132"/>
    </row>
    <row r="95" ht="14.25" customHeight="1">
      <c r="A95" s="132"/>
      <c r="B95" s="1520">
        <v>46103</v>
      </c>
      <c r="C95" s="134">
        <f>19899.74-0-0</f>
      </c>
      <c r="D95" s="136"/>
      <c r="E95" s="135"/>
      <c r="F95" s="135"/>
      <c r="G95" s="147">
        <f t="shared" si="21"/>
        <v>0</v>
      </c>
      <c r="H95" s="144"/>
      <c r="I95" s="143"/>
      <c r="J95" s="143"/>
      <c r="K95" s="143"/>
      <c r="L95" s="143"/>
      <c r="M95" s="103">
        <f t="shared" si="22"/>
        <v>0</v>
      </c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03">
        <f t="shared" si="23"/>
        <v>0</v>
      </c>
      <c r="AA95" s="134">
        <v>2826.07</v>
      </c>
      <c r="AB95" s="136"/>
      <c r="AC95" s="136"/>
      <c r="AD95" s="105">
        <f t="shared" si="24"/>
        <v>0</v>
      </c>
      <c r="AE95" s="143"/>
      <c r="AF95" s="143"/>
      <c r="AG95" s="146"/>
      <c r="AH95" s="1514">
        <f t="shared" si="25"/>
        <v>0</v>
      </c>
      <c r="AI95" s="1554">
        <v>17073.7</v>
      </c>
      <c r="AJ95" s="1709"/>
      <c r="AK95" s="1709"/>
      <c r="AL95" s="1546"/>
      <c r="AM95" s="1546"/>
      <c r="AN95" s="1546"/>
      <c r="AO95" s="1546"/>
      <c r="AP95" s="1709"/>
      <c r="AQ95" s="1709"/>
      <c r="AR95" s="1709"/>
      <c r="AS95" s="1709"/>
      <c r="AT95" s="222">
        <f t="shared" si="26"/>
        <v>0</v>
      </c>
      <c r="AU95" s="140">
        <f t="shared" si="27"/>
        <v>0</v>
      </c>
      <c r="AV95" s="132"/>
      <c r="AW95" s="140">
        <f t="shared" si="28"/>
        <v>0</v>
      </c>
      <c r="AX95" s="141"/>
      <c r="AY95" s="141"/>
      <c r="AZ95" s="141"/>
      <c r="BA95" s="141"/>
      <c r="BB95" s="141"/>
      <c r="BC95" s="130">
        <f t="shared" si="29"/>
        <v>0</v>
      </c>
      <c r="BD95" s="132"/>
    </row>
    <row r="96" ht="14.25" customHeight="1">
      <c r="A96" s="132"/>
      <c r="B96" s="1520">
        <v>46104</v>
      </c>
      <c r="C96" s="134">
        <f>28505.17-0-0</f>
      </c>
      <c r="D96" s="136"/>
      <c r="E96" s="135"/>
      <c r="F96" s="135"/>
      <c r="G96" s="147">
        <f t="shared" si="21"/>
        <v>0</v>
      </c>
      <c r="H96" s="199">
        <v>1515.05</v>
      </c>
      <c r="I96" s="143"/>
      <c r="J96" s="143"/>
      <c r="K96" s="143"/>
      <c r="L96" s="143"/>
      <c r="M96" s="103">
        <f t="shared" si="22"/>
        <v>0</v>
      </c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03">
        <f t="shared" si="23"/>
        <v>0</v>
      </c>
      <c r="AA96" s="134">
        <v>2083</v>
      </c>
      <c r="AB96" s="136"/>
      <c r="AC96" s="136"/>
      <c r="AD96" s="105">
        <f t="shared" si="24"/>
        <v>0</v>
      </c>
      <c r="AE96" s="145">
        <v>962</v>
      </c>
      <c r="AF96" s="143"/>
      <c r="AG96" s="146"/>
      <c r="AH96" s="1514">
        <f t="shared" si="25"/>
        <v>0</v>
      </c>
      <c r="AI96" s="1554">
        <v>13067.1</v>
      </c>
      <c r="AJ96" s="1718">
        <v>10678</v>
      </c>
      <c r="AK96" s="1709"/>
      <c r="AL96" s="1546"/>
      <c r="AM96" s="1546"/>
      <c r="AN96" s="1546"/>
      <c r="AO96" s="1546"/>
      <c r="AP96" s="1709"/>
      <c r="AQ96" s="1709"/>
      <c r="AR96" s="1709"/>
      <c r="AS96" s="1709"/>
      <c r="AT96" s="222">
        <f t="shared" si="26"/>
        <v>0</v>
      </c>
      <c r="AU96" s="140">
        <f t="shared" si="27"/>
        <v>0</v>
      </c>
      <c r="AV96" s="132"/>
      <c r="AW96" s="140">
        <f t="shared" si="28"/>
        <v>0</v>
      </c>
      <c r="AX96" s="141"/>
      <c r="AY96" s="141"/>
      <c r="AZ96" s="141"/>
      <c r="BA96" s="150"/>
      <c r="BB96" s="141">
        <v>200</v>
      </c>
      <c r="BC96" s="130">
        <f t="shared" si="29"/>
        <v>0</v>
      </c>
      <c r="BD96" s="132"/>
    </row>
    <row r="97" ht="14.25" customHeight="1">
      <c r="A97" s="132"/>
      <c r="B97" s="1520">
        <v>46105</v>
      </c>
      <c r="C97" s="134">
        <f>20173.13-0-0</f>
      </c>
      <c r="D97" s="136"/>
      <c r="E97" s="135"/>
      <c r="F97" s="135"/>
      <c r="G97" s="147">
        <f t="shared" si="21"/>
        <v>0</v>
      </c>
      <c r="H97" s="199">
        <v>215</v>
      </c>
      <c r="I97" s="143"/>
      <c r="J97" s="143"/>
      <c r="K97" s="143"/>
      <c r="L97" s="143"/>
      <c r="M97" s="103">
        <f t="shared" si="22"/>
        <v>0</v>
      </c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03">
        <f t="shared" si="23"/>
        <v>0</v>
      </c>
      <c r="AA97" s="134">
        <v>2278.6</v>
      </c>
      <c r="AB97" s="136"/>
      <c r="AC97" s="136"/>
      <c r="AD97" s="105">
        <f t="shared" si="24"/>
        <v>0</v>
      </c>
      <c r="AE97" s="143"/>
      <c r="AF97" s="143"/>
      <c r="AG97" s="146"/>
      <c r="AH97" s="1514">
        <f t="shared" si="25"/>
        <v>0</v>
      </c>
      <c r="AI97" s="1554">
        <v>17679.6</v>
      </c>
      <c r="AJ97" s="1709"/>
      <c r="AK97" s="1709"/>
      <c r="AL97" s="1546"/>
      <c r="AM97" s="1546"/>
      <c r="AN97" s="1546"/>
      <c r="AO97" s="1546"/>
      <c r="AP97" s="1709"/>
      <c r="AQ97" s="1709"/>
      <c r="AR97" s="1709"/>
      <c r="AS97" s="1709"/>
      <c r="AT97" s="222">
        <f t="shared" si="26"/>
        <v>0</v>
      </c>
      <c r="AU97" s="140">
        <f t="shared" si="27"/>
        <v>0</v>
      </c>
      <c r="AV97" s="132"/>
      <c r="AW97" s="140">
        <f t="shared" si="28"/>
        <v>0</v>
      </c>
      <c r="AX97" s="141"/>
      <c r="AY97" s="141"/>
      <c r="AZ97" s="141"/>
      <c r="BA97" s="141"/>
      <c r="BB97" s="141"/>
      <c r="BC97" s="130">
        <f t="shared" si="29"/>
        <v>0</v>
      </c>
      <c r="BD97" s="132"/>
    </row>
    <row r="98" ht="14.25" customHeight="1">
      <c r="A98" s="132"/>
      <c r="B98" s="1520">
        <v>46106</v>
      </c>
      <c r="C98" s="134">
        <f>19071.39-0-0</f>
      </c>
      <c r="D98" s="136"/>
      <c r="E98" s="135"/>
      <c r="F98" s="135"/>
      <c r="G98" s="147">
        <f t="shared" si="21"/>
        <v>0</v>
      </c>
      <c r="H98" s="199">
        <v>2682.5</v>
      </c>
      <c r="I98" s="143"/>
      <c r="J98" s="143"/>
      <c r="K98" s="143"/>
      <c r="L98" s="143"/>
      <c r="M98" s="103">
        <f t="shared" si="22"/>
        <v>0</v>
      </c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03">
        <f t="shared" si="23"/>
        <v>0</v>
      </c>
      <c r="AA98" s="134">
        <v>3842.58</v>
      </c>
      <c r="AB98" s="136"/>
      <c r="AC98" s="136"/>
      <c r="AD98" s="105">
        <f t="shared" si="24"/>
        <v>0</v>
      </c>
      <c r="AE98" s="143"/>
      <c r="AF98" s="143"/>
      <c r="AG98" s="146"/>
      <c r="AH98" s="1514">
        <f t="shared" si="25"/>
        <v>0</v>
      </c>
      <c r="AI98" s="1554">
        <v>12277.5</v>
      </c>
      <c r="AJ98" s="1709"/>
      <c r="AK98" s="1709"/>
      <c r="AL98" s="1546"/>
      <c r="AM98" s="1546"/>
      <c r="AN98" s="1546"/>
      <c r="AO98" s="1546"/>
      <c r="AP98" s="1709"/>
      <c r="AQ98" s="1709"/>
      <c r="AR98" s="1709"/>
      <c r="AS98" s="1709"/>
      <c r="AT98" s="222">
        <f t="shared" si="26"/>
        <v>0</v>
      </c>
      <c r="AU98" s="140">
        <f t="shared" si="27"/>
        <v>0</v>
      </c>
      <c r="AV98" s="132"/>
      <c r="AW98" s="140">
        <f t="shared" si="28"/>
        <v>0</v>
      </c>
      <c r="AX98" s="141"/>
      <c r="AY98" s="141"/>
      <c r="AZ98" s="141"/>
      <c r="BA98" s="150"/>
      <c r="BB98" s="141">
        <v>268.8</v>
      </c>
      <c r="BC98" s="130">
        <f t="shared" si="29"/>
        <v>0</v>
      </c>
      <c r="BD98" s="132"/>
    </row>
    <row r="99" ht="14.25" customHeight="1">
      <c r="A99" s="132"/>
      <c r="B99" s="1520">
        <v>46107</v>
      </c>
      <c r="C99" s="134">
        <f>3707.42-0-0</f>
      </c>
      <c r="D99" s="136"/>
      <c r="E99" s="135"/>
      <c r="F99" s="135"/>
      <c r="G99" s="147">
        <f t="shared" si="21"/>
        <v>0</v>
      </c>
      <c r="H99" s="144"/>
      <c r="I99" s="143"/>
      <c r="J99" s="143"/>
      <c r="K99" s="143"/>
      <c r="L99" s="143"/>
      <c r="M99" s="103">
        <f t="shared" si="22"/>
        <v>0</v>
      </c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03">
        <f t="shared" si="23"/>
        <v>0</v>
      </c>
      <c r="AA99" s="134">
        <v>442.74</v>
      </c>
      <c r="AB99" s="136"/>
      <c r="AC99" s="136"/>
      <c r="AD99" s="105">
        <f t="shared" si="24"/>
        <v>0</v>
      </c>
      <c r="AE99" s="143"/>
      <c r="AF99" s="143"/>
      <c r="AG99" s="146"/>
      <c r="AH99" s="1514">
        <f t="shared" si="25"/>
        <v>0</v>
      </c>
      <c r="AI99" s="1554">
        <v>3264.7</v>
      </c>
      <c r="AJ99" s="1709"/>
      <c r="AK99" s="1709"/>
      <c r="AL99" s="1546"/>
      <c r="AM99" s="1546"/>
      <c r="AN99" s="1546"/>
      <c r="AO99" s="1546"/>
      <c r="AP99" s="1709"/>
      <c r="AQ99" s="1709"/>
      <c r="AR99" s="1709"/>
      <c r="AS99" s="1709"/>
      <c r="AT99" s="222">
        <f t="shared" si="26"/>
        <v>0</v>
      </c>
      <c r="AU99" s="140">
        <f t="shared" si="27"/>
        <v>0</v>
      </c>
      <c r="AV99" s="132"/>
      <c r="AW99" s="140">
        <f t="shared" si="28"/>
        <v>0</v>
      </c>
      <c r="AX99" s="141"/>
      <c r="AY99" s="141"/>
      <c r="AZ99" s="141"/>
      <c r="BA99" s="141"/>
      <c r="BB99" s="141"/>
      <c r="BC99" s="130">
        <f t="shared" si="29"/>
        <v>0</v>
      </c>
      <c r="BD99" s="132"/>
    </row>
    <row r="100" ht="14.25" customHeight="1">
      <c r="A100" s="132"/>
      <c r="B100" s="1520">
        <v>46108</v>
      </c>
      <c r="C100" s="134">
        <f>20490.65-0-0</f>
      </c>
      <c r="D100" s="136"/>
      <c r="E100" s="135"/>
      <c r="F100" s="135"/>
      <c r="G100" s="147">
        <f t="shared" si="21"/>
        <v>0</v>
      </c>
      <c r="H100" s="144">
        <v>972</v>
      </c>
      <c r="I100" s="143"/>
      <c r="J100" s="143"/>
      <c r="K100" s="143"/>
      <c r="L100" s="145">
        <v>350</v>
      </c>
      <c r="M100" s="103">
        <f t="shared" si="22"/>
        <v>0</v>
      </c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03">
        <f t="shared" si="23"/>
        <v>0</v>
      </c>
      <c r="AA100" s="134">
        <v>2632.94</v>
      </c>
      <c r="AB100" s="136"/>
      <c r="AC100" s="136"/>
      <c r="AD100" s="105">
        <f t="shared" si="24"/>
        <v>0</v>
      </c>
      <c r="AE100" s="145">
        <v>400</v>
      </c>
      <c r="AF100" s="143"/>
      <c r="AG100" s="146"/>
      <c r="AH100" s="1514">
        <f t="shared" si="25"/>
        <v>0</v>
      </c>
      <c r="AI100" s="1554">
        <v>10715.7</v>
      </c>
      <c r="AJ100" s="1718">
        <v>5200</v>
      </c>
      <c r="AK100" s="1709"/>
      <c r="AL100" s="1546"/>
      <c r="AM100" s="1546"/>
      <c r="AN100" s="1546"/>
      <c r="AO100" s="1546"/>
      <c r="AP100" s="1709"/>
      <c r="AQ100" s="1709"/>
      <c r="AR100" s="1709"/>
      <c r="AS100" s="1709"/>
      <c r="AT100" s="222">
        <f t="shared" si="26"/>
        <v>0</v>
      </c>
      <c r="AU100" s="140">
        <f t="shared" si="27"/>
        <v>0</v>
      </c>
      <c r="AV100" s="132"/>
      <c r="AW100" s="140">
        <f t="shared" si="28"/>
        <v>0</v>
      </c>
      <c r="AX100" s="141"/>
      <c r="AY100" s="141"/>
      <c r="AZ100" s="141"/>
      <c r="BA100" s="150"/>
      <c r="BB100" s="141">
        <v>220</v>
      </c>
      <c r="BC100" s="130">
        <f t="shared" si="29"/>
        <v>0</v>
      </c>
      <c r="BD100" s="132"/>
    </row>
    <row r="101" ht="14.25" customHeight="1">
      <c r="A101" s="132"/>
      <c r="B101" s="1520">
        <v>46109</v>
      </c>
      <c r="C101" s="134">
        <f>19318.65-0-0</f>
      </c>
      <c r="D101" s="136"/>
      <c r="E101" s="135"/>
      <c r="F101" s="135"/>
      <c r="G101" s="147">
        <f t="shared" si="21"/>
        <v>0</v>
      </c>
      <c r="H101" s="144"/>
      <c r="I101" s="143"/>
      <c r="J101" s="143"/>
      <c r="K101" s="143"/>
      <c r="L101" s="143"/>
      <c r="M101" s="103">
        <f t="shared" si="22"/>
        <v>0</v>
      </c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03">
        <f t="shared" si="23"/>
        <v>0</v>
      </c>
      <c r="AA101" s="134">
        <v>2315</v>
      </c>
      <c r="AB101" s="136"/>
      <c r="AC101" s="136"/>
      <c r="AD101" s="105">
        <f t="shared" si="24"/>
        <v>0</v>
      </c>
      <c r="AE101" s="143"/>
      <c r="AF101" s="143"/>
      <c r="AG101" s="146"/>
      <c r="AH101" s="1514">
        <f t="shared" si="25"/>
        <v>0</v>
      </c>
      <c r="AI101" s="1554">
        <v>16936.5</v>
      </c>
      <c r="AJ101" s="1709"/>
      <c r="AK101" s="1709"/>
      <c r="AL101" s="1546"/>
      <c r="AM101" s="1546"/>
      <c r="AN101" s="1546"/>
      <c r="AO101" s="1546"/>
      <c r="AP101" s="1709"/>
      <c r="AQ101" s="1709"/>
      <c r="AR101" s="1709"/>
      <c r="AS101" s="1709"/>
      <c r="AT101" s="222">
        <f t="shared" si="26"/>
        <v>0</v>
      </c>
      <c r="AU101" s="140">
        <f t="shared" si="27"/>
        <v>0</v>
      </c>
      <c r="AV101" s="132"/>
      <c r="AW101" s="140">
        <f t="shared" si="28"/>
        <v>0</v>
      </c>
      <c r="AX101" s="141"/>
      <c r="AY101" s="141"/>
      <c r="AZ101" s="141"/>
      <c r="BA101" s="150"/>
      <c r="BB101" s="141">
        <v>67.2</v>
      </c>
      <c r="BC101" s="130">
        <f t="shared" si="29"/>
        <v>0</v>
      </c>
      <c r="BD101" s="132"/>
    </row>
    <row r="102" ht="14.25" customHeight="1">
      <c r="A102" s="132"/>
      <c r="B102" s="1520">
        <v>46110</v>
      </c>
      <c r="C102" s="134">
        <f>15224.34-0-0</f>
      </c>
      <c r="D102" s="136"/>
      <c r="E102" s="135"/>
      <c r="F102" s="135"/>
      <c r="G102" s="147">
        <f t="shared" si="21"/>
        <v>0</v>
      </c>
      <c r="H102" s="144"/>
      <c r="I102" s="143"/>
      <c r="J102" s="143"/>
      <c r="K102" s="143"/>
      <c r="L102" s="143"/>
      <c r="M102" s="103">
        <f t="shared" si="22"/>
        <v>0</v>
      </c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03">
        <f t="shared" si="23"/>
        <v>0</v>
      </c>
      <c r="AA102" s="134">
        <v>2585.6</v>
      </c>
      <c r="AB102" s="136"/>
      <c r="AC102" s="136"/>
      <c r="AD102" s="105">
        <f t="shared" si="24"/>
        <v>0</v>
      </c>
      <c r="AE102" s="143"/>
      <c r="AF102" s="143"/>
      <c r="AG102" s="146"/>
      <c r="AH102" s="1514">
        <f t="shared" si="25"/>
        <v>0</v>
      </c>
      <c r="AI102" s="1554">
        <v>12638.8</v>
      </c>
      <c r="AJ102" s="1709"/>
      <c r="AK102" s="1709"/>
      <c r="AL102" s="1546"/>
      <c r="AM102" s="1546"/>
      <c r="AN102" s="1546"/>
      <c r="AO102" s="1546"/>
      <c r="AP102" s="1709"/>
      <c r="AQ102" s="1709"/>
      <c r="AR102" s="1709"/>
      <c r="AS102" s="1709"/>
      <c r="AT102" s="222">
        <f t="shared" si="26"/>
        <v>0</v>
      </c>
      <c r="AU102" s="140">
        <f t="shared" si="27"/>
        <v>0</v>
      </c>
      <c r="AV102" s="132"/>
      <c r="AW102" s="140">
        <f t="shared" si="28"/>
        <v>0</v>
      </c>
      <c r="AX102" s="141"/>
      <c r="AY102" s="141"/>
      <c r="AZ102" s="141"/>
      <c r="BA102" s="141"/>
      <c r="BB102" s="141"/>
      <c r="BC102" s="130">
        <f t="shared" si="29"/>
        <v>0</v>
      </c>
      <c r="BD102" s="132"/>
    </row>
    <row r="103" ht="14.25" customHeight="1">
      <c r="A103" s="132"/>
      <c r="B103" s="1520">
        <v>46111</v>
      </c>
      <c r="C103" s="134">
        <f>21585.99-0-0</f>
      </c>
      <c r="D103" s="136"/>
      <c r="E103" s="135"/>
      <c r="F103" s="135"/>
      <c r="G103" s="147">
        <f t="shared" si="21"/>
        <v>0</v>
      </c>
      <c r="H103" s="199">
        <v>5558.5</v>
      </c>
      <c r="I103" s="143"/>
      <c r="J103" s="143"/>
      <c r="K103" s="143"/>
      <c r="L103" s="143"/>
      <c r="M103" s="103">
        <f t="shared" si="22"/>
        <v>0</v>
      </c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03">
        <f t="shared" si="23"/>
        <v>0</v>
      </c>
      <c r="AA103" s="134">
        <v>2016.67</v>
      </c>
      <c r="AB103" s="136"/>
      <c r="AC103" s="136"/>
      <c r="AD103" s="105">
        <f t="shared" si="24"/>
        <v>0</v>
      </c>
      <c r="AE103" s="145">
        <v>42</v>
      </c>
      <c r="AF103" s="143"/>
      <c r="AG103" s="146"/>
      <c r="AH103" s="1514">
        <f t="shared" si="25"/>
        <v>0</v>
      </c>
      <c r="AI103" s="1554">
        <v>12780.8</v>
      </c>
      <c r="AJ103" s="1718">
        <v>1188</v>
      </c>
      <c r="AK103" s="1709"/>
      <c r="AL103" s="1546"/>
      <c r="AM103" s="1546"/>
      <c r="AN103" s="1546"/>
      <c r="AO103" s="1546"/>
      <c r="AP103" s="1709"/>
      <c r="AQ103" s="1709"/>
      <c r="AR103" s="1709"/>
      <c r="AS103" s="1709"/>
      <c r="AT103" s="222">
        <f t="shared" si="26"/>
        <v>0</v>
      </c>
      <c r="AU103" s="140">
        <f t="shared" si="27"/>
        <v>0</v>
      </c>
      <c r="AV103" s="132"/>
      <c r="AW103" s="140">
        <f t="shared" si="28"/>
        <v>0</v>
      </c>
      <c r="AX103" s="141"/>
      <c r="AY103" s="141"/>
      <c r="AZ103" s="141"/>
      <c r="BA103" s="141"/>
      <c r="BB103" s="141"/>
      <c r="BC103" s="130">
        <f t="shared" si="29"/>
        <v>0</v>
      </c>
      <c r="BD103" s="132"/>
    </row>
    <row r="104" ht="14.25" customHeight="1">
      <c r="A104" s="132"/>
      <c r="B104" s="1520">
        <v>46112</v>
      </c>
      <c r="C104" s="154">
        <f>18308.15-0-0</f>
      </c>
      <c r="D104" s="159"/>
      <c r="E104" s="156"/>
      <c r="F104" s="156"/>
      <c r="G104" s="147">
        <f t="shared" si="21"/>
        <v>0</v>
      </c>
      <c r="H104" s="1159">
        <v>2946.4</v>
      </c>
      <c r="I104" s="157"/>
      <c r="J104" s="157"/>
      <c r="K104" s="157"/>
      <c r="L104" s="157"/>
      <c r="M104" s="103">
        <f t="shared" si="22"/>
        <v>0</v>
      </c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03">
        <f t="shared" si="23"/>
        <v>0</v>
      </c>
      <c r="AA104" s="154">
        <v>2556.11</v>
      </c>
      <c r="AB104" s="159"/>
      <c r="AC104" s="159"/>
      <c r="AD104" s="105">
        <f t="shared" si="24"/>
        <v>0</v>
      </c>
      <c r="AE104" s="157"/>
      <c r="AF104" s="157"/>
      <c r="AG104" s="160"/>
      <c r="AH104" s="1514">
        <f t="shared" si="25"/>
        <v>0</v>
      </c>
      <c r="AI104" s="1642">
        <v>12715.7</v>
      </c>
      <c r="AJ104" s="1720"/>
      <c r="AK104" s="1720"/>
      <c r="AL104" s="1557"/>
      <c r="AM104" s="1546"/>
      <c r="AN104" s="1546"/>
      <c r="AO104" s="1557"/>
      <c r="AP104" s="1720"/>
      <c r="AQ104" s="1720"/>
      <c r="AR104" s="1720"/>
      <c r="AS104" s="1720"/>
      <c r="AT104" s="222">
        <f t="shared" si="26"/>
        <v>0</v>
      </c>
      <c r="AU104" s="162">
        <f t="shared" si="27"/>
        <v>0</v>
      </c>
      <c r="AV104" s="132"/>
      <c r="AW104" s="162">
        <f t="shared" si="28"/>
        <v>0</v>
      </c>
      <c r="AX104" s="163"/>
      <c r="AY104" s="163"/>
      <c r="AZ104" s="141"/>
      <c r="BA104" s="789"/>
      <c r="BB104" s="163">
        <v>90</v>
      </c>
      <c r="BC104" s="164">
        <f t="shared" si="29"/>
        <v>0</v>
      </c>
      <c r="BD104" s="132"/>
    </row>
    <row r="105" ht="14.25" customHeight="1">
      <c r="A105" s="3"/>
      <c r="B105" s="1521" t="s">
        <v>259</v>
      </c>
      <c r="C105" s="166">
        <f ref="C105:BA105" t="shared" si="30">SUM(C74:C104)</f>
        <v>0</v>
      </c>
      <c r="D105" s="166">
        <f t="shared" si="30"/>
        <v>0</v>
      </c>
      <c r="E105" s="166">
        <f t="shared" si="30"/>
        <v>0</v>
      </c>
      <c r="F105" s="166">
        <f t="shared" si="30"/>
        <v>0</v>
      </c>
      <c r="G105" s="166">
        <f t="shared" si="30"/>
        <v>0</v>
      </c>
      <c r="H105" s="166">
        <f t="shared" si="30"/>
        <v>0</v>
      </c>
      <c r="I105" s="166">
        <f t="shared" si="30"/>
        <v>0</v>
      </c>
      <c r="J105" s="166">
        <f t="shared" si="30"/>
        <v>0</v>
      </c>
      <c r="K105" s="166">
        <f t="shared" si="30"/>
        <v>0</v>
      </c>
      <c r="L105" s="166">
        <f t="shared" si="30"/>
        <v>0</v>
      </c>
      <c r="M105" s="166">
        <f t="shared" si="30"/>
        <v>0</v>
      </c>
      <c r="N105" s="166">
        <f t="shared" si="30"/>
        <v>0</v>
      </c>
      <c r="O105" s="166">
        <f t="shared" si="30"/>
        <v>0</v>
      </c>
      <c r="P105" s="166">
        <f t="shared" si="30"/>
        <v>0</v>
      </c>
      <c r="Q105" s="166">
        <f t="shared" si="30"/>
        <v>0</v>
      </c>
      <c r="R105" s="166">
        <f t="shared" si="30"/>
        <v>0</v>
      </c>
      <c r="S105" s="166">
        <f t="shared" si="30"/>
        <v>0</v>
      </c>
      <c r="T105" s="166">
        <f t="shared" si="30"/>
        <v>0</v>
      </c>
      <c r="U105" s="166">
        <f t="shared" si="30"/>
        <v>0</v>
      </c>
      <c r="V105" s="166">
        <f t="shared" si="30"/>
        <v>0</v>
      </c>
      <c r="W105" s="166">
        <f t="shared" si="30"/>
        <v>0</v>
      </c>
      <c r="X105" s="166">
        <f t="shared" si="30"/>
        <v>0</v>
      </c>
      <c r="Y105" s="166">
        <f t="shared" si="30"/>
        <v>0</v>
      </c>
      <c r="Z105" s="166">
        <f t="shared" si="30"/>
        <v>0</v>
      </c>
      <c r="AA105" s="166">
        <f t="shared" si="30"/>
        <v>0</v>
      </c>
      <c r="AB105" s="166">
        <f t="shared" si="30"/>
        <v>0</v>
      </c>
      <c r="AC105" s="166">
        <f t="shared" si="30"/>
        <v>0</v>
      </c>
      <c r="AD105" s="166">
        <f t="shared" si="30"/>
        <v>0</v>
      </c>
      <c r="AE105" s="166">
        <f t="shared" si="30"/>
        <v>0</v>
      </c>
      <c r="AF105" s="166">
        <f t="shared" si="30"/>
        <v>0</v>
      </c>
      <c r="AG105" s="166">
        <f t="shared" si="30"/>
        <v>0</v>
      </c>
      <c r="AH105" s="166">
        <f t="shared" si="30"/>
        <v>0</v>
      </c>
      <c r="AI105" s="165">
        <f t="shared" si="30"/>
        <v>0</v>
      </c>
      <c r="AJ105" s="166">
        <f t="shared" si="30"/>
        <v>0</v>
      </c>
      <c r="AK105" s="166">
        <f t="shared" si="30"/>
        <v>0</v>
      </c>
      <c r="AL105" s="166">
        <f t="shared" si="30"/>
        <v>0</v>
      </c>
      <c r="AM105" s="166">
        <f t="shared" si="30"/>
        <v>0</v>
      </c>
      <c r="AN105" s="166">
        <f t="shared" si="30"/>
        <v>0</v>
      </c>
      <c r="AO105" s="166">
        <f t="shared" si="30"/>
        <v>0</v>
      </c>
      <c r="AP105" s="166">
        <f t="shared" si="30"/>
        <v>0</v>
      </c>
      <c r="AQ105" s="166">
        <f t="shared" si="30"/>
        <v>0</v>
      </c>
      <c r="AR105" s="166">
        <f t="shared" si="30"/>
        <v>0</v>
      </c>
      <c r="AS105" s="166">
        <f t="shared" si="30"/>
        <v>0</v>
      </c>
      <c r="AT105" s="166">
        <f t="shared" si="30"/>
        <v>0</v>
      </c>
      <c r="AU105" s="166">
        <f t="shared" si="30"/>
        <v>0</v>
      </c>
      <c r="AV105" s="166">
        <f t="shared" si="30"/>
        <v>0</v>
      </c>
      <c r="AW105" s="166">
        <f t="shared" si="30"/>
        <v>0</v>
      </c>
      <c r="AX105" s="166">
        <f t="shared" si="30"/>
        <v>0</v>
      </c>
      <c r="AY105" s="166">
        <f t="shared" si="30"/>
        <v>0</v>
      </c>
      <c r="AZ105" s="166">
        <f t="shared" si="30"/>
        <v>0</v>
      </c>
      <c r="BA105" s="166">
        <f t="shared" si="30"/>
        <v>0</v>
      </c>
      <c r="BB105" s="166"/>
      <c r="BC105" s="166">
        <f>SUM(BC74:BC104)</f>
        <v>0</v>
      </c>
      <c r="BD105" s="3"/>
    </row>
    <row r="106" ht="14.25" customHeight="1">
      <c r="A106" s="1"/>
      <c r="B106" s="1495"/>
      <c r="C106" s="3"/>
      <c r="D106" s="3"/>
      <c r="E106" s="3"/>
      <c r="F106" s="3"/>
      <c r="G106" s="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4"/>
      <c r="AE106" s="3"/>
      <c r="AF106" s="3"/>
      <c r="AG106" s="3"/>
      <c r="AH106" s="4"/>
      <c r="AI106" s="132"/>
      <c r="AJ106" s="132"/>
      <c r="AK106" s="132"/>
      <c r="AL106" s="3"/>
      <c r="AM106" s="3"/>
      <c r="AN106" s="3"/>
      <c r="AO106" s="132"/>
      <c r="AP106" s="132"/>
      <c r="AQ106" s="132"/>
      <c r="AR106" s="132"/>
      <c r="AS106" s="132"/>
      <c r="AT106" s="4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ht="14.25" customHeight="1">
      <c r="A107" s="1"/>
      <c r="B107" s="1495"/>
      <c r="C107" s="3"/>
      <c r="D107" s="3"/>
      <c r="E107" s="3"/>
      <c r="F107" s="3"/>
      <c r="G107" s="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76"/>
      <c r="AA107" s="3"/>
      <c r="AB107" s="3"/>
      <c r="AC107" s="3"/>
      <c r="AD107" s="4"/>
      <c r="AE107" s="3"/>
      <c r="AF107" s="3"/>
      <c r="AG107" s="3"/>
      <c r="AH107" s="177"/>
      <c r="AI107" s="4"/>
      <c r="AJ107" s="132"/>
      <c r="AK107" s="4"/>
      <c r="AL107" s="4"/>
      <c r="AM107" s="177"/>
      <c r="AN107" s="177"/>
      <c r="AO107" s="177"/>
      <c r="AP107" s="177"/>
      <c r="AQ107" s="4"/>
      <c r="AR107" s="132"/>
      <c r="AS107" s="132"/>
      <c r="AT107" s="177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ht="14.25" customHeight="1">
      <c r="A108" s="3"/>
      <c r="B108" s="1506">
        <v>46113</v>
      </c>
      <c r="C108" s="95">
        <f>16445.87-0-0</f>
      </c>
      <c r="D108" s="104"/>
      <c r="E108" s="97"/>
      <c r="F108" s="97"/>
      <c r="G108" s="216">
        <f ref="G108:G137" t="shared" si="31">+C108+D108+E108+F108</f>
        <v>0</v>
      </c>
      <c r="H108" s="192">
        <v>1025.2</v>
      </c>
      <c r="I108" s="186"/>
      <c r="J108" s="186"/>
      <c r="K108" s="186"/>
      <c r="L108" s="186"/>
      <c r="M108" s="103">
        <f ref="M108:M137" t="shared" si="32">SUM(H108:L108)</f>
        <v>0</v>
      </c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03">
        <f ref="Z108:Z137" t="shared" si="33">SUM(N108:Y108)</f>
        <v>0</v>
      </c>
      <c r="AA108" s="95">
        <v>2545.25</v>
      </c>
      <c r="AB108" s="104"/>
      <c r="AC108" s="104"/>
      <c r="AD108" s="191">
        <f ref="AD108:AD137" t="shared" si="34">SUM(AA108:AC108)</f>
        <v>0</v>
      </c>
      <c r="AE108" s="186"/>
      <c r="AF108" s="186"/>
      <c r="AG108" s="193"/>
      <c r="AH108" s="224">
        <f ref="AH108:AH137" t="shared" si="35">+G108-M108-Z108-AD108-AE108-AF108-AG108</f>
        <v>0</v>
      </c>
      <c r="AI108" s="1721">
        <v>12875.4</v>
      </c>
      <c r="AJ108" s="1708"/>
      <c r="AK108" s="1708"/>
      <c r="AL108" s="1918"/>
      <c r="AM108" s="1546"/>
      <c r="AN108" s="1546"/>
      <c r="AO108" s="1537"/>
      <c r="AP108" s="1708"/>
      <c r="AQ108" s="1708"/>
      <c r="AR108" s="1708"/>
      <c r="AS108" s="1708"/>
      <c r="AT108" s="222">
        <f ref="AT108:AT137" t="shared" si="36">SUM(AI108:AS108)-AR108</f>
        <v>0</v>
      </c>
      <c r="AU108" s="114">
        <f ref="AU108:AU137" t="shared" si="37">+AH108-AT108</f>
        <v>0</v>
      </c>
      <c r="AV108" s="3"/>
      <c r="AW108" s="114">
        <f ref="AW108:AW137" t="shared" si="38">SUM(AX108:BB108)</f>
        <v>0</v>
      </c>
      <c r="AX108" s="220"/>
      <c r="AY108" s="220"/>
      <c r="AZ108" s="220"/>
      <c r="BA108" s="220"/>
      <c r="BB108" s="220"/>
      <c r="BC108" s="116">
        <f ref="BC108:BC138" t="shared" si="39">+AU108-AW108</f>
        <v>0</v>
      </c>
      <c r="BD108" s="3"/>
    </row>
    <row r="109" ht="14.25" customHeight="1">
      <c r="A109" s="3"/>
      <c r="B109" s="1506">
        <v>46114</v>
      </c>
      <c r="C109" s="119">
        <f>14120.97-0-0</f>
      </c>
      <c r="D109" s="123"/>
      <c r="E109" s="120"/>
      <c r="F109" s="120"/>
      <c r="G109" s="147">
        <f t="shared" si="31"/>
        <v>0</v>
      </c>
      <c r="H109" s="144"/>
      <c r="I109" s="143"/>
      <c r="J109" s="143"/>
      <c r="K109" s="143"/>
      <c r="L109" s="145">
        <v>350</v>
      </c>
      <c r="M109" s="103">
        <f t="shared" si="32"/>
        <v>0</v>
      </c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03">
        <f t="shared" si="33"/>
        <v>0</v>
      </c>
      <c r="AA109" s="119">
        <v>2596.1</v>
      </c>
      <c r="AB109" s="123"/>
      <c r="AC109" s="123"/>
      <c r="AD109" s="105">
        <f t="shared" si="34"/>
        <v>0</v>
      </c>
      <c r="AE109" s="143"/>
      <c r="AF109" s="143"/>
      <c r="AG109" s="146"/>
      <c r="AH109" s="224">
        <f t="shared" si="35"/>
        <v>0</v>
      </c>
      <c r="AI109" s="1554">
        <v>10552.9</v>
      </c>
      <c r="AJ109" s="1709"/>
      <c r="AK109" s="1709"/>
      <c r="AL109" s="1546"/>
      <c r="AM109" s="1546"/>
      <c r="AN109" s="1546"/>
      <c r="AO109" s="1546"/>
      <c r="AP109" s="1709"/>
      <c r="AQ109" s="1709"/>
      <c r="AR109" s="1709"/>
      <c r="AS109" s="1709"/>
      <c r="AT109" s="222">
        <f t="shared" si="36"/>
        <v>0</v>
      </c>
      <c r="AU109" s="113">
        <f t="shared" si="37"/>
        <v>0</v>
      </c>
      <c r="AV109" s="3"/>
      <c r="AW109" s="113">
        <f t="shared" si="38"/>
        <v>0</v>
      </c>
      <c r="AX109" s="225"/>
      <c r="AY109" s="225"/>
      <c r="AZ109" s="225"/>
      <c r="BA109" s="227"/>
      <c r="BB109" s="225">
        <v>622</v>
      </c>
      <c r="BC109" s="130">
        <f t="shared" si="39"/>
        <v>0</v>
      </c>
      <c r="BD109" s="3"/>
    </row>
    <row r="110" ht="14.25" customHeight="1">
      <c r="A110" s="132"/>
      <c r="B110" s="1506">
        <v>46115</v>
      </c>
      <c r="C110" s="134">
        <f>18423.80-0-0</f>
      </c>
      <c r="D110" s="136"/>
      <c r="E110" s="135"/>
      <c r="F110" s="135"/>
      <c r="G110" s="147">
        <f t="shared" si="31"/>
        <v>0</v>
      </c>
      <c r="H110" s="144"/>
      <c r="I110" s="143"/>
      <c r="J110" s="143"/>
      <c r="K110" s="143"/>
      <c r="L110" s="143"/>
      <c r="M110" s="103">
        <f t="shared" si="32"/>
        <v>0</v>
      </c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03">
        <f t="shared" si="33"/>
        <v>0</v>
      </c>
      <c r="AA110" s="134">
        <v>4094.28</v>
      </c>
      <c r="AB110" s="136"/>
      <c r="AC110" s="136"/>
      <c r="AD110" s="105">
        <f t="shared" si="34"/>
        <v>0</v>
      </c>
      <c r="AE110" s="143"/>
      <c r="AF110" s="143"/>
      <c r="AG110" s="146"/>
      <c r="AH110" s="224">
        <f t="shared" si="35"/>
        <v>0</v>
      </c>
      <c r="AI110" s="1554">
        <v>14329.5</v>
      </c>
      <c r="AJ110" s="1709"/>
      <c r="AK110" s="1709"/>
      <c r="AL110" s="1546"/>
      <c r="AM110" s="1546"/>
      <c r="AN110" s="1546"/>
      <c r="AO110" s="1546"/>
      <c r="AP110" s="1709"/>
      <c r="AQ110" s="1709"/>
      <c r="AR110" s="1709"/>
      <c r="AS110" s="1709"/>
      <c r="AT110" s="222">
        <f t="shared" si="36"/>
        <v>0</v>
      </c>
      <c r="AU110" s="140">
        <f t="shared" si="37"/>
        <v>0</v>
      </c>
      <c r="AV110" s="132"/>
      <c r="AW110" s="140">
        <f t="shared" si="38"/>
        <v>0</v>
      </c>
      <c r="AX110" s="126"/>
      <c r="AY110" s="126"/>
      <c r="AZ110" s="126"/>
      <c r="BA110" s="126"/>
      <c r="BB110" s="126"/>
      <c r="BC110" s="130">
        <f t="shared" si="39"/>
        <v>0</v>
      </c>
      <c r="BD110" s="132"/>
    </row>
    <row r="111" ht="14.25" customHeight="1">
      <c r="A111" s="132"/>
      <c r="B111" s="1506">
        <v>46116</v>
      </c>
      <c r="C111" s="134">
        <f>16880.23-0-0</f>
      </c>
      <c r="D111" s="136"/>
      <c r="E111" s="135"/>
      <c r="F111" s="135"/>
      <c r="G111" s="147">
        <f t="shared" si="31"/>
        <v>0</v>
      </c>
      <c r="H111" s="144"/>
      <c r="I111" s="143"/>
      <c r="J111" s="143"/>
      <c r="K111" s="143"/>
      <c r="L111" s="143"/>
      <c r="M111" s="103">
        <f t="shared" si="32"/>
        <v>0</v>
      </c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03">
        <f t="shared" si="33"/>
        <v>0</v>
      </c>
      <c r="AA111" s="134">
        <v>2531.5</v>
      </c>
      <c r="AB111" s="136"/>
      <c r="AC111" s="136"/>
      <c r="AD111" s="105">
        <f t="shared" si="34"/>
        <v>0</v>
      </c>
      <c r="AE111" s="143"/>
      <c r="AF111" s="143"/>
      <c r="AG111" s="146"/>
      <c r="AH111" s="224">
        <f t="shared" si="35"/>
        <v>0</v>
      </c>
      <c r="AI111" s="1554">
        <v>14348.7</v>
      </c>
      <c r="AJ111" s="1709"/>
      <c r="AK111" s="1709"/>
      <c r="AL111" s="1546"/>
      <c r="AM111" s="1546"/>
      <c r="AN111" s="1546"/>
      <c r="AO111" s="1546"/>
      <c r="AP111" s="1709"/>
      <c r="AQ111" s="1709"/>
      <c r="AR111" s="1709"/>
      <c r="AS111" s="1709"/>
      <c r="AT111" s="222">
        <f t="shared" si="36"/>
        <v>0</v>
      </c>
      <c r="AU111" s="140">
        <f t="shared" si="37"/>
        <v>0</v>
      </c>
      <c r="AV111" s="132"/>
      <c r="AW111" s="140">
        <f t="shared" si="38"/>
        <v>0</v>
      </c>
      <c r="AX111" s="126"/>
      <c r="AY111" s="126"/>
      <c r="AZ111" s="126"/>
      <c r="BA111" s="126"/>
      <c r="BB111" s="126"/>
      <c r="BC111" s="130">
        <f t="shared" si="39"/>
        <v>0</v>
      </c>
      <c r="BD111" s="132"/>
    </row>
    <row r="112" ht="14.25" customHeight="1">
      <c r="A112" s="132"/>
      <c r="B112" s="1506">
        <v>46117</v>
      </c>
      <c r="C112" s="134"/>
      <c r="D112" s="136"/>
      <c r="E112" s="135"/>
      <c r="F112" s="135"/>
      <c r="G112" s="147">
        <f t="shared" si="31"/>
        <v>0</v>
      </c>
      <c r="H112" s="144"/>
      <c r="I112" s="143"/>
      <c r="J112" s="143"/>
      <c r="K112" s="143"/>
      <c r="L112" s="143"/>
      <c r="M112" s="103">
        <f t="shared" si="32"/>
        <v>0</v>
      </c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03">
        <f t="shared" si="33"/>
        <v>0</v>
      </c>
      <c r="AA112" s="134"/>
      <c r="AB112" s="136"/>
      <c r="AC112" s="136"/>
      <c r="AD112" s="105">
        <f t="shared" si="34"/>
        <v>0</v>
      </c>
      <c r="AE112" s="143"/>
      <c r="AF112" s="143"/>
      <c r="AG112" s="146"/>
      <c r="AH112" s="224">
        <f t="shared" si="35"/>
        <v>0</v>
      </c>
      <c r="AI112" s="1554"/>
      <c r="AJ112" s="1709"/>
      <c r="AK112" s="1709"/>
      <c r="AL112" s="1546"/>
      <c r="AM112" s="1546"/>
      <c r="AN112" s="1546"/>
      <c r="AO112" s="1546"/>
      <c r="AP112" s="1709"/>
      <c r="AQ112" s="1709"/>
      <c r="AR112" s="1709"/>
      <c r="AS112" s="1709"/>
      <c r="AT112" s="222">
        <f t="shared" si="36"/>
        <v>0</v>
      </c>
      <c r="AU112" s="140">
        <f t="shared" si="37"/>
        <v>0</v>
      </c>
      <c r="AV112" s="132"/>
      <c r="AW112" s="140">
        <f t="shared" si="38"/>
        <v>0</v>
      </c>
      <c r="AX112" s="126"/>
      <c r="AY112" s="126"/>
      <c r="AZ112" s="126"/>
      <c r="BA112" s="229"/>
      <c r="BB112" s="126"/>
      <c r="BC112" s="130">
        <f t="shared" si="39"/>
        <v>0</v>
      </c>
      <c r="BD112" s="132"/>
    </row>
    <row r="113" ht="14.25" customHeight="1">
      <c r="A113" s="132"/>
      <c r="B113" s="1506">
        <v>46118</v>
      </c>
      <c r="C113" s="134">
        <f>16493.69-0-0</f>
      </c>
      <c r="D113" s="136"/>
      <c r="E113" s="135"/>
      <c r="F113" s="135"/>
      <c r="G113" s="147">
        <f t="shared" si="31"/>
        <v>0</v>
      </c>
      <c r="H113" s="199">
        <v>399.6</v>
      </c>
      <c r="I113" s="143"/>
      <c r="J113" s="143"/>
      <c r="K113" s="143"/>
      <c r="L113" s="143"/>
      <c r="M113" s="103">
        <f t="shared" si="32"/>
        <v>0</v>
      </c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03">
        <f t="shared" si="33"/>
        <v>0</v>
      </c>
      <c r="AA113" s="134">
        <v>2471.04</v>
      </c>
      <c r="AB113" s="136"/>
      <c r="AC113" s="136"/>
      <c r="AD113" s="105">
        <f t="shared" si="34"/>
        <v>0</v>
      </c>
      <c r="AE113" s="145">
        <v>42</v>
      </c>
      <c r="AF113" s="143"/>
      <c r="AG113" s="146"/>
      <c r="AH113" s="224">
        <f t="shared" si="35"/>
        <v>0</v>
      </c>
      <c r="AI113" s="1554">
        <v>12351.1</v>
      </c>
      <c r="AJ113" s="1718">
        <v>1230</v>
      </c>
      <c r="AK113" s="1709"/>
      <c r="AL113" s="1546"/>
      <c r="AM113" s="1546"/>
      <c r="AN113" s="1546"/>
      <c r="AO113" s="1546"/>
      <c r="AP113" s="1709"/>
      <c r="AQ113" s="1709"/>
      <c r="AR113" s="1709"/>
      <c r="AS113" s="1709"/>
      <c r="AT113" s="222">
        <f t="shared" si="36"/>
        <v>0</v>
      </c>
      <c r="AU113" s="140">
        <f t="shared" si="37"/>
        <v>0</v>
      </c>
      <c r="AV113" s="132"/>
      <c r="AW113" s="140">
        <f t="shared" si="38"/>
        <v>0</v>
      </c>
      <c r="AX113" s="126"/>
      <c r="AY113" s="126"/>
      <c r="AZ113" s="126"/>
      <c r="BA113" s="126"/>
      <c r="BB113" s="126"/>
      <c r="BC113" s="130">
        <f t="shared" si="39"/>
        <v>0</v>
      </c>
      <c r="BD113" s="132"/>
    </row>
    <row r="114" ht="14.25" customHeight="1">
      <c r="A114" s="132"/>
      <c r="B114" s="1506">
        <v>46119</v>
      </c>
      <c r="C114" s="134">
        <f>23476.45-0-0</f>
      </c>
      <c r="D114" s="136"/>
      <c r="E114" s="135"/>
      <c r="F114" s="135"/>
      <c r="G114" s="147">
        <f t="shared" si="31"/>
        <v>0</v>
      </c>
      <c r="H114" s="199">
        <v>1354.2</v>
      </c>
      <c r="I114" s="143"/>
      <c r="J114" s="143"/>
      <c r="K114" s="143"/>
      <c r="L114" s="145">
        <v>350</v>
      </c>
      <c r="M114" s="103">
        <f t="shared" si="32"/>
        <v>0</v>
      </c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03">
        <f t="shared" si="33"/>
        <v>0</v>
      </c>
      <c r="AA114" s="134">
        <v>2924.51</v>
      </c>
      <c r="AB114" s="136"/>
      <c r="AC114" s="136"/>
      <c r="AD114" s="105">
        <f t="shared" si="34"/>
        <v>0</v>
      </c>
      <c r="AE114" s="145">
        <v>500</v>
      </c>
      <c r="AF114" s="143"/>
      <c r="AG114" s="146"/>
      <c r="AH114" s="224">
        <f t="shared" si="35"/>
        <v>0</v>
      </c>
      <c r="AI114" s="1554">
        <v>12977.8</v>
      </c>
      <c r="AJ114" s="1718">
        <v>5250</v>
      </c>
      <c r="AK114" s="1709"/>
      <c r="AL114" s="1546"/>
      <c r="AM114" s="1546"/>
      <c r="AN114" s="1546"/>
      <c r="AO114" s="1546"/>
      <c r="AP114" s="1709"/>
      <c r="AQ114" s="1709"/>
      <c r="AR114" s="1709"/>
      <c r="AS114" s="1709"/>
      <c r="AT114" s="222">
        <f t="shared" si="36"/>
        <v>0</v>
      </c>
      <c r="AU114" s="140">
        <f t="shared" si="37"/>
        <v>0</v>
      </c>
      <c r="AV114" s="132"/>
      <c r="AW114" s="140">
        <f t="shared" si="38"/>
        <v>0</v>
      </c>
      <c r="AX114" s="126"/>
      <c r="AY114" s="126"/>
      <c r="AZ114" s="126"/>
      <c r="BA114" s="229"/>
      <c r="BB114" s="126">
        <v>100</v>
      </c>
      <c r="BC114" s="130">
        <f t="shared" si="39"/>
        <v>0</v>
      </c>
      <c r="BD114" s="132"/>
    </row>
    <row r="115" ht="14.25" customHeight="1">
      <c r="A115" s="132"/>
      <c r="B115" s="1506">
        <v>46120</v>
      </c>
      <c r="C115" s="134">
        <f>16772.37-0-0</f>
      </c>
      <c r="D115" s="136"/>
      <c r="E115" s="135"/>
      <c r="F115" s="135"/>
      <c r="G115" s="147">
        <f t="shared" si="31"/>
        <v>0</v>
      </c>
      <c r="H115" s="199">
        <v>1554</v>
      </c>
      <c r="I115" s="143"/>
      <c r="J115" s="143"/>
      <c r="K115" s="143"/>
      <c r="L115" s="143"/>
      <c r="M115" s="103">
        <f t="shared" si="32"/>
        <v>0</v>
      </c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03">
        <f t="shared" si="33"/>
        <v>0</v>
      </c>
      <c r="AA115" s="134">
        <v>3349.99</v>
      </c>
      <c r="AB115" s="136"/>
      <c r="AC115" s="136"/>
      <c r="AD115" s="105">
        <f t="shared" si="34"/>
        <v>0</v>
      </c>
      <c r="AE115" s="143"/>
      <c r="AF115" s="143"/>
      <c r="AG115" s="146"/>
      <c r="AH115" s="224">
        <f t="shared" si="35"/>
        <v>0</v>
      </c>
      <c r="AI115" s="1554">
        <v>11868.4</v>
      </c>
      <c r="AJ115" s="1709"/>
      <c r="AK115" s="1709"/>
      <c r="AL115" s="1546"/>
      <c r="AM115" s="1546"/>
      <c r="AN115" s="1546"/>
      <c r="AO115" s="1546"/>
      <c r="AP115" s="1709"/>
      <c r="AQ115" s="1709"/>
      <c r="AR115" s="1709"/>
      <c r="AS115" s="1709"/>
      <c r="AT115" s="222">
        <f t="shared" si="36"/>
        <v>0</v>
      </c>
      <c r="AU115" s="140">
        <f t="shared" si="37"/>
        <v>0</v>
      </c>
      <c r="AV115" s="132"/>
      <c r="AW115" s="140">
        <f t="shared" si="38"/>
        <v>0</v>
      </c>
      <c r="AX115" s="126"/>
      <c r="AY115" s="126"/>
      <c r="AZ115" s="126"/>
      <c r="BA115" s="126"/>
      <c r="BB115" s="126"/>
      <c r="BC115" s="130">
        <f t="shared" si="39"/>
        <v>0</v>
      </c>
      <c r="BD115" s="132"/>
    </row>
    <row r="116" ht="14.25" customHeight="1">
      <c r="A116" s="132"/>
      <c r="B116" s="1506">
        <v>46121</v>
      </c>
      <c r="C116" s="134">
        <f>16747.24-0-0</f>
      </c>
      <c r="D116" s="136"/>
      <c r="E116" s="135"/>
      <c r="F116" s="135"/>
      <c r="G116" s="147">
        <f t="shared" si="31"/>
        <v>0</v>
      </c>
      <c r="H116" s="199">
        <v>603.4</v>
      </c>
      <c r="I116" s="143"/>
      <c r="J116" s="143"/>
      <c r="K116" s="143"/>
      <c r="L116" s="143"/>
      <c r="M116" s="103">
        <f t="shared" si="32"/>
        <v>0</v>
      </c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03">
        <f t="shared" si="33"/>
        <v>0</v>
      </c>
      <c r="AA116" s="134">
        <v>2991.24</v>
      </c>
      <c r="AB116" s="136"/>
      <c r="AC116" s="136"/>
      <c r="AD116" s="105">
        <f t="shared" si="34"/>
        <v>0</v>
      </c>
      <c r="AE116" s="143"/>
      <c r="AF116" s="143"/>
      <c r="AG116" s="146"/>
      <c r="AH116" s="224">
        <f t="shared" si="35"/>
        <v>0</v>
      </c>
      <c r="AI116" s="1554">
        <v>13152.6</v>
      </c>
      <c r="AJ116" s="1709"/>
      <c r="AK116" s="1709"/>
      <c r="AL116" s="1546"/>
      <c r="AM116" s="1546"/>
      <c r="AN116" s="1546"/>
      <c r="AO116" s="1546"/>
      <c r="AP116" s="1709"/>
      <c r="AQ116" s="1709"/>
      <c r="AR116" s="1709"/>
      <c r="AS116" s="1709"/>
      <c r="AT116" s="222">
        <f t="shared" si="36"/>
        <v>0</v>
      </c>
      <c r="AU116" s="140">
        <f t="shared" si="37"/>
        <v>0</v>
      </c>
      <c r="AV116" s="132"/>
      <c r="AW116" s="140">
        <f t="shared" si="38"/>
        <v>0</v>
      </c>
      <c r="AX116" s="126"/>
      <c r="AY116" s="126"/>
      <c r="AZ116" s="126"/>
      <c r="BA116" s="126"/>
      <c r="BB116" s="126"/>
      <c r="BC116" s="130">
        <f t="shared" si="39"/>
        <v>0</v>
      </c>
      <c r="BD116" s="132"/>
    </row>
    <row r="117" ht="14.25" customHeight="1">
      <c r="A117" s="132"/>
      <c r="B117" s="1506">
        <v>46122</v>
      </c>
      <c r="C117" s="134">
        <f>17007.76-0-0</f>
      </c>
      <c r="D117" s="136"/>
      <c r="E117" s="135"/>
      <c r="F117" s="135"/>
      <c r="G117" s="147">
        <f t="shared" si="31"/>
        <v>0</v>
      </c>
      <c r="H117" s="199">
        <v>532.8</v>
      </c>
      <c r="I117" s="143"/>
      <c r="J117" s="143"/>
      <c r="K117" s="143"/>
      <c r="L117" s="143"/>
      <c r="M117" s="103">
        <f t="shared" si="32"/>
        <v>0</v>
      </c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03">
        <f t="shared" si="33"/>
        <v>0</v>
      </c>
      <c r="AA117" s="134">
        <v>3664.18</v>
      </c>
      <c r="AB117" s="136"/>
      <c r="AC117" s="136"/>
      <c r="AD117" s="105">
        <f t="shared" si="34"/>
        <v>0</v>
      </c>
      <c r="AE117" s="143"/>
      <c r="AF117" s="143"/>
      <c r="AG117" s="146"/>
      <c r="AH117" s="224">
        <f t="shared" si="35"/>
        <v>0</v>
      </c>
      <c r="AI117" s="1554">
        <v>12410.8</v>
      </c>
      <c r="AJ117" s="1709"/>
      <c r="AK117" s="1709"/>
      <c r="AL117" s="1546"/>
      <c r="AM117" s="1546"/>
      <c r="AN117" s="1546"/>
      <c r="AO117" s="1546"/>
      <c r="AP117" s="1709"/>
      <c r="AQ117" s="1709"/>
      <c r="AR117" s="1709"/>
      <c r="AS117" s="1709"/>
      <c r="AT117" s="222">
        <f t="shared" si="36"/>
        <v>0</v>
      </c>
      <c r="AU117" s="140">
        <f t="shared" si="37"/>
        <v>0</v>
      </c>
      <c r="AV117" s="132"/>
      <c r="AW117" s="140">
        <f t="shared" si="38"/>
        <v>0</v>
      </c>
      <c r="AX117" s="126"/>
      <c r="AY117" s="126"/>
      <c r="AZ117" s="126"/>
      <c r="BA117" s="229"/>
      <c r="BB117" s="126">
        <v>400</v>
      </c>
      <c r="BC117" s="130">
        <f t="shared" si="39"/>
        <v>0</v>
      </c>
      <c r="BD117" s="132"/>
    </row>
    <row r="118" ht="14.25" customHeight="1">
      <c r="A118" s="132"/>
      <c r="B118" s="1506">
        <v>46123</v>
      </c>
      <c r="C118" s="134">
        <f>18059.34-0-0</f>
      </c>
      <c r="D118" s="136"/>
      <c r="E118" s="135"/>
      <c r="F118" s="135"/>
      <c r="G118" s="147">
        <f t="shared" si="31"/>
        <v>0</v>
      </c>
      <c r="H118" s="144"/>
      <c r="I118" s="143"/>
      <c r="J118" s="143"/>
      <c r="K118" s="143"/>
      <c r="L118" s="143"/>
      <c r="M118" s="103">
        <f t="shared" si="32"/>
        <v>0</v>
      </c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03">
        <f t="shared" si="33"/>
        <v>0</v>
      </c>
      <c r="AA118" s="134">
        <v>3265.32</v>
      </c>
      <c r="AB118" s="136"/>
      <c r="AC118" s="136"/>
      <c r="AD118" s="105">
        <f t="shared" si="34"/>
        <v>0</v>
      </c>
      <c r="AE118" s="143"/>
      <c r="AF118" s="143"/>
      <c r="AG118" s="146"/>
      <c r="AH118" s="224">
        <f t="shared" si="35"/>
        <v>0</v>
      </c>
      <c r="AI118" s="1554">
        <v>14794</v>
      </c>
      <c r="AJ118" s="1709"/>
      <c r="AK118" s="1709"/>
      <c r="AL118" s="1546"/>
      <c r="AM118" s="1546"/>
      <c r="AN118" s="1546"/>
      <c r="AO118" s="1546"/>
      <c r="AP118" s="1709"/>
      <c r="AQ118" s="1709"/>
      <c r="AR118" s="1709"/>
      <c r="AS118" s="1709"/>
      <c r="AT118" s="222">
        <f t="shared" si="36"/>
        <v>0</v>
      </c>
      <c r="AU118" s="140">
        <f t="shared" si="37"/>
        <v>0</v>
      </c>
      <c r="AV118" s="132"/>
      <c r="AW118" s="140">
        <f t="shared" si="38"/>
        <v>0</v>
      </c>
      <c r="AX118" s="126"/>
      <c r="AY118" s="126"/>
      <c r="AZ118" s="126"/>
      <c r="BA118" s="126"/>
      <c r="BB118" s="126"/>
      <c r="BC118" s="130">
        <f t="shared" si="39"/>
        <v>0</v>
      </c>
      <c r="BD118" s="132"/>
    </row>
    <row r="119" ht="14.25" customHeight="1">
      <c r="A119" s="132"/>
      <c r="B119" s="1506">
        <v>46124</v>
      </c>
      <c r="C119" s="134">
        <f>20122.06-0-0</f>
      </c>
      <c r="D119" s="136"/>
      <c r="E119" s="135"/>
      <c r="F119" s="135"/>
      <c r="G119" s="147">
        <f t="shared" si="31"/>
        <v>0</v>
      </c>
      <c r="H119" s="199"/>
      <c r="I119" s="143"/>
      <c r="J119" s="143"/>
      <c r="K119" s="143"/>
      <c r="L119" s="143"/>
      <c r="M119" s="103">
        <f t="shared" si="32"/>
        <v>0</v>
      </c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03">
        <f t="shared" si="33"/>
        <v>0</v>
      </c>
      <c r="AA119" s="134">
        <v>3609.47</v>
      </c>
      <c r="AB119" s="136"/>
      <c r="AC119" s="136"/>
      <c r="AD119" s="105">
        <f t="shared" si="34"/>
        <v>0</v>
      </c>
      <c r="AE119" s="143"/>
      <c r="AF119" s="143"/>
      <c r="AG119" s="146"/>
      <c r="AH119" s="224">
        <f t="shared" si="35"/>
        <v>0</v>
      </c>
      <c r="AI119" s="1554">
        <v>16271.5</v>
      </c>
      <c r="AJ119" s="1709"/>
      <c r="AK119" s="1709"/>
      <c r="AL119" s="1546"/>
      <c r="AM119" s="1546"/>
      <c r="AN119" s="1546"/>
      <c r="AO119" s="1546"/>
      <c r="AP119" s="1709"/>
      <c r="AQ119" s="1709"/>
      <c r="AR119" s="1709"/>
      <c r="AS119" s="1709"/>
      <c r="AT119" s="222">
        <f t="shared" si="36"/>
        <v>0</v>
      </c>
      <c r="AU119" s="140">
        <f t="shared" si="37"/>
        <v>0</v>
      </c>
      <c r="AV119" s="132"/>
      <c r="AW119" s="140">
        <f t="shared" si="38"/>
        <v>0</v>
      </c>
      <c r="AX119" s="126"/>
      <c r="AY119" s="126"/>
      <c r="AZ119" s="126"/>
      <c r="BA119" s="229"/>
      <c r="BB119" s="126">
        <v>241.1</v>
      </c>
      <c r="BC119" s="130">
        <f t="shared" si="39"/>
        <v>0</v>
      </c>
      <c r="BD119" s="132"/>
    </row>
    <row r="120" ht="14.25" customHeight="1">
      <c r="A120" s="132"/>
      <c r="B120" s="1506">
        <v>46125</v>
      </c>
      <c r="C120" s="134">
        <f>18516.87-0-0</f>
      </c>
      <c r="D120" s="136"/>
      <c r="E120" s="135"/>
      <c r="F120" s="135"/>
      <c r="G120" s="147">
        <f t="shared" si="31"/>
        <v>0</v>
      </c>
      <c r="H120" s="199">
        <v>1509.6</v>
      </c>
      <c r="I120" s="143"/>
      <c r="J120" s="143"/>
      <c r="K120" s="143"/>
      <c r="L120" s="143"/>
      <c r="M120" s="103">
        <f t="shared" si="32"/>
        <v>0</v>
      </c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03">
        <f t="shared" si="33"/>
        <v>0</v>
      </c>
      <c r="AA120" s="134">
        <v>2103.3</v>
      </c>
      <c r="AB120" s="136"/>
      <c r="AC120" s="136"/>
      <c r="AD120" s="105">
        <f t="shared" si="34"/>
        <v>0</v>
      </c>
      <c r="AE120" s="145">
        <v>45</v>
      </c>
      <c r="AF120" s="143"/>
      <c r="AG120" s="146"/>
      <c r="AH120" s="224">
        <f t="shared" si="35"/>
        <v>0</v>
      </c>
      <c r="AI120" s="1554">
        <v>13632</v>
      </c>
      <c r="AJ120" s="1718">
        <v>1227</v>
      </c>
      <c r="AK120" s="1709"/>
      <c r="AL120" s="1546"/>
      <c r="AM120" s="1546"/>
      <c r="AN120" s="1546"/>
      <c r="AO120" s="1546"/>
      <c r="AP120" s="1709"/>
      <c r="AQ120" s="1709"/>
      <c r="AR120" s="1709"/>
      <c r="AS120" s="1709"/>
      <c r="AT120" s="222">
        <f t="shared" si="36"/>
        <v>0</v>
      </c>
      <c r="AU120" s="140">
        <f t="shared" si="37"/>
        <v>0</v>
      </c>
      <c r="AV120" s="132"/>
      <c r="AW120" s="140">
        <f t="shared" si="38"/>
        <v>0</v>
      </c>
      <c r="AX120" s="126"/>
      <c r="AY120" s="126"/>
      <c r="AZ120" s="126"/>
      <c r="BA120" s="126"/>
      <c r="BB120" s="126"/>
      <c r="BC120" s="130">
        <f t="shared" si="39"/>
        <v>0</v>
      </c>
      <c r="BD120" s="132"/>
    </row>
    <row r="121" ht="14.25" customHeight="1">
      <c r="A121" s="132"/>
      <c r="B121" s="1506">
        <v>46126</v>
      </c>
      <c r="C121" s="134">
        <f>21165.78-0-0</f>
      </c>
      <c r="D121" s="136"/>
      <c r="E121" s="135"/>
      <c r="F121" s="135"/>
      <c r="G121" s="147">
        <f t="shared" si="31"/>
        <v>0</v>
      </c>
      <c r="H121" s="199">
        <v>1132.2</v>
      </c>
      <c r="I121" s="143"/>
      <c r="J121" s="143"/>
      <c r="K121" s="143"/>
      <c r="L121" s="145">
        <v>350</v>
      </c>
      <c r="M121" s="103">
        <f t="shared" si="32"/>
        <v>0</v>
      </c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03">
        <f t="shared" si="33"/>
        <v>0</v>
      </c>
      <c r="AA121" s="134">
        <v>3371.89</v>
      </c>
      <c r="AB121" s="136"/>
      <c r="AC121" s="136"/>
      <c r="AD121" s="105">
        <f t="shared" si="34"/>
        <v>0</v>
      </c>
      <c r="AE121" s="145">
        <v>46.83</v>
      </c>
      <c r="AF121" s="143"/>
      <c r="AG121" s="146"/>
      <c r="AH121" s="224">
        <f t="shared" si="35"/>
        <v>0</v>
      </c>
      <c r="AI121" s="1554">
        <v>13837.9</v>
      </c>
      <c r="AJ121" s="1718">
        <v>2427</v>
      </c>
      <c r="AK121" s="1709"/>
      <c r="AL121" s="1546"/>
      <c r="AM121" s="1546"/>
      <c r="AN121" s="1546"/>
      <c r="AO121" s="1546"/>
      <c r="AP121" s="1709"/>
      <c r="AQ121" s="1709"/>
      <c r="AR121" s="1709"/>
      <c r="AS121" s="1709"/>
      <c r="AT121" s="222">
        <f t="shared" si="36"/>
        <v>0</v>
      </c>
      <c r="AU121" s="140">
        <f t="shared" si="37"/>
        <v>0</v>
      </c>
      <c r="AV121" s="132"/>
      <c r="AW121" s="140">
        <f t="shared" si="38"/>
        <v>0</v>
      </c>
      <c r="AX121" s="126"/>
      <c r="AY121" s="126"/>
      <c r="AZ121" s="126"/>
      <c r="BA121" s="126"/>
      <c r="BB121" s="126"/>
      <c r="BC121" s="130">
        <f t="shared" si="39"/>
        <v>0</v>
      </c>
      <c r="BD121" s="132"/>
    </row>
    <row r="122" ht="14.25" customHeight="1">
      <c r="A122" s="132"/>
      <c r="B122" s="1506">
        <v>46127</v>
      </c>
      <c r="C122" s="134">
        <f>18463.85-0-0</f>
      </c>
      <c r="D122" s="136"/>
      <c r="E122" s="135"/>
      <c r="F122" s="135"/>
      <c r="G122" s="147">
        <f t="shared" si="31"/>
        <v>0</v>
      </c>
      <c r="H122" s="199">
        <v>3558.7</v>
      </c>
      <c r="I122" s="143"/>
      <c r="J122" s="143"/>
      <c r="K122" s="143"/>
      <c r="L122" s="143"/>
      <c r="M122" s="103">
        <f t="shared" si="32"/>
        <v>0</v>
      </c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03">
        <f t="shared" si="33"/>
        <v>0</v>
      </c>
      <c r="AA122" s="134">
        <v>2257.3</v>
      </c>
      <c r="AB122" s="136"/>
      <c r="AC122" s="136"/>
      <c r="AD122" s="105">
        <f t="shared" si="34"/>
        <v>0</v>
      </c>
      <c r="AE122" s="143"/>
      <c r="AF122" s="143"/>
      <c r="AG122" s="146"/>
      <c r="AH122" s="224">
        <f t="shared" si="35"/>
        <v>0</v>
      </c>
      <c r="AI122" s="1554">
        <v>12647.8</v>
      </c>
      <c r="AJ122" s="1709"/>
      <c r="AK122" s="1709"/>
      <c r="AL122" s="1546"/>
      <c r="AM122" s="1546"/>
      <c r="AN122" s="1546"/>
      <c r="AO122" s="1546"/>
      <c r="AP122" s="1709"/>
      <c r="AQ122" s="1709"/>
      <c r="AR122" s="1709"/>
      <c r="AS122" s="1709"/>
      <c r="AT122" s="222">
        <f t="shared" si="36"/>
        <v>0</v>
      </c>
      <c r="AU122" s="140">
        <f t="shared" si="37"/>
        <v>0</v>
      </c>
      <c r="AV122" s="132"/>
      <c r="AW122" s="140">
        <f t="shared" si="38"/>
        <v>0</v>
      </c>
      <c r="AX122" s="126"/>
      <c r="AY122" s="126"/>
      <c r="AZ122" s="126"/>
      <c r="BA122" s="127"/>
      <c r="BB122" s="126"/>
      <c r="BC122" s="130">
        <f t="shared" si="39"/>
        <v>0</v>
      </c>
      <c r="BD122" s="132"/>
    </row>
    <row r="123" ht="14.25" customHeight="1">
      <c r="A123" s="132"/>
      <c r="B123" s="1506">
        <v>46128</v>
      </c>
      <c r="C123" s="134">
        <f>23994.89-0-0</f>
      </c>
      <c r="D123" s="136"/>
      <c r="E123" s="135"/>
      <c r="F123" s="135"/>
      <c r="G123" s="147">
        <f t="shared" si="31"/>
        <v>0</v>
      </c>
      <c r="H123" s="144">
        <v>2960.6</v>
      </c>
      <c r="I123" s="143"/>
      <c r="J123" s="143"/>
      <c r="K123" s="143"/>
      <c r="L123" s="145">
        <v>350</v>
      </c>
      <c r="M123" s="103">
        <f t="shared" si="32"/>
        <v>0</v>
      </c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03">
        <f t="shared" si="33"/>
        <v>0</v>
      </c>
      <c r="AA123" s="134">
        <v>2455.58</v>
      </c>
      <c r="AB123" s="136"/>
      <c r="AC123" s="136"/>
      <c r="AD123" s="105">
        <f t="shared" si="34"/>
        <v>0</v>
      </c>
      <c r="AE123" s="145">
        <v>400</v>
      </c>
      <c r="AF123" s="143"/>
      <c r="AG123" s="146"/>
      <c r="AH123" s="224">
        <f t="shared" si="35"/>
        <v>0</v>
      </c>
      <c r="AI123" s="1554">
        <v>12503.7</v>
      </c>
      <c r="AJ123" s="1718">
        <v>5225</v>
      </c>
      <c r="AK123" s="1709"/>
      <c r="AL123" s="1546"/>
      <c r="AM123" s="1546"/>
      <c r="AN123" s="1546"/>
      <c r="AO123" s="1546"/>
      <c r="AP123" s="1709"/>
      <c r="AQ123" s="1709"/>
      <c r="AR123" s="1709"/>
      <c r="AS123" s="1709"/>
      <c r="AT123" s="222">
        <f t="shared" si="36"/>
        <v>0</v>
      </c>
      <c r="AU123" s="140">
        <f t="shared" si="37"/>
        <v>0</v>
      </c>
      <c r="AV123" s="132"/>
      <c r="AW123" s="140">
        <f t="shared" si="38"/>
        <v>0</v>
      </c>
      <c r="AX123" s="126"/>
      <c r="AY123" s="126"/>
      <c r="AZ123" s="126"/>
      <c r="BA123" s="229"/>
      <c r="BB123" s="126">
        <v>100</v>
      </c>
      <c r="BC123" s="130">
        <f t="shared" si="39"/>
        <v>0</v>
      </c>
      <c r="BD123" s="132"/>
    </row>
    <row r="124" ht="14.25" customHeight="1">
      <c r="A124" s="132"/>
      <c r="B124" s="1506">
        <v>46129</v>
      </c>
      <c r="C124" s="134">
        <f>15345.21-0-0</f>
      </c>
      <c r="D124" s="136"/>
      <c r="E124" s="135"/>
      <c r="F124" s="135"/>
      <c r="G124" s="147">
        <f t="shared" si="31"/>
        <v>0</v>
      </c>
      <c r="H124" s="199">
        <v>1254</v>
      </c>
      <c r="I124" s="143"/>
      <c r="J124" s="143"/>
      <c r="K124" s="143"/>
      <c r="L124" s="143"/>
      <c r="M124" s="103">
        <f t="shared" si="32"/>
        <v>0</v>
      </c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03">
        <f t="shared" si="33"/>
        <v>0</v>
      </c>
      <c r="AA124" s="134">
        <v>2377.47</v>
      </c>
      <c r="AB124" s="136"/>
      <c r="AC124" s="136"/>
      <c r="AD124" s="105">
        <f t="shared" si="34"/>
        <v>0</v>
      </c>
      <c r="AE124" s="143"/>
      <c r="AF124" s="143"/>
      <c r="AG124" s="146"/>
      <c r="AH124" s="224">
        <f t="shared" si="35"/>
        <v>0</v>
      </c>
      <c r="AI124" s="1554">
        <v>11608.7</v>
      </c>
      <c r="AJ124" s="1709"/>
      <c r="AK124" s="1709"/>
      <c r="AL124" s="1546"/>
      <c r="AM124" s="1546"/>
      <c r="AN124" s="1546"/>
      <c r="AO124" s="1546"/>
      <c r="AP124" s="1709"/>
      <c r="AQ124" s="1709"/>
      <c r="AR124" s="1709"/>
      <c r="AS124" s="1709"/>
      <c r="AT124" s="222">
        <f t="shared" si="36"/>
        <v>0</v>
      </c>
      <c r="AU124" s="140">
        <f t="shared" si="37"/>
        <v>0</v>
      </c>
      <c r="AV124" s="132"/>
      <c r="AW124" s="140">
        <f t="shared" si="38"/>
        <v>0</v>
      </c>
      <c r="AX124" s="126"/>
      <c r="AY124" s="126"/>
      <c r="AZ124" s="126"/>
      <c r="BA124" s="229"/>
      <c r="BB124" s="126">
        <v>105</v>
      </c>
      <c r="BC124" s="130">
        <f t="shared" si="39"/>
        <v>0</v>
      </c>
      <c r="BD124" s="132"/>
    </row>
    <row r="125" ht="14.25" customHeight="1">
      <c r="A125" s="132"/>
      <c r="B125" s="1506">
        <v>46130</v>
      </c>
      <c r="C125" s="134">
        <f>16586.80-0-0</f>
      </c>
      <c r="D125" s="136"/>
      <c r="E125" s="135"/>
      <c r="F125" s="135"/>
      <c r="G125" s="147">
        <f t="shared" si="31"/>
        <v>0</v>
      </c>
      <c r="H125" s="199">
        <v>1170.4</v>
      </c>
      <c r="I125" s="143"/>
      <c r="J125" s="143"/>
      <c r="K125" s="143"/>
      <c r="L125" s="143"/>
      <c r="M125" s="103">
        <f t="shared" si="32"/>
        <v>0</v>
      </c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03">
        <f t="shared" si="33"/>
        <v>0</v>
      </c>
      <c r="AA125" s="134">
        <v>2497.2</v>
      </c>
      <c r="AB125" s="136"/>
      <c r="AC125" s="136"/>
      <c r="AD125" s="105">
        <f t="shared" si="34"/>
        <v>0</v>
      </c>
      <c r="AE125" s="143"/>
      <c r="AF125" s="143"/>
      <c r="AG125" s="146"/>
      <c r="AH125" s="224">
        <f t="shared" si="35"/>
        <v>0</v>
      </c>
      <c r="AI125" s="1554">
        <v>12919.2</v>
      </c>
      <c r="AJ125" s="1709"/>
      <c r="AK125" s="1709"/>
      <c r="AL125" s="1546"/>
      <c r="AM125" s="1546"/>
      <c r="AN125" s="1546"/>
      <c r="AO125" s="1546"/>
      <c r="AP125" s="1709"/>
      <c r="AQ125" s="1709"/>
      <c r="AR125" s="1709"/>
      <c r="AS125" s="1709"/>
      <c r="AT125" s="222">
        <f t="shared" si="36"/>
        <v>0</v>
      </c>
      <c r="AU125" s="140">
        <f t="shared" si="37"/>
        <v>0</v>
      </c>
      <c r="AV125" s="132"/>
      <c r="AW125" s="140">
        <f t="shared" si="38"/>
        <v>0</v>
      </c>
      <c r="AX125" s="126"/>
      <c r="AY125" s="126"/>
      <c r="AZ125" s="126"/>
      <c r="BA125" s="126"/>
      <c r="BB125" s="126"/>
      <c r="BC125" s="130">
        <f t="shared" si="39"/>
        <v>0</v>
      </c>
      <c r="BD125" s="132"/>
    </row>
    <row r="126" ht="14.25" customHeight="1">
      <c r="A126" s="132"/>
      <c r="B126" s="1506">
        <v>46131</v>
      </c>
      <c r="C126" s="134">
        <f>17817.34-0-0</f>
      </c>
      <c r="D126" s="136"/>
      <c r="E126" s="135"/>
      <c r="F126" s="135"/>
      <c r="G126" s="147">
        <f t="shared" si="31"/>
        <v>0</v>
      </c>
      <c r="H126" s="144"/>
      <c r="I126" s="143"/>
      <c r="J126" s="143"/>
      <c r="K126" s="143"/>
      <c r="L126" s="143"/>
      <c r="M126" s="103">
        <f t="shared" si="32"/>
        <v>0</v>
      </c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03">
        <f t="shared" si="33"/>
        <v>0</v>
      </c>
      <c r="AA126" s="134">
        <v>2651.58</v>
      </c>
      <c r="AB126" s="136"/>
      <c r="AC126" s="136"/>
      <c r="AD126" s="105">
        <f t="shared" si="34"/>
        <v>0</v>
      </c>
      <c r="AE126" s="143"/>
      <c r="AF126" s="143"/>
      <c r="AG126" s="146"/>
      <c r="AH126" s="224">
        <f t="shared" si="35"/>
        <v>0</v>
      </c>
      <c r="AI126" s="1554">
        <v>15165.8</v>
      </c>
      <c r="AJ126" s="1709"/>
      <c r="AK126" s="1709"/>
      <c r="AL126" s="1546"/>
      <c r="AM126" s="1546"/>
      <c r="AN126" s="1546"/>
      <c r="AO126" s="1546"/>
      <c r="AP126" s="1709"/>
      <c r="AQ126" s="1709"/>
      <c r="AR126" s="1709"/>
      <c r="AS126" s="1709"/>
      <c r="AT126" s="222">
        <f t="shared" si="36"/>
        <v>0</v>
      </c>
      <c r="AU126" s="140">
        <f t="shared" si="37"/>
        <v>0</v>
      </c>
      <c r="AV126" s="132"/>
      <c r="AW126" s="140">
        <f t="shared" si="38"/>
        <v>0</v>
      </c>
      <c r="AX126" s="126"/>
      <c r="AY126" s="126"/>
      <c r="AZ126" s="126"/>
      <c r="BA126" s="126"/>
      <c r="BB126" s="126"/>
      <c r="BC126" s="130">
        <f t="shared" si="39"/>
        <v>0</v>
      </c>
      <c r="BD126" s="132"/>
    </row>
    <row r="127" ht="14.25" customHeight="1">
      <c r="A127" s="132"/>
      <c r="B127" s="1506">
        <v>46132</v>
      </c>
      <c r="C127" s="134">
        <f>18359.62-0-0</f>
      </c>
      <c r="D127" s="136"/>
      <c r="E127" s="135"/>
      <c r="F127" s="135"/>
      <c r="G127" s="147">
        <f t="shared" si="31"/>
        <v>0</v>
      </c>
      <c r="H127" s="199">
        <v>2735.6</v>
      </c>
      <c r="I127" s="143"/>
      <c r="J127" s="143"/>
      <c r="K127" s="143"/>
      <c r="L127" s="143"/>
      <c r="M127" s="103">
        <f t="shared" si="32"/>
        <v>0</v>
      </c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03">
        <f t="shared" si="33"/>
        <v>0</v>
      </c>
      <c r="AA127" s="134">
        <v>2371.91</v>
      </c>
      <c r="AB127" s="136"/>
      <c r="AC127" s="136"/>
      <c r="AD127" s="105">
        <f t="shared" si="34"/>
        <v>0</v>
      </c>
      <c r="AE127" s="143"/>
      <c r="AF127" s="143"/>
      <c r="AG127" s="146"/>
      <c r="AH127" s="224">
        <f t="shared" si="35"/>
        <v>0</v>
      </c>
      <c r="AI127" s="1554">
        <v>13525.1</v>
      </c>
      <c r="AJ127" s="1709"/>
      <c r="AK127" s="1709"/>
      <c r="AL127" s="1546"/>
      <c r="AM127" s="1546"/>
      <c r="AN127" s="1546"/>
      <c r="AO127" s="1546"/>
      <c r="AP127" s="1709"/>
      <c r="AQ127" s="1709"/>
      <c r="AR127" s="1709"/>
      <c r="AS127" s="1709"/>
      <c r="AT127" s="222">
        <f t="shared" si="36"/>
        <v>0</v>
      </c>
      <c r="AU127" s="140">
        <f t="shared" si="37"/>
        <v>0</v>
      </c>
      <c r="AV127" s="132"/>
      <c r="AW127" s="140">
        <f t="shared" si="38"/>
        <v>0</v>
      </c>
      <c r="AX127" s="126"/>
      <c r="AY127" s="126"/>
      <c r="AZ127" s="126"/>
      <c r="BA127" s="126"/>
      <c r="BB127" s="126"/>
      <c r="BC127" s="130">
        <f t="shared" si="39"/>
        <v>0</v>
      </c>
      <c r="BD127" s="132"/>
    </row>
    <row r="128" ht="14.25" customHeight="1">
      <c r="A128" s="132"/>
      <c r="B128" s="1506">
        <v>46133</v>
      </c>
      <c r="C128" s="134">
        <f>15642.75-0-0</f>
      </c>
      <c r="D128" s="136"/>
      <c r="E128" s="135"/>
      <c r="F128" s="135"/>
      <c r="G128" s="147">
        <f t="shared" si="31"/>
        <v>0</v>
      </c>
      <c r="H128" s="199">
        <v>606.1</v>
      </c>
      <c r="I128" s="143"/>
      <c r="J128" s="143"/>
      <c r="K128" s="143"/>
      <c r="L128" s="145">
        <v>350</v>
      </c>
      <c r="M128" s="103">
        <f t="shared" si="32"/>
        <v>0</v>
      </c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03">
        <f t="shared" si="33"/>
        <v>0</v>
      </c>
      <c r="AA128" s="134">
        <v>2166.8</v>
      </c>
      <c r="AB128" s="136"/>
      <c r="AC128" s="136"/>
      <c r="AD128" s="105">
        <f t="shared" si="34"/>
        <v>0</v>
      </c>
      <c r="AE128" s="143"/>
      <c r="AF128" s="143"/>
      <c r="AG128" s="146"/>
      <c r="AH128" s="224">
        <f t="shared" si="35"/>
        <v>0</v>
      </c>
      <c r="AI128" s="1573">
        <v>12519.8</v>
      </c>
      <c r="AJ128" s="1709"/>
      <c r="AK128" s="1709"/>
      <c r="AL128" s="1546"/>
      <c r="AM128" s="1546"/>
      <c r="AN128" s="1546"/>
      <c r="AO128" s="1546"/>
      <c r="AP128" s="1709"/>
      <c r="AQ128" s="1709"/>
      <c r="AR128" s="1709"/>
      <c r="AS128" s="1709"/>
      <c r="AT128" s="222">
        <f t="shared" si="36"/>
        <v>0</v>
      </c>
      <c r="AU128" s="140">
        <f t="shared" si="37"/>
        <v>0</v>
      </c>
      <c r="AV128" s="132"/>
      <c r="AW128" s="140">
        <f t="shared" si="38"/>
        <v>0</v>
      </c>
      <c r="AX128" s="126"/>
      <c r="AY128" s="126"/>
      <c r="AZ128" s="126"/>
      <c r="BA128" s="126"/>
      <c r="BB128" s="126"/>
      <c r="BC128" s="130">
        <f t="shared" si="39"/>
        <v>0</v>
      </c>
      <c r="BD128" s="132"/>
    </row>
    <row r="129" ht="14.25" customHeight="1">
      <c r="A129" s="132"/>
      <c r="B129" s="1506">
        <v>46134</v>
      </c>
      <c r="C129" s="134">
        <f>16469.06-0-0</f>
      </c>
      <c r="D129" s="136"/>
      <c r="E129" s="135"/>
      <c r="F129" s="135"/>
      <c r="G129" s="147">
        <f t="shared" si="31"/>
        <v>0</v>
      </c>
      <c r="H129" s="199">
        <v>342.4</v>
      </c>
      <c r="I129" s="143"/>
      <c r="J129" s="143"/>
      <c r="K129" s="143"/>
      <c r="L129" s="143"/>
      <c r="M129" s="103">
        <f t="shared" si="32"/>
        <v>0</v>
      </c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03">
        <f t="shared" si="33"/>
        <v>0</v>
      </c>
      <c r="AA129" s="134">
        <v>3050</v>
      </c>
      <c r="AB129" s="136"/>
      <c r="AC129" s="136"/>
      <c r="AD129" s="105">
        <f t="shared" si="34"/>
        <v>0</v>
      </c>
      <c r="AE129" s="143"/>
      <c r="AF129" s="143"/>
      <c r="AG129" s="146"/>
      <c r="AH129" s="224">
        <f t="shared" si="35"/>
        <v>0</v>
      </c>
      <c r="AI129" s="1573">
        <v>13076.6</v>
      </c>
      <c r="AJ129" s="1709"/>
      <c r="AK129" s="1709"/>
      <c r="AL129" s="1546"/>
      <c r="AM129" s="1546"/>
      <c r="AN129" s="1546"/>
      <c r="AO129" s="1546"/>
      <c r="AP129" s="1709"/>
      <c r="AQ129" s="1709"/>
      <c r="AR129" s="1709"/>
      <c r="AS129" s="1709"/>
      <c r="AT129" s="222">
        <f t="shared" si="36"/>
        <v>0</v>
      </c>
      <c r="AU129" s="140">
        <f t="shared" si="37"/>
        <v>0</v>
      </c>
      <c r="AV129" s="132"/>
      <c r="AW129" s="140">
        <f t="shared" si="38"/>
        <v>0</v>
      </c>
      <c r="AX129" s="126"/>
      <c r="AY129" s="126"/>
      <c r="AZ129" s="126"/>
      <c r="BA129" s="126"/>
      <c r="BB129" s="126"/>
      <c r="BC129" s="130">
        <f t="shared" si="39"/>
        <v>0</v>
      </c>
      <c r="BD129" s="132"/>
    </row>
    <row r="130" ht="14.25" customHeight="1">
      <c r="A130" s="132"/>
      <c r="B130" s="1506">
        <v>46135</v>
      </c>
      <c r="C130" s="134">
        <f>20823.07-0-0</f>
      </c>
      <c r="D130" s="136"/>
      <c r="E130" s="135"/>
      <c r="F130" s="135"/>
      <c r="G130" s="147">
        <f t="shared" si="31"/>
        <v>0</v>
      </c>
      <c r="H130" s="199">
        <v>1869.4</v>
      </c>
      <c r="I130" s="143"/>
      <c r="J130" s="143"/>
      <c r="K130" s="143"/>
      <c r="L130" s="143"/>
      <c r="M130" s="103">
        <f t="shared" si="32"/>
        <v>0</v>
      </c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03">
        <f t="shared" si="33"/>
        <v>0</v>
      </c>
      <c r="AA130" s="134">
        <v>4091.8</v>
      </c>
      <c r="AB130" s="136"/>
      <c r="AC130" s="136"/>
      <c r="AD130" s="105">
        <f t="shared" si="34"/>
        <v>0</v>
      </c>
      <c r="AE130" s="145">
        <v>72</v>
      </c>
      <c r="AF130" s="143"/>
      <c r="AG130" s="146"/>
      <c r="AH130" s="224">
        <f t="shared" si="35"/>
        <v>0</v>
      </c>
      <c r="AI130" s="1573">
        <v>12334.3</v>
      </c>
      <c r="AJ130" s="1718">
        <v>2388</v>
      </c>
      <c r="AK130" s="1709"/>
      <c r="AL130" s="1546"/>
      <c r="AM130" s="1546"/>
      <c r="AN130" s="1546"/>
      <c r="AO130" s="1546"/>
      <c r="AP130" s="1709"/>
      <c r="AQ130" s="1709"/>
      <c r="AR130" s="1709"/>
      <c r="AS130" s="1709"/>
      <c r="AT130" s="222">
        <f t="shared" si="36"/>
        <v>0</v>
      </c>
      <c r="AU130" s="140">
        <f t="shared" si="37"/>
        <v>0</v>
      </c>
      <c r="AV130" s="132"/>
      <c r="AW130" s="140">
        <f t="shared" si="38"/>
        <v>0</v>
      </c>
      <c r="AX130" s="126"/>
      <c r="AY130" s="126"/>
      <c r="AZ130" s="126"/>
      <c r="BA130" s="126"/>
      <c r="BB130" s="126">
        <v>67.5</v>
      </c>
      <c r="BC130" s="130">
        <f t="shared" si="39"/>
        <v>0</v>
      </c>
      <c r="BD130" s="132"/>
    </row>
    <row r="131" ht="14.25" customHeight="1">
      <c r="A131" s="132"/>
      <c r="B131" s="1506">
        <v>46136</v>
      </c>
      <c r="C131" s="134">
        <f>21625.53-0-0</f>
      </c>
      <c r="D131" s="136"/>
      <c r="E131" s="135"/>
      <c r="F131" s="135"/>
      <c r="G131" s="147">
        <f t="shared" si="31"/>
        <v>0</v>
      </c>
      <c r="H131" s="199">
        <v>1212.2</v>
      </c>
      <c r="I131" s="143"/>
      <c r="J131" s="143"/>
      <c r="K131" s="143"/>
      <c r="L131" s="143"/>
      <c r="M131" s="103">
        <f t="shared" si="32"/>
        <v>0</v>
      </c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03">
        <f t="shared" si="33"/>
        <v>0</v>
      </c>
      <c r="AA131" s="134">
        <v>2290.34</v>
      </c>
      <c r="AB131" s="136"/>
      <c r="AC131" s="136"/>
      <c r="AD131" s="105">
        <f t="shared" si="34"/>
        <v>0</v>
      </c>
      <c r="AE131" s="145">
        <v>650</v>
      </c>
      <c r="AF131" s="143"/>
      <c r="AG131" s="146"/>
      <c r="AH131" s="224">
        <f t="shared" si="35"/>
        <v>0</v>
      </c>
      <c r="AI131" s="1573">
        <v>12179</v>
      </c>
      <c r="AJ131" s="1718">
        <v>4975</v>
      </c>
      <c r="AK131" s="1709"/>
      <c r="AL131" s="1546"/>
      <c r="AM131" s="1546"/>
      <c r="AN131" s="1546"/>
      <c r="AO131" s="1546"/>
      <c r="AP131" s="1709"/>
      <c r="AQ131" s="1709"/>
      <c r="AR131" s="1709"/>
      <c r="AS131" s="1709"/>
      <c r="AT131" s="222">
        <f t="shared" si="36"/>
        <v>0</v>
      </c>
      <c r="AU131" s="140">
        <f t="shared" si="37"/>
        <v>0</v>
      </c>
      <c r="AV131" s="132"/>
      <c r="AW131" s="140">
        <f t="shared" si="38"/>
        <v>0</v>
      </c>
      <c r="AX131" s="126"/>
      <c r="AY131" s="126"/>
      <c r="AZ131" s="126"/>
      <c r="BA131" s="229"/>
      <c r="BB131" s="126">
        <v>550</v>
      </c>
      <c r="BC131" s="130">
        <f t="shared" si="39"/>
        <v>0</v>
      </c>
      <c r="BD131" s="132"/>
    </row>
    <row r="132" ht="14.25" customHeight="1">
      <c r="A132" s="132"/>
      <c r="B132" s="1506">
        <v>46137</v>
      </c>
      <c r="C132" s="134">
        <f>17022.51-0-0</f>
      </c>
      <c r="D132" s="136"/>
      <c r="E132" s="135"/>
      <c r="F132" s="135"/>
      <c r="G132" s="147">
        <f t="shared" si="31"/>
        <v>0</v>
      </c>
      <c r="H132" s="199">
        <v>1107.7</v>
      </c>
      <c r="I132" s="143"/>
      <c r="J132" s="143"/>
      <c r="K132" s="143"/>
      <c r="L132" s="145">
        <v>350</v>
      </c>
      <c r="M132" s="103">
        <f t="shared" si="32"/>
        <v>0</v>
      </c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03">
        <f t="shared" si="33"/>
        <v>0</v>
      </c>
      <c r="AA132" s="134">
        <v>3180.27</v>
      </c>
      <c r="AB132" s="136"/>
      <c r="AC132" s="136"/>
      <c r="AD132" s="105">
        <f t="shared" si="34"/>
        <v>0</v>
      </c>
      <c r="AE132" s="143"/>
      <c r="AF132" s="143"/>
      <c r="AG132" s="146"/>
      <c r="AH132" s="224">
        <f t="shared" si="35"/>
        <v>0</v>
      </c>
      <c r="AI132" s="1573">
        <v>12384.5</v>
      </c>
      <c r="AJ132" s="1709"/>
      <c r="AK132" s="1709"/>
      <c r="AL132" s="1546"/>
      <c r="AM132" s="1546"/>
      <c r="AN132" s="1546"/>
      <c r="AO132" s="1546"/>
      <c r="AP132" s="1709"/>
      <c r="AQ132" s="1709"/>
      <c r="AR132" s="1709"/>
      <c r="AS132" s="1709"/>
      <c r="AT132" s="222">
        <f t="shared" si="36"/>
        <v>0</v>
      </c>
      <c r="AU132" s="140">
        <f t="shared" si="37"/>
        <v>0</v>
      </c>
      <c r="AV132" s="132"/>
      <c r="AW132" s="140">
        <f t="shared" si="38"/>
        <v>0</v>
      </c>
      <c r="AX132" s="126"/>
      <c r="AY132" s="126"/>
      <c r="AZ132" s="126"/>
      <c r="BA132" s="126"/>
      <c r="BB132" s="126"/>
      <c r="BC132" s="130">
        <f t="shared" si="39"/>
        <v>0</v>
      </c>
      <c r="BD132" s="132"/>
    </row>
    <row r="133" ht="14.25" customHeight="1">
      <c r="A133" s="132"/>
      <c r="B133" s="1506">
        <v>46138</v>
      </c>
      <c r="C133" s="134">
        <f>17416.93-0-0</f>
      </c>
      <c r="D133" s="136"/>
      <c r="E133" s="135"/>
      <c r="F133" s="135"/>
      <c r="G133" s="147">
        <f t="shared" si="31"/>
        <v>0</v>
      </c>
      <c r="H133" s="144"/>
      <c r="I133" s="143"/>
      <c r="J133" s="143"/>
      <c r="K133" s="143"/>
      <c r="L133" s="143"/>
      <c r="M133" s="103">
        <f t="shared" si="32"/>
        <v>0</v>
      </c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03">
        <f t="shared" si="33"/>
        <v>0</v>
      </c>
      <c r="AA133" s="134">
        <v>3636.48</v>
      </c>
      <c r="AB133" s="136"/>
      <c r="AC133" s="136"/>
      <c r="AD133" s="105">
        <f t="shared" si="34"/>
        <v>0</v>
      </c>
      <c r="AE133" s="143"/>
      <c r="AF133" s="143"/>
      <c r="AG133" s="146"/>
      <c r="AH133" s="224">
        <f t="shared" si="35"/>
        <v>0</v>
      </c>
      <c r="AI133" s="1573">
        <v>13780.4</v>
      </c>
      <c r="AJ133" s="1709"/>
      <c r="AK133" s="1709"/>
      <c r="AL133" s="1546"/>
      <c r="AM133" s="1546"/>
      <c r="AN133" s="1546"/>
      <c r="AO133" s="1546"/>
      <c r="AP133" s="1709"/>
      <c r="AQ133" s="1709"/>
      <c r="AR133" s="1709"/>
      <c r="AS133" s="1709"/>
      <c r="AT133" s="222">
        <f t="shared" si="36"/>
        <v>0</v>
      </c>
      <c r="AU133" s="140">
        <f t="shared" si="37"/>
        <v>0</v>
      </c>
      <c r="AV133" s="132"/>
      <c r="AW133" s="140">
        <f t="shared" si="38"/>
        <v>0</v>
      </c>
      <c r="AX133" s="126"/>
      <c r="AY133" s="126"/>
      <c r="AZ133" s="126"/>
      <c r="BA133" s="126"/>
      <c r="BB133" s="126"/>
      <c r="BC133" s="130">
        <f t="shared" si="39"/>
        <v>0</v>
      </c>
      <c r="BD133" s="132"/>
    </row>
    <row r="134" ht="14.25" customHeight="1">
      <c r="A134" s="132"/>
      <c r="B134" s="1506">
        <v>46139</v>
      </c>
      <c r="C134" s="134"/>
      <c r="D134" s="136"/>
      <c r="E134" s="135"/>
      <c r="F134" s="135"/>
      <c r="G134" s="147">
        <f t="shared" si="31"/>
        <v>0</v>
      </c>
      <c r="H134" s="199"/>
      <c r="I134" s="143"/>
      <c r="J134" s="231"/>
      <c r="K134" s="143"/>
      <c r="L134" s="143"/>
      <c r="M134" s="103">
        <f t="shared" si="32"/>
        <v>0</v>
      </c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03">
        <f t="shared" si="33"/>
        <v>0</v>
      </c>
      <c r="AA134" s="134"/>
      <c r="AB134" s="136"/>
      <c r="AC134" s="136"/>
      <c r="AD134" s="105">
        <f t="shared" si="34"/>
        <v>0</v>
      </c>
      <c r="AE134" s="143"/>
      <c r="AF134" s="143"/>
      <c r="AG134" s="146"/>
      <c r="AH134" s="224">
        <f t="shared" si="35"/>
        <v>0</v>
      </c>
      <c r="AI134" s="1573"/>
      <c r="AJ134" s="1709"/>
      <c r="AK134" s="1709"/>
      <c r="AL134" s="1546"/>
      <c r="AM134" s="1546"/>
      <c r="AN134" s="1546"/>
      <c r="AO134" s="1546"/>
      <c r="AP134" s="1709"/>
      <c r="AQ134" s="1709"/>
      <c r="AR134" s="1709"/>
      <c r="AS134" s="1709"/>
      <c r="AT134" s="222">
        <f t="shared" si="36"/>
        <v>0</v>
      </c>
      <c r="AU134" s="140">
        <f t="shared" si="37"/>
        <v>0</v>
      </c>
      <c r="AV134" s="132"/>
      <c r="AW134" s="140">
        <f t="shared" si="38"/>
        <v>0</v>
      </c>
      <c r="AX134" s="126"/>
      <c r="AY134" s="126"/>
      <c r="AZ134" s="126"/>
      <c r="BA134" s="126"/>
      <c r="BB134" s="126"/>
      <c r="BC134" s="130">
        <f t="shared" si="39"/>
        <v>0</v>
      </c>
      <c r="BD134" s="132"/>
    </row>
    <row r="135" ht="14.25" customHeight="1">
      <c r="A135" s="132"/>
      <c r="B135" s="1506">
        <v>46140</v>
      </c>
      <c r="C135" s="134">
        <f>15809.27-0-0</f>
      </c>
      <c r="D135" s="136"/>
      <c r="E135" s="135"/>
      <c r="F135" s="135"/>
      <c r="G135" s="147">
        <f t="shared" si="31"/>
        <v>0</v>
      </c>
      <c r="H135" s="199">
        <v>1463</v>
      </c>
      <c r="I135" s="143"/>
      <c r="J135" s="143"/>
      <c r="K135" s="143"/>
      <c r="L135" s="143"/>
      <c r="M135" s="103">
        <f t="shared" si="32"/>
        <v>0</v>
      </c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03">
        <f t="shared" si="33"/>
        <v>0</v>
      </c>
      <c r="AA135" s="134">
        <v>2462.79</v>
      </c>
      <c r="AB135" s="136"/>
      <c r="AC135" s="136"/>
      <c r="AD135" s="105">
        <f t="shared" si="34"/>
        <v>0</v>
      </c>
      <c r="AE135" s="143"/>
      <c r="AF135" s="143"/>
      <c r="AG135" s="146"/>
      <c r="AH135" s="224">
        <f t="shared" si="35"/>
        <v>0</v>
      </c>
      <c r="AI135" s="1573">
        <v>11883.5</v>
      </c>
      <c r="AJ135" s="1709"/>
      <c r="AK135" s="1709"/>
      <c r="AL135" s="1546"/>
      <c r="AM135" s="1546"/>
      <c r="AN135" s="1546"/>
      <c r="AO135" s="1546"/>
      <c r="AP135" s="1709"/>
      <c r="AQ135" s="1709"/>
      <c r="AR135" s="1709"/>
      <c r="AS135" s="1709"/>
      <c r="AT135" s="222">
        <f t="shared" si="36"/>
        <v>0</v>
      </c>
      <c r="AU135" s="140">
        <f t="shared" si="37"/>
        <v>0</v>
      </c>
      <c r="AV135" s="132"/>
      <c r="AW135" s="140">
        <f t="shared" si="38"/>
        <v>0</v>
      </c>
      <c r="AX135" s="126"/>
      <c r="AY135" s="126"/>
      <c r="AZ135" s="126"/>
      <c r="BA135" s="126"/>
      <c r="BB135" s="126"/>
      <c r="BC135" s="130">
        <f t="shared" si="39"/>
        <v>0</v>
      </c>
      <c r="BD135" s="132"/>
    </row>
    <row r="136" ht="14.25" customHeight="1">
      <c r="A136" s="132"/>
      <c r="B136" s="1506">
        <v>46141</v>
      </c>
      <c r="C136" s="134">
        <f>16207.01-0-0</f>
      </c>
      <c r="D136" s="136"/>
      <c r="E136" s="135"/>
      <c r="F136" s="135"/>
      <c r="G136" s="147">
        <f t="shared" si="31"/>
        <v>0</v>
      </c>
      <c r="H136" s="199">
        <v>1178.4</v>
      </c>
      <c r="I136" s="143"/>
      <c r="J136" s="143"/>
      <c r="K136" s="143"/>
      <c r="L136" s="143"/>
      <c r="M136" s="103">
        <f t="shared" si="32"/>
        <v>0</v>
      </c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03">
        <f t="shared" si="33"/>
        <v>0</v>
      </c>
      <c r="AA136" s="134">
        <v>2704.7</v>
      </c>
      <c r="AB136" s="136"/>
      <c r="AC136" s="136"/>
      <c r="AD136" s="105">
        <f t="shared" si="34"/>
        <v>0</v>
      </c>
      <c r="AE136" s="145">
        <v>65</v>
      </c>
      <c r="AF136" s="143"/>
      <c r="AG136" s="146"/>
      <c r="AH136" s="224">
        <f t="shared" si="35"/>
        <v>0</v>
      </c>
      <c r="AI136" s="1573">
        <v>11751.4</v>
      </c>
      <c r="AJ136" s="1718">
        <v>497.5</v>
      </c>
      <c r="AK136" s="1709"/>
      <c r="AL136" s="1546"/>
      <c r="AM136" s="1546"/>
      <c r="AN136" s="1546"/>
      <c r="AO136" s="1546"/>
      <c r="AP136" s="1709"/>
      <c r="AQ136" s="1709"/>
      <c r="AR136" s="1709"/>
      <c r="AS136" s="1709"/>
      <c r="AT136" s="222">
        <f t="shared" si="36"/>
        <v>0</v>
      </c>
      <c r="AU136" s="140">
        <f t="shared" si="37"/>
        <v>0</v>
      </c>
      <c r="AV136" s="132"/>
      <c r="AW136" s="140">
        <f t="shared" si="38"/>
        <v>0</v>
      </c>
      <c r="AX136" s="126"/>
      <c r="AY136" s="126"/>
      <c r="AZ136" s="126"/>
      <c r="BA136" s="229"/>
      <c r="BB136" s="126">
        <v>10</v>
      </c>
      <c r="BC136" s="130">
        <f t="shared" si="39"/>
        <v>0</v>
      </c>
      <c r="BD136" s="132"/>
    </row>
    <row r="137" ht="14.25" customHeight="1">
      <c r="A137" s="132"/>
      <c r="B137" s="1506">
        <v>46142</v>
      </c>
      <c r="C137" s="134">
        <f>18149.63-0-0</f>
      </c>
      <c r="D137" s="136"/>
      <c r="E137" s="135"/>
      <c r="F137" s="135"/>
      <c r="G137" s="147">
        <f t="shared" si="31"/>
        <v>0</v>
      </c>
      <c r="H137" s="199">
        <v>1045</v>
      </c>
      <c r="I137" s="143"/>
      <c r="J137" s="143"/>
      <c r="K137" s="143"/>
      <c r="L137" s="143"/>
      <c r="M137" s="103">
        <f t="shared" si="32"/>
        <v>0</v>
      </c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03">
        <f t="shared" si="33"/>
        <v>0</v>
      </c>
      <c r="AA137" s="134">
        <v>3219.25</v>
      </c>
      <c r="AB137" s="136"/>
      <c r="AC137" s="136"/>
      <c r="AD137" s="105">
        <f t="shared" si="34"/>
        <v>0</v>
      </c>
      <c r="AE137" s="145">
        <v>263</v>
      </c>
      <c r="AF137" s="143"/>
      <c r="AG137" s="146"/>
      <c r="AH137" s="224">
        <f t="shared" si="35"/>
        <v>0</v>
      </c>
      <c r="AI137" s="1919">
        <v>10709.6</v>
      </c>
      <c r="AJ137" s="1718">
        <v>2879.5</v>
      </c>
      <c r="AK137" s="1709"/>
      <c r="AL137" s="1546"/>
      <c r="AM137" s="1546"/>
      <c r="AN137" s="1546"/>
      <c r="AO137" s="1546"/>
      <c r="AP137" s="1709"/>
      <c r="AQ137" s="1709"/>
      <c r="AR137" s="1709"/>
      <c r="AS137" s="1709"/>
      <c r="AT137" s="222">
        <f t="shared" si="36"/>
        <v>0</v>
      </c>
      <c r="AU137" s="140">
        <f t="shared" si="37"/>
        <v>0</v>
      </c>
      <c r="AV137" s="132"/>
      <c r="AW137" s="140">
        <f t="shared" si="38"/>
        <v>0</v>
      </c>
      <c r="AX137" s="126"/>
      <c r="AY137" s="126"/>
      <c r="AZ137" s="141"/>
      <c r="BA137" s="150"/>
      <c r="BB137" s="141">
        <v>34</v>
      </c>
      <c r="BC137" s="130">
        <f t="shared" si="39"/>
        <v>0</v>
      </c>
      <c r="BD137" s="132"/>
    </row>
    <row r="138" ht="14.25" customHeight="1">
      <c r="A138" s="3"/>
      <c r="B138" s="1522" t="s">
        <v>78</v>
      </c>
      <c r="C138" s="166">
        <f ref="C138:G138" t="shared" si="40">SUM(C108:C137)</f>
        <v>0</v>
      </c>
      <c r="D138" s="166">
        <f t="shared" si="40"/>
        <v>0</v>
      </c>
      <c r="E138" s="166">
        <f t="shared" si="40"/>
        <v>0</v>
      </c>
      <c r="F138" s="166">
        <f t="shared" si="40"/>
        <v>0</v>
      </c>
      <c r="G138" s="166">
        <f t="shared" si="40"/>
        <v>0</v>
      </c>
      <c r="H138" s="166">
        <f>SUMIF(H108:H137,"&gt;0")</f>
        <v>0</v>
      </c>
      <c r="I138" s="166">
        <f ref="I138:BA138" t="shared" si="41">SUM(I108:I137)</f>
        <v>0</v>
      </c>
      <c r="J138" s="166">
        <f t="shared" si="41"/>
        <v>0</v>
      </c>
      <c r="K138" s="166">
        <f t="shared" si="41"/>
        <v>0</v>
      </c>
      <c r="L138" s="166">
        <f t="shared" si="41"/>
        <v>0</v>
      </c>
      <c r="M138" s="166">
        <f t="shared" si="41"/>
        <v>0</v>
      </c>
      <c r="N138" s="166">
        <f t="shared" si="41"/>
        <v>0</v>
      </c>
      <c r="O138" s="166">
        <f t="shared" si="41"/>
        <v>0</v>
      </c>
      <c r="P138" s="166">
        <f t="shared" si="41"/>
        <v>0</v>
      </c>
      <c r="Q138" s="166">
        <f t="shared" si="41"/>
        <v>0</v>
      </c>
      <c r="R138" s="166">
        <f t="shared" si="41"/>
        <v>0</v>
      </c>
      <c r="S138" s="166">
        <f t="shared" si="41"/>
        <v>0</v>
      </c>
      <c r="T138" s="166">
        <f t="shared" si="41"/>
        <v>0</v>
      </c>
      <c r="U138" s="166">
        <f t="shared" si="41"/>
        <v>0</v>
      </c>
      <c r="V138" s="166">
        <f t="shared" si="41"/>
        <v>0</v>
      </c>
      <c r="W138" s="166">
        <f t="shared" si="41"/>
        <v>0</v>
      </c>
      <c r="X138" s="166">
        <f t="shared" si="41"/>
        <v>0</v>
      </c>
      <c r="Y138" s="166">
        <f t="shared" si="41"/>
        <v>0</v>
      </c>
      <c r="Z138" s="166">
        <f t="shared" si="41"/>
        <v>0</v>
      </c>
      <c r="AA138" s="166">
        <f t="shared" si="41"/>
        <v>0</v>
      </c>
      <c r="AB138" s="166">
        <f t="shared" si="41"/>
        <v>0</v>
      </c>
      <c r="AC138" s="166">
        <f t="shared" si="41"/>
        <v>0</v>
      </c>
      <c r="AD138" s="166">
        <f t="shared" si="41"/>
        <v>0</v>
      </c>
      <c r="AE138" s="166">
        <f t="shared" si="41"/>
        <v>0</v>
      </c>
      <c r="AF138" s="166">
        <f t="shared" si="41"/>
        <v>0</v>
      </c>
      <c r="AG138" s="166">
        <f t="shared" si="41"/>
        <v>0</v>
      </c>
      <c r="AH138" s="166">
        <f t="shared" si="41"/>
        <v>0</v>
      </c>
      <c r="AI138" s="165">
        <f t="shared" si="41"/>
        <v>0</v>
      </c>
      <c r="AJ138" s="166">
        <f t="shared" si="41"/>
        <v>0</v>
      </c>
      <c r="AK138" s="166">
        <f t="shared" si="41"/>
        <v>0</v>
      </c>
      <c r="AL138" s="166">
        <f t="shared" si="41"/>
        <v>0</v>
      </c>
      <c r="AM138" s="166">
        <f t="shared" si="41"/>
        <v>0</v>
      </c>
      <c r="AN138" s="166">
        <f t="shared" si="41"/>
        <v>0</v>
      </c>
      <c r="AO138" s="166">
        <f t="shared" si="41"/>
        <v>0</v>
      </c>
      <c r="AP138" s="166">
        <f t="shared" si="41"/>
        <v>0</v>
      </c>
      <c r="AQ138" s="166">
        <f t="shared" si="41"/>
        <v>0</v>
      </c>
      <c r="AR138" s="166">
        <f t="shared" si="41"/>
        <v>0</v>
      </c>
      <c r="AS138" s="166">
        <f t="shared" si="41"/>
        <v>0</v>
      </c>
      <c r="AT138" s="166">
        <f t="shared" si="41"/>
        <v>0</v>
      </c>
      <c r="AU138" s="166">
        <f t="shared" si="41"/>
        <v>0</v>
      </c>
      <c r="AV138" s="166">
        <f t="shared" si="41"/>
        <v>0</v>
      </c>
      <c r="AW138" s="166">
        <f t="shared" si="41"/>
        <v>0</v>
      </c>
      <c r="AX138" s="166">
        <f t="shared" si="41"/>
        <v>0</v>
      </c>
      <c r="AY138" s="166">
        <f t="shared" si="41"/>
        <v>0</v>
      </c>
      <c r="AZ138" s="166">
        <f t="shared" si="41"/>
        <v>0</v>
      </c>
      <c r="BA138" s="166">
        <f t="shared" si="41"/>
        <v>0</v>
      </c>
      <c r="BB138" s="166"/>
      <c r="BC138" s="130">
        <f t="shared" si="39"/>
        <v>0</v>
      </c>
      <c r="BD138" s="235"/>
    </row>
    <row r="139" ht="14.25" customHeight="1">
      <c r="A139" s="1"/>
      <c r="B139" s="1523" t="s">
        <v>11</v>
      </c>
      <c r="C139" s="3"/>
      <c r="D139" s="3"/>
      <c r="E139" s="3"/>
      <c r="F139" s="3"/>
      <c r="G139" s="4"/>
      <c r="H139" s="263">
        <f ref="H139:L139" t="shared" si="42">SUMIF(H109:H138,"&lt;0")</f>
        <v>0</v>
      </c>
      <c r="I139" s="263">
        <f t="shared" si="42"/>
        <v>0</v>
      </c>
      <c r="J139" s="263">
        <f t="shared" si="42"/>
        <v>0</v>
      </c>
      <c r="K139" s="263">
        <f t="shared" si="42"/>
        <v>0</v>
      </c>
      <c r="L139" s="263">
        <f t="shared" si="42"/>
        <v>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4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ht="14.25" customHeight="1">
      <c r="A140" s="1"/>
      <c r="B140" s="1495"/>
      <c r="C140" s="3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176"/>
      <c r="AA140" s="3"/>
      <c r="AB140" s="3"/>
      <c r="AC140" s="3"/>
      <c r="AD140" s="4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ht="14.25" customHeight="1">
      <c r="A141" s="3"/>
      <c r="B141" s="1506">
        <v>46143</v>
      </c>
      <c r="C141" s="95"/>
      <c r="D141" s="104"/>
      <c r="E141" s="97"/>
      <c r="F141" s="97"/>
      <c r="G141" s="265">
        <f ref="G141:G171" t="shared" si="43">+C141+D141+E141+F141</f>
        <v>0</v>
      </c>
      <c r="H141" s="187"/>
      <c r="I141" s="186"/>
      <c r="J141" s="186"/>
      <c r="K141" s="186"/>
      <c r="L141" s="186"/>
      <c r="M141" s="103">
        <f ref="M141:M171" t="shared" si="44">SUM(H141:L141)</f>
        <v>0</v>
      </c>
      <c r="N141" s="186"/>
      <c r="O141" s="186"/>
      <c r="P141" s="186"/>
      <c r="Q141" s="186"/>
      <c r="R141" s="186"/>
      <c r="S141" s="186"/>
      <c r="T141" s="186"/>
      <c r="U141" s="186"/>
      <c r="V141" s="186"/>
      <c r="W141" s="186"/>
      <c r="X141" s="186"/>
      <c r="Y141" s="186"/>
      <c r="Z141" s="103">
        <f ref="Z141:Z171" t="shared" si="45">SUM(N141:Y141)</f>
        <v>0</v>
      </c>
      <c r="AA141" s="95"/>
      <c r="AB141" s="104"/>
      <c r="AC141" s="104"/>
      <c r="AD141" s="191">
        <f ref="AD141:AD171" t="shared" si="46">SUM(AA141:AC141)</f>
        <v>0</v>
      </c>
      <c r="AE141" s="186"/>
      <c r="AF141" s="186"/>
      <c r="AG141" s="193"/>
      <c r="AH141" s="266">
        <f ref="AH141:AH171" t="shared" si="47">+G141-M141-Z141-AD141-AE141-AF141-AG141</f>
        <v>0</v>
      </c>
      <c r="AI141" s="271"/>
      <c r="AJ141" s="269"/>
      <c r="AK141" s="269"/>
      <c r="AL141" s="109"/>
      <c r="AM141" s="109"/>
      <c r="AN141" s="109"/>
      <c r="AO141" s="109"/>
      <c r="AP141" s="269"/>
      <c r="AQ141" s="269"/>
      <c r="AR141" s="269"/>
      <c r="AS141" s="269"/>
      <c r="AT141" s="292">
        <f ref="AT141:AT171" t="shared" si="48">SUM(AI141:AS141)-AR141</f>
        <v>0</v>
      </c>
      <c r="AU141" s="114">
        <f ref="AU141:AU171" t="shared" si="49">+AH141-AT141</f>
        <v>0</v>
      </c>
      <c r="AV141" s="3"/>
      <c r="AW141" s="114">
        <f ref="AW141:AW171" t="shared" si="50">SUM(AX141:BB141)</f>
        <v>0</v>
      </c>
      <c r="AX141" s="115"/>
      <c r="AY141" s="115"/>
      <c r="AZ141" s="115"/>
      <c r="BA141" s="115"/>
      <c r="BB141" s="115"/>
      <c r="BC141" s="116">
        <f ref="BC141:BC171" t="shared" si="51">+AU141-AW141</f>
        <v>0</v>
      </c>
      <c r="BD141" s="3"/>
    </row>
    <row r="142" ht="14.25" customHeight="1">
      <c r="A142" s="3"/>
      <c r="B142" s="1506">
        <v>46144</v>
      </c>
      <c r="C142" s="119"/>
      <c r="D142" s="123"/>
      <c r="E142" s="120"/>
      <c r="F142" s="120"/>
      <c r="G142" s="147">
        <f t="shared" si="43"/>
        <v>0</v>
      </c>
      <c r="H142" s="199"/>
      <c r="I142" s="143"/>
      <c r="J142" s="143"/>
      <c r="K142" s="143"/>
      <c r="L142" s="143"/>
      <c r="M142" s="103">
        <f t="shared" si="44"/>
        <v>0</v>
      </c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03">
        <f t="shared" si="45"/>
        <v>0</v>
      </c>
      <c r="AA142" s="119"/>
      <c r="AB142" s="123"/>
      <c r="AC142" s="123"/>
      <c r="AD142" s="105">
        <f t="shared" si="46"/>
        <v>0</v>
      </c>
      <c r="AE142" s="143"/>
      <c r="AF142" s="143"/>
      <c r="AG142" s="146"/>
      <c r="AH142" s="266">
        <f t="shared" si="47"/>
        <v>0</v>
      </c>
      <c r="AI142" s="229"/>
      <c r="AJ142" s="274"/>
      <c r="AK142" s="274"/>
      <c r="AL142" s="126"/>
      <c r="AM142" s="126"/>
      <c r="AN142" s="126"/>
      <c r="AO142" s="126"/>
      <c r="AP142" s="274"/>
      <c r="AQ142" s="274"/>
      <c r="AR142" s="274"/>
      <c r="AS142" s="274"/>
      <c r="AT142" s="222">
        <f t="shared" si="48"/>
        <v>0</v>
      </c>
      <c r="AU142" s="113">
        <f t="shared" si="49"/>
        <v>0</v>
      </c>
      <c r="AV142" s="3"/>
      <c r="AW142" s="113">
        <f t="shared" si="50"/>
        <v>0</v>
      </c>
      <c r="AX142" s="129"/>
      <c r="AY142" s="129"/>
      <c r="AZ142" s="129"/>
      <c r="BA142" s="129"/>
      <c r="BB142" s="129"/>
      <c r="BC142" s="130">
        <f t="shared" si="51"/>
        <v>0</v>
      </c>
      <c r="BD142" s="3"/>
    </row>
    <row r="143" ht="14.25" customHeight="1">
      <c r="A143" s="3"/>
      <c r="B143" s="1506">
        <v>46145</v>
      </c>
      <c r="C143" s="119"/>
      <c r="D143" s="123"/>
      <c r="E143" s="120"/>
      <c r="F143" s="120"/>
      <c r="G143" s="147">
        <f t="shared" si="43"/>
        <v>0</v>
      </c>
      <c r="H143" s="144"/>
      <c r="I143" s="143"/>
      <c r="J143" s="143"/>
      <c r="K143" s="143"/>
      <c r="L143" s="143"/>
      <c r="M143" s="103">
        <f t="shared" si="44"/>
        <v>0</v>
      </c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03">
        <f t="shared" si="45"/>
        <v>0</v>
      </c>
      <c r="AA143" s="119"/>
      <c r="AB143" s="123"/>
      <c r="AC143" s="123"/>
      <c r="AD143" s="105">
        <f t="shared" si="46"/>
        <v>0</v>
      </c>
      <c r="AE143" s="143"/>
      <c r="AF143" s="143"/>
      <c r="AG143" s="146"/>
      <c r="AH143" s="266">
        <f t="shared" si="47"/>
        <v>0</v>
      </c>
      <c r="AI143" s="229"/>
      <c r="AJ143" s="274"/>
      <c r="AK143" s="274"/>
      <c r="AL143" s="126"/>
      <c r="AM143" s="126"/>
      <c r="AN143" s="126"/>
      <c r="AO143" s="126"/>
      <c r="AP143" s="274"/>
      <c r="AQ143" s="274"/>
      <c r="AR143" s="274"/>
      <c r="AS143" s="274"/>
      <c r="AT143" s="222">
        <f t="shared" si="48"/>
        <v>0</v>
      </c>
      <c r="AU143" s="113">
        <f t="shared" si="49"/>
        <v>0</v>
      </c>
      <c r="AV143" s="3"/>
      <c r="AW143" s="113">
        <f t="shared" si="50"/>
        <v>0</v>
      </c>
      <c r="AX143" s="129"/>
      <c r="AY143" s="129"/>
      <c r="AZ143" s="129"/>
      <c r="BA143" s="129"/>
      <c r="BB143" s="129"/>
      <c r="BC143" s="130">
        <f t="shared" si="51"/>
        <v>0</v>
      </c>
      <c r="BD143" s="3"/>
    </row>
    <row r="144" ht="14.25" customHeight="1">
      <c r="A144" s="3"/>
      <c r="B144" s="1506">
        <v>46146</v>
      </c>
      <c r="C144" s="119"/>
      <c r="D144" s="123"/>
      <c r="E144" s="120"/>
      <c r="F144" s="120"/>
      <c r="G144" s="147">
        <f t="shared" si="43"/>
        <v>0</v>
      </c>
      <c r="H144" s="199"/>
      <c r="I144" s="143"/>
      <c r="J144" s="143"/>
      <c r="K144" s="143"/>
      <c r="L144" s="145"/>
      <c r="M144" s="103">
        <f t="shared" si="44"/>
        <v>0</v>
      </c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03">
        <f t="shared" si="45"/>
        <v>0</v>
      </c>
      <c r="AA144" s="119"/>
      <c r="AB144" s="123"/>
      <c r="AC144" s="123"/>
      <c r="AD144" s="105">
        <f t="shared" si="46"/>
        <v>0</v>
      </c>
      <c r="AE144" s="145"/>
      <c r="AF144" s="143"/>
      <c r="AG144" s="146"/>
      <c r="AH144" s="266">
        <f t="shared" si="47"/>
        <v>0</v>
      </c>
      <c r="AI144" s="229"/>
      <c r="AJ144" s="496"/>
      <c r="AK144" s="496"/>
      <c r="AL144" s="126"/>
      <c r="AM144" s="126"/>
      <c r="AN144" s="126"/>
      <c r="AO144" s="126"/>
      <c r="AP144" s="274"/>
      <c r="AQ144" s="274"/>
      <c r="AR144" s="274"/>
      <c r="AS144" s="274"/>
      <c r="AT144" s="222">
        <f t="shared" si="48"/>
        <v>0</v>
      </c>
      <c r="AU144" s="113">
        <f t="shared" si="49"/>
        <v>0</v>
      </c>
      <c r="AV144" s="3"/>
      <c r="AW144" s="113">
        <f t="shared" si="50"/>
        <v>0</v>
      </c>
      <c r="AX144" s="129"/>
      <c r="AY144" s="129"/>
      <c r="AZ144" s="129"/>
      <c r="BA144" s="131"/>
      <c r="BB144" s="129"/>
      <c r="BC144" s="130">
        <f t="shared" si="51"/>
        <v>0</v>
      </c>
      <c r="BD144" s="3"/>
    </row>
    <row r="145" ht="14.25" customHeight="1">
      <c r="A145" s="3"/>
      <c r="B145" s="1506">
        <v>46147</v>
      </c>
      <c r="C145" s="119"/>
      <c r="D145" s="123"/>
      <c r="E145" s="120"/>
      <c r="F145" s="120"/>
      <c r="G145" s="147">
        <f t="shared" si="43"/>
        <v>0</v>
      </c>
      <c r="H145" s="199"/>
      <c r="I145" s="143"/>
      <c r="J145" s="143"/>
      <c r="K145" s="143"/>
      <c r="L145" s="143"/>
      <c r="M145" s="103">
        <f t="shared" si="44"/>
        <v>0</v>
      </c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03">
        <f t="shared" si="45"/>
        <v>0</v>
      </c>
      <c r="AA145" s="119"/>
      <c r="AB145" s="123"/>
      <c r="AC145" s="123"/>
      <c r="AD145" s="105">
        <f t="shared" si="46"/>
        <v>0</v>
      </c>
      <c r="AE145" s="143"/>
      <c r="AF145" s="143"/>
      <c r="AG145" s="146"/>
      <c r="AH145" s="266">
        <f t="shared" si="47"/>
        <v>0</v>
      </c>
      <c r="AI145" s="229"/>
      <c r="AJ145" s="496"/>
      <c r="AK145" s="274"/>
      <c r="AL145" s="126"/>
      <c r="AM145" s="126"/>
      <c r="AN145" s="126"/>
      <c r="AO145" s="126"/>
      <c r="AP145" s="274"/>
      <c r="AQ145" s="274"/>
      <c r="AR145" s="274"/>
      <c r="AS145" s="274"/>
      <c r="AT145" s="222">
        <f t="shared" si="48"/>
        <v>0</v>
      </c>
      <c r="AU145" s="113">
        <f t="shared" si="49"/>
        <v>0</v>
      </c>
      <c r="AV145" s="3"/>
      <c r="AW145" s="113">
        <f t="shared" si="50"/>
        <v>0</v>
      </c>
      <c r="AX145" s="129"/>
      <c r="AY145" s="129"/>
      <c r="AZ145" s="129"/>
      <c r="BA145" s="129"/>
      <c r="BB145" s="129"/>
      <c r="BC145" s="130">
        <f t="shared" si="51"/>
        <v>0</v>
      </c>
      <c r="BD145" s="3"/>
    </row>
    <row r="146" ht="14.25" customHeight="1">
      <c r="A146" s="3"/>
      <c r="B146" s="1506">
        <v>46148</v>
      </c>
      <c r="C146" s="119"/>
      <c r="D146" s="123"/>
      <c r="E146" s="120"/>
      <c r="F146" s="120"/>
      <c r="G146" s="147">
        <f t="shared" si="43"/>
        <v>0</v>
      </c>
      <c r="H146" s="199"/>
      <c r="I146" s="143"/>
      <c r="J146" s="143"/>
      <c r="K146" s="143"/>
      <c r="L146" s="143"/>
      <c r="M146" s="103">
        <f t="shared" si="44"/>
        <v>0</v>
      </c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03">
        <f t="shared" si="45"/>
        <v>0</v>
      </c>
      <c r="AA146" s="119"/>
      <c r="AB146" s="123"/>
      <c r="AC146" s="123"/>
      <c r="AD146" s="105">
        <f t="shared" si="46"/>
        <v>0</v>
      </c>
      <c r="AE146" s="143"/>
      <c r="AF146" s="143"/>
      <c r="AG146" s="146"/>
      <c r="AH146" s="266">
        <f t="shared" si="47"/>
        <v>0</v>
      </c>
      <c r="AI146" s="229"/>
      <c r="AJ146" s="274"/>
      <c r="AK146" s="274"/>
      <c r="AL146" s="126"/>
      <c r="AM146" s="126"/>
      <c r="AN146" s="126"/>
      <c r="AO146" s="126"/>
      <c r="AP146" s="274"/>
      <c r="AQ146" s="274"/>
      <c r="AR146" s="274"/>
      <c r="AS146" s="274"/>
      <c r="AT146" s="222">
        <f t="shared" si="48"/>
        <v>0</v>
      </c>
      <c r="AU146" s="113">
        <f t="shared" si="49"/>
        <v>0</v>
      </c>
      <c r="AV146" s="3"/>
      <c r="AW146" s="113">
        <f t="shared" si="50"/>
        <v>0</v>
      </c>
      <c r="AX146" s="129"/>
      <c r="AY146" s="129"/>
      <c r="AZ146" s="129"/>
      <c r="BA146" s="129"/>
      <c r="BB146" s="129"/>
      <c r="BC146" s="130">
        <f t="shared" si="51"/>
        <v>0</v>
      </c>
      <c r="BD146" s="3"/>
    </row>
    <row r="147" ht="14.25" customHeight="1">
      <c r="A147" s="3"/>
      <c r="B147" s="1506">
        <v>46149</v>
      </c>
      <c r="C147" s="123"/>
      <c r="D147" s="123"/>
      <c r="E147" s="120"/>
      <c r="F147" s="120"/>
      <c r="G147" s="147">
        <f t="shared" si="43"/>
        <v>0</v>
      </c>
      <c r="H147" s="144"/>
      <c r="I147" s="143"/>
      <c r="J147" s="143"/>
      <c r="K147" s="143"/>
      <c r="L147" s="143"/>
      <c r="M147" s="103">
        <f t="shared" si="44"/>
        <v>0</v>
      </c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03">
        <f t="shared" si="45"/>
        <v>0</v>
      </c>
      <c r="AA147" s="123"/>
      <c r="AB147" s="123"/>
      <c r="AC147" s="123"/>
      <c r="AD147" s="105">
        <f t="shared" si="46"/>
        <v>0</v>
      </c>
      <c r="AE147" s="143"/>
      <c r="AF147" s="143"/>
      <c r="AG147" s="146"/>
      <c r="AH147" s="266">
        <f t="shared" si="47"/>
        <v>0</v>
      </c>
      <c r="AI147" s="126"/>
      <c r="AJ147" s="274"/>
      <c r="AK147" s="274"/>
      <c r="AL147" s="126"/>
      <c r="AM147" s="126"/>
      <c r="AN147" s="126"/>
      <c r="AO147" s="126"/>
      <c r="AP147" s="274"/>
      <c r="AQ147" s="274"/>
      <c r="AR147" s="274"/>
      <c r="AS147" s="274"/>
      <c r="AT147" s="222">
        <f t="shared" si="48"/>
        <v>0</v>
      </c>
      <c r="AU147" s="113">
        <f t="shared" si="49"/>
        <v>0</v>
      </c>
      <c r="AV147" s="3"/>
      <c r="AW147" s="113">
        <f t="shared" si="50"/>
        <v>0</v>
      </c>
      <c r="AX147" s="129"/>
      <c r="AY147" s="129"/>
      <c r="AZ147" s="129"/>
      <c r="BA147" s="129"/>
      <c r="BB147" s="129"/>
      <c r="BC147" s="130">
        <f t="shared" si="51"/>
        <v>0</v>
      </c>
      <c r="BD147" s="3"/>
    </row>
    <row r="148" ht="14.25" customHeight="1">
      <c r="A148" s="3"/>
      <c r="B148" s="1506">
        <v>46150</v>
      </c>
      <c r="C148" s="123"/>
      <c r="D148" s="123"/>
      <c r="E148" s="120"/>
      <c r="F148" s="120"/>
      <c r="G148" s="147">
        <f t="shared" si="43"/>
        <v>0</v>
      </c>
      <c r="H148" s="144"/>
      <c r="I148" s="143"/>
      <c r="J148" s="143"/>
      <c r="K148" s="143"/>
      <c r="L148" s="143"/>
      <c r="M148" s="103">
        <f t="shared" si="44"/>
        <v>0</v>
      </c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03">
        <f t="shared" si="45"/>
        <v>0</v>
      </c>
      <c r="AA148" s="123"/>
      <c r="AB148" s="123"/>
      <c r="AC148" s="123"/>
      <c r="AD148" s="105">
        <f t="shared" si="46"/>
        <v>0</v>
      </c>
      <c r="AE148" s="143"/>
      <c r="AF148" s="143"/>
      <c r="AG148" s="146"/>
      <c r="AH148" s="266">
        <f t="shared" si="47"/>
        <v>0</v>
      </c>
      <c r="AI148" s="126"/>
      <c r="AJ148" s="274"/>
      <c r="AK148" s="274"/>
      <c r="AL148" s="126"/>
      <c r="AM148" s="126"/>
      <c r="AN148" s="221"/>
      <c r="AO148" s="126"/>
      <c r="AP148" s="274"/>
      <c r="AQ148" s="274"/>
      <c r="AR148" s="274"/>
      <c r="AS148" s="274"/>
      <c r="AT148" s="222">
        <f t="shared" si="48"/>
        <v>0</v>
      </c>
      <c r="AU148" s="113">
        <f t="shared" si="49"/>
        <v>0</v>
      </c>
      <c r="AV148" s="3"/>
      <c r="AW148" s="113">
        <f t="shared" si="50"/>
        <v>0</v>
      </c>
      <c r="AX148" s="129"/>
      <c r="AY148" s="129"/>
      <c r="AZ148" s="141"/>
      <c r="BA148" s="129"/>
      <c r="BB148" s="129"/>
      <c r="BC148" s="130">
        <f t="shared" si="51"/>
        <v>0</v>
      </c>
      <c r="BD148" s="3"/>
    </row>
    <row r="149" ht="14.25" customHeight="1">
      <c r="A149" s="132"/>
      <c r="B149" s="1506">
        <v>46151</v>
      </c>
      <c r="C149" s="136"/>
      <c r="D149" s="136"/>
      <c r="E149" s="135"/>
      <c r="F149" s="135"/>
      <c r="G149" s="147">
        <f t="shared" si="43"/>
        <v>0</v>
      </c>
      <c r="H149" s="144"/>
      <c r="I149" s="143"/>
      <c r="J149" s="143"/>
      <c r="K149" s="143"/>
      <c r="L149" s="143"/>
      <c r="M149" s="103">
        <f t="shared" si="44"/>
        <v>0</v>
      </c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03">
        <f t="shared" si="45"/>
        <v>0</v>
      </c>
      <c r="AA149" s="136"/>
      <c r="AB149" s="136"/>
      <c r="AC149" s="136"/>
      <c r="AD149" s="105">
        <f t="shared" si="46"/>
        <v>0</v>
      </c>
      <c r="AE149" s="143"/>
      <c r="AF149" s="143"/>
      <c r="AG149" s="146"/>
      <c r="AH149" s="266">
        <f t="shared" si="47"/>
        <v>0</v>
      </c>
      <c r="AI149" s="126"/>
      <c r="AJ149" s="274"/>
      <c r="AK149" s="274"/>
      <c r="AL149" s="126"/>
      <c r="AM149" s="126"/>
      <c r="AN149" s="126"/>
      <c r="AO149" s="126"/>
      <c r="AP149" s="274"/>
      <c r="AQ149" s="274"/>
      <c r="AR149" s="274"/>
      <c r="AS149" s="274"/>
      <c r="AT149" s="222">
        <f t="shared" si="48"/>
        <v>0</v>
      </c>
      <c r="AU149" s="140">
        <f t="shared" si="49"/>
        <v>0</v>
      </c>
      <c r="AV149" s="132"/>
      <c r="AW149" s="140">
        <f t="shared" si="50"/>
        <v>0</v>
      </c>
      <c r="AX149" s="141"/>
      <c r="AY149" s="141"/>
      <c r="AZ149" s="141"/>
      <c r="BA149" s="141"/>
      <c r="BB149" s="141"/>
      <c r="BC149" s="130">
        <f t="shared" si="51"/>
        <v>0</v>
      </c>
      <c r="BD149" s="132"/>
    </row>
    <row r="150" ht="14.25" customHeight="1">
      <c r="A150" s="132"/>
      <c r="B150" s="1506">
        <v>46152</v>
      </c>
      <c r="C150" s="136"/>
      <c r="D150" s="136"/>
      <c r="E150" s="135"/>
      <c r="F150" s="135"/>
      <c r="G150" s="147">
        <f t="shared" si="43"/>
        <v>0</v>
      </c>
      <c r="H150" s="144"/>
      <c r="I150" s="143"/>
      <c r="J150" s="143"/>
      <c r="K150" s="143"/>
      <c r="L150" s="143"/>
      <c r="M150" s="103">
        <f t="shared" si="44"/>
        <v>0</v>
      </c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03">
        <f t="shared" si="45"/>
        <v>0</v>
      </c>
      <c r="AA150" s="136"/>
      <c r="AB150" s="136"/>
      <c r="AC150" s="136"/>
      <c r="AD150" s="105">
        <f t="shared" si="46"/>
        <v>0</v>
      </c>
      <c r="AE150" s="143"/>
      <c r="AF150" s="143"/>
      <c r="AG150" s="146"/>
      <c r="AH150" s="266">
        <f t="shared" si="47"/>
        <v>0</v>
      </c>
      <c r="AI150" s="126"/>
      <c r="AJ150" s="274"/>
      <c r="AK150" s="274"/>
      <c r="AL150" s="126"/>
      <c r="AM150" s="126"/>
      <c r="AN150" s="126"/>
      <c r="AO150" s="126"/>
      <c r="AP150" s="274"/>
      <c r="AQ150" s="274"/>
      <c r="AR150" s="274"/>
      <c r="AS150" s="274"/>
      <c r="AT150" s="222">
        <f t="shared" si="48"/>
        <v>0</v>
      </c>
      <c r="AU150" s="140">
        <f t="shared" si="49"/>
        <v>0</v>
      </c>
      <c r="AV150" s="132"/>
      <c r="AW150" s="140">
        <f t="shared" si="50"/>
        <v>0</v>
      </c>
      <c r="AX150" s="141"/>
      <c r="AY150" s="141"/>
      <c r="AZ150" s="141"/>
      <c r="BA150" s="141"/>
      <c r="BB150" s="141"/>
      <c r="BC150" s="130">
        <f t="shared" si="51"/>
        <v>0</v>
      </c>
      <c r="BD150" s="132"/>
    </row>
    <row r="151" ht="14.25" customHeight="1">
      <c r="A151" s="132"/>
      <c r="B151" s="1506">
        <v>46153</v>
      </c>
      <c r="C151" s="136"/>
      <c r="D151" s="136"/>
      <c r="E151" s="135"/>
      <c r="F151" s="135"/>
      <c r="G151" s="147">
        <f t="shared" si="43"/>
        <v>0</v>
      </c>
      <c r="H151" s="144"/>
      <c r="I151" s="143"/>
      <c r="J151" s="143"/>
      <c r="K151" s="143"/>
      <c r="L151" s="143"/>
      <c r="M151" s="103">
        <f t="shared" si="44"/>
        <v>0</v>
      </c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03">
        <f t="shared" si="45"/>
        <v>0</v>
      </c>
      <c r="AA151" s="136"/>
      <c r="AB151" s="136"/>
      <c r="AC151" s="136"/>
      <c r="AD151" s="105">
        <f t="shared" si="46"/>
        <v>0</v>
      </c>
      <c r="AE151" s="143"/>
      <c r="AF151" s="143"/>
      <c r="AG151" s="146"/>
      <c r="AH151" s="266">
        <f t="shared" si="47"/>
        <v>0</v>
      </c>
      <c r="AI151" s="126"/>
      <c r="AJ151" s="274"/>
      <c r="AK151" s="274"/>
      <c r="AL151" s="126"/>
      <c r="AM151" s="126"/>
      <c r="AN151" s="126"/>
      <c r="AO151" s="126"/>
      <c r="AP151" s="274"/>
      <c r="AQ151" s="274"/>
      <c r="AR151" s="274"/>
      <c r="AS151" s="274"/>
      <c r="AT151" s="222">
        <f t="shared" si="48"/>
        <v>0</v>
      </c>
      <c r="AU151" s="140">
        <f t="shared" si="49"/>
        <v>0</v>
      </c>
      <c r="AV151" s="132"/>
      <c r="AW151" s="140">
        <f t="shared" si="50"/>
        <v>0</v>
      </c>
      <c r="AX151" s="141"/>
      <c r="AY151" s="141"/>
      <c r="AZ151" s="141"/>
      <c r="BA151" s="141"/>
      <c r="BB151" s="141"/>
      <c r="BC151" s="130">
        <f t="shared" si="51"/>
        <v>0</v>
      </c>
      <c r="BD151" s="132"/>
    </row>
    <row r="152" ht="14.25" customHeight="1">
      <c r="A152" s="132"/>
      <c r="B152" s="1506">
        <v>46154</v>
      </c>
      <c r="C152" s="136"/>
      <c r="D152" s="136"/>
      <c r="E152" s="135"/>
      <c r="F152" s="135"/>
      <c r="G152" s="147">
        <f t="shared" si="43"/>
        <v>0</v>
      </c>
      <c r="H152" s="144"/>
      <c r="I152" s="143"/>
      <c r="J152" s="143"/>
      <c r="K152" s="143"/>
      <c r="L152" s="143"/>
      <c r="M152" s="103">
        <f t="shared" si="44"/>
        <v>0</v>
      </c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03">
        <f t="shared" si="45"/>
        <v>0</v>
      </c>
      <c r="AA152" s="136"/>
      <c r="AB152" s="136"/>
      <c r="AC152" s="136"/>
      <c r="AD152" s="105">
        <f t="shared" si="46"/>
        <v>0</v>
      </c>
      <c r="AE152" s="143"/>
      <c r="AF152" s="143"/>
      <c r="AG152" s="146"/>
      <c r="AH152" s="266">
        <f t="shared" si="47"/>
        <v>0</v>
      </c>
      <c r="AI152" s="126"/>
      <c r="AJ152" s="274"/>
      <c r="AK152" s="274"/>
      <c r="AL152" s="126"/>
      <c r="AM152" s="126"/>
      <c r="AN152" s="126"/>
      <c r="AO152" s="126"/>
      <c r="AP152" s="274"/>
      <c r="AQ152" s="274"/>
      <c r="AR152" s="274"/>
      <c r="AS152" s="274"/>
      <c r="AT152" s="222">
        <f t="shared" si="48"/>
        <v>0</v>
      </c>
      <c r="AU152" s="140">
        <f t="shared" si="49"/>
        <v>0</v>
      </c>
      <c r="AV152" s="132"/>
      <c r="AW152" s="140">
        <f t="shared" si="50"/>
        <v>0</v>
      </c>
      <c r="AX152" s="141"/>
      <c r="AY152" s="141"/>
      <c r="AZ152" s="141"/>
      <c r="BA152" s="141"/>
      <c r="BB152" s="141"/>
      <c r="BC152" s="130">
        <f t="shared" si="51"/>
        <v>0</v>
      </c>
      <c r="BD152" s="132"/>
    </row>
    <row r="153" ht="14.25" customHeight="1">
      <c r="A153" s="132"/>
      <c r="B153" s="1506">
        <v>46155</v>
      </c>
      <c r="C153" s="136"/>
      <c r="D153" s="136"/>
      <c r="E153" s="135"/>
      <c r="F153" s="135"/>
      <c r="G153" s="147">
        <f t="shared" si="43"/>
        <v>0</v>
      </c>
      <c r="H153" s="144"/>
      <c r="I153" s="143"/>
      <c r="J153" s="143"/>
      <c r="K153" s="143"/>
      <c r="L153" s="143"/>
      <c r="M153" s="103">
        <f t="shared" si="44"/>
        <v>0</v>
      </c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03">
        <f t="shared" si="45"/>
        <v>0</v>
      </c>
      <c r="AA153" s="136"/>
      <c r="AB153" s="136"/>
      <c r="AC153" s="136"/>
      <c r="AD153" s="105">
        <f t="shared" si="46"/>
        <v>0</v>
      </c>
      <c r="AE153" s="143"/>
      <c r="AF153" s="143"/>
      <c r="AG153" s="146"/>
      <c r="AH153" s="266">
        <f t="shared" si="47"/>
        <v>0</v>
      </c>
      <c r="AI153" s="126"/>
      <c r="AJ153" s="274"/>
      <c r="AK153" s="274"/>
      <c r="AL153" s="126"/>
      <c r="AM153" s="126"/>
      <c r="AN153" s="126"/>
      <c r="AO153" s="126"/>
      <c r="AP153" s="274"/>
      <c r="AQ153" s="274"/>
      <c r="AR153" s="274"/>
      <c r="AS153" s="274"/>
      <c r="AT153" s="222">
        <f t="shared" si="48"/>
        <v>0</v>
      </c>
      <c r="AU153" s="140">
        <f t="shared" si="49"/>
        <v>0</v>
      </c>
      <c r="AV153" s="132"/>
      <c r="AW153" s="140">
        <f t="shared" si="50"/>
        <v>0</v>
      </c>
      <c r="AX153" s="141"/>
      <c r="AY153" s="141"/>
      <c r="AZ153" s="141"/>
      <c r="BA153" s="141"/>
      <c r="BB153" s="141"/>
      <c r="BC153" s="130">
        <f t="shared" si="51"/>
        <v>0</v>
      </c>
      <c r="BD153" s="132"/>
    </row>
    <row r="154" ht="14.25" customHeight="1">
      <c r="A154" s="132"/>
      <c r="B154" s="1506">
        <v>46156</v>
      </c>
      <c r="C154" s="136"/>
      <c r="D154" s="136"/>
      <c r="E154" s="135"/>
      <c r="F154" s="135"/>
      <c r="G154" s="147">
        <f t="shared" si="43"/>
        <v>0</v>
      </c>
      <c r="H154" s="144"/>
      <c r="I154" s="143"/>
      <c r="J154" s="143"/>
      <c r="K154" s="143"/>
      <c r="L154" s="143"/>
      <c r="M154" s="103">
        <f t="shared" si="44"/>
        <v>0</v>
      </c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03">
        <f t="shared" si="45"/>
        <v>0</v>
      </c>
      <c r="AA154" s="136"/>
      <c r="AB154" s="136"/>
      <c r="AC154" s="136"/>
      <c r="AD154" s="105">
        <f t="shared" si="46"/>
        <v>0</v>
      </c>
      <c r="AE154" s="143"/>
      <c r="AF154" s="143"/>
      <c r="AG154" s="146"/>
      <c r="AH154" s="266">
        <f t="shared" si="47"/>
        <v>0</v>
      </c>
      <c r="AI154" s="126"/>
      <c r="AJ154" s="274"/>
      <c r="AK154" s="274"/>
      <c r="AL154" s="126"/>
      <c r="AM154" s="126"/>
      <c r="AN154" s="126"/>
      <c r="AO154" s="126"/>
      <c r="AP154" s="274"/>
      <c r="AQ154" s="274"/>
      <c r="AR154" s="274"/>
      <c r="AS154" s="274"/>
      <c r="AT154" s="222">
        <f t="shared" si="48"/>
        <v>0</v>
      </c>
      <c r="AU154" s="140">
        <f t="shared" si="49"/>
        <v>0</v>
      </c>
      <c r="AV154" s="132"/>
      <c r="AW154" s="140">
        <f t="shared" si="50"/>
        <v>0</v>
      </c>
      <c r="AX154" s="141"/>
      <c r="AY154" s="141"/>
      <c r="AZ154" s="141"/>
      <c r="BA154" s="141"/>
      <c r="BB154" s="141"/>
      <c r="BC154" s="130">
        <f t="shared" si="51"/>
        <v>0</v>
      </c>
      <c r="BD154" s="132"/>
    </row>
    <row r="155" ht="15.75" customHeight="1">
      <c r="A155" s="132"/>
      <c r="B155" s="1506">
        <v>46157</v>
      </c>
      <c r="C155" s="136"/>
      <c r="D155" s="136"/>
      <c r="E155" s="135"/>
      <c r="F155" s="135"/>
      <c r="G155" s="147">
        <f t="shared" si="43"/>
        <v>0</v>
      </c>
      <c r="H155" s="144"/>
      <c r="I155" s="143"/>
      <c r="J155" s="143"/>
      <c r="K155" s="143"/>
      <c r="L155" s="143"/>
      <c r="M155" s="103">
        <f t="shared" si="44"/>
        <v>0</v>
      </c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03">
        <f t="shared" si="45"/>
        <v>0</v>
      </c>
      <c r="AA155" s="136"/>
      <c r="AB155" s="136"/>
      <c r="AC155" s="136"/>
      <c r="AD155" s="105">
        <f t="shared" si="46"/>
        <v>0</v>
      </c>
      <c r="AE155" s="143"/>
      <c r="AF155" s="143"/>
      <c r="AG155" s="146"/>
      <c r="AH155" s="266">
        <f t="shared" si="47"/>
        <v>0</v>
      </c>
      <c r="AI155" s="126"/>
      <c r="AJ155" s="274"/>
      <c r="AK155" s="274"/>
      <c r="AL155" s="126"/>
      <c r="AM155" s="126"/>
      <c r="AN155" s="126"/>
      <c r="AO155" s="126"/>
      <c r="AP155" s="274"/>
      <c r="AQ155" s="274"/>
      <c r="AR155" s="274"/>
      <c r="AS155" s="274"/>
      <c r="AT155" s="222">
        <f t="shared" si="48"/>
        <v>0</v>
      </c>
      <c r="AU155" s="140">
        <f t="shared" si="49"/>
        <v>0</v>
      </c>
      <c r="AV155" s="132"/>
      <c r="AW155" s="140">
        <f t="shared" si="50"/>
        <v>0</v>
      </c>
      <c r="AX155" s="141"/>
      <c r="AY155" s="141"/>
      <c r="AZ155" s="141"/>
      <c r="BA155" s="141"/>
      <c r="BB155" s="141"/>
      <c r="BC155" s="130">
        <f t="shared" si="51"/>
        <v>0</v>
      </c>
      <c r="BD155" s="132"/>
    </row>
    <row r="156" ht="14.25" customHeight="1">
      <c r="A156" s="132"/>
      <c r="B156" s="1506">
        <v>46158</v>
      </c>
      <c r="C156" s="136"/>
      <c r="D156" s="136"/>
      <c r="E156" s="135"/>
      <c r="F156" s="135"/>
      <c r="G156" s="147">
        <f t="shared" si="43"/>
        <v>0</v>
      </c>
      <c r="H156" s="144"/>
      <c r="I156" s="143"/>
      <c r="J156" s="143"/>
      <c r="K156" s="143"/>
      <c r="L156" s="143"/>
      <c r="M156" s="103">
        <f t="shared" si="44"/>
        <v>0</v>
      </c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03">
        <f t="shared" si="45"/>
        <v>0</v>
      </c>
      <c r="AA156" s="136"/>
      <c r="AB156" s="136"/>
      <c r="AC156" s="136"/>
      <c r="AD156" s="105">
        <f t="shared" si="46"/>
        <v>0</v>
      </c>
      <c r="AE156" s="143"/>
      <c r="AF156" s="143"/>
      <c r="AG156" s="146"/>
      <c r="AH156" s="266">
        <f t="shared" si="47"/>
        <v>0</v>
      </c>
      <c r="AI156" s="126"/>
      <c r="AJ156" s="274"/>
      <c r="AK156" s="274"/>
      <c r="AL156" s="126"/>
      <c r="AM156" s="126"/>
      <c r="AN156" s="126"/>
      <c r="AO156" s="126"/>
      <c r="AP156" s="274"/>
      <c r="AQ156" s="274"/>
      <c r="AR156" s="274"/>
      <c r="AS156" s="274"/>
      <c r="AT156" s="222">
        <f t="shared" si="48"/>
        <v>0</v>
      </c>
      <c r="AU156" s="140">
        <f t="shared" si="49"/>
        <v>0</v>
      </c>
      <c r="AV156" s="132"/>
      <c r="AW156" s="140">
        <f t="shared" si="50"/>
        <v>0</v>
      </c>
      <c r="AX156" s="141"/>
      <c r="AY156" s="141"/>
      <c r="AZ156" s="141"/>
      <c r="BA156" s="141"/>
      <c r="BB156" s="141"/>
      <c r="BC156" s="130">
        <f t="shared" si="51"/>
        <v>0</v>
      </c>
      <c r="BD156" s="132"/>
    </row>
    <row r="157" ht="14.25" customHeight="1">
      <c r="A157" s="132"/>
      <c r="B157" s="1506">
        <v>46159</v>
      </c>
      <c r="C157" s="136"/>
      <c r="D157" s="136"/>
      <c r="E157" s="135"/>
      <c r="F157" s="135"/>
      <c r="G157" s="147">
        <f t="shared" si="43"/>
        <v>0</v>
      </c>
      <c r="H157" s="144"/>
      <c r="I157" s="143"/>
      <c r="J157" s="143"/>
      <c r="K157" s="143"/>
      <c r="L157" s="143"/>
      <c r="M157" s="103">
        <f t="shared" si="44"/>
        <v>0</v>
      </c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03">
        <f t="shared" si="45"/>
        <v>0</v>
      </c>
      <c r="AA157" s="136"/>
      <c r="AB157" s="136"/>
      <c r="AC157" s="136"/>
      <c r="AD157" s="105">
        <f t="shared" si="46"/>
        <v>0</v>
      </c>
      <c r="AE157" s="143"/>
      <c r="AF157" s="143"/>
      <c r="AG157" s="146"/>
      <c r="AH157" s="266">
        <f t="shared" si="47"/>
        <v>0</v>
      </c>
      <c r="AI157" s="126"/>
      <c r="AJ157" s="274"/>
      <c r="AK157" s="274"/>
      <c r="AL157" s="126"/>
      <c r="AM157" s="126"/>
      <c r="AN157" s="126"/>
      <c r="AO157" s="126"/>
      <c r="AP157" s="274"/>
      <c r="AQ157" s="274"/>
      <c r="AR157" s="274"/>
      <c r="AS157" s="274"/>
      <c r="AT157" s="222">
        <f t="shared" si="48"/>
        <v>0</v>
      </c>
      <c r="AU157" s="140">
        <f t="shared" si="49"/>
        <v>0</v>
      </c>
      <c r="AV157" s="132"/>
      <c r="AW157" s="140">
        <f t="shared" si="50"/>
        <v>0</v>
      </c>
      <c r="AX157" s="141"/>
      <c r="AY157" s="141"/>
      <c r="AZ157" s="141"/>
      <c r="BA157" s="141"/>
      <c r="BB157" s="141"/>
      <c r="BC157" s="130">
        <f t="shared" si="51"/>
        <v>0</v>
      </c>
      <c r="BD157" s="132"/>
    </row>
    <row r="158" ht="14.25" customHeight="1">
      <c r="A158" s="132"/>
      <c r="B158" s="1506">
        <v>46160</v>
      </c>
      <c r="C158" s="136"/>
      <c r="D158" s="136"/>
      <c r="E158" s="135"/>
      <c r="F158" s="135"/>
      <c r="G158" s="147">
        <f t="shared" si="43"/>
        <v>0</v>
      </c>
      <c r="H158" s="144"/>
      <c r="I158" s="143"/>
      <c r="J158" s="143"/>
      <c r="K158" s="143"/>
      <c r="L158" s="143"/>
      <c r="M158" s="103">
        <f t="shared" si="44"/>
        <v>0</v>
      </c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03">
        <f t="shared" si="45"/>
        <v>0</v>
      </c>
      <c r="AA158" s="136"/>
      <c r="AB158" s="136"/>
      <c r="AC158" s="136"/>
      <c r="AD158" s="105">
        <f t="shared" si="46"/>
        <v>0</v>
      </c>
      <c r="AE158" s="143"/>
      <c r="AF158" s="143"/>
      <c r="AG158" s="146"/>
      <c r="AH158" s="266">
        <f t="shared" si="47"/>
        <v>0</v>
      </c>
      <c r="AI158" s="126"/>
      <c r="AJ158" s="274"/>
      <c r="AK158" s="274"/>
      <c r="AL158" s="126"/>
      <c r="AM158" s="126"/>
      <c r="AN158" s="126"/>
      <c r="AO158" s="126"/>
      <c r="AP158" s="274"/>
      <c r="AQ158" s="274"/>
      <c r="AR158" s="274"/>
      <c r="AS158" s="274"/>
      <c r="AT158" s="222">
        <f t="shared" si="48"/>
        <v>0</v>
      </c>
      <c r="AU158" s="140">
        <f t="shared" si="49"/>
        <v>0</v>
      </c>
      <c r="AV158" s="132"/>
      <c r="AW158" s="140">
        <f t="shared" si="50"/>
        <v>0</v>
      </c>
      <c r="AX158" s="141"/>
      <c r="AY158" s="141"/>
      <c r="AZ158" s="141"/>
      <c r="BA158" s="141"/>
      <c r="BB158" s="141"/>
      <c r="BC158" s="130">
        <f t="shared" si="51"/>
        <v>0</v>
      </c>
      <c r="BD158" s="132"/>
    </row>
    <row r="159" ht="14.25" customHeight="1">
      <c r="A159" s="132"/>
      <c r="B159" s="1506">
        <v>46161</v>
      </c>
      <c r="C159" s="136"/>
      <c r="D159" s="136"/>
      <c r="E159" s="135"/>
      <c r="F159" s="135"/>
      <c r="G159" s="147">
        <f t="shared" si="43"/>
        <v>0</v>
      </c>
      <c r="H159" s="144"/>
      <c r="I159" s="143"/>
      <c r="J159" s="143"/>
      <c r="K159" s="143"/>
      <c r="L159" s="143"/>
      <c r="M159" s="103">
        <f t="shared" si="44"/>
        <v>0</v>
      </c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03">
        <f t="shared" si="45"/>
        <v>0</v>
      </c>
      <c r="AA159" s="136"/>
      <c r="AB159" s="136"/>
      <c r="AC159" s="136"/>
      <c r="AD159" s="105">
        <f t="shared" si="46"/>
        <v>0</v>
      </c>
      <c r="AE159" s="143"/>
      <c r="AF159" s="143"/>
      <c r="AG159" s="146"/>
      <c r="AH159" s="266">
        <f t="shared" si="47"/>
        <v>0</v>
      </c>
      <c r="AI159" s="126"/>
      <c r="AJ159" s="274"/>
      <c r="AK159" s="274"/>
      <c r="AL159" s="126"/>
      <c r="AM159" s="126"/>
      <c r="AN159" s="126"/>
      <c r="AO159" s="126"/>
      <c r="AP159" s="274"/>
      <c r="AQ159" s="274"/>
      <c r="AR159" s="274"/>
      <c r="AS159" s="274"/>
      <c r="AT159" s="222">
        <f t="shared" si="48"/>
        <v>0</v>
      </c>
      <c r="AU159" s="140">
        <f t="shared" si="49"/>
        <v>0</v>
      </c>
      <c r="AV159" s="132"/>
      <c r="AW159" s="140">
        <f t="shared" si="50"/>
        <v>0</v>
      </c>
      <c r="AX159" s="141"/>
      <c r="AY159" s="141"/>
      <c r="AZ159" s="141"/>
      <c r="BA159" s="141"/>
      <c r="BB159" s="141"/>
      <c r="BC159" s="130">
        <f t="shared" si="51"/>
        <v>0</v>
      </c>
      <c r="BD159" s="132"/>
    </row>
    <row r="160" ht="14.25" customHeight="1">
      <c r="A160" s="132"/>
      <c r="B160" s="1506">
        <v>46162</v>
      </c>
      <c r="C160" s="136"/>
      <c r="D160" s="136"/>
      <c r="E160" s="135"/>
      <c r="F160" s="135"/>
      <c r="G160" s="147">
        <f t="shared" si="43"/>
        <v>0</v>
      </c>
      <c r="H160" s="144"/>
      <c r="I160" s="143"/>
      <c r="J160" s="143"/>
      <c r="K160" s="143"/>
      <c r="L160" s="143"/>
      <c r="M160" s="103">
        <f t="shared" si="44"/>
        <v>0</v>
      </c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03">
        <f t="shared" si="45"/>
        <v>0</v>
      </c>
      <c r="AA160" s="136"/>
      <c r="AB160" s="136"/>
      <c r="AC160" s="136"/>
      <c r="AD160" s="105">
        <f t="shared" si="46"/>
        <v>0</v>
      </c>
      <c r="AE160" s="143"/>
      <c r="AF160" s="143"/>
      <c r="AG160" s="146"/>
      <c r="AH160" s="266">
        <f t="shared" si="47"/>
        <v>0</v>
      </c>
      <c r="AI160" s="126"/>
      <c r="AJ160" s="274"/>
      <c r="AK160" s="274"/>
      <c r="AL160" s="126"/>
      <c r="AM160" s="126"/>
      <c r="AN160" s="126"/>
      <c r="AO160" s="126"/>
      <c r="AP160" s="274"/>
      <c r="AQ160" s="274"/>
      <c r="AR160" s="274"/>
      <c r="AS160" s="274"/>
      <c r="AT160" s="222">
        <f t="shared" si="48"/>
        <v>0</v>
      </c>
      <c r="AU160" s="140">
        <f t="shared" si="49"/>
        <v>0</v>
      </c>
      <c r="AV160" s="132"/>
      <c r="AW160" s="140">
        <f t="shared" si="50"/>
        <v>0</v>
      </c>
      <c r="AX160" s="141"/>
      <c r="AY160" s="141"/>
      <c r="AZ160" s="141"/>
      <c r="BA160" s="141"/>
      <c r="BB160" s="141"/>
      <c r="BC160" s="130">
        <f t="shared" si="51"/>
        <v>0</v>
      </c>
      <c r="BD160" s="132"/>
    </row>
    <row r="161" ht="14.25" customHeight="1">
      <c r="A161" s="132"/>
      <c r="B161" s="1506">
        <v>46163</v>
      </c>
      <c r="C161" s="136"/>
      <c r="D161" s="136"/>
      <c r="E161" s="135"/>
      <c r="F161" s="135"/>
      <c r="G161" s="147">
        <f t="shared" si="43"/>
        <v>0</v>
      </c>
      <c r="H161" s="144"/>
      <c r="I161" s="143"/>
      <c r="J161" s="143"/>
      <c r="K161" s="143"/>
      <c r="L161" s="143"/>
      <c r="M161" s="103">
        <f t="shared" si="44"/>
        <v>0</v>
      </c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03">
        <f t="shared" si="45"/>
        <v>0</v>
      </c>
      <c r="AA161" s="136"/>
      <c r="AB161" s="136"/>
      <c r="AC161" s="136"/>
      <c r="AD161" s="105">
        <f t="shared" si="46"/>
        <v>0</v>
      </c>
      <c r="AE161" s="143"/>
      <c r="AF161" s="143"/>
      <c r="AG161" s="146"/>
      <c r="AH161" s="266">
        <f t="shared" si="47"/>
        <v>0</v>
      </c>
      <c r="AI161" s="126"/>
      <c r="AJ161" s="274"/>
      <c r="AK161" s="274"/>
      <c r="AL161" s="126"/>
      <c r="AM161" s="126"/>
      <c r="AN161" s="126"/>
      <c r="AO161" s="126"/>
      <c r="AP161" s="274"/>
      <c r="AQ161" s="274"/>
      <c r="AR161" s="274"/>
      <c r="AS161" s="274"/>
      <c r="AT161" s="222">
        <f t="shared" si="48"/>
        <v>0</v>
      </c>
      <c r="AU161" s="140">
        <f t="shared" si="49"/>
        <v>0</v>
      </c>
      <c r="AV161" s="132"/>
      <c r="AW161" s="140">
        <f t="shared" si="50"/>
        <v>0</v>
      </c>
      <c r="AX161" s="141"/>
      <c r="AY161" s="141"/>
      <c r="AZ161" s="141"/>
      <c r="BA161" s="141"/>
      <c r="BB161" s="141"/>
      <c r="BC161" s="130">
        <f t="shared" si="51"/>
        <v>0</v>
      </c>
      <c r="BD161" s="132"/>
    </row>
    <row r="162" ht="14.25" customHeight="1">
      <c r="A162" s="132"/>
      <c r="B162" s="1506">
        <v>46164</v>
      </c>
      <c r="C162" s="136"/>
      <c r="D162" s="136"/>
      <c r="E162" s="135"/>
      <c r="F162" s="135"/>
      <c r="G162" s="147">
        <f t="shared" si="43"/>
        <v>0</v>
      </c>
      <c r="H162" s="144"/>
      <c r="I162" s="143"/>
      <c r="J162" s="143"/>
      <c r="K162" s="143"/>
      <c r="L162" s="143"/>
      <c r="M162" s="103">
        <f t="shared" si="44"/>
        <v>0</v>
      </c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03">
        <f t="shared" si="45"/>
        <v>0</v>
      </c>
      <c r="AA162" s="136"/>
      <c r="AB162" s="136"/>
      <c r="AC162" s="136"/>
      <c r="AD162" s="105">
        <f t="shared" si="46"/>
        <v>0</v>
      </c>
      <c r="AE162" s="143"/>
      <c r="AF162" s="143"/>
      <c r="AG162" s="146"/>
      <c r="AH162" s="266">
        <f t="shared" si="47"/>
        <v>0</v>
      </c>
      <c r="AI162" s="126"/>
      <c r="AJ162" s="274"/>
      <c r="AK162" s="274"/>
      <c r="AL162" s="126"/>
      <c r="AM162" s="126"/>
      <c r="AN162" s="126"/>
      <c r="AO162" s="126"/>
      <c r="AP162" s="274"/>
      <c r="AQ162" s="274"/>
      <c r="AR162" s="274"/>
      <c r="AS162" s="274"/>
      <c r="AT162" s="222">
        <f t="shared" si="48"/>
        <v>0</v>
      </c>
      <c r="AU162" s="140">
        <f t="shared" si="49"/>
        <v>0</v>
      </c>
      <c r="AV162" s="132"/>
      <c r="AW162" s="140">
        <f t="shared" si="50"/>
        <v>0</v>
      </c>
      <c r="AX162" s="141"/>
      <c r="AY162" s="141"/>
      <c r="AZ162" s="141"/>
      <c r="BA162" s="141"/>
      <c r="BB162" s="141"/>
      <c r="BC162" s="130">
        <f t="shared" si="51"/>
        <v>0</v>
      </c>
      <c r="BD162" s="132"/>
    </row>
    <row r="163" ht="14.25" customHeight="1">
      <c r="A163" s="132"/>
      <c r="B163" s="1506">
        <v>46165</v>
      </c>
      <c r="C163" s="136"/>
      <c r="D163" s="136"/>
      <c r="E163" s="135"/>
      <c r="F163" s="135"/>
      <c r="G163" s="147">
        <f t="shared" si="43"/>
        <v>0</v>
      </c>
      <c r="H163" s="144"/>
      <c r="I163" s="143"/>
      <c r="J163" s="143"/>
      <c r="K163" s="143"/>
      <c r="L163" s="143"/>
      <c r="M163" s="103">
        <f t="shared" si="44"/>
        <v>0</v>
      </c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03">
        <f t="shared" si="45"/>
        <v>0</v>
      </c>
      <c r="AA163" s="136"/>
      <c r="AB163" s="136"/>
      <c r="AC163" s="136"/>
      <c r="AD163" s="105">
        <f t="shared" si="46"/>
        <v>0</v>
      </c>
      <c r="AE163" s="143"/>
      <c r="AF163" s="143"/>
      <c r="AG163" s="146"/>
      <c r="AH163" s="266">
        <f t="shared" si="47"/>
        <v>0</v>
      </c>
      <c r="AI163" s="126"/>
      <c r="AJ163" s="274"/>
      <c r="AK163" s="274"/>
      <c r="AL163" s="126"/>
      <c r="AM163" s="126"/>
      <c r="AN163" s="126"/>
      <c r="AO163" s="126"/>
      <c r="AP163" s="274"/>
      <c r="AQ163" s="274"/>
      <c r="AR163" s="274"/>
      <c r="AS163" s="274"/>
      <c r="AT163" s="222">
        <f t="shared" si="48"/>
        <v>0</v>
      </c>
      <c r="AU163" s="140">
        <f t="shared" si="49"/>
        <v>0</v>
      </c>
      <c r="AV163" s="132"/>
      <c r="AW163" s="140">
        <f t="shared" si="50"/>
        <v>0</v>
      </c>
      <c r="AX163" s="141"/>
      <c r="AY163" s="141"/>
      <c r="AZ163" s="141"/>
      <c r="BA163" s="141"/>
      <c r="BB163" s="141"/>
      <c r="BC163" s="130">
        <f t="shared" si="51"/>
        <v>0</v>
      </c>
      <c r="BD163" s="132"/>
    </row>
    <row r="164" ht="14.25" customHeight="1">
      <c r="A164" s="132"/>
      <c r="B164" s="1506">
        <v>46166</v>
      </c>
      <c r="C164" s="136"/>
      <c r="D164" s="136"/>
      <c r="E164" s="135"/>
      <c r="F164" s="135"/>
      <c r="G164" s="147">
        <f t="shared" si="43"/>
        <v>0</v>
      </c>
      <c r="H164" s="144"/>
      <c r="I164" s="143"/>
      <c r="J164" s="143"/>
      <c r="K164" s="143"/>
      <c r="L164" s="143"/>
      <c r="M164" s="103">
        <f t="shared" si="44"/>
        <v>0</v>
      </c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03">
        <f t="shared" si="45"/>
        <v>0</v>
      </c>
      <c r="AA164" s="136"/>
      <c r="AB164" s="136"/>
      <c r="AC164" s="136"/>
      <c r="AD164" s="105">
        <f t="shared" si="46"/>
        <v>0</v>
      </c>
      <c r="AE164" s="143"/>
      <c r="AF164" s="143"/>
      <c r="AG164" s="146"/>
      <c r="AH164" s="266">
        <f t="shared" si="47"/>
        <v>0</v>
      </c>
      <c r="AI164" s="126"/>
      <c r="AJ164" s="274"/>
      <c r="AK164" s="274"/>
      <c r="AL164" s="126"/>
      <c r="AM164" s="126"/>
      <c r="AN164" s="126"/>
      <c r="AO164" s="126"/>
      <c r="AP164" s="274"/>
      <c r="AQ164" s="274"/>
      <c r="AR164" s="274"/>
      <c r="AS164" s="274"/>
      <c r="AT164" s="222">
        <f t="shared" si="48"/>
        <v>0</v>
      </c>
      <c r="AU164" s="140">
        <f t="shared" si="49"/>
        <v>0</v>
      </c>
      <c r="AV164" s="132"/>
      <c r="AW164" s="140">
        <f t="shared" si="50"/>
        <v>0</v>
      </c>
      <c r="AX164" s="141"/>
      <c r="AY164" s="141"/>
      <c r="AZ164" s="141"/>
      <c r="BA164" s="141"/>
      <c r="BB164" s="141"/>
      <c r="BC164" s="130">
        <f t="shared" si="51"/>
        <v>0</v>
      </c>
      <c r="BD164" s="132"/>
    </row>
    <row r="165" ht="14.25" customHeight="1">
      <c r="A165" s="132"/>
      <c r="B165" s="1506">
        <v>46167</v>
      </c>
      <c r="C165" s="136"/>
      <c r="D165" s="136"/>
      <c r="E165" s="135"/>
      <c r="F165" s="135"/>
      <c r="G165" s="147">
        <f t="shared" si="43"/>
        <v>0</v>
      </c>
      <c r="H165" s="144"/>
      <c r="I165" s="143"/>
      <c r="J165" s="143"/>
      <c r="K165" s="143"/>
      <c r="L165" s="143"/>
      <c r="M165" s="103">
        <f t="shared" si="44"/>
        <v>0</v>
      </c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03">
        <f t="shared" si="45"/>
        <v>0</v>
      </c>
      <c r="AA165" s="136"/>
      <c r="AB165" s="136"/>
      <c r="AC165" s="136"/>
      <c r="AD165" s="105">
        <f t="shared" si="46"/>
        <v>0</v>
      </c>
      <c r="AE165" s="143"/>
      <c r="AF165" s="143"/>
      <c r="AG165" s="146"/>
      <c r="AH165" s="266">
        <f t="shared" si="47"/>
        <v>0</v>
      </c>
      <c r="AI165" s="126"/>
      <c r="AJ165" s="274"/>
      <c r="AK165" s="274"/>
      <c r="AL165" s="126"/>
      <c r="AM165" s="126"/>
      <c r="AN165" s="126"/>
      <c r="AO165" s="126"/>
      <c r="AP165" s="274"/>
      <c r="AQ165" s="274"/>
      <c r="AR165" s="274"/>
      <c r="AS165" s="274"/>
      <c r="AT165" s="222">
        <f t="shared" si="48"/>
        <v>0</v>
      </c>
      <c r="AU165" s="140">
        <f t="shared" si="49"/>
        <v>0</v>
      </c>
      <c r="AV165" s="132"/>
      <c r="AW165" s="140">
        <f t="shared" si="50"/>
        <v>0</v>
      </c>
      <c r="AX165" s="141"/>
      <c r="AY165" s="141"/>
      <c r="AZ165" s="141"/>
      <c r="BA165" s="141"/>
      <c r="BB165" s="141"/>
      <c r="BC165" s="130">
        <f t="shared" si="51"/>
        <v>0</v>
      </c>
      <c r="BD165" s="132"/>
    </row>
    <row r="166" ht="14.25" customHeight="1">
      <c r="A166" s="132"/>
      <c r="B166" s="1506">
        <v>46168</v>
      </c>
      <c r="C166" s="136"/>
      <c r="D166" s="136"/>
      <c r="E166" s="135"/>
      <c r="F166" s="135"/>
      <c r="G166" s="147">
        <f t="shared" si="43"/>
        <v>0</v>
      </c>
      <c r="H166" s="144"/>
      <c r="I166" s="143"/>
      <c r="J166" s="143"/>
      <c r="K166" s="143"/>
      <c r="L166" s="143"/>
      <c r="M166" s="103">
        <f t="shared" si="44"/>
        <v>0</v>
      </c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03">
        <f t="shared" si="45"/>
        <v>0</v>
      </c>
      <c r="AA166" s="136"/>
      <c r="AB166" s="136"/>
      <c r="AC166" s="136"/>
      <c r="AD166" s="105">
        <f t="shared" si="46"/>
        <v>0</v>
      </c>
      <c r="AE166" s="143"/>
      <c r="AF166" s="143"/>
      <c r="AG166" s="146"/>
      <c r="AH166" s="266">
        <f t="shared" si="47"/>
        <v>0</v>
      </c>
      <c r="AI166" s="126"/>
      <c r="AJ166" s="274"/>
      <c r="AK166" s="274"/>
      <c r="AL166" s="126"/>
      <c r="AM166" s="126"/>
      <c r="AN166" s="126"/>
      <c r="AO166" s="126"/>
      <c r="AP166" s="274"/>
      <c r="AQ166" s="274"/>
      <c r="AR166" s="274"/>
      <c r="AS166" s="274"/>
      <c r="AT166" s="222">
        <f t="shared" si="48"/>
        <v>0</v>
      </c>
      <c r="AU166" s="140">
        <f t="shared" si="49"/>
        <v>0</v>
      </c>
      <c r="AV166" s="132"/>
      <c r="AW166" s="140">
        <f t="shared" si="50"/>
        <v>0</v>
      </c>
      <c r="AX166" s="141"/>
      <c r="AY166" s="141"/>
      <c r="AZ166" s="141"/>
      <c r="BA166" s="141"/>
      <c r="BB166" s="141"/>
      <c r="BC166" s="130">
        <f t="shared" si="51"/>
        <v>0</v>
      </c>
      <c r="BD166" s="132"/>
    </row>
    <row r="167" ht="14.25" customHeight="1">
      <c r="A167" s="3"/>
      <c r="B167" s="1506">
        <v>46169</v>
      </c>
      <c r="C167" s="123"/>
      <c r="D167" s="123"/>
      <c r="E167" s="120"/>
      <c r="F167" s="120"/>
      <c r="G167" s="147">
        <f t="shared" si="43"/>
        <v>0</v>
      </c>
      <c r="H167" s="144"/>
      <c r="I167" s="143"/>
      <c r="J167" s="143"/>
      <c r="K167" s="143"/>
      <c r="L167" s="143"/>
      <c r="M167" s="103">
        <f t="shared" si="44"/>
        <v>0</v>
      </c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03">
        <f t="shared" si="45"/>
        <v>0</v>
      </c>
      <c r="AA167" s="123"/>
      <c r="AB167" s="123"/>
      <c r="AC167" s="123"/>
      <c r="AD167" s="105">
        <f t="shared" si="46"/>
        <v>0</v>
      </c>
      <c r="AE167" s="143"/>
      <c r="AF167" s="143"/>
      <c r="AG167" s="146"/>
      <c r="AH167" s="266">
        <f t="shared" si="47"/>
        <v>0</v>
      </c>
      <c r="AI167" s="126"/>
      <c r="AJ167" s="274"/>
      <c r="AK167" s="274"/>
      <c r="AL167" s="126"/>
      <c r="AM167" s="126"/>
      <c r="AN167" s="126"/>
      <c r="AO167" s="126"/>
      <c r="AP167" s="274"/>
      <c r="AQ167" s="274"/>
      <c r="AR167" s="274"/>
      <c r="AS167" s="274"/>
      <c r="AT167" s="222">
        <f t="shared" si="48"/>
        <v>0</v>
      </c>
      <c r="AU167" s="113">
        <f t="shared" si="49"/>
        <v>0</v>
      </c>
      <c r="AV167" s="3"/>
      <c r="AW167" s="113">
        <f t="shared" si="50"/>
        <v>0</v>
      </c>
      <c r="AX167" s="129"/>
      <c r="AY167" s="129"/>
      <c r="AZ167" s="129"/>
      <c r="BA167" s="129"/>
      <c r="BB167" s="129"/>
      <c r="BC167" s="130">
        <f t="shared" si="51"/>
        <v>0</v>
      </c>
      <c r="BD167" s="3"/>
    </row>
    <row r="168" ht="14.25" customHeight="1">
      <c r="A168" s="3"/>
      <c r="B168" s="1506">
        <v>46170</v>
      </c>
      <c r="C168" s="123"/>
      <c r="D168" s="123"/>
      <c r="E168" s="120"/>
      <c r="F168" s="120"/>
      <c r="G168" s="147">
        <f t="shared" si="43"/>
        <v>0</v>
      </c>
      <c r="H168" s="144"/>
      <c r="I168" s="143"/>
      <c r="J168" s="143"/>
      <c r="K168" s="143"/>
      <c r="L168" s="143"/>
      <c r="M168" s="103">
        <f t="shared" si="44"/>
        <v>0</v>
      </c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03">
        <f t="shared" si="45"/>
        <v>0</v>
      </c>
      <c r="AA168" s="123"/>
      <c r="AB168" s="123"/>
      <c r="AC168" s="123"/>
      <c r="AD168" s="105">
        <f t="shared" si="46"/>
        <v>0</v>
      </c>
      <c r="AE168" s="143"/>
      <c r="AF168" s="143"/>
      <c r="AG168" s="146"/>
      <c r="AH168" s="266">
        <f t="shared" si="47"/>
        <v>0</v>
      </c>
      <c r="AI168" s="126"/>
      <c r="AJ168" s="274"/>
      <c r="AK168" s="274"/>
      <c r="AL168" s="126"/>
      <c r="AM168" s="126"/>
      <c r="AN168" s="126"/>
      <c r="AO168" s="126"/>
      <c r="AP168" s="274"/>
      <c r="AQ168" s="274"/>
      <c r="AR168" s="274"/>
      <c r="AS168" s="274"/>
      <c r="AT168" s="222">
        <f t="shared" si="48"/>
        <v>0</v>
      </c>
      <c r="AU168" s="113">
        <f t="shared" si="49"/>
        <v>0</v>
      </c>
      <c r="AV168" s="3"/>
      <c r="AW168" s="113">
        <f t="shared" si="50"/>
        <v>0</v>
      </c>
      <c r="AX168" s="129"/>
      <c r="AY168" s="129"/>
      <c r="AZ168" s="129"/>
      <c r="BA168" s="129"/>
      <c r="BB168" s="129"/>
      <c r="BC168" s="130">
        <f t="shared" si="51"/>
        <v>0</v>
      </c>
      <c r="BD168" s="3"/>
    </row>
    <row r="169" ht="14.25" customHeight="1">
      <c r="A169" s="3"/>
      <c r="B169" s="1506">
        <v>46171</v>
      </c>
      <c r="C169" s="123"/>
      <c r="D169" s="123"/>
      <c r="E169" s="120"/>
      <c r="F169" s="120"/>
      <c r="G169" s="147">
        <f t="shared" si="43"/>
        <v>0</v>
      </c>
      <c r="H169" s="144"/>
      <c r="I169" s="143"/>
      <c r="J169" s="143"/>
      <c r="K169" s="143"/>
      <c r="L169" s="143"/>
      <c r="M169" s="103">
        <f t="shared" si="44"/>
        <v>0</v>
      </c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03">
        <f t="shared" si="45"/>
        <v>0</v>
      </c>
      <c r="AA169" s="123"/>
      <c r="AB169" s="123"/>
      <c r="AC169" s="123"/>
      <c r="AD169" s="105">
        <f t="shared" si="46"/>
        <v>0</v>
      </c>
      <c r="AE169" s="143"/>
      <c r="AF169" s="143"/>
      <c r="AG169" s="146"/>
      <c r="AH169" s="266">
        <f t="shared" si="47"/>
        <v>0</v>
      </c>
      <c r="AI169" s="126"/>
      <c r="AJ169" s="274"/>
      <c r="AK169" s="274"/>
      <c r="AL169" s="126"/>
      <c r="AM169" s="126"/>
      <c r="AN169" s="126"/>
      <c r="AO169" s="126"/>
      <c r="AP169" s="274"/>
      <c r="AQ169" s="274"/>
      <c r="AR169" s="274"/>
      <c r="AS169" s="274"/>
      <c r="AT169" s="222">
        <f t="shared" si="48"/>
        <v>0</v>
      </c>
      <c r="AU169" s="113">
        <f t="shared" si="49"/>
        <v>0</v>
      </c>
      <c r="AV169" s="3"/>
      <c r="AW169" s="113">
        <f t="shared" si="50"/>
        <v>0</v>
      </c>
      <c r="AX169" s="129"/>
      <c r="AY169" s="129"/>
      <c r="AZ169" s="129"/>
      <c r="BA169" s="129"/>
      <c r="BB169" s="129"/>
      <c r="BC169" s="130">
        <f t="shared" si="51"/>
        <v>0</v>
      </c>
      <c r="BD169" s="3"/>
    </row>
    <row r="170" ht="14.25" customHeight="1">
      <c r="A170" s="132"/>
      <c r="B170" s="1506">
        <v>46172</v>
      </c>
      <c r="C170" s="136"/>
      <c r="D170" s="136"/>
      <c r="E170" s="135"/>
      <c r="F170" s="135"/>
      <c r="G170" s="147">
        <f t="shared" si="43"/>
        <v>0</v>
      </c>
      <c r="H170" s="144"/>
      <c r="I170" s="143"/>
      <c r="J170" s="143"/>
      <c r="K170" s="143"/>
      <c r="L170" s="143"/>
      <c r="M170" s="103">
        <f t="shared" si="44"/>
        <v>0</v>
      </c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03">
        <f t="shared" si="45"/>
        <v>0</v>
      </c>
      <c r="AA170" s="136"/>
      <c r="AB170" s="136"/>
      <c r="AC170" s="136"/>
      <c r="AD170" s="105">
        <f t="shared" si="46"/>
        <v>0</v>
      </c>
      <c r="AE170" s="143"/>
      <c r="AF170" s="143"/>
      <c r="AG170" s="146"/>
      <c r="AH170" s="266">
        <f t="shared" si="47"/>
        <v>0</v>
      </c>
      <c r="AI170" s="126"/>
      <c r="AJ170" s="274"/>
      <c r="AK170" s="274"/>
      <c r="AL170" s="126"/>
      <c r="AM170" s="126"/>
      <c r="AN170" s="126"/>
      <c r="AO170" s="126"/>
      <c r="AP170" s="274"/>
      <c r="AQ170" s="274"/>
      <c r="AR170" s="274"/>
      <c r="AS170" s="274"/>
      <c r="AT170" s="222">
        <f t="shared" si="48"/>
        <v>0</v>
      </c>
      <c r="AU170" s="140">
        <f t="shared" si="49"/>
        <v>0</v>
      </c>
      <c r="AV170" s="132"/>
      <c r="AW170" s="140">
        <f t="shared" si="50"/>
        <v>0</v>
      </c>
      <c r="AX170" s="141"/>
      <c r="AY170" s="141"/>
      <c r="AZ170" s="141"/>
      <c r="BA170" s="141"/>
      <c r="BB170" s="141"/>
      <c r="BC170" s="130">
        <f t="shared" si="51"/>
        <v>0</v>
      </c>
      <c r="BD170" s="132"/>
    </row>
    <row r="171" ht="14.25" customHeight="1">
      <c r="A171" s="132"/>
      <c r="B171" s="1506">
        <v>46173</v>
      </c>
      <c r="C171" s="159"/>
      <c r="D171" s="159"/>
      <c r="E171" s="156"/>
      <c r="F171" s="156"/>
      <c r="G171" s="147">
        <f t="shared" si="43"/>
        <v>0</v>
      </c>
      <c r="H171" s="612"/>
      <c r="I171" s="157"/>
      <c r="J171" s="157"/>
      <c r="K171" s="157"/>
      <c r="L171" s="157"/>
      <c r="M171" s="103">
        <f t="shared" si="44"/>
        <v>0</v>
      </c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03">
        <f t="shared" si="45"/>
        <v>0</v>
      </c>
      <c r="AA171" s="159"/>
      <c r="AB171" s="159"/>
      <c r="AC171" s="159"/>
      <c r="AD171" s="105">
        <f t="shared" si="46"/>
        <v>0</v>
      </c>
      <c r="AE171" s="157"/>
      <c r="AF171" s="157"/>
      <c r="AG171" s="160"/>
      <c r="AH171" s="266">
        <f t="shared" si="47"/>
        <v>0</v>
      </c>
      <c r="AI171" s="138"/>
      <c r="AJ171" s="296"/>
      <c r="AK171" s="296"/>
      <c r="AL171" s="138"/>
      <c r="AM171" s="126"/>
      <c r="AN171" s="126"/>
      <c r="AO171" s="138"/>
      <c r="AP171" s="296"/>
      <c r="AQ171" s="296"/>
      <c r="AR171" s="296"/>
      <c r="AS171" s="296"/>
      <c r="AT171" s="222">
        <f t="shared" si="48"/>
        <v>0</v>
      </c>
      <c r="AU171" s="162">
        <f t="shared" si="49"/>
        <v>0</v>
      </c>
      <c r="AV171" s="132"/>
      <c r="AW171" s="162">
        <f t="shared" si="50"/>
        <v>0</v>
      </c>
      <c r="AX171" s="163"/>
      <c r="AY171" s="163"/>
      <c r="AZ171" s="141"/>
      <c r="BA171" s="163"/>
      <c r="BB171" s="163"/>
      <c r="BC171" s="164">
        <f t="shared" si="51"/>
        <v>0</v>
      </c>
      <c r="BD171" s="132"/>
    </row>
    <row r="172" ht="14.25" customHeight="1">
      <c r="A172" s="3"/>
      <c r="B172" s="1524" t="s">
        <v>261</v>
      </c>
      <c r="C172" s="166">
        <f ref="C172:AU172" t="shared" si="52">SUM(C141:C171)</f>
        <v>0</v>
      </c>
      <c r="D172" s="166">
        <f t="shared" si="52"/>
        <v>0</v>
      </c>
      <c r="E172" s="166">
        <f t="shared" si="52"/>
        <v>0</v>
      </c>
      <c r="F172" s="166">
        <f t="shared" si="52"/>
        <v>0</v>
      </c>
      <c r="G172" s="166">
        <f t="shared" si="52"/>
        <v>0</v>
      </c>
      <c r="H172" s="166">
        <f t="shared" si="52"/>
        <v>0</v>
      </c>
      <c r="I172" s="166">
        <f t="shared" si="52"/>
        <v>0</v>
      </c>
      <c r="J172" s="166">
        <f t="shared" si="52"/>
        <v>0</v>
      </c>
      <c r="K172" s="166">
        <f t="shared" si="52"/>
        <v>0</v>
      </c>
      <c r="L172" s="166">
        <f t="shared" si="52"/>
        <v>0</v>
      </c>
      <c r="M172" s="166">
        <f t="shared" si="52"/>
        <v>0</v>
      </c>
      <c r="N172" s="166">
        <f t="shared" si="52"/>
        <v>0</v>
      </c>
      <c r="O172" s="166">
        <f t="shared" si="52"/>
        <v>0</v>
      </c>
      <c r="P172" s="166">
        <f t="shared" si="52"/>
        <v>0</v>
      </c>
      <c r="Q172" s="166">
        <f t="shared" si="52"/>
        <v>0</v>
      </c>
      <c r="R172" s="166">
        <f t="shared" si="52"/>
        <v>0</v>
      </c>
      <c r="S172" s="166">
        <f t="shared" si="52"/>
        <v>0</v>
      </c>
      <c r="T172" s="166">
        <f t="shared" si="52"/>
        <v>0</v>
      </c>
      <c r="U172" s="166">
        <f t="shared" si="52"/>
        <v>0</v>
      </c>
      <c r="V172" s="166">
        <f t="shared" si="52"/>
        <v>0</v>
      </c>
      <c r="W172" s="166">
        <f t="shared" si="52"/>
        <v>0</v>
      </c>
      <c r="X172" s="166">
        <f t="shared" si="52"/>
        <v>0</v>
      </c>
      <c r="Y172" s="166">
        <f t="shared" si="52"/>
        <v>0</v>
      </c>
      <c r="Z172" s="166">
        <f t="shared" si="52"/>
        <v>0</v>
      </c>
      <c r="AA172" s="166">
        <f t="shared" si="52"/>
        <v>0</v>
      </c>
      <c r="AB172" s="166">
        <f t="shared" si="52"/>
        <v>0</v>
      </c>
      <c r="AC172" s="166">
        <f t="shared" si="52"/>
        <v>0</v>
      </c>
      <c r="AD172" s="166">
        <f t="shared" si="52"/>
        <v>0</v>
      </c>
      <c r="AE172" s="166">
        <f t="shared" si="52"/>
        <v>0</v>
      </c>
      <c r="AF172" s="166">
        <f t="shared" si="52"/>
        <v>0</v>
      </c>
      <c r="AG172" s="166">
        <f t="shared" si="52"/>
        <v>0</v>
      </c>
      <c r="AH172" s="166">
        <f t="shared" si="52"/>
        <v>0</v>
      </c>
      <c r="AI172" s="165">
        <f t="shared" si="52"/>
        <v>0</v>
      </c>
      <c r="AJ172" s="166">
        <f t="shared" si="52"/>
        <v>0</v>
      </c>
      <c r="AK172" s="166">
        <f t="shared" si="52"/>
        <v>0</v>
      </c>
      <c r="AL172" s="166">
        <f t="shared" si="52"/>
        <v>0</v>
      </c>
      <c r="AM172" s="166">
        <f t="shared" si="52"/>
        <v>0</v>
      </c>
      <c r="AN172" s="166">
        <f t="shared" si="52"/>
        <v>0</v>
      </c>
      <c r="AO172" s="166">
        <f t="shared" si="52"/>
        <v>0</v>
      </c>
      <c r="AP172" s="166">
        <f t="shared" si="52"/>
        <v>0</v>
      </c>
      <c r="AQ172" s="166">
        <f t="shared" si="52"/>
        <v>0</v>
      </c>
      <c r="AR172" s="166">
        <f t="shared" si="52"/>
        <v>0</v>
      </c>
      <c r="AS172" s="166">
        <f t="shared" si="52"/>
        <v>0</v>
      </c>
      <c r="AT172" s="166">
        <f t="shared" si="52"/>
        <v>0</v>
      </c>
      <c r="AU172" s="166">
        <f t="shared" si="52"/>
        <v>0</v>
      </c>
      <c r="AV172" s="235"/>
      <c r="AW172" s="166">
        <f>SUM(AW141:AW171)</f>
        <v>0</v>
      </c>
      <c r="AX172" s="166"/>
      <c r="AY172" s="166"/>
      <c r="AZ172" s="166">
        <f ref="AZ172:BC172" t="shared" si="53">SUM(AZ141:AZ171)</f>
        <v>0</v>
      </c>
      <c r="BA172" s="166">
        <f t="shared" si="53"/>
        <v>0</v>
      </c>
      <c r="BB172" s="166">
        <f t="shared" si="53"/>
        <v>0</v>
      </c>
      <c r="BC172" s="166">
        <f t="shared" si="53"/>
        <v>0</v>
      </c>
      <c r="BD172" s="3"/>
    </row>
    <row r="173" ht="14.25" customHeight="1">
      <c r="A173" s="1"/>
      <c r="B173" s="1495"/>
      <c r="C173" s="3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4"/>
      <c r="AE173" s="3"/>
      <c r="AF173" s="3"/>
      <c r="AG173" s="3"/>
      <c r="AH173" s="4"/>
      <c r="AI173" s="856"/>
      <c r="AJ173" s="856"/>
      <c r="AK173" s="856"/>
      <c r="AL173" s="3"/>
      <c r="AM173" s="3"/>
      <c r="AN173" s="3"/>
      <c r="AO173" s="132"/>
      <c r="AP173" s="132"/>
      <c r="AQ173" s="132"/>
      <c r="AR173" s="132"/>
      <c r="AS173" s="132"/>
      <c r="AT173" s="4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ht="14.25" customHeight="1">
      <c r="A174" s="1"/>
      <c r="B174" s="1495"/>
      <c r="C174" s="3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176"/>
      <c r="AA174" s="3"/>
      <c r="AB174" s="3"/>
      <c r="AC174" s="3"/>
      <c r="AD174" s="4"/>
      <c r="AE174" s="3"/>
      <c r="AF174" s="3"/>
      <c r="AG174" s="3"/>
      <c r="AH174" s="177"/>
      <c r="AI174" s="1525"/>
      <c r="AJ174" s="1526"/>
      <c r="AK174" s="1526"/>
      <c r="AL174" s="177"/>
      <c r="AM174" s="177"/>
      <c r="AN174" s="177"/>
      <c r="AO174" s="177"/>
      <c r="AP174" s="177"/>
      <c r="AQ174" s="177"/>
      <c r="AR174" s="177"/>
      <c r="AS174" s="132"/>
      <c r="AT174" s="177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ht="14.25" customHeight="1">
      <c r="A175" s="3"/>
      <c r="B175" s="1506">
        <v>46174</v>
      </c>
      <c r="C175" s="104"/>
      <c r="D175" s="104"/>
      <c r="E175" s="97"/>
      <c r="F175" s="97"/>
      <c r="G175" s="265">
        <f ref="G175:G190" t="shared" si="54">+C175+D175+E175+F175</f>
        <v>0</v>
      </c>
      <c r="H175" s="187"/>
      <c r="I175" s="186"/>
      <c r="J175" s="186"/>
      <c r="K175" s="186"/>
      <c r="L175" s="186"/>
      <c r="M175" s="103">
        <f ref="M175:M204" t="shared" si="55">SUM(H175:L175)</f>
        <v>0</v>
      </c>
      <c r="N175" s="186"/>
      <c r="O175" s="186"/>
      <c r="P175" s="186"/>
      <c r="Q175" s="186"/>
      <c r="R175" s="186"/>
      <c r="S175" s="186"/>
      <c r="T175" s="186"/>
      <c r="U175" s="186"/>
      <c r="V175" s="186"/>
      <c r="W175" s="186"/>
      <c r="X175" s="186"/>
      <c r="Y175" s="186"/>
      <c r="Z175" s="103">
        <f ref="Z175:Z204" t="shared" si="56">SUM(N175:Y175)</f>
        <v>0</v>
      </c>
      <c r="AA175" s="104"/>
      <c r="AB175" s="104"/>
      <c r="AC175" s="104"/>
      <c r="AD175" s="191">
        <f ref="AD175:AD204" t="shared" si="57">SUM(AA175:AC175)</f>
        <v>0</v>
      </c>
      <c r="AE175" s="186"/>
      <c r="AF175" s="186"/>
      <c r="AG175" s="193"/>
      <c r="AH175" s="224">
        <f ref="AH175:AH204" t="shared" si="58">+G175-M175-Z175-AD175-AE175-AF175-AG175</f>
        <v>0</v>
      </c>
      <c r="AI175" s="109"/>
      <c r="AJ175" s="269"/>
      <c r="AK175" s="269"/>
      <c r="AL175" s="109"/>
      <c r="AM175" s="126"/>
      <c r="AN175" s="126"/>
      <c r="AO175" s="109"/>
      <c r="AP175" s="269"/>
      <c r="AQ175" s="269"/>
      <c r="AR175" s="269"/>
      <c r="AS175" s="269"/>
      <c r="AT175" s="222">
        <f ref="AT175:AT204" t="shared" si="59">SUM(AI175:AS175)-AR175</f>
        <v>0</v>
      </c>
      <c r="AU175" s="114">
        <f ref="AU175:AU204" t="shared" si="60">+AH175-AT175</f>
        <v>0</v>
      </c>
      <c r="AV175" s="3"/>
      <c r="AW175" s="114">
        <f ref="AW175:AW204" t="shared" si="61">SUM(AX175:BB175)</f>
        <v>0</v>
      </c>
      <c r="AX175" s="115"/>
      <c r="AY175" s="115"/>
      <c r="AZ175" s="115"/>
      <c r="BA175" s="115"/>
      <c r="BB175" s="115"/>
      <c r="BC175" s="116">
        <f ref="BC175:BC204" t="shared" si="62">+AU175-AW175</f>
        <v>0</v>
      </c>
      <c r="BD175" s="3"/>
    </row>
    <row r="176" ht="14.25" customHeight="1">
      <c r="A176" s="3"/>
      <c r="B176" s="1506">
        <v>46175</v>
      </c>
      <c r="C176" s="123"/>
      <c r="D176" s="123"/>
      <c r="E176" s="120"/>
      <c r="F176" s="120"/>
      <c r="G176" s="147">
        <f t="shared" si="54"/>
        <v>0</v>
      </c>
      <c r="H176" s="144"/>
      <c r="I176" s="143"/>
      <c r="J176" s="143"/>
      <c r="K176" s="143"/>
      <c r="L176" s="143"/>
      <c r="M176" s="103">
        <f t="shared" si="55"/>
        <v>0</v>
      </c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03">
        <f t="shared" si="56"/>
        <v>0</v>
      </c>
      <c r="AA176" s="123"/>
      <c r="AB176" s="123"/>
      <c r="AC176" s="123"/>
      <c r="AD176" s="105">
        <f t="shared" si="57"/>
        <v>0</v>
      </c>
      <c r="AE176" s="143"/>
      <c r="AF176" s="143"/>
      <c r="AG176" s="146"/>
      <c r="AH176" s="224">
        <f t="shared" si="58"/>
        <v>0</v>
      </c>
      <c r="AI176" s="126"/>
      <c r="AJ176" s="274"/>
      <c r="AK176" s="274"/>
      <c r="AL176" s="126"/>
      <c r="AM176" s="126"/>
      <c r="AN176" s="126"/>
      <c r="AO176" s="126"/>
      <c r="AP176" s="274"/>
      <c r="AQ176" s="274"/>
      <c r="AR176" s="274"/>
      <c r="AS176" s="274"/>
      <c r="AT176" s="222">
        <f t="shared" si="59"/>
        <v>0</v>
      </c>
      <c r="AU176" s="113">
        <f t="shared" si="60"/>
        <v>0</v>
      </c>
      <c r="AV176" s="3"/>
      <c r="AW176" s="113">
        <f t="shared" si="61"/>
        <v>0</v>
      </c>
      <c r="AX176" s="129"/>
      <c r="AY176" s="129"/>
      <c r="AZ176" s="129"/>
      <c r="BA176" s="129"/>
      <c r="BB176" s="129"/>
      <c r="BC176" s="130">
        <f t="shared" si="62"/>
        <v>0</v>
      </c>
      <c r="BD176" s="3"/>
    </row>
    <row r="177" ht="14.25" customHeight="1">
      <c r="A177" s="3"/>
      <c r="B177" s="1506">
        <v>46176</v>
      </c>
      <c r="C177" s="123"/>
      <c r="D177" s="123"/>
      <c r="E177" s="120"/>
      <c r="F177" s="120"/>
      <c r="G177" s="147">
        <f t="shared" si="54"/>
        <v>0</v>
      </c>
      <c r="H177" s="144"/>
      <c r="I177" s="143"/>
      <c r="J177" s="143"/>
      <c r="K177" s="143"/>
      <c r="L177" s="143"/>
      <c r="M177" s="103">
        <f t="shared" si="55"/>
        <v>0</v>
      </c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03">
        <f t="shared" si="56"/>
        <v>0</v>
      </c>
      <c r="AA177" s="123"/>
      <c r="AB177" s="123"/>
      <c r="AC177" s="123"/>
      <c r="AD177" s="105">
        <f t="shared" si="57"/>
        <v>0</v>
      </c>
      <c r="AE177" s="143"/>
      <c r="AF177" s="143"/>
      <c r="AG177" s="146"/>
      <c r="AH177" s="224">
        <f t="shared" si="58"/>
        <v>0</v>
      </c>
      <c r="AI177" s="126"/>
      <c r="AJ177" s="274"/>
      <c r="AK177" s="274"/>
      <c r="AL177" s="126"/>
      <c r="AM177" s="126"/>
      <c r="AN177" s="126"/>
      <c r="AO177" s="126"/>
      <c r="AP177" s="274"/>
      <c r="AQ177" s="274"/>
      <c r="AR177" s="274"/>
      <c r="AS177" s="274"/>
      <c r="AT177" s="222">
        <f t="shared" si="59"/>
        <v>0</v>
      </c>
      <c r="AU177" s="113">
        <f t="shared" si="60"/>
        <v>0</v>
      </c>
      <c r="AV177" s="3"/>
      <c r="AW177" s="113">
        <f t="shared" si="61"/>
        <v>0</v>
      </c>
      <c r="AX177" s="129"/>
      <c r="AY177" s="129"/>
      <c r="AZ177" s="129"/>
      <c r="BA177" s="129"/>
      <c r="BB177" s="129"/>
      <c r="BC177" s="130">
        <f t="shared" si="62"/>
        <v>0</v>
      </c>
      <c r="BD177" s="3"/>
    </row>
    <row r="178" ht="14.25" customHeight="1">
      <c r="A178" s="3"/>
      <c r="B178" s="1506">
        <v>46177</v>
      </c>
      <c r="C178" s="123"/>
      <c r="D178" s="123"/>
      <c r="E178" s="120"/>
      <c r="F178" s="120"/>
      <c r="G178" s="147">
        <f t="shared" si="54"/>
        <v>0</v>
      </c>
      <c r="H178" s="144"/>
      <c r="I178" s="143"/>
      <c r="J178" s="143"/>
      <c r="K178" s="143"/>
      <c r="L178" s="143"/>
      <c r="M178" s="103">
        <f t="shared" si="55"/>
        <v>0</v>
      </c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03">
        <f t="shared" si="56"/>
        <v>0</v>
      </c>
      <c r="AA178" s="123"/>
      <c r="AB178" s="123"/>
      <c r="AC178" s="123"/>
      <c r="AD178" s="105">
        <f t="shared" si="57"/>
        <v>0</v>
      </c>
      <c r="AE178" s="143"/>
      <c r="AF178" s="143"/>
      <c r="AG178" s="146"/>
      <c r="AH178" s="224">
        <f t="shared" si="58"/>
        <v>0</v>
      </c>
      <c r="AI178" s="126"/>
      <c r="AJ178" s="274"/>
      <c r="AK178" s="274"/>
      <c r="AL178" s="126"/>
      <c r="AM178" s="126"/>
      <c r="AN178" s="126"/>
      <c r="AO178" s="126"/>
      <c r="AP178" s="274"/>
      <c r="AQ178" s="274"/>
      <c r="AR178" s="274"/>
      <c r="AS178" s="274"/>
      <c r="AT178" s="222">
        <f t="shared" si="59"/>
        <v>0</v>
      </c>
      <c r="AU178" s="113">
        <f t="shared" si="60"/>
        <v>0</v>
      </c>
      <c r="AV178" s="3"/>
      <c r="AW178" s="113">
        <f t="shared" si="61"/>
        <v>0</v>
      </c>
      <c r="AX178" s="129"/>
      <c r="AY178" s="129"/>
      <c r="AZ178" s="129"/>
      <c r="BA178" s="129"/>
      <c r="BB178" s="129"/>
      <c r="BC178" s="130">
        <f t="shared" si="62"/>
        <v>0</v>
      </c>
      <c r="BD178" s="3"/>
    </row>
    <row r="179" ht="14.25" customHeight="1">
      <c r="A179" s="3"/>
      <c r="B179" s="1506">
        <v>46178</v>
      </c>
      <c r="C179" s="123"/>
      <c r="D179" s="123"/>
      <c r="E179" s="120"/>
      <c r="F179" s="120"/>
      <c r="G179" s="147">
        <f t="shared" si="54"/>
        <v>0</v>
      </c>
      <c r="H179" s="144"/>
      <c r="I179" s="143"/>
      <c r="J179" s="143"/>
      <c r="K179" s="143"/>
      <c r="L179" s="143"/>
      <c r="M179" s="103">
        <f t="shared" si="55"/>
        <v>0</v>
      </c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03">
        <f t="shared" si="56"/>
        <v>0</v>
      </c>
      <c r="AA179" s="123"/>
      <c r="AB179" s="123"/>
      <c r="AC179" s="123"/>
      <c r="AD179" s="105">
        <f t="shared" si="57"/>
        <v>0</v>
      </c>
      <c r="AE179" s="143"/>
      <c r="AF179" s="143"/>
      <c r="AG179" s="146"/>
      <c r="AH179" s="224">
        <f t="shared" si="58"/>
        <v>0</v>
      </c>
      <c r="AI179" s="126"/>
      <c r="AJ179" s="274"/>
      <c r="AK179" s="274"/>
      <c r="AL179" s="126"/>
      <c r="AM179" s="126"/>
      <c r="AN179" s="126"/>
      <c r="AO179" s="126"/>
      <c r="AP179" s="274"/>
      <c r="AQ179" s="274"/>
      <c r="AR179" s="274"/>
      <c r="AS179" s="274"/>
      <c r="AT179" s="222">
        <f t="shared" si="59"/>
        <v>0</v>
      </c>
      <c r="AU179" s="113">
        <f t="shared" si="60"/>
        <v>0</v>
      </c>
      <c r="AV179" s="3"/>
      <c r="AW179" s="113">
        <f t="shared" si="61"/>
        <v>0</v>
      </c>
      <c r="AX179" s="129"/>
      <c r="AY179" s="129"/>
      <c r="AZ179" s="129"/>
      <c r="BA179" s="129"/>
      <c r="BB179" s="129"/>
      <c r="BC179" s="130">
        <f t="shared" si="62"/>
        <v>0</v>
      </c>
      <c r="BD179" s="3"/>
    </row>
    <row r="180" ht="14.25" customHeight="1">
      <c r="A180" s="3"/>
      <c r="B180" s="1506">
        <v>46179</v>
      </c>
      <c r="C180" s="123"/>
      <c r="D180" s="123"/>
      <c r="E180" s="120"/>
      <c r="F180" s="120"/>
      <c r="G180" s="147">
        <f t="shared" si="54"/>
        <v>0</v>
      </c>
      <c r="H180" s="144"/>
      <c r="I180" s="143"/>
      <c r="J180" s="143"/>
      <c r="K180" s="143"/>
      <c r="L180" s="143"/>
      <c r="M180" s="103">
        <f t="shared" si="55"/>
        <v>0</v>
      </c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03">
        <f t="shared" si="56"/>
        <v>0</v>
      </c>
      <c r="AA180" s="123"/>
      <c r="AB180" s="123"/>
      <c r="AC180" s="123"/>
      <c r="AD180" s="105">
        <f t="shared" si="57"/>
        <v>0</v>
      </c>
      <c r="AE180" s="143"/>
      <c r="AF180" s="143"/>
      <c r="AG180" s="146"/>
      <c r="AH180" s="224">
        <f t="shared" si="58"/>
        <v>0</v>
      </c>
      <c r="AI180" s="126"/>
      <c r="AJ180" s="274"/>
      <c r="AK180" s="274"/>
      <c r="AL180" s="126"/>
      <c r="AM180" s="126"/>
      <c r="AN180" s="126"/>
      <c r="AO180" s="126"/>
      <c r="AP180" s="274"/>
      <c r="AQ180" s="274"/>
      <c r="AR180" s="274"/>
      <c r="AS180" s="274"/>
      <c r="AT180" s="222">
        <f t="shared" si="59"/>
        <v>0</v>
      </c>
      <c r="AU180" s="113">
        <f t="shared" si="60"/>
        <v>0</v>
      </c>
      <c r="AV180" s="3"/>
      <c r="AW180" s="113">
        <f t="shared" si="61"/>
        <v>0</v>
      </c>
      <c r="AX180" s="129"/>
      <c r="AY180" s="129"/>
      <c r="AZ180" s="129"/>
      <c r="BA180" s="129"/>
      <c r="BB180" s="129"/>
      <c r="BC180" s="130">
        <f t="shared" si="62"/>
        <v>0</v>
      </c>
      <c r="BD180" s="3"/>
    </row>
    <row r="181" ht="14.25" customHeight="1">
      <c r="A181" s="132"/>
      <c r="B181" s="1506">
        <v>46180</v>
      </c>
      <c r="C181" s="136"/>
      <c r="D181" s="136"/>
      <c r="E181" s="135"/>
      <c r="F181" s="135"/>
      <c r="G181" s="147">
        <f t="shared" si="54"/>
        <v>0</v>
      </c>
      <c r="H181" s="144"/>
      <c r="I181" s="143"/>
      <c r="J181" s="143"/>
      <c r="K181" s="143"/>
      <c r="L181" s="143"/>
      <c r="M181" s="103">
        <f t="shared" si="55"/>
        <v>0</v>
      </c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03">
        <f t="shared" si="56"/>
        <v>0</v>
      </c>
      <c r="AA181" s="136"/>
      <c r="AB181" s="136"/>
      <c r="AC181" s="136"/>
      <c r="AD181" s="105">
        <f t="shared" si="57"/>
        <v>0</v>
      </c>
      <c r="AE181" s="143"/>
      <c r="AF181" s="143"/>
      <c r="AG181" s="146"/>
      <c r="AH181" s="224">
        <f t="shared" si="58"/>
        <v>0</v>
      </c>
      <c r="AI181" s="126"/>
      <c r="AJ181" s="274"/>
      <c r="AK181" s="274"/>
      <c r="AL181" s="126"/>
      <c r="AM181" s="126"/>
      <c r="AN181" s="126"/>
      <c r="AO181" s="126"/>
      <c r="AP181" s="274"/>
      <c r="AQ181" s="274"/>
      <c r="AR181" s="274"/>
      <c r="AS181" s="274"/>
      <c r="AT181" s="222">
        <f t="shared" si="59"/>
        <v>0</v>
      </c>
      <c r="AU181" s="140">
        <f t="shared" si="60"/>
        <v>0</v>
      </c>
      <c r="AV181" s="132"/>
      <c r="AW181" s="140">
        <f t="shared" si="61"/>
        <v>0</v>
      </c>
      <c r="AX181" s="141"/>
      <c r="AY181" s="141"/>
      <c r="AZ181" s="141"/>
      <c r="BA181" s="141"/>
      <c r="BB181" s="141"/>
      <c r="BC181" s="130">
        <f t="shared" si="62"/>
        <v>0</v>
      </c>
      <c r="BD181" s="132"/>
    </row>
    <row r="182" ht="14.25" customHeight="1">
      <c r="A182" s="132"/>
      <c r="B182" s="1506">
        <v>46181</v>
      </c>
      <c r="C182" s="136"/>
      <c r="D182" s="136"/>
      <c r="E182" s="135"/>
      <c r="F182" s="135"/>
      <c r="G182" s="147">
        <f t="shared" si="54"/>
        <v>0</v>
      </c>
      <c r="H182" s="144"/>
      <c r="I182" s="143"/>
      <c r="J182" s="143"/>
      <c r="K182" s="143"/>
      <c r="L182" s="143"/>
      <c r="M182" s="103">
        <f t="shared" si="55"/>
        <v>0</v>
      </c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03">
        <f t="shared" si="56"/>
        <v>0</v>
      </c>
      <c r="AA182" s="136"/>
      <c r="AB182" s="136"/>
      <c r="AC182" s="136"/>
      <c r="AD182" s="105">
        <f t="shared" si="57"/>
        <v>0</v>
      </c>
      <c r="AE182" s="143"/>
      <c r="AF182" s="143"/>
      <c r="AG182" s="146"/>
      <c r="AH182" s="224">
        <f t="shared" si="58"/>
        <v>0</v>
      </c>
      <c r="AI182" s="126"/>
      <c r="AJ182" s="274"/>
      <c r="AK182" s="274"/>
      <c r="AL182" s="126"/>
      <c r="AM182" s="126"/>
      <c r="AN182" s="126"/>
      <c r="AO182" s="126"/>
      <c r="AP182" s="274"/>
      <c r="AQ182" s="274"/>
      <c r="AR182" s="274"/>
      <c r="AS182" s="274"/>
      <c r="AT182" s="222">
        <f t="shared" si="59"/>
        <v>0</v>
      </c>
      <c r="AU182" s="140">
        <f t="shared" si="60"/>
        <v>0</v>
      </c>
      <c r="AV182" s="132"/>
      <c r="AW182" s="140">
        <f t="shared" si="61"/>
        <v>0</v>
      </c>
      <c r="AX182" s="141"/>
      <c r="AY182" s="141"/>
      <c r="AZ182" s="141"/>
      <c r="BA182" s="141"/>
      <c r="BB182" s="141"/>
      <c r="BC182" s="130">
        <f t="shared" si="62"/>
        <v>0</v>
      </c>
      <c r="BD182" s="132"/>
    </row>
    <row r="183" ht="14.25" customHeight="1">
      <c r="A183" s="132"/>
      <c r="B183" s="1506">
        <v>46182</v>
      </c>
      <c r="C183" s="136"/>
      <c r="D183" s="136"/>
      <c r="E183" s="135"/>
      <c r="F183" s="135"/>
      <c r="G183" s="147">
        <f t="shared" si="54"/>
        <v>0</v>
      </c>
      <c r="H183" s="144"/>
      <c r="I183" s="143"/>
      <c r="J183" s="143"/>
      <c r="K183" s="143"/>
      <c r="L183" s="143"/>
      <c r="M183" s="103">
        <f t="shared" si="55"/>
        <v>0</v>
      </c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03">
        <f t="shared" si="56"/>
        <v>0</v>
      </c>
      <c r="AA183" s="136"/>
      <c r="AB183" s="136"/>
      <c r="AC183" s="136"/>
      <c r="AD183" s="105">
        <f t="shared" si="57"/>
        <v>0</v>
      </c>
      <c r="AE183" s="143"/>
      <c r="AF183" s="143"/>
      <c r="AG183" s="146"/>
      <c r="AH183" s="224">
        <f t="shared" si="58"/>
        <v>0</v>
      </c>
      <c r="AI183" s="126"/>
      <c r="AJ183" s="274"/>
      <c r="AK183" s="274"/>
      <c r="AL183" s="126"/>
      <c r="AM183" s="126"/>
      <c r="AN183" s="126"/>
      <c r="AO183" s="126"/>
      <c r="AP183" s="274"/>
      <c r="AQ183" s="274"/>
      <c r="AR183" s="274"/>
      <c r="AS183" s="274"/>
      <c r="AT183" s="222">
        <f t="shared" si="59"/>
        <v>0</v>
      </c>
      <c r="AU183" s="140">
        <f t="shared" si="60"/>
        <v>0</v>
      </c>
      <c r="AV183" s="132"/>
      <c r="AW183" s="140">
        <f t="shared" si="61"/>
        <v>0</v>
      </c>
      <c r="AX183" s="141"/>
      <c r="AY183" s="141"/>
      <c r="AZ183" s="141"/>
      <c r="BA183" s="141"/>
      <c r="BB183" s="141"/>
      <c r="BC183" s="130">
        <f t="shared" si="62"/>
        <v>0</v>
      </c>
      <c r="BD183" s="132"/>
    </row>
    <row r="184" ht="14.25" customHeight="1">
      <c r="A184" s="132"/>
      <c r="B184" s="1506">
        <v>46183</v>
      </c>
      <c r="C184" s="136"/>
      <c r="D184" s="136"/>
      <c r="E184" s="135"/>
      <c r="F184" s="135"/>
      <c r="G184" s="147">
        <f t="shared" si="54"/>
        <v>0</v>
      </c>
      <c r="H184" s="144"/>
      <c r="I184" s="143"/>
      <c r="J184" s="143"/>
      <c r="K184" s="143"/>
      <c r="L184" s="143"/>
      <c r="M184" s="103">
        <f t="shared" si="55"/>
        <v>0</v>
      </c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03">
        <f t="shared" si="56"/>
        <v>0</v>
      </c>
      <c r="AA184" s="136"/>
      <c r="AB184" s="136"/>
      <c r="AC184" s="136"/>
      <c r="AD184" s="105">
        <f t="shared" si="57"/>
        <v>0</v>
      </c>
      <c r="AE184" s="143"/>
      <c r="AF184" s="143"/>
      <c r="AG184" s="146"/>
      <c r="AH184" s="224">
        <f t="shared" si="58"/>
        <v>0</v>
      </c>
      <c r="AI184" s="126"/>
      <c r="AJ184" s="274"/>
      <c r="AK184" s="274"/>
      <c r="AL184" s="126"/>
      <c r="AM184" s="126"/>
      <c r="AN184" s="126"/>
      <c r="AO184" s="126"/>
      <c r="AP184" s="274"/>
      <c r="AQ184" s="274"/>
      <c r="AR184" s="274"/>
      <c r="AS184" s="274"/>
      <c r="AT184" s="222">
        <f t="shared" si="59"/>
        <v>0</v>
      </c>
      <c r="AU184" s="140">
        <f t="shared" si="60"/>
        <v>0</v>
      </c>
      <c r="AV184" s="132"/>
      <c r="AW184" s="140">
        <f t="shared" si="61"/>
        <v>0</v>
      </c>
      <c r="AX184" s="141"/>
      <c r="AY184" s="141"/>
      <c r="AZ184" s="141"/>
      <c r="BA184" s="141"/>
      <c r="BB184" s="141"/>
      <c r="BC184" s="130">
        <f t="shared" si="62"/>
        <v>0</v>
      </c>
      <c r="BD184" s="132"/>
    </row>
    <row r="185" ht="14.25" customHeight="1">
      <c r="A185" s="132"/>
      <c r="B185" s="1506">
        <v>46184</v>
      </c>
      <c r="C185" s="136"/>
      <c r="D185" s="136"/>
      <c r="E185" s="135"/>
      <c r="F185" s="135"/>
      <c r="G185" s="147">
        <f t="shared" si="54"/>
        <v>0</v>
      </c>
      <c r="H185" s="144"/>
      <c r="I185" s="143"/>
      <c r="J185" s="143"/>
      <c r="K185" s="143"/>
      <c r="L185" s="143"/>
      <c r="M185" s="103">
        <f t="shared" si="55"/>
        <v>0</v>
      </c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03">
        <f t="shared" si="56"/>
        <v>0</v>
      </c>
      <c r="AA185" s="136"/>
      <c r="AB185" s="136"/>
      <c r="AC185" s="136"/>
      <c r="AD185" s="105">
        <f t="shared" si="57"/>
        <v>0</v>
      </c>
      <c r="AE185" s="143"/>
      <c r="AF185" s="143"/>
      <c r="AG185" s="146"/>
      <c r="AH185" s="224">
        <f t="shared" si="58"/>
        <v>0</v>
      </c>
      <c r="AI185" s="126"/>
      <c r="AJ185" s="274"/>
      <c r="AK185" s="274"/>
      <c r="AL185" s="126"/>
      <c r="AM185" s="126"/>
      <c r="AN185" s="126"/>
      <c r="AO185" s="126"/>
      <c r="AP185" s="274"/>
      <c r="AQ185" s="274"/>
      <c r="AR185" s="274"/>
      <c r="AS185" s="274"/>
      <c r="AT185" s="222">
        <f t="shared" si="59"/>
        <v>0</v>
      </c>
      <c r="AU185" s="140">
        <f t="shared" si="60"/>
        <v>0</v>
      </c>
      <c r="AV185" s="132"/>
      <c r="AW185" s="140">
        <f t="shared" si="61"/>
        <v>0</v>
      </c>
      <c r="AX185" s="141"/>
      <c r="AY185" s="141"/>
      <c r="AZ185" s="141"/>
      <c r="BA185" s="141"/>
      <c r="BB185" s="141"/>
      <c r="BC185" s="130">
        <f t="shared" si="62"/>
        <v>0</v>
      </c>
      <c r="BD185" s="132"/>
    </row>
    <row r="186" ht="14.25" customHeight="1">
      <c r="A186" s="132"/>
      <c r="B186" s="1506">
        <v>46185</v>
      </c>
      <c r="C186" s="136"/>
      <c r="D186" s="136"/>
      <c r="E186" s="135"/>
      <c r="F186" s="135"/>
      <c r="G186" s="147">
        <f t="shared" si="54"/>
        <v>0</v>
      </c>
      <c r="H186" s="144"/>
      <c r="I186" s="143"/>
      <c r="J186" s="143"/>
      <c r="K186" s="143"/>
      <c r="L186" s="143"/>
      <c r="M186" s="103">
        <f t="shared" si="55"/>
        <v>0</v>
      </c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03">
        <f t="shared" si="56"/>
        <v>0</v>
      </c>
      <c r="AA186" s="136"/>
      <c r="AB186" s="136"/>
      <c r="AC186" s="136"/>
      <c r="AD186" s="105">
        <f t="shared" si="57"/>
        <v>0</v>
      </c>
      <c r="AE186" s="143"/>
      <c r="AF186" s="143"/>
      <c r="AG186" s="146"/>
      <c r="AH186" s="224">
        <f t="shared" si="58"/>
        <v>0</v>
      </c>
      <c r="AI186" s="126"/>
      <c r="AJ186" s="274"/>
      <c r="AK186" s="274"/>
      <c r="AL186" s="126"/>
      <c r="AM186" s="126"/>
      <c r="AN186" s="126"/>
      <c r="AO186" s="126"/>
      <c r="AP186" s="274"/>
      <c r="AQ186" s="274"/>
      <c r="AR186" s="274"/>
      <c r="AS186" s="274"/>
      <c r="AT186" s="222">
        <f t="shared" si="59"/>
        <v>0</v>
      </c>
      <c r="AU186" s="140">
        <f t="shared" si="60"/>
        <v>0</v>
      </c>
      <c r="AV186" s="132"/>
      <c r="AW186" s="140">
        <f t="shared" si="61"/>
        <v>0</v>
      </c>
      <c r="AX186" s="141"/>
      <c r="AY186" s="141"/>
      <c r="AZ186" s="141"/>
      <c r="BA186" s="141"/>
      <c r="BB186" s="141"/>
      <c r="BC186" s="130">
        <f t="shared" si="62"/>
        <v>0</v>
      </c>
      <c r="BD186" s="132"/>
    </row>
    <row r="187" ht="14.25" customHeight="1">
      <c r="A187" s="132"/>
      <c r="B187" s="1506">
        <v>46186</v>
      </c>
      <c r="C187" s="136"/>
      <c r="D187" s="136"/>
      <c r="E187" s="135"/>
      <c r="F187" s="135"/>
      <c r="G187" s="147">
        <f t="shared" si="54"/>
        <v>0</v>
      </c>
      <c r="H187" s="144"/>
      <c r="I187" s="143"/>
      <c r="J187" s="143"/>
      <c r="K187" s="143"/>
      <c r="L187" s="143"/>
      <c r="M187" s="103">
        <f t="shared" si="55"/>
        <v>0</v>
      </c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03">
        <f t="shared" si="56"/>
        <v>0</v>
      </c>
      <c r="AA187" s="136"/>
      <c r="AB187" s="136"/>
      <c r="AC187" s="136"/>
      <c r="AD187" s="105">
        <f t="shared" si="57"/>
        <v>0</v>
      </c>
      <c r="AE187" s="143"/>
      <c r="AF187" s="143"/>
      <c r="AG187" s="146"/>
      <c r="AH187" s="224">
        <f t="shared" si="58"/>
        <v>0</v>
      </c>
      <c r="AI187" s="126"/>
      <c r="AJ187" s="274"/>
      <c r="AK187" s="274"/>
      <c r="AL187" s="126"/>
      <c r="AM187" s="126"/>
      <c r="AN187" s="126"/>
      <c r="AO187" s="126"/>
      <c r="AP187" s="274"/>
      <c r="AQ187" s="274"/>
      <c r="AR187" s="274"/>
      <c r="AS187" s="274"/>
      <c r="AT187" s="222">
        <f t="shared" si="59"/>
        <v>0</v>
      </c>
      <c r="AU187" s="140">
        <f t="shared" si="60"/>
        <v>0</v>
      </c>
      <c r="AV187" s="132"/>
      <c r="AW187" s="140">
        <f t="shared" si="61"/>
        <v>0</v>
      </c>
      <c r="AX187" s="141"/>
      <c r="AY187" s="141"/>
      <c r="AZ187" s="141"/>
      <c r="BA187" s="141"/>
      <c r="BB187" s="141"/>
      <c r="BC187" s="130">
        <f t="shared" si="62"/>
        <v>0</v>
      </c>
      <c r="BD187" s="132"/>
    </row>
    <row r="188" ht="14.25" customHeight="1">
      <c r="A188" s="132"/>
      <c r="B188" s="1506">
        <v>46187</v>
      </c>
      <c r="C188" s="136"/>
      <c r="D188" s="136"/>
      <c r="E188" s="135"/>
      <c r="F188" s="135"/>
      <c r="G188" s="147">
        <f t="shared" si="54"/>
        <v>0</v>
      </c>
      <c r="H188" s="144"/>
      <c r="I188" s="99"/>
      <c r="J188" s="143"/>
      <c r="K188" s="143"/>
      <c r="L188" s="143"/>
      <c r="M188" s="103">
        <f t="shared" si="55"/>
        <v>0</v>
      </c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03">
        <f t="shared" si="56"/>
        <v>0</v>
      </c>
      <c r="AA188" s="136"/>
      <c r="AB188" s="136"/>
      <c r="AC188" s="136"/>
      <c r="AD188" s="105">
        <f t="shared" si="57"/>
        <v>0</v>
      </c>
      <c r="AE188" s="143"/>
      <c r="AF188" s="143"/>
      <c r="AG188" s="146"/>
      <c r="AH188" s="224">
        <f t="shared" si="58"/>
        <v>0</v>
      </c>
      <c r="AI188" s="126"/>
      <c r="AJ188" s="274"/>
      <c r="AK188" s="274"/>
      <c r="AL188" s="126"/>
      <c r="AM188" s="126"/>
      <c r="AN188" s="126"/>
      <c r="AO188" s="126"/>
      <c r="AP188" s="274"/>
      <c r="AQ188" s="274"/>
      <c r="AR188" s="274"/>
      <c r="AS188" s="274"/>
      <c r="AT188" s="222">
        <f t="shared" si="59"/>
        <v>0</v>
      </c>
      <c r="AU188" s="140">
        <f t="shared" si="60"/>
        <v>0</v>
      </c>
      <c r="AV188" s="132"/>
      <c r="AW188" s="140">
        <f t="shared" si="61"/>
        <v>0</v>
      </c>
      <c r="AX188" s="141"/>
      <c r="AY188" s="141"/>
      <c r="AZ188" s="141"/>
      <c r="BA188" s="141"/>
      <c r="BB188" s="141"/>
      <c r="BC188" s="130">
        <f t="shared" si="62"/>
        <v>0</v>
      </c>
      <c r="BD188" s="132"/>
    </row>
    <row r="189" ht="14.25" customHeight="1">
      <c r="A189" s="132"/>
      <c r="B189" s="1506">
        <v>46188</v>
      </c>
      <c r="C189" s="136"/>
      <c r="D189" s="136"/>
      <c r="E189" s="135"/>
      <c r="F189" s="135"/>
      <c r="G189" s="147">
        <f t="shared" si="54"/>
        <v>0</v>
      </c>
      <c r="H189" s="144"/>
      <c r="I189" s="99"/>
      <c r="J189" s="143"/>
      <c r="K189" s="143"/>
      <c r="L189" s="143"/>
      <c r="M189" s="103">
        <f t="shared" si="55"/>
        <v>0</v>
      </c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03">
        <f t="shared" si="56"/>
        <v>0</v>
      </c>
      <c r="AA189" s="136"/>
      <c r="AB189" s="136"/>
      <c r="AC189" s="136"/>
      <c r="AD189" s="105">
        <f t="shared" si="57"/>
        <v>0</v>
      </c>
      <c r="AE189" s="143"/>
      <c r="AF189" s="143"/>
      <c r="AG189" s="146"/>
      <c r="AH189" s="224">
        <f t="shared" si="58"/>
        <v>0</v>
      </c>
      <c r="AI189" s="126"/>
      <c r="AJ189" s="274"/>
      <c r="AK189" s="274"/>
      <c r="AL189" s="126"/>
      <c r="AM189" s="126"/>
      <c r="AN189" s="126"/>
      <c r="AO189" s="126"/>
      <c r="AP189" s="274"/>
      <c r="AQ189" s="274"/>
      <c r="AR189" s="274"/>
      <c r="AS189" s="274"/>
      <c r="AT189" s="222">
        <f t="shared" si="59"/>
        <v>0</v>
      </c>
      <c r="AU189" s="140">
        <f t="shared" si="60"/>
        <v>0</v>
      </c>
      <c r="AV189" s="132"/>
      <c r="AW189" s="140">
        <f t="shared" si="61"/>
        <v>0</v>
      </c>
      <c r="AX189" s="141"/>
      <c r="AY189" s="141"/>
      <c r="AZ189" s="141"/>
      <c r="BA189" s="141"/>
      <c r="BB189" s="141"/>
      <c r="BC189" s="130">
        <f t="shared" si="62"/>
        <v>0</v>
      </c>
      <c r="BD189" s="132"/>
    </row>
    <row r="190" ht="14.25" customHeight="1">
      <c r="A190" s="132"/>
      <c r="B190" s="1506">
        <v>46189</v>
      </c>
      <c r="C190" s="136"/>
      <c r="D190" s="136"/>
      <c r="E190" s="135"/>
      <c r="F190" s="135"/>
      <c r="G190" s="147">
        <f t="shared" si="54"/>
        <v>0</v>
      </c>
      <c r="H190" s="144"/>
      <c r="I190" s="136"/>
      <c r="J190" s="143"/>
      <c r="K190" s="143"/>
      <c r="L190" s="143"/>
      <c r="M190" s="103">
        <f t="shared" si="55"/>
        <v>0</v>
      </c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03">
        <f t="shared" si="56"/>
        <v>0</v>
      </c>
      <c r="AA190" s="136"/>
      <c r="AB190" s="136"/>
      <c r="AC190" s="136"/>
      <c r="AD190" s="105">
        <f t="shared" si="57"/>
        <v>0</v>
      </c>
      <c r="AE190" s="143"/>
      <c r="AF190" s="143"/>
      <c r="AG190" s="146"/>
      <c r="AH190" s="224">
        <f t="shared" si="58"/>
        <v>0</v>
      </c>
      <c r="AI190" s="126"/>
      <c r="AJ190" s="274"/>
      <c r="AK190" s="274"/>
      <c r="AL190" s="1527"/>
      <c r="AM190" s="126"/>
      <c r="AN190" s="126"/>
      <c r="AO190" s="126"/>
      <c r="AP190" s="274"/>
      <c r="AQ190" s="274"/>
      <c r="AR190" s="274"/>
      <c r="AS190" s="274"/>
      <c r="AT190" s="222">
        <f t="shared" si="59"/>
        <v>0</v>
      </c>
      <c r="AU190" s="140">
        <f t="shared" si="60"/>
        <v>0</v>
      </c>
      <c r="AV190" s="132"/>
      <c r="AW190" s="140">
        <f t="shared" si="61"/>
        <v>0</v>
      </c>
      <c r="AX190" s="141"/>
      <c r="AY190" s="141"/>
      <c r="AZ190" s="141"/>
      <c r="BA190" s="141"/>
      <c r="BB190" s="141"/>
      <c r="BC190" s="130">
        <f t="shared" si="62"/>
        <v>0</v>
      </c>
      <c r="BD190" s="132"/>
    </row>
    <row r="191" ht="14.25" customHeight="1">
      <c r="A191" s="132"/>
      <c r="B191" s="1506">
        <v>46190</v>
      </c>
      <c r="C191" s="136"/>
      <c r="D191" s="136"/>
      <c r="E191" s="135"/>
      <c r="F191" s="135"/>
      <c r="G191" s="147">
        <f>SUM(C191:F191)</f>
        <v>0</v>
      </c>
      <c r="H191" s="144"/>
      <c r="I191" s="99"/>
      <c r="J191" s="143"/>
      <c r="K191" s="143"/>
      <c r="L191" s="143"/>
      <c r="M191" s="103">
        <f t="shared" si="55"/>
        <v>0</v>
      </c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03">
        <f t="shared" si="56"/>
        <v>0</v>
      </c>
      <c r="AA191" s="136"/>
      <c r="AB191" s="136"/>
      <c r="AC191" s="136"/>
      <c r="AD191" s="105">
        <f t="shared" si="57"/>
        <v>0</v>
      </c>
      <c r="AE191" s="143"/>
      <c r="AF191" s="143"/>
      <c r="AG191" s="146"/>
      <c r="AH191" s="224">
        <f t="shared" si="58"/>
        <v>0</v>
      </c>
      <c r="AI191" s="126"/>
      <c r="AJ191" s="274"/>
      <c r="AK191" s="274"/>
      <c r="AL191" s="126"/>
      <c r="AM191" s="126"/>
      <c r="AN191" s="126"/>
      <c r="AO191" s="126"/>
      <c r="AP191" s="274"/>
      <c r="AQ191" s="274"/>
      <c r="AR191" s="274"/>
      <c r="AS191" s="274"/>
      <c r="AT191" s="222">
        <f t="shared" si="59"/>
        <v>0</v>
      </c>
      <c r="AU191" s="140">
        <f t="shared" si="60"/>
        <v>0</v>
      </c>
      <c r="AV191" s="132"/>
      <c r="AW191" s="140">
        <f t="shared" si="61"/>
        <v>0</v>
      </c>
      <c r="AX191" s="141"/>
      <c r="AY191" s="141"/>
      <c r="AZ191" s="141"/>
      <c r="BA191" s="141"/>
      <c r="BB191" s="141"/>
      <c r="BC191" s="130">
        <f t="shared" si="62"/>
        <v>0</v>
      </c>
      <c r="BD191" s="132"/>
    </row>
    <row r="192" ht="14.25" customHeight="1">
      <c r="A192" s="132"/>
      <c r="B192" s="1506">
        <v>46191</v>
      </c>
      <c r="C192" s="136"/>
      <c r="D192" s="136"/>
      <c r="E192" s="135"/>
      <c r="F192" s="135"/>
      <c r="G192" s="147">
        <f ref="G192:G204" t="shared" si="63">+C192+D192+E192+F192</f>
        <v>0</v>
      </c>
      <c r="H192" s="144"/>
      <c r="I192" s="99"/>
      <c r="J192" s="143"/>
      <c r="K192" s="143"/>
      <c r="L192" s="143"/>
      <c r="M192" s="103">
        <f t="shared" si="55"/>
        <v>0</v>
      </c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03">
        <f t="shared" si="56"/>
        <v>0</v>
      </c>
      <c r="AA192" s="136"/>
      <c r="AB192" s="136"/>
      <c r="AC192" s="136"/>
      <c r="AD192" s="105">
        <f t="shared" si="57"/>
        <v>0</v>
      </c>
      <c r="AE192" s="143"/>
      <c r="AF192" s="143"/>
      <c r="AG192" s="146"/>
      <c r="AH192" s="224">
        <f t="shared" si="58"/>
        <v>0</v>
      </c>
      <c r="AI192" s="126"/>
      <c r="AJ192" s="274"/>
      <c r="AK192" s="274"/>
      <c r="AL192" s="126"/>
      <c r="AM192" s="126"/>
      <c r="AN192" s="126"/>
      <c r="AO192" s="126"/>
      <c r="AP192" s="274"/>
      <c r="AQ192" s="274"/>
      <c r="AR192" s="274"/>
      <c r="AS192" s="274"/>
      <c r="AT192" s="222">
        <f t="shared" si="59"/>
        <v>0</v>
      </c>
      <c r="AU192" s="140">
        <f t="shared" si="60"/>
        <v>0</v>
      </c>
      <c r="AV192" s="132"/>
      <c r="AW192" s="140">
        <f t="shared" si="61"/>
        <v>0</v>
      </c>
      <c r="AX192" s="141"/>
      <c r="AY192" s="141"/>
      <c r="AZ192" s="141"/>
      <c r="BA192" s="141"/>
      <c r="BB192" s="141"/>
      <c r="BC192" s="130">
        <f t="shared" si="62"/>
        <v>0</v>
      </c>
      <c r="BD192" s="132"/>
    </row>
    <row r="193" ht="14.25" customHeight="1">
      <c r="A193" s="132"/>
      <c r="B193" s="1506">
        <v>46192</v>
      </c>
      <c r="C193" s="136"/>
      <c r="D193" s="136"/>
      <c r="E193" s="135"/>
      <c r="F193" s="135"/>
      <c r="G193" s="147">
        <f t="shared" si="63"/>
        <v>0</v>
      </c>
      <c r="H193" s="144"/>
      <c r="I193" s="143"/>
      <c r="J193" s="143"/>
      <c r="K193" s="143"/>
      <c r="L193" s="143"/>
      <c r="M193" s="103">
        <f t="shared" si="55"/>
        <v>0</v>
      </c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03">
        <f t="shared" si="56"/>
        <v>0</v>
      </c>
      <c r="AA193" s="136"/>
      <c r="AB193" s="136"/>
      <c r="AC193" s="136"/>
      <c r="AD193" s="105">
        <f t="shared" si="57"/>
        <v>0</v>
      </c>
      <c r="AE193" s="143"/>
      <c r="AF193" s="143"/>
      <c r="AG193" s="146"/>
      <c r="AH193" s="224">
        <f t="shared" si="58"/>
        <v>0</v>
      </c>
      <c r="AI193" s="126"/>
      <c r="AJ193" s="274"/>
      <c r="AK193" s="274"/>
      <c r="AL193" s="126"/>
      <c r="AM193" s="126"/>
      <c r="AN193" s="126"/>
      <c r="AO193" s="126"/>
      <c r="AP193" s="274"/>
      <c r="AQ193" s="274"/>
      <c r="AR193" s="274"/>
      <c r="AS193" s="274"/>
      <c r="AT193" s="222">
        <f t="shared" si="59"/>
        <v>0</v>
      </c>
      <c r="AU193" s="140">
        <f t="shared" si="60"/>
        <v>0</v>
      </c>
      <c r="AV193" s="132"/>
      <c r="AW193" s="140">
        <f t="shared" si="61"/>
        <v>0</v>
      </c>
      <c r="AX193" s="141"/>
      <c r="AY193" s="141"/>
      <c r="AZ193" s="141"/>
      <c r="BA193" s="141"/>
      <c r="BB193" s="141"/>
      <c r="BC193" s="130">
        <f t="shared" si="62"/>
        <v>0</v>
      </c>
      <c r="BD193" s="132"/>
    </row>
    <row r="194" ht="14.25" customHeight="1">
      <c r="A194" s="132"/>
      <c r="B194" s="1506">
        <v>46193</v>
      </c>
      <c r="C194" s="136"/>
      <c r="D194" s="136"/>
      <c r="E194" s="135"/>
      <c r="F194" s="135"/>
      <c r="G194" s="147">
        <f t="shared" si="63"/>
        <v>0</v>
      </c>
      <c r="H194" s="144"/>
      <c r="I194" s="143"/>
      <c r="J194" s="143"/>
      <c r="K194" s="143"/>
      <c r="L194" s="143"/>
      <c r="M194" s="103">
        <f t="shared" si="55"/>
        <v>0</v>
      </c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03">
        <f t="shared" si="56"/>
        <v>0</v>
      </c>
      <c r="AA194" s="136"/>
      <c r="AB194" s="136"/>
      <c r="AC194" s="136"/>
      <c r="AD194" s="105">
        <f t="shared" si="57"/>
        <v>0</v>
      </c>
      <c r="AE194" s="143"/>
      <c r="AF194" s="143"/>
      <c r="AG194" s="146"/>
      <c r="AH194" s="224">
        <f t="shared" si="58"/>
        <v>0</v>
      </c>
      <c r="AI194" s="126"/>
      <c r="AJ194" s="274"/>
      <c r="AK194" s="274"/>
      <c r="AL194" s="126"/>
      <c r="AM194" s="126"/>
      <c r="AN194" s="126"/>
      <c r="AO194" s="126"/>
      <c r="AP194" s="274"/>
      <c r="AQ194" s="274"/>
      <c r="AR194" s="274"/>
      <c r="AS194" s="274"/>
      <c r="AT194" s="222">
        <f t="shared" si="59"/>
        <v>0</v>
      </c>
      <c r="AU194" s="140">
        <f t="shared" si="60"/>
        <v>0</v>
      </c>
      <c r="AV194" s="132"/>
      <c r="AW194" s="140">
        <f t="shared" si="61"/>
        <v>0</v>
      </c>
      <c r="AX194" s="141"/>
      <c r="AY194" s="141"/>
      <c r="AZ194" s="141"/>
      <c r="BA194" s="141"/>
      <c r="BB194" s="141"/>
      <c r="BC194" s="130">
        <f t="shared" si="62"/>
        <v>0</v>
      </c>
      <c r="BD194" s="132"/>
    </row>
    <row r="195" ht="14.25" customHeight="1">
      <c r="A195" s="132"/>
      <c r="B195" s="1506">
        <v>46194</v>
      </c>
      <c r="C195" s="136"/>
      <c r="D195" s="136"/>
      <c r="E195" s="135"/>
      <c r="F195" s="135"/>
      <c r="G195" s="147">
        <f t="shared" si="63"/>
        <v>0</v>
      </c>
      <c r="H195" s="144"/>
      <c r="I195" s="231"/>
      <c r="J195" s="143"/>
      <c r="K195" s="143"/>
      <c r="L195" s="143"/>
      <c r="M195" s="103">
        <f t="shared" si="55"/>
        <v>0</v>
      </c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03">
        <f t="shared" si="56"/>
        <v>0</v>
      </c>
      <c r="AA195" s="136"/>
      <c r="AB195" s="136"/>
      <c r="AC195" s="136"/>
      <c r="AD195" s="105">
        <f t="shared" si="57"/>
        <v>0</v>
      </c>
      <c r="AE195" s="143"/>
      <c r="AF195" s="143"/>
      <c r="AG195" s="146"/>
      <c r="AH195" s="224">
        <f t="shared" si="58"/>
        <v>0</v>
      </c>
      <c r="AI195" s="126"/>
      <c r="AJ195" s="274"/>
      <c r="AK195" s="274"/>
      <c r="AL195" s="1527"/>
      <c r="AM195" s="126"/>
      <c r="AN195" s="126"/>
      <c r="AO195" s="126"/>
      <c r="AP195" s="274"/>
      <c r="AQ195" s="274"/>
      <c r="AR195" s="274"/>
      <c r="AS195" s="274"/>
      <c r="AT195" s="222">
        <f t="shared" si="59"/>
        <v>0</v>
      </c>
      <c r="AU195" s="140">
        <f t="shared" si="60"/>
        <v>0</v>
      </c>
      <c r="AV195" s="132"/>
      <c r="AW195" s="140">
        <f t="shared" si="61"/>
        <v>0</v>
      </c>
      <c r="AX195" s="141"/>
      <c r="AY195" s="141"/>
      <c r="AZ195" s="141"/>
      <c r="BA195" s="141"/>
      <c r="BB195" s="141"/>
      <c r="BC195" s="130">
        <f t="shared" si="62"/>
        <v>0</v>
      </c>
      <c r="BD195" s="132"/>
    </row>
    <row r="196" ht="14.25" customHeight="1">
      <c r="A196" s="132"/>
      <c r="B196" s="1506">
        <v>46195</v>
      </c>
      <c r="C196" s="136"/>
      <c r="D196" s="136"/>
      <c r="E196" s="135"/>
      <c r="F196" s="135"/>
      <c r="G196" s="147">
        <f t="shared" si="63"/>
        <v>0</v>
      </c>
      <c r="H196" s="144"/>
      <c r="I196" s="143"/>
      <c r="J196" s="143"/>
      <c r="K196" s="143"/>
      <c r="L196" s="143"/>
      <c r="M196" s="103">
        <f t="shared" si="55"/>
        <v>0</v>
      </c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03">
        <f t="shared" si="56"/>
        <v>0</v>
      </c>
      <c r="AA196" s="136"/>
      <c r="AB196" s="136"/>
      <c r="AC196" s="136"/>
      <c r="AD196" s="105">
        <f t="shared" si="57"/>
        <v>0</v>
      </c>
      <c r="AE196" s="143"/>
      <c r="AF196" s="143"/>
      <c r="AG196" s="146"/>
      <c r="AH196" s="224">
        <f t="shared" si="58"/>
        <v>0</v>
      </c>
      <c r="AI196" s="126"/>
      <c r="AJ196" s="274"/>
      <c r="AK196" s="274"/>
      <c r="AL196" s="126"/>
      <c r="AM196" s="126"/>
      <c r="AN196" s="126"/>
      <c r="AO196" s="126"/>
      <c r="AP196" s="274"/>
      <c r="AQ196" s="274"/>
      <c r="AR196" s="274"/>
      <c r="AS196" s="274"/>
      <c r="AT196" s="222">
        <f t="shared" si="59"/>
        <v>0</v>
      </c>
      <c r="AU196" s="140">
        <f t="shared" si="60"/>
        <v>0</v>
      </c>
      <c r="AV196" s="132"/>
      <c r="AW196" s="140">
        <f t="shared" si="61"/>
        <v>0</v>
      </c>
      <c r="AX196" s="141"/>
      <c r="AY196" s="141"/>
      <c r="AZ196" s="141"/>
      <c r="BA196" s="141"/>
      <c r="BB196" s="141"/>
      <c r="BC196" s="130">
        <f t="shared" si="62"/>
        <v>0</v>
      </c>
      <c r="BD196" s="132"/>
    </row>
    <row r="197" ht="14.25" customHeight="1">
      <c r="A197" s="132"/>
      <c r="B197" s="1506">
        <v>46196</v>
      </c>
      <c r="C197" s="136"/>
      <c r="D197" s="136"/>
      <c r="E197" s="135"/>
      <c r="F197" s="135"/>
      <c r="G197" s="147">
        <f t="shared" si="63"/>
        <v>0</v>
      </c>
      <c r="H197" s="144"/>
      <c r="I197" s="143"/>
      <c r="J197" s="143"/>
      <c r="K197" s="143"/>
      <c r="L197" s="143"/>
      <c r="M197" s="103">
        <f t="shared" si="55"/>
        <v>0</v>
      </c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03">
        <f t="shared" si="56"/>
        <v>0</v>
      </c>
      <c r="AA197" s="136"/>
      <c r="AB197" s="136"/>
      <c r="AC197" s="136"/>
      <c r="AD197" s="105">
        <f t="shared" si="57"/>
        <v>0</v>
      </c>
      <c r="AE197" s="143"/>
      <c r="AF197" s="143"/>
      <c r="AG197" s="146"/>
      <c r="AH197" s="224">
        <f t="shared" si="58"/>
        <v>0</v>
      </c>
      <c r="AI197" s="126"/>
      <c r="AJ197" s="274"/>
      <c r="AK197" s="274"/>
      <c r="AL197" s="126"/>
      <c r="AM197" s="126"/>
      <c r="AN197" s="126"/>
      <c r="AO197" s="126"/>
      <c r="AP197" s="274"/>
      <c r="AQ197" s="274"/>
      <c r="AR197" s="274"/>
      <c r="AS197" s="274"/>
      <c r="AT197" s="222">
        <f t="shared" si="59"/>
        <v>0</v>
      </c>
      <c r="AU197" s="140">
        <f t="shared" si="60"/>
        <v>0</v>
      </c>
      <c r="AV197" s="132"/>
      <c r="AW197" s="140">
        <f t="shared" si="61"/>
        <v>0</v>
      </c>
      <c r="AX197" s="141"/>
      <c r="AY197" s="141"/>
      <c r="AZ197" s="141"/>
      <c r="BA197" s="141"/>
      <c r="BB197" s="141"/>
      <c r="BC197" s="130">
        <f t="shared" si="62"/>
        <v>0</v>
      </c>
      <c r="BD197" s="132"/>
    </row>
    <row r="198" ht="14.25" customHeight="1">
      <c r="A198" s="132"/>
      <c r="B198" s="1506">
        <v>46197</v>
      </c>
      <c r="C198" s="136"/>
      <c r="D198" s="136"/>
      <c r="E198" s="135"/>
      <c r="F198" s="135"/>
      <c r="G198" s="147">
        <f t="shared" si="63"/>
        <v>0</v>
      </c>
      <c r="H198" s="144"/>
      <c r="I198" s="143"/>
      <c r="J198" s="143"/>
      <c r="K198" s="143"/>
      <c r="L198" s="143"/>
      <c r="M198" s="103">
        <f t="shared" si="55"/>
        <v>0</v>
      </c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03">
        <f t="shared" si="56"/>
        <v>0</v>
      </c>
      <c r="AA198" s="136"/>
      <c r="AB198" s="136"/>
      <c r="AC198" s="136"/>
      <c r="AD198" s="105">
        <f t="shared" si="57"/>
        <v>0</v>
      </c>
      <c r="AE198" s="143"/>
      <c r="AF198" s="143"/>
      <c r="AG198" s="146"/>
      <c r="AH198" s="224">
        <f t="shared" si="58"/>
        <v>0</v>
      </c>
      <c r="AI198" s="126"/>
      <c r="AJ198" s="274"/>
      <c r="AK198" s="274"/>
      <c r="AL198" s="126"/>
      <c r="AM198" s="126"/>
      <c r="AN198" s="126"/>
      <c r="AO198" s="126"/>
      <c r="AP198" s="274"/>
      <c r="AQ198" s="274"/>
      <c r="AR198" s="274"/>
      <c r="AS198" s="274"/>
      <c r="AT198" s="222">
        <f t="shared" si="59"/>
        <v>0</v>
      </c>
      <c r="AU198" s="140">
        <f t="shared" si="60"/>
        <v>0</v>
      </c>
      <c r="AV198" s="132"/>
      <c r="AW198" s="140">
        <f t="shared" si="61"/>
        <v>0</v>
      </c>
      <c r="AX198" s="141"/>
      <c r="AY198" s="141"/>
      <c r="AZ198" s="141"/>
      <c r="BA198" s="141"/>
      <c r="BB198" s="141"/>
      <c r="BC198" s="130">
        <f t="shared" si="62"/>
        <v>0</v>
      </c>
      <c r="BD198" s="132"/>
    </row>
    <row r="199" ht="14.25" customHeight="1">
      <c r="A199" s="132"/>
      <c r="B199" s="1506">
        <v>46198</v>
      </c>
      <c r="C199" s="136"/>
      <c r="D199" s="136"/>
      <c r="E199" s="135"/>
      <c r="F199" s="135"/>
      <c r="G199" s="147">
        <f t="shared" si="63"/>
        <v>0</v>
      </c>
      <c r="H199" s="144"/>
      <c r="I199" s="143"/>
      <c r="J199" s="143"/>
      <c r="K199" s="143"/>
      <c r="L199" s="143"/>
      <c r="M199" s="103">
        <f t="shared" si="55"/>
        <v>0</v>
      </c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03">
        <f t="shared" si="56"/>
        <v>0</v>
      </c>
      <c r="AA199" s="136"/>
      <c r="AB199" s="136"/>
      <c r="AC199" s="136"/>
      <c r="AD199" s="105">
        <f t="shared" si="57"/>
        <v>0</v>
      </c>
      <c r="AE199" s="143"/>
      <c r="AF199" s="143"/>
      <c r="AG199" s="146"/>
      <c r="AH199" s="224">
        <f t="shared" si="58"/>
        <v>0</v>
      </c>
      <c r="AI199" s="126"/>
      <c r="AJ199" s="274"/>
      <c r="AK199" s="274"/>
      <c r="AL199" s="126"/>
      <c r="AM199" s="126"/>
      <c r="AN199" s="126"/>
      <c r="AO199" s="126"/>
      <c r="AP199" s="274"/>
      <c r="AQ199" s="274"/>
      <c r="AR199" s="274"/>
      <c r="AS199" s="274"/>
      <c r="AT199" s="222">
        <f t="shared" si="59"/>
        <v>0</v>
      </c>
      <c r="AU199" s="140">
        <f t="shared" si="60"/>
        <v>0</v>
      </c>
      <c r="AV199" s="132"/>
      <c r="AW199" s="140">
        <f t="shared" si="61"/>
        <v>0</v>
      </c>
      <c r="AX199" s="141"/>
      <c r="AY199" s="141"/>
      <c r="AZ199" s="141"/>
      <c r="BA199" s="141"/>
      <c r="BB199" s="141"/>
      <c r="BC199" s="130">
        <f t="shared" si="62"/>
        <v>0</v>
      </c>
      <c r="BD199" s="132"/>
    </row>
    <row r="200" ht="14.25" customHeight="1">
      <c r="A200" s="132"/>
      <c r="B200" s="1506">
        <v>46199</v>
      </c>
      <c r="C200" s="136"/>
      <c r="D200" s="136"/>
      <c r="E200" s="135"/>
      <c r="F200" s="135"/>
      <c r="G200" s="147">
        <f t="shared" si="63"/>
        <v>0</v>
      </c>
      <c r="H200" s="144"/>
      <c r="I200" s="143"/>
      <c r="J200" s="143"/>
      <c r="K200" s="143"/>
      <c r="L200" s="143"/>
      <c r="M200" s="103">
        <f t="shared" si="55"/>
        <v>0</v>
      </c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03">
        <f t="shared" si="56"/>
        <v>0</v>
      </c>
      <c r="AA200" s="136"/>
      <c r="AB200" s="136"/>
      <c r="AC200" s="136"/>
      <c r="AD200" s="105">
        <f t="shared" si="57"/>
        <v>0</v>
      </c>
      <c r="AE200" s="143"/>
      <c r="AF200" s="143"/>
      <c r="AG200" s="146"/>
      <c r="AH200" s="224">
        <f t="shared" si="58"/>
        <v>0</v>
      </c>
      <c r="AI200" s="126"/>
      <c r="AJ200" s="274"/>
      <c r="AK200" s="274"/>
      <c r="AL200" s="126"/>
      <c r="AM200" s="126"/>
      <c r="AN200" s="126"/>
      <c r="AO200" s="126"/>
      <c r="AP200" s="274"/>
      <c r="AQ200" s="274"/>
      <c r="AR200" s="274"/>
      <c r="AS200" s="274"/>
      <c r="AT200" s="222">
        <f t="shared" si="59"/>
        <v>0</v>
      </c>
      <c r="AU200" s="140">
        <f t="shared" si="60"/>
        <v>0</v>
      </c>
      <c r="AV200" s="132"/>
      <c r="AW200" s="140">
        <f t="shared" si="61"/>
        <v>0</v>
      </c>
      <c r="AX200" s="141"/>
      <c r="AY200" s="141"/>
      <c r="AZ200" s="141"/>
      <c r="BA200" s="141"/>
      <c r="BB200" s="141"/>
      <c r="BC200" s="130">
        <f t="shared" si="62"/>
        <v>0</v>
      </c>
      <c r="BD200" s="132"/>
    </row>
    <row r="201" ht="14.25" customHeight="1">
      <c r="A201" s="132"/>
      <c r="B201" s="1506">
        <v>46200</v>
      </c>
      <c r="C201" s="136"/>
      <c r="D201" s="136"/>
      <c r="E201" s="135"/>
      <c r="F201" s="135"/>
      <c r="G201" s="147">
        <f t="shared" si="63"/>
        <v>0</v>
      </c>
      <c r="H201" s="144"/>
      <c r="I201" s="143"/>
      <c r="J201" s="143"/>
      <c r="K201" s="143"/>
      <c r="L201" s="143"/>
      <c r="M201" s="103">
        <f t="shared" si="55"/>
        <v>0</v>
      </c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03">
        <f t="shared" si="56"/>
        <v>0</v>
      </c>
      <c r="AA201" s="136"/>
      <c r="AB201" s="136"/>
      <c r="AC201" s="136"/>
      <c r="AD201" s="105">
        <f t="shared" si="57"/>
        <v>0</v>
      </c>
      <c r="AE201" s="143"/>
      <c r="AF201" s="143"/>
      <c r="AG201" s="146"/>
      <c r="AH201" s="224">
        <f t="shared" si="58"/>
        <v>0</v>
      </c>
      <c r="AI201" s="126"/>
      <c r="AJ201" s="274"/>
      <c r="AK201" s="274"/>
      <c r="AL201" s="1527"/>
      <c r="AM201" s="126"/>
      <c r="AN201" s="126"/>
      <c r="AO201" s="126"/>
      <c r="AP201" s="274"/>
      <c r="AQ201" s="274"/>
      <c r="AR201" s="274"/>
      <c r="AS201" s="274"/>
      <c r="AT201" s="222">
        <f t="shared" si="59"/>
        <v>0</v>
      </c>
      <c r="AU201" s="140">
        <f t="shared" si="60"/>
        <v>0</v>
      </c>
      <c r="AV201" s="132"/>
      <c r="AW201" s="140">
        <f t="shared" si="61"/>
        <v>0</v>
      </c>
      <c r="AX201" s="141"/>
      <c r="AY201" s="141"/>
      <c r="AZ201" s="141"/>
      <c r="BA201" s="141"/>
      <c r="BB201" s="141"/>
      <c r="BC201" s="130">
        <f t="shared" si="62"/>
        <v>0</v>
      </c>
      <c r="BD201" s="132"/>
    </row>
    <row r="202" ht="14.25" customHeight="1">
      <c r="A202" s="132"/>
      <c r="B202" s="1506">
        <v>46201</v>
      </c>
      <c r="C202" s="136"/>
      <c r="D202" s="136"/>
      <c r="E202" s="135"/>
      <c r="F202" s="135"/>
      <c r="G202" s="147">
        <f t="shared" si="63"/>
        <v>0</v>
      </c>
      <c r="H202" s="144"/>
      <c r="I202" s="143"/>
      <c r="J202" s="143"/>
      <c r="K202" s="143"/>
      <c r="L202" s="143"/>
      <c r="M202" s="103">
        <f t="shared" si="55"/>
        <v>0</v>
      </c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03">
        <f t="shared" si="56"/>
        <v>0</v>
      </c>
      <c r="AA202" s="136"/>
      <c r="AB202" s="136"/>
      <c r="AC202" s="136"/>
      <c r="AD202" s="105">
        <f t="shared" si="57"/>
        <v>0</v>
      </c>
      <c r="AE202" s="143"/>
      <c r="AF202" s="143"/>
      <c r="AG202" s="146"/>
      <c r="AH202" s="224">
        <f t="shared" si="58"/>
        <v>0</v>
      </c>
      <c r="AI202" s="126"/>
      <c r="AJ202" s="274"/>
      <c r="AK202" s="274"/>
      <c r="AL202" s="126"/>
      <c r="AM202" s="126"/>
      <c r="AN202" s="126"/>
      <c r="AO202" s="126"/>
      <c r="AP202" s="274"/>
      <c r="AQ202" s="274"/>
      <c r="AR202" s="274"/>
      <c r="AS202" s="274"/>
      <c r="AT202" s="222">
        <f t="shared" si="59"/>
        <v>0</v>
      </c>
      <c r="AU202" s="140">
        <f t="shared" si="60"/>
        <v>0</v>
      </c>
      <c r="AV202" s="132"/>
      <c r="AW202" s="140">
        <f t="shared" si="61"/>
        <v>0</v>
      </c>
      <c r="AX202" s="141"/>
      <c r="AY202" s="141"/>
      <c r="AZ202" s="141"/>
      <c r="BA202" s="141"/>
      <c r="BB202" s="141"/>
      <c r="BC202" s="130">
        <f t="shared" si="62"/>
        <v>0</v>
      </c>
      <c r="BD202" s="132"/>
    </row>
    <row r="203" ht="14.25" customHeight="1">
      <c r="A203" s="132"/>
      <c r="B203" s="1506">
        <v>46202</v>
      </c>
      <c r="C203" s="136"/>
      <c r="D203" s="136"/>
      <c r="E203" s="135"/>
      <c r="F203" s="135"/>
      <c r="G203" s="147">
        <f t="shared" si="63"/>
        <v>0</v>
      </c>
      <c r="H203" s="144"/>
      <c r="I203" s="143"/>
      <c r="J203" s="143"/>
      <c r="K203" s="143"/>
      <c r="L203" s="143"/>
      <c r="M203" s="103">
        <f t="shared" si="55"/>
        <v>0</v>
      </c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03">
        <f t="shared" si="56"/>
        <v>0</v>
      </c>
      <c r="AA203" s="136"/>
      <c r="AB203" s="136"/>
      <c r="AC203" s="136"/>
      <c r="AD203" s="105">
        <f t="shared" si="57"/>
        <v>0</v>
      </c>
      <c r="AE203" s="143"/>
      <c r="AF203" s="143"/>
      <c r="AG203" s="146"/>
      <c r="AH203" s="224">
        <f t="shared" si="58"/>
        <v>0</v>
      </c>
      <c r="AI203" s="126"/>
      <c r="AJ203" s="274"/>
      <c r="AK203" s="274"/>
      <c r="AL203" s="126"/>
      <c r="AM203" s="126"/>
      <c r="AN203" s="126"/>
      <c r="AO203" s="126"/>
      <c r="AP203" s="274"/>
      <c r="AQ203" s="274"/>
      <c r="AR203" s="274"/>
      <c r="AS203" s="274"/>
      <c r="AT203" s="222">
        <f t="shared" si="59"/>
        <v>0</v>
      </c>
      <c r="AU203" s="140">
        <f t="shared" si="60"/>
        <v>0</v>
      </c>
      <c r="AV203" s="132"/>
      <c r="AW203" s="140">
        <f t="shared" si="61"/>
        <v>0</v>
      </c>
      <c r="AX203" s="141"/>
      <c r="AY203" s="141"/>
      <c r="AZ203" s="141"/>
      <c r="BA203" s="141"/>
      <c r="BB203" s="141"/>
      <c r="BC203" s="130">
        <f t="shared" si="62"/>
        <v>0</v>
      </c>
      <c r="BD203" s="132"/>
    </row>
    <row r="204" ht="14.25" customHeight="1">
      <c r="A204" s="132"/>
      <c r="B204" s="1506">
        <v>46203</v>
      </c>
      <c r="C204" s="136"/>
      <c r="D204" s="136"/>
      <c r="E204" s="135"/>
      <c r="F204" s="135"/>
      <c r="G204" s="147">
        <f t="shared" si="63"/>
        <v>0</v>
      </c>
      <c r="H204" s="144"/>
      <c r="I204" s="143"/>
      <c r="J204" s="143"/>
      <c r="K204" s="143"/>
      <c r="L204" s="143"/>
      <c r="M204" s="103">
        <f t="shared" si="55"/>
        <v>0</v>
      </c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03">
        <f t="shared" si="56"/>
        <v>0</v>
      </c>
      <c r="AA204" s="136"/>
      <c r="AB204" s="136"/>
      <c r="AC204" s="136"/>
      <c r="AD204" s="105">
        <f t="shared" si="57"/>
        <v>0</v>
      </c>
      <c r="AE204" s="143"/>
      <c r="AF204" s="143"/>
      <c r="AG204" s="146"/>
      <c r="AH204" s="224">
        <f t="shared" si="58"/>
        <v>0</v>
      </c>
      <c r="AI204" s="138"/>
      <c r="AJ204" s="274"/>
      <c r="AK204" s="274"/>
      <c r="AL204" s="126"/>
      <c r="AM204" s="126"/>
      <c r="AN204" s="126"/>
      <c r="AO204" s="126"/>
      <c r="AP204" s="274"/>
      <c r="AQ204" s="274"/>
      <c r="AR204" s="274"/>
      <c r="AS204" s="274"/>
      <c r="AT204" s="222">
        <f t="shared" si="59"/>
        <v>0</v>
      </c>
      <c r="AU204" s="140">
        <f t="shared" si="60"/>
        <v>0</v>
      </c>
      <c r="AV204" s="132"/>
      <c r="AW204" s="140">
        <f t="shared" si="61"/>
        <v>0</v>
      </c>
      <c r="AX204" s="141"/>
      <c r="AY204" s="141"/>
      <c r="AZ204" s="141"/>
      <c r="BA204" s="141"/>
      <c r="BB204" s="141"/>
      <c r="BC204" s="164">
        <f t="shared" si="62"/>
        <v>0</v>
      </c>
      <c r="BD204" s="132"/>
    </row>
    <row r="205" ht="14.25" customHeight="1">
      <c r="A205" s="3"/>
      <c r="B205" s="1528" t="s">
        <v>262</v>
      </c>
      <c r="C205" s="166">
        <f ref="C205:H205" t="shared" si="64">SUM(C175:C204)</f>
        <v>0</v>
      </c>
      <c r="D205" s="166">
        <f t="shared" si="64"/>
        <v>0</v>
      </c>
      <c r="E205" s="166">
        <f t="shared" si="64"/>
        <v>0</v>
      </c>
      <c r="F205" s="166">
        <f t="shared" si="64"/>
        <v>0</v>
      </c>
      <c r="G205" s="166">
        <f t="shared" si="64"/>
        <v>0</v>
      </c>
      <c r="H205" s="166">
        <f t="shared" si="64"/>
        <v>0</v>
      </c>
      <c r="I205" s="166"/>
      <c r="J205" s="166"/>
      <c r="K205" s="166"/>
      <c r="L205" s="166">
        <f ref="L205:AA205" t="shared" si="65">SUM(L175:L204)</f>
        <v>0</v>
      </c>
      <c r="M205" s="166">
        <f t="shared" si="65"/>
        <v>0</v>
      </c>
      <c r="N205" s="166">
        <f t="shared" si="65"/>
        <v>0</v>
      </c>
      <c r="O205" s="166">
        <f t="shared" si="65"/>
        <v>0</v>
      </c>
      <c r="P205" s="166">
        <f t="shared" si="65"/>
        <v>0</v>
      </c>
      <c r="Q205" s="166">
        <f t="shared" si="65"/>
        <v>0</v>
      </c>
      <c r="R205" s="166">
        <f t="shared" si="65"/>
        <v>0</v>
      </c>
      <c r="S205" s="166">
        <f t="shared" si="65"/>
        <v>0</v>
      </c>
      <c r="T205" s="166">
        <f t="shared" si="65"/>
        <v>0</v>
      </c>
      <c r="U205" s="166">
        <f t="shared" si="65"/>
        <v>0</v>
      </c>
      <c r="V205" s="166">
        <f t="shared" si="65"/>
        <v>0</v>
      </c>
      <c r="W205" s="166">
        <f t="shared" si="65"/>
        <v>0</v>
      </c>
      <c r="X205" s="166">
        <f t="shared" si="65"/>
        <v>0</v>
      </c>
      <c r="Y205" s="166">
        <f t="shared" si="65"/>
        <v>0</v>
      </c>
      <c r="Z205" s="166">
        <f t="shared" si="65"/>
        <v>0</v>
      </c>
      <c r="AA205" s="166">
        <f t="shared" si="65"/>
        <v>0</v>
      </c>
      <c r="AB205" s="166"/>
      <c r="AC205" s="166"/>
      <c r="AD205" s="166">
        <f>SUM(AD175:AD204)</f>
        <v>0</v>
      </c>
      <c r="AE205" s="166"/>
      <c r="AF205" s="166"/>
      <c r="AG205" s="166"/>
      <c r="AH205" s="166">
        <f>SUM(AH175:AH204)</f>
        <v>0</v>
      </c>
      <c r="AI205" s="165"/>
      <c r="AJ205" s="166"/>
      <c r="AK205" s="166"/>
      <c r="AL205" s="166"/>
      <c r="AM205" s="166"/>
      <c r="AN205" s="166"/>
      <c r="AO205" s="166"/>
      <c r="AP205" s="166"/>
      <c r="AQ205" s="166"/>
      <c r="AR205" s="166"/>
      <c r="AS205" s="166"/>
      <c r="AT205" s="166">
        <f ref="AT205:AU205" t="shared" si="66">SUM(AT175:AT204)</f>
        <v>0</v>
      </c>
      <c r="AU205" s="166">
        <f t="shared" si="66"/>
        <v>0</v>
      </c>
      <c r="AV205" s="3"/>
      <c r="AW205" s="172">
        <f>SUM(AW175:AW204)</f>
        <v>0</v>
      </c>
      <c r="AX205" s="166"/>
      <c r="AY205" s="166"/>
      <c r="AZ205" s="166"/>
      <c r="BA205" s="166"/>
      <c r="BB205" s="166"/>
      <c r="BC205" s="166">
        <f>SUM(BC175:BC204)</f>
        <v>0</v>
      </c>
      <c r="BD205" s="3"/>
    </row>
    <row r="206" ht="14.25" customHeight="1">
      <c r="A206" s="1"/>
      <c r="B206" s="1495"/>
      <c r="C206" s="3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96"/>
      <c r="AA206" s="3"/>
      <c r="AB206" s="3"/>
      <c r="AC206" s="3"/>
      <c r="AD206" s="4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ht="14.25" customHeight="1">
      <c r="A207" s="1"/>
      <c r="B207" s="1495"/>
      <c r="C207" s="3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176"/>
      <c r="AA207" s="3"/>
      <c r="AB207" s="3"/>
      <c r="AC207" s="3"/>
      <c r="AD207" s="4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ht="14.25" customHeight="1">
      <c r="A208" s="132"/>
      <c r="B208" s="1506">
        <v>46204</v>
      </c>
      <c r="C208" s="190"/>
      <c r="D208" s="190"/>
      <c r="E208" s="182"/>
      <c r="F208" s="182"/>
      <c r="G208" s="265">
        <f ref="G208:G238" t="shared" si="67">+C208+D208+E208+F208</f>
        <v>0</v>
      </c>
      <c r="H208" s="187"/>
      <c r="I208" s="186"/>
      <c r="J208" s="186"/>
      <c r="K208" s="186"/>
      <c r="L208" s="186"/>
      <c r="M208" s="103">
        <f ref="M208:M238" t="shared" si="68">SUM(H208:L208)</f>
        <v>0</v>
      </c>
      <c r="N208" s="186"/>
      <c r="O208" s="186"/>
      <c r="P208" s="186"/>
      <c r="Q208" s="186"/>
      <c r="R208" s="186"/>
      <c r="S208" s="186"/>
      <c r="T208" s="186"/>
      <c r="U208" s="186"/>
      <c r="V208" s="186"/>
      <c r="W208" s="186"/>
      <c r="X208" s="186"/>
      <c r="Y208" s="186"/>
      <c r="Z208" s="103">
        <f ref="Z208:Z238" t="shared" si="69">SUM(N208:Y208)</f>
        <v>0</v>
      </c>
      <c r="AA208" s="190"/>
      <c r="AB208" s="190"/>
      <c r="AC208" s="190"/>
      <c r="AD208" s="191">
        <f ref="AD208:AD238" t="shared" si="70">SUM(AA208:AC208)</f>
        <v>0</v>
      </c>
      <c r="AE208" s="186"/>
      <c r="AF208" s="186"/>
      <c r="AG208" s="193"/>
      <c r="AH208" s="266" t="e">
        <f ref="AH208:AH238" t="shared" si="71">+G208-M208-Z208-AD208-AE208-AF208-#REF!-AG208</f>
        <v>#REF!</v>
      </c>
      <c r="AI208" s="109"/>
      <c r="AJ208" s="269"/>
      <c r="AK208" s="1529"/>
      <c r="AL208" s="109"/>
      <c r="AM208" s="109"/>
      <c r="AN208" s="109"/>
      <c r="AO208" s="109"/>
      <c r="AP208" s="269"/>
      <c r="AQ208" s="269"/>
      <c r="AR208" s="269"/>
      <c r="AS208" s="269"/>
      <c r="AT208" s="292">
        <f ref="AT208:AT238" t="shared" si="72">SUM(AI208:AS208)-AR208</f>
        <v>0</v>
      </c>
      <c r="AU208" s="195" t="e">
        <f ref="AU208:AU238" t="shared" si="73">+AH208-AT208</f>
        <v>#REF!</v>
      </c>
      <c r="AV208" s="132"/>
      <c r="AW208" s="195">
        <f ref="AW208:AW238" t="shared" si="74">SUM(AX208:BB208)</f>
        <v>0</v>
      </c>
      <c r="AX208" s="196"/>
      <c r="AY208" s="196"/>
      <c r="AZ208" s="196"/>
      <c r="BA208" s="196"/>
      <c r="BB208" s="196"/>
      <c r="BC208" s="116" t="e">
        <f ref="BC208:BC238" t="shared" si="75">+AU208-AW208</f>
        <v>#REF!</v>
      </c>
      <c r="BD208" s="132"/>
    </row>
    <row r="209" ht="14.25" customHeight="1">
      <c r="A209" s="3"/>
      <c r="B209" s="1506">
        <v>46205</v>
      </c>
      <c r="C209" s="123"/>
      <c r="D209" s="123"/>
      <c r="E209" s="120"/>
      <c r="F209" s="120"/>
      <c r="G209" s="147">
        <f t="shared" si="67"/>
        <v>0</v>
      </c>
      <c r="H209" s="144"/>
      <c r="I209" s="143"/>
      <c r="J209" s="143"/>
      <c r="K209" s="143"/>
      <c r="L209" s="143"/>
      <c r="M209" s="103">
        <f t="shared" si="68"/>
        <v>0</v>
      </c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03">
        <f t="shared" si="69"/>
        <v>0</v>
      </c>
      <c r="AA209" s="123"/>
      <c r="AB209" s="123"/>
      <c r="AC209" s="123"/>
      <c r="AD209" s="105">
        <f t="shared" si="70"/>
        <v>0</v>
      </c>
      <c r="AE209" s="143"/>
      <c r="AF209" s="143"/>
      <c r="AG209" s="146"/>
      <c r="AH209" s="224" t="e">
        <f t="shared" si="71"/>
        <v>#REF!</v>
      </c>
      <c r="AI209" s="126"/>
      <c r="AJ209" s="274"/>
      <c r="AK209" s="274"/>
      <c r="AL209" s="126"/>
      <c r="AM209" s="126"/>
      <c r="AN209" s="126"/>
      <c r="AO209" s="126"/>
      <c r="AP209" s="274"/>
      <c r="AQ209" s="274"/>
      <c r="AR209" s="274"/>
      <c r="AS209" s="274"/>
      <c r="AT209" s="222">
        <f t="shared" si="72"/>
        <v>0</v>
      </c>
      <c r="AU209" s="113" t="e">
        <f t="shared" si="73"/>
        <v>#REF!</v>
      </c>
      <c r="AV209" s="3"/>
      <c r="AW209" s="113">
        <f t="shared" si="74"/>
        <v>0</v>
      </c>
      <c r="AX209" s="129"/>
      <c r="AY209" s="129"/>
      <c r="AZ209" s="129"/>
      <c r="BA209" s="129"/>
      <c r="BB209" s="129"/>
      <c r="BC209" s="130" t="e">
        <f t="shared" si="75"/>
        <v>#REF!</v>
      </c>
      <c r="BD209" s="3"/>
    </row>
    <row r="210" ht="14.25" customHeight="1">
      <c r="A210" s="3"/>
      <c r="B210" s="1506">
        <v>46206</v>
      </c>
      <c r="C210" s="123"/>
      <c r="D210" s="123"/>
      <c r="E210" s="120"/>
      <c r="F210" s="120"/>
      <c r="G210" s="147">
        <f t="shared" si="67"/>
        <v>0</v>
      </c>
      <c r="H210" s="144"/>
      <c r="I210" s="143"/>
      <c r="J210" s="143"/>
      <c r="K210" s="143"/>
      <c r="L210" s="143"/>
      <c r="M210" s="103">
        <f t="shared" si="68"/>
        <v>0</v>
      </c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03">
        <f t="shared" si="69"/>
        <v>0</v>
      </c>
      <c r="AA210" s="123"/>
      <c r="AB210" s="123"/>
      <c r="AC210" s="123"/>
      <c r="AD210" s="105">
        <f t="shared" si="70"/>
        <v>0</v>
      </c>
      <c r="AE210" s="143"/>
      <c r="AF210" s="143"/>
      <c r="AG210" s="146"/>
      <c r="AH210" s="224" t="e">
        <f t="shared" si="71"/>
        <v>#REF!</v>
      </c>
      <c r="AI210" s="126"/>
      <c r="AJ210" s="274"/>
      <c r="AK210" s="274"/>
      <c r="AL210" s="126"/>
      <c r="AM210" s="126"/>
      <c r="AN210" s="126"/>
      <c r="AO210" s="126"/>
      <c r="AP210" s="274"/>
      <c r="AQ210" s="274"/>
      <c r="AR210" s="274"/>
      <c r="AS210" s="274"/>
      <c r="AT210" s="222">
        <f t="shared" si="72"/>
        <v>0</v>
      </c>
      <c r="AU210" s="113" t="e">
        <f t="shared" si="73"/>
        <v>#REF!</v>
      </c>
      <c r="AV210" s="3"/>
      <c r="AW210" s="113">
        <f t="shared" si="74"/>
        <v>0</v>
      </c>
      <c r="AX210" s="129"/>
      <c r="AY210" s="129"/>
      <c r="AZ210" s="129"/>
      <c r="BA210" s="129"/>
      <c r="BB210" s="129"/>
      <c r="BC210" s="130" t="e">
        <f t="shared" si="75"/>
        <v>#REF!</v>
      </c>
      <c r="BD210" s="3"/>
    </row>
    <row r="211" ht="14.25" customHeight="1">
      <c r="A211" s="3"/>
      <c r="B211" s="1506">
        <v>46207</v>
      </c>
      <c r="C211" s="123"/>
      <c r="D211" s="123"/>
      <c r="E211" s="120"/>
      <c r="F211" s="120"/>
      <c r="G211" s="147">
        <f t="shared" si="67"/>
        <v>0</v>
      </c>
      <c r="H211" s="144"/>
      <c r="I211" s="143"/>
      <c r="J211" s="143"/>
      <c r="K211" s="143"/>
      <c r="L211" s="143"/>
      <c r="M211" s="103">
        <f t="shared" si="68"/>
        <v>0</v>
      </c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03">
        <f t="shared" si="69"/>
        <v>0</v>
      </c>
      <c r="AA211" s="123"/>
      <c r="AB211" s="123"/>
      <c r="AC211" s="123"/>
      <c r="AD211" s="105">
        <f t="shared" si="70"/>
        <v>0</v>
      </c>
      <c r="AE211" s="143"/>
      <c r="AF211" s="143"/>
      <c r="AG211" s="146"/>
      <c r="AH211" s="224" t="e">
        <f t="shared" si="71"/>
        <v>#REF!</v>
      </c>
      <c r="AI211" s="126"/>
      <c r="AJ211" s="274"/>
      <c r="AK211" s="274"/>
      <c r="AL211" s="293"/>
      <c r="AM211" s="126"/>
      <c r="AN211" s="126"/>
      <c r="AO211" s="126"/>
      <c r="AP211" s="274"/>
      <c r="AQ211" s="274"/>
      <c r="AR211" s="274"/>
      <c r="AS211" s="274"/>
      <c r="AT211" s="222">
        <f t="shared" si="72"/>
        <v>0</v>
      </c>
      <c r="AU211" s="113" t="e">
        <f t="shared" si="73"/>
        <v>#REF!</v>
      </c>
      <c r="AV211" s="3"/>
      <c r="AW211" s="113">
        <f t="shared" si="74"/>
        <v>0</v>
      </c>
      <c r="AX211" s="129"/>
      <c r="AY211" s="129"/>
      <c r="AZ211" s="129"/>
      <c r="BA211" s="129"/>
      <c r="BB211" s="129"/>
      <c r="BC211" s="130" t="e">
        <f t="shared" si="75"/>
        <v>#REF!</v>
      </c>
      <c r="BD211" s="3"/>
    </row>
    <row r="212" ht="14.25" customHeight="1">
      <c r="A212" s="132"/>
      <c r="B212" s="1506">
        <v>46208</v>
      </c>
      <c r="C212" s="136"/>
      <c r="D212" s="136"/>
      <c r="E212" s="135"/>
      <c r="F212" s="135"/>
      <c r="G212" s="147">
        <f t="shared" si="67"/>
        <v>0</v>
      </c>
      <c r="H212" s="144"/>
      <c r="I212" s="143"/>
      <c r="J212" s="143"/>
      <c r="K212" s="143"/>
      <c r="L212" s="143"/>
      <c r="M212" s="103">
        <f t="shared" si="68"/>
        <v>0</v>
      </c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03">
        <f t="shared" si="69"/>
        <v>0</v>
      </c>
      <c r="AA212" s="136"/>
      <c r="AB212" s="136"/>
      <c r="AC212" s="136"/>
      <c r="AD212" s="105">
        <f t="shared" si="70"/>
        <v>0</v>
      </c>
      <c r="AE212" s="143"/>
      <c r="AF212" s="143"/>
      <c r="AG212" s="146"/>
      <c r="AH212" s="224" t="e">
        <f t="shared" si="71"/>
        <v>#REF!</v>
      </c>
      <c r="AI212" s="126"/>
      <c r="AJ212" s="274"/>
      <c r="AK212" s="274"/>
      <c r="AL212" s="126"/>
      <c r="AM212" s="126"/>
      <c r="AN212" s="126"/>
      <c r="AO212" s="126"/>
      <c r="AP212" s="274"/>
      <c r="AQ212" s="274"/>
      <c r="AR212" s="274"/>
      <c r="AS212" s="274"/>
      <c r="AT212" s="222">
        <f t="shared" si="72"/>
        <v>0</v>
      </c>
      <c r="AU212" s="140" t="e">
        <f t="shared" si="73"/>
        <v>#REF!</v>
      </c>
      <c r="AV212" s="132"/>
      <c r="AW212" s="140">
        <f t="shared" si="74"/>
        <v>0</v>
      </c>
      <c r="AX212" s="141"/>
      <c r="AY212" s="141"/>
      <c r="AZ212" s="141"/>
      <c r="BA212" s="141"/>
      <c r="BB212" s="141"/>
      <c r="BC212" s="130" t="e">
        <f t="shared" si="75"/>
        <v>#REF!</v>
      </c>
      <c r="BD212" s="132"/>
    </row>
    <row r="213" ht="14.25" customHeight="1">
      <c r="A213" s="132"/>
      <c r="B213" s="1506">
        <v>46209</v>
      </c>
      <c r="C213" s="136"/>
      <c r="D213" s="136"/>
      <c r="E213" s="135"/>
      <c r="F213" s="135"/>
      <c r="G213" s="147">
        <f t="shared" si="67"/>
        <v>0</v>
      </c>
      <c r="H213" s="144"/>
      <c r="I213" s="143"/>
      <c r="J213" s="143"/>
      <c r="K213" s="143"/>
      <c r="L213" s="143"/>
      <c r="M213" s="103">
        <f t="shared" si="68"/>
        <v>0</v>
      </c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03">
        <f t="shared" si="69"/>
        <v>0</v>
      </c>
      <c r="AA213" s="136"/>
      <c r="AB213" s="136"/>
      <c r="AC213" s="136"/>
      <c r="AD213" s="105">
        <f t="shared" si="70"/>
        <v>0</v>
      </c>
      <c r="AE213" s="143"/>
      <c r="AF213" s="143"/>
      <c r="AG213" s="146"/>
      <c r="AH213" s="224" t="e">
        <f t="shared" si="71"/>
        <v>#REF!</v>
      </c>
      <c r="AI213" s="126"/>
      <c r="AJ213" s="274"/>
      <c r="AK213" s="274"/>
      <c r="AL213" s="126"/>
      <c r="AM213" s="126"/>
      <c r="AN213" s="126"/>
      <c r="AO213" s="126"/>
      <c r="AP213" s="274"/>
      <c r="AQ213" s="274"/>
      <c r="AR213" s="274"/>
      <c r="AS213" s="274"/>
      <c r="AT213" s="222">
        <f t="shared" si="72"/>
        <v>0</v>
      </c>
      <c r="AU213" s="140" t="e">
        <f t="shared" si="73"/>
        <v>#REF!</v>
      </c>
      <c r="AV213" s="132"/>
      <c r="AW213" s="140">
        <f t="shared" si="74"/>
        <v>0</v>
      </c>
      <c r="AX213" s="141"/>
      <c r="AY213" s="141"/>
      <c r="AZ213" s="141"/>
      <c r="BA213" s="141"/>
      <c r="BB213" s="141"/>
      <c r="BC213" s="130" t="e">
        <f t="shared" si="75"/>
        <v>#REF!</v>
      </c>
      <c r="BD213" s="132"/>
    </row>
    <row r="214" ht="14.25" customHeight="1">
      <c r="A214" s="132"/>
      <c r="B214" s="1506">
        <v>46210</v>
      </c>
      <c r="C214" s="136"/>
      <c r="D214" s="136"/>
      <c r="E214" s="135"/>
      <c r="F214" s="135"/>
      <c r="G214" s="147">
        <f t="shared" si="67"/>
        <v>0</v>
      </c>
      <c r="H214" s="144"/>
      <c r="I214" s="143"/>
      <c r="J214" s="143"/>
      <c r="K214" s="143"/>
      <c r="L214" s="143"/>
      <c r="M214" s="103">
        <f t="shared" si="68"/>
        <v>0</v>
      </c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03">
        <f t="shared" si="69"/>
        <v>0</v>
      </c>
      <c r="AA214" s="136"/>
      <c r="AB214" s="136"/>
      <c r="AC214" s="136"/>
      <c r="AD214" s="105">
        <f t="shared" si="70"/>
        <v>0</v>
      </c>
      <c r="AE214" s="143"/>
      <c r="AF214" s="143"/>
      <c r="AG214" s="146"/>
      <c r="AH214" s="224" t="e">
        <f t="shared" si="71"/>
        <v>#REF!</v>
      </c>
      <c r="AI214" s="126"/>
      <c r="AJ214" s="274"/>
      <c r="AK214" s="274"/>
      <c r="AL214" s="126"/>
      <c r="AM214" s="126"/>
      <c r="AN214" s="126"/>
      <c r="AO214" s="126"/>
      <c r="AP214" s="274"/>
      <c r="AQ214" s="274"/>
      <c r="AR214" s="274"/>
      <c r="AS214" s="274"/>
      <c r="AT214" s="222">
        <f t="shared" si="72"/>
        <v>0</v>
      </c>
      <c r="AU214" s="140" t="e">
        <f t="shared" si="73"/>
        <v>#REF!</v>
      </c>
      <c r="AV214" s="132"/>
      <c r="AW214" s="140">
        <f t="shared" si="74"/>
        <v>0</v>
      </c>
      <c r="AX214" s="141"/>
      <c r="AY214" s="141"/>
      <c r="AZ214" s="141"/>
      <c r="BA214" s="141"/>
      <c r="BB214" s="141"/>
      <c r="BC214" s="130" t="e">
        <f t="shared" si="75"/>
        <v>#REF!</v>
      </c>
      <c r="BD214" s="132"/>
    </row>
    <row r="215" ht="14.25" customHeight="1">
      <c r="A215" s="132"/>
      <c r="B215" s="1506">
        <v>46211</v>
      </c>
      <c r="C215" s="136"/>
      <c r="D215" s="136"/>
      <c r="E215" s="135"/>
      <c r="F215" s="135"/>
      <c r="G215" s="147">
        <f t="shared" si="67"/>
        <v>0</v>
      </c>
      <c r="H215" s="144"/>
      <c r="I215" s="143"/>
      <c r="J215" s="143"/>
      <c r="K215" s="143"/>
      <c r="L215" s="143"/>
      <c r="M215" s="103">
        <f t="shared" si="68"/>
        <v>0</v>
      </c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03">
        <f t="shared" si="69"/>
        <v>0</v>
      </c>
      <c r="AA215" s="136"/>
      <c r="AB215" s="136"/>
      <c r="AC215" s="136"/>
      <c r="AD215" s="105">
        <f t="shared" si="70"/>
        <v>0</v>
      </c>
      <c r="AE215" s="143"/>
      <c r="AF215" s="143"/>
      <c r="AG215" s="146"/>
      <c r="AH215" s="224" t="e">
        <f t="shared" si="71"/>
        <v>#REF!</v>
      </c>
      <c r="AI215" s="126"/>
      <c r="AJ215" s="274"/>
      <c r="AK215" s="274"/>
      <c r="AL215" s="126"/>
      <c r="AM215" s="126"/>
      <c r="AN215" s="126"/>
      <c r="AO215" s="126"/>
      <c r="AP215" s="274"/>
      <c r="AQ215" s="274"/>
      <c r="AR215" s="274"/>
      <c r="AS215" s="274"/>
      <c r="AT215" s="222">
        <f t="shared" si="72"/>
        <v>0</v>
      </c>
      <c r="AU215" s="140" t="e">
        <f t="shared" si="73"/>
        <v>#REF!</v>
      </c>
      <c r="AV215" s="132"/>
      <c r="AW215" s="140">
        <f t="shared" si="74"/>
        <v>0</v>
      </c>
      <c r="AX215" s="141"/>
      <c r="AY215" s="141"/>
      <c r="AZ215" s="309"/>
      <c r="BA215" s="1530"/>
      <c r="BB215" s="1530"/>
      <c r="BC215" s="130" t="e">
        <f t="shared" si="75"/>
        <v>#REF!</v>
      </c>
      <c r="BD215" s="132"/>
    </row>
    <row r="216" ht="14.25" customHeight="1">
      <c r="A216" s="132"/>
      <c r="B216" s="1506">
        <v>46212</v>
      </c>
      <c r="C216" s="136"/>
      <c r="D216" s="136"/>
      <c r="E216" s="135"/>
      <c r="F216" s="135"/>
      <c r="G216" s="147">
        <f t="shared" si="67"/>
        <v>0</v>
      </c>
      <c r="H216" s="144"/>
      <c r="I216" s="143"/>
      <c r="J216" s="143"/>
      <c r="K216" s="143"/>
      <c r="L216" s="143"/>
      <c r="M216" s="103">
        <f t="shared" si="68"/>
        <v>0</v>
      </c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03">
        <f t="shared" si="69"/>
        <v>0</v>
      </c>
      <c r="AA216" s="136"/>
      <c r="AB216" s="136"/>
      <c r="AC216" s="136"/>
      <c r="AD216" s="105">
        <f t="shared" si="70"/>
        <v>0</v>
      </c>
      <c r="AE216" s="143"/>
      <c r="AF216" s="143"/>
      <c r="AG216" s="146"/>
      <c r="AH216" s="224" t="e">
        <f t="shared" si="71"/>
        <v>#REF!</v>
      </c>
      <c r="AI216" s="126"/>
      <c r="AJ216" s="274"/>
      <c r="AK216" s="127"/>
      <c r="AL216" s="126"/>
      <c r="AM216" s="274"/>
      <c r="AN216" s="274"/>
      <c r="AO216" s="126"/>
      <c r="AP216" s="274"/>
      <c r="AQ216" s="274"/>
      <c r="AR216" s="274"/>
      <c r="AS216" s="274"/>
      <c r="AT216" s="222">
        <f t="shared" si="72"/>
        <v>0</v>
      </c>
      <c r="AU216" s="140" t="e">
        <f t="shared" si="73"/>
        <v>#REF!</v>
      </c>
      <c r="AV216" s="132"/>
      <c r="AW216" s="140">
        <f t="shared" si="74"/>
        <v>0</v>
      </c>
      <c r="AX216" s="141"/>
      <c r="AY216" s="141"/>
      <c r="AZ216" s="141"/>
      <c r="BA216" s="141"/>
      <c r="BB216" s="141"/>
      <c r="BC216" s="130" t="e">
        <f t="shared" si="75"/>
        <v>#REF!</v>
      </c>
      <c r="BD216" s="132"/>
    </row>
    <row r="217" ht="14.25" customHeight="1">
      <c r="A217" s="132"/>
      <c r="B217" s="1506">
        <v>46213</v>
      </c>
      <c r="C217" s="136"/>
      <c r="D217" s="136"/>
      <c r="E217" s="135"/>
      <c r="F217" s="135"/>
      <c r="G217" s="147">
        <f t="shared" si="67"/>
        <v>0</v>
      </c>
      <c r="H217" s="144"/>
      <c r="I217" s="143"/>
      <c r="J217" s="143"/>
      <c r="K217" s="143"/>
      <c r="L217" s="143"/>
      <c r="M217" s="103">
        <f t="shared" si="68"/>
        <v>0</v>
      </c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03">
        <f t="shared" si="69"/>
        <v>0</v>
      </c>
      <c r="AA217" s="136"/>
      <c r="AB217" s="136"/>
      <c r="AC217" s="136"/>
      <c r="AD217" s="105">
        <f t="shared" si="70"/>
        <v>0</v>
      </c>
      <c r="AE217" s="143"/>
      <c r="AF217" s="143"/>
      <c r="AG217" s="146"/>
      <c r="AH217" s="224" t="e">
        <f t="shared" si="71"/>
        <v>#REF!</v>
      </c>
      <c r="AI217" s="126"/>
      <c r="AJ217" s="274"/>
      <c r="AK217" s="274"/>
      <c r="AL217" s="126"/>
      <c r="AM217" s="126"/>
      <c r="AN217" s="126"/>
      <c r="AO217" s="126"/>
      <c r="AP217" s="274"/>
      <c r="AQ217" s="274"/>
      <c r="AR217" s="274"/>
      <c r="AS217" s="274"/>
      <c r="AT217" s="222">
        <f t="shared" si="72"/>
        <v>0</v>
      </c>
      <c r="AU217" s="140" t="e">
        <f t="shared" si="73"/>
        <v>#REF!</v>
      </c>
      <c r="AV217" s="132"/>
      <c r="AW217" s="140">
        <f t="shared" si="74"/>
        <v>0</v>
      </c>
      <c r="AX217" s="141"/>
      <c r="AY217" s="141"/>
      <c r="AZ217" s="141"/>
      <c r="BA217" s="141"/>
      <c r="BB217" s="141"/>
      <c r="BC217" s="130" t="e">
        <f t="shared" si="75"/>
        <v>#REF!</v>
      </c>
      <c r="BD217" s="132"/>
    </row>
    <row r="218" ht="14.25" customHeight="1">
      <c r="A218" s="132"/>
      <c r="B218" s="1506">
        <v>46214</v>
      </c>
      <c r="C218" s="136"/>
      <c r="D218" s="136"/>
      <c r="E218" s="135"/>
      <c r="F218" s="135"/>
      <c r="G218" s="147">
        <f t="shared" si="67"/>
        <v>0</v>
      </c>
      <c r="H218" s="144"/>
      <c r="I218" s="143"/>
      <c r="J218" s="143"/>
      <c r="K218" s="143"/>
      <c r="L218" s="143"/>
      <c r="M218" s="103">
        <f t="shared" si="68"/>
        <v>0</v>
      </c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03">
        <f t="shared" si="69"/>
        <v>0</v>
      </c>
      <c r="AA218" s="136"/>
      <c r="AB218" s="136"/>
      <c r="AC218" s="136"/>
      <c r="AD218" s="105">
        <f t="shared" si="70"/>
        <v>0</v>
      </c>
      <c r="AE218" s="143"/>
      <c r="AF218" s="143"/>
      <c r="AG218" s="146"/>
      <c r="AH218" s="224" t="e">
        <f t="shared" si="71"/>
        <v>#REF!</v>
      </c>
      <c r="AI218" s="126"/>
      <c r="AJ218" s="274"/>
      <c r="AK218" s="274"/>
      <c r="AL218" s="126"/>
      <c r="AM218" s="126"/>
      <c r="AN218" s="126"/>
      <c r="AO218" s="126"/>
      <c r="AP218" s="274"/>
      <c r="AQ218" s="274"/>
      <c r="AR218" s="274"/>
      <c r="AS218" s="274"/>
      <c r="AT218" s="222">
        <f t="shared" si="72"/>
        <v>0</v>
      </c>
      <c r="AU218" s="140" t="e">
        <f t="shared" si="73"/>
        <v>#REF!</v>
      </c>
      <c r="AV218" s="132"/>
      <c r="AW218" s="140">
        <f t="shared" si="74"/>
        <v>0</v>
      </c>
      <c r="AX218" s="141"/>
      <c r="AY218" s="141"/>
      <c r="AZ218" s="309"/>
      <c r="BA218" s="1531"/>
      <c r="BB218" s="1531"/>
      <c r="BC218" s="1408" t="e">
        <f t="shared" si="75"/>
        <v>#REF!</v>
      </c>
      <c r="BD218" s="132"/>
    </row>
    <row r="219" ht="14.25" customHeight="1">
      <c r="A219" s="132"/>
      <c r="B219" s="1506">
        <v>46215</v>
      </c>
      <c r="C219" s="136"/>
      <c r="D219" s="136"/>
      <c r="E219" s="135"/>
      <c r="F219" s="135"/>
      <c r="G219" s="147">
        <f t="shared" si="67"/>
        <v>0</v>
      </c>
      <c r="H219" s="144"/>
      <c r="I219" s="143"/>
      <c r="J219" s="143"/>
      <c r="K219" s="143"/>
      <c r="L219" s="143"/>
      <c r="M219" s="103">
        <f t="shared" si="68"/>
        <v>0</v>
      </c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03">
        <f t="shared" si="69"/>
        <v>0</v>
      </c>
      <c r="AA219" s="136"/>
      <c r="AB219" s="136"/>
      <c r="AC219" s="136"/>
      <c r="AD219" s="105">
        <f t="shared" si="70"/>
        <v>0</v>
      </c>
      <c r="AE219" s="143"/>
      <c r="AF219" s="143"/>
      <c r="AG219" s="146"/>
      <c r="AH219" s="224" t="e">
        <f t="shared" si="71"/>
        <v>#REF!</v>
      </c>
      <c r="AI219" s="126"/>
      <c r="AJ219" s="274"/>
      <c r="AK219" s="274"/>
      <c r="AL219" s="126"/>
      <c r="AM219" s="126"/>
      <c r="AN219" s="126"/>
      <c r="AO219" s="126"/>
      <c r="AP219" s="274"/>
      <c r="AQ219" s="274"/>
      <c r="AR219" s="274"/>
      <c r="AS219" s="274"/>
      <c r="AT219" s="222">
        <f t="shared" si="72"/>
        <v>0</v>
      </c>
      <c r="AU219" s="140" t="e">
        <f t="shared" si="73"/>
        <v>#REF!</v>
      </c>
      <c r="AV219" s="132"/>
      <c r="AW219" s="140">
        <f t="shared" si="74"/>
        <v>0</v>
      </c>
      <c r="AX219" s="141"/>
      <c r="AY219" s="141"/>
      <c r="AZ219" s="141"/>
      <c r="BA219" s="141"/>
      <c r="BB219" s="141"/>
      <c r="BC219" s="130" t="e">
        <f t="shared" si="75"/>
        <v>#REF!</v>
      </c>
      <c r="BD219" s="132"/>
    </row>
    <row r="220" ht="14.25" customHeight="1">
      <c r="A220" s="3"/>
      <c r="B220" s="1506">
        <v>46216</v>
      </c>
      <c r="C220" s="123"/>
      <c r="D220" s="123"/>
      <c r="E220" s="120"/>
      <c r="F220" s="120"/>
      <c r="G220" s="147">
        <f t="shared" si="67"/>
        <v>0</v>
      </c>
      <c r="H220" s="144"/>
      <c r="I220" s="143"/>
      <c r="J220" s="143"/>
      <c r="K220" s="143"/>
      <c r="L220" s="143"/>
      <c r="M220" s="103">
        <f t="shared" si="68"/>
        <v>0</v>
      </c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03">
        <f t="shared" si="69"/>
        <v>0</v>
      </c>
      <c r="AA220" s="123"/>
      <c r="AB220" s="123"/>
      <c r="AC220" s="123"/>
      <c r="AD220" s="105">
        <f t="shared" si="70"/>
        <v>0</v>
      </c>
      <c r="AE220" s="143"/>
      <c r="AF220" s="143"/>
      <c r="AG220" s="146"/>
      <c r="AH220" s="224" t="e">
        <f t="shared" si="71"/>
        <v>#REF!</v>
      </c>
      <c r="AI220" s="126"/>
      <c r="AJ220" s="274"/>
      <c r="AK220" s="274"/>
      <c r="AL220" s="126"/>
      <c r="AM220" s="126"/>
      <c r="AN220" s="126"/>
      <c r="AO220" s="126"/>
      <c r="AP220" s="274"/>
      <c r="AQ220" s="274"/>
      <c r="AR220" s="274"/>
      <c r="AS220" s="274"/>
      <c r="AT220" s="222">
        <f t="shared" si="72"/>
        <v>0</v>
      </c>
      <c r="AU220" s="113" t="e">
        <f t="shared" si="73"/>
        <v>#REF!</v>
      </c>
      <c r="AV220" s="3"/>
      <c r="AW220" s="113">
        <f t="shared" si="74"/>
        <v>0</v>
      </c>
      <c r="AX220" s="129"/>
      <c r="AY220" s="129"/>
      <c r="AZ220" s="129"/>
      <c r="BA220" s="129"/>
      <c r="BB220" s="129"/>
      <c r="BC220" s="130" t="e">
        <f t="shared" si="75"/>
        <v>#REF!</v>
      </c>
      <c r="BD220" s="3"/>
    </row>
    <row r="221" ht="14.25" customHeight="1">
      <c r="A221" s="3"/>
      <c r="B221" s="1506">
        <v>46217</v>
      </c>
      <c r="C221" s="123"/>
      <c r="D221" s="123"/>
      <c r="E221" s="120"/>
      <c r="F221" s="120"/>
      <c r="G221" s="147">
        <f t="shared" si="67"/>
        <v>0</v>
      </c>
      <c r="H221" s="144"/>
      <c r="I221" s="143"/>
      <c r="J221" s="143"/>
      <c r="K221" s="143"/>
      <c r="L221" s="143"/>
      <c r="M221" s="103">
        <f t="shared" si="68"/>
        <v>0</v>
      </c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03">
        <f t="shared" si="69"/>
        <v>0</v>
      </c>
      <c r="AA221" s="123"/>
      <c r="AB221" s="123"/>
      <c r="AC221" s="123"/>
      <c r="AD221" s="105">
        <f t="shared" si="70"/>
        <v>0</v>
      </c>
      <c r="AE221" s="143"/>
      <c r="AF221" s="143"/>
      <c r="AG221" s="146"/>
      <c r="AH221" s="224" t="e">
        <f t="shared" si="71"/>
        <v>#REF!</v>
      </c>
      <c r="AI221" s="126"/>
      <c r="AJ221" s="274"/>
      <c r="AK221" s="274"/>
      <c r="AL221" s="126"/>
      <c r="AM221" s="126"/>
      <c r="AN221" s="126"/>
      <c r="AO221" s="126"/>
      <c r="AP221" s="274"/>
      <c r="AQ221" s="274"/>
      <c r="AR221" s="274"/>
      <c r="AS221" s="274"/>
      <c r="AT221" s="222">
        <f t="shared" si="72"/>
        <v>0</v>
      </c>
      <c r="AU221" s="113" t="e">
        <f t="shared" si="73"/>
        <v>#REF!</v>
      </c>
      <c r="AV221" s="3"/>
      <c r="AW221" s="113">
        <f t="shared" si="74"/>
        <v>0</v>
      </c>
      <c r="AX221" s="129"/>
      <c r="AY221" s="129"/>
      <c r="AZ221" s="129"/>
      <c r="BA221" s="129"/>
      <c r="BB221" s="129"/>
      <c r="BC221" s="130" t="e">
        <f t="shared" si="75"/>
        <v>#REF!</v>
      </c>
      <c r="BD221" s="3"/>
    </row>
    <row r="222" ht="14.25" customHeight="1">
      <c r="A222" s="132"/>
      <c r="B222" s="1506">
        <v>46218</v>
      </c>
      <c r="C222" s="136"/>
      <c r="D222" s="136"/>
      <c r="E222" s="135"/>
      <c r="F222" s="135"/>
      <c r="G222" s="147">
        <f t="shared" si="67"/>
        <v>0</v>
      </c>
      <c r="H222" s="144"/>
      <c r="I222" s="143"/>
      <c r="J222" s="143"/>
      <c r="K222" s="143"/>
      <c r="L222" s="143"/>
      <c r="M222" s="103">
        <f t="shared" si="68"/>
        <v>0</v>
      </c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03">
        <f t="shared" si="69"/>
        <v>0</v>
      </c>
      <c r="AA222" s="136"/>
      <c r="AB222" s="136"/>
      <c r="AC222" s="136"/>
      <c r="AD222" s="105">
        <f t="shared" si="70"/>
        <v>0</v>
      </c>
      <c r="AE222" s="143"/>
      <c r="AF222" s="143"/>
      <c r="AG222" s="146"/>
      <c r="AH222" s="224" t="e">
        <f t="shared" si="71"/>
        <v>#REF!</v>
      </c>
      <c r="AI222" s="126"/>
      <c r="AJ222" s="274"/>
      <c r="AK222" s="274"/>
      <c r="AL222" s="126"/>
      <c r="AM222" s="126"/>
      <c r="AN222" s="126"/>
      <c r="AO222" s="126"/>
      <c r="AP222" s="274"/>
      <c r="AQ222" s="274"/>
      <c r="AR222" s="274"/>
      <c r="AS222" s="274"/>
      <c r="AT222" s="222">
        <f t="shared" si="72"/>
        <v>0</v>
      </c>
      <c r="AU222" s="140" t="e">
        <f t="shared" si="73"/>
        <v>#REF!</v>
      </c>
      <c r="AV222" s="132"/>
      <c r="AW222" s="140">
        <f t="shared" si="74"/>
        <v>0</v>
      </c>
      <c r="AX222" s="141"/>
      <c r="AY222" s="141"/>
      <c r="AZ222" s="141"/>
      <c r="BA222" s="141"/>
      <c r="BB222" s="141"/>
      <c r="BC222" s="130" t="e">
        <f t="shared" si="75"/>
        <v>#REF!</v>
      </c>
      <c r="BD222" s="132"/>
    </row>
    <row r="223" ht="14.25" customHeight="1">
      <c r="A223" s="132"/>
      <c r="B223" s="1506">
        <v>46219</v>
      </c>
      <c r="C223" s="136"/>
      <c r="D223" s="136"/>
      <c r="E223" s="135"/>
      <c r="F223" s="135"/>
      <c r="G223" s="147">
        <f t="shared" si="67"/>
        <v>0</v>
      </c>
      <c r="H223" s="144"/>
      <c r="I223" s="143"/>
      <c r="J223" s="143"/>
      <c r="K223" s="143"/>
      <c r="L223" s="143"/>
      <c r="M223" s="103">
        <f t="shared" si="68"/>
        <v>0</v>
      </c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03">
        <f t="shared" si="69"/>
        <v>0</v>
      </c>
      <c r="AA223" s="136"/>
      <c r="AB223" s="136"/>
      <c r="AC223" s="136"/>
      <c r="AD223" s="105">
        <f t="shared" si="70"/>
        <v>0</v>
      </c>
      <c r="AE223" s="143"/>
      <c r="AF223" s="143"/>
      <c r="AG223" s="146"/>
      <c r="AH223" s="224" t="e">
        <f t="shared" si="71"/>
        <v>#REF!</v>
      </c>
      <c r="AI223" s="126"/>
      <c r="AJ223" s="274"/>
      <c r="AK223" s="274"/>
      <c r="AL223" s="126"/>
      <c r="AM223" s="126"/>
      <c r="AN223" s="126"/>
      <c r="AO223" s="126"/>
      <c r="AP223" s="274"/>
      <c r="AQ223" s="274"/>
      <c r="AR223" s="274"/>
      <c r="AS223" s="274"/>
      <c r="AT223" s="222">
        <f t="shared" si="72"/>
        <v>0</v>
      </c>
      <c r="AU223" s="140" t="e">
        <f t="shared" si="73"/>
        <v>#REF!</v>
      </c>
      <c r="AV223" s="132"/>
      <c r="AW223" s="140">
        <f t="shared" si="74"/>
        <v>0</v>
      </c>
      <c r="AX223" s="141"/>
      <c r="AY223" s="141"/>
      <c r="AZ223" s="141"/>
      <c r="BA223" s="141"/>
      <c r="BB223" s="141"/>
      <c r="BC223" s="130" t="e">
        <f t="shared" si="75"/>
        <v>#REF!</v>
      </c>
      <c r="BD223" s="132"/>
    </row>
    <row r="224" ht="14.25" customHeight="1">
      <c r="A224" s="132"/>
      <c r="B224" s="1506">
        <v>46220</v>
      </c>
      <c r="C224" s="136"/>
      <c r="D224" s="136"/>
      <c r="E224" s="135"/>
      <c r="F224" s="135"/>
      <c r="G224" s="147">
        <f t="shared" si="67"/>
        <v>0</v>
      </c>
      <c r="H224" s="144"/>
      <c r="I224" s="143"/>
      <c r="J224" s="143"/>
      <c r="K224" s="143"/>
      <c r="L224" s="143"/>
      <c r="M224" s="103">
        <f t="shared" si="68"/>
        <v>0</v>
      </c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03">
        <f t="shared" si="69"/>
        <v>0</v>
      </c>
      <c r="AA224" s="136"/>
      <c r="AB224" s="136"/>
      <c r="AC224" s="136"/>
      <c r="AD224" s="105">
        <f t="shared" si="70"/>
        <v>0</v>
      </c>
      <c r="AE224" s="143"/>
      <c r="AF224" s="143"/>
      <c r="AG224" s="146"/>
      <c r="AH224" s="224" t="e">
        <f t="shared" si="71"/>
        <v>#REF!</v>
      </c>
      <c r="AI224" s="126"/>
      <c r="AJ224" s="274"/>
      <c r="AK224" s="274"/>
      <c r="AL224" s="126"/>
      <c r="AM224" s="126"/>
      <c r="AN224" s="126"/>
      <c r="AO224" s="126"/>
      <c r="AP224" s="274"/>
      <c r="AQ224" s="274"/>
      <c r="AR224" s="274"/>
      <c r="AS224" s="274"/>
      <c r="AT224" s="222">
        <f t="shared" si="72"/>
        <v>0</v>
      </c>
      <c r="AU224" s="140" t="e">
        <f t="shared" si="73"/>
        <v>#REF!</v>
      </c>
      <c r="AV224" s="132"/>
      <c r="AW224" s="140">
        <f t="shared" si="74"/>
        <v>0</v>
      </c>
      <c r="AX224" s="141"/>
      <c r="AY224" s="141"/>
      <c r="AZ224" s="141"/>
      <c r="BA224" s="141"/>
      <c r="BB224" s="141"/>
      <c r="BC224" s="130" t="e">
        <f t="shared" si="75"/>
        <v>#REF!</v>
      </c>
      <c r="BD224" s="132"/>
    </row>
    <row r="225" ht="14.25" customHeight="1">
      <c r="A225" s="132"/>
      <c r="B225" s="1506">
        <v>46221</v>
      </c>
      <c r="C225" s="136"/>
      <c r="D225" s="136"/>
      <c r="E225" s="135"/>
      <c r="F225" s="135"/>
      <c r="G225" s="147">
        <f t="shared" si="67"/>
        <v>0</v>
      </c>
      <c r="H225" s="144"/>
      <c r="I225" s="143"/>
      <c r="J225" s="143"/>
      <c r="K225" s="143"/>
      <c r="L225" s="143"/>
      <c r="M225" s="103">
        <f t="shared" si="68"/>
        <v>0</v>
      </c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03">
        <f t="shared" si="69"/>
        <v>0</v>
      </c>
      <c r="AA225" s="136"/>
      <c r="AB225" s="136"/>
      <c r="AC225" s="136"/>
      <c r="AD225" s="105">
        <f t="shared" si="70"/>
        <v>0</v>
      </c>
      <c r="AE225" s="143"/>
      <c r="AF225" s="143"/>
      <c r="AG225" s="146"/>
      <c r="AH225" s="224" t="e">
        <f t="shared" si="71"/>
        <v>#REF!</v>
      </c>
      <c r="AI225" s="126"/>
      <c r="AJ225" s="274"/>
      <c r="AK225" s="274"/>
      <c r="AL225" s="126"/>
      <c r="AM225" s="126"/>
      <c r="AN225" s="126"/>
      <c r="AO225" s="126"/>
      <c r="AP225" s="274"/>
      <c r="AQ225" s="274"/>
      <c r="AR225" s="274"/>
      <c r="AS225" s="274"/>
      <c r="AT225" s="222">
        <f t="shared" si="72"/>
        <v>0</v>
      </c>
      <c r="AU225" s="140" t="e">
        <f t="shared" si="73"/>
        <v>#REF!</v>
      </c>
      <c r="AV225" s="132"/>
      <c r="AW225" s="140">
        <f t="shared" si="74"/>
        <v>0</v>
      </c>
      <c r="AX225" s="141"/>
      <c r="AY225" s="141"/>
      <c r="AZ225" s="141"/>
      <c r="BA225" s="141"/>
      <c r="BB225" s="141"/>
      <c r="BC225" s="130" t="e">
        <f t="shared" si="75"/>
        <v>#REF!</v>
      </c>
      <c r="BD225" s="132"/>
    </row>
    <row r="226" ht="14.25" customHeight="1">
      <c r="A226" s="132"/>
      <c r="B226" s="1506">
        <v>46222</v>
      </c>
      <c r="C226" s="136"/>
      <c r="D226" s="136"/>
      <c r="E226" s="135"/>
      <c r="F226" s="135"/>
      <c r="G226" s="147">
        <f t="shared" si="67"/>
        <v>0</v>
      </c>
      <c r="H226" s="144"/>
      <c r="I226" s="143"/>
      <c r="J226" s="143"/>
      <c r="K226" s="143"/>
      <c r="L226" s="143"/>
      <c r="M226" s="103">
        <f t="shared" si="68"/>
        <v>0</v>
      </c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03">
        <f t="shared" si="69"/>
        <v>0</v>
      </c>
      <c r="AA226" s="136"/>
      <c r="AB226" s="136"/>
      <c r="AC226" s="136"/>
      <c r="AD226" s="105">
        <f t="shared" si="70"/>
        <v>0</v>
      </c>
      <c r="AE226" s="143"/>
      <c r="AF226" s="143"/>
      <c r="AG226" s="146"/>
      <c r="AH226" s="224" t="e">
        <f t="shared" si="71"/>
        <v>#REF!</v>
      </c>
      <c r="AI226" s="126"/>
      <c r="AJ226" s="274"/>
      <c r="AK226" s="274"/>
      <c r="AL226" s="126"/>
      <c r="AM226" s="126"/>
      <c r="AN226" s="126"/>
      <c r="AO226" s="126"/>
      <c r="AP226" s="274"/>
      <c r="AQ226" s="274"/>
      <c r="AR226" s="274"/>
      <c r="AS226" s="274"/>
      <c r="AT226" s="222">
        <f t="shared" si="72"/>
        <v>0</v>
      </c>
      <c r="AU226" s="140" t="e">
        <f t="shared" si="73"/>
        <v>#REF!</v>
      </c>
      <c r="AV226" s="132"/>
      <c r="AW226" s="140">
        <f t="shared" si="74"/>
        <v>0</v>
      </c>
      <c r="AX226" s="141"/>
      <c r="AY226" s="141"/>
      <c r="AZ226" s="141"/>
      <c r="BA226" s="141"/>
      <c r="BB226" s="141"/>
      <c r="BC226" s="130" t="e">
        <f t="shared" si="75"/>
        <v>#REF!</v>
      </c>
      <c r="BD226" s="132"/>
    </row>
    <row r="227" ht="14.25" customHeight="1">
      <c r="A227" s="132"/>
      <c r="B227" s="1506">
        <v>46223</v>
      </c>
      <c r="C227" s="136"/>
      <c r="D227" s="136"/>
      <c r="E227" s="135"/>
      <c r="F227" s="135"/>
      <c r="G227" s="147">
        <f t="shared" si="67"/>
        <v>0</v>
      </c>
      <c r="H227" s="144"/>
      <c r="I227" s="143"/>
      <c r="J227" s="143"/>
      <c r="K227" s="143"/>
      <c r="L227" s="143"/>
      <c r="M227" s="103">
        <f t="shared" si="68"/>
        <v>0</v>
      </c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03">
        <f t="shared" si="69"/>
        <v>0</v>
      </c>
      <c r="AA227" s="136"/>
      <c r="AB227" s="136"/>
      <c r="AC227" s="136"/>
      <c r="AD227" s="105">
        <f t="shared" si="70"/>
        <v>0</v>
      </c>
      <c r="AE227" s="143"/>
      <c r="AF227" s="143"/>
      <c r="AG227" s="146"/>
      <c r="AH227" s="224" t="e">
        <f t="shared" si="71"/>
        <v>#REF!</v>
      </c>
      <c r="AI227" s="126"/>
      <c r="AJ227" s="274"/>
      <c r="AK227" s="274"/>
      <c r="AL227" s="126"/>
      <c r="AM227" s="126"/>
      <c r="AN227" s="126"/>
      <c r="AO227" s="126"/>
      <c r="AP227" s="274"/>
      <c r="AQ227" s="274"/>
      <c r="AR227" s="274"/>
      <c r="AS227" s="274"/>
      <c r="AT227" s="222">
        <f t="shared" si="72"/>
        <v>0</v>
      </c>
      <c r="AU227" s="140" t="e">
        <f t="shared" si="73"/>
        <v>#REF!</v>
      </c>
      <c r="AV227" s="132"/>
      <c r="AW227" s="140">
        <f t="shared" si="74"/>
        <v>0</v>
      </c>
      <c r="AX227" s="141"/>
      <c r="AY227" s="141"/>
      <c r="AZ227" s="141"/>
      <c r="BA227" s="141"/>
      <c r="BB227" s="141"/>
      <c r="BC227" s="130" t="e">
        <f t="shared" si="75"/>
        <v>#REF!</v>
      </c>
      <c r="BD227" s="132"/>
    </row>
    <row r="228" ht="14.25" customHeight="1">
      <c r="A228" s="132"/>
      <c r="B228" s="1506">
        <v>46224</v>
      </c>
      <c r="C228" s="136"/>
      <c r="D228" s="136"/>
      <c r="E228" s="135"/>
      <c r="F228" s="135"/>
      <c r="G228" s="147">
        <f t="shared" si="67"/>
        <v>0</v>
      </c>
      <c r="H228" s="144"/>
      <c r="I228" s="143"/>
      <c r="J228" s="143"/>
      <c r="K228" s="143"/>
      <c r="L228" s="143"/>
      <c r="M228" s="103">
        <f t="shared" si="68"/>
        <v>0</v>
      </c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03">
        <f t="shared" si="69"/>
        <v>0</v>
      </c>
      <c r="AA228" s="136"/>
      <c r="AB228" s="136"/>
      <c r="AC228" s="136"/>
      <c r="AD228" s="105">
        <f t="shared" si="70"/>
        <v>0</v>
      </c>
      <c r="AE228" s="143"/>
      <c r="AF228" s="143"/>
      <c r="AG228" s="146"/>
      <c r="AH228" s="224" t="e">
        <f t="shared" si="71"/>
        <v>#REF!</v>
      </c>
      <c r="AI228" s="126"/>
      <c r="AJ228" s="274"/>
      <c r="AK228" s="274"/>
      <c r="AL228" s="126"/>
      <c r="AM228" s="126"/>
      <c r="AN228" s="126"/>
      <c r="AO228" s="126"/>
      <c r="AP228" s="274"/>
      <c r="AQ228" s="274"/>
      <c r="AR228" s="274"/>
      <c r="AS228" s="274"/>
      <c r="AT228" s="222">
        <f t="shared" si="72"/>
        <v>0</v>
      </c>
      <c r="AU228" s="140" t="e">
        <f t="shared" si="73"/>
        <v>#REF!</v>
      </c>
      <c r="AV228" s="132"/>
      <c r="AW228" s="140">
        <f t="shared" si="74"/>
        <v>0</v>
      </c>
      <c r="AX228" s="141"/>
      <c r="AY228" s="141"/>
      <c r="AZ228" s="141"/>
      <c r="BA228" s="141"/>
      <c r="BB228" s="141"/>
      <c r="BC228" s="130" t="e">
        <f t="shared" si="75"/>
        <v>#REF!</v>
      </c>
      <c r="BD228" s="132"/>
    </row>
    <row r="229" ht="15.75" customHeight="1">
      <c r="A229" s="132"/>
      <c r="B229" s="1506">
        <v>46225</v>
      </c>
      <c r="C229" s="136"/>
      <c r="D229" s="136"/>
      <c r="E229" s="135"/>
      <c r="F229" s="135"/>
      <c r="G229" s="147">
        <f t="shared" si="67"/>
        <v>0</v>
      </c>
      <c r="H229" s="144"/>
      <c r="I229" s="143"/>
      <c r="J229" s="143"/>
      <c r="K229" s="143"/>
      <c r="L229" s="143"/>
      <c r="M229" s="103">
        <f t="shared" si="68"/>
        <v>0</v>
      </c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03">
        <f t="shared" si="69"/>
        <v>0</v>
      </c>
      <c r="AA229" s="136"/>
      <c r="AB229" s="136"/>
      <c r="AC229" s="136"/>
      <c r="AD229" s="105">
        <f t="shared" si="70"/>
        <v>0</v>
      </c>
      <c r="AE229" s="143"/>
      <c r="AF229" s="143"/>
      <c r="AG229" s="146"/>
      <c r="AH229" s="224" t="e">
        <f t="shared" si="71"/>
        <v>#REF!</v>
      </c>
      <c r="AI229" s="126"/>
      <c r="AJ229" s="274"/>
      <c r="AK229" s="274"/>
      <c r="AL229" s="126"/>
      <c r="AM229" s="126"/>
      <c r="AN229" s="126"/>
      <c r="AO229" s="126"/>
      <c r="AP229" s="274"/>
      <c r="AQ229" s="274"/>
      <c r="AR229" s="274"/>
      <c r="AS229" s="274"/>
      <c r="AT229" s="222">
        <f t="shared" si="72"/>
        <v>0</v>
      </c>
      <c r="AU229" s="140" t="e">
        <f t="shared" si="73"/>
        <v>#REF!</v>
      </c>
      <c r="AV229" s="132"/>
      <c r="AW229" s="140">
        <f t="shared" si="74"/>
        <v>0</v>
      </c>
      <c r="AX229" s="141"/>
      <c r="AY229" s="141"/>
      <c r="AZ229" s="141"/>
      <c r="BA229" s="141"/>
      <c r="BB229" s="141"/>
      <c r="BC229" s="130" t="e">
        <f t="shared" si="75"/>
        <v>#REF!</v>
      </c>
      <c r="BD229" s="132"/>
    </row>
    <row r="230" ht="14.25" customHeight="1">
      <c r="A230" s="132"/>
      <c r="B230" s="1506">
        <v>46226</v>
      </c>
      <c r="C230" s="136"/>
      <c r="D230" s="136"/>
      <c r="E230" s="135"/>
      <c r="F230" s="135"/>
      <c r="G230" s="147">
        <f t="shared" si="67"/>
        <v>0</v>
      </c>
      <c r="H230" s="144"/>
      <c r="I230" s="143"/>
      <c r="J230" s="143"/>
      <c r="K230" s="143"/>
      <c r="L230" s="143"/>
      <c r="M230" s="103">
        <f t="shared" si="68"/>
        <v>0</v>
      </c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03">
        <f t="shared" si="69"/>
        <v>0</v>
      </c>
      <c r="AA230" s="136"/>
      <c r="AB230" s="136"/>
      <c r="AC230" s="136"/>
      <c r="AD230" s="105">
        <f t="shared" si="70"/>
        <v>0</v>
      </c>
      <c r="AE230" s="143"/>
      <c r="AF230" s="143"/>
      <c r="AG230" s="146"/>
      <c r="AH230" s="224" t="e">
        <f t="shared" si="71"/>
        <v>#REF!</v>
      </c>
      <c r="AI230" s="126"/>
      <c r="AJ230" s="274"/>
      <c r="AK230" s="274"/>
      <c r="AL230" s="126"/>
      <c r="AM230" s="126"/>
      <c r="AN230" s="126"/>
      <c r="AO230" s="126"/>
      <c r="AP230" s="274"/>
      <c r="AQ230" s="274"/>
      <c r="AR230" s="274"/>
      <c r="AS230" s="274"/>
      <c r="AT230" s="222">
        <f t="shared" si="72"/>
        <v>0</v>
      </c>
      <c r="AU230" s="140" t="e">
        <f t="shared" si="73"/>
        <v>#REF!</v>
      </c>
      <c r="AV230" s="132"/>
      <c r="AW230" s="140">
        <f t="shared" si="74"/>
        <v>0</v>
      </c>
      <c r="AX230" s="141"/>
      <c r="AY230" s="141"/>
      <c r="AZ230" s="141"/>
      <c r="BA230" s="141"/>
      <c r="BB230" s="141"/>
      <c r="BC230" s="130" t="e">
        <f t="shared" si="75"/>
        <v>#REF!</v>
      </c>
      <c r="BD230" s="132"/>
    </row>
    <row r="231" ht="14.25" customHeight="1">
      <c r="A231" s="132"/>
      <c r="B231" s="1506">
        <v>46227</v>
      </c>
      <c r="C231" s="136"/>
      <c r="D231" s="136"/>
      <c r="E231" s="135"/>
      <c r="F231" s="135"/>
      <c r="G231" s="147">
        <f t="shared" si="67"/>
        <v>0</v>
      </c>
      <c r="H231" s="144"/>
      <c r="I231" s="143"/>
      <c r="J231" s="143"/>
      <c r="K231" s="143"/>
      <c r="L231" s="143"/>
      <c r="M231" s="103">
        <f t="shared" si="68"/>
        <v>0</v>
      </c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03">
        <f t="shared" si="69"/>
        <v>0</v>
      </c>
      <c r="AA231" s="136"/>
      <c r="AB231" s="136"/>
      <c r="AC231" s="136"/>
      <c r="AD231" s="105">
        <f t="shared" si="70"/>
        <v>0</v>
      </c>
      <c r="AE231" s="143"/>
      <c r="AF231" s="143"/>
      <c r="AG231" s="146"/>
      <c r="AH231" s="224" t="e">
        <f t="shared" si="71"/>
        <v>#REF!</v>
      </c>
      <c r="AI231" s="126"/>
      <c r="AJ231" s="274"/>
      <c r="AK231" s="274"/>
      <c r="AL231" s="126"/>
      <c r="AM231" s="126"/>
      <c r="AN231" s="126"/>
      <c r="AO231" s="126"/>
      <c r="AP231" s="274"/>
      <c r="AQ231" s="274"/>
      <c r="AR231" s="274"/>
      <c r="AS231" s="274"/>
      <c r="AT231" s="222">
        <f t="shared" si="72"/>
        <v>0</v>
      </c>
      <c r="AU231" s="140" t="e">
        <f t="shared" si="73"/>
        <v>#REF!</v>
      </c>
      <c r="AV231" s="132"/>
      <c r="AW231" s="140">
        <f t="shared" si="74"/>
        <v>0</v>
      </c>
      <c r="AX231" s="141"/>
      <c r="AY231" s="141"/>
      <c r="AZ231" s="141"/>
      <c r="BA231" s="141"/>
      <c r="BB231" s="141"/>
      <c r="BC231" s="130" t="e">
        <f t="shared" si="75"/>
        <v>#REF!</v>
      </c>
      <c r="BD231" s="132"/>
    </row>
    <row r="232" ht="14.25" customHeight="1">
      <c r="A232" s="132"/>
      <c r="B232" s="1506">
        <v>46228</v>
      </c>
      <c r="C232" s="136"/>
      <c r="D232" s="136"/>
      <c r="E232" s="135"/>
      <c r="F232" s="135"/>
      <c r="G232" s="147">
        <f t="shared" si="67"/>
        <v>0</v>
      </c>
      <c r="H232" s="144"/>
      <c r="I232" s="143"/>
      <c r="J232" s="143"/>
      <c r="K232" s="143"/>
      <c r="L232" s="143"/>
      <c r="M232" s="103">
        <f t="shared" si="68"/>
        <v>0</v>
      </c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03">
        <f t="shared" si="69"/>
        <v>0</v>
      </c>
      <c r="AA232" s="136"/>
      <c r="AB232" s="136"/>
      <c r="AC232" s="136"/>
      <c r="AD232" s="105">
        <f t="shared" si="70"/>
        <v>0</v>
      </c>
      <c r="AE232" s="143"/>
      <c r="AF232" s="143"/>
      <c r="AG232" s="146"/>
      <c r="AH232" s="224" t="e">
        <f t="shared" si="71"/>
        <v>#REF!</v>
      </c>
      <c r="AI232" s="126"/>
      <c r="AJ232" s="274"/>
      <c r="AK232" s="274"/>
      <c r="AL232" s="126"/>
      <c r="AM232" s="126"/>
      <c r="AN232" s="126"/>
      <c r="AO232" s="126"/>
      <c r="AP232" s="274"/>
      <c r="AQ232" s="274"/>
      <c r="AR232" s="274"/>
      <c r="AS232" s="274"/>
      <c r="AT232" s="222">
        <f t="shared" si="72"/>
        <v>0</v>
      </c>
      <c r="AU232" s="140" t="e">
        <f t="shared" si="73"/>
        <v>#REF!</v>
      </c>
      <c r="AV232" s="132"/>
      <c r="AW232" s="140">
        <f t="shared" si="74"/>
        <v>0</v>
      </c>
      <c r="AX232" s="141"/>
      <c r="AY232" s="141"/>
      <c r="AZ232" s="141"/>
      <c r="BA232" s="141"/>
      <c r="BB232" s="141"/>
      <c r="BC232" s="130" t="e">
        <f t="shared" si="75"/>
        <v>#REF!</v>
      </c>
      <c r="BD232" s="132"/>
    </row>
    <row r="233" ht="14.25" customHeight="1">
      <c r="A233" s="132"/>
      <c r="B233" s="1506">
        <v>46229</v>
      </c>
      <c r="C233" s="136"/>
      <c r="D233" s="136"/>
      <c r="E233" s="135"/>
      <c r="F233" s="135"/>
      <c r="G233" s="147">
        <f t="shared" si="67"/>
        <v>0</v>
      </c>
      <c r="H233" s="144"/>
      <c r="I233" s="143"/>
      <c r="J233" s="143"/>
      <c r="K233" s="143"/>
      <c r="L233" s="143"/>
      <c r="M233" s="103">
        <f t="shared" si="68"/>
        <v>0</v>
      </c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03">
        <f t="shared" si="69"/>
        <v>0</v>
      </c>
      <c r="AA233" s="136"/>
      <c r="AB233" s="136"/>
      <c r="AC233" s="136"/>
      <c r="AD233" s="105">
        <f t="shared" si="70"/>
        <v>0</v>
      </c>
      <c r="AE233" s="143"/>
      <c r="AF233" s="143"/>
      <c r="AG233" s="146"/>
      <c r="AH233" s="224" t="e">
        <f t="shared" si="71"/>
        <v>#REF!</v>
      </c>
      <c r="AI233" s="126"/>
      <c r="AJ233" s="274"/>
      <c r="AK233" s="274"/>
      <c r="AL233" s="126"/>
      <c r="AM233" s="126"/>
      <c r="AN233" s="126"/>
      <c r="AO233" s="126"/>
      <c r="AP233" s="274"/>
      <c r="AQ233" s="274"/>
      <c r="AR233" s="274"/>
      <c r="AS233" s="274"/>
      <c r="AT233" s="222">
        <f t="shared" si="72"/>
        <v>0</v>
      </c>
      <c r="AU233" s="140" t="e">
        <f t="shared" si="73"/>
        <v>#REF!</v>
      </c>
      <c r="AV233" s="132"/>
      <c r="AW233" s="140">
        <f t="shared" si="74"/>
        <v>0</v>
      </c>
      <c r="AX233" s="141"/>
      <c r="AY233" s="141"/>
      <c r="AZ233" s="141"/>
      <c r="BA233" s="141"/>
      <c r="BB233" s="141"/>
      <c r="BC233" s="130" t="e">
        <f t="shared" si="75"/>
        <v>#REF!</v>
      </c>
      <c r="BD233" s="132"/>
    </row>
    <row r="234" ht="14.25" customHeight="1">
      <c r="A234" s="132"/>
      <c r="B234" s="1506">
        <v>46230</v>
      </c>
      <c r="C234" s="136"/>
      <c r="D234" s="136"/>
      <c r="E234" s="135"/>
      <c r="F234" s="135"/>
      <c r="G234" s="147">
        <f t="shared" si="67"/>
        <v>0</v>
      </c>
      <c r="H234" s="144"/>
      <c r="I234" s="143"/>
      <c r="J234" s="143"/>
      <c r="K234" s="143"/>
      <c r="L234" s="143"/>
      <c r="M234" s="103">
        <f t="shared" si="68"/>
        <v>0</v>
      </c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03">
        <f t="shared" si="69"/>
        <v>0</v>
      </c>
      <c r="AA234" s="136"/>
      <c r="AB234" s="136"/>
      <c r="AC234" s="136"/>
      <c r="AD234" s="105">
        <f t="shared" si="70"/>
        <v>0</v>
      </c>
      <c r="AE234" s="143"/>
      <c r="AF234" s="143"/>
      <c r="AG234" s="146"/>
      <c r="AH234" s="224" t="e">
        <f t="shared" si="71"/>
        <v>#REF!</v>
      </c>
      <c r="AI234" s="126"/>
      <c r="AJ234" s="274"/>
      <c r="AK234" s="274"/>
      <c r="AL234" s="126"/>
      <c r="AM234" s="126"/>
      <c r="AN234" s="126"/>
      <c r="AO234" s="126"/>
      <c r="AP234" s="274"/>
      <c r="AQ234" s="274"/>
      <c r="AR234" s="274"/>
      <c r="AS234" s="274"/>
      <c r="AT234" s="222">
        <f t="shared" si="72"/>
        <v>0</v>
      </c>
      <c r="AU234" s="140" t="e">
        <f t="shared" si="73"/>
        <v>#REF!</v>
      </c>
      <c r="AV234" s="132"/>
      <c r="AW234" s="140">
        <f t="shared" si="74"/>
        <v>0</v>
      </c>
      <c r="AX234" s="141"/>
      <c r="AY234" s="141"/>
      <c r="AZ234" s="141"/>
      <c r="BA234" s="141"/>
      <c r="BB234" s="141"/>
      <c r="BC234" s="130" t="e">
        <f t="shared" si="75"/>
        <v>#REF!</v>
      </c>
      <c r="BD234" s="132"/>
    </row>
    <row r="235" ht="14.25" customHeight="1">
      <c r="A235" s="132"/>
      <c r="B235" s="1506">
        <v>46231</v>
      </c>
      <c r="C235" s="136"/>
      <c r="D235" s="136"/>
      <c r="E235" s="135"/>
      <c r="F235" s="135"/>
      <c r="G235" s="147">
        <f t="shared" si="67"/>
        <v>0</v>
      </c>
      <c r="H235" s="144"/>
      <c r="I235" s="143"/>
      <c r="J235" s="143"/>
      <c r="K235" s="143"/>
      <c r="L235" s="143"/>
      <c r="M235" s="103">
        <f t="shared" si="68"/>
        <v>0</v>
      </c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03">
        <f t="shared" si="69"/>
        <v>0</v>
      </c>
      <c r="AA235" s="136"/>
      <c r="AB235" s="136"/>
      <c r="AC235" s="136"/>
      <c r="AD235" s="105">
        <f t="shared" si="70"/>
        <v>0</v>
      </c>
      <c r="AE235" s="143"/>
      <c r="AF235" s="143"/>
      <c r="AG235" s="146"/>
      <c r="AH235" s="224" t="e">
        <f t="shared" si="71"/>
        <v>#REF!</v>
      </c>
      <c r="AI235" s="126"/>
      <c r="AJ235" s="274"/>
      <c r="AK235" s="274"/>
      <c r="AL235" s="126"/>
      <c r="AM235" s="126"/>
      <c r="AN235" s="126"/>
      <c r="AO235" s="126"/>
      <c r="AP235" s="274"/>
      <c r="AQ235" s="274"/>
      <c r="AR235" s="274"/>
      <c r="AS235" s="274"/>
      <c r="AT235" s="222">
        <f t="shared" si="72"/>
        <v>0</v>
      </c>
      <c r="AU235" s="140" t="e">
        <f t="shared" si="73"/>
        <v>#REF!</v>
      </c>
      <c r="AV235" s="132"/>
      <c r="AW235" s="140">
        <f t="shared" si="74"/>
        <v>0</v>
      </c>
      <c r="AX235" s="141"/>
      <c r="AY235" s="141"/>
      <c r="AZ235" s="141"/>
      <c r="BA235" s="141"/>
      <c r="BB235" s="141"/>
      <c r="BC235" s="130" t="e">
        <f t="shared" si="75"/>
        <v>#REF!</v>
      </c>
      <c r="BD235" s="132"/>
    </row>
    <row r="236" ht="14.25" customHeight="1">
      <c r="A236" s="132"/>
      <c r="B236" s="1506">
        <v>46232</v>
      </c>
      <c r="C236" s="136"/>
      <c r="D236" s="136"/>
      <c r="E236" s="135"/>
      <c r="F236" s="135"/>
      <c r="G236" s="147">
        <f t="shared" si="67"/>
        <v>0</v>
      </c>
      <c r="H236" s="144"/>
      <c r="I236" s="143"/>
      <c r="J236" s="143"/>
      <c r="K236" s="143"/>
      <c r="L236" s="143"/>
      <c r="M236" s="103">
        <f t="shared" si="68"/>
        <v>0</v>
      </c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03">
        <f t="shared" si="69"/>
        <v>0</v>
      </c>
      <c r="AA236" s="136"/>
      <c r="AB236" s="136"/>
      <c r="AC236" s="136"/>
      <c r="AD236" s="105">
        <f t="shared" si="70"/>
        <v>0</v>
      </c>
      <c r="AE236" s="143"/>
      <c r="AF236" s="143"/>
      <c r="AG236" s="146"/>
      <c r="AH236" s="224" t="e">
        <f t="shared" si="71"/>
        <v>#REF!</v>
      </c>
      <c r="AI236" s="126"/>
      <c r="AJ236" s="274"/>
      <c r="AK236" s="274"/>
      <c r="AL236" s="126"/>
      <c r="AM236" s="126"/>
      <c r="AN236" s="126"/>
      <c r="AO236" s="126"/>
      <c r="AP236" s="274"/>
      <c r="AQ236" s="274"/>
      <c r="AR236" s="274"/>
      <c r="AS236" s="274"/>
      <c r="AT236" s="222">
        <f t="shared" si="72"/>
        <v>0</v>
      </c>
      <c r="AU236" s="140" t="e">
        <f t="shared" si="73"/>
        <v>#REF!</v>
      </c>
      <c r="AV236" s="132"/>
      <c r="AW236" s="140">
        <f t="shared" si="74"/>
        <v>0</v>
      </c>
      <c r="AX236" s="141"/>
      <c r="AY236" s="141"/>
      <c r="AZ236" s="141"/>
      <c r="BA236" s="141"/>
      <c r="BB236" s="141"/>
      <c r="BC236" s="130" t="e">
        <f t="shared" si="75"/>
        <v>#REF!</v>
      </c>
      <c r="BD236" s="132"/>
    </row>
    <row r="237" ht="14.25" customHeight="1">
      <c r="A237" s="132"/>
      <c r="B237" s="1506">
        <v>46233</v>
      </c>
      <c r="C237" s="136"/>
      <c r="D237" s="136"/>
      <c r="E237" s="135"/>
      <c r="F237" s="135"/>
      <c r="G237" s="147">
        <f t="shared" si="67"/>
        <v>0</v>
      </c>
      <c r="H237" s="144"/>
      <c r="I237" s="143"/>
      <c r="J237" s="143"/>
      <c r="K237" s="143"/>
      <c r="L237" s="143"/>
      <c r="M237" s="103">
        <f t="shared" si="68"/>
        <v>0</v>
      </c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03">
        <f t="shared" si="69"/>
        <v>0</v>
      </c>
      <c r="AA237" s="136"/>
      <c r="AB237" s="136"/>
      <c r="AC237" s="136"/>
      <c r="AD237" s="105">
        <f t="shared" si="70"/>
        <v>0</v>
      </c>
      <c r="AE237" s="143"/>
      <c r="AF237" s="143"/>
      <c r="AG237" s="146"/>
      <c r="AH237" s="224" t="e">
        <f t="shared" si="71"/>
        <v>#REF!</v>
      </c>
      <c r="AI237" s="126"/>
      <c r="AJ237" s="274"/>
      <c r="AK237" s="274"/>
      <c r="AL237" s="126"/>
      <c r="AM237" s="126"/>
      <c r="AN237" s="126"/>
      <c r="AO237" s="126"/>
      <c r="AP237" s="274"/>
      <c r="AQ237" s="274"/>
      <c r="AR237" s="274"/>
      <c r="AS237" s="274"/>
      <c r="AT237" s="222">
        <f t="shared" si="72"/>
        <v>0</v>
      </c>
      <c r="AU237" s="140" t="e">
        <f t="shared" si="73"/>
        <v>#REF!</v>
      </c>
      <c r="AV237" s="132"/>
      <c r="AW237" s="140">
        <f t="shared" si="74"/>
        <v>0</v>
      </c>
      <c r="AX237" s="141"/>
      <c r="AY237" s="141"/>
      <c r="AZ237" s="141"/>
      <c r="BA237" s="141"/>
      <c r="BB237" s="141"/>
      <c r="BC237" s="130" t="e">
        <f t="shared" si="75"/>
        <v>#REF!</v>
      </c>
      <c r="BD237" s="132"/>
    </row>
    <row r="238" ht="14.25" customHeight="1">
      <c r="A238" s="132"/>
      <c r="B238" s="1506">
        <v>46234</v>
      </c>
      <c r="C238" s="159"/>
      <c r="D238" s="159"/>
      <c r="E238" s="156"/>
      <c r="F238" s="156"/>
      <c r="G238" s="147">
        <f t="shared" si="67"/>
        <v>0</v>
      </c>
      <c r="H238" s="612"/>
      <c r="I238" s="157"/>
      <c r="J238" s="157"/>
      <c r="K238" s="157"/>
      <c r="L238" s="157"/>
      <c r="M238" s="103">
        <f t="shared" si="68"/>
        <v>0</v>
      </c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03">
        <f t="shared" si="69"/>
        <v>0</v>
      </c>
      <c r="AA238" s="159"/>
      <c r="AB238" s="159"/>
      <c r="AC238" s="159"/>
      <c r="AD238" s="105">
        <f t="shared" si="70"/>
        <v>0</v>
      </c>
      <c r="AE238" s="157"/>
      <c r="AF238" s="157"/>
      <c r="AG238" s="160"/>
      <c r="AH238" s="224" t="e">
        <f t="shared" si="71"/>
        <v>#REF!</v>
      </c>
      <c r="AI238" s="138"/>
      <c r="AJ238" s="296"/>
      <c r="AK238" s="296"/>
      <c r="AL238" s="138"/>
      <c r="AM238" s="126"/>
      <c r="AN238" s="126"/>
      <c r="AO238" s="138"/>
      <c r="AP238" s="296"/>
      <c r="AQ238" s="296"/>
      <c r="AR238" s="296"/>
      <c r="AS238" s="296"/>
      <c r="AT238" s="222">
        <f t="shared" si="72"/>
        <v>0</v>
      </c>
      <c r="AU238" s="162" t="e">
        <f t="shared" si="73"/>
        <v>#REF!</v>
      </c>
      <c r="AV238" s="132"/>
      <c r="AW238" s="162">
        <f t="shared" si="74"/>
        <v>0</v>
      </c>
      <c r="AX238" s="163"/>
      <c r="AY238" s="163"/>
      <c r="AZ238" s="141"/>
      <c r="BA238" s="163"/>
      <c r="BB238" s="163"/>
      <c r="BC238" s="164" t="e">
        <f t="shared" si="75"/>
        <v>#REF!</v>
      </c>
      <c r="BD238" s="132"/>
    </row>
    <row r="239" ht="14.25" customHeight="1">
      <c r="A239" s="3"/>
      <c r="B239" s="1528" t="s">
        <v>263</v>
      </c>
      <c r="C239" s="166">
        <f ref="C239:H239" t="shared" si="76">SUM(C208:C238)</f>
        <v>0</v>
      </c>
      <c r="D239" s="166">
        <f t="shared" si="76"/>
        <v>0</v>
      </c>
      <c r="E239" s="167">
        <f t="shared" si="76"/>
        <v>0</v>
      </c>
      <c r="F239" s="167">
        <f t="shared" si="76"/>
        <v>0</v>
      </c>
      <c r="G239" s="167">
        <f t="shared" si="76"/>
        <v>0</v>
      </c>
      <c r="H239" s="167">
        <f t="shared" si="76"/>
        <v>0</v>
      </c>
      <c r="I239" s="167"/>
      <c r="J239" s="166"/>
      <c r="K239" s="166"/>
      <c r="L239" s="166">
        <f ref="L239:AD239" t="shared" si="77">SUM(L208:L238)</f>
        <v>0</v>
      </c>
      <c r="M239" s="166">
        <f t="shared" si="77"/>
        <v>0</v>
      </c>
      <c r="N239" s="166">
        <f t="shared" si="77"/>
        <v>0</v>
      </c>
      <c r="O239" s="166">
        <f t="shared" si="77"/>
        <v>0</v>
      </c>
      <c r="P239" s="166">
        <f t="shared" si="77"/>
        <v>0</v>
      </c>
      <c r="Q239" s="166">
        <f t="shared" si="77"/>
        <v>0</v>
      </c>
      <c r="R239" s="166">
        <f t="shared" si="77"/>
        <v>0</v>
      </c>
      <c r="S239" s="166">
        <f t="shared" si="77"/>
        <v>0</v>
      </c>
      <c r="T239" s="166">
        <f t="shared" si="77"/>
        <v>0</v>
      </c>
      <c r="U239" s="166">
        <f t="shared" si="77"/>
        <v>0</v>
      </c>
      <c r="V239" s="166">
        <f t="shared" si="77"/>
        <v>0</v>
      </c>
      <c r="W239" s="166">
        <f t="shared" si="77"/>
        <v>0</v>
      </c>
      <c r="X239" s="166">
        <f t="shared" si="77"/>
        <v>0</v>
      </c>
      <c r="Y239" s="166">
        <f t="shared" si="77"/>
        <v>0</v>
      </c>
      <c r="Z239" s="166">
        <f t="shared" si="77"/>
        <v>0</v>
      </c>
      <c r="AA239" s="166">
        <f t="shared" si="77"/>
        <v>0</v>
      </c>
      <c r="AB239" s="166">
        <f t="shared" si="77"/>
        <v>0</v>
      </c>
      <c r="AC239" s="166">
        <f t="shared" si="77"/>
        <v>0</v>
      </c>
      <c r="AD239" s="166">
        <f t="shared" si="77"/>
        <v>0</v>
      </c>
      <c r="AE239" s="166"/>
      <c r="AF239" s="166"/>
      <c r="AG239" s="167"/>
      <c r="AH239" s="771" t="e">
        <f ref="AH239:AM239" t="shared" si="78">SUM(AH208:AH238)</f>
        <v>#REF!</v>
      </c>
      <c r="AI239" s="1390">
        <f t="shared" si="78"/>
        <v>0</v>
      </c>
      <c r="AJ239" s="771">
        <f t="shared" si="78"/>
        <v>0</v>
      </c>
      <c r="AK239" s="771">
        <f t="shared" si="78"/>
        <v>0</v>
      </c>
      <c r="AL239" s="771">
        <f t="shared" si="78"/>
        <v>0</v>
      </c>
      <c r="AM239" s="771">
        <f t="shared" si="78"/>
        <v>0</v>
      </c>
      <c r="AN239" s="166"/>
      <c r="AO239" s="167"/>
      <c r="AP239" s="167"/>
      <c r="AQ239" s="167"/>
      <c r="AR239" s="167"/>
      <c r="AS239" s="167"/>
      <c r="AT239" s="166">
        <f ref="AT239:AU239" t="shared" si="79">SUM(AT208:AT238)</f>
        <v>0</v>
      </c>
      <c r="AU239" s="166" t="e">
        <f t="shared" si="79"/>
        <v>#REF!</v>
      </c>
      <c r="AV239" s="3"/>
      <c r="AW239" s="172">
        <f>SUM(AW208:AW238)</f>
        <v>0</v>
      </c>
      <c r="AX239" s="165"/>
      <c r="AY239" s="165"/>
      <c r="AZ239" s="165">
        <f ref="AZ239:BC239" t="shared" si="80">SUM(AZ208:AZ238)</f>
        <v>0</v>
      </c>
      <c r="BA239" s="165">
        <f t="shared" si="80"/>
        <v>0</v>
      </c>
      <c r="BB239" s="165">
        <f t="shared" si="80"/>
        <v>0</v>
      </c>
      <c r="BC239" s="165" t="e">
        <f t="shared" si="80"/>
        <v>#REF!</v>
      </c>
      <c r="BD239" s="3"/>
    </row>
    <row r="240" ht="14.25" customHeight="1">
      <c r="A240" s="1"/>
      <c r="B240" s="1495"/>
      <c r="C240" s="3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4"/>
      <c r="AE240" s="3"/>
      <c r="AF240" s="3"/>
      <c r="AG240" s="3"/>
      <c r="AH240" s="4"/>
      <c r="AI240" s="132"/>
      <c r="AJ240" s="132"/>
      <c r="AK240" s="132"/>
      <c r="AL240" s="3"/>
      <c r="AM240" s="3"/>
      <c r="AN240" s="3"/>
      <c r="AO240" s="132"/>
      <c r="AP240" s="132"/>
      <c r="AQ240" s="132"/>
      <c r="AR240" s="132"/>
      <c r="AS240" s="132"/>
      <c r="AT240" s="4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ht="14.25" customHeight="1">
      <c r="A241" s="1"/>
      <c r="B241" s="1495"/>
      <c r="C241" s="3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176"/>
      <c r="AA241" s="3"/>
      <c r="AB241" s="3"/>
      <c r="AC241" s="3"/>
      <c r="AD241" s="4"/>
      <c r="AE241" s="3"/>
      <c r="AF241" s="3"/>
      <c r="AG241" s="3"/>
      <c r="AH241" s="177"/>
      <c r="AI241" s="132"/>
      <c r="AJ241" s="132"/>
      <c r="AK241" s="132"/>
      <c r="AL241" s="3"/>
      <c r="AM241" s="3"/>
      <c r="AN241" s="3"/>
      <c r="AO241" s="132"/>
      <c r="AP241" s="132"/>
      <c r="AQ241" s="132"/>
      <c r="AR241" s="132"/>
      <c r="AS241" s="132"/>
      <c r="AT241" s="177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ht="14.25" customHeight="1">
      <c r="A242" s="3"/>
      <c r="B242" s="1506">
        <v>46235</v>
      </c>
      <c r="C242" s="104"/>
      <c r="D242" s="104"/>
      <c r="E242" s="97"/>
      <c r="F242" s="97"/>
      <c r="G242" s="216">
        <f ref="G242:G272" t="shared" si="81">+C242+D242+E242+F242</f>
        <v>0</v>
      </c>
      <c r="H242" s="687"/>
      <c r="I242" s="186"/>
      <c r="J242" s="186"/>
      <c r="K242" s="186"/>
      <c r="L242" s="186"/>
      <c r="M242" s="103">
        <f ref="M242:M272" t="shared" si="82">SUM(H242:L242)</f>
        <v>0</v>
      </c>
      <c r="N242" s="186"/>
      <c r="O242" s="186"/>
      <c r="P242" s="186"/>
      <c r="Q242" s="186"/>
      <c r="R242" s="186"/>
      <c r="S242" s="186"/>
      <c r="T242" s="186"/>
      <c r="U242" s="186"/>
      <c r="V242" s="186"/>
      <c r="W242" s="186"/>
      <c r="X242" s="186"/>
      <c r="Y242" s="186"/>
      <c r="Z242" s="103">
        <f ref="Z242:Z272" t="shared" si="83">SUM(N242:Y242)</f>
        <v>0</v>
      </c>
      <c r="AA242" s="104"/>
      <c r="AB242" s="104"/>
      <c r="AC242" s="97"/>
      <c r="AD242" s="191">
        <f ref="AD242:AD272" t="shared" si="84">SUM(AA242:AC242)</f>
        <v>0</v>
      </c>
      <c r="AE242" s="187"/>
      <c r="AF242" s="186"/>
      <c r="AG242" s="193"/>
      <c r="AH242" s="224" t="e">
        <f ref="AH242:AH272" t="shared" si="85">+G242-M242-Z242-AD242-AE242-AF242-#REF!-AG242</f>
        <v>#REF!</v>
      </c>
      <c r="AI242" s="109"/>
      <c r="AJ242" s="269"/>
      <c r="AK242" s="269"/>
      <c r="AL242" s="109"/>
      <c r="AM242" s="109"/>
      <c r="AN242" s="109"/>
      <c r="AO242" s="109"/>
      <c r="AP242" s="269"/>
      <c r="AQ242" s="269"/>
      <c r="AR242" s="269"/>
      <c r="AS242" s="269"/>
      <c r="AT242" s="222">
        <f ref="AT242:AT272" t="shared" si="86">SUM(AI242:AS242)-AR242</f>
        <v>0</v>
      </c>
      <c r="AU242" s="114" t="e">
        <f ref="AU242:AU272" t="shared" si="87">+AH242-AT242</f>
        <v>#REF!</v>
      </c>
      <c r="AV242" s="3"/>
      <c r="AW242" s="114">
        <f ref="AW242:AW272" t="shared" si="88">SUM(AX242:BB242)</f>
        <v>0</v>
      </c>
      <c r="AX242" s="115"/>
      <c r="AY242" s="115"/>
      <c r="AZ242" s="115"/>
      <c r="BA242" s="115"/>
      <c r="BB242" s="115"/>
      <c r="BC242" s="116" t="e">
        <f ref="BC242:BC272" t="shared" si="89">+AU242-AW242</f>
        <v>#REF!</v>
      </c>
      <c r="BD242" s="3"/>
    </row>
    <row r="243" ht="14.25" customHeight="1">
      <c r="A243" s="3"/>
      <c r="B243" s="1506">
        <v>46236</v>
      </c>
      <c r="C243" s="123"/>
      <c r="D243" s="123"/>
      <c r="E243" s="120"/>
      <c r="F243" s="120"/>
      <c r="G243" s="147">
        <f t="shared" si="81"/>
        <v>0</v>
      </c>
      <c r="H243" s="144"/>
      <c r="I243" s="143"/>
      <c r="J243" s="143"/>
      <c r="K243" s="143"/>
      <c r="L243" s="143"/>
      <c r="M243" s="103">
        <f t="shared" si="82"/>
        <v>0</v>
      </c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03">
        <f t="shared" si="83"/>
        <v>0</v>
      </c>
      <c r="AA243" s="123"/>
      <c r="AB243" s="123"/>
      <c r="AC243" s="123"/>
      <c r="AD243" s="105">
        <f t="shared" si="84"/>
        <v>0</v>
      </c>
      <c r="AE243" s="143"/>
      <c r="AF243" s="143"/>
      <c r="AG243" s="146"/>
      <c r="AH243" s="224" t="e">
        <f t="shared" si="85"/>
        <v>#REF!</v>
      </c>
      <c r="AI243" s="126"/>
      <c r="AJ243" s="274"/>
      <c r="AK243" s="274"/>
      <c r="AL243" s="126"/>
      <c r="AM243" s="126"/>
      <c r="AN243" s="126"/>
      <c r="AO243" s="126"/>
      <c r="AP243" s="274"/>
      <c r="AQ243" s="274"/>
      <c r="AR243" s="274"/>
      <c r="AS243" s="274"/>
      <c r="AT243" s="222">
        <f t="shared" si="86"/>
        <v>0</v>
      </c>
      <c r="AU243" s="113" t="e">
        <f t="shared" si="87"/>
        <v>#REF!</v>
      </c>
      <c r="AV243" s="3"/>
      <c r="AW243" s="113">
        <f t="shared" si="88"/>
        <v>0</v>
      </c>
      <c r="AX243" s="129"/>
      <c r="AY243" s="129"/>
      <c r="AZ243" s="129"/>
      <c r="BA243" s="686"/>
      <c r="BB243" s="686"/>
      <c r="BC243" s="130" t="e">
        <f t="shared" si="89"/>
        <v>#REF!</v>
      </c>
      <c r="BD243" s="3"/>
    </row>
    <row r="244" ht="14.25" customHeight="1">
      <c r="A244" s="3"/>
      <c r="B244" s="1506">
        <v>46237</v>
      </c>
      <c r="C244" s="123"/>
      <c r="D244" s="123"/>
      <c r="E244" s="120"/>
      <c r="F244" s="120"/>
      <c r="G244" s="147">
        <f t="shared" si="81"/>
        <v>0</v>
      </c>
      <c r="H244" s="144"/>
      <c r="I244" s="143"/>
      <c r="J244" s="143"/>
      <c r="K244" s="143"/>
      <c r="L244" s="143"/>
      <c r="M244" s="103">
        <f t="shared" si="82"/>
        <v>0</v>
      </c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03">
        <f t="shared" si="83"/>
        <v>0</v>
      </c>
      <c r="AA244" s="123"/>
      <c r="AB244" s="123"/>
      <c r="AC244" s="123"/>
      <c r="AD244" s="105">
        <f t="shared" si="84"/>
        <v>0</v>
      </c>
      <c r="AE244" s="143"/>
      <c r="AF244" s="143"/>
      <c r="AG244" s="146"/>
      <c r="AH244" s="224" t="e">
        <f t="shared" si="85"/>
        <v>#REF!</v>
      </c>
      <c r="AI244" s="126"/>
      <c r="AJ244" s="274"/>
      <c r="AK244" s="274"/>
      <c r="AL244" s="126"/>
      <c r="AM244" s="126"/>
      <c r="AN244" s="126"/>
      <c r="AO244" s="126"/>
      <c r="AP244" s="274"/>
      <c r="AQ244" s="274"/>
      <c r="AR244" s="274"/>
      <c r="AS244" s="274"/>
      <c r="AT244" s="222">
        <f t="shared" si="86"/>
        <v>0</v>
      </c>
      <c r="AU244" s="113" t="e">
        <f t="shared" si="87"/>
        <v>#REF!</v>
      </c>
      <c r="AV244" s="3"/>
      <c r="AW244" s="113">
        <f t="shared" si="88"/>
        <v>0</v>
      </c>
      <c r="AX244" s="129"/>
      <c r="AY244" s="129"/>
      <c r="AZ244" s="129"/>
      <c r="BA244" s="129"/>
      <c r="BB244" s="129"/>
      <c r="BC244" s="130" t="e">
        <f t="shared" si="89"/>
        <v>#REF!</v>
      </c>
      <c r="BD244" s="3"/>
    </row>
    <row r="245" ht="14.25" customHeight="1">
      <c r="A245" s="3"/>
      <c r="B245" s="1506">
        <v>46238</v>
      </c>
      <c r="C245" s="123"/>
      <c r="D245" s="123"/>
      <c r="E245" s="120"/>
      <c r="F245" s="120"/>
      <c r="G245" s="147">
        <f t="shared" si="81"/>
        <v>0</v>
      </c>
      <c r="H245" s="144"/>
      <c r="I245" s="143"/>
      <c r="J245" s="143"/>
      <c r="K245" s="143"/>
      <c r="L245" s="143"/>
      <c r="M245" s="103">
        <f t="shared" si="82"/>
        <v>0</v>
      </c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03">
        <f t="shared" si="83"/>
        <v>0</v>
      </c>
      <c r="AA245" s="123"/>
      <c r="AB245" s="123"/>
      <c r="AC245" s="123"/>
      <c r="AD245" s="105">
        <f t="shared" si="84"/>
        <v>0</v>
      </c>
      <c r="AE245" s="143"/>
      <c r="AF245" s="143"/>
      <c r="AG245" s="146"/>
      <c r="AH245" s="224" t="e">
        <f t="shared" si="85"/>
        <v>#REF!</v>
      </c>
      <c r="AI245" s="126"/>
      <c r="AJ245" s="274"/>
      <c r="AK245" s="274"/>
      <c r="AL245" s="126"/>
      <c r="AM245" s="126"/>
      <c r="AN245" s="126"/>
      <c r="AO245" s="126"/>
      <c r="AP245" s="274"/>
      <c r="AQ245" s="274"/>
      <c r="AR245" s="274"/>
      <c r="AS245" s="274"/>
      <c r="AT245" s="222">
        <f t="shared" si="86"/>
        <v>0</v>
      </c>
      <c r="AU245" s="113" t="e">
        <f t="shared" si="87"/>
        <v>#REF!</v>
      </c>
      <c r="AV245" s="3"/>
      <c r="AW245" s="113">
        <f t="shared" si="88"/>
        <v>0</v>
      </c>
      <c r="AX245" s="129"/>
      <c r="AY245" s="129"/>
      <c r="AZ245" s="129"/>
      <c r="BA245" s="129"/>
      <c r="BB245" s="129"/>
      <c r="BC245" s="130" t="e">
        <f t="shared" si="89"/>
        <v>#REF!</v>
      </c>
      <c r="BD245" s="3"/>
    </row>
    <row r="246" ht="14.25" customHeight="1">
      <c r="A246" s="3"/>
      <c r="B246" s="1506">
        <v>46239</v>
      </c>
      <c r="C246" s="123"/>
      <c r="D246" s="123"/>
      <c r="E246" s="120"/>
      <c r="F246" s="120"/>
      <c r="G246" s="147">
        <f t="shared" si="81"/>
        <v>0</v>
      </c>
      <c r="H246" s="144"/>
      <c r="I246" s="143"/>
      <c r="J246" s="143"/>
      <c r="K246" s="143"/>
      <c r="L246" s="143"/>
      <c r="M246" s="103">
        <f t="shared" si="82"/>
        <v>0</v>
      </c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03">
        <f t="shared" si="83"/>
        <v>0</v>
      </c>
      <c r="AA246" s="123"/>
      <c r="AB246" s="123"/>
      <c r="AC246" s="123"/>
      <c r="AD246" s="105">
        <f t="shared" si="84"/>
        <v>0</v>
      </c>
      <c r="AE246" s="143"/>
      <c r="AF246" s="143"/>
      <c r="AG246" s="146"/>
      <c r="AH246" s="224" t="e">
        <f t="shared" si="85"/>
        <v>#REF!</v>
      </c>
      <c r="AI246" s="126"/>
      <c r="AJ246" s="274"/>
      <c r="AK246" s="274"/>
      <c r="AL246" s="126"/>
      <c r="AM246" s="126"/>
      <c r="AN246" s="126"/>
      <c r="AO246" s="126"/>
      <c r="AP246" s="274"/>
      <c r="AQ246" s="274"/>
      <c r="AR246" s="274"/>
      <c r="AS246" s="274"/>
      <c r="AT246" s="222">
        <f t="shared" si="86"/>
        <v>0</v>
      </c>
      <c r="AU246" s="113" t="e">
        <f t="shared" si="87"/>
        <v>#REF!</v>
      </c>
      <c r="AV246" s="3"/>
      <c r="AW246" s="113">
        <f t="shared" si="88"/>
        <v>0</v>
      </c>
      <c r="AX246" s="129"/>
      <c r="AY246" s="129"/>
      <c r="AZ246" s="129"/>
      <c r="BA246" s="129"/>
      <c r="BB246" s="129"/>
      <c r="BC246" s="130" t="e">
        <f t="shared" si="89"/>
        <v>#REF!</v>
      </c>
      <c r="BD246" s="3"/>
    </row>
    <row r="247" ht="14.25" customHeight="1">
      <c r="A247" s="3"/>
      <c r="B247" s="1506">
        <v>46240</v>
      </c>
      <c r="C247" s="123"/>
      <c r="D247" s="123"/>
      <c r="E247" s="120"/>
      <c r="F247" s="120"/>
      <c r="G247" s="147">
        <f t="shared" si="81"/>
        <v>0</v>
      </c>
      <c r="H247" s="144"/>
      <c r="I247" s="143"/>
      <c r="J247" s="143"/>
      <c r="K247" s="143"/>
      <c r="L247" s="143"/>
      <c r="M247" s="103">
        <f t="shared" si="82"/>
        <v>0</v>
      </c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03">
        <f t="shared" si="83"/>
        <v>0</v>
      </c>
      <c r="AA247" s="123"/>
      <c r="AB247" s="123"/>
      <c r="AC247" s="123"/>
      <c r="AD247" s="105">
        <f t="shared" si="84"/>
        <v>0</v>
      </c>
      <c r="AE247" s="143"/>
      <c r="AF247" s="143"/>
      <c r="AG247" s="146"/>
      <c r="AH247" s="224" t="e">
        <f t="shared" si="85"/>
        <v>#REF!</v>
      </c>
      <c r="AI247" s="126"/>
      <c r="AJ247" s="274"/>
      <c r="AK247" s="274"/>
      <c r="AL247" s="126"/>
      <c r="AM247" s="126"/>
      <c r="AN247" s="126"/>
      <c r="AO247" s="126"/>
      <c r="AP247" s="274"/>
      <c r="AQ247" s="274"/>
      <c r="AR247" s="274"/>
      <c r="AS247" s="274"/>
      <c r="AT247" s="222">
        <f t="shared" si="86"/>
        <v>0</v>
      </c>
      <c r="AU247" s="113" t="e">
        <f t="shared" si="87"/>
        <v>#REF!</v>
      </c>
      <c r="AV247" s="3"/>
      <c r="AW247" s="113">
        <f t="shared" si="88"/>
        <v>0</v>
      </c>
      <c r="AX247" s="129"/>
      <c r="AY247" s="129"/>
      <c r="AZ247" s="129"/>
      <c r="BA247" s="129"/>
      <c r="BB247" s="129"/>
      <c r="BC247" s="130" t="e">
        <f t="shared" si="89"/>
        <v>#REF!</v>
      </c>
      <c r="BD247" s="3"/>
    </row>
    <row r="248" ht="14.25" customHeight="1">
      <c r="A248" s="3"/>
      <c r="B248" s="1506">
        <v>46241</v>
      </c>
      <c r="C248" s="123"/>
      <c r="D248" s="123"/>
      <c r="E248" s="120"/>
      <c r="F248" s="120"/>
      <c r="G248" s="147">
        <f t="shared" si="81"/>
        <v>0</v>
      </c>
      <c r="H248" s="144"/>
      <c r="I248" s="143"/>
      <c r="J248" s="143"/>
      <c r="K248" s="143"/>
      <c r="L248" s="143"/>
      <c r="M248" s="103">
        <f t="shared" si="82"/>
        <v>0</v>
      </c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03">
        <f t="shared" si="83"/>
        <v>0</v>
      </c>
      <c r="AA248" s="123"/>
      <c r="AB248" s="123"/>
      <c r="AC248" s="123"/>
      <c r="AD248" s="105">
        <f t="shared" si="84"/>
        <v>0</v>
      </c>
      <c r="AE248" s="143"/>
      <c r="AF248" s="143"/>
      <c r="AG248" s="146"/>
      <c r="AH248" s="224" t="e">
        <f t="shared" si="85"/>
        <v>#REF!</v>
      </c>
      <c r="AI248" s="126"/>
      <c r="AJ248" s="274"/>
      <c r="AK248" s="274"/>
      <c r="AL248" s="126"/>
      <c r="AM248" s="126"/>
      <c r="AN248" s="126"/>
      <c r="AO248" s="126"/>
      <c r="AP248" s="274"/>
      <c r="AQ248" s="274"/>
      <c r="AR248" s="274"/>
      <c r="AS248" s="274"/>
      <c r="AT248" s="222">
        <f t="shared" si="86"/>
        <v>0</v>
      </c>
      <c r="AU248" s="113" t="e">
        <f t="shared" si="87"/>
        <v>#REF!</v>
      </c>
      <c r="AV248" s="3"/>
      <c r="AW248" s="113">
        <f t="shared" si="88"/>
        <v>0</v>
      </c>
      <c r="AX248" s="129"/>
      <c r="AY248" s="129"/>
      <c r="AZ248" s="129"/>
      <c r="BA248" s="129"/>
      <c r="BB248" s="129"/>
      <c r="BC248" s="130" t="e">
        <f t="shared" si="89"/>
        <v>#REF!</v>
      </c>
      <c r="BD248" s="3"/>
    </row>
    <row r="249" ht="14.25" customHeight="1">
      <c r="A249" s="3"/>
      <c r="B249" s="1506">
        <v>46242</v>
      </c>
      <c r="C249" s="123"/>
      <c r="D249" s="123"/>
      <c r="E249" s="120"/>
      <c r="F249" s="120"/>
      <c r="G249" s="147">
        <f t="shared" si="81"/>
        <v>0</v>
      </c>
      <c r="H249" s="144"/>
      <c r="I249" s="143"/>
      <c r="J249" s="143"/>
      <c r="K249" s="143"/>
      <c r="L249" s="143"/>
      <c r="M249" s="103">
        <f t="shared" si="82"/>
        <v>0</v>
      </c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03">
        <f t="shared" si="83"/>
        <v>0</v>
      </c>
      <c r="AA249" s="123"/>
      <c r="AB249" s="123"/>
      <c r="AC249" s="123"/>
      <c r="AD249" s="105">
        <f t="shared" si="84"/>
        <v>0</v>
      </c>
      <c r="AE249" s="143"/>
      <c r="AF249" s="143"/>
      <c r="AG249" s="146"/>
      <c r="AH249" s="224" t="e">
        <f t="shared" si="85"/>
        <v>#REF!</v>
      </c>
      <c r="AI249" s="126"/>
      <c r="AJ249" s="274"/>
      <c r="AK249" s="274"/>
      <c r="AL249" s="126"/>
      <c r="AM249" s="126"/>
      <c r="AN249" s="126"/>
      <c r="AO249" s="126"/>
      <c r="AP249" s="274"/>
      <c r="AQ249" s="274"/>
      <c r="AR249" s="274"/>
      <c r="AS249" s="274"/>
      <c r="AT249" s="222">
        <f t="shared" si="86"/>
        <v>0</v>
      </c>
      <c r="AU249" s="113" t="e">
        <f t="shared" si="87"/>
        <v>#REF!</v>
      </c>
      <c r="AV249" s="3"/>
      <c r="AW249" s="113">
        <f t="shared" si="88"/>
        <v>0</v>
      </c>
      <c r="AX249" s="129"/>
      <c r="AY249" s="129"/>
      <c r="AZ249" s="129"/>
      <c r="BA249" s="129"/>
      <c r="BB249" s="129"/>
      <c r="BC249" s="130" t="e">
        <f t="shared" si="89"/>
        <v>#REF!</v>
      </c>
      <c r="BD249" s="3"/>
    </row>
    <row r="250" ht="14.25" customHeight="1">
      <c r="A250" s="3"/>
      <c r="B250" s="1506">
        <v>46243</v>
      </c>
      <c r="C250" s="123"/>
      <c r="D250" s="123"/>
      <c r="E250" s="120"/>
      <c r="F250" s="120"/>
      <c r="G250" s="147">
        <f t="shared" si="81"/>
        <v>0</v>
      </c>
      <c r="H250" s="144"/>
      <c r="I250" s="143"/>
      <c r="J250" s="143"/>
      <c r="K250" s="143"/>
      <c r="L250" s="143"/>
      <c r="M250" s="103">
        <f t="shared" si="82"/>
        <v>0</v>
      </c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03">
        <f t="shared" si="83"/>
        <v>0</v>
      </c>
      <c r="AA250" s="123"/>
      <c r="AB250" s="123"/>
      <c r="AC250" s="123"/>
      <c r="AD250" s="105">
        <f t="shared" si="84"/>
        <v>0</v>
      </c>
      <c r="AE250" s="143"/>
      <c r="AF250" s="143"/>
      <c r="AG250" s="146"/>
      <c r="AH250" s="224" t="e">
        <f t="shared" si="85"/>
        <v>#REF!</v>
      </c>
      <c r="AI250" s="126"/>
      <c r="AJ250" s="274"/>
      <c r="AK250" s="274"/>
      <c r="AL250" s="126"/>
      <c r="AM250" s="126"/>
      <c r="AN250" s="126"/>
      <c r="AO250" s="126"/>
      <c r="AP250" s="274"/>
      <c r="AQ250" s="274"/>
      <c r="AR250" s="274"/>
      <c r="AS250" s="274"/>
      <c r="AT250" s="222">
        <f t="shared" si="86"/>
        <v>0</v>
      </c>
      <c r="AU250" s="113" t="e">
        <f t="shared" si="87"/>
        <v>#REF!</v>
      </c>
      <c r="AV250" s="3"/>
      <c r="AW250" s="113">
        <f t="shared" si="88"/>
        <v>0</v>
      </c>
      <c r="AX250" s="129"/>
      <c r="AY250" s="129"/>
      <c r="AZ250" s="129"/>
      <c r="BA250" s="129"/>
      <c r="BB250" s="129"/>
      <c r="BC250" s="130" t="e">
        <f t="shared" si="89"/>
        <v>#REF!</v>
      </c>
      <c r="BD250" s="3"/>
    </row>
    <row r="251" ht="14.25" customHeight="1">
      <c r="A251" s="3"/>
      <c r="B251" s="1506">
        <v>46244</v>
      </c>
      <c r="C251" s="123"/>
      <c r="D251" s="123"/>
      <c r="E251" s="120"/>
      <c r="F251" s="120"/>
      <c r="G251" s="147">
        <f t="shared" si="81"/>
        <v>0</v>
      </c>
      <c r="H251" s="144"/>
      <c r="I251" s="143"/>
      <c r="J251" s="143"/>
      <c r="K251" s="143"/>
      <c r="L251" s="143"/>
      <c r="M251" s="103">
        <f t="shared" si="82"/>
        <v>0</v>
      </c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03">
        <f t="shared" si="83"/>
        <v>0</v>
      </c>
      <c r="AA251" s="123"/>
      <c r="AB251" s="123"/>
      <c r="AC251" s="123"/>
      <c r="AD251" s="105">
        <f t="shared" si="84"/>
        <v>0</v>
      </c>
      <c r="AE251" s="143"/>
      <c r="AF251" s="143"/>
      <c r="AG251" s="146"/>
      <c r="AH251" s="224" t="e">
        <f t="shared" si="85"/>
        <v>#REF!</v>
      </c>
      <c r="AI251" s="126"/>
      <c r="AJ251" s="274"/>
      <c r="AK251" s="274"/>
      <c r="AL251" s="126"/>
      <c r="AM251" s="126"/>
      <c r="AN251" s="126"/>
      <c r="AO251" s="126"/>
      <c r="AP251" s="274"/>
      <c r="AQ251" s="274"/>
      <c r="AR251" s="274"/>
      <c r="AS251" s="274"/>
      <c r="AT251" s="222">
        <f t="shared" si="86"/>
        <v>0</v>
      </c>
      <c r="AU251" s="113" t="e">
        <f t="shared" si="87"/>
        <v>#REF!</v>
      </c>
      <c r="AV251" s="3"/>
      <c r="AW251" s="113">
        <f t="shared" si="88"/>
        <v>0</v>
      </c>
      <c r="AX251" s="129"/>
      <c r="AY251" s="129"/>
      <c r="AZ251" s="129"/>
      <c r="BA251" s="141"/>
      <c r="BB251" s="141"/>
      <c r="BC251" s="130" t="e">
        <f t="shared" si="89"/>
        <v>#REF!</v>
      </c>
      <c r="BD251" s="3"/>
    </row>
    <row r="252" ht="14.25" customHeight="1">
      <c r="A252" s="3"/>
      <c r="B252" s="1506">
        <v>46245</v>
      </c>
      <c r="C252" s="123"/>
      <c r="D252" s="123"/>
      <c r="E252" s="120"/>
      <c r="F252" s="120"/>
      <c r="G252" s="147">
        <f t="shared" si="81"/>
        <v>0</v>
      </c>
      <c r="H252" s="144"/>
      <c r="I252" s="143"/>
      <c r="J252" s="143"/>
      <c r="K252" s="143"/>
      <c r="L252" s="143"/>
      <c r="M252" s="103">
        <f t="shared" si="82"/>
        <v>0</v>
      </c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03">
        <f t="shared" si="83"/>
        <v>0</v>
      </c>
      <c r="AA252" s="123"/>
      <c r="AB252" s="123"/>
      <c r="AC252" s="123"/>
      <c r="AD252" s="105">
        <f t="shared" si="84"/>
        <v>0</v>
      </c>
      <c r="AE252" s="143"/>
      <c r="AF252" s="143"/>
      <c r="AG252" s="146"/>
      <c r="AH252" s="224" t="e">
        <f t="shared" si="85"/>
        <v>#REF!</v>
      </c>
      <c r="AI252" s="126"/>
      <c r="AJ252" s="274"/>
      <c r="AK252" s="274"/>
      <c r="AL252" s="126"/>
      <c r="AM252" s="126"/>
      <c r="AN252" s="126"/>
      <c r="AO252" s="126"/>
      <c r="AP252" s="274"/>
      <c r="AQ252" s="274"/>
      <c r="AR252" s="274"/>
      <c r="AS252" s="274"/>
      <c r="AT252" s="222">
        <f t="shared" si="86"/>
        <v>0</v>
      </c>
      <c r="AU252" s="113" t="e">
        <f t="shared" si="87"/>
        <v>#REF!</v>
      </c>
      <c r="AV252" s="3"/>
      <c r="AW252" s="113">
        <f t="shared" si="88"/>
        <v>0</v>
      </c>
      <c r="AX252" s="129"/>
      <c r="AY252" s="129"/>
      <c r="AZ252" s="129"/>
      <c r="BA252" s="129"/>
      <c r="BB252" s="129"/>
      <c r="BC252" s="130" t="e">
        <f t="shared" si="89"/>
        <v>#REF!</v>
      </c>
      <c r="BD252" s="3"/>
    </row>
    <row r="253" ht="14.25" customHeight="1">
      <c r="A253" s="3"/>
      <c r="B253" s="1506">
        <v>46246</v>
      </c>
      <c r="C253" s="123"/>
      <c r="D253" s="123"/>
      <c r="E253" s="120"/>
      <c r="F253" s="120"/>
      <c r="G253" s="147">
        <f t="shared" si="81"/>
        <v>0</v>
      </c>
      <c r="H253" s="144"/>
      <c r="I253" s="143"/>
      <c r="J253" s="143"/>
      <c r="K253" s="143"/>
      <c r="L253" s="143"/>
      <c r="M253" s="103">
        <f t="shared" si="82"/>
        <v>0</v>
      </c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03">
        <f t="shared" si="83"/>
        <v>0</v>
      </c>
      <c r="AA253" s="123"/>
      <c r="AB253" s="123"/>
      <c r="AC253" s="123"/>
      <c r="AD253" s="105">
        <f t="shared" si="84"/>
        <v>0</v>
      </c>
      <c r="AE253" s="143"/>
      <c r="AF253" s="143"/>
      <c r="AG253" s="146"/>
      <c r="AH253" s="224" t="e">
        <f t="shared" si="85"/>
        <v>#REF!</v>
      </c>
      <c r="AI253" s="126"/>
      <c r="AJ253" s="274"/>
      <c r="AK253" s="274"/>
      <c r="AL253" s="126"/>
      <c r="AM253" s="126"/>
      <c r="AN253" s="126"/>
      <c r="AO253" s="126"/>
      <c r="AP253" s="274"/>
      <c r="AQ253" s="274"/>
      <c r="AR253" s="274"/>
      <c r="AS253" s="274"/>
      <c r="AT253" s="222">
        <f t="shared" si="86"/>
        <v>0</v>
      </c>
      <c r="AU253" s="113" t="e">
        <f t="shared" si="87"/>
        <v>#REF!</v>
      </c>
      <c r="AV253" s="3"/>
      <c r="AW253" s="113">
        <f t="shared" si="88"/>
        <v>0</v>
      </c>
      <c r="AX253" s="129"/>
      <c r="AY253" s="129"/>
      <c r="AZ253" s="129"/>
      <c r="BA253" s="129"/>
      <c r="BB253" s="129"/>
      <c r="BC253" s="130" t="e">
        <f t="shared" si="89"/>
        <v>#REF!</v>
      </c>
      <c r="BD253" s="3"/>
    </row>
    <row r="254" ht="14.25" customHeight="1">
      <c r="A254" s="3"/>
      <c r="B254" s="1506">
        <v>46247</v>
      </c>
      <c r="C254" s="123"/>
      <c r="D254" s="123"/>
      <c r="E254" s="120"/>
      <c r="F254" s="120"/>
      <c r="G254" s="147">
        <f t="shared" si="81"/>
        <v>0</v>
      </c>
      <c r="H254" s="144"/>
      <c r="I254" s="143"/>
      <c r="J254" s="143"/>
      <c r="K254" s="143"/>
      <c r="L254" s="143"/>
      <c r="M254" s="103">
        <f t="shared" si="82"/>
        <v>0</v>
      </c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03">
        <f t="shared" si="83"/>
        <v>0</v>
      </c>
      <c r="AA254" s="123"/>
      <c r="AB254" s="123"/>
      <c r="AC254" s="123"/>
      <c r="AD254" s="105">
        <f t="shared" si="84"/>
        <v>0</v>
      </c>
      <c r="AE254" s="143"/>
      <c r="AF254" s="143"/>
      <c r="AG254" s="146"/>
      <c r="AH254" s="224" t="e">
        <f t="shared" si="85"/>
        <v>#REF!</v>
      </c>
      <c r="AI254" s="126"/>
      <c r="AJ254" s="274"/>
      <c r="AK254" s="274"/>
      <c r="AL254" s="126"/>
      <c r="AM254" s="126"/>
      <c r="AN254" s="126"/>
      <c r="AO254" s="126"/>
      <c r="AP254" s="274"/>
      <c r="AQ254" s="274"/>
      <c r="AR254" s="274"/>
      <c r="AS254" s="274"/>
      <c r="AT254" s="222">
        <f t="shared" si="86"/>
        <v>0</v>
      </c>
      <c r="AU254" s="113" t="e">
        <f t="shared" si="87"/>
        <v>#REF!</v>
      </c>
      <c r="AV254" s="3"/>
      <c r="AW254" s="113">
        <f t="shared" si="88"/>
        <v>0</v>
      </c>
      <c r="AX254" s="129"/>
      <c r="AY254" s="129"/>
      <c r="AZ254" s="129"/>
      <c r="BA254" s="129"/>
      <c r="BB254" s="129"/>
      <c r="BC254" s="130" t="e">
        <f t="shared" si="89"/>
        <v>#REF!</v>
      </c>
      <c r="BD254" s="3"/>
    </row>
    <row r="255" ht="14.25" customHeight="1">
      <c r="A255" s="3"/>
      <c r="B255" s="1506">
        <v>46248</v>
      </c>
      <c r="C255" s="123"/>
      <c r="D255" s="123"/>
      <c r="E255" s="120"/>
      <c r="F255" s="120"/>
      <c r="G255" s="147">
        <f t="shared" si="81"/>
        <v>0</v>
      </c>
      <c r="H255" s="144"/>
      <c r="I255" s="143"/>
      <c r="J255" s="143"/>
      <c r="K255" s="143"/>
      <c r="L255" s="143"/>
      <c r="M255" s="103">
        <f t="shared" si="82"/>
        <v>0</v>
      </c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03">
        <f t="shared" si="83"/>
        <v>0</v>
      </c>
      <c r="AA255" s="123"/>
      <c r="AB255" s="123"/>
      <c r="AC255" s="123"/>
      <c r="AD255" s="105">
        <f t="shared" si="84"/>
        <v>0</v>
      </c>
      <c r="AE255" s="143"/>
      <c r="AF255" s="143"/>
      <c r="AG255" s="146"/>
      <c r="AH255" s="224" t="e">
        <f t="shared" si="85"/>
        <v>#REF!</v>
      </c>
      <c r="AI255" s="126"/>
      <c r="AJ255" s="274"/>
      <c r="AK255" s="274"/>
      <c r="AL255" s="126"/>
      <c r="AM255" s="126"/>
      <c r="AN255" s="126"/>
      <c r="AO255" s="126"/>
      <c r="AP255" s="274"/>
      <c r="AQ255" s="274"/>
      <c r="AR255" s="274"/>
      <c r="AS255" s="274"/>
      <c r="AT255" s="222">
        <f t="shared" si="86"/>
        <v>0</v>
      </c>
      <c r="AU255" s="113" t="e">
        <f t="shared" si="87"/>
        <v>#REF!</v>
      </c>
      <c r="AV255" s="3"/>
      <c r="AW255" s="113">
        <f t="shared" si="88"/>
        <v>0</v>
      </c>
      <c r="AX255" s="129"/>
      <c r="AY255" s="129"/>
      <c r="AZ255" s="129"/>
      <c r="BA255" s="129"/>
      <c r="BB255" s="129"/>
      <c r="BC255" s="130" t="e">
        <f t="shared" si="89"/>
        <v>#REF!</v>
      </c>
      <c r="BD255" s="3"/>
    </row>
    <row r="256" ht="14.25" customHeight="1">
      <c r="A256" s="3"/>
      <c r="B256" s="1506">
        <v>46249</v>
      </c>
      <c r="C256" s="123"/>
      <c r="D256" s="123"/>
      <c r="E256" s="120"/>
      <c r="F256" s="120"/>
      <c r="G256" s="147">
        <f t="shared" si="81"/>
        <v>0</v>
      </c>
      <c r="H256" s="144"/>
      <c r="I256" s="143"/>
      <c r="J256" s="143"/>
      <c r="K256" s="143"/>
      <c r="L256" s="143"/>
      <c r="M256" s="103">
        <f t="shared" si="82"/>
        <v>0</v>
      </c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03">
        <f t="shared" si="83"/>
        <v>0</v>
      </c>
      <c r="AA256" s="123"/>
      <c r="AB256" s="123"/>
      <c r="AC256" s="123"/>
      <c r="AD256" s="105">
        <f t="shared" si="84"/>
        <v>0</v>
      </c>
      <c r="AE256" s="143"/>
      <c r="AF256" s="143"/>
      <c r="AG256" s="146"/>
      <c r="AH256" s="224" t="e">
        <f t="shared" si="85"/>
        <v>#REF!</v>
      </c>
      <c r="AI256" s="126"/>
      <c r="AJ256" s="274"/>
      <c r="AK256" s="274"/>
      <c r="AL256" s="126"/>
      <c r="AM256" s="126"/>
      <c r="AN256" s="126"/>
      <c r="AO256" s="126"/>
      <c r="AP256" s="274"/>
      <c r="AQ256" s="274"/>
      <c r="AR256" s="274"/>
      <c r="AS256" s="274"/>
      <c r="AT256" s="222">
        <f t="shared" si="86"/>
        <v>0</v>
      </c>
      <c r="AU256" s="113" t="e">
        <f t="shared" si="87"/>
        <v>#REF!</v>
      </c>
      <c r="AV256" s="3"/>
      <c r="AW256" s="113">
        <f t="shared" si="88"/>
        <v>0</v>
      </c>
      <c r="AX256" s="129"/>
      <c r="AY256" s="129"/>
      <c r="AZ256" s="129"/>
      <c r="BA256" s="129"/>
      <c r="BB256" s="129"/>
      <c r="BC256" s="130" t="e">
        <f t="shared" si="89"/>
        <v>#REF!</v>
      </c>
      <c r="BD256" s="3"/>
    </row>
    <row r="257" ht="14.25" customHeight="1">
      <c r="A257" s="3"/>
      <c r="B257" s="1506">
        <v>46250</v>
      </c>
      <c r="C257" s="123"/>
      <c r="D257" s="123"/>
      <c r="E257" s="120"/>
      <c r="F257" s="120"/>
      <c r="G257" s="147">
        <f t="shared" si="81"/>
        <v>0</v>
      </c>
      <c r="H257" s="144"/>
      <c r="I257" s="143"/>
      <c r="J257" s="143"/>
      <c r="K257" s="143"/>
      <c r="L257" s="143"/>
      <c r="M257" s="103">
        <f t="shared" si="82"/>
        <v>0</v>
      </c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03">
        <f t="shared" si="83"/>
        <v>0</v>
      </c>
      <c r="AA257" s="123"/>
      <c r="AB257" s="123"/>
      <c r="AC257" s="123"/>
      <c r="AD257" s="105">
        <f t="shared" si="84"/>
        <v>0</v>
      </c>
      <c r="AE257" s="143"/>
      <c r="AF257" s="143"/>
      <c r="AG257" s="146"/>
      <c r="AH257" s="224" t="e">
        <f t="shared" si="85"/>
        <v>#REF!</v>
      </c>
      <c r="AI257" s="126"/>
      <c r="AJ257" s="274"/>
      <c r="AK257" s="274"/>
      <c r="AL257" s="126"/>
      <c r="AM257" s="126"/>
      <c r="AN257" s="126"/>
      <c r="AO257" s="126"/>
      <c r="AP257" s="274"/>
      <c r="AQ257" s="274"/>
      <c r="AR257" s="274"/>
      <c r="AS257" s="274"/>
      <c r="AT257" s="222">
        <f t="shared" si="86"/>
        <v>0</v>
      </c>
      <c r="AU257" s="113" t="e">
        <f t="shared" si="87"/>
        <v>#REF!</v>
      </c>
      <c r="AV257" s="3"/>
      <c r="AW257" s="113">
        <f t="shared" si="88"/>
        <v>0</v>
      </c>
      <c r="AX257" s="129"/>
      <c r="AY257" s="129"/>
      <c r="AZ257" s="129"/>
      <c r="BA257" s="129"/>
      <c r="BB257" s="129"/>
      <c r="BC257" s="130" t="e">
        <f t="shared" si="89"/>
        <v>#REF!</v>
      </c>
      <c r="BD257" s="3"/>
    </row>
    <row r="258" ht="14.25" customHeight="1">
      <c r="A258" s="3"/>
      <c r="B258" s="1506">
        <v>46251</v>
      </c>
      <c r="C258" s="123"/>
      <c r="D258" s="123"/>
      <c r="E258" s="120"/>
      <c r="F258" s="120"/>
      <c r="G258" s="147">
        <f t="shared" si="81"/>
        <v>0</v>
      </c>
      <c r="H258" s="144"/>
      <c r="I258" s="143"/>
      <c r="J258" s="143"/>
      <c r="K258" s="143"/>
      <c r="L258" s="143"/>
      <c r="M258" s="103">
        <f t="shared" si="82"/>
        <v>0</v>
      </c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03">
        <f t="shared" si="83"/>
        <v>0</v>
      </c>
      <c r="AA258" s="123"/>
      <c r="AB258" s="123"/>
      <c r="AC258" s="123"/>
      <c r="AD258" s="105">
        <f t="shared" si="84"/>
        <v>0</v>
      </c>
      <c r="AE258" s="143"/>
      <c r="AF258" s="143"/>
      <c r="AG258" s="146"/>
      <c r="AH258" s="224" t="e">
        <f t="shared" si="85"/>
        <v>#REF!</v>
      </c>
      <c r="AI258" s="126"/>
      <c r="AJ258" s="274"/>
      <c r="AK258" s="274"/>
      <c r="AL258" s="126"/>
      <c r="AM258" s="126"/>
      <c r="AN258" s="126"/>
      <c r="AO258" s="126"/>
      <c r="AP258" s="274"/>
      <c r="AQ258" s="274"/>
      <c r="AR258" s="274"/>
      <c r="AS258" s="274"/>
      <c r="AT258" s="222">
        <f t="shared" si="86"/>
        <v>0</v>
      </c>
      <c r="AU258" s="113" t="e">
        <f t="shared" si="87"/>
        <v>#REF!</v>
      </c>
      <c r="AV258" s="3"/>
      <c r="AW258" s="113">
        <f t="shared" si="88"/>
        <v>0</v>
      </c>
      <c r="AX258" s="129"/>
      <c r="AY258" s="129"/>
      <c r="AZ258" s="129"/>
      <c r="BA258" s="129"/>
      <c r="BB258" s="129"/>
      <c r="BC258" s="130" t="e">
        <f t="shared" si="89"/>
        <v>#REF!</v>
      </c>
      <c r="BD258" s="3"/>
    </row>
    <row r="259" ht="14.25" customHeight="1">
      <c r="A259" s="132"/>
      <c r="B259" s="1506">
        <v>46252</v>
      </c>
      <c r="C259" s="136"/>
      <c r="D259" s="136"/>
      <c r="E259" s="135"/>
      <c r="F259" s="135"/>
      <c r="G259" s="147">
        <f t="shared" si="81"/>
        <v>0</v>
      </c>
      <c r="H259" s="144"/>
      <c r="I259" s="143"/>
      <c r="J259" s="143"/>
      <c r="K259" s="143"/>
      <c r="L259" s="143"/>
      <c r="M259" s="103">
        <f t="shared" si="82"/>
        <v>0</v>
      </c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03">
        <f t="shared" si="83"/>
        <v>0</v>
      </c>
      <c r="AA259" s="136"/>
      <c r="AB259" s="136"/>
      <c r="AC259" s="136"/>
      <c r="AD259" s="105">
        <f t="shared" si="84"/>
        <v>0</v>
      </c>
      <c r="AE259" s="143"/>
      <c r="AF259" s="143"/>
      <c r="AG259" s="146"/>
      <c r="AH259" s="224" t="e">
        <f t="shared" si="85"/>
        <v>#REF!</v>
      </c>
      <c r="AI259" s="126"/>
      <c r="AJ259" s="274"/>
      <c r="AK259" s="274"/>
      <c r="AL259" s="126"/>
      <c r="AM259" s="126"/>
      <c r="AN259" s="126"/>
      <c r="AO259" s="126"/>
      <c r="AP259" s="274"/>
      <c r="AQ259" s="274"/>
      <c r="AR259" s="274"/>
      <c r="AS259" s="274"/>
      <c r="AT259" s="222">
        <f t="shared" si="86"/>
        <v>0</v>
      </c>
      <c r="AU259" s="140" t="e">
        <f t="shared" si="87"/>
        <v>#REF!</v>
      </c>
      <c r="AV259" s="132"/>
      <c r="AW259" s="140">
        <f t="shared" si="88"/>
        <v>0</v>
      </c>
      <c r="AX259" s="141"/>
      <c r="AY259" s="141"/>
      <c r="AZ259" s="141"/>
      <c r="BA259" s="141"/>
      <c r="BB259" s="141"/>
      <c r="BC259" s="130" t="e">
        <f t="shared" si="89"/>
        <v>#REF!</v>
      </c>
      <c r="BD259" s="132"/>
    </row>
    <row r="260" ht="14.25" customHeight="1">
      <c r="A260" s="132"/>
      <c r="B260" s="1506">
        <v>46253</v>
      </c>
      <c r="C260" s="136"/>
      <c r="D260" s="136"/>
      <c r="E260" s="135"/>
      <c r="F260" s="135"/>
      <c r="G260" s="147">
        <f t="shared" si="81"/>
        <v>0</v>
      </c>
      <c r="H260" s="144"/>
      <c r="I260" s="143"/>
      <c r="J260" s="143"/>
      <c r="K260" s="143"/>
      <c r="L260" s="143"/>
      <c r="M260" s="103">
        <f t="shared" si="82"/>
        <v>0</v>
      </c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03">
        <f t="shared" si="83"/>
        <v>0</v>
      </c>
      <c r="AA260" s="136"/>
      <c r="AB260" s="136"/>
      <c r="AC260" s="136"/>
      <c r="AD260" s="105">
        <f t="shared" si="84"/>
        <v>0</v>
      </c>
      <c r="AE260" s="143"/>
      <c r="AF260" s="143"/>
      <c r="AG260" s="146"/>
      <c r="AH260" s="224" t="e">
        <f t="shared" si="85"/>
        <v>#REF!</v>
      </c>
      <c r="AI260" s="126"/>
      <c r="AJ260" s="274"/>
      <c r="AK260" s="274"/>
      <c r="AL260" s="126"/>
      <c r="AM260" s="126"/>
      <c r="AN260" s="126"/>
      <c r="AO260" s="126"/>
      <c r="AP260" s="274"/>
      <c r="AQ260" s="274"/>
      <c r="AR260" s="274"/>
      <c r="AS260" s="274"/>
      <c r="AT260" s="222">
        <f t="shared" si="86"/>
        <v>0</v>
      </c>
      <c r="AU260" s="140" t="e">
        <f t="shared" si="87"/>
        <v>#REF!</v>
      </c>
      <c r="AV260" s="132"/>
      <c r="AW260" s="140">
        <f t="shared" si="88"/>
        <v>0</v>
      </c>
      <c r="AX260" s="141"/>
      <c r="AY260" s="141"/>
      <c r="AZ260" s="141"/>
      <c r="BA260" s="141"/>
      <c r="BB260" s="141"/>
      <c r="BC260" s="130" t="e">
        <f t="shared" si="89"/>
        <v>#REF!</v>
      </c>
      <c r="BD260" s="132"/>
    </row>
    <row r="261" ht="14.25" customHeight="1">
      <c r="A261" s="132"/>
      <c r="B261" s="1506">
        <v>46254</v>
      </c>
      <c r="C261" s="136"/>
      <c r="D261" s="136"/>
      <c r="E261" s="135"/>
      <c r="F261" s="135"/>
      <c r="G261" s="147">
        <f t="shared" si="81"/>
        <v>0</v>
      </c>
      <c r="H261" s="144"/>
      <c r="I261" s="143"/>
      <c r="J261" s="143"/>
      <c r="K261" s="143"/>
      <c r="L261" s="143"/>
      <c r="M261" s="103">
        <f t="shared" si="82"/>
        <v>0</v>
      </c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03">
        <f t="shared" si="83"/>
        <v>0</v>
      </c>
      <c r="AA261" s="136"/>
      <c r="AB261" s="136"/>
      <c r="AC261" s="136"/>
      <c r="AD261" s="105">
        <f t="shared" si="84"/>
        <v>0</v>
      </c>
      <c r="AE261" s="143"/>
      <c r="AF261" s="143"/>
      <c r="AG261" s="146"/>
      <c r="AH261" s="224" t="e">
        <f t="shared" si="85"/>
        <v>#REF!</v>
      </c>
      <c r="AI261" s="126"/>
      <c r="AJ261" s="274"/>
      <c r="AK261" s="274"/>
      <c r="AL261" s="126"/>
      <c r="AM261" s="126"/>
      <c r="AN261" s="126"/>
      <c r="AO261" s="126"/>
      <c r="AP261" s="274"/>
      <c r="AQ261" s="274"/>
      <c r="AR261" s="274"/>
      <c r="AS261" s="274"/>
      <c r="AT261" s="222">
        <f t="shared" si="86"/>
        <v>0</v>
      </c>
      <c r="AU261" s="140" t="e">
        <f t="shared" si="87"/>
        <v>#REF!</v>
      </c>
      <c r="AV261" s="132"/>
      <c r="AW261" s="140">
        <f t="shared" si="88"/>
        <v>0</v>
      </c>
      <c r="AX261" s="141"/>
      <c r="AY261" s="141"/>
      <c r="AZ261" s="141"/>
      <c r="BA261" s="141"/>
      <c r="BB261" s="141"/>
      <c r="BC261" s="130" t="e">
        <f t="shared" si="89"/>
        <v>#REF!</v>
      </c>
      <c r="BD261" s="132"/>
    </row>
    <row r="262" ht="14.25" customHeight="1">
      <c r="A262" s="132"/>
      <c r="B262" s="1506">
        <v>46255</v>
      </c>
      <c r="C262" s="136"/>
      <c r="D262" s="136"/>
      <c r="E262" s="135"/>
      <c r="F262" s="135"/>
      <c r="G262" s="147">
        <f t="shared" si="81"/>
        <v>0</v>
      </c>
      <c r="H262" s="144"/>
      <c r="I262" s="143"/>
      <c r="J262" s="143"/>
      <c r="K262" s="143"/>
      <c r="L262" s="143"/>
      <c r="M262" s="103">
        <f t="shared" si="82"/>
        <v>0</v>
      </c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03">
        <f t="shared" si="83"/>
        <v>0</v>
      </c>
      <c r="AA262" s="136"/>
      <c r="AB262" s="136"/>
      <c r="AC262" s="136"/>
      <c r="AD262" s="105">
        <f t="shared" si="84"/>
        <v>0</v>
      </c>
      <c r="AE262" s="143"/>
      <c r="AF262" s="143"/>
      <c r="AG262" s="146"/>
      <c r="AH262" s="224" t="e">
        <f t="shared" si="85"/>
        <v>#REF!</v>
      </c>
      <c r="AI262" s="126"/>
      <c r="AJ262" s="274"/>
      <c r="AK262" s="274"/>
      <c r="AL262" s="126"/>
      <c r="AM262" s="126"/>
      <c r="AN262" s="126"/>
      <c r="AO262" s="126"/>
      <c r="AP262" s="274"/>
      <c r="AQ262" s="274"/>
      <c r="AR262" s="274"/>
      <c r="AS262" s="274"/>
      <c r="AT262" s="222">
        <f t="shared" si="86"/>
        <v>0</v>
      </c>
      <c r="AU262" s="140" t="e">
        <f t="shared" si="87"/>
        <v>#REF!</v>
      </c>
      <c r="AV262" s="132"/>
      <c r="AW262" s="140">
        <f t="shared" si="88"/>
        <v>0</v>
      </c>
      <c r="AX262" s="141"/>
      <c r="AY262" s="141"/>
      <c r="AZ262" s="141"/>
      <c r="BA262" s="141"/>
      <c r="BB262" s="141"/>
      <c r="BC262" s="130" t="e">
        <f t="shared" si="89"/>
        <v>#REF!</v>
      </c>
      <c r="BD262" s="132"/>
    </row>
    <row r="263" ht="14.25" customHeight="1">
      <c r="A263" s="132"/>
      <c r="B263" s="1506">
        <v>46256</v>
      </c>
      <c r="C263" s="136"/>
      <c r="D263" s="136"/>
      <c r="E263" s="135"/>
      <c r="F263" s="135"/>
      <c r="G263" s="147">
        <f t="shared" si="81"/>
        <v>0</v>
      </c>
      <c r="H263" s="144"/>
      <c r="I263" s="143"/>
      <c r="J263" s="143"/>
      <c r="K263" s="143"/>
      <c r="L263" s="143"/>
      <c r="M263" s="103">
        <f t="shared" si="82"/>
        <v>0</v>
      </c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03">
        <f t="shared" si="83"/>
        <v>0</v>
      </c>
      <c r="AA263" s="136"/>
      <c r="AB263" s="136"/>
      <c r="AC263" s="136"/>
      <c r="AD263" s="105">
        <f t="shared" si="84"/>
        <v>0</v>
      </c>
      <c r="AE263" s="143"/>
      <c r="AF263" s="143"/>
      <c r="AG263" s="146"/>
      <c r="AH263" s="224" t="e">
        <f t="shared" si="85"/>
        <v>#REF!</v>
      </c>
      <c r="AI263" s="126"/>
      <c r="AJ263" s="274"/>
      <c r="AK263" s="274"/>
      <c r="AL263" s="126"/>
      <c r="AM263" s="126"/>
      <c r="AN263" s="126"/>
      <c r="AO263" s="126"/>
      <c r="AP263" s="274"/>
      <c r="AQ263" s="274"/>
      <c r="AR263" s="274"/>
      <c r="AS263" s="274"/>
      <c r="AT263" s="222">
        <f t="shared" si="86"/>
        <v>0</v>
      </c>
      <c r="AU263" s="140" t="e">
        <f t="shared" si="87"/>
        <v>#REF!</v>
      </c>
      <c r="AV263" s="132"/>
      <c r="AW263" s="140">
        <f t="shared" si="88"/>
        <v>0</v>
      </c>
      <c r="AX263" s="141"/>
      <c r="AY263" s="141"/>
      <c r="AZ263" s="141"/>
      <c r="BA263" s="141"/>
      <c r="BB263" s="141"/>
      <c r="BC263" s="130" t="e">
        <f t="shared" si="89"/>
        <v>#REF!</v>
      </c>
      <c r="BD263" s="132"/>
    </row>
    <row r="264" ht="14.25" customHeight="1">
      <c r="A264" s="132"/>
      <c r="B264" s="1506">
        <v>46257</v>
      </c>
      <c r="C264" s="136"/>
      <c r="D264" s="136"/>
      <c r="E264" s="135"/>
      <c r="F264" s="135"/>
      <c r="G264" s="147">
        <f t="shared" si="81"/>
        <v>0</v>
      </c>
      <c r="H264" s="144"/>
      <c r="I264" s="143"/>
      <c r="J264" s="143"/>
      <c r="K264" s="143"/>
      <c r="L264" s="143"/>
      <c r="M264" s="103">
        <f t="shared" si="82"/>
        <v>0</v>
      </c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03">
        <f t="shared" si="83"/>
        <v>0</v>
      </c>
      <c r="AA264" s="136"/>
      <c r="AB264" s="136"/>
      <c r="AC264" s="136"/>
      <c r="AD264" s="105">
        <f t="shared" si="84"/>
        <v>0</v>
      </c>
      <c r="AE264" s="143"/>
      <c r="AF264" s="143"/>
      <c r="AG264" s="146"/>
      <c r="AH264" s="224" t="e">
        <f t="shared" si="85"/>
        <v>#REF!</v>
      </c>
      <c r="AI264" s="126"/>
      <c r="AJ264" s="274"/>
      <c r="AK264" s="274"/>
      <c r="AL264" s="126"/>
      <c r="AM264" s="126"/>
      <c r="AN264" s="126"/>
      <c r="AO264" s="126"/>
      <c r="AP264" s="274"/>
      <c r="AQ264" s="274"/>
      <c r="AR264" s="274"/>
      <c r="AS264" s="274"/>
      <c r="AT264" s="222">
        <f t="shared" si="86"/>
        <v>0</v>
      </c>
      <c r="AU264" s="140" t="e">
        <f t="shared" si="87"/>
        <v>#REF!</v>
      </c>
      <c r="AV264" s="132"/>
      <c r="AW264" s="140">
        <f t="shared" si="88"/>
        <v>0</v>
      </c>
      <c r="AX264" s="141"/>
      <c r="AY264" s="141"/>
      <c r="AZ264" s="141"/>
      <c r="BA264" s="141"/>
      <c r="BB264" s="141"/>
      <c r="BC264" s="130" t="e">
        <f t="shared" si="89"/>
        <v>#REF!</v>
      </c>
      <c r="BD264" s="132"/>
    </row>
    <row r="265" ht="14.25" customHeight="1">
      <c r="A265" s="132"/>
      <c r="B265" s="1506">
        <v>46258</v>
      </c>
      <c r="C265" s="136"/>
      <c r="D265" s="136"/>
      <c r="E265" s="135"/>
      <c r="F265" s="135"/>
      <c r="G265" s="147">
        <f t="shared" si="81"/>
        <v>0</v>
      </c>
      <c r="H265" s="144"/>
      <c r="I265" s="143"/>
      <c r="J265" s="143"/>
      <c r="K265" s="143"/>
      <c r="L265" s="143"/>
      <c r="M265" s="103">
        <f t="shared" si="82"/>
        <v>0</v>
      </c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03">
        <f t="shared" si="83"/>
        <v>0</v>
      </c>
      <c r="AA265" s="136"/>
      <c r="AB265" s="136"/>
      <c r="AC265" s="136"/>
      <c r="AD265" s="105">
        <f t="shared" si="84"/>
        <v>0</v>
      </c>
      <c r="AE265" s="143"/>
      <c r="AF265" s="143"/>
      <c r="AG265" s="146"/>
      <c r="AH265" s="224" t="e">
        <f t="shared" si="85"/>
        <v>#REF!</v>
      </c>
      <c r="AI265" s="126"/>
      <c r="AJ265" s="274"/>
      <c r="AK265" s="274"/>
      <c r="AL265" s="126"/>
      <c r="AM265" s="126"/>
      <c r="AN265" s="126"/>
      <c r="AO265" s="126"/>
      <c r="AP265" s="274"/>
      <c r="AQ265" s="274"/>
      <c r="AR265" s="274"/>
      <c r="AS265" s="274"/>
      <c r="AT265" s="222">
        <f t="shared" si="86"/>
        <v>0</v>
      </c>
      <c r="AU265" s="140" t="e">
        <f t="shared" si="87"/>
        <v>#REF!</v>
      </c>
      <c r="AV265" s="132"/>
      <c r="AW265" s="140">
        <f t="shared" si="88"/>
        <v>0</v>
      </c>
      <c r="AX265" s="141"/>
      <c r="AY265" s="141"/>
      <c r="AZ265" s="141"/>
      <c r="BA265" s="141"/>
      <c r="BB265" s="141"/>
      <c r="BC265" s="130" t="e">
        <f t="shared" si="89"/>
        <v>#REF!</v>
      </c>
      <c r="BD265" s="132"/>
    </row>
    <row r="266" ht="14.25" customHeight="1">
      <c r="A266" s="132"/>
      <c r="B266" s="1506">
        <v>46259</v>
      </c>
      <c r="C266" s="136"/>
      <c r="D266" s="136"/>
      <c r="E266" s="135"/>
      <c r="F266" s="135"/>
      <c r="G266" s="147">
        <f t="shared" si="81"/>
        <v>0</v>
      </c>
      <c r="H266" s="144"/>
      <c r="I266" s="143"/>
      <c r="J266" s="143"/>
      <c r="K266" s="143"/>
      <c r="L266" s="143"/>
      <c r="M266" s="103">
        <f t="shared" si="82"/>
        <v>0</v>
      </c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03">
        <f t="shared" si="83"/>
        <v>0</v>
      </c>
      <c r="AA266" s="136"/>
      <c r="AB266" s="136"/>
      <c r="AC266" s="136"/>
      <c r="AD266" s="105">
        <f t="shared" si="84"/>
        <v>0</v>
      </c>
      <c r="AE266" s="143"/>
      <c r="AF266" s="143"/>
      <c r="AG266" s="146"/>
      <c r="AH266" s="224" t="e">
        <f t="shared" si="85"/>
        <v>#REF!</v>
      </c>
      <c r="AI266" s="126"/>
      <c r="AJ266" s="274"/>
      <c r="AK266" s="274"/>
      <c r="AL266" s="126"/>
      <c r="AM266" s="126"/>
      <c r="AN266" s="126"/>
      <c r="AO266" s="126"/>
      <c r="AP266" s="274"/>
      <c r="AQ266" s="274"/>
      <c r="AR266" s="274"/>
      <c r="AS266" s="274"/>
      <c r="AT266" s="222">
        <f t="shared" si="86"/>
        <v>0</v>
      </c>
      <c r="AU266" s="140" t="e">
        <f t="shared" si="87"/>
        <v>#REF!</v>
      </c>
      <c r="AV266" s="132"/>
      <c r="AW266" s="140">
        <f t="shared" si="88"/>
        <v>0</v>
      </c>
      <c r="AX266" s="141"/>
      <c r="AY266" s="141"/>
      <c r="AZ266" s="141"/>
      <c r="BA266" s="141"/>
      <c r="BB266" s="141"/>
      <c r="BC266" s="130" t="e">
        <f t="shared" si="89"/>
        <v>#REF!</v>
      </c>
      <c r="BD266" s="132"/>
    </row>
    <row r="267" ht="14.25" customHeight="1">
      <c r="A267" s="132"/>
      <c r="B267" s="1506">
        <v>46260</v>
      </c>
      <c r="C267" s="136"/>
      <c r="D267" s="136"/>
      <c r="E267" s="135"/>
      <c r="F267" s="135"/>
      <c r="G267" s="147">
        <f t="shared" si="81"/>
        <v>0</v>
      </c>
      <c r="H267" s="144"/>
      <c r="I267" s="143"/>
      <c r="J267" s="143"/>
      <c r="K267" s="143"/>
      <c r="L267" s="143"/>
      <c r="M267" s="103">
        <f t="shared" si="82"/>
        <v>0</v>
      </c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03">
        <f t="shared" si="83"/>
        <v>0</v>
      </c>
      <c r="AA267" s="136"/>
      <c r="AB267" s="136"/>
      <c r="AC267" s="136"/>
      <c r="AD267" s="105">
        <f t="shared" si="84"/>
        <v>0</v>
      </c>
      <c r="AE267" s="143"/>
      <c r="AF267" s="143"/>
      <c r="AG267" s="146"/>
      <c r="AH267" s="224" t="e">
        <f t="shared" si="85"/>
        <v>#REF!</v>
      </c>
      <c r="AI267" s="126"/>
      <c r="AJ267" s="274"/>
      <c r="AK267" s="274"/>
      <c r="AL267" s="126"/>
      <c r="AM267" s="126"/>
      <c r="AN267" s="126"/>
      <c r="AO267" s="126"/>
      <c r="AP267" s="274"/>
      <c r="AQ267" s="274"/>
      <c r="AR267" s="274"/>
      <c r="AS267" s="274"/>
      <c r="AT267" s="222">
        <f t="shared" si="86"/>
        <v>0</v>
      </c>
      <c r="AU267" s="140" t="e">
        <f t="shared" si="87"/>
        <v>#REF!</v>
      </c>
      <c r="AV267" s="132"/>
      <c r="AW267" s="140">
        <f t="shared" si="88"/>
        <v>0</v>
      </c>
      <c r="AX267" s="141"/>
      <c r="AY267" s="141"/>
      <c r="AZ267" s="141"/>
      <c r="BA267" s="141"/>
      <c r="BB267" s="141"/>
      <c r="BC267" s="130" t="e">
        <f t="shared" si="89"/>
        <v>#REF!</v>
      </c>
      <c r="BD267" s="132"/>
    </row>
    <row r="268" ht="14.25" customHeight="1">
      <c r="A268" s="132"/>
      <c r="B268" s="1506">
        <v>46261</v>
      </c>
      <c r="C268" s="136"/>
      <c r="D268" s="136"/>
      <c r="E268" s="135"/>
      <c r="F268" s="135"/>
      <c r="G268" s="147">
        <f t="shared" si="81"/>
        <v>0</v>
      </c>
      <c r="H268" s="144"/>
      <c r="I268" s="143"/>
      <c r="J268" s="143"/>
      <c r="K268" s="143"/>
      <c r="L268" s="143"/>
      <c r="M268" s="103">
        <f t="shared" si="82"/>
        <v>0</v>
      </c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03">
        <f t="shared" si="83"/>
        <v>0</v>
      </c>
      <c r="AA268" s="136"/>
      <c r="AB268" s="136"/>
      <c r="AC268" s="136"/>
      <c r="AD268" s="105">
        <f t="shared" si="84"/>
        <v>0</v>
      </c>
      <c r="AE268" s="143"/>
      <c r="AF268" s="143"/>
      <c r="AG268" s="146"/>
      <c r="AH268" s="224" t="e">
        <f t="shared" si="85"/>
        <v>#REF!</v>
      </c>
      <c r="AI268" s="126"/>
      <c r="AJ268" s="274"/>
      <c r="AK268" s="274"/>
      <c r="AL268" s="126"/>
      <c r="AM268" s="126"/>
      <c r="AN268" s="126"/>
      <c r="AO268" s="126"/>
      <c r="AP268" s="274"/>
      <c r="AQ268" s="274"/>
      <c r="AR268" s="274"/>
      <c r="AS268" s="274"/>
      <c r="AT268" s="222">
        <f t="shared" si="86"/>
        <v>0</v>
      </c>
      <c r="AU268" s="140" t="e">
        <f t="shared" si="87"/>
        <v>#REF!</v>
      </c>
      <c r="AV268" s="132"/>
      <c r="AW268" s="140">
        <f t="shared" si="88"/>
        <v>0</v>
      </c>
      <c r="AX268" s="141"/>
      <c r="AY268" s="141"/>
      <c r="AZ268" s="141"/>
      <c r="BA268" s="141"/>
      <c r="BB268" s="141"/>
      <c r="BC268" s="130" t="e">
        <f t="shared" si="89"/>
        <v>#REF!</v>
      </c>
      <c r="BD268" s="132"/>
    </row>
    <row r="269" ht="14.25" customHeight="1">
      <c r="A269" s="132"/>
      <c r="B269" s="1506">
        <v>46262</v>
      </c>
      <c r="C269" s="136"/>
      <c r="D269" s="136"/>
      <c r="E269" s="135"/>
      <c r="F269" s="135"/>
      <c r="G269" s="147">
        <f t="shared" si="81"/>
        <v>0</v>
      </c>
      <c r="H269" s="144"/>
      <c r="I269" s="143"/>
      <c r="J269" s="143"/>
      <c r="K269" s="143"/>
      <c r="L269" s="143"/>
      <c r="M269" s="103">
        <f t="shared" si="82"/>
        <v>0</v>
      </c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03">
        <f t="shared" si="83"/>
        <v>0</v>
      </c>
      <c r="AA269" s="136"/>
      <c r="AB269" s="136"/>
      <c r="AC269" s="136"/>
      <c r="AD269" s="105">
        <f t="shared" si="84"/>
        <v>0</v>
      </c>
      <c r="AE269" s="143"/>
      <c r="AF269" s="143"/>
      <c r="AG269" s="146"/>
      <c r="AH269" s="224" t="e">
        <f t="shared" si="85"/>
        <v>#REF!</v>
      </c>
      <c r="AI269" s="126"/>
      <c r="AJ269" s="274"/>
      <c r="AK269" s="274"/>
      <c r="AL269" s="126"/>
      <c r="AM269" s="126"/>
      <c r="AN269" s="126"/>
      <c r="AO269" s="126"/>
      <c r="AP269" s="274"/>
      <c r="AQ269" s="274"/>
      <c r="AR269" s="274"/>
      <c r="AS269" s="274"/>
      <c r="AT269" s="222">
        <f t="shared" si="86"/>
        <v>0</v>
      </c>
      <c r="AU269" s="140" t="e">
        <f t="shared" si="87"/>
        <v>#REF!</v>
      </c>
      <c r="AV269" s="132"/>
      <c r="AW269" s="140">
        <f t="shared" si="88"/>
        <v>0</v>
      </c>
      <c r="AX269" s="141"/>
      <c r="AY269" s="141"/>
      <c r="AZ269" s="141"/>
      <c r="BA269" s="141"/>
      <c r="BB269" s="141"/>
      <c r="BC269" s="224" t="e">
        <f t="shared" si="89"/>
        <v>#REF!</v>
      </c>
      <c r="BD269" s="132"/>
    </row>
    <row r="270" ht="14.25" customHeight="1">
      <c r="A270" s="132"/>
      <c r="B270" s="1506">
        <v>46263</v>
      </c>
      <c r="C270" s="136"/>
      <c r="D270" s="136"/>
      <c r="E270" s="135"/>
      <c r="F270" s="135"/>
      <c r="G270" s="147">
        <f t="shared" si="81"/>
        <v>0</v>
      </c>
      <c r="H270" s="144"/>
      <c r="I270" s="143"/>
      <c r="J270" s="143"/>
      <c r="K270" s="143"/>
      <c r="L270" s="143"/>
      <c r="M270" s="103">
        <f t="shared" si="82"/>
        <v>0</v>
      </c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03">
        <f t="shared" si="83"/>
        <v>0</v>
      </c>
      <c r="AA270" s="136"/>
      <c r="AB270" s="136"/>
      <c r="AC270" s="136"/>
      <c r="AD270" s="105">
        <f t="shared" si="84"/>
        <v>0</v>
      </c>
      <c r="AE270" s="143"/>
      <c r="AF270" s="143"/>
      <c r="AG270" s="146"/>
      <c r="AH270" s="224" t="e">
        <f t="shared" si="85"/>
        <v>#REF!</v>
      </c>
      <c r="AI270" s="126"/>
      <c r="AJ270" s="274"/>
      <c r="AK270" s="274"/>
      <c r="AL270" s="126"/>
      <c r="AM270" s="126"/>
      <c r="AN270" s="126"/>
      <c r="AO270" s="126"/>
      <c r="AP270" s="274"/>
      <c r="AQ270" s="274"/>
      <c r="AR270" s="274"/>
      <c r="AS270" s="274"/>
      <c r="AT270" s="222">
        <f t="shared" si="86"/>
        <v>0</v>
      </c>
      <c r="AU270" s="140" t="e">
        <f t="shared" si="87"/>
        <v>#REF!</v>
      </c>
      <c r="AV270" s="132"/>
      <c r="AW270" s="140">
        <f t="shared" si="88"/>
        <v>0</v>
      </c>
      <c r="AX270" s="141"/>
      <c r="AY270" s="141"/>
      <c r="AZ270" s="141"/>
      <c r="BA270" s="141"/>
      <c r="BB270" s="141"/>
      <c r="BC270" s="130" t="e">
        <f t="shared" si="89"/>
        <v>#REF!</v>
      </c>
      <c r="BD270" s="132"/>
    </row>
    <row r="271" ht="14.25" customHeight="1">
      <c r="A271" s="132"/>
      <c r="B271" s="1506">
        <v>46264</v>
      </c>
      <c r="C271" s="136"/>
      <c r="D271" s="136"/>
      <c r="E271" s="135"/>
      <c r="F271" s="135"/>
      <c r="G271" s="147">
        <f t="shared" si="81"/>
        <v>0</v>
      </c>
      <c r="H271" s="144"/>
      <c r="I271" s="143"/>
      <c r="J271" s="143"/>
      <c r="K271" s="143"/>
      <c r="L271" s="143"/>
      <c r="M271" s="103">
        <f t="shared" si="82"/>
        <v>0</v>
      </c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03">
        <f t="shared" si="83"/>
        <v>0</v>
      </c>
      <c r="AA271" s="136"/>
      <c r="AB271" s="136"/>
      <c r="AC271" s="136"/>
      <c r="AD271" s="105">
        <f t="shared" si="84"/>
        <v>0</v>
      </c>
      <c r="AE271" s="143"/>
      <c r="AF271" s="143"/>
      <c r="AG271" s="146"/>
      <c r="AH271" s="224" t="e">
        <f t="shared" si="85"/>
        <v>#REF!</v>
      </c>
      <c r="AI271" s="126"/>
      <c r="AJ271" s="274"/>
      <c r="AK271" s="274"/>
      <c r="AL271" s="126"/>
      <c r="AM271" s="126"/>
      <c r="AN271" s="126"/>
      <c r="AO271" s="126"/>
      <c r="AP271" s="274"/>
      <c r="AQ271" s="274"/>
      <c r="AR271" s="274"/>
      <c r="AS271" s="274"/>
      <c r="AT271" s="222">
        <f t="shared" si="86"/>
        <v>0</v>
      </c>
      <c r="AU271" s="140" t="e">
        <f t="shared" si="87"/>
        <v>#REF!</v>
      </c>
      <c r="AV271" s="132"/>
      <c r="AW271" s="140">
        <f t="shared" si="88"/>
        <v>0</v>
      </c>
      <c r="AX271" s="141"/>
      <c r="AY271" s="141"/>
      <c r="AZ271" s="141"/>
      <c r="BA271" s="141"/>
      <c r="BB271" s="141"/>
      <c r="BC271" s="130" t="e">
        <f t="shared" si="89"/>
        <v>#REF!</v>
      </c>
      <c r="BD271" s="132"/>
    </row>
    <row r="272" ht="14.25" customHeight="1">
      <c r="A272" s="132"/>
      <c r="B272" s="1506">
        <v>46265</v>
      </c>
      <c r="C272" s="159"/>
      <c r="D272" s="159"/>
      <c r="E272" s="156"/>
      <c r="F272" s="156"/>
      <c r="G272" s="147">
        <f t="shared" si="81"/>
        <v>0</v>
      </c>
      <c r="H272" s="144"/>
      <c r="I272" s="157"/>
      <c r="J272" s="157"/>
      <c r="K272" s="157"/>
      <c r="L272" s="157"/>
      <c r="M272" s="103">
        <f t="shared" si="82"/>
        <v>0</v>
      </c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03">
        <f t="shared" si="83"/>
        <v>0</v>
      </c>
      <c r="AA272" s="159"/>
      <c r="AB272" s="159"/>
      <c r="AC272" s="159"/>
      <c r="AD272" s="105">
        <f t="shared" si="84"/>
        <v>0</v>
      </c>
      <c r="AE272" s="157"/>
      <c r="AF272" s="157"/>
      <c r="AG272" s="160"/>
      <c r="AH272" s="224" t="e">
        <f t="shared" si="85"/>
        <v>#REF!</v>
      </c>
      <c r="AI272" s="138"/>
      <c r="AJ272" s="296"/>
      <c r="AK272" s="296"/>
      <c r="AL272" s="138"/>
      <c r="AM272" s="126"/>
      <c r="AN272" s="126"/>
      <c r="AO272" s="138"/>
      <c r="AP272" s="296"/>
      <c r="AQ272" s="296"/>
      <c r="AR272" s="296"/>
      <c r="AS272" s="296"/>
      <c r="AT272" s="222">
        <f t="shared" si="86"/>
        <v>0</v>
      </c>
      <c r="AU272" s="162" t="e">
        <f t="shared" si="87"/>
        <v>#REF!</v>
      </c>
      <c r="AV272" s="132"/>
      <c r="AW272" s="162">
        <f t="shared" si="88"/>
        <v>0</v>
      </c>
      <c r="AX272" s="163"/>
      <c r="AY272" s="163"/>
      <c r="AZ272" s="141"/>
      <c r="BA272" s="163"/>
      <c r="BB272" s="163"/>
      <c r="BC272" s="164" t="e">
        <f t="shared" si="89"/>
        <v>#REF!</v>
      </c>
      <c r="BD272" s="132"/>
    </row>
    <row r="273" ht="14.25" customHeight="1">
      <c r="A273" s="3"/>
      <c r="B273" s="1528" t="s">
        <v>264</v>
      </c>
      <c r="C273" s="166">
        <f ref="C273:H273" t="shared" si="90">SUM(C242:C272)</f>
        <v>0</v>
      </c>
      <c r="D273" s="166">
        <f t="shared" si="90"/>
        <v>0</v>
      </c>
      <c r="E273" s="167">
        <f t="shared" si="90"/>
        <v>0</v>
      </c>
      <c r="F273" s="167">
        <f t="shared" si="90"/>
        <v>0</v>
      </c>
      <c r="G273" s="167">
        <f t="shared" si="90"/>
        <v>0</v>
      </c>
      <c r="H273" s="167">
        <f t="shared" si="90"/>
        <v>0</v>
      </c>
      <c r="I273" s="167"/>
      <c r="J273" s="166"/>
      <c r="K273" s="166"/>
      <c r="L273" s="166">
        <f ref="L273:AB273" t="shared" si="91">SUM(L242:L272)</f>
        <v>0</v>
      </c>
      <c r="M273" s="166">
        <f t="shared" si="91"/>
        <v>0</v>
      </c>
      <c r="N273" s="166">
        <f t="shared" si="91"/>
        <v>0</v>
      </c>
      <c r="O273" s="166">
        <f t="shared" si="91"/>
        <v>0</v>
      </c>
      <c r="P273" s="166">
        <f t="shared" si="91"/>
        <v>0</v>
      </c>
      <c r="Q273" s="166">
        <f t="shared" si="91"/>
        <v>0</v>
      </c>
      <c r="R273" s="166">
        <f t="shared" si="91"/>
        <v>0</v>
      </c>
      <c r="S273" s="166">
        <f t="shared" si="91"/>
        <v>0</v>
      </c>
      <c r="T273" s="166">
        <f t="shared" si="91"/>
        <v>0</v>
      </c>
      <c r="U273" s="166">
        <f t="shared" si="91"/>
        <v>0</v>
      </c>
      <c r="V273" s="166">
        <f t="shared" si="91"/>
        <v>0</v>
      </c>
      <c r="W273" s="166">
        <f t="shared" si="91"/>
        <v>0</v>
      </c>
      <c r="X273" s="166">
        <f t="shared" si="91"/>
        <v>0</v>
      </c>
      <c r="Y273" s="166">
        <f t="shared" si="91"/>
        <v>0</v>
      </c>
      <c r="Z273" s="166">
        <f t="shared" si="91"/>
        <v>0</v>
      </c>
      <c r="AA273" s="166">
        <f t="shared" si="91"/>
        <v>0</v>
      </c>
      <c r="AB273" s="166">
        <f t="shared" si="91"/>
        <v>0</v>
      </c>
      <c r="AC273" s="166"/>
      <c r="AD273" s="166">
        <f>SUM(AD242:AD272)</f>
        <v>0</v>
      </c>
      <c r="AE273" s="166"/>
      <c r="AF273" s="166"/>
      <c r="AG273" s="167"/>
      <c r="AH273" s="771" t="e">
        <f ref="AH273:AJ273" t="shared" si="92">SUM(AH242:AH272)</f>
        <v>#REF!</v>
      </c>
      <c r="AI273" s="1390">
        <f t="shared" si="92"/>
        <v>0</v>
      </c>
      <c r="AJ273" s="771">
        <f t="shared" si="92"/>
        <v>0</v>
      </c>
      <c r="AK273" s="167"/>
      <c r="AL273" s="166"/>
      <c r="AM273" s="166"/>
      <c r="AN273" s="166"/>
      <c r="AO273" s="167"/>
      <c r="AP273" s="167"/>
      <c r="AQ273" s="167"/>
      <c r="AR273" s="167"/>
      <c r="AS273" s="167"/>
      <c r="AT273" s="166">
        <f ref="AT273:AU273" t="shared" si="93">SUM(AT242:AT272)</f>
        <v>0</v>
      </c>
      <c r="AU273" s="166" t="e">
        <f t="shared" si="93"/>
        <v>#REF!</v>
      </c>
      <c r="AV273" s="3"/>
      <c r="AW273" s="172">
        <f>SUM(AW242:AW272)</f>
        <v>0</v>
      </c>
      <c r="AX273" s="165"/>
      <c r="AY273" s="165"/>
      <c r="AZ273" s="165">
        <f ref="AZ273:BC273" t="shared" si="94">SUM(AZ242:AZ272)</f>
        <v>0</v>
      </c>
      <c r="BA273" s="165">
        <f t="shared" si="94"/>
        <v>0</v>
      </c>
      <c r="BB273" s="165">
        <f t="shared" si="94"/>
        <v>0</v>
      </c>
      <c r="BC273" s="165" t="e">
        <f t="shared" si="94"/>
        <v>#REF!</v>
      </c>
      <c r="BD273" s="3"/>
    </row>
    <row r="274" ht="14.25" customHeight="1">
      <c r="A274" s="1"/>
      <c r="B274" s="1495"/>
      <c r="C274" s="3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4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132"/>
      <c r="AT274" s="4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ht="14.25" customHeight="1">
      <c r="A275" s="1"/>
      <c r="B275" s="1495"/>
      <c r="C275" s="3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176"/>
      <c r="AA275" s="3"/>
      <c r="AB275" s="3"/>
      <c r="AC275" s="3"/>
      <c r="AD275" s="4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132"/>
      <c r="AT275" s="4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ht="14.25" customHeight="1">
      <c r="A276" s="3"/>
      <c r="B276" s="1532">
        <v>46266</v>
      </c>
      <c r="C276" s="94"/>
      <c r="D276" s="104"/>
      <c r="E276" s="97"/>
      <c r="F276" s="97"/>
      <c r="G276" s="265">
        <f ref="G276:G305" t="shared" si="95">+C276+D276+E276+F276</f>
        <v>0</v>
      </c>
      <c r="H276" s="187"/>
      <c r="I276" s="186"/>
      <c r="J276" s="186"/>
      <c r="K276" s="186"/>
      <c r="L276" s="186"/>
      <c r="M276" s="103">
        <f ref="M276:M305" t="shared" si="96">SUM(H276:L276)</f>
        <v>0</v>
      </c>
      <c r="N276" s="186"/>
      <c r="O276" s="186"/>
      <c r="P276" s="186"/>
      <c r="Q276" s="186"/>
      <c r="R276" s="186"/>
      <c r="S276" s="186"/>
      <c r="T276" s="186"/>
      <c r="U276" s="186"/>
      <c r="V276" s="186"/>
      <c r="W276" s="186"/>
      <c r="X276" s="186"/>
      <c r="Y276" s="186"/>
      <c r="Z276" s="103">
        <f ref="Z276:Z305" t="shared" si="97">SUM(N276:Y276)</f>
        <v>0</v>
      </c>
      <c r="AA276" s="104"/>
      <c r="AB276" s="104"/>
      <c r="AC276" s="104"/>
      <c r="AD276" s="191">
        <f ref="AD276:AD305" t="shared" si="98">SUM(AA276:AC276)</f>
        <v>0</v>
      </c>
      <c r="AE276" s="186"/>
      <c r="AF276" s="186"/>
      <c r="AG276" s="193"/>
      <c r="AH276" s="219" t="e">
        <f ref="AH276:AH305" t="shared" si="99">+G276-M276-Z276-AD276-AE276-AF276-#REF!-AG276</f>
        <v>#REF!</v>
      </c>
      <c r="AI276" s="109"/>
      <c r="AJ276" s="639"/>
      <c r="AK276" s="639"/>
      <c r="AL276" s="847"/>
      <c r="AM276" s="847"/>
      <c r="AN276" s="847"/>
      <c r="AO276" s="847"/>
      <c r="AP276" s="639"/>
      <c r="AQ276" s="639"/>
      <c r="AR276" s="639"/>
      <c r="AS276" s="639"/>
      <c r="AT276" s="678">
        <f ref="AT276:AT305" t="shared" si="100">SUM(AI276:AS276)-AR276</f>
        <v>0</v>
      </c>
      <c r="AU276" s="1417" t="e">
        <f ref="AU276:AU305" t="shared" si="101">+AH276-AT276</f>
        <v>#REF!</v>
      </c>
      <c r="AV276" s="3"/>
      <c r="AW276" s="114">
        <f ref="AW276:AW305" t="shared" si="102">SUM(AX276:BB276)</f>
        <v>0</v>
      </c>
      <c r="AX276" s="115"/>
      <c r="AY276" s="115"/>
      <c r="AZ276" s="115"/>
      <c r="BA276" s="115"/>
      <c r="BB276" s="115"/>
      <c r="BC276" s="116" t="e">
        <f ref="BC276:BC305" t="shared" si="103">+AU276-AW276</f>
        <v>#REF!</v>
      </c>
      <c r="BD276" s="3"/>
    </row>
    <row r="277" ht="14.25" customHeight="1">
      <c r="A277" s="3"/>
      <c r="B277" s="1532">
        <v>46267</v>
      </c>
      <c r="C277" s="118"/>
      <c r="D277" s="123"/>
      <c r="E277" s="120"/>
      <c r="F277" s="120"/>
      <c r="G277" s="147">
        <f t="shared" si="95"/>
        <v>0</v>
      </c>
      <c r="H277" s="144"/>
      <c r="I277" s="143"/>
      <c r="J277" s="143"/>
      <c r="K277" s="143"/>
      <c r="L277" s="143"/>
      <c r="M277" s="103">
        <f t="shared" si="96"/>
        <v>0</v>
      </c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03">
        <f t="shared" si="97"/>
        <v>0</v>
      </c>
      <c r="AA277" s="123"/>
      <c r="AB277" s="123"/>
      <c r="AC277" s="123"/>
      <c r="AD277" s="105">
        <f t="shared" si="98"/>
        <v>0</v>
      </c>
      <c r="AE277" s="143"/>
      <c r="AF277" s="143"/>
      <c r="AG277" s="146"/>
      <c r="AH277" s="224" t="e">
        <f t="shared" si="99"/>
        <v>#REF!</v>
      </c>
      <c r="AI277" s="126"/>
      <c r="AJ277" s="274"/>
      <c r="AK277" s="274"/>
      <c r="AL277" s="126"/>
      <c r="AM277" s="126"/>
      <c r="AN277" s="126"/>
      <c r="AO277" s="126"/>
      <c r="AP277" s="274"/>
      <c r="AQ277" s="274"/>
      <c r="AR277" s="274"/>
      <c r="AS277" s="274"/>
      <c r="AT277" s="222">
        <f t="shared" si="100"/>
        <v>0</v>
      </c>
      <c r="AU277" s="113" t="e">
        <f t="shared" si="101"/>
        <v>#REF!</v>
      </c>
      <c r="AV277" s="3"/>
      <c r="AW277" s="113">
        <f t="shared" si="102"/>
        <v>0</v>
      </c>
      <c r="AX277" s="129"/>
      <c r="AY277" s="129"/>
      <c r="AZ277" s="129"/>
      <c r="BA277" s="129"/>
      <c r="BB277" s="129"/>
      <c r="BC277" s="130" t="e">
        <f t="shared" si="103"/>
        <v>#REF!</v>
      </c>
      <c r="BD277" s="3"/>
    </row>
    <row r="278" ht="14.25" customHeight="1">
      <c r="A278" s="3"/>
      <c r="B278" s="1532">
        <v>46268</v>
      </c>
      <c r="C278" s="118"/>
      <c r="D278" s="123"/>
      <c r="E278" s="120"/>
      <c r="F278" s="120"/>
      <c r="G278" s="147">
        <f t="shared" si="95"/>
        <v>0</v>
      </c>
      <c r="H278" s="144"/>
      <c r="I278" s="143"/>
      <c r="J278" s="143"/>
      <c r="K278" s="143"/>
      <c r="L278" s="143"/>
      <c r="M278" s="103">
        <f t="shared" si="96"/>
        <v>0</v>
      </c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03">
        <f t="shared" si="97"/>
        <v>0</v>
      </c>
      <c r="AA278" s="123"/>
      <c r="AB278" s="123"/>
      <c r="AC278" s="123"/>
      <c r="AD278" s="105">
        <f t="shared" si="98"/>
        <v>0</v>
      </c>
      <c r="AE278" s="143"/>
      <c r="AF278" s="143"/>
      <c r="AG278" s="146"/>
      <c r="AH278" s="224" t="e">
        <f t="shared" si="99"/>
        <v>#REF!</v>
      </c>
      <c r="AI278" s="126"/>
      <c r="AJ278" s="274"/>
      <c r="AK278" s="274"/>
      <c r="AL278" s="126"/>
      <c r="AM278" s="126"/>
      <c r="AN278" s="126"/>
      <c r="AO278" s="126"/>
      <c r="AP278" s="274"/>
      <c r="AQ278" s="274"/>
      <c r="AR278" s="274"/>
      <c r="AS278" s="274"/>
      <c r="AT278" s="222">
        <f t="shared" si="100"/>
        <v>0</v>
      </c>
      <c r="AU278" s="113" t="e">
        <f t="shared" si="101"/>
        <v>#REF!</v>
      </c>
      <c r="AV278" s="3"/>
      <c r="AW278" s="113">
        <f t="shared" si="102"/>
        <v>0</v>
      </c>
      <c r="AX278" s="129"/>
      <c r="AY278" s="129"/>
      <c r="AZ278" s="129"/>
      <c r="BA278" s="129"/>
      <c r="BB278" s="129"/>
      <c r="BC278" s="130" t="e">
        <f t="shared" si="103"/>
        <v>#REF!</v>
      </c>
      <c r="BD278" s="3"/>
    </row>
    <row r="279" ht="14.25" customHeight="1">
      <c r="A279" s="3"/>
      <c r="B279" s="1532">
        <v>46269</v>
      </c>
      <c r="C279" s="118"/>
      <c r="D279" s="123"/>
      <c r="E279" s="120"/>
      <c r="F279" s="120"/>
      <c r="G279" s="147">
        <f t="shared" si="95"/>
        <v>0</v>
      </c>
      <c r="H279" s="144"/>
      <c r="I279" s="143"/>
      <c r="J279" s="143"/>
      <c r="K279" s="143"/>
      <c r="L279" s="143"/>
      <c r="M279" s="103">
        <f t="shared" si="96"/>
        <v>0</v>
      </c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03">
        <f t="shared" si="97"/>
        <v>0</v>
      </c>
      <c r="AA279" s="123"/>
      <c r="AB279" s="123"/>
      <c r="AC279" s="123"/>
      <c r="AD279" s="105">
        <f t="shared" si="98"/>
        <v>0</v>
      </c>
      <c r="AE279" s="143"/>
      <c r="AF279" s="143"/>
      <c r="AG279" s="146"/>
      <c r="AH279" s="224" t="e">
        <f t="shared" si="99"/>
        <v>#REF!</v>
      </c>
      <c r="AI279" s="126"/>
      <c r="AJ279" s="274"/>
      <c r="AK279" s="274"/>
      <c r="AL279" s="126"/>
      <c r="AM279" s="126"/>
      <c r="AN279" s="126"/>
      <c r="AO279" s="126"/>
      <c r="AP279" s="274"/>
      <c r="AQ279" s="274"/>
      <c r="AR279" s="274"/>
      <c r="AS279" s="274"/>
      <c r="AT279" s="222">
        <f t="shared" si="100"/>
        <v>0</v>
      </c>
      <c r="AU279" s="113" t="e">
        <f t="shared" si="101"/>
        <v>#REF!</v>
      </c>
      <c r="AV279" s="3"/>
      <c r="AW279" s="113">
        <f t="shared" si="102"/>
        <v>0</v>
      </c>
      <c r="AX279" s="129"/>
      <c r="AY279" s="129"/>
      <c r="AZ279" s="129"/>
      <c r="BA279" s="129"/>
      <c r="BB279" s="129"/>
      <c r="BC279" s="130" t="e">
        <f t="shared" si="103"/>
        <v>#REF!</v>
      </c>
      <c r="BD279" s="3"/>
    </row>
    <row r="280" ht="14.25" customHeight="1">
      <c r="A280" s="3"/>
      <c r="B280" s="1532">
        <v>46270</v>
      </c>
      <c r="C280" s="118"/>
      <c r="D280" s="123"/>
      <c r="E280" s="120"/>
      <c r="F280" s="120"/>
      <c r="G280" s="147">
        <f t="shared" si="95"/>
        <v>0</v>
      </c>
      <c r="H280" s="144"/>
      <c r="I280" s="143"/>
      <c r="J280" s="143"/>
      <c r="K280" s="143"/>
      <c r="L280" s="143"/>
      <c r="M280" s="103">
        <f t="shared" si="96"/>
        <v>0</v>
      </c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03">
        <f t="shared" si="97"/>
        <v>0</v>
      </c>
      <c r="AA280" s="123"/>
      <c r="AB280" s="123"/>
      <c r="AC280" s="123"/>
      <c r="AD280" s="105">
        <f t="shared" si="98"/>
        <v>0</v>
      </c>
      <c r="AE280" s="143"/>
      <c r="AF280" s="143"/>
      <c r="AG280" s="146"/>
      <c r="AH280" s="224" t="e">
        <f t="shared" si="99"/>
        <v>#REF!</v>
      </c>
      <c r="AI280" s="126"/>
      <c r="AJ280" s="274"/>
      <c r="AK280" s="274"/>
      <c r="AL280" s="126"/>
      <c r="AM280" s="126"/>
      <c r="AN280" s="126"/>
      <c r="AO280" s="126"/>
      <c r="AP280" s="274"/>
      <c r="AQ280" s="274"/>
      <c r="AR280" s="274"/>
      <c r="AS280" s="274"/>
      <c r="AT280" s="222">
        <f t="shared" si="100"/>
        <v>0</v>
      </c>
      <c r="AU280" s="113" t="e">
        <f t="shared" si="101"/>
        <v>#REF!</v>
      </c>
      <c r="AV280" s="3"/>
      <c r="AW280" s="113">
        <f t="shared" si="102"/>
        <v>0</v>
      </c>
      <c r="AX280" s="129"/>
      <c r="AY280" s="129"/>
      <c r="AZ280" s="129"/>
      <c r="BA280" s="129"/>
      <c r="BB280" s="129"/>
      <c r="BC280" s="130" t="e">
        <f t="shared" si="103"/>
        <v>#REF!</v>
      </c>
      <c r="BD280" s="3"/>
    </row>
    <row r="281" ht="14.25" customHeight="1">
      <c r="A281" s="3"/>
      <c r="B281" s="1532">
        <v>46271</v>
      </c>
      <c r="C281" s="118"/>
      <c r="D281" s="123"/>
      <c r="E281" s="120"/>
      <c r="F281" s="120"/>
      <c r="G281" s="147">
        <f t="shared" si="95"/>
        <v>0</v>
      </c>
      <c r="H281" s="144"/>
      <c r="I281" s="143"/>
      <c r="J281" s="143"/>
      <c r="K281" s="143"/>
      <c r="L281" s="143"/>
      <c r="M281" s="103">
        <f t="shared" si="96"/>
        <v>0</v>
      </c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03">
        <f t="shared" si="97"/>
        <v>0</v>
      </c>
      <c r="AA281" s="123"/>
      <c r="AB281" s="123"/>
      <c r="AC281" s="123"/>
      <c r="AD281" s="105">
        <f t="shared" si="98"/>
        <v>0</v>
      </c>
      <c r="AE281" s="143"/>
      <c r="AF281" s="143"/>
      <c r="AG281" s="146"/>
      <c r="AH281" s="224" t="e">
        <f t="shared" si="99"/>
        <v>#REF!</v>
      </c>
      <c r="AI281" s="126"/>
      <c r="AJ281" s="274"/>
      <c r="AK281" s="274"/>
      <c r="AL281" s="126"/>
      <c r="AM281" s="126"/>
      <c r="AN281" s="126"/>
      <c r="AO281" s="126"/>
      <c r="AP281" s="274"/>
      <c r="AQ281" s="274"/>
      <c r="AR281" s="274"/>
      <c r="AS281" s="274"/>
      <c r="AT281" s="222">
        <f t="shared" si="100"/>
        <v>0</v>
      </c>
      <c r="AU281" s="113" t="e">
        <f t="shared" si="101"/>
        <v>#REF!</v>
      </c>
      <c r="AV281" s="3"/>
      <c r="AW281" s="113">
        <f t="shared" si="102"/>
        <v>0</v>
      </c>
      <c r="AX281" s="129"/>
      <c r="AY281" s="129"/>
      <c r="AZ281" s="129"/>
      <c r="BA281" s="129"/>
      <c r="BB281" s="129"/>
      <c r="BC281" s="130" t="e">
        <f t="shared" si="103"/>
        <v>#REF!</v>
      </c>
      <c r="BD281" s="3"/>
    </row>
    <row r="282" ht="14.25" customHeight="1">
      <c r="A282" s="3"/>
      <c r="B282" s="1532">
        <v>46272</v>
      </c>
      <c r="C282" s="118"/>
      <c r="D282" s="123"/>
      <c r="E282" s="120"/>
      <c r="F282" s="120"/>
      <c r="G282" s="147">
        <f t="shared" si="95"/>
        <v>0</v>
      </c>
      <c r="H282" s="144"/>
      <c r="I282" s="143"/>
      <c r="J282" s="143"/>
      <c r="K282" s="143"/>
      <c r="L282" s="143"/>
      <c r="M282" s="103">
        <f t="shared" si="96"/>
        <v>0</v>
      </c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03">
        <f t="shared" si="97"/>
        <v>0</v>
      </c>
      <c r="AA282" s="123"/>
      <c r="AB282" s="123"/>
      <c r="AC282" s="123"/>
      <c r="AD282" s="105">
        <f t="shared" si="98"/>
        <v>0</v>
      </c>
      <c r="AE282" s="143"/>
      <c r="AF282" s="143"/>
      <c r="AG282" s="146"/>
      <c r="AH282" s="224" t="e">
        <f t="shared" si="99"/>
        <v>#REF!</v>
      </c>
      <c r="AI282" s="126"/>
      <c r="AJ282" s="274"/>
      <c r="AK282" s="274"/>
      <c r="AL282" s="126"/>
      <c r="AM282" s="126"/>
      <c r="AN282" s="126"/>
      <c r="AO282" s="126"/>
      <c r="AP282" s="274"/>
      <c r="AQ282" s="274"/>
      <c r="AR282" s="274"/>
      <c r="AS282" s="274"/>
      <c r="AT282" s="222">
        <f t="shared" si="100"/>
        <v>0</v>
      </c>
      <c r="AU282" s="113" t="e">
        <f t="shared" si="101"/>
        <v>#REF!</v>
      </c>
      <c r="AV282" s="3"/>
      <c r="AW282" s="113">
        <f t="shared" si="102"/>
        <v>0</v>
      </c>
      <c r="AX282" s="129"/>
      <c r="AY282" s="129"/>
      <c r="AZ282" s="129"/>
      <c r="BA282" s="129"/>
      <c r="BB282" s="129"/>
      <c r="BC282" s="130" t="e">
        <f t="shared" si="103"/>
        <v>#REF!</v>
      </c>
      <c r="BD282" s="3"/>
    </row>
    <row r="283" ht="14.25" customHeight="1">
      <c r="A283" s="3"/>
      <c r="B283" s="1532">
        <v>46273</v>
      </c>
      <c r="C283" s="118"/>
      <c r="D283" s="123"/>
      <c r="E283" s="120"/>
      <c r="F283" s="120"/>
      <c r="G283" s="147">
        <f t="shared" si="95"/>
        <v>0</v>
      </c>
      <c r="H283" s="144"/>
      <c r="I283" s="143"/>
      <c r="J283" s="143"/>
      <c r="K283" s="143"/>
      <c r="L283" s="143"/>
      <c r="M283" s="103">
        <f t="shared" si="96"/>
        <v>0</v>
      </c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03">
        <f t="shared" si="97"/>
        <v>0</v>
      </c>
      <c r="AA283" s="123"/>
      <c r="AB283" s="123"/>
      <c r="AC283" s="123"/>
      <c r="AD283" s="105">
        <f t="shared" si="98"/>
        <v>0</v>
      </c>
      <c r="AE283" s="143"/>
      <c r="AF283" s="143"/>
      <c r="AG283" s="146"/>
      <c r="AH283" s="224" t="e">
        <f t="shared" si="99"/>
        <v>#REF!</v>
      </c>
      <c r="AI283" s="126"/>
      <c r="AJ283" s="274"/>
      <c r="AK283" s="274"/>
      <c r="AL283" s="126"/>
      <c r="AM283" s="126"/>
      <c r="AN283" s="126"/>
      <c r="AO283" s="126"/>
      <c r="AP283" s="274"/>
      <c r="AQ283" s="274"/>
      <c r="AR283" s="274"/>
      <c r="AS283" s="274"/>
      <c r="AT283" s="222">
        <f t="shared" si="100"/>
        <v>0</v>
      </c>
      <c r="AU283" s="113" t="e">
        <f t="shared" si="101"/>
        <v>#REF!</v>
      </c>
      <c r="AV283" s="3"/>
      <c r="AW283" s="113">
        <f t="shared" si="102"/>
        <v>0</v>
      </c>
      <c r="AX283" s="129"/>
      <c r="AY283" s="129"/>
      <c r="AZ283" s="129"/>
      <c r="BA283" s="129"/>
      <c r="BB283" s="129"/>
      <c r="BC283" s="130" t="e">
        <f t="shared" si="103"/>
        <v>#REF!</v>
      </c>
      <c r="BD283" s="3"/>
    </row>
    <row r="284" ht="14.25" customHeight="1">
      <c r="A284" s="3"/>
      <c r="B284" s="1532">
        <v>46274</v>
      </c>
      <c r="C284" s="118"/>
      <c r="D284" s="123"/>
      <c r="E284" s="120"/>
      <c r="F284" s="120"/>
      <c r="G284" s="147">
        <f t="shared" si="95"/>
        <v>0</v>
      </c>
      <c r="H284" s="144"/>
      <c r="I284" s="143"/>
      <c r="J284" s="143"/>
      <c r="K284" s="143"/>
      <c r="L284" s="143"/>
      <c r="M284" s="103">
        <f t="shared" si="96"/>
        <v>0</v>
      </c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03">
        <f t="shared" si="97"/>
        <v>0</v>
      </c>
      <c r="AA284" s="123"/>
      <c r="AB284" s="123"/>
      <c r="AC284" s="123"/>
      <c r="AD284" s="105">
        <f t="shared" si="98"/>
        <v>0</v>
      </c>
      <c r="AE284" s="143"/>
      <c r="AF284" s="143"/>
      <c r="AG284" s="146"/>
      <c r="AH284" s="224" t="e">
        <f t="shared" si="99"/>
        <v>#REF!</v>
      </c>
      <c r="AI284" s="126"/>
      <c r="AJ284" s="274"/>
      <c r="AK284" s="274"/>
      <c r="AL284" s="126"/>
      <c r="AM284" s="126"/>
      <c r="AN284" s="126"/>
      <c r="AO284" s="126"/>
      <c r="AP284" s="274"/>
      <c r="AQ284" s="274"/>
      <c r="AR284" s="274"/>
      <c r="AS284" s="274"/>
      <c r="AT284" s="222">
        <f t="shared" si="100"/>
        <v>0</v>
      </c>
      <c r="AU284" s="113" t="e">
        <f t="shared" si="101"/>
        <v>#REF!</v>
      </c>
      <c r="AV284" s="3"/>
      <c r="AW284" s="113">
        <f t="shared" si="102"/>
        <v>0</v>
      </c>
      <c r="AX284" s="129"/>
      <c r="AY284" s="129"/>
      <c r="AZ284" s="129"/>
      <c r="BA284" s="129"/>
      <c r="BB284" s="129"/>
      <c r="BC284" s="130" t="e">
        <f t="shared" si="103"/>
        <v>#REF!</v>
      </c>
      <c r="BD284" s="3"/>
    </row>
    <row r="285" ht="14.25" customHeight="1">
      <c r="A285" s="3"/>
      <c r="B285" s="1532">
        <v>46275</v>
      </c>
      <c r="C285" s="118"/>
      <c r="D285" s="123"/>
      <c r="E285" s="120"/>
      <c r="F285" s="120"/>
      <c r="G285" s="147">
        <f t="shared" si="95"/>
        <v>0</v>
      </c>
      <c r="H285" s="144"/>
      <c r="I285" s="143"/>
      <c r="J285" s="143"/>
      <c r="K285" s="143"/>
      <c r="L285" s="143"/>
      <c r="M285" s="103">
        <f t="shared" si="96"/>
        <v>0</v>
      </c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03">
        <f t="shared" si="97"/>
        <v>0</v>
      </c>
      <c r="AA285" s="123"/>
      <c r="AB285" s="123"/>
      <c r="AC285" s="123"/>
      <c r="AD285" s="105">
        <f t="shared" si="98"/>
        <v>0</v>
      </c>
      <c r="AE285" s="143"/>
      <c r="AF285" s="143"/>
      <c r="AG285" s="146"/>
      <c r="AH285" s="224" t="e">
        <f t="shared" si="99"/>
        <v>#REF!</v>
      </c>
      <c r="AI285" s="126"/>
      <c r="AJ285" s="274"/>
      <c r="AK285" s="274"/>
      <c r="AL285" s="126"/>
      <c r="AM285" s="126"/>
      <c r="AN285" s="126"/>
      <c r="AO285" s="126"/>
      <c r="AP285" s="274"/>
      <c r="AQ285" s="274"/>
      <c r="AR285" s="274"/>
      <c r="AS285" s="274"/>
      <c r="AT285" s="222">
        <f t="shared" si="100"/>
        <v>0</v>
      </c>
      <c r="AU285" s="113" t="e">
        <f t="shared" si="101"/>
        <v>#REF!</v>
      </c>
      <c r="AV285" s="3"/>
      <c r="AW285" s="113">
        <f t="shared" si="102"/>
        <v>0</v>
      </c>
      <c r="AX285" s="129"/>
      <c r="AY285" s="129"/>
      <c r="AZ285" s="129"/>
      <c r="BA285" s="129"/>
      <c r="BB285" s="129"/>
      <c r="BC285" s="130" t="e">
        <f t="shared" si="103"/>
        <v>#REF!</v>
      </c>
      <c r="BD285" s="3"/>
    </row>
    <row r="286" ht="14.25" customHeight="1">
      <c r="A286" s="3"/>
      <c r="B286" s="1532">
        <v>46276</v>
      </c>
      <c r="C286" s="118"/>
      <c r="D286" s="123"/>
      <c r="E286" s="120"/>
      <c r="F286" s="120"/>
      <c r="G286" s="147">
        <f t="shared" si="95"/>
        <v>0</v>
      </c>
      <c r="H286" s="144"/>
      <c r="I286" s="143"/>
      <c r="J286" s="143"/>
      <c r="K286" s="143"/>
      <c r="L286" s="143"/>
      <c r="M286" s="103">
        <f t="shared" si="96"/>
        <v>0</v>
      </c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4"/>
      <c r="Z286" s="103">
        <f t="shared" si="97"/>
        <v>0</v>
      </c>
      <c r="AA286" s="123"/>
      <c r="AB286" s="123"/>
      <c r="AC286" s="123"/>
      <c r="AD286" s="105">
        <f t="shared" si="98"/>
        <v>0</v>
      </c>
      <c r="AE286" s="143"/>
      <c r="AF286" s="143"/>
      <c r="AG286" s="146"/>
      <c r="AH286" s="224" t="e">
        <f t="shared" si="99"/>
        <v>#REF!</v>
      </c>
      <c r="AI286" s="126"/>
      <c r="AJ286" s="274"/>
      <c r="AK286" s="274"/>
      <c r="AL286" s="126"/>
      <c r="AM286" s="126"/>
      <c r="AN286" s="126"/>
      <c r="AO286" s="126"/>
      <c r="AP286" s="274"/>
      <c r="AQ286" s="274"/>
      <c r="AR286" s="274"/>
      <c r="AS286" s="274"/>
      <c r="AT286" s="222">
        <f t="shared" si="100"/>
        <v>0</v>
      </c>
      <c r="AU286" s="113" t="e">
        <f t="shared" si="101"/>
        <v>#REF!</v>
      </c>
      <c r="AV286" s="3"/>
      <c r="AW286" s="113">
        <f t="shared" si="102"/>
        <v>0</v>
      </c>
      <c r="AX286" s="129"/>
      <c r="AY286" s="129"/>
      <c r="AZ286" s="129"/>
      <c r="BA286" s="129"/>
      <c r="BB286" s="129"/>
      <c r="BC286" s="130" t="e">
        <f t="shared" si="103"/>
        <v>#REF!</v>
      </c>
      <c r="BD286" s="3"/>
    </row>
    <row r="287" ht="14.25" customHeight="1">
      <c r="A287" s="3"/>
      <c r="B287" s="1532">
        <v>46277</v>
      </c>
      <c r="C287" s="118"/>
      <c r="D287" s="123"/>
      <c r="E287" s="120"/>
      <c r="F287" s="120"/>
      <c r="G287" s="147">
        <f t="shared" si="95"/>
        <v>0</v>
      </c>
      <c r="H287" s="144"/>
      <c r="I287" s="143"/>
      <c r="J287" s="143"/>
      <c r="K287" s="143"/>
      <c r="L287" s="143"/>
      <c r="M287" s="103">
        <f t="shared" si="96"/>
        <v>0</v>
      </c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03">
        <f t="shared" si="97"/>
        <v>0</v>
      </c>
      <c r="AA287" s="123"/>
      <c r="AB287" s="123"/>
      <c r="AC287" s="123"/>
      <c r="AD287" s="105">
        <f t="shared" si="98"/>
        <v>0</v>
      </c>
      <c r="AE287" s="143"/>
      <c r="AF287" s="143"/>
      <c r="AG287" s="146"/>
      <c r="AH287" s="224" t="e">
        <f t="shared" si="99"/>
        <v>#REF!</v>
      </c>
      <c r="AI287" s="126"/>
      <c r="AJ287" s="274"/>
      <c r="AK287" s="274"/>
      <c r="AL287" s="126"/>
      <c r="AM287" s="126"/>
      <c r="AN287" s="126"/>
      <c r="AO287" s="126"/>
      <c r="AP287" s="274"/>
      <c r="AQ287" s="274"/>
      <c r="AR287" s="274"/>
      <c r="AS287" s="274"/>
      <c r="AT287" s="222">
        <f t="shared" si="100"/>
        <v>0</v>
      </c>
      <c r="AU287" s="113" t="e">
        <f t="shared" si="101"/>
        <v>#REF!</v>
      </c>
      <c r="AV287" s="3"/>
      <c r="AW287" s="113">
        <f t="shared" si="102"/>
        <v>0</v>
      </c>
      <c r="AX287" s="129"/>
      <c r="AY287" s="129"/>
      <c r="AZ287" s="129"/>
      <c r="BA287" s="129"/>
      <c r="BB287" s="129"/>
      <c r="BC287" s="130" t="e">
        <f t="shared" si="103"/>
        <v>#REF!</v>
      </c>
      <c r="BD287" s="3"/>
    </row>
    <row r="288" ht="14.25" customHeight="1">
      <c r="A288" s="3"/>
      <c r="B288" s="1532">
        <v>46278</v>
      </c>
      <c r="C288" s="118"/>
      <c r="D288" s="123"/>
      <c r="E288" s="120"/>
      <c r="F288" s="120"/>
      <c r="G288" s="147">
        <f t="shared" si="95"/>
        <v>0</v>
      </c>
      <c r="H288" s="144"/>
      <c r="I288" s="143"/>
      <c r="J288" s="143"/>
      <c r="K288" s="143"/>
      <c r="L288" s="143"/>
      <c r="M288" s="103">
        <f t="shared" si="96"/>
        <v>0</v>
      </c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03">
        <f t="shared" si="97"/>
        <v>0</v>
      </c>
      <c r="AA288" s="123"/>
      <c r="AB288" s="123"/>
      <c r="AC288" s="123"/>
      <c r="AD288" s="105">
        <f t="shared" si="98"/>
        <v>0</v>
      </c>
      <c r="AE288" s="143"/>
      <c r="AF288" s="143"/>
      <c r="AG288" s="146"/>
      <c r="AH288" s="224" t="e">
        <f t="shared" si="99"/>
        <v>#REF!</v>
      </c>
      <c r="AI288" s="126"/>
      <c r="AJ288" s="274"/>
      <c r="AK288" s="274"/>
      <c r="AL288" s="126"/>
      <c r="AM288" s="126"/>
      <c r="AN288" s="126"/>
      <c r="AO288" s="126"/>
      <c r="AP288" s="274"/>
      <c r="AQ288" s="274"/>
      <c r="AR288" s="274"/>
      <c r="AS288" s="274"/>
      <c r="AT288" s="222">
        <f t="shared" si="100"/>
        <v>0</v>
      </c>
      <c r="AU288" s="113" t="e">
        <f t="shared" si="101"/>
        <v>#REF!</v>
      </c>
      <c r="AV288" s="3"/>
      <c r="AW288" s="113">
        <f t="shared" si="102"/>
        <v>0</v>
      </c>
      <c r="AX288" s="129"/>
      <c r="AY288" s="129"/>
      <c r="AZ288" s="129"/>
      <c r="BA288" s="129"/>
      <c r="BB288" s="129"/>
      <c r="BC288" s="130" t="e">
        <f t="shared" si="103"/>
        <v>#REF!</v>
      </c>
      <c r="BD288" s="3"/>
    </row>
    <row r="289" ht="14.25" customHeight="1">
      <c r="A289" s="132"/>
      <c r="B289" s="1532">
        <v>46279</v>
      </c>
      <c r="C289" s="133"/>
      <c r="D289" s="136"/>
      <c r="E289" s="135"/>
      <c r="F289" s="135"/>
      <c r="G289" s="147">
        <f t="shared" si="95"/>
        <v>0</v>
      </c>
      <c r="H289" s="144"/>
      <c r="I289" s="143"/>
      <c r="J289" s="143"/>
      <c r="K289" s="143"/>
      <c r="L289" s="143"/>
      <c r="M289" s="103">
        <f t="shared" si="96"/>
        <v>0</v>
      </c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03">
        <f t="shared" si="97"/>
        <v>0</v>
      </c>
      <c r="AA289" s="136"/>
      <c r="AB289" s="136"/>
      <c r="AC289" s="136"/>
      <c r="AD289" s="105">
        <f t="shared" si="98"/>
        <v>0</v>
      </c>
      <c r="AE289" s="143"/>
      <c r="AF289" s="143"/>
      <c r="AG289" s="146"/>
      <c r="AH289" s="224" t="e">
        <f t="shared" si="99"/>
        <v>#REF!</v>
      </c>
      <c r="AI289" s="126"/>
      <c r="AJ289" s="274"/>
      <c r="AK289" s="274"/>
      <c r="AL289" s="126"/>
      <c r="AM289" s="126"/>
      <c r="AN289" s="126"/>
      <c r="AO289" s="126"/>
      <c r="AP289" s="274"/>
      <c r="AQ289" s="274"/>
      <c r="AR289" s="274"/>
      <c r="AS289" s="274"/>
      <c r="AT289" s="222">
        <f t="shared" si="100"/>
        <v>0</v>
      </c>
      <c r="AU289" s="140" t="e">
        <f t="shared" si="101"/>
        <v>#REF!</v>
      </c>
      <c r="AV289" s="132"/>
      <c r="AW289" s="140">
        <f t="shared" si="102"/>
        <v>0</v>
      </c>
      <c r="AX289" s="141"/>
      <c r="AY289" s="141"/>
      <c r="AZ289" s="141"/>
      <c r="BA289" s="141"/>
      <c r="BB289" s="141"/>
      <c r="BC289" s="130" t="e">
        <f t="shared" si="103"/>
        <v>#REF!</v>
      </c>
      <c r="BD289" s="132"/>
    </row>
    <row r="290" ht="14.25" customHeight="1">
      <c r="A290" s="132"/>
      <c r="B290" s="1532">
        <v>46280</v>
      </c>
      <c r="C290" s="133"/>
      <c r="D290" s="136"/>
      <c r="E290" s="135"/>
      <c r="F290" s="135"/>
      <c r="G290" s="147">
        <f t="shared" si="95"/>
        <v>0</v>
      </c>
      <c r="H290" s="144"/>
      <c r="I290" s="143"/>
      <c r="J290" s="143"/>
      <c r="K290" s="143"/>
      <c r="L290" s="143"/>
      <c r="M290" s="103">
        <f t="shared" si="96"/>
        <v>0</v>
      </c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03">
        <f t="shared" si="97"/>
        <v>0</v>
      </c>
      <c r="AA290" s="136"/>
      <c r="AB290" s="136"/>
      <c r="AC290" s="136"/>
      <c r="AD290" s="105">
        <f t="shared" si="98"/>
        <v>0</v>
      </c>
      <c r="AE290" s="143"/>
      <c r="AF290" s="143"/>
      <c r="AG290" s="146"/>
      <c r="AH290" s="224" t="e">
        <f t="shared" si="99"/>
        <v>#REF!</v>
      </c>
      <c r="AI290" s="126"/>
      <c r="AJ290" s="274"/>
      <c r="AK290" s="274"/>
      <c r="AL290" s="126"/>
      <c r="AM290" s="126"/>
      <c r="AN290" s="126"/>
      <c r="AO290" s="126"/>
      <c r="AP290" s="274"/>
      <c r="AQ290" s="274"/>
      <c r="AR290" s="274"/>
      <c r="AS290" s="274"/>
      <c r="AT290" s="222">
        <f t="shared" si="100"/>
        <v>0</v>
      </c>
      <c r="AU290" s="140" t="e">
        <f t="shared" si="101"/>
        <v>#REF!</v>
      </c>
      <c r="AV290" s="132"/>
      <c r="AW290" s="140">
        <f t="shared" si="102"/>
        <v>0</v>
      </c>
      <c r="AX290" s="141"/>
      <c r="AY290" s="141"/>
      <c r="AZ290" s="141"/>
      <c r="BA290" s="141"/>
      <c r="BB290" s="141"/>
      <c r="BC290" s="130" t="e">
        <f t="shared" si="103"/>
        <v>#REF!</v>
      </c>
      <c r="BD290" s="132"/>
    </row>
    <row r="291" ht="14.25" customHeight="1">
      <c r="A291" s="132"/>
      <c r="B291" s="1532">
        <v>46281</v>
      </c>
      <c r="C291" s="133"/>
      <c r="D291" s="136"/>
      <c r="E291" s="135"/>
      <c r="F291" s="135"/>
      <c r="G291" s="147">
        <f t="shared" si="95"/>
        <v>0</v>
      </c>
      <c r="H291" s="144"/>
      <c r="I291" s="143"/>
      <c r="J291" s="143"/>
      <c r="K291" s="143"/>
      <c r="L291" s="143"/>
      <c r="M291" s="103">
        <f t="shared" si="96"/>
        <v>0</v>
      </c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03">
        <f t="shared" si="97"/>
        <v>0</v>
      </c>
      <c r="AA291" s="136"/>
      <c r="AB291" s="136"/>
      <c r="AC291" s="136"/>
      <c r="AD291" s="105">
        <f t="shared" si="98"/>
        <v>0</v>
      </c>
      <c r="AE291" s="143"/>
      <c r="AF291" s="143"/>
      <c r="AG291" s="146"/>
      <c r="AH291" s="224" t="e">
        <f t="shared" si="99"/>
        <v>#REF!</v>
      </c>
      <c r="AI291" s="126"/>
      <c r="AJ291" s="274"/>
      <c r="AK291" s="274"/>
      <c r="AL291" s="126"/>
      <c r="AM291" s="126"/>
      <c r="AN291" s="126"/>
      <c r="AO291" s="126"/>
      <c r="AP291" s="274"/>
      <c r="AQ291" s="274"/>
      <c r="AR291" s="274"/>
      <c r="AS291" s="274"/>
      <c r="AT291" s="222">
        <f t="shared" si="100"/>
        <v>0</v>
      </c>
      <c r="AU291" s="140" t="e">
        <f t="shared" si="101"/>
        <v>#REF!</v>
      </c>
      <c r="AV291" s="132"/>
      <c r="AW291" s="140">
        <f t="shared" si="102"/>
        <v>0</v>
      </c>
      <c r="AX291" s="141"/>
      <c r="AY291" s="141"/>
      <c r="AZ291" s="141"/>
      <c r="BA291" s="141"/>
      <c r="BB291" s="141"/>
      <c r="BC291" s="130" t="e">
        <f t="shared" si="103"/>
        <v>#REF!</v>
      </c>
      <c r="BD291" s="132"/>
    </row>
    <row r="292" ht="14.25" customHeight="1">
      <c r="A292" s="132"/>
      <c r="B292" s="1532">
        <v>46282</v>
      </c>
      <c r="C292" s="133"/>
      <c r="D292" s="136"/>
      <c r="E292" s="135"/>
      <c r="F292" s="135"/>
      <c r="G292" s="147">
        <f t="shared" si="95"/>
        <v>0</v>
      </c>
      <c r="H292" s="144"/>
      <c r="I292" s="143"/>
      <c r="J292" s="143"/>
      <c r="K292" s="143"/>
      <c r="L292" s="143"/>
      <c r="M292" s="103">
        <f t="shared" si="96"/>
        <v>0</v>
      </c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03">
        <f t="shared" si="97"/>
        <v>0</v>
      </c>
      <c r="AA292" s="136"/>
      <c r="AB292" s="136"/>
      <c r="AC292" s="136"/>
      <c r="AD292" s="105">
        <f t="shared" si="98"/>
        <v>0</v>
      </c>
      <c r="AE292" s="143"/>
      <c r="AF292" s="143"/>
      <c r="AG292" s="146"/>
      <c r="AH292" s="224" t="e">
        <f t="shared" si="99"/>
        <v>#REF!</v>
      </c>
      <c r="AI292" s="126"/>
      <c r="AJ292" s="274"/>
      <c r="AK292" s="274"/>
      <c r="AL292" s="126"/>
      <c r="AM292" s="126"/>
      <c r="AN292" s="126"/>
      <c r="AO292" s="126"/>
      <c r="AP292" s="274"/>
      <c r="AQ292" s="274"/>
      <c r="AR292" s="274"/>
      <c r="AS292" s="274"/>
      <c r="AT292" s="222">
        <f t="shared" si="100"/>
        <v>0</v>
      </c>
      <c r="AU292" s="140" t="e">
        <f t="shared" si="101"/>
        <v>#REF!</v>
      </c>
      <c r="AV292" s="132"/>
      <c r="AW292" s="140">
        <f t="shared" si="102"/>
        <v>0</v>
      </c>
      <c r="AX292" s="141"/>
      <c r="AY292" s="141"/>
      <c r="AZ292" s="141"/>
      <c r="BA292" s="141"/>
      <c r="BB292" s="141"/>
      <c r="BC292" s="130" t="e">
        <f t="shared" si="103"/>
        <v>#REF!</v>
      </c>
      <c r="BD292" s="132"/>
    </row>
    <row r="293" ht="14.25" customHeight="1">
      <c r="A293" s="132"/>
      <c r="B293" s="1532">
        <v>46283</v>
      </c>
      <c r="C293" s="133"/>
      <c r="D293" s="136"/>
      <c r="E293" s="135"/>
      <c r="F293" s="135"/>
      <c r="G293" s="147">
        <f t="shared" si="95"/>
        <v>0</v>
      </c>
      <c r="H293" s="144"/>
      <c r="I293" s="143"/>
      <c r="J293" s="143"/>
      <c r="K293" s="143"/>
      <c r="L293" s="143"/>
      <c r="M293" s="103">
        <f t="shared" si="96"/>
        <v>0</v>
      </c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03">
        <f t="shared" si="97"/>
        <v>0</v>
      </c>
      <c r="AA293" s="136"/>
      <c r="AB293" s="136"/>
      <c r="AC293" s="136"/>
      <c r="AD293" s="105">
        <f t="shared" si="98"/>
        <v>0</v>
      </c>
      <c r="AE293" s="143"/>
      <c r="AF293" s="143"/>
      <c r="AG293" s="146"/>
      <c r="AH293" s="224" t="e">
        <f t="shared" si="99"/>
        <v>#REF!</v>
      </c>
      <c r="AI293" s="126"/>
      <c r="AJ293" s="274"/>
      <c r="AK293" s="274"/>
      <c r="AL293" s="126"/>
      <c r="AM293" s="126"/>
      <c r="AN293" s="126"/>
      <c r="AO293" s="126"/>
      <c r="AP293" s="274"/>
      <c r="AQ293" s="274"/>
      <c r="AR293" s="274"/>
      <c r="AS293" s="274"/>
      <c r="AT293" s="222">
        <f t="shared" si="100"/>
        <v>0</v>
      </c>
      <c r="AU293" s="140" t="e">
        <f t="shared" si="101"/>
        <v>#REF!</v>
      </c>
      <c r="AV293" s="132"/>
      <c r="AW293" s="140">
        <f t="shared" si="102"/>
        <v>0</v>
      </c>
      <c r="AX293" s="141"/>
      <c r="AY293" s="141"/>
      <c r="AZ293" s="141"/>
      <c r="BA293" s="141"/>
      <c r="BB293" s="141"/>
      <c r="BC293" s="130" t="e">
        <f t="shared" si="103"/>
        <v>#REF!</v>
      </c>
      <c r="BD293" s="132"/>
    </row>
    <row r="294" ht="14.25" customHeight="1">
      <c r="A294" s="132"/>
      <c r="B294" s="1532">
        <v>46284</v>
      </c>
      <c r="C294" s="133"/>
      <c r="D294" s="136"/>
      <c r="E294" s="135"/>
      <c r="F294" s="135"/>
      <c r="G294" s="147">
        <f t="shared" si="95"/>
        <v>0</v>
      </c>
      <c r="H294" s="144"/>
      <c r="I294" s="143"/>
      <c r="J294" s="143"/>
      <c r="K294" s="143"/>
      <c r="L294" s="143"/>
      <c r="M294" s="103">
        <f t="shared" si="96"/>
        <v>0</v>
      </c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03">
        <f t="shared" si="97"/>
        <v>0</v>
      </c>
      <c r="AA294" s="136"/>
      <c r="AB294" s="136"/>
      <c r="AC294" s="136"/>
      <c r="AD294" s="105">
        <f t="shared" si="98"/>
        <v>0</v>
      </c>
      <c r="AE294" s="143"/>
      <c r="AF294" s="143"/>
      <c r="AG294" s="146"/>
      <c r="AH294" s="224" t="e">
        <f t="shared" si="99"/>
        <v>#REF!</v>
      </c>
      <c r="AI294" s="126"/>
      <c r="AJ294" s="274"/>
      <c r="AK294" s="274"/>
      <c r="AL294" s="126"/>
      <c r="AM294" s="126"/>
      <c r="AN294" s="126"/>
      <c r="AO294" s="126"/>
      <c r="AP294" s="274"/>
      <c r="AQ294" s="274"/>
      <c r="AR294" s="274"/>
      <c r="AS294" s="274"/>
      <c r="AT294" s="222">
        <f t="shared" si="100"/>
        <v>0</v>
      </c>
      <c r="AU294" s="140" t="e">
        <f t="shared" si="101"/>
        <v>#REF!</v>
      </c>
      <c r="AV294" s="132"/>
      <c r="AW294" s="140">
        <f t="shared" si="102"/>
        <v>0</v>
      </c>
      <c r="AX294" s="141"/>
      <c r="AY294" s="141"/>
      <c r="AZ294" s="141"/>
      <c r="BA294" s="141"/>
      <c r="BB294" s="141"/>
      <c r="BC294" s="130" t="e">
        <f t="shared" si="103"/>
        <v>#REF!</v>
      </c>
      <c r="BD294" s="132"/>
    </row>
    <row r="295" ht="14.25" customHeight="1">
      <c r="A295" s="132"/>
      <c r="B295" s="1532">
        <v>46285</v>
      </c>
      <c r="C295" s="133"/>
      <c r="D295" s="136"/>
      <c r="E295" s="135"/>
      <c r="F295" s="135"/>
      <c r="G295" s="147">
        <f t="shared" si="95"/>
        <v>0</v>
      </c>
      <c r="H295" s="144"/>
      <c r="I295" s="143"/>
      <c r="J295" s="143"/>
      <c r="K295" s="143"/>
      <c r="L295" s="143"/>
      <c r="M295" s="103">
        <f t="shared" si="96"/>
        <v>0</v>
      </c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03">
        <f t="shared" si="97"/>
        <v>0</v>
      </c>
      <c r="AA295" s="136"/>
      <c r="AB295" s="136"/>
      <c r="AC295" s="136"/>
      <c r="AD295" s="105">
        <f t="shared" si="98"/>
        <v>0</v>
      </c>
      <c r="AE295" s="143"/>
      <c r="AF295" s="143"/>
      <c r="AG295" s="146"/>
      <c r="AH295" s="224" t="e">
        <f t="shared" si="99"/>
        <v>#REF!</v>
      </c>
      <c r="AI295" s="126"/>
      <c r="AJ295" s="274"/>
      <c r="AK295" s="274"/>
      <c r="AL295" s="126"/>
      <c r="AM295" s="126"/>
      <c r="AN295" s="126"/>
      <c r="AO295" s="126"/>
      <c r="AP295" s="274"/>
      <c r="AQ295" s="274"/>
      <c r="AR295" s="274"/>
      <c r="AS295" s="274"/>
      <c r="AT295" s="222">
        <f t="shared" si="100"/>
        <v>0</v>
      </c>
      <c r="AU295" s="140" t="e">
        <f t="shared" si="101"/>
        <v>#REF!</v>
      </c>
      <c r="AV295" s="132"/>
      <c r="AW295" s="140">
        <f t="shared" si="102"/>
        <v>0</v>
      </c>
      <c r="AX295" s="141"/>
      <c r="AY295" s="141"/>
      <c r="AZ295" s="141"/>
      <c r="BA295" s="141"/>
      <c r="BB295" s="141"/>
      <c r="BC295" s="130" t="e">
        <f t="shared" si="103"/>
        <v>#REF!</v>
      </c>
      <c r="BD295" s="132"/>
    </row>
    <row r="296" ht="14.25" customHeight="1">
      <c r="A296" s="132"/>
      <c r="B296" s="1532">
        <v>46286</v>
      </c>
      <c r="C296" s="133"/>
      <c r="D296" s="136"/>
      <c r="E296" s="135"/>
      <c r="F296" s="135"/>
      <c r="G296" s="147">
        <f t="shared" si="95"/>
        <v>0</v>
      </c>
      <c r="H296" s="144"/>
      <c r="I296" s="143"/>
      <c r="J296" s="143"/>
      <c r="K296" s="143"/>
      <c r="L296" s="143"/>
      <c r="M296" s="103">
        <f t="shared" si="96"/>
        <v>0</v>
      </c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03">
        <f t="shared" si="97"/>
        <v>0</v>
      </c>
      <c r="AA296" s="136"/>
      <c r="AB296" s="136"/>
      <c r="AC296" s="136"/>
      <c r="AD296" s="105">
        <f t="shared" si="98"/>
        <v>0</v>
      </c>
      <c r="AE296" s="143"/>
      <c r="AF296" s="143"/>
      <c r="AG296" s="146"/>
      <c r="AH296" s="224" t="e">
        <f t="shared" si="99"/>
        <v>#REF!</v>
      </c>
      <c r="AI296" s="126"/>
      <c r="AJ296" s="274"/>
      <c r="AK296" s="274"/>
      <c r="AL296" s="126"/>
      <c r="AM296" s="126"/>
      <c r="AN296" s="126"/>
      <c r="AO296" s="126"/>
      <c r="AP296" s="274"/>
      <c r="AQ296" s="274"/>
      <c r="AR296" s="274"/>
      <c r="AS296" s="274"/>
      <c r="AT296" s="222">
        <f t="shared" si="100"/>
        <v>0</v>
      </c>
      <c r="AU296" s="140" t="e">
        <f t="shared" si="101"/>
        <v>#REF!</v>
      </c>
      <c r="AV296" s="132"/>
      <c r="AW296" s="140">
        <f t="shared" si="102"/>
        <v>0</v>
      </c>
      <c r="AX296" s="141"/>
      <c r="AY296" s="141"/>
      <c r="AZ296" s="141"/>
      <c r="BA296" s="141"/>
      <c r="BB296" s="141"/>
      <c r="BC296" s="130" t="e">
        <f t="shared" si="103"/>
        <v>#REF!</v>
      </c>
      <c r="BD296" s="132"/>
    </row>
    <row r="297" ht="14.25" customHeight="1">
      <c r="A297" s="132"/>
      <c r="B297" s="1532">
        <v>46287</v>
      </c>
      <c r="C297" s="133"/>
      <c r="D297" s="136"/>
      <c r="E297" s="135"/>
      <c r="F297" s="135"/>
      <c r="G297" s="147">
        <f t="shared" si="95"/>
        <v>0</v>
      </c>
      <c r="H297" s="144"/>
      <c r="I297" s="143"/>
      <c r="J297" s="143"/>
      <c r="K297" s="143"/>
      <c r="L297" s="143"/>
      <c r="M297" s="103">
        <f t="shared" si="96"/>
        <v>0</v>
      </c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03">
        <f t="shared" si="97"/>
        <v>0</v>
      </c>
      <c r="AA297" s="136"/>
      <c r="AB297" s="136"/>
      <c r="AC297" s="136"/>
      <c r="AD297" s="105">
        <f t="shared" si="98"/>
        <v>0</v>
      </c>
      <c r="AE297" s="143"/>
      <c r="AF297" s="143"/>
      <c r="AG297" s="146"/>
      <c r="AH297" s="224" t="e">
        <f t="shared" si="99"/>
        <v>#REF!</v>
      </c>
      <c r="AI297" s="126"/>
      <c r="AJ297" s="274"/>
      <c r="AK297" s="274"/>
      <c r="AL297" s="126"/>
      <c r="AM297" s="126"/>
      <c r="AN297" s="126"/>
      <c r="AO297" s="126"/>
      <c r="AP297" s="274"/>
      <c r="AQ297" s="274"/>
      <c r="AR297" s="274"/>
      <c r="AS297" s="274"/>
      <c r="AT297" s="222">
        <f t="shared" si="100"/>
        <v>0</v>
      </c>
      <c r="AU297" s="140" t="e">
        <f t="shared" si="101"/>
        <v>#REF!</v>
      </c>
      <c r="AV297" s="132"/>
      <c r="AW297" s="140">
        <f t="shared" si="102"/>
        <v>0</v>
      </c>
      <c r="AX297" s="141"/>
      <c r="AY297" s="141"/>
      <c r="AZ297" s="141"/>
      <c r="BA297" s="141"/>
      <c r="BB297" s="141"/>
      <c r="BC297" s="130" t="e">
        <f t="shared" si="103"/>
        <v>#REF!</v>
      </c>
      <c r="BD297" s="132"/>
    </row>
    <row r="298" ht="14.25" customHeight="1">
      <c r="A298" s="132"/>
      <c r="B298" s="1532">
        <v>46288</v>
      </c>
      <c r="C298" s="133"/>
      <c r="D298" s="136"/>
      <c r="E298" s="135"/>
      <c r="F298" s="135"/>
      <c r="G298" s="147">
        <f t="shared" si="95"/>
        <v>0</v>
      </c>
      <c r="H298" s="144"/>
      <c r="I298" s="143"/>
      <c r="J298" s="143"/>
      <c r="K298" s="143"/>
      <c r="L298" s="143"/>
      <c r="M298" s="103">
        <f t="shared" si="96"/>
        <v>0</v>
      </c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03">
        <f t="shared" si="97"/>
        <v>0</v>
      </c>
      <c r="AA298" s="136"/>
      <c r="AB298" s="136"/>
      <c r="AC298" s="136"/>
      <c r="AD298" s="105">
        <f t="shared" si="98"/>
        <v>0</v>
      </c>
      <c r="AE298" s="143"/>
      <c r="AF298" s="143"/>
      <c r="AG298" s="146"/>
      <c r="AH298" s="224" t="e">
        <f t="shared" si="99"/>
        <v>#REF!</v>
      </c>
      <c r="AI298" s="126"/>
      <c r="AJ298" s="274"/>
      <c r="AK298" s="274"/>
      <c r="AL298" s="126"/>
      <c r="AM298" s="126"/>
      <c r="AN298" s="126"/>
      <c r="AO298" s="126"/>
      <c r="AP298" s="274"/>
      <c r="AQ298" s="274"/>
      <c r="AR298" s="274"/>
      <c r="AS298" s="274"/>
      <c r="AT298" s="222">
        <f t="shared" si="100"/>
        <v>0</v>
      </c>
      <c r="AU298" s="140" t="e">
        <f t="shared" si="101"/>
        <v>#REF!</v>
      </c>
      <c r="AV298" s="132"/>
      <c r="AW298" s="140">
        <f t="shared" si="102"/>
        <v>0</v>
      </c>
      <c r="AX298" s="141"/>
      <c r="AY298" s="141"/>
      <c r="AZ298" s="141"/>
      <c r="BA298" s="141"/>
      <c r="BB298" s="141"/>
      <c r="BC298" s="130" t="e">
        <f t="shared" si="103"/>
        <v>#REF!</v>
      </c>
      <c r="BD298" s="132"/>
    </row>
    <row r="299" ht="14.25" customHeight="1">
      <c r="A299" s="132"/>
      <c r="B299" s="1532">
        <v>46289</v>
      </c>
      <c r="C299" s="133"/>
      <c r="D299" s="136"/>
      <c r="E299" s="135"/>
      <c r="F299" s="135"/>
      <c r="G299" s="147">
        <f t="shared" si="95"/>
        <v>0</v>
      </c>
      <c r="H299" s="144"/>
      <c r="I299" s="143"/>
      <c r="J299" s="143"/>
      <c r="K299" s="143"/>
      <c r="L299" s="143"/>
      <c r="M299" s="103">
        <f t="shared" si="96"/>
        <v>0</v>
      </c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03">
        <f t="shared" si="97"/>
        <v>0</v>
      </c>
      <c r="AA299" s="136"/>
      <c r="AB299" s="136"/>
      <c r="AC299" s="136"/>
      <c r="AD299" s="105">
        <f t="shared" si="98"/>
        <v>0</v>
      </c>
      <c r="AE299" s="143"/>
      <c r="AF299" s="143"/>
      <c r="AG299" s="146"/>
      <c r="AH299" s="224" t="e">
        <f t="shared" si="99"/>
        <v>#REF!</v>
      </c>
      <c r="AI299" s="126"/>
      <c r="AJ299" s="274"/>
      <c r="AK299" s="274"/>
      <c r="AL299" s="126"/>
      <c r="AM299" s="126"/>
      <c r="AN299" s="126"/>
      <c r="AO299" s="126"/>
      <c r="AP299" s="274"/>
      <c r="AQ299" s="274"/>
      <c r="AR299" s="274"/>
      <c r="AS299" s="274"/>
      <c r="AT299" s="222">
        <f t="shared" si="100"/>
        <v>0</v>
      </c>
      <c r="AU299" s="140" t="e">
        <f t="shared" si="101"/>
        <v>#REF!</v>
      </c>
      <c r="AV299" s="132"/>
      <c r="AW299" s="140">
        <f t="shared" si="102"/>
        <v>0</v>
      </c>
      <c r="AX299" s="141"/>
      <c r="AY299" s="141"/>
      <c r="AZ299" s="141"/>
      <c r="BA299" s="141"/>
      <c r="BB299" s="141"/>
      <c r="BC299" s="130" t="e">
        <f t="shared" si="103"/>
        <v>#REF!</v>
      </c>
      <c r="BD299" s="132"/>
    </row>
    <row r="300" ht="14.25" customHeight="1">
      <c r="A300" s="132"/>
      <c r="B300" s="1532">
        <v>46290</v>
      </c>
      <c r="C300" s="133"/>
      <c r="D300" s="136"/>
      <c r="E300" s="135"/>
      <c r="F300" s="135"/>
      <c r="G300" s="147">
        <f t="shared" si="95"/>
        <v>0</v>
      </c>
      <c r="H300" s="144"/>
      <c r="I300" s="143"/>
      <c r="J300" s="143"/>
      <c r="K300" s="143"/>
      <c r="L300" s="143"/>
      <c r="M300" s="103">
        <f t="shared" si="96"/>
        <v>0</v>
      </c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03">
        <f t="shared" si="97"/>
        <v>0</v>
      </c>
      <c r="AA300" s="136"/>
      <c r="AB300" s="136"/>
      <c r="AC300" s="136"/>
      <c r="AD300" s="105">
        <f t="shared" si="98"/>
        <v>0</v>
      </c>
      <c r="AE300" s="143"/>
      <c r="AF300" s="143"/>
      <c r="AG300" s="146"/>
      <c r="AH300" s="224" t="e">
        <f t="shared" si="99"/>
        <v>#REF!</v>
      </c>
      <c r="AI300" s="126"/>
      <c r="AJ300" s="274"/>
      <c r="AK300" s="274"/>
      <c r="AL300" s="126"/>
      <c r="AM300" s="126"/>
      <c r="AN300" s="126"/>
      <c r="AO300" s="126"/>
      <c r="AP300" s="274"/>
      <c r="AQ300" s="274"/>
      <c r="AR300" s="274"/>
      <c r="AS300" s="274"/>
      <c r="AT300" s="222">
        <f t="shared" si="100"/>
        <v>0</v>
      </c>
      <c r="AU300" s="140" t="e">
        <f t="shared" si="101"/>
        <v>#REF!</v>
      </c>
      <c r="AV300" s="132"/>
      <c r="AW300" s="140">
        <f t="shared" si="102"/>
        <v>0</v>
      </c>
      <c r="AX300" s="141"/>
      <c r="AY300" s="141"/>
      <c r="AZ300" s="141"/>
      <c r="BA300" s="141"/>
      <c r="BB300" s="141"/>
      <c r="BC300" s="130" t="e">
        <f t="shared" si="103"/>
        <v>#REF!</v>
      </c>
      <c r="BD300" s="132"/>
    </row>
    <row r="301" ht="14.25" customHeight="1">
      <c r="A301" s="132"/>
      <c r="B301" s="1532">
        <v>46291</v>
      </c>
      <c r="C301" s="133"/>
      <c r="D301" s="136"/>
      <c r="E301" s="135"/>
      <c r="F301" s="135"/>
      <c r="G301" s="147">
        <f t="shared" si="95"/>
        <v>0</v>
      </c>
      <c r="H301" s="144"/>
      <c r="I301" s="143"/>
      <c r="J301" s="143"/>
      <c r="K301" s="143"/>
      <c r="L301" s="143"/>
      <c r="M301" s="103">
        <f t="shared" si="96"/>
        <v>0</v>
      </c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03">
        <f t="shared" si="97"/>
        <v>0</v>
      </c>
      <c r="AA301" s="136"/>
      <c r="AB301" s="136"/>
      <c r="AC301" s="136"/>
      <c r="AD301" s="105">
        <f t="shared" si="98"/>
        <v>0</v>
      </c>
      <c r="AE301" s="143"/>
      <c r="AF301" s="143"/>
      <c r="AG301" s="146"/>
      <c r="AH301" s="224" t="e">
        <f t="shared" si="99"/>
        <v>#REF!</v>
      </c>
      <c r="AI301" s="126"/>
      <c r="AJ301" s="274"/>
      <c r="AK301" s="274"/>
      <c r="AL301" s="126"/>
      <c r="AM301" s="126"/>
      <c r="AN301" s="126"/>
      <c r="AO301" s="126"/>
      <c r="AP301" s="274"/>
      <c r="AQ301" s="274"/>
      <c r="AR301" s="274"/>
      <c r="AS301" s="274"/>
      <c r="AT301" s="222">
        <f t="shared" si="100"/>
        <v>0</v>
      </c>
      <c r="AU301" s="140" t="e">
        <f t="shared" si="101"/>
        <v>#REF!</v>
      </c>
      <c r="AV301" s="132"/>
      <c r="AW301" s="140">
        <f t="shared" si="102"/>
        <v>0</v>
      </c>
      <c r="AX301" s="141"/>
      <c r="AY301" s="141"/>
      <c r="AZ301" s="141"/>
      <c r="BA301" s="141"/>
      <c r="BB301" s="141"/>
      <c r="BC301" s="130" t="e">
        <f t="shared" si="103"/>
        <v>#REF!</v>
      </c>
      <c r="BD301" s="132"/>
    </row>
    <row r="302" ht="14.25" customHeight="1">
      <c r="A302" s="132"/>
      <c r="B302" s="1532">
        <v>46292</v>
      </c>
      <c r="C302" s="133"/>
      <c r="D302" s="136"/>
      <c r="E302" s="135"/>
      <c r="F302" s="135"/>
      <c r="G302" s="147">
        <f t="shared" si="95"/>
        <v>0</v>
      </c>
      <c r="H302" s="144"/>
      <c r="I302" s="143"/>
      <c r="J302" s="143"/>
      <c r="K302" s="143"/>
      <c r="L302" s="143"/>
      <c r="M302" s="103">
        <f t="shared" si="96"/>
        <v>0</v>
      </c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03">
        <f t="shared" si="97"/>
        <v>0</v>
      </c>
      <c r="AA302" s="136"/>
      <c r="AB302" s="136"/>
      <c r="AC302" s="136"/>
      <c r="AD302" s="105">
        <f t="shared" si="98"/>
        <v>0</v>
      </c>
      <c r="AE302" s="143"/>
      <c r="AF302" s="143"/>
      <c r="AG302" s="146"/>
      <c r="AH302" s="224" t="e">
        <f t="shared" si="99"/>
        <v>#REF!</v>
      </c>
      <c r="AI302" s="126"/>
      <c r="AJ302" s="274"/>
      <c r="AK302" s="274"/>
      <c r="AL302" s="126"/>
      <c r="AM302" s="126"/>
      <c r="AN302" s="126"/>
      <c r="AO302" s="126"/>
      <c r="AP302" s="274"/>
      <c r="AQ302" s="274"/>
      <c r="AR302" s="274"/>
      <c r="AS302" s="274"/>
      <c r="AT302" s="222">
        <f t="shared" si="100"/>
        <v>0</v>
      </c>
      <c r="AU302" s="140" t="e">
        <f t="shared" si="101"/>
        <v>#REF!</v>
      </c>
      <c r="AV302" s="132"/>
      <c r="AW302" s="140">
        <f t="shared" si="102"/>
        <v>0</v>
      </c>
      <c r="AX302" s="141"/>
      <c r="AY302" s="141"/>
      <c r="AZ302" s="141"/>
      <c r="BA302" s="141"/>
      <c r="BB302" s="141"/>
      <c r="BC302" s="130" t="e">
        <f t="shared" si="103"/>
        <v>#REF!</v>
      </c>
      <c r="BD302" s="132"/>
    </row>
    <row r="303" ht="14.25" customHeight="1">
      <c r="A303" s="132"/>
      <c r="B303" s="1532">
        <v>46293</v>
      </c>
      <c r="C303" s="133"/>
      <c r="D303" s="136"/>
      <c r="E303" s="135"/>
      <c r="F303" s="135"/>
      <c r="G303" s="147">
        <f t="shared" si="95"/>
        <v>0</v>
      </c>
      <c r="H303" s="144"/>
      <c r="I303" s="143"/>
      <c r="J303" s="143"/>
      <c r="K303" s="143"/>
      <c r="L303" s="143"/>
      <c r="M303" s="103">
        <f t="shared" si="96"/>
        <v>0</v>
      </c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03">
        <f t="shared" si="97"/>
        <v>0</v>
      </c>
      <c r="AA303" s="136"/>
      <c r="AB303" s="136"/>
      <c r="AC303" s="136"/>
      <c r="AD303" s="105">
        <f t="shared" si="98"/>
        <v>0</v>
      </c>
      <c r="AE303" s="143"/>
      <c r="AF303" s="143"/>
      <c r="AG303" s="146"/>
      <c r="AH303" s="224" t="e">
        <f t="shared" si="99"/>
        <v>#REF!</v>
      </c>
      <c r="AI303" s="126"/>
      <c r="AJ303" s="274"/>
      <c r="AK303" s="274"/>
      <c r="AL303" s="126"/>
      <c r="AM303" s="126"/>
      <c r="AN303" s="126"/>
      <c r="AO303" s="126"/>
      <c r="AP303" s="274"/>
      <c r="AQ303" s="274"/>
      <c r="AR303" s="274"/>
      <c r="AS303" s="274"/>
      <c r="AT303" s="222">
        <f t="shared" si="100"/>
        <v>0</v>
      </c>
      <c r="AU303" s="140" t="e">
        <f t="shared" si="101"/>
        <v>#REF!</v>
      </c>
      <c r="AV303" s="132"/>
      <c r="AW303" s="140">
        <f t="shared" si="102"/>
        <v>0</v>
      </c>
      <c r="AX303" s="141"/>
      <c r="AY303" s="141"/>
      <c r="AZ303" s="141"/>
      <c r="BA303" s="141"/>
      <c r="BB303" s="141"/>
      <c r="BC303" s="130" t="e">
        <f t="shared" si="103"/>
        <v>#REF!</v>
      </c>
      <c r="BD303" s="132"/>
    </row>
    <row r="304" ht="14.25" customHeight="1">
      <c r="A304" s="132"/>
      <c r="B304" s="1532">
        <v>46294</v>
      </c>
      <c r="C304" s="133"/>
      <c r="D304" s="136"/>
      <c r="E304" s="135"/>
      <c r="F304" s="135"/>
      <c r="G304" s="147">
        <f t="shared" si="95"/>
        <v>0</v>
      </c>
      <c r="H304" s="144"/>
      <c r="I304" s="143"/>
      <c r="J304" s="143"/>
      <c r="K304" s="143"/>
      <c r="L304" s="143"/>
      <c r="M304" s="103">
        <f t="shared" si="96"/>
        <v>0</v>
      </c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03">
        <f t="shared" si="97"/>
        <v>0</v>
      </c>
      <c r="AA304" s="136"/>
      <c r="AB304" s="136"/>
      <c r="AC304" s="136"/>
      <c r="AD304" s="105">
        <f t="shared" si="98"/>
        <v>0</v>
      </c>
      <c r="AE304" s="143"/>
      <c r="AF304" s="143"/>
      <c r="AG304" s="146"/>
      <c r="AH304" s="224" t="e">
        <f t="shared" si="99"/>
        <v>#REF!</v>
      </c>
      <c r="AI304" s="126"/>
      <c r="AJ304" s="274"/>
      <c r="AK304" s="274"/>
      <c r="AL304" s="126"/>
      <c r="AM304" s="126"/>
      <c r="AN304" s="126"/>
      <c r="AO304" s="126"/>
      <c r="AP304" s="274"/>
      <c r="AQ304" s="274"/>
      <c r="AR304" s="274"/>
      <c r="AS304" s="274"/>
      <c r="AT304" s="222">
        <f t="shared" si="100"/>
        <v>0</v>
      </c>
      <c r="AU304" s="140" t="e">
        <f t="shared" si="101"/>
        <v>#REF!</v>
      </c>
      <c r="AV304" s="132"/>
      <c r="AW304" s="140">
        <f t="shared" si="102"/>
        <v>0</v>
      </c>
      <c r="AX304" s="141"/>
      <c r="AY304" s="141"/>
      <c r="AZ304" s="141"/>
      <c r="BA304" s="141"/>
      <c r="BB304" s="141"/>
      <c r="BC304" s="130" t="e">
        <f t="shared" si="103"/>
        <v>#REF!</v>
      </c>
      <c r="BD304" s="132"/>
    </row>
    <row r="305" ht="14.25" customHeight="1">
      <c r="A305" s="132"/>
      <c r="B305" s="1532">
        <v>46295</v>
      </c>
      <c r="C305" s="133"/>
      <c r="D305" s="136"/>
      <c r="E305" s="135"/>
      <c r="F305" s="135"/>
      <c r="G305" s="147">
        <f t="shared" si="95"/>
        <v>0</v>
      </c>
      <c r="H305" s="144"/>
      <c r="I305" s="143"/>
      <c r="J305" s="143"/>
      <c r="K305" s="143"/>
      <c r="L305" s="143"/>
      <c r="M305" s="103">
        <f t="shared" si="96"/>
        <v>0</v>
      </c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03">
        <f t="shared" si="97"/>
        <v>0</v>
      </c>
      <c r="AA305" s="136"/>
      <c r="AB305" s="136"/>
      <c r="AC305" s="136"/>
      <c r="AD305" s="105">
        <f t="shared" si="98"/>
        <v>0</v>
      </c>
      <c r="AE305" s="143"/>
      <c r="AF305" s="143"/>
      <c r="AG305" s="146"/>
      <c r="AH305" s="224" t="e">
        <f t="shared" si="99"/>
        <v>#REF!</v>
      </c>
      <c r="AI305" s="138"/>
      <c r="AJ305" s="274"/>
      <c r="AK305" s="274"/>
      <c r="AL305" s="126"/>
      <c r="AM305" s="126"/>
      <c r="AN305" s="126"/>
      <c r="AO305" s="126"/>
      <c r="AP305" s="274"/>
      <c r="AQ305" s="274"/>
      <c r="AR305" s="274"/>
      <c r="AS305" s="274"/>
      <c r="AT305" s="222">
        <f t="shared" si="100"/>
        <v>0</v>
      </c>
      <c r="AU305" s="140" t="e">
        <f t="shared" si="101"/>
        <v>#REF!</v>
      </c>
      <c r="AV305" s="132"/>
      <c r="AW305" s="140">
        <f t="shared" si="102"/>
        <v>0</v>
      </c>
      <c r="AX305" s="141"/>
      <c r="AY305" s="141"/>
      <c r="AZ305" s="141"/>
      <c r="BA305" s="141"/>
      <c r="BB305" s="141"/>
      <c r="BC305" s="164" t="e">
        <f t="shared" si="103"/>
        <v>#REF!</v>
      </c>
      <c r="BD305" s="132"/>
    </row>
    <row r="306" ht="14.25" customHeight="1">
      <c r="A306" s="3"/>
      <c r="B306" s="1533" t="s">
        <v>265</v>
      </c>
      <c r="C306" s="166">
        <f ref="C306:H306" t="shared" si="104">SUM(C276:C305)</f>
        <v>0</v>
      </c>
      <c r="D306" s="166">
        <f t="shared" si="104"/>
        <v>0</v>
      </c>
      <c r="E306" s="166">
        <f t="shared" si="104"/>
        <v>0</v>
      </c>
      <c r="F306" s="166">
        <f t="shared" si="104"/>
        <v>0</v>
      </c>
      <c r="G306" s="166">
        <f t="shared" si="104"/>
        <v>0</v>
      </c>
      <c r="H306" s="166">
        <f t="shared" si="104"/>
        <v>0</v>
      </c>
      <c r="I306" s="166"/>
      <c r="J306" s="166"/>
      <c r="K306" s="166"/>
      <c r="L306" s="166">
        <f ref="L306:AE306" t="shared" si="105">SUM(L276:L305)</f>
        <v>0</v>
      </c>
      <c r="M306" s="166">
        <f t="shared" si="105"/>
        <v>0</v>
      </c>
      <c r="N306" s="166">
        <f t="shared" si="105"/>
        <v>0</v>
      </c>
      <c r="O306" s="166">
        <f t="shared" si="105"/>
        <v>0</v>
      </c>
      <c r="P306" s="166">
        <f t="shared" si="105"/>
        <v>0</v>
      </c>
      <c r="Q306" s="166">
        <f t="shared" si="105"/>
        <v>0</v>
      </c>
      <c r="R306" s="166">
        <f t="shared" si="105"/>
        <v>0</v>
      </c>
      <c r="S306" s="166">
        <f t="shared" si="105"/>
        <v>0</v>
      </c>
      <c r="T306" s="166">
        <f t="shared" si="105"/>
        <v>0</v>
      </c>
      <c r="U306" s="166">
        <f t="shared" si="105"/>
        <v>0</v>
      </c>
      <c r="V306" s="166">
        <f t="shared" si="105"/>
        <v>0</v>
      </c>
      <c r="W306" s="166">
        <f t="shared" si="105"/>
        <v>0</v>
      </c>
      <c r="X306" s="166">
        <f t="shared" si="105"/>
        <v>0</v>
      </c>
      <c r="Y306" s="166">
        <f t="shared" si="105"/>
        <v>0</v>
      </c>
      <c r="Z306" s="166">
        <f t="shared" si="105"/>
        <v>0</v>
      </c>
      <c r="AA306" s="166">
        <f t="shared" si="105"/>
        <v>0</v>
      </c>
      <c r="AB306" s="166">
        <f t="shared" si="105"/>
        <v>0</v>
      </c>
      <c r="AC306" s="166">
        <f t="shared" si="105"/>
        <v>0</v>
      </c>
      <c r="AD306" s="166">
        <f t="shared" si="105"/>
        <v>0</v>
      </c>
      <c r="AE306" s="166">
        <f t="shared" si="105"/>
        <v>0</v>
      </c>
      <c r="AF306" s="166"/>
      <c r="AG306" s="166"/>
      <c r="AH306" s="166" t="e">
        <f ref="AH306:AJ306" t="shared" si="106">SUM(AH276:AH305)</f>
        <v>#REF!</v>
      </c>
      <c r="AI306" s="165">
        <f t="shared" si="106"/>
        <v>0</v>
      </c>
      <c r="AJ306" s="166">
        <f t="shared" si="106"/>
        <v>0</v>
      </c>
      <c r="AK306" s="166"/>
      <c r="AL306" s="166"/>
      <c r="AM306" s="166"/>
      <c r="AN306" s="166"/>
      <c r="AO306" s="166"/>
      <c r="AP306" s="166"/>
      <c r="AQ306" s="166"/>
      <c r="AR306" s="166"/>
      <c r="AS306" s="166"/>
      <c r="AT306" s="166">
        <f ref="AT306:AW306" t="shared" si="107">SUM(AT276:AT305)</f>
        <v>0</v>
      </c>
      <c r="AU306" s="166" t="e">
        <f t="shared" si="107"/>
        <v>#REF!</v>
      </c>
      <c r="AV306" s="166">
        <f t="shared" si="107"/>
        <v>0</v>
      </c>
      <c r="AW306" s="166">
        <f t="shared" si="107"/>
        <v>0</v>
      </c>
      <c r="AX306" s="166"/>
      <c r="AY306" s="166"/>
      <c r="AZ306" s="166">
        <f ref="AZ306:BC306" t="shared" si="108">SUM(AZ276:AZ305)</f>
        <v>0</v>
      </c>
      <c r="BA306" s="166">
        <f t="shared" si="108"/>
        <v>0</v>
      </c>
      <c r="BB306" s="166">
        <f t="shared" si="108"/>
        <v>0</v>
      </c>
      <c r="BC306" s="166" t="e">
        <f t="shared" si="108"/>
        <v>#REF!</v>
      </c>
      <c r="BD306" s="3"/>
    </row>
    <row r="307" ht="14.25" customHeight="1">
      <c r="A307" s="1"/>
      <c r="B307" s="1495"/>
      <c r="C307" s="3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96"/>
      <c r="AA307" s="96"/>
      <c r="AB307" s="3"/>
      <c r="AC307" s="3"/>
      <c r="AD307" s="4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ht="14.25" customHeight="1">
      <c r="A308" s="1"/>
      <c r="B308" s="1495"/>
      <c r="C308" s="3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176"/>
      <c r="AA308" s="176"/>
      <c r="AB308" s="3"/>
      <c r="AC308" s="3"/>
      <c r="AD308" s="4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ht="14.25" customHeight="1">
      <c r="A309" s="3"/>
      <c r="B309" s="1506">
        <v>46296</v>
      </c>
      <c r="C309" s="104"/>
      <c r="D309" s="104"/>
      <c r="E309" s="97"/>
      <c r="F309" s="97"/>
      <c r="G309" s="265">
        <f ref="G309:G339" t="shared" si="109">+C309+D309+E309+F309</f>
        <v>0</v>
      </c>
      <c r="H309" s="187"/>
      <c r="I309" s="186"/>
      <c r="J309" s="186"/>
      <c r="K309" s="186"/>
      <c r="L309" s="186"/>
      <c r="M309" s="103">
        <f ref="M309:M339" t="shared" si="110">SUM(H309:L309)</f>
        <v>0</v>
      </c>
      <c r="N309" s="186"/>
      <c r="O309" s="186"/>
      <c r="P309" s="186"/>
      <c r="Q309" s="186"/>
      <c r="R309" s="186"/>
      <c r="S309" s="186"/>
      <c r="T309" s="186"/>
      <c r="U309" s="186"/>
      <c r="V309" s="186"/>
      <c r="W309" s="186"/>
      <c r="X309" s="186"/>
      <c r="Y309" s="186"/>
      <c r="Z309" s="103">
        <f ref="Z309:Z339" t="shared" si="111">SUM(N309:Y309)</f>
        <v>0</v>
      </c>
      <c r="AA309" s="104"/>
      <c r="AB309" s="104"/>
      <c r="AC309" s="104"/>
      <c r="AD309" s="191">
        <f ref="AD309:AD339" t="shared" si="112">SUM(AA309:AC309)</f>
        <v>0</v>
      </c>
      <c r="AE309" s="186"/>
      <c r="AF309" s="186"/>
      <c r="AG309" s="193"/>
      <c r="AH309" s="219" t="e">
        <f ref="AH309:AH339" t="shared" si="113">+G309-M309-Z309-AD309-AE309-AF309-#REF!-AG309</f>
        <v>#REF!</v>
      </c>
      <c r="AI309" s="109"/>
      <c r="AJ309" s="269"/>
      <c r="AK309" s="269"/>
      <c r="AL309" s="109"/>
      <c r="AM309" s="109"/>
      <c r="AN309" s="109"/>
      <c r="AO309" s="109"/>
      <c r="AP309" s="269"/>
      <c r="AQ309" s="269"/>
      <c r="AR309" s="269"/>
      <c r="AS309" s="269"/>
      <c r="AT309" s="272">
        <f ref="AT309:AT339" t="shared" si="114">SUM(AI309:AS309)-AR309</f>
        <v>0</v>
      </c>
      <c r="AU309" s="114" t="e">
        <f ref="AU309:AU339" t="shared" si="115">+AH309-AT309</f>
        <v>#REF!</v>
      </c>
      <c r="AV309" s="3"/>
      <c r="AW309" s="114">
        <f ref="AW309:AW339" t="shared" si="116">SUM(AX309:BB309)</f>
        <v>0</v>
      </c>
      <c r="AX309" s="115"/>
      <c r="AY309" s="115"/>
      <c r="AZ309" s="115"/>
      <c r="BA309" s="115"/>
      <c r="BB309" s="115"/>
      <c r="BC309" s="116" t="e">
        <f ref="BC309:BC339" t="shared" si="117">+AU309-AW309</f>
        <v>#REF!</v>
      </c>
      <c r="BD309" s="3"/>
    </row>
    <row r="310" ht="14.25" customHeight="1">
      <c r="A310" s="3"/>
      <c r="B310" s="1506">
        <v>46297</v>
      </c>
      <c r="C310" s="123"/>
      <c r="D310" s="123"/>
      <c r="E310" s="120"/>
      <c r="F310" s="120"/>
      <c r="G310" s="147">
        <f t="shared" si="109"/>
        <v>0</v>
      </c>
      <c r="H310" s="144"/>
      <c r="I310" s="143"/>
      <c r="J310" s="143"/>
      <c r="K310" s="143"/>
      <c r="L310" s="143"/>
      <c r="M310" s="103">
        <f t="shared" si="110"/>
        <v>0</v>
      </c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03">
        <f t="shared" si="111"/>
        <v>0</v>
      </c>
      <c r="AA310" s="123"/>
      <c r="AB310" s="123"/>
      <c r="AC310" s="123"/>
      <c r="AD310" s="105">
        <f t="shared" si="112"/>
        <v>0</v>
      </c>
      <c r="AE310" s="143"/>
      <c r="AF310" s="143"/>
      <c r="AG310" s="146"/>
      <c r="AH310" s="224" t="e">
        <f t="shared" si="113"/>
        <v>#REF!</v>
      </c>
      <c r="AI310" s="126"/>
      <c r="AJ310" s="274"/>
      <c r="AK310" s="274"/>
      <c r="AL310" s="126"/>
      <c r="AM310" s="126"/>
      <c r="AN310" s="126"/>
      <c r="AO310" s="126"/>
      <c r="AP310" s="274"/>
      <c r="AQ310" s="274"/>
      <c r="AR310" s="274"/>
      <c r="AS310" s="274"/>
      <c r="AT310" s="222">
        <f t="shared" si="114"/>
        <v>0</v>
      </c>
      <c r="AU310" s="113" t="e">
        <f t="shared" si="115"/>
        <v>#REF!</v>
      </c>
      <c r="AV310" s="3"/>
      <c r="AW310" s="113">
        <f t="shared" si="116"/>
        <v>0</v>
      </c>
      <c r="AX310" s="129"/>
      <c r="AY310" s="129"/>
      <c r="AZ310" s="129"/>
      <c r="BA310" s="129"/>
      <c r="BB310" s="129"/>
      <c r="BC310" s="130" t="e">
        <f t="shared" si="117"/>
        <v>#REF!</v>
      </c>
      <c r="BD310" s="3"/>
    </row>
    <row r="311" ht="14.25" customHeight="1">
      <c r="A311" s="3"/>
      <c r="B311" s="1506">
        <v>46298</v>
      </c>
      <c r="C311" s="123"/>
      <c r="D311" s="123"/>
      <c r="E311" s="120"/>
      <c r="F311" s="120"/>
      <c r="G311" s="147">
        <f t="shared" si="109"/>
        <v>0</v>
      </c>
      <c r="H311" s="144"/>
      <c r="I311" s="143"/>
      <c r="J311" s="143"/>
      <c r="K311" s="143"/>
      <c r="L311" s="143"/>
      <c r="M311" s="103">
        <f t="shared" si="110"/>
        <v>0</v>
      </c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03">
        <f t="shared" si="111"/>
        <v>0</v>
      </c>
      <c r="AA311" s="123"/>
      <c r="AB311" s="123"/>
      <c r="AC311" s="123"/>
      <c r="AD311" s="105">
        <f t="shared" si="112"/>
        <v>0</v>
      </c>
      <c r="AE311" s="143"/>
      <c r="AF311" s="143"/>
      <c r="AG311" s="146"/>
      <c r="AH311" s="224" t="e">
        <f t="shared" si="113"/>
        <v>#REF!</v>
      </c>
      <c r="AI311" s="126"/>
      <c r="AJ311" s="274"/>
      <c r="AK311" s="274"/>
      <c r="AL311" s="126"/>
      <c r="AM311" s="126"/>
      <c r="AN311" s="126"/>
      <c r="AO311" s="126"/>
      <c r="AP311" s="274"/>
      <c r="AQ311" s="274"/>
      <c r="AR311" s="274"/>
      <c r="AS311" s="274"/>
      <c r="AT311" s="222">
        <f t="shared" si="114"/>
        <v>0</v>
      </c>
      <c r="AU311" s="113" t="e">
        <f t="shared" si="115"/>
        <v>#REF!</v>
      </c>
      <c r="AV311" s="3"/>
      <c r="AW311" s="113">
        <f t="shared" si="116"/>
        <v>0</v>
      </c>
      <c r="AX311" s="129"/>
      <c r="AY311" s="129"/>
      <c r="AZ311" s="129"/>
      <c r="BA311" s="129"/>
      <c r="BB311" s="129"/>
      <c r="BC311" s="130" t="e">
        <f t="shared" si="117"/>
        <v>#REF!</v>
      </c>
      <c r="BD311" s="3"/>
    </row>
    <row r="312" ht="14.25" customHeight="1">
      <c r="A312" s="3"/>
      <c r="B312" s="1506">
        <v>46299</v>
      </c>
      <c r="C312" s="123"/>
      <c r="D312" s="123"/>
      <c r="E312" s="120"/>
      <c r="F312" s="120"/>
      <c r="G312" s="147">
        <f t="shared" si="109"/>
        <v>0</v>
      </c>
      <c r="H312" s="144"/>
      <c r="I312" s="143"/>
      <c r="J312" s="143"/>
      <c r="K312" s="143"/>
      <c r="L312" s="143"/>
      <c r="M312" s="103">
        <f t="shared" si="110"/>
        <v>0</v>
      </c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03">
        <f t="shared" si="111"/>
        <v>0</v>
      </c>
      <c r="AA312" s="123"/>
      <c r="AB312" s="123"/>
      <c r="AC312" s="123"/>
      <c r="AD312" s="105">
        <f t="shared" si="112"/>
        <v>0</v>
      </c>
      <c r="AE312" s="143"/>
      <c r="AF312" s="143"/>
      <c r="AG312" s="146"/>
      <c r="AH312" s="224" t="e">
        <f t="shared" si="113"/>
        <v>#REF!</v>
      </c>
      <c r="AI312" s="126"/>
      <c r="AJ312" s="274"/>
      <c r="AK312" s="274"/>
      <c r="AL312" s="126"/>
      <c r="AM312" s="126"/>
      <c r="AN312" s="126"/>
      <c r="AO312" s="126"/>
      <c r="AP312" s="274"/>
      <c r="AQ312" s="274"/>
      <c r="AR312" s="274"/>
      <c r="AS312" s="274"/>
      <c r="AT312" s="222">
        <f t="shared" si="114"/>
        <v>0</v>
      </c>
      <c r="AU312" s="113" t="e">
        <f t="shared" si="115"/>
        <v>#REF!</v>
      </c>
      <c r="AV312" s="3"/>
      <c r="AW312" s="113">
        <f t="shared" si="116"/>
        <v>0</v>
      </c>
      <c r="AX312" s="129"/>
      <c r="AY312" s="129"/>
      <c r="AZ312" s="129"/>
      <c r="BA312" s="129"/>
      <c r="BB312" s="129"/>
      <c r="BC312" s="130" t="e">
        <f t="shared" si="117"/>
        <v>#REF!</v>
      </c>
      <c r="BD312" s="3"/>
    </row>
    <row r="313" ht="14.25" customHeight="1">
      <c r="A313" s="3"/>
      <c r="B313" s="1506">
        <v>46300</v>
      </c>
      <c r="C313" s="123"/>
      <c r="D313" s="123"/>
      <c r="E313" s="120"/>
      <c r="F313" s="120"/>
      <c r="G313" s="147">
        <f t="shared" si="109"/>
        <v>0</v>
      </c>
      <c r="H313" s="144"/>
      <c r="I313" s="143"/>
      <c r="J313" s="143"/>
      <c r="K313" s="143"/>
      <c r="L313" s="143"/>
      <c r="M313" s="103">
        <f t="shared" si="110"/>
        <v>0</v>
      </c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03">
        <f t="shared" si="111"/>
        <v>0</v>
      </c>
      <c r="AA313" s="123"/>
      <c r="AB313" s="123"/>
      <c r="AC313" s="123"/>
      <c r="AD313" s="105">
        <f t="shared" si="112"/>
        <v>0</v>
      </c>
      <c r="AE313" s="143"/>
      <c r="AF313" s="143"/>
      <c r="AG313" s="146"/>
      <c r="AH313" s="224" t="e">
        <f t="shared" si="113"/>
        <v>#REF!</v>
      </c>
      <c r="AI313" s="126"/>
      <c r="AJ313" s="274"/>
      <c r="AK313" s="274"/>
      <c r="AL313" s="126"/>
      <c r="AM313" s="126"/>
      <c r="AN313" s="126"/>
      <c r="AO313" s="126"/>
      <c r="AP313" s="274"/>
      <c r="AQ313" s="274"/>
      <c r="AR313" s="274"/>
      <c r="AS313" s="274"/>
      <c r="AT313" s="222">
        <f t="shared" si="114"/>
        <v>0</v>
      </c>
      <c r="AU313" s="113" t="e">
        <f t="shared" si="115"/>
        <v>#REF!</v>
      </c>
      <c r="AV313" s="3"/>
      <c r="AW313" s="113">
        <f t="shared" si="116"/>
        <v>0</v>
      </c>
      <c r="AX313" s="129"/>
      <c r="AY313" s="129"/>
      <c r="AZ313" s="129"/>
      <c r="BA313" s="129"/>
      <c r="BB313" s="129"/>
      <c r="BC313" s="130" t="e">
        <f t="shared" si="117"/>
        <v>#REF!</v>
      </c>
      <c r="BD313" s="3"/>
    </row>
    <row r="314" ht="14.25" customHeight="1">
      <c r="A314" s="3"/>
      <c r="B314" s="1506">
        <v>46301</v>
      </c>
      <c r="C314" s="123"/>
      <c r="D314" s="123"/>
      <c r="E314" s="120"/>
      <c r="F314" s="120"/>
      <c r="G314" s="147">
        <f t="shared" si="109"/>
        <v>0</v>
      </c>
      <c r="H314" s="144"/>
      <c r="I314" s="143"/>
      <c r="J314" s="143"/>
      <c r="K314" s="143"/>
      <c r="L314" s="143"/>
      <c r="M314" s="103">
        <f t="shared" si="110"/>
        <v>0</v>
      </c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03">
        <f t="shared" si="111"/>
        <v>0</v>
      </c>
      <c r="AA314" s="123"/>
      <c r="AB314" s="123"/>
      <c r="AC314" s="123"/>
      <c r="AD314" s="105">
        <f t="shared" si="112"/>
        <v>0</v>
      </c>
      <c r="AE314" s="143"/>
      <c r="AF314" s="143"/>
      <c r="AG314" s="146"/>
      <c r="AH314" s="224" t="e">
        <f t="shared" si="113"/>
        <v>#REF!</v>
      </c>
      <c r="AI314" s="126"/>
      <c r="AJ314" s="274"/>
      <c r="AK314" s="274"/>
      <c r="AL314" s="126"/>
      <c r="AM314" s="126"/>
      <c r="AN314" s="126"/>
      <c r="AO314" s="126"/>
      <c r="AP314" s="274"/>
      <c r="AQ314" s="274"/>
      <c r="AR314" s="274"/>
      <c r="AS314" s="274"/>
      <c r="AT314" s="222">
        <f t="shared" si="114"/>
        <v>0</v>
      </c>
      <c r="AU314" s="113" t="e">
        <f t="shared" si="115"/>
        <v>#REF!</v>
      </c>
      <c r="AV314" s="3"/>
      <c r="AW314" s="113">
        <f t="shared" si="116"/>
        <v>0</v>
      </c>
      <c r="AX314" s="129"/>
      <c r="AY314" s="129"/>
      <c r="AZ314" s="129"/>
      <c r="BA314" s="129"/>
      <c r="BB314" s="129"/>
      <c r="BC314" s="130" t="e">
        <f t="shared" si="117"/>
        <v>#REF!</v>
      </c>
      <c r="BD314" s="3"/>
    </row>
    <row r="315" ht="14.25" customHeight="1">
      <c r="A315" s="132"/>
      <c r="B315" s="1506">
        <v>46302</v>
      </c>
      <c r="C315" s="136"/>
      <c r="D315" s="136"/>
      <c r="E315" s="135"/>
      <c r="F315" s="135"/>
      <c r="G315" s="147">
        <f t="shared" si="109"/>
        <v>0</v>
      </c>
      <c r="H315" s="144"/>
      <c r="I315" s="143"/>
      <c r="J315" s="143"/>
      <c r="K315" s="143"/>
      <c r="L315" s="143"/>
      <c r="M315" s="103">
        <f t="shared" si="110"/>
        <v>0</v>
      </c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03">
        <f t="shared" si="111"/>
        <v>0</v>
      </c>
      <c r="AA315" s="136"/>
      <c r="AB315" s="136"/>
      <c r="AC315" s="136"/>
      <c r="AD315" s="105">
        <f t="shared" si="112"/>
        <v>0</v>
      </c>
      <c r="AE315" s="143"/>
      <c r="AF315" s="143"/>
      <c r="AG315" s="146"/>
      <c r="AH315" s="224" t="e">
        <f t="shared" si="113"/>
        <v>#REF!</v>
      </c>
      <c r="AI315" s="126"/>
      <c r="AJ315" s="274"/>
      <c r="AK315" s="274"/>
      <c r="AL315" s="126"/>
      <c r="AM315" s="126"/>
      <c r="AN315" s="126"/>
      <c r="AO315" s="126"/>
      <c r="AP315" s="274"/>
      <c r="AQ315" s="274"/>
      <c r="AR315" s="274"/>
      <c r="AS315" s="274"/>
      <c r="AT315" s="222">
        <f t="shared" si="114"/>
        <v>0</v>
      </c>
      <c r="AU315" s="140" t="e">
        <f t="shared" si="115"/>
        <v>#REF!</v>
      </c>
      <c r="AV315" s="132"/>
      <c r="AW315" s="140">
        <f t="shared" si="116"/>
        <v>0</v>
      </c>
      <c r="AX315" s="141"/>
      <c r="AY315" s="141"/>
      <c r="AZ315" s="141"/>
      <c r="BA315" s="141"/>
      <c r="BB315" s="141"/>
      <c r="BC315" s="130" t="e">
        <f t="shared" si="117"/>
        <v>#REF!</v>
      </c>
      <c r="BD315" s="132"/>
    </row>
    <row r="316" ht="14.25" customHeight="1">
      <c r="A316" s="132"/>
      <c r="B316" s="1506">
        <v>46303</v>
      </c>
      <c r="C316" s="136"/>
      <c r="D316" s="136"/>
      <c r="E316" s="135"/>
      <c r="F316" s="135"/>
      <c r="G316" s="147">
        <f t="shared" si="109"/>
        <v>0</v>
      </c>
      <c r="H316" s="144"/>
      <c r="I316" s="143"/>
      <c r="J316" s="143"/>
      <c r="K316" s="143"/>
      <c r="L316" s="143"/>
      <c r="M316" s="103">
        <f t="shared" si="110"/>
        <v>0</v>
      </c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03">
        <f t="shared" si="111"/>
        <v>0</v>
      </c>
      <c r="AA316" s="136"/>
      <c r="AB316" s="136"/>
      <c r="AC316" s="136"/>
      <c r="AD316" s="105">
        <f t="shared" si="112"/>
        <v>0</v>
      </c>
      <c r="AE316" s="143"/>
      <c r="AF316" s="143"/>
      <c r="AG316" s="146"/>
      <c r="AH316" s="224" t="e">
        <f t="shared" si="113"/>
        <v>#REF!</v>
      </c>
      <c r="AI316" s="126"/>
      <c r="AJ316" s="274"/>
      <c r="AK316" s="274"/>
      <c r="AL316" s="126"/>
      <c r="AM316" s="126"/>
      <c r="AN316" s="126"/>
      <c r="AO316" s="126"/>
      <c r="AP316" s="274"/>
      <c r="AQ316" s="274"/>
      <c r="AR316" s="274"/>
      <c r="AS316" s="274"/>
      <c r="AT316" s="222">
        <f t="shared" si="114"/>
        <v>0</v>
      </c>
      <c r="AU316" s="140" t="e">
        <f t="shared" si="115"/>
        <v>#REF!</v>
      </c>
      <c r="AV316" s="132"/>
      <c r="AW316" s="140">
        <f t="shared" si="116"/>
        <v>0</v>
      </c>
      <c r="AX316" s="141"/>
      <c r="AY316" s="141"/>
      <c r="AZ316" s="141"/>
      <c r="BA316" s="141"/>
      <c r="BB316" s="141"/>
      <c r="BC316" s="130" t="e">
        <f t="shared" si="117"/>
        <v>#REF!</v>
      </c>
      <c r="BD316" s="132"/>
    </row>
    <row r="317" ht="14.25" customHeight="1">
      <c r="A317" s="132"/>
      <c r="B317" s="1506">
        <v>46304</v>
      </c>
      <c r="C317" s="136"/>
      <c r="D317" s="136"/>
      <c r="E317" s="135"/>
      <c r="F317" s="135"/>
      <c r="G317" s="147">
        <f t="shared" si="109"/>
        <v>0</v>
      </c>
      <c r="H317" s="144"/>
      <c r="I317" s="143"/>
      <c r="J317" s="143"/>
      <c r="K317" s="143"/>
      <c r="L317" s="143"/>
      <c r="M317" s="103">
        <f t="shared" si="110"/>
        <v>0</v>
      </c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03">
        <f t="shared" si="111"/>
        <v>0</v>
      </c>
      <c r="AA317" s="136"/>
      <c r="AB317" s="136"/>
      <c r="AC317" s="136"/>
      <c r="AD317" s="105">
        <f t="shared" si="112"/>
        <v>0</v>
      </c>
      <c r="AE317" s="143"/>
      <c r="AF317" s="143"/>
      <c r="AG317" s="146"/>
      <c r="AH317" s="224" t="e">
        <f t="shared" si="113"/>
        <v>#REF!</v>
      </c>
      <c r="AI317" s="126"/>
      <c r="AJ317" s="274"/>
      <c r="AK317" s="274"/>
      <c r="AL317" s="126"/>
      <c r="AM317" s="126"/>
      <c r="AN317" s="126"/>
      <c r="AO317" s="126"/>
      <c r="AP317" s="274"/>
      <c r="AQ317" s="274"/>
      <c r="AR317" s="274"/>
      <c r="AS317" s="274"/>
      <c r="AT317" s="222">
        <f t="shared" si="114"/>
        <v>0</v>
      </c>
      <c r="AU317" s="140" t="e">
        <f t="shared" si="115"/>
        <v>#REF!</v>
      </c>
      <c r="AV317" s="132"/>
      <c r="AW317" s="140">
        <f t="shared" si="116"/>
        <v>0</v>
      </c>
      <c r="AX317" s="141"/>
      <c r="AY317" s="141"/>
      <c r="AZ317" s="141"/>
      <c r="BA317" s="141"/>
      <c r="BB317" s="141"/>
      <c r="BC317" s="130" t="e">
        <f t="shared" si="117"/>
        <v>#REF!</v>
      </c>
      <c r="BD317" s="132"/>
    </row>
    <row r="318" ht="14.25" customHeight="1">
      <c r="A318" s="132"/>
      <c r="B318" s="1506">
        <v>46305</v>
      </c>
      <c r="C318" s="136"/>
      <c r="D318" s="136"/>
      <c r="E318" s="135"/>
      <c r="F318" s="135"/>
      <c r="G318" s="147">
        <f t="shared" si="109"/>
        <v>0</v>
      </c>
      <c r="H318" s="144"/>
      <c r="I318" s="143"/>
      <c r="J318" s="143"/>
      <c r="K318" s="143"/>
      <c r="L318" s="143"/>
      <c r="M318" s="103">
        <f t="shared" si="110"/>
        <v>0</v>
      </c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03">
        <f t="shared" si="111"/>
        <v>0</v>
      </c>
      <c r="AA318" s="136"/>
      <c r="AB318" s="136"/>
      <c r="AC318" s="136"/>
      <c r="AD318" s="105">
        <f t="shared" si="112"/>
        <v>0</v>
      </c>
      <c r="AE318" s="143"/>
      <c r="AF318" s="143"/>
      <c r="AG318" s="146"/>
      <c r="AH318" s="224" t="e">
        <f t="shared" si="113"/>
        <v>#REF!</v>
      </c>
      <c r="AI318" s="126"/>
      <c r="AJ318" s="274"/>
      <c r="AK318" s="274"/>
      <c r="AL318" s="126"/>
      <c r="AM318" s="126"/>
      <c r="AN318" s="126"/>
      <c r="AO318" s="126"/>
      <c r="AP318" s="274"/>
      <c r="AQ318" s="274"/>
      <c r="AR318" s="274"/>
      <c r="AS318" s="274"/>
      <c r="AT318" s="222">
        <f t="shared" si="114"/>
        <v>0</v>
      </c>
      <c r="AU318" s="140" t="e">
        <f t="shared" si="115"/>
        <v>#REF!</v>
      </c>
      <c r="AV318" s="132"/>
      <c r="AW318" s="140">
        <f t="shared" si="116"/>
        <v>0</v>
      </c>
      <c r="AX318" s="141"/>
      <c r="AY318" s="141"/>
      <c r="AZ318" s="141"/>
      <c r="BA318" s="141"/>
      <c r="BB318" s="141"/>
      <c r="BC318" s="130" t="e">
        <f t="shared" si="117"/>
        <v>#REF!</v>
      </c>
      <c r="BD318" s="132"/>
    </row>
    <row r="319" ht="14.25" customHeight="1">
      <c r="A319" s="132"/>
      <c r="B319" s="1506">
        <v>46306</v>
      </c>
      <c r="C319" s="136"/>
      <c r="D319" s="136"/>
      <c r="E319" s="135"/>
      <c r="F319" s="135"/>
      <c r="G319" s="147">
        <f t="shared" si="109"/>
        <v>0</v>
      </c>
      <c r="H319" s="144"/>
      <c r="I319" s="143"/>
      <c r="J319" s="143"/>
      <c r="K319" s="143"/>
      <c r="L319" s="143"/>
      <c r="M319" s="103">
        <f t="shared" si="110"/>
        <v>0</v>
      </c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03">
        <f t="shared" si="111"/>
        <v>0</v>
      </c>
      <c r="AA319" s="136"/>
      <c r="AB319" s="136"/>
      <c r="AC319" s="136"/>
      <c r="AD319" s="105">
        <f t="shared" si="112"/>
        <v>0</v>
      </c>
      <c r="AE319" s="143"/>
      <c r="AF319" s="143"/>
      <c r="AG319" s="146"/>
      <c r="AH319" s="224" t="e">
        <f t="shared" si="113"/>
        <v>#REF!</v>
      </c>
      <c r="AI319" s="126"/>
      <c r="AJ319" s="274"/>
      <c r="AK319" s="274"/>
      <c r="AL319" s="126"/>
      <c r="AM319" s="126"/>
      <c r="AN319" s="126"/>
      <c r="AO319" s="126"/>
      <c r="AP319" s="274"/>
      <c r="AQ319" s="274"/>
      <c r="AR319" s="274"/>
      <c r="AS319" s="274"/>
      <c r="AT319" s="222">
        <f t="shared" si="114"/>
        <v>0</v>
      </c>
      <c r="AU319" s="140" t="e">
        <f t="shared" si="115"/>
        <v>#REF!</v>
      </c>
      <c r="AV319" s="132"/>
      <c r="AW319" s="140">
        <f t="shared" si="116"/>
        <v>0</v>
      </c>
      <c r="AX319" s="141"/>
      <c r="AY319" s="141"/>
      <c r="AZ319" s="141"/>
      <c r="BA319" s="141"/>
      <c r="BB319" s="141"/>
      <c r="BC319" s="130" t="e">
        <f t="shared" si="117"/>
        <v>#REF!</v>
      </c>
      <c r="BD319" s="132"/>
    </row>
    <row r="320" ht="14.25" customHeight="1">
      <c r="A320" s="132"/>
      <c r="B320" s="1506">
        <v>46307</v>
      </c>
      <c r="C320" s="136"/>
      <c r="D320" s="136"/>
      <c r="E320" s="135"/>
      <c r="F320" s="135"/>
      <c r="G320" s="147">
        <f t="shared" si="109"/>
        <v>0</v>
      </c>
      <c r="H320" s="144"/>
      <c r="I320" s="143"/>
      <c r="J320" s="143"/>
      <c r="K320" s="143"/>
      <c r="L320" s="143"/>
      <c r="M320" s="103">
        <f t="shared" si="110"/>
        <v>0</v>
      </c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03">
        <f t="shared" si="111"/>
        <v>0</v>
      </c>
      <c r="AA320" s="136"/>
      <c r="AB320" s="136"/>
      <c r="AC320" s="136"/>
      <c r="AD320" s="105">
        <f t="shared" si="112"/>
        <v>0</v>
      </c>
      <c r="AE320" s="143"/>
      <c r="AF320" s="143"/>
      <c r="AG320" s="146"/>
      <c r="AH320" s="224" t="e">
        <f t="shared" si="113"/>
        <v>#REF!</v>
      </c>
      <c r="AI320" s="126"/>
      <c r="AJ320" s="274"/>
      <c r="AK320" s="274"/>
      <c r="AL320" s="126"/>
      <c r="AM320" s="126"/>
      <c r="AN320" s="126"/>
      <c r="AO320" s="126"/>
      <c r="AP320" s="274"/>
      <c r="AQ320" s="274"/>
      <c r="AR320" s="274"/>
      <c r="AS320" s="274"/>
      <c r="AT320" s="222">
        <f t="shared" si="114"/>
        <v>0</v>
      </c>
      <c r="AU320" s="140" t="e">
        <f t="shared" si="115"/>
        <v>#REF!</v>
      </c>
      <c r="AV320" s="132"/>
      <c r="AW320" s="140">
        <f t="shared" si="116"/>
        <v>0</v>
      </c>
      <c r="AX320" s="141"/>
      <c r="AY320" s="141"/>
      <c r="AZ320" s="141"/>
      <c r="BA320" s="141"/>
      <c r="BB320" s="141"/>
      <c r="BC320" s="130" t="e">
        <f t="shared" si="117"/>
        <v>#REF!</v>
      </c>
      <c r="BD320" s="132"/>
    </row>
    <row r="321" ht="14.25" customHeight="1">
      <c r="A321" s="3"/>
      <c r="B321" s="1506">
        <v>46308</v>
      </c>
      <c r="C321" s="123"/>
      <c r="D321" s="123"/>
      <c r="E321" s="120"/>
      <c r="F321" s="120"/>
      <c r="G321" s="147">
        <f t="shared" si="109"/>
        <v>0</v>
      </c>
      <c r="H321" s="144"/>
      <c r="I321" s="143"/>
      <c r="J321" s="143"/>
      <c r="K321" s="143"/>
      <c r="L321" s="143"/>
      <c r="M321" s="103">
        <f t="shared" si="110"/>
        <v>0</v>
      </c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03">
        <f t="shared" si="111"/>
        <v>0</v>
      </c>
      <c r="AA321" s="123"/>
      <c r="AB321" s="123"/>
      <c r="AC321" s="123"/>
      <c r="AD321" s="105">
        <f t="shared" si="112"/>
        <v>0</v>
      </c>
      <c r="AE321" s="143"/>
      <c r="AF321" s="143"/>
      <c r="AG321" s="146"/>
      <c r="AH321" s="224" t="e">
        <f t="shared" si="113"/>
        <v>#REF!</v>
      </c>
      <c r="AI321" s="126"/>
      <c r="AJ321" s="274"/>
      <c r="AK321" s="274"/>
      <c r="AL321" s="126"/>
      <c r="AM321" s="126"/>
      <c r="AN321" s="126"/>
      <c r="AO321" s="126"/>
      <c r="AP321" s="274"/>
      <c r="AQ321" s="274"/>
      <c r="AR321" s="274"/>
      <c r="AS321" s="274"/>
      <c r="AT321" s="222">
        <f t="shared" si="114"/>
        <v>0</v>
      </c>
      <c r="AU321" s="113" t="e">
        <f t="shared" si="115"/>
        <v>#REF!</v>
      </c>
      <c r="AV321" s="3"/>
      <c r="AW321" s="113">
        <f t="shared" si="116"/>
        <v>0</v>
      </c>
      <c r="AX321" s="129"/>
      <c r="AY321" s="129"/>
      <c r="AZ321" s="129"/>
      <c r="BA321" s="129"/>
      <c r="BB321" s="129"/>
      <c r="BC321" s="130" t="e">
        <f t="shared" si="117"/>
        <v>#REF!</v>
      </c>
      <c r="BD321" s="3"/>
    </row>
    <row r="322" ht="14.25" customHeight="1">
      <c r="A322" s="132"/>
      <c r="B322" s="1506">
        <v>46309</v>
      </c>
      <c r="C322" s="136"/>
      <c r="D322" s="136"/>
      <c r="E322" s="135"/>
      <c r="F322" s="135"/>
      <c r="G322" s="147">
        <f t="shared" si="109"/>
        <v>0</v>
      </c>
      <c r="H322" s="144"/>
      <c r="I322" s="143"/>
      <c r="J322" s="143"/>
      <c r="K322" s="143"/>
      <c r="L322" s="143"/>
      <c r="M322" s="103">
        <f t="shared" si="110"/>
        <v>0</v>
      </c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03">
        <f t="shared" si="111"/>
        <v>0</v>
      </c>
      <c r="AA322" s="136"/>
      <c r="AB322" s="136"/>
      <c r="AC322" s="136"/>
      <c r="AD322" s="105">
        <f t="shared" si="112"/>
        <v>0</v>
      </c>
      <c r="AE322" s="143"/>
      <c r="AF322" s="143"/>
      <c r="AG322" s="146"/>
      <c r="AH322" s="224" t="e">
        <f t="shared" si="113"/>
        <v>#REF!</v>
      </c>
      <c r="AI322" s="126"/>
      <c r="AJ322" s="274"/>
      <c r="AK322" s="274"/>
      <c r="AL322" s="126"/>
      <c r="AM322" s="126"/>
      <c r="AN322" s="126"/>
      <c r="AO322" s="126"/>
      <c r="AP322" s="274"/>
      <c r="AQ322" s="274"/>
      <c r="AR322" s="274"/>
      <c r="AS322" s="274"/>
      <c r="AT322" s="222">
        <f t="shared" si="114"/>
        <v>0</v>
      </c>
      <c r="AU322" s="140" t="e">
        <f t="shared" si="115"/>
        <v>#REF!</v>
      </c>
      <c r="AV322" s="132"/>
      <c r="AW322" s="140">
        <f t="shared" si="116"/>
        <v>0</v>
      </c>
      <c r="AX322" s="141"/>
      <c r="AY322" s="141"/>
      <c r="AZ322" s="141"/>
      <c r="BA322" s="141"/>
      <c r="BB322" s="141"/>
      <c r="BC322" s="130" t="e">
        <f t="shared" si="117"/>
        <v>#REF!</v>
      </c>
      <c r="BD322" s="132"/>
    </row>
    <row r="323" ht="14.25" customHeight="1">
      <c r="A323" s="132"/>
      <c r="B323" s="1506">
        <v>46310</v>
      </c>
      <c r="C323" s="136"/>
      <c r="D323" s="136"/>
      <c r="E323" s="135"/>
      <c r="F323" s="135"/>
      <c r="G323" s="147">
        <f t="shared" si="109"/>
        <v>0</v>
      </c>
      <c r="H323" s="144"/>
      <c r="I323" s="143"/>
      <c r="J323" s="143"/>
      <c r="K323" s="143"/>
      <c r="L323" s="143"/>
      <c r="M323" s="103">
        <f t="shared" si="110"/>
        <v>0</v>
      </c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03">
        <f t="shared" si="111"/>
        <v>0</v>
      </c>
      <c r="AA323" s="136"/>
      <c r="AB323" s="136"/>
      <c r="AC323" s="136"/>
      <c r="AD323" s="105">
        <f t="shared" si="112"/>
        <v>0</v>
      </c>
      <c r="AE323" s="143"/>
      <c r="AF323" s="143"/>
      <c r="AG323" s="146"/>
      <c r="AH323" s="224" t="e">
        <f t="shared" si="113"/>
        <v>#REF!</v>
      </c>
      <c r="AI323" s="126"/>
      <c r="AJ323" s="274"/>
      <c r="AK323" s="274"/>
      <c r="AL323" s="126"/>
      <c r="AM323" s="126"/>
      <c r="AN323" s="126"/>
      <c r="AO323" s="126"/>
      <c r="AP323" s="274"/>
      <c r="AQ323" s="274"/>
      <c r="AR323" s="274"/>
      <c r="AS323" s="274"/>
      <c r="AT323" s="222">
        <f t="shared" si="114"/>
        <v>0</v>
      </c>
      <c r="AU323" s="140" t="e">
        <f t="shared" si="115"/>
        <v>#REF!</v>
      </c>
      <c r="AV323" s="132"/>
      <c r="AW323" s="140">
        <f t="shared" si="116"/>
        <v>0</v>
      </c>
      <c r="AX323" s="141"/>
      <c r="AY323" s="141"/>
      <c r="AZ323" s="141"/>
      <c r="BA323" s="141"/>
      <c r="BB323" s="141"/>
      <c r="BC323" s="130" t="e">
        <f t="shared" si="117"/>
        <v>#REF!</v>
      </c>
      <c r="BD323" s="132"/>
    </row>
    <row r="324" ht="14.25" customHeight="1">
      <c r="A324" s="132"/>
      <c r="B324" s="1506">
        <v>46311</v>
      </c>
      <c r="C324" s="136"/>
      <c r="D324" s="136"/>
      <c r="E324" s="135"/>
      <c r="F324" s="135"/>
      <c r="G324" s="147">
        <f t="shared" si="109"/>
        <v>0</v>
      </c>
      <c r="H324" s="144"/>
      <c r="I324" s="143"/>
      <c r="J324" s="143"/>
      <c r="K324" s="143"/>
      <c r="L324" s="143"/>
      <c r="M324" s="103">
        <f t="shared" si="110"/>
        <v>0</v>
      </c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03">
        <f t="shared" si="111"/>
        <v>0</v>
      </c>
      <c r="AA324" s="136"/>
      <c r="AB324" s="136"/>
      <c r="AC324" s="136"/>
      <c r="AD324" s="105">
        <f t="shared" si="112"/>
        <v>0</v>
      </c>
      <c r="AE324" s="143"/>
      <c r="AF324" s="143"/>
      <c r="AG324" s="146"/>
      <c r="AH324" s="224" t="e">
        <f t="shared" si="113"/>
        <v>#REF!</v>
      </c>
      <c r="AI324" s="126"/>
      <c r="AJ324" s="274"/>
      <c r="AK324" s="274"/>
      <c r="AL324" s="126"/>
      <c r="AM324" s="126"/>
      <c r="AN324" s="126"/>
      <c r="AO324" s="126"/>
      <c r="AP324" s="274"/>
      <c r="AQ324" s="274"/>
      <c r="AR324" s="274"/>
      <c r="AS324" s="274"/>
      <c r="AT324" s="222">
        <f t="shared" si="114"/>
        <v>0</v>
      </c>
      <c r="AU324" s="140" t="e">
        <f t="shared" si="115"/>
        <v>#REF!</v>
      </c>
      <c r="AV324" s="132"/>
      <c r="AW324" s="140">
        <f t="shared" si="116"/>
        <v>0</v>
      </c>
      <c r="AX324" s="141"/>
      <c r="AY324" s="141"/>
      <c r="AZ324" s="141"/>
      <c r="BA324" s="141"/>
      <c r="BB324" s="141"/>
      <c r="BC324" s="130" t="e">
        <f t="shared" si="117"/>
        <v>#REF!</v>
      </c>
      <c r="BD324" s="132"/>
    </row>
    <row r="325" ht="14.25" customHeight="1">
      <c r="A325" s="132"/>
      <c r="B325" s="1506">
        <v>46312</v>
      </c>
      <c r="C325" s="136"/>
      <c r="D325" s="136"/>
      <c r="E325" s="135"/>
      <c r="F325" s="135"/>
      <c r="G325" s="147">
        <f t="shared" si="109"/>
        <v>0</v>
      </c>
      <c r="H325" s="144"/>
      <c r="I325" s="143"/>
      <c r="J325" s="143"/>
      <c r="K325" s="143"/>
      <c r="L325" s="143"/>
      <c r="M325" s="103">
        <f t="shared" si="110"/>
        <v>0</v>
      </c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03">
        <f t="shared" si="111"/>
        <v>0</v>
      </c>
      <c r="AA325" s="136"/>
      <c r="AB325" s="136"/>
      <c r="AC325" s="136"/>
      <c r="AD325" s="105">
        <f t="shared" si="112"/>
        <v>0</v>
      </c>
      <c r="AE325" s="143"/>
      <c r="AF325" s="143"/>
      <c r="AG325" s="146"/>
      <c r="AH325" s="224" t="e">
        <f t="shared" si="113"/>
        <v>#REF!</v>
      </c>
      <c r="AI325" s="126"/>
      <c r="AJ325" s="274"/>
      <c r="AK325" s="274"/>
      <c r="AL325" s="126"/>
      <c r="AM325" s="126"/>
      <c r="AN325" s="126"/>
      <c r="AO325" s="126"/>
      <c r="AP325" s="274"/>
      <c r="AQ325" s="274"/>
      <c r="AR325" s="274"/>
      <c r="AS325" s="274"/>
      <c r="AT325" s="222">
        <f t="shared" si="114"/>
        <v>0</v>
      </c>
      <c r="AU325" s="140" t="e">
        <f t="shared" si="115"/>
        <v>#REF!</v>
      </c>
      <c r="AV325" s="132"/>
      <c r="AW325" s="140">
        <f t="shared" si="116"/>
        <v>0</v>
      </c>
      <c r="AX325" s="141"/>
      <c r="AY325" s="141"/>
      <c r="AZ325" s="141"/>
      <c r="BA325" s="141"/>
      <c r="BB325" s="141"/>
      <c r="BC325" s="130" t="e">
        <f t="shared" si="117"/>
        <v>#REF!</v>
      </c>
      <c r="BD325" s="132"/>
    </row>
    <row r="326" ht="14.25" customHeight="1">
      <c r="A326" s="132"/>
      <c r="B326" s="1506">
        <v>46313</v>
      </c>
      <c r="C326" s="136"/>
      <c r="D326" s="136"/>
      <c r="E326" s="135"/>
      <c r="F326" s="135"/>
      <c r="G326" s="147">
        <f t="shared" si="109"/>
        <v>0</v>
      </c>
      <c r="H326" s="144"/>
      <c r="I326" s="143"/>
      <c r="J326" s="143"/>
      <c r="K326" s="143"/>
      <c r="L326" s="143"/>
      <c r="M326" s="103">
        <f t="shared" si="110"/>
        <v>0</v>
      </c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03">
        <f t="shared" si="111"/>
        <v>0</v>
      </c>
      <c r="AA326" s="136"/>
      <c r="AB326" s="136"/>
      <c r="AC326" s="136"/>
      <c r="AD326" s="105">
        <f t="shared" si="112"/>
        <v>0</v>
      </c>
      <c r="AE326" s="143"/>
      <c r="AF326" s="143"/>
      <c r="AG326" s="146"/>
      <c r="AH326" s="224" t="e">
        <f t="shared" si="113"/>
        <v>#REF!</v>
      </c>
      <c r="AI326" s="126"/>
      <c r="AJ326" s="274"/>
      <c r="AK326" s="274"/>
      <c r="AL326" s="126"/>
      <c r="AM326" s="126"/>
      <c r="AN326" s="126"/>
      <c r="AO326" s="126"/>
      <c r="AP326" s="274"/>
      <c r="AQ326" s="274"/>
      <c r="AR326" s="274"/>
      <c r="AS326" s="274"/>
      <c r="AT326" s="222">
        <f t="shared" si="114"/>
        <v>0</v>
      </c>
      <c r="AU326" s="140" t="e">
        <f t="shared" si="115"/>
        <v>#REF!</v>
      </c>
      <c r="AV326" s="132"/>
      <c r="AW326" s="140">
        <f t="shared" si="116"/>
        <v>0</v>
      </c>
      <c r="AX326" s="141"/>
      <c r="AY326" s="141"/>
      <c r="AZ326" s="141"/>
      <c r="BA326" s="141"/>
      <c r="BB326" s="141"/>
      <c r="BC326" s="130" t="e">
        <f t="shared" si="117"/>
        <v>#REF!</v>
      </c>
      <c r="BD326" s="132"/>
    </row>
    <row r="327" ht="14.25" customHeight="1">
      <c r="A327" s="132"/>
      <c r="B327" s="1506">
        <v>46314</v>
      </c>
      <c r="C327" s="136"/>
      <c r="D327" s="136"/>
      <c r="E327" s="135"/>
      <c r="F327" s="135"/>
      <c r="G327" s="147">
        <f t="shared" si="109"/>
        <v>0</v>
      </c>
      <c r="H327" s="144"/>
      <c r="I327" s="143"/>
      <c r="J327" s="143"/>
      <c r="K327" s="143"/>
      <c r="L327" s="143"/>
      <c r="M327" s="103">
        <f t="shared" si="110"/>
        <v>0</v>
      </c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03">
        <f t="shared" si="111"/>
        <v>0</v>
      </c>
      <c r="AA327" s="136"/>
      <c r="AB327" s="136"/>
      <c r="AC327" s="136"/>
      <c r="AD327" s="105">
        <f t="shared" si="112"/>
        <v>0</v>
      </c>
      <c r="AE327" s="143"/>
      <c r="AF327" s="143"/>
      <c r="AG327" s="146"/>
      <c r="AH327" s="224" t="e">
        <f t="shared" si="113"/>
        <v>#REF!</v>
      </c>
      <c r="AI327" s="126"/>
      <c r="AJ327" s="274"/>
      <c r="AK327" s="274"/>
      <c r="AL327" s="126"/>
      <c r="AM327" s="126"/>
      <c r="AN327" s="126"/>
      <c r="AO327" s="126"/>
      <c r="AP327" s="274"/>
      <c r="AQ327" s="274"/>
      <c r="AR327" s="274"/>
      <c r="AS327" s="274"/>
      <c r="AT327" s="222">
        <f t="shared" si="114"/>
        <v>0</v>
      </c>
      <c r="AU327" s="140" t="e">
        <f t="shared" si="115"/>
        <v>#REF!</v>
      </c>
      <c r="AV327" s="132"/>
      <c r="AW327" s="140">
        <f t="shared" si="116"/>
        <v>0</v>
      </c>
      <c r="AX327" s="141"/>
      <c r="AY327" s="141"/>
      <c r="AZ327" s="141"/>
      <c r="BA327" s="141"/>
      <c r="BB327" s="141"/>
      <c r="BC327" s="130" t="e">
        <f t="shared" si="117"/>
        <v>#REF!</v>
      </c>
      <c r="BD327" s="132"/>
    </row>
    <row r="328" ht="14.25" customHeight="1">
      <c r="A328" s="132"/>
      <c r="B328" s="1506">
        <v>46315</v>
      </c>
      <c r="C328" s="136"/>
      <c r="D328" s="136"/>
      <c r="E328" s="135"/>
      <c r="F328" s="135"/>
      <c r="G328" s="147">
        <f t="shared" si="109"/>
        <v>0</v>
      </c>
      <c r="H328" s="144"/>
      <c r="I328" s="143"/>
      <c r="J328" s="143"/>
      <c r="K328" s="143"/>
      <c r="L328" s="143"/>
      <c r="M328" s="103">
        <f t="shared" si="110"/>
        <v>0</v>
      </c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03">
        <f t="shared" si="111"/>
        <v>0</v>
      </c>
      <c r="AA328" s="136"/>
      <c r="AB328" s="136"/>
      <c r="AC328" s="136"/>
      <c r="AD328" s="105">
        <f t="shared" si="112"/>
        <v>0</v>
      </c>
      <c r="AE328" s="143"/>
      <c r="AF328" s="143"/>
      <c r="AG328" s="146"/>
      <c r="AH328" s="224" t="e">
        <f t="shared" si="113"/>
        <v>#REF!</v>
      </c>
      <c r="AI328" s="126"/>
      <c r="AJ328" s="274"/>
      <c r="AK328" s="274"/>
      <c r="AL328" s="126"/>
      <c r="AM328" s="126"/>
      <c r="AN328" s="126"/>
      <c r="AO328" s="126"/>
      <c r="AP328" s="274"/>
      <c r="AQ328" s="274"/>
      <c r="AR328" s="274"/>
      <c r="AS328" s="274"/>
      <c r="AT328" s="222">
        <f t="shared" si="114"/>
        <v>0</v>
      </c>
      <c r="AU328" s="140" t="e">
        <f t="shared" si="115"/>
        <v>#REF!</v>
      </c>
      <c r="AV328" s="132"/>
      <c r="AW328" s="140">
        <f t="shared" si="116"/>
        <v>0</v>
      </c>
      <c r="AX328" s="141"/>
      <c r="AY328" s="141"/>
      <c r="AZ328" s="141"/>
      <c r="BA328" s="141"/>
      <c r="BB328" s="141"/>
      <c r="BC328" s="130" t="e">
        <f t="shared" si="117"/>
        <v>#REF!</v>
      </c>
      <c r="BD328" s="132"/>
    </row>
    <row r="329" ht="14.25" customHeight="1">
      <c r="A329" s="132"/>
      <c r="B329" s="1506">
        <v>46316</v>
      </c>
      <c r="C329" s="136"/>
      <c r="D329" s="136"/>
      <c r="E329" s="135"/>
      <c r="F329" s="135"/>
      <c r="G329" s="147">
        <f t="shared" si="109"/>
        <v>0</v>
      </c>
      <c r="H329" s="144"/>
      <c r="I329" s="143"/>
      <c r="J329" s="143"/>
      <c r="K329" s="143"/>
      <c r="L329" s="143"/>
      <c r="M329" s="103">
        <f t="shared" si="110"/>
        <v>0</v>
      </c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03">
        <f t="shared" si="111"/>
        <v>0</v>
      </c>
      <c r="AA329" s="136"/>
      <c r="AB329" s="136"/>
      <c r="AC329" s="136"/>
      <c r="AD329" s="105">
        <f t="shared" si="112"/>
        <v>0</v>
      </c>
      <c r="AE329" s="143"/>
      <c r="AF329" s="143"/>
      <c r="AG329" s="146"/>
      <c r="AH329" s="224" t="e">
        <f t="shared" si="113"/>
        <v>#REF!</v>
      </c>
      <c r="AI329" s="126"/>
      <c r="AJ329" s="274"/>
      <c r="AK329" s="274"/>
      <c r="AL329" s="126"/>
      <c r="AM329" s="126"/>
      <c r="AN329" s="126"/>
      <c r="AO329" s="126"/>
      <c r="AP329" s="274"/>
      <c r="AQ329" s="274"/>
      <c r="AR329" s="274"/>
      <c r="AS329" s="274"/>
      <c r="AT329" s="222">
        <f t="shared" si="114"/>
        <v>0</v>
      </c>
      <c r="AU329" s="140" t="e">
        <f t="shared" si="115"/>
        <v>#REF!</v>
      </c>
      <c r="AV329" s="132"/>
      <c r="AW329" s="140">
        <f t="shared" si="116"/>
        <v>0</v>
      </c>
      <c r="AX329" s="141"/>
      <c r="AY329" s="141"/>
      <c r="AZ329" s="141"/>
      <c r="BA329" s="141"/>
      <c r="BB329" s="141"/>
      <c r="BC329" s="130" t="e">
        <f t="shared" si="117"/>
        <v>#REF!</v>
      </c>
      <c r="BD329" s="132"/>
    </row>
    <row r="330" ht="14.25" customHeight="1">
      <c r="A330" s="132"/>
      <c r="B330" s="1506">
        <v>46317</v>
      </c>
      <c r="C330" s="136"/>
      <c r="D330" s="136"/>
      <c r="E330" s="135"/>
      <c r="F330" s="135"/>
      <c r="G330" s="147">
        <f t="shared" si="109"/>
        <v>0</v>
      </c>
      <c r="H330" s="144"/>
      <c r="I330" s="143"/>
      <c r="J330" s="143"/>
      <c r="K330" s="143"/>
      <c r="L330" s="143"/>
      <c r="M330" s="103">
        <f t="shared" si="110"/>
        <v>0</v>
      </c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03">
        <f t="shared" si="111"/>
        <v>0</v>
      </c>
      <c r="AA330" s="136"/>
      <c r="AB330" s="136"/>
      <c r="AC330" s="136"/>
      <c r="AD330" s="105">
        <f t="shared" si="112"/>
        <v>0</v>
      </c>
      <c r="AE330" s="143"/>
      <c r="AF330" s="143"/>
      <c r="AG330" s="146"/>
      <c r="AH330" s="224" t="e">
        <f t="shared" si="113"/>
        <v>#REF!</v>
      </c>
      <c r="AI330" s="126"/>
      <c r="AJ330" s="274"/>
      <c r="AK330" s="274"/>
      <c r="AL330" s="126"/>
      <c r="AM330" s="126"/>
      <c r="AN330" s="126"/>
      <c r="AO330" s="126"/>
      <c r="AP330" s="274"/>
      <c r="AQ330" s="274"/>
      <c r="AR330" s="274"/>
      <c r="AS330" s="274"/>
      <c r="AT330" s="222">
        <f t="shared" si="114"/>
        <v>0</v>
      </c>
      <c r="AU330" s="140" t="e">
        <f t="shared" si="115"/>
        <v>#REF!</v>
      </c>
      <c r="AV330" s="132"/>
      <c r="AW330" s="140">
        <f t="shared" si="116"/>
        <v>0</v>
      </c>
      <c r="AX330" s="141"/>
      <c r="AY330" s="141"/>
      <c r="AZ330" s="141"/>
      <c r="BA330" s="141"/>
      <c r="BB330" s="141"/>
      <c r="BC330" s="130" t="e">
        <f t="shared" si="117"/>
        <v>#REF!</v>
      </c>
      <c r="BD330" s="132"/>
    </row>
    <row r="331" ht="14.25" customHeight="1">
      <c r="A331" s="132"/>
      <c r="B331" s="1506">
        <v>46318</v>
      </c>
      <c r="C331" s="136"/>
      <c r="D331" s="136"/>
      <c r="E331" s="135"/>
      <c r="F331" s="135"/>
      <c r="G331" s="147">
        <f t="shared" si="109"/>
        <v>0</v>
      </c>
      <c r="H331" s="144"/>
      <c r="I331" s="143"/>
      <c r="J331" s="143"/>
      <c r="K331" s="143"/>
      <c r="L331" s="143"/>
      <c r="M331" s="103">
        <f t="shared" si="110"/>
        <v>0</v>
      </c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03">
        <f t="shared" si="111"/>
        <v>0</v>
      </c>
      <c r="AA331" s="136"/>
      <c r="AB331" s="136"/>
      <c r="AC331" s="136"/>
      <c r="AD331" s="105">
        <f t="shared" si="112"/>
        <v>0</v>
      </c>
      <c r="AE331" s="143"/>
      <c r="AF331" s="143"/>
      <c r="AG331" s="146"/>
      <c r="AH331" s="224" t="e">
        <f t="shared" si="113"/>
        <v>#REF!</v>
      </c>
      <c r="AI331" s="126"/>
      <c r="AJ331" s="274"/>
      <c r="AK331" s="274"/>
      <c r="AL331" s="126"/>
      <c r="AM331" s="126"/>
      <c r="AN331" s="126"/>
      <c r="AO331" s="126"/>
      <c r="AP331" s="274"/>
      <c r="AQ331" s="274"/>
      <c r="AR331" s="274"/>
      <c r="AS331" s="274"/>
      <c r="AT331" s="222">
        <f t="shared" si="114"/>
        <v>0</v>
      </c>
      <c r="AU331" s="140" t="e">
        <f t="shared" si="115"/>
        <v>#REF!</v>
      </c>
      <c r="AV331" s="132"/>
      <c r="AW331" s="140">
        <f t="shared" si="116"/>
        <v>0</v>
      </c>
      <c r="AX331" s="141"/>
      <c r="AY331" s="141"/>
      <c r="AZ331" s="141"/>
      <c r="BA331" s="141"/>
      <c r="BB331" s="141"/>
      <c r="BC331" s="130" t="e">
        <f t="shared" si="117"/>
        <v>#REF!</v>
      </c>
      <c r="BD331" s="132"/>
    </row>
    <row r="332" ht="14.25" customHeight="1">
      <c r="A332" s="132"/>
      <c r="B332" s="1506">
        <v>46319</v>
      </c>
      <c r="C332" s="136"/>
      <c r="D332" s="136"/>
      <c r="E332" s="135"/>
      <c r="F332" s="135"/>
      <c r="G332" s="147">
        <f t="shared" si="109"/>
        <v>0</v>
      </c>
      <c r="H332" s="144"/>
      <c r="I332" s="143"/>
      <c r="J332" s="143"/>
      <c r="K332" s="143"/>
      <c r="L332" s="143"/>
      <c r="M332" s="103">
        <f t="shared" si="110"/>
        <v>0</v>
      </c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03">
        <f t="shared" si="111"/>
        <v>0</v>
      </c>
      <c r="AA332" s="136"/>
      <c r="AB332" s="136"/>
      <c r="AC332" s="136"/>
      <c r="AD332" s="105">
        <f t="shared" si="112"/>
        <v>0</v>
      </c>
      <c r="AE332" s="143"/>
      <c r="AF332" s="143"/>
      <c r="AG332" s="146"/>
      <c r="AH332" s="224" t="e">
        <f t="shared" si="113"/>
        <v>#REF!</v>
      </c>
      <c r="AI332" s="126"/>
      <c r="AJ332" s="274"/>
      <c r="AK332" s="274"/>
      <c r="AL332" s="126"/>
      <c r="AM332" s="126"/>
      <c r="AN332" s="126"/>
      <c r="AO332" s="126"/>
      <c r="AP332" s="274"/>
      <c r="AQ332" s="274"/>
      <c r="AR332" s="274"/>
      <c r="AS332" s="274"/>
      <c r="AT332" s="222">
        <f t="shared" si="114"/>
        <v>0</v>
      </c>
      <c r="AU332" s="140" t="e">
        <f t="shared" si="115"/>
        <v>#REF!</v>
      </c>
      <c r="AV332" s="132"/>
      <c r="AW332" s="140">
        <f t="shared" si="116"/>
        <v>0</v>
      </c>
      <c r="AX332" s="141"/>
      <c r="AY332" s="141"/>
      <c r="AZ332" s="141"/>
      <c r="BA332" s="141"/>
      <c r="BB332" s="141"/>
      <c r="BC332" s="130" t="e">
        <f t="shared" si="117"/>
        <v>#REF!</v>
      </c>
      <c r="BD332" s="132"/>
    </row>
    <row r="333" ht="14.25" customHeight="1">
      <c r="A333" s="132"/>
      <c r="B333" s="1506">
        <v>46320</v>
      </c>
      <c r="C333" s="136"/>
      <c r="D333" s="136"/>
      <c r="E333" s="135"/>
      <c r="F333" s="135"/>
      <c r="G333" s="147">
        <f t="shared" si="109"/>
        <v>0</v>
      </c>
      <c r="H333" s="144"/>
      <c r="I333" s="143"/>
      <c r="J333" s="143"/>
      <c r="K333" s="143"/>
      <c r="L333" s="143"/>
      <c r="M333" s="103">
        <f t="shared" si="110"/>
        <v>0</v>
      </c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03">
        <f t="shared" si="111"/>
        <v>0</v>
      </c>
      <c r="AA333" s="136"/>
      <c r="AB333" s="136"/>
      <c r="AC333" s="136"/>
      <c r="AD333" s="105">
        <f t="shared" si="112"/>
        <v>0</v>
      </c>
      <c r="AE333" s="143"/>
      <c r="AF333" s="143"/>
      <c r="AG333" s="146"/>
      <c r="AH333" s="224" t="e">
        <f t="shared" si="113"/>
        <v>#REF!</v>
      </c>
      <c r="AI333" s="126"/>
      <c r="AJ333" s="274"/>
      <c r="AK333" s="274"/>
      <c r="AL333" s="126"/>
      <c r="AM333" s="126"/>
      <c r="AN333" s="126"/>
      <c r="AO333" s="126"/>
      <c r="AP333" s="274"/>
      <c r="AQ333" s="274"/>
      <c r="AR333" s="274"/>
      <c r="AS333" s="274"/>
      <c r="AT333" s="222">
        <f t="shared" si="114"/>
        <v>0</v>
      </c>
      <c r="AU333" s="140" t="e">
        <f t="shared" si="115"/>
        <v>#REF!</v>
      </c>
      <c r="AV333" s="132"/>
      <c r="AW333" s="140">
        <f t="shared" si="116"/>
        <v>0</v>
      </c>
      <c r="AX333" s="141"/>
      <c r="AY333" s="141"/>
      <c r="AZ333" s="141"/>
      <c r="BA333" s="141"/>
      <c r="BB333" s="141"/>
      <c r="BC333" s="130" t="e">
        <f t="shared" si="117"/>
        <v>#REF!</v>
      </c>
      <c r="BD333" s="132"/>
    </row>
    <row r="334" ht="14.25" customHeight="1">
      <c r="A334" s="132"/>
      <c r="B334" s="1506">
        <v>46321</v>
      </c>
      <c r="C334" s="136"/>
      <c r="D334" s="136"/>
      <c r="E334" s="135"/>
      <c r="F334" s="135"/>
      <c r="G334" s="147">
        <f t="shared" si="109"/>
        <v>0</v>
      </c>
      <c r="H334" s="144"/>
      <c r="I334" s="143"/>
      <c r="J334" s="143"/>
      <c r="K334" s="143"/>
      <c r="L334" s="143"/>
      <c r="M334" s="103">
        <f t="shared" si="110"/>
        <v>0</v>
      </c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03">
        <f t="shared" si="111"/>
        <v>0</v>
      </c>
      <c r="AA334" s="136"/>
      <c r="AB334" s="136"/>
      <c r="AC334" s="136"/>
      <c r="AD334" s="105">
        <f t="shared" si="112"/>
        <v>0</v>
      </c>
      <c r="AE334" s="143"/>
      <c r="AF334" s="143"/>
      <c r="AG334" s="146"/>
      <c r="AH334" s="224" t="e">
        <f t="shared" si="113"/>
        <v>#REF!</v>
      </c>
      <c r="AI334" s="126"/>
      <c r="AJ334" s="274"/>
      <c r="AK334" s="274"/>
      <c r="AL334" s="126"/>
      <c r="AM334" s="126"/>
      <c r="AN334" s="126"/>
      <c r="AO334" s="126"/>
      <c r="AP334" s="274"/>
      <c r="AQ334" s="274"/>
      <c r="AR334" s="274"/>
      <c r="AS334" s="274"/>
      <c r="AT334" s="222">
        <f t="shared" si="114"/>
        <v>0</v>
      </c>
      <c r="AU334" s="140" t="e">
        <f t="shared" si="115"/>
        <v>#REF!</v>
      </c>
      <c r="AV334" s="132"/>
      <c r="AW334" s="140">
        <f t="shared" si="116"/>
        <v>0</v>
      </c>
      <c r="AX334" s="141"/>
      <c r="AY334" s="141"/>
      <c r="AZ334" s="141"/>
      <c r="BA334" s="141"/>
      <c r="BB334" s="141"/>
      <c r="BC334" s="130" t="e">
        <f t="shared" si="117"/>
        <v>#REF!</v>
      </c>
      <c r="BD334" s="132"/>
    </row>
    <row r="335" ht="14.25" customHeight="1">
      <c r="A335" s="132"/>
      <c r="B335" s="1506">
        <v>46322</v>
      </c>
      <c r="C335" s="136"/>
      <c r="D335" s="136"/>
      <c r="E335" s="135"/>
      <c r="F335" s="135"/>
      <c r="G335" s="147">
        <f t="shared" si="109"/>
        <v>0</v>
      </c>
      <c r="H335" s="144"/>
      <c r="I335" s="143"/>
      <c r="J335" s="143"/>
      <c r="K335" s="143"/>
      <c r="L335" s="143"/>
      <c r="M335" s="103">
        <f t="shared" si="110"/>
        <v>0</v>
      </c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03">
        <f t="shared" si="111"/>
        <v>0</v>
      </c>
      <c r="AA335" s="136"/>
      <c r="AB335" s="136"/>
      <c r="AC335" s="136"/>
      <c r="AD335" s="105">
        <f t="shared" si="112"/>
        <v>0</v>
      </c>
      <c r="AE335" s="143"/>
      <c r="AF335" s="143"/>
      <c r="AG335" s="146"/>
      <c r="AH335" s="224" t="e">
        <f t="shared" si="113"/>
        <v>#REF!</v>
      </c>
      <c r="AI335" s="126"/>
      <c r="AJ335" s="274"/>
      <c r="AK335" s="274"/>
      <c r="AL335" s="126"/>
      <c r="AM335" s="126"/>
      <c r="AN335" s="126"/>
      <c r="AO335" s="126"/>
      <c r="AP335" s="274"/>
      <c r="AQ335" s="274"/>
      <c r="AR335" s="274"/>
      <c r="AS335" s="274"/>
      <c r="AT335" s="222">
        <f t="shared" si="114"/>
        <v>0</v>
      </c>
      <c r="AU335" s="140" t="e">
        <f t="shared" si="115"/>
        <v>#REF!</v>
      </c>
      <c r="AV335" s="132"/>
      <c r="AW335" s="140">
        <f t="shared" si="116"/>
        <v>0</v>
      </c>
      <c r="AX335" s="141"/>
      <c r="AY335" s="141"/>
      <c r="AZ335" s="141"/>
      <c r="BA335" s="141"/>
      <c r="BB335" s="141"/>
      <c r="BC335" s="130" t="e">
        <f t="shared" si="117"/>
        <v>#REF!</v>
      </c>
      <c r="BD335" s="132"/>
    </row>
    <row r="336" ht="14.25" customHeight="1">
      <c r="A336" s="132"/>
      <c r="B336" s="1506">
        <v>46323</v>
      </c>
      <c r="C336" s="136"/>
      <c r="D336" s="136"/>
      <c r="E336" s="135"/>
      <c r="F336" s="135"/>
      <c r="G336" s="147">
        <f t="shared" si="109"/>
        <v>0</v>
      </c>
      <c r="H336" s="144"/>
      <c r="I336" s="143"/>
      <c r="J336" s="143"/>
      <c r="K336" s="143"/>
      <c r="L336" s="143"/>
      <c r="M336" s="103">
        <f t="shared" si="110"/>
        <v>0</v>
      </c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03">
        <f t="shared" si="111"/>
        <v>0</v>
      </c>
      <c r="AA336" s="136"/>
      <c r="AB336" s="136"/>
      <c r="AC336" s="136"/>
      <c r="AD336" s="105">
        <f t="shared" si="112"/>
        <v>0</v>
      </c>
      <c r="AE336" s="143"/>
      <c r="AF336" s="143"/>
      <c r="AG336" s="146"/>
      <c r="AH336" s="224" t="e">
        <f t="shared" si="113"/>
        <v>#REF!</v>
      </c>
      <c r="AI336" s="126"/>
      <c r="AJ336" s="274"/>
      <c r="AK336" s="274"/>
      <c r="AL336" s="126"/>
      <c r="AM336" s="126"/>
      <c r="AN336" s="126"/>
      <c r="AO336" s="126"/>
      <c r="AP336" s="274"/>
      <c r="AQ336" s="274"/>
      <c r="AR336" s="274"/>
      <c r="AS336" s="274"/>
      <c r="AT336" s="222">
        <f t="shared" si="114"/>
        <v>0</v>
      </c>
      <c r="AU336" s="140" t="e">
        <f t="shared" si="115"/>
        <v>#REF!</v>
      </c>
      <c r="AV336" s="132"/>
      <c r="AW336" s="140">
        <f t="shared" si="116"/>
        <v>0</v>
      </c>
      <c r="AX336" s="141"/>
      <c r="AY336" s="141"/>
      <c r="AZ336" s="141"/>
      <c r="BA336" s="141"/>
      <c r="BB336" s="141"/>
      <c r="BC336" s="130" t="e">
        <f t="shared" si="117"/>
        <v>#REF!</v>
      </c>
      <c r="BD336" s="132"/>
    </row>
    <row r="337" ht="14.25" customHeight="1">
      <c r="A337" s="132"/>
      <c r="B337" s="1506">
        <v>46324</v>
      </c>
      <c r="C337" s="1534"/>
      <c r="D337" s="136"/>
      <c r="E337" s="135"/>
      <c r="F337" s="135"/>
      <c r="G337" s="147">
        <f t="shared" si="109"/>
        <v>0</v>
      </c>
      <c r="H337" s="144"/>
      <c r="I337" s="143"/>
      <c r="J337" s="143"/>
      <c r="K337" s="143"/>
      <c r="L337" s="143"/>
      <c r="M337" s="103">
        <f t="shared" si="110"/>
        <v>0</v>
      </c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03">
        <f t="shared" si="111"/>
        <v>0</v>
      </c>
      <c r="AA337" s="136"/>
      <c r="AB337" s="136"/>
      <c r="AC337" s="136"/>
      <c r="AD337" s="105">
        <f t="shared" si="112"/>
        <v>0</v>
      </c>
      <c r="AE337" s="143"/>
      <c r="AF337" s="143"/>
      <c r="AG337" s="146"/>
      <c r="AH337" s="224" t="e">
        <f t="shared" si="113"/>
        <v>#REF!</v>
      </c>
      <c r="AI337" s="126"/>
      <c r="AJ337" s="274"/>
      <c r="AK337" s="274"/>
      <c r="AL337" s="126"/>
      <c r="AM337" s="126"/>
      <c r="AN337" s="126"/>
      <c r="AO337" s="126"/>
      <c r="AP337" s="274"/>
      <c r="AQ337" s="274"/>
      <c r="AR337" s="274"/>
      <c r="AS337" s="274"/>
      <c r="AT337" s="222">
        <f t="shared" si="114"/>
        <v>0</v>
      </c>
      <c r="AU337" s="140" t="e">
        <f t="shared" si="115"/>
        <v>#REF!</v>
      </c>
      <c r="AV337" s="132"/>
      <c r="AW337" s="140">
        <f t="shared" si="116"/>
        <v>0</v>
      </c>
      <c r="AX337" s="141"/>
      <c r="AY337" s="141"/>
      <c r="AZ337" s="141"/>
      <c r="BA337" s="141"/>
      <c r="BB337" s="141"/>
      <c r="BC337" s="130" t="e">
        <f t="shared" si="117"/>
        <v>#REF!</v>
      </c>
      <c r="BD337" s="132"/>
    </row>
    <row r="338" ht="14.25" customHeight="1">
      <c r="A338" s="132"/>
      <c r="B338" s="1506">
        <v>46325</v>
      </c>
      <c r="C338" s="136"/>
      <c r="D338" s="136"/>
      <c r="E338" s="135"/>
      <c r="F338" s="135"/>
      <c r="G338" s="147">
        <f t="shared" si="109"/>
        <v>0</v>
      </c>
      <c r="H338" s="144"/>
      <c r="I338" s="143"/>
      <c r="J338" s="143"/>
      <c r="K338" s="143"/>
      <c r="L338" s="143"/>
      <c r="M338" s="103">
        <f t="shared" si="110"/>
        <v>0</v>
      </c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03">
        <f t="shared" si="111"/>
        <v>0</v>
      </c>
      <c r="AA338" s="136"/>
      <c r="AB338" s="136"/>
      <c r="AC338" s="136"/>
      <c r="AD338" s="105">
        <f t="shared" si="112"/>
        <v>0</v>
      </c>
      <c r="AE338" s="143"/>
      <c r="AF338" s="143"/>
      <c r="AG338" s="146"/>
      <c r="AH338" s="224" t="e">
        <f t="shared" si="113"/>
        <v>#REF!</v>
      </c>
      <c r="AI338" s="126"/>
      <c r="AJ338" s="274"/>
      <c r="AK338" s="274"/>
      <c r="AL338" s="126"/>
      <c r="AM338" s="126"/>
      <c r="AN338" s="126"/>
      <c r="AO338" s="126"/>
      <c r="AP338" s="274"/>
      <c r="AQ338" s="274"/>
      <c r="AR338" s="274"/>
      <c r="AS338" s="274"/>
      <c r="AT338" s="222">
        <f t="shared" si="114"/>
        <v>0</v>
      </c>
      <c r="AU338" s="140" t="e">
        <f t="shared" si="115"/>
        <v>#REF!</v>
      </c>
      <c r="AV338" s="132"/>
      <c r="AW338" s="140">
        <f t="shared" si="116"/>
        <v>0</v>
      </c>
      <c r="AX338" s="141"/>
      <c r="AY338" s="141"/>
      <c r="AZ338" s="141"/>
      <c r="BA338" s="141"/>
      <c r="BB338" s="141"/>
      <c r="BC338" s="130" t="e">
        <f t="shared" si="117"/>
        <v>#REF!</v>
      </c>
      <c r="BD338" s="132"/>
    </row>
    <row r="339" ht="14.25" customHeight="1">
      <c r="A339" s="132"/>
      <c r="B339" s="1506">
        <v>46326</v>
      </c>
      <c r="C339" s="159"/>
      <c r="D339" s="159"/>
      <c r="E339" s="156"/>
      <c r="F339" s="156"/>
      <c r="G339" s="147">
        <f t="shared" si="109"/>
        <v>0</v>
      </c>
      <c r="H339" s="612"/>
      <c r="I339" s="157"/>
      <c r="J339" s="157"/>
      <c r="K339" s="157"/>
      <c r="L339" s="157"/>
      <c r="M339" s="103">
        <f t="shared" si="110"/>
        <v>0</v>
      </c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03">
        <f t="shared" si="111"/>
        <v>0</v>
      </c>
      <c r="AA339" s="159"/>
      <c r="AB339" s="159"/>
      <c r="AC339" s="159"/>
      <c r="AD339" s="105">
        <f t="shared" si="112"/>
        <v>0</v>
      </c>
      <c r="AE339" s="157"/>
      <c r="AF339" s="157"/>
      <c r="AG339" s="160"/>
      <c r="AH339" s="224" t="e">
        <f t="shared" si="113"/>
        <v>#REF!</v>
      </c>
      <c r="AI339" s="138"/>
      <c r="AJ339" s="296"/>
      <c r="AK339" s="296"/>
      <c r="AL339" s="138"/>
      <c r="AM339" s="126"/>
      <c r="AN339" s="126"/>
      <c r="AO339" s="138"/>
      <c r="AP339" s="296"/>
      <c r="AQ339" s="296"/>
      <c r="AR339" s="296"/>
      <c r="AS339" s="296"/>
      <c r="AT339" s="222">
        <f t="shared" si="114"/>
        <v>0</v>
      </c>
      <c r="AU339" s="162" t="e">
        <f t="shared" si="115"/>
        <v>#REF!</v>
      </c>
      <c r="AV339" s="132"/>
      <c r="AW339" s="162">
        <f t="shared" si="116"/>
        <v>0</v>
      </c>
      <c r="AX339" s="163"/>
      <c r="AY339" s="163"/>
      <c r="AZ339" s="141"/>
      <c r="BA339" s="163"/>
      <c r="BB339" s="163"/>
      <c r="BC339" s="164" t="e">
        <f t="shared" si="117"/>
        <v>#REF!</v>
      </c>
      <c r="BD339" s="132"/>
    </row>
    <row r="340" ht="14.25" customHeight="1">
      <c r="A340" s="3"/>
      <c r="B340" s="1528" t="s">
        <v>84</v>
      </c>
      <c r="C340" s="166">
        <f ref="C340:H340" t="shared" si="118">SUM(C309:C339)</f>
        <v>0</v>
      </c>
      <c r="D340" s="166">
        <f t="shared" si="118"/>
        <v>0</v>
      </c>
      <c r="E340" s="166">
        <f t="shared" si="118"/>
        <v>0</v>
      </c>
      <c r="F340" s="166">
        <f t="shared" si="118"/>
        <v>0</v>
      </c>
      <c r="G340" s="166">
        <f t="shared" si="118"/>
        <v>0</v>
      </c>
      <c r="H340" s="166">
        <f t="shared" si="118"/>
        <v>0</v>
      </c>
      <c r="I340" s="166"/>
      <c r="J340" s="166"/>
      <c r="K340" s="166"/>
      <c r="L340" s="166">
        <f ref="L340:AA340" t="shared" si="119">SUM(L309:L339)</f>
        <v>0</v>
      </c>
      <c r="M340" s="166">
        <f t="shared" si="119"/>
        <v>0</v>
      </c>
      <c r="N340" s="166">
        <f t="shared" si="119"/>
        <v>0</v>
      </c>
      <c r="O340" s="166">
        <f t="shared" si="119"/>
        <v>0</v>
      </c>
      <c r="P340" s="166">
        <f t="shared" si="119"/>
        <v>0</v>
      </c>
      <c r="Q340" s="166">
        <f t="shared" si="119"/>
        <v>0</v>
      </c>
      <c r="R340" s="166">
        <f t="shared" si="119"/>
        <v>0</v>
      </c>
      <c r="S340" s="166">
        <f t="shared" si="119"/>
        <v>0</v>
      </c>
      <c r="T340" s="166">
        <f t="shared" si="119"/>
        <v>0</v>
      </c>
      <c r="U340" s="166">
        <f t="shared" si="119"/>
        <v>0</v>
      </c>
      <c r="V340" s="166">
        <f t="shared" si="119"/>
        <v>0</v>
      </c>
      <c r="W340" s="166">
        <f t="shared" si="119"/>
        <v>0</v>
      </c>
      <c r="X340" s="166">
        <f t="shared" si="119"/>
        <v>0</v>
      </c>
      <c r="Y340" s="166">
        <f t="shared" si="119"/>
        <v>0</v>
      </c>
      <c r="Z340" s="166">
        <f t="shared" si="119"/>
        <v>0</v>
      </c>
      <c r="AA340" s="166">
        <f t="shared" si="119"/>
        <v>0</v>
      </c>
      <c r="AB340" s="166"/>
      <c r="AC340" s="166"/>
      <c r="AD340" s="166">
        <f ref="AD340:AE340" t="shared" si="120">SUM(AD309:AD339)</f>
        <v>0</v>
      </c>
      <c r="AE340" s="166">
        <f t="shared" si="120"/>
        <v>0</v>
      </c>
      <c r="AF340" s="166"/>
      <c r="AG340" s="166"/>
      <c r="AH340" s="166" t="e">
        <f ref="AH340:AK340" t="shared" si="121">SUM(AH309:AH339)</f>
        <v>#REF!</v>
      </c>
      <c r="AI340" s="165">
        <f t="shared" si="121"/>
        <v>0</v>
      </c>
      <c r="AJ340" s="166">
        <f t="shared" si="121"/>
        <v>0</v>
      </c>
      <c r="AK340" s="166">
        <f t="shared" si="121"/>
        <v>0</v>
      </c>
      <c r="AL340" s="166"/>
      <c r="AM340" s="166"/>
      <c r="AN340" s="166"/>
      <c r="AO340" s="166"/>
      <c r="AP340" s="166"/>
      <c r="AQ340" s="166"/>
      <c r="AR340" s="166"/>
      <c r="AS340" s="166"/>
      <c r="AT340" s="166">
        <f ref="AT340:AW340" t="shared" si="122">SUM(AT309:AT339)</f>
        <v>0</v>
      </c>
      <c r="AU340" s="166" t="e">
        <f t="shared" si="122"/>
        <v>#REF!</v>
      </c>
      <c r="AV340" s="166">
        <f t="shared" si="122"/>
        <v>0</v>
      </c>
      <c r="AW340" s="166">
        <f t="shared" si="122"/>
        <v>0</v>
      </c>
      <c r="AX340" s="166"/>
      <c r="AY340" s="166"/>
      <c r="AZ340" s="166">
        <f ref="AZ340:BA340" t="shared" si="123">SUM(AZ309:AZ339)</f>
        <v>0</v>
      </c>
      <c r="BA340" s="166">
        <f t="shared" si="123"/>
        <v>0</v>
      </c>
      <c r="BB340" s="166"/>
      <c r="BC340" s="166" t="e">
        <f>SUM(BC309:BC339)</f>
        <v>#REF!</v>
      </c>
      <c r="BD340" s="3"/>
    </row>
    <row r="341" ht="14.25" customHeight="1">
      <c r="A341" s="1"/>
      <c r="B341" s="1495"/>
      <c r="C341" s="3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4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4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ht="14.25" customHeight="1">
      <c r="A342" s="1"/>
      <c r="B342" s="1495"/>
      <c r="C342" s="3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176"/>
      <c r="AA342" s="3"/>
      <c r="AB342" s="3"/>
      <c r="AC342" s="3"/>
      <c r="AD342" s="4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05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ht="14.25" customHeight="1">
      <c r="A343" s="3"/>
      <c r="B343" s="1506">
        <v>46327</v>
      </c>
      <c r="C343" s="104"/>
      <c r="D343" s="104"/>
      <c r="E343" s="97"/>
      <c r="F343" s="97"/>
      <c r="G343" s="265">
        <f ref="G343:G372" t="shared" si="124">+C343+D343+E343+F343</f>
        <v>0</v>
      </c>
      <c r="H343" s="187"/>
      <c r="I343" s="186"/>
      <c r="J343" s="186"/>
      <c r="K343" s="186"/>
      <c r="L343" s="186"/>
      <c r="M343" s="103">
        <f ref="M343:M372" t="shared" si="125">SUM(H343:L343)</f>
        <v>0</v>
      </c>
      <c r="N343" s="186"/>
      <c r="O343" s="186"/>
      <c r="P343" s="186"/>
      <c r="Q343" s="186"/>
      <c r="R343" s="186"/>
      <c r="S343" s="186"/>
      <c r="T343" s="186"/>
      <c r="U343" s="186"/>
      <c r="V343" s="186"/>
      <c r="W343" s="186"/>
      <c r="X343" s="186"/>
      <c r="Y343" s="186"/>
      <c r="Z343" s="103">
        <f ref="Z343:Z372" t="shared" si="126">SUM(N343:Y343)</f>
        <v>0</v>
      </c>
      <c r="AA343" s="104"/>
      <c r="AB343" s="104"/>
      <c r="AC343" s="104"/>
      <c r="AD343" s="191">
        <f ref="AD343:AD372" t="shared" si="127">SUM(AA343:AC343)</f>
        <v>0</v>
      </c>
      <c r="AE343" s="186"/>
      <c r="AF343" s="186"/>
      <c r="AG343" s="193"/>
      <c r="AH343" s="266" t="e">
        <f ref="AH343:AH372" t="shared" si="128">+G343-M343-Z343-AD343-AE343-AF343-#REF!-AG343</f>
        <v>#REF!</v>
      </c>
      <c r="AI343" s="109"/>
      <c r="AJ343" s="269"/>
      <c r="AK343" s="269"/>
      <c r="AL343" s="109"/>
      <c r="AM343" s="109"/>
      <c r="AN343" s="109"/>
      <c r="AO343" s="109"/>
      <c r="AP343" s="269"/>
      <c r="AQ343" s="269"/>
      <c r="AR343" s="269"/>
      <c r="AS343" s="269"/>
      <c r="AT343" s="222">
        <f ref="AT343:AT372" t="shared" si="129">SUM(AI343:AS343)-AR343</f>
        <v>0</v>
      </c>
      <c r="AU343" s="114" t="e">
        <f ref="AU343:AU372" t="shared" si="130">+AH343-AT343</f>
        <v>#REF!</v>
      </c>
      <c r="AV343" s="3"/>
      <c r="AW343" s="114">
        <f ref="AW343:AW372" t="shared" si="131">SUM(AX343:BB343)</f>
        <v>0</v>
      </c>
      <c r="AX343" s="115"/>
      <c r="AY343" s="115"/>
      <c r="AZ343" s="115"/>
      <c r="BA343" s="115"/>
      <c r="BB343" s="115"/>
      <c r="BC343" s="116" t="e">
        <f ref="BC343:BC372" t="shared" si="132">+AU343-AW343</f>
        <v>#REF!</v>
      </c>
      <c r="BD343" s="3"/>
    </row>
    <row r="344" ht="14.25" customHeight="1">
      <c r="A344" s="3"/>
      <c r="B344" s="1506">
        <v>46328</v>
      </c>
      <c r="C344" s="123"/>
      <c r="D344" s="123"/>
      <c r="E344" s="120"/>
      <c r="F344" s="120"/>
      <c r="G344" s="147">
        <f t="shared" si="124"/>
        <v>0</v>
      </c>
      <c r="H344" s="144"/>
      <c r="I344" s="143"/>
      <c r="J344" s="143"/>
      <c r="K344" s="143"/>
      <c r="L344" s="143"/>
      <c r="M344" s="103">
        <f t="shared" si="125"/>
        <v>0</v>
      </c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03">
        <f t="shared" si="126"/>
        <v>0</v>
      </c>
      <c r="AA344" s="123"/>
      <c r="AB344" s="123"/>
      <c r="AC344" s="123"/>
      <c r="AD344" s="105">
        <f t="shared" si="127"/>
        <v>0</v>
      </c>
      <c r="AE344" s="143"/>
      <c r="AF344" s="143"/>
      <c r="AG344" s="146"/>
      <c r="AH344" s="224" t="e">
        <f t="shared" si="128"/>
        <v>#REF!</v>
      </c>
      <c r="AI344" s="126"/>
      <c r="AJ344" s="274"/>
      <c r="AK344" s="274"/>
      <c r="AL344" s="126"/>
      <c r="AM344" s="126"/>
      <c r="AN344" s="126"/>
      <c r="AO344" s="126"/>
      <c r="AP344" s="274"/>
      <c r="AQ344" s="274"/>
      <c r="AR344" s="274"/>
      <c r="AS344" s="274"/>
      <c r="AT344" s="222">
        <f t="shared" si="129"/>
        <v>0</v>
      </c>
      <c r="AU344" s="113" t="e">
        <f t="shared" si="130"/>
        <v>#REF!</v>
      </c>
      <c r="AV344" s="3"/>
      <c r="AW344" s="113">
        <f t="shared" si="131"/>
        <v>0</v>
      </c>
      <c r="AX344" s="129"/>
      <c r="AY344" s="129"/>
      <c r="AZ344" s="129"/>
      <c r="BA344" s="129"/>
      <c r="BB344" s="129"/>
      <c r="BC344" s="130" t="e">
        <f t="shared" si="132"/>
        <v>#REF!</v>
      </c>
      <c r="BD344" s="3"/>
    </row>
    <row r="345" ht="14.25" customHeight="1">
      <c r="A345" s="132"/>
      <c r="B345" s="1506">
        <v>46329</v>
      </c>
      <c r="C345" s="136"/>
      <c r="D345" s="136"/>
      <c r="E345" s="135"/>
      <c r="F345" s="135"/>
      <c r="G345" s="147">
        <f t="shared" si="124"/>
        <v>0</v>
      </c>
      <c r="H345" s="144"/>
      <c r="I345" s="143"/>
      <c r="J345" s="143"/>
      <c r="K345" s="143"/>
      <c r="L345" s="143"/>
      <c r="M345" s="103">
        <f t="shared" si="125"/>
        <v>0</v>
      </c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03">
        <f t="shared" si="126"/>
        <v>0</v>
      </c>
      <c r="AA345" s="136"/>
      <c r="AB345" s="136"/>
      <c r="AC345" s="136"/>
      <c r="AD345" s="105">
        <f t="shared" si="127"/>
        <v>0</v>
      </c>
      <c r="AE345" s="143"/>
      <c r="AF345" s="143"/>
      <c r="AG345" s="146"/>
      <c r="AH345" s="224" t="e">
        <f t="shared" si="128"/>
        <v>#REF!</v>
      </c>
      <c r="AI345" s="126"/>
      <c r="AJ345" s="274"/>
      <c r="AK345" s="274"/>
      <c r="AL345" s="126"/>
      <c r="AM345" s="126"/>
      <c r="AN345" s="126"/>
      <c r="AO345" s="126"/>
      <c r="AP345" s="274"/>
      <c r="AQ345" s="274"/>
      <c r="AR345" s="274"/>
      <c r="AS345" s="274"/>
      <c r="AT345" s="222">
        <f t="shared" si="129"/>
        <v>0</v>
      </c>
      <c r="AU345" s="140" t="e">
        <f t="shared" si="130"/>
        <v>#REF!</v>
      </c>
      <c r="AV345" s="132"/>
      <c r="AW345" s="140">
        <f t="shared" si="131"/>
        <v>0</v>
      </c>
      <c r="AX345" s="141"/>
      <c r="AY345" s="141"/>
      <c r="AZ345" s="141"/>
      <c r="BA345" s="141"/>
      <c r="BB345" s="141"/>
      <c r="BC345" s="130" t="e">
        <f t="shared" si="132"/>
        <v>#REF!</v>
      </c>
      <c r="BD345" s="132"/>
    </row>
    <row r="346" ht="14.25" customHeight="1">
      <c r="A346" s="132"/>
      <c r="B346" s="1506">
        <v>46330</v>
      </c>
      <c r="C346" s="136"/>
      <c r="D346" s="136"/>
      <c r="E346" s="135"/>
      <c r="F346" s="135"/>
      <c r="G346" s="147">
        <f t="shared" si="124"/>
        <v>0</v>
      </c>
      <c r="H346" s="144"/>
      <c r="I346" s="143"/>
      <c r="J346" s="143"/>
      <c r="K346" s="143"/>
      <c r="L346" s="143"/>
      <c r="M346" s="103">
        <f t="shared" si="125"/>
        <v>0</v>
      </c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03">
        <f t="shared" si="126"/>
        <v>0</v>
      </c>
      <c r="AA346" s="136"/>
      <c r="AB346" s="136"/>
      <c r="AC346" s="136"/>
      <c r="AD346" s="105">
        <f t="shared" si="127"/>
        <v>0</v>
      </c>
      <c r="AE346" s="143"/>
      <c r="AF346" s="143"/>
      <c r="AG346" s="146"/>
      <c r="AH346" s="224" t="e">
        <f t="shared" si="128"/>
        <v>#REF!</v>
      </c>
      <c r="AI346" s="126"/>
      <c r="AJ346" s="274"/>
      <c r="AK346" s="274"/>
      <c r="AL346" s="126"/>
      <c r="AM346" s="126"/>
      <c r="AN346" s="126"/>
      <c r="AO346" s="126"/>
      <c r="AP346" s="274"/>
      <c r="AQ346" s="274"/>
      <c r="AR346" s="274"/>
      <c r="AS346" s="274"/>
      <c r="AT346" s="222">
        <f t="shared" si="129"/>
        <v>0</v>
      </c>
      <c r="AU346" s="140" t="e">
        <f t="shared" si="130"/>
        <v>#REF!</v>
      </c>
      <c r="AV346" s="132"/>
      <c r="AW346" s="140">
        <f t="shared" si="131"/>
        <v>0</v>
      </c>
      <c r="AX346" s="141"/>
      <c r="AY346" s="141"/>
      <c r="AZ346" s="141"/>
      <c r="BA346" s="141"/>
      <c r="BB346" s="141"/>
      <c r="BC346" s="130" t="e">
        <f t="shared" si="132"/>
        <v>#REF!</v>
      </c>
      <c r="BD346" s="132"/>
    </row>
    <row r="347" ht="14.25" customHeight="1">
      <c r="A347" s="132"/>
      <c r="B347" s="1506">
        <v>46331</v>
      </c>
      <c r="C347" s="136"/>
      <c r="D347" s="136"/>
      <c r="E347" s="135"/>
      <c r="F347" s="135"/>
      <c r="G347" s="147">
        <f t="shared" si="124"/>
        <v>0</v>
      </c>
      <c r="H347" s="144"/>
      <c r="I347" s="143"/>
      <c r="J347" s="143"/>
      <c r="K347" s="143"/>
      <c r="L347" s="143"/>
      <c r="M347" s="103">
        <f t="shared" si="125"/>
        <v>0</v>
      </c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03">
        <f t="shared" si="126"/>
        <v>0</v>
      </c>
      <c r="AA347" s="136"/>
      <c r="AB347" s="136"/>
      <c r="AC347" s="136"/>
      <c r="AD347" s="105">
        <f t="shared" si="127"/>
        <v>0</v>
      </c>
      <c r="AE347" s="143"/>
      <c r="AF347" s="143"/>
      <c r="AG347" s="146"/>
      <c r="AH347" s="224" t="e">
        <f t="shared" si="128"/>
        <v>#REF!</v>
      </c>
      <c r="AI347" s="126"/>
      <c r="AJ347" s="274"/>
      <c r="AK347" s="274"/>
      <c r="AL347" s="126"/>
      <c r="AM347" s="126"/>
      <c r="AN347" s="126"/>
      <c r="AO347" s="126"/>
      <c r="AP347" s="274"/>
      <c r="AQ347" s="274"/>
      <c r="AR347" s="274"/>
      <c r="AS347" s="274"/>
      <c r="AT347" s="222">
        <f t="shared" si="129"/>
        <v>0</v>
      </c>
      <c r="AU347" s="140" t="e">
        <f t="shared" si="130"/>
        <v>#REF!</v>
      </c>
      <c r="AV347" s="132"/>
      <c r="AW347" s="140">
        <f t="shared" si="131"/>
        <v>0</v>
      </c>
      <c r="AX347" s="141"/>
      <c r="AY347" s="141"/>
      <c r="AZ347" s="141"/>
      <c r="BA347" s="141"/>
      <c r="BB347" s="141"/>
      <c r="BC347" s="130" t="e">
        <f t="shared" si="132"/>
        <v>#REF!</v>
      </c>
      <c r="BD347" s="132"/>
    </row>
    <row r="348" ht="14.25" customHeight="1">
      <c r="A348" s="132"/>
      <c r="B348" s="1506">
        <v>46332</v>
      </c>
      <c r="C348" s="136"/>
      <c r="D348" s="136"/>
      <c r="E348" s="135"/>
      <c r="F348" s="135"/>
      <c r="G348" s="147">
        <f t="shared" si="124"/>
        <v>0</v>
      </c>
      <c r="H348" s="144"/>
      <c r="I348" s="143"/>
      <c r="J348" s="143"/>
      <c r="K348" s="143"/>
      <c r="L348" s="143"/>
      <c r="M348" s="103">
        <f t="shared" si="125"/>
        <v>0</v>
      </c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03">
        <f t="shared" si="126"/>
        <v>0</v>
      </c>
      <c r="AA348" s="136"/>
      <c r="AB348" s="136"/>
      <c r="AC348" s="136"/>
      <c r="AD348" s="105">
        <f t="shared" si="127"/>
        <v>0</v>
      </c>
      <c r="AE348" s="143"/>
      <c r="AF348" s="143"/>
      <c r="AG348" s="146"/>
      <c r="AH348" s="224" t="e">
        <f t="shared" si="128"/>
        <v>#REF!</v>
      </c>
      <c r="AI348" s="126"/>
      <c r="AJ348" s="274"/>
      <c r="AK348" s="274"/>
      <c r="AL348" s="126"/>
      <c r="AM348" s="126"/>
      <c r="AN348" s="126"/>
      <c r="AO348" s="126"/>
      <c r="AP348" s="274"/>
      <c r="AQ348" s="274"/>
      <c r="AR348" s="274"/>
      <c r="AS348" s="274"/>
      <c r="AT348" s="222">
        <f t="shared" si="129"/>
        <v>0</v>
      </c>
      <c r="AU348" s="140" t="e">
        <f t="shared" si="130"/>
        <v>#REF!</v>
      </c>
      <c r="AV348" s="132"/>
      <c r="AW348" s="140">
        <f t="shared" si="131"/>
        <v>0</v>
      </c>
      <c r="AX348" s="141"/>
      <c r="AY348" s="141"/>
      <c r="AZ348" s="141"/>
      <c r="BA348" s="141"/>
      <c r="BB348" s="141"/>
      <c r="BC348" s="130" t="e">
        <f t="shared" si="132"/>
        <v>#REF!</v>
      </c>
      <c r="BD348" s="132"/>
    </row>
    <row r="349" ht="14.25" customHeight="1">
      <c r="A349" s="132"/>
      <c r="B349" s="1506">
        <v>46333</v>
      </c>
      <c r="C349" s="136"/>
      <c r="D349" s="136"/>
      <c r="E349" s="135"/>
      <c r="F349" s="135"/>
      <c r="G349" s="147">
        <f t="shared" si="124"/>
        <v>0</v>
      </c>
      <c r="H349" s="144"/>
      <c r="I349" s="143"/>
      <c r="J349" s="143"/>
      <c r="K349" s="143"/>
      <c r="L349" s="143"/>
      <c r="M349" s="103">
        <f t="shared" si="125"/>
        <v>0</v>
      </c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03">
        <f t="shared" si="126"/>
        <v>0</v>
      </c>
      <c r="AA349" s="136"/>
      <c r="AB349" s="136"/>
      <c r="AC349" s="136"/>
      <c r="AD349" s="105">
        <f t="shared" si="127"/>
        <v>0</v>
      </c>
      <c r="AE349" s="143"/>
      <c r="AF349" s="143"/>
      <c r="AG349" s="146"/>
      <c r="AH349" s="224" t="e">
        <f t="shared" si="128"/>
        <v>#REF!</v>
      </c>
      <c r="AI349" s="126"/>
      <c r="AJ349" s="274"/>
      <c r="AK349" s="274"/>
      <c r="AL349" s="126"/>
      <c r="AM349" s="126"/>
      <c r="AN349" s="126"/>
      <c r="AO349" s="126"/>
      <c r="AP349" s="274"/>
      <c r="AQ349" s="274"/>
      <c r="AR349" s="274"/>
      <c r="AS349" s="274"/>
      <c r="AT349" s="222">
        <f t="shared" si="129"/>
        <v>0</v>
      </c>
      <c r="AU349" s="140" t="e">
        <f t="shared" si="130"/>
        <v>#REF!</v>
      </c>
      <c r="AV349" s="132"/>
      <c r="AW349" s="140">
        <f t="shared" si="131"/>
        <v>0</v>
      </c>
      <c r="AX349" s="141"/>
      <c r="AY349" s="141"/>
      <c r="AZ349" s="141"/>
      <c r="BA349" s="141"/>
      <c r="BB349" s="141"/>
      <c r="BC349" s="130" t="e">
        <f t="shared" si="132"/>
        <v>#REF!</v>
      </c>
      <c r="BD349" s="132"/>
    </row>
    <row r="350" ht="14.25" customHeight="1">
      <c r="A350" s="132"/>
      <c r="B350" s="1506">
        <v>46334</v>
      </c>
      <c r="C350" s="136"/>
      <c r="D350" s="136"/>
      <c r="E350" s="135"/>
      <c r="F350" s="135"/>
      <c r="G350" s="147">
        <f t="shared" si="124"/>
        <v>0</v>
      </c>
      <c r="H350" s="144"/>
      <c r="I350" s="143"/>
      <c r="J350" s="143"/>
      <c r="K350" s="143"/>
      <c r="L350" s="143"/>
      <c r="M350" s="103">
        <f t="shared" si="125"/>
        <v>0</v>
      </c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03">
        <f t="shared" si="126"/>
        <v>0</v>
      </c>
      <c r="AA350" s="136"/>
      <c r="AB350" s="136"/>
      <c r="AC350" s="136"/>
      <c r="AD350" s="105">
        <f t="shared" si="127"/>
        <v>0</v>
      </c>
      <c r="AE350" s="143"/>
      <c r="AF350" s="143"/>
      <c r="AG350" s="146"/>
      <c r="AH350" s="224" t="e">
        <f t="shared" si="128"/>
        <v>#REF!</v>
      </c>
      <c r="AI350" s="126"/>
      <c r="AJ350" s="274"/>
      <c r="AK350" s="274"/>
      <c r="AL350" s="126"/>
      <c r="AM350" s="126"/>
      <c r="AN350" s="126"/>
      <c r="AO350" s="126"/>
      <c r="AP350" s="274"/>
      <c r="AQ350" s="274"/>
      <c r="AR350" s="274"/>
      <c r="AS350" s="274"/>
      <c r="AT350" s="222">
        <f t="shared" si="129"/>
        <v>0</v>
      </c>
      <c r="AU350" s="140" t="e">
        <f t="shared" si="130"/>
        <v>#REF!</v>
      </c>
      <c r="AV350" s="132"/>
      <c r="AW350" s="140">
        <f t="shared" si="131"/>
        <v>0</v>
      </c>
      <c r="AX350" s="141"/>
      <c r="AY350" s="141"/>
      <c r="AZ350" s="141"/>
      <c r="BA350" s="141"/>
      <c r="BB350" s="141"/>
      <c r="BC350" s="130" t="e">
        <f t="shared" si="132"/>
        <v>#REF!</v>
      </c>
      <c r="BD350" s="132"/>
    </row>
    <row r="351" ht="14.25" customHeight="1">
      <c r="A351" s="132"/>
      <c r="B351" s="1506">
        <v>46335</v>
      </c>
      <c r="C351" s="136"/>
      <c r="D351" s="136"/>
      <c r="E351" s="135"/>
      <c r="F351" s="135"/>
      <c r="G351" s="147">
        <f t="shared" si="124"/>
        <v>0</v>
      </c>
      <c r="H351" s="144"/>
      <c r="I351" s="143"/>
      <c r="J351" s="143"/>
      <c r="K351" s="143"/>
      <c r="L351" s="143"/>
      <c r="M351" s="103">
        <f t="shared" si="125"/>
        <v>0</v>
      </c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03">
        <f t="shared" si="126"/>
        <v>0</v>
      </c>
      <c r="AA351" s="136"/>
      <c r="AB351" s="136"/>
      <c r="AC351" s="136"/>
      <c r="AD351" s="105">
        <f t="shared" si="127"/>
        <v>0</v>
      </c>
      <c r="AE351" s="143"/>
      <c r="AF351" s="143"/>
      <c r="AG351" s="146"/>
      <c r="AH351" s="224" t="e">
        <f t="shared" si="128"/>
        <v>#REF!</v>
      </c>
      <c r="AI351" s="126"/>
      <c r="AJ351" s="274"/>
      <c r="AK351" s="274"/>
      <c r="AL351" s="126"/>
      <c r="AM351" s="126"/>
      <c r="AN351" s="126"/>
      <c r="AO351" s="126"/>
      <c r="AP351" s="274"/>
      <c r="AQ351" s="274"/>
      <c r="AR351" s="274"/>
      <c r="AS351" s="274"/>
      <c r="AT351" s="222">
        <f t="shared" si="129"/>
        <v>0</v>
      </c>
      <c r="AU351" s="140" t="e">
        <f t="shared" si="130"/>
        <v>#REF!</v>
      </c>
      <c r="AV351" s="132"/>
      <c r="AW351" s="140">
        <f t="shared" si="131"/>
        <v>0</v>
      </c>
      <c r="AX351" s="141"/>
      <c r="AY351" s="141"/>
      <c r="AZ351" s="141"/>
      <c r="BA351" s="141"/>
      <c r="BB351" s="141"/>
      <c r="BC351" s="130" t="e">
        <f t="shared" si="132"/>
        <v>#REF!</v>
      </c>
      <c r="BD351" s="132"/>
    </row>
    <row r="352" ht="14.25" customHeight="1">
      <c r="A352" s="132"/>
      <c r="B352" s="1506">
        <v>46336</v>
      </c>
      <c r="C352" s="136"/>
      <c r="D352" s="136"/>
      <c r="E352" s="135"/>
      <c r="F352" s="135"/>
      <c r="G352" s="147">
        <f t="shared" si="124"/>
        <v>0</v>
      </c>
      <c r="H352" s="144"/>
      <c r="I352" s="143"/>
      <c r="J352" s="143"/>
      <c r="K352" s="143"/>
      <c r="L352" s="143"/>
      <c r="M352" s="103">
        <f t="shared" si="125"/>
        <v>0</v>
      </c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03">
        <f t="shared" si="126"/>
        <v>0</v>
      </c>
      <c r="AA352" s="136"/>
      <c r="AB352" s="136"/>
      <c r="AC352" s="136"/>
      <c r="AD352" s="105">
        <f t="shared" si="127"/>
        <v>0</v>
      </c>
      <c r="AE352" s="143"/>
      <c r="AF352" s="143"/>
      <c r="AG352" s="146"/>
      <c r="AH352" s="224" t="e">
        <f t="shared" si="128"/>
        <v>#REF!</v>
      </c>
      <c r="AI352" s="126"/>
      <c r="AJ352" s="274"/>
      <c r="AK352" s="274"/>
      <c r="AL352" s="126"/>
      <c r="AM352" s="126"/>
      <c r="AN352" s="126"/>
      <c r="AO352" s="126"/>
      <c r="AP352" s="274"/>
      <c r="AQ352" s="274"/>
      <c r="AR352" s="274"/>
      <c r="AS352" s="274"/>
      <c r="AT352" s="222">
        <f t="shared" si="129"/>
        <v>0</v>
      </c>
      <c r="AU352" s="140" t="e">
        <f t="shared" si="130"/>
        <v>#REF!</v>
      </c>
      <c r="AV352" s="132"/>
      <c r="AW352" s="140">
        <f t="shared" si="131"/>
        <v>0</v>
      </c>
      <c r="AX352" s="141"/>
      <c r="AY352" s="141"/>
      <c r="AZ352" s="141"/>
      <c r="BA352" s="141"/>
      <c r="BB352" s="141"/>
      <c r="BC352" s="130" t="e">
        <f t="shared" si="132"/>
        <v>#REF!</v>
      </c>
      <c r="BD352" s="132"/>
    </row>
    <row r="353" ht="14.25" customHeight="1">
      <c r="A353" s="132"/>
      <c r="B353" s="1506">
        <v>46337</v>
      </c>
      <c r="C353" s="136"/>
      <c r="D353" s="136"/>
      <c r="E353" s="135"/>
      <c r="F353" s="135"/>
      <c r="G353" s="147">
        <f t="shared" si="124"/>
        <v>0</v>
      </c>
      <c r="H353" s="144"/>
      <c r="I353" s="143"/>
      <c r="J353" s="143"/>
      <c r="K353" s="143"/>
      <c r="L353" s="143"/>
      <c r="M353" s="103">
        <f t="shared" si="125"/>
        <v>0</v>
      </c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03">
        <f t="shared" si="126"/>
        <v>0</v>
      </c>
      <c r="AA353" s="136"/>
      <c r="AB353" s="136"/>
      <c r="AC353" s="136"/>
      <c r="AD353" s="105">
        <f t="shared" si="127"/>
        <v>0</v>
      </c>
      <c r="AE353" s="143"/>
      <c r="AF353" s="143"/>
      <c r="AG353" s="146"/>
      <c r="AH353" s="224" t="e">
        <f t="shared" si="128"/>
        <v>#REF!</v>
      </c>
      <c r="AI353" s="126"/>
      <c r="AJ353" s="274"/>
      <c r="AK353" s="274"/>
      <c r="AL353" s="126"/>
      <c r="AM353" s="126"/>
      <c r="AN353" s="126"/>
      <c r="AO353" s="126"/>
      <c r="AP353" s="274"/>
      <c r="AQ353" s="274"/>
      <c r="AR353" s="274"/>
      <c r="AS353" s="274"/>
      <c r="AT353" s="222">
        <f t="shared" si="129"/>
        <v>0</v>
      </c>
      <c r="AU353" s="140" t="e">
        <f t="shared" si="130"/>
        <v>#REF!</v>
      </c>
      <c r="AV353" s="132"/>
      <c r="AW353" s="140">
        <f t="shared" si="131"/>
        <v>0</v>
      </c>
      <c r="AX353" s="141"/>
      <c r="AY353" s="141"/>
      <c r="AZ353" s="141"/>
      <c r="BA353" s="141"/>
      <c r="BB353" s="141"/>
      <c r="BC353" s="130" t="e">
        <f t="shared" si="132"/>
        <v>#REF!</v>
      </c>
      <c r="BD353" s="132"/>
    </row>
    <row r="354" ht="14.25" customHeight="1">
      <c r="A354" s="132"/>
      <c r="B354" s="1506">
        <v>46338</v>
      </c>
      <c r="C354" s="136"/>
      <c r="D354" s="136"/>
      <c r="E354" s="135"/>
      <c r="F354" s="135"/>
      <c r="G354" s="147">
        <f t="shared" si="124"/>
        <v>0</v>
      </c>
      <c r="H354" s="144"/>
      <c r="I354" s="143"/>
      <c r="J354" s="143"/>
      <c r="K354" s="143"/>
      <c r="L354" s="143"/>
      <c r="M354" s="103">
        <f t="shared" si="125"/>
        <v>0</v>
      </c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03">
        <f t="shared" si="126"/>
        <v>0</v>
      </c>
      <c r="AA354" s="136"/>
      <c r="AB354" s="136"/>
      <c r="AC354" s="136"/>
      <c r="AD354" s="105">
        <f t="shared" si="127"/>
        <v>0</v>
      </c>
      <c r="AE354" s="143"/>
      <c r="AF354" s="143"/>
      <c r="AG354" s="146"/>
      <c r="AH354" s="224" t="e">
        <f t="shared" si="128"/>
        <v>#REF!</v>
      </c>
      <c r="AI354" s="126"/>
      <c r="AJ354" s="274"/>
      <c r="AK354" s="274"/>
      <c r="AL354" s="126"/>
      <c r="AM354" s="126"/>
      <c r="AN354" s="126"/>
      <c r="AO354" s="126"/>
      <c r="AP354" s="274"/>
      <c r="AQ354" s="274"/>
      <c r="AR354" s="274"/>
      <c r="AS354" s="274"/>
      <c r="AT354" s="222">
        <f t="shared" si="129"/>
        <v>0</v>
      </c>
      <c r="AU354" s="140" t="e">
        <f t="shared" si="130"/>
        <v>#REF!</v>
      </c>
      <c r="AV354" s="132"/>
      <c r="AW354" s="140">
        <f t="shared" si="131"/>
        <v>0</v>
      </c>
      <c r="AX354" s="141"/>
      <c r="AY354" s="141"/>
      <c r="AZ354" s="141"/>
      <c r="BA354" s="141"/>
      <c r="BB354" s="141"/>
      <c r="BC354" s="130" t="e">
        <f t="shared" si="132"/>
        <v>#REF!</v>
      </c>
      <c r="BD354" s="132"/>
    </row>
    <row r="355" ht="14.25" customHeight="1">
      <c r="A355" s="132"/>
      <c r="B355" s="1506">
        <v>46339</v>
      </c>
      <c r="C355" s="136"/>
      <c r="D355" s="136"/>
      <c r="E355" s="135"/>
      <c r="F355" s="135"/>
      <c r="G355" s="147">
        <f t="shared" si="124"/>
        <v>0</v>
      </c>
      <c r="H355" s="144"/>
      <c r="I355" s="143"/>
      <c r="J355" s="143"/>
      <c r="K355" s="143"/>
      <c r="L355" s="143"/>
      <c r="M355" s="103">
        <f t="shared" si="125"/>
        <v>0</v>
      </c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03">
        <f t="shared" si="126"/>
        <v>0</v>
      </c>
      <c r="AA355" s="136"/>
      <c r="AB355" s="136"/>
      <c r="AC355" s="136"/>
      <c r="AD355" s="105">
        <f t="shared" si="127"/>
        <v>0</v>
      </c>
      <c r="AE355" s="143"/>
      <c r="AF355" s="143"/>
      <c r="AG355" s="146"/>
      <c r="AH355" s="224" t="e">
        <f t="shared" si="128"/>
        <v>#REF!</v>
      </c>
      <c r="AI355" s="126"/>
      <c r="AJ355" s="274"/>
      <c r="AK355" s="274"/>
      <c r="AL355" s="126"/>
      <c r="AM355" s="126"/>
      <c r="AN355" s="126"/>
      <c r="AO355" s="126"/>
      <c r="AP355" s="274"/>
      <c r="AQ355" s="274"/>
      <c r="AR355" s="274"/>
      <c r="AS355" s="274"/>
      <c r="AT355" s="222">
        <f t="shared" si="129"/>
        <v>0</v>
      </c>
      <c r="AU355" s="140" t="e">
        <f t="shared" si="130"/>
        <v>#REF!</v>
      </c>
      <c r="AV355" s="132"/>
      <c r="AW355" s="140">
        <f t="shared" si="131"/>
        <v>0</v>
      </c>
      <c r="AX355" s="141"/>
      <c r="AY355" s="141"/>
      <c r="AZ355" s="141"/>
      <c r="BA355" s="141"/>
      <c r="BB355" s="141"/>
      <c r="BC355" s="130" t="e">
        <f t="shared" si="132"/>
        <v>#REF!</v>
      </c>
      <c r="BD355" s="132"/>
    </row>
    <row r="356" ht="14.25" customHeight="1">
      <c r="A356" s="132"/>
      <c r="B356" s="1506">
        <v>46340</v>
      </c>
      <c r="C356" s="136"/>
      <c r="D356" s="136"/>
      <c r="E356" s="135"/>
      <c r="F356" s="135"/>
      <c r="G356" s="147">
        <f t="shared" si="124"/>
        <v>0</v>
      </c>
      <c r="H356" s="144"/>
      <c r="I356" s="143"/>
      <c r="J356" s="143"/>
      <c r="K356" s="143"/>
      <c r="L356" s="143"/>
      <c r="M356" s="103">
        <f t="shared" si="125"/>
        <v>0</v>
      </c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03">
        <f t="shared" si="126"/>
        <v>0</v>
      </c>
      <c r="AA356" s="136"/>
      <c r="AB356" s="136"/>
      <c r="AC356" s="136"/>
      <c r="AD356" s="105">
        <f t="shared" si="127"/>
        <v>0</v>
      </c>
      <c r="AE356" s="143"/>
      <c r="AF356" s="143"/>
      <c r="AG356" s="146"/>
      <c r="AH356" s="224" t="e">
        <f t="shared" si="128"/>
        <v>#REF!</v>
      </c>
      <c r="AI356" s="126"/>
      <c r="AJ356" s="274"/>
      <c r="AK356" s="274"/>
      <c r="AL356" s="126"/>
      <c r="AM356" s="126"/>
      <c r="AN356" s="126"/>
      <c r="AO356" s="126"/>
      <c r="AP356" s="274"/>
      <c r="AQ356" s="274"/>
      <c r="AR356" s="274"/>
      <c r="AS356" s="274"/>
      <c r="AT356" s="222">
        <f t="shared" si="129"/>
        <v>0</v>
      </c>
      <c r="AU356" s="140" t="e">
        <f t="shared" si="130"/>
        <v>#REF!</v>
      </c>
      <c r="AV356" s="132"/>
      <c r="AW356" s="140">
        <f t="shared" si="131"/>
        <v>0</v>
      </c>
      <c r="AX356" s="141"/>
      <c r="AY356" s="141"/>
      <c r="AZ356" s="141"/>
      <c r="BA356" s="141"/>
      <c r="BB356" s="141"/>
      <c r="BC356" s="130" t="e">
        <f t="shared" si="132"/>
        <v>#REF!</v>
      </c>
      <c r="BD356" s="132"/>
    </row>
    <row r="357" ht="14.25" customHeight="1">
      <c r="A357" s="132"/>
      <c r="B357" s="1506">
        <v>46341</v>
      </c>
      <c r="C357" s="136"/>
      <c r="D357" s="136"/>
      <c r="E357" s="135"/>
      <c r="F357" s="135"/>
      <c r="G357" s="147">
        <f t="shared" si="124"/>
        <v>0</v>
      </c>
      <c r="H357" s="144"/>
      <c r="I357" s="143"/>
      <c r="J357" s="143"/>
      <c r="K357" s="143"/>
      <c r="L357" s="143"/>
      <c r="M357" s="103">
        <f t="shared" si="125"/>
        <v>0</v>
      </c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03">
        <f t="shared" si="126"/>
        <v>0</v>
      </c>
      <c r="AA357" s="136"/>
      <c r="AB357" s="136"/>
      <c r="AC357" s="136"/>
      <c r="AD357" s="105">
        <f t="shared" si="127"/>
        <v>0</v>
      </c>
      <c r="AE357" s="143"/>
      <c r="AF357" s="143"/>
      <c r="AG357" s="146"/>
      <c r="AH357" s="224" t="e">
        <f t="shared" si="128"/>
        <v>#REF!</v>
      </c>
      <c r="AI357" s="126"/>
      <c r="AJ357" s="274"/>
      <c r="AK357" s="274"/>
      <c r="AL357" s="126"/>
      <c r="AM357" s="126"/>
      <c r="AN357" s="126"/>
      <c r="AO357" s="126"/>
      <c r="AP357" s="274"/>
      <c r="AQ357" s="274"/>
      <c r="AR357" s="274"/>
      <c r="AS357" s="274"/>
      <c r="AT357" s="222">
        <f t="shared" si="129"/>
        <v>0</v>
      </c>
      <c r="AU357" s="140" t="e">
        <f t="shared" si="130"/>
        <v>#REF!</v>
      </c>
      <c r="AV357" s="132"/>
      <c r="AW357" s="140">
        <f t="shared" si="131"/>
        <v>0</v>
      </c>
      <c r="AX357" s="141"/>
      <c r="AY357" s="141"/>
      <c r="AZ357" s="141"/>
      <c r="BA357" s="141"/>
      <c r="BB357" s="141"/>
      <c r="BC357" s="130" t="e">
        <f t="shared" si="132"/>
        <v>#REF!</v>
      </c>
      <c r="BD357" s="132"/>
    </row>
    <row r="358" ht="14.25" customHeight="1">
      <c r="A358" s="132"/>
      <c r="B358" s="1506">
        <v>46342</v>
      </c>
      <c r="C358" s="136"/>
      <c r="D358" s="136"/>
      <c r="E358" s="135"/>
      <c r="F358" s="135"/>
      <c r="G358" s="147">
        <f t="shared" si="124"/>
        <v>0</v>
      </c>
      <c r="H358" s="144"/>
      <c r="I358" s="143"/>
      <c r="J358" s="143"/>
      <c r="K358" s="143"/>
      <c r="L358" s="143"/>
      <c r="M358" s="103">
        <f t="shared" si="125"/>
        <v>0</v>
      </c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03">
        <f t="shared" si="126"/>
        <v>0</v>
      </c>
      <c r="AA358" s="136"/>
      <c r="AB358" s="136"/>
      <c r="AC358" s="136"/>
      <c r="AD358" s="105">
        <f t="shared" si="127"/>
        <v>0</v>
      </c>
      <c r="AE358" s="143"/>
      <c r="AF358" s="143"/>
      <c r="AG358" s="146"/>
      <c r="AH358" s="224" t="e">
        <f t="shared" si="128"/>
        <v>#REF!</v>
      </c>
      <c r="AI358" s="126"/>
      <c r="AJ358" s="274"/>
      <c r="AK358" s="274"/>
      <c r="AL358" s="126"/>
      <c r="AM358" s="126"/>
      <c r="AN358" s="126"/>
      <c r="AO358" s="126"/>
      <c r="AP358" s="274"/>
      <c r="AQ358" s="274"/>
      <c r="AR358" s="274"/>
      <c r="AS358" s="274"/>
      <c r="AT358" s="222">
        <f t="shared" si="129"/>
        <v>0</v>
      </c>
      <c r="AU358" s="140" t="e">
        <f t="shared" si="130"/>
        <v>#REF!</v>
      </c>
      <c r="AV358" s="132"/>
      <c r="AW358" s="140">
        <f t="shared" si="131"/>
        <v>0</v>
      </c>
      <c r="AX358" s="141"/>
      <c r="AY358" s="141"/>
      <c r="AZ358" s="141"/>
      <c r="BA358" s="141"/>
      <c r="BB358" s="141"/>
      <c r="BC358" s="130" t="e">
        <f t="shared" si="132"/>
        <v>#REF!</v>
      </c>
      <c r="BD358" s="132"/>
    </row>
    <row r="359" ht="14.25" customHeight="1">
      <c r="A359" s="132"/>
      <c r="B359" s="1506">
        <v>46343</v>
      </c>
      <c r="C359" s="136"/>
      <c r="D359" s="136"/>
      <c r="E359" s="135"/>
      <c r="F359" s="135"/>
      <c r="G359" s="147">
        <f t="shared" si="124"/>
        <v>0</v>
      </c>
      <c r="H359" s="144"/>
      <c r="I359" s="143"/>
      <c r="J359" s="143"/>
      <c r="K359" s="143"/>
      <c r="L359" s="143"/>
      <c r="M359" s="103">
        <f t="shared" si="125"/>
        <v>0</v>
      </c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03">
        <f t="shared" si="126"/>
        <v>0</v>
      </c>
      <c r="AA359" s="136"/>
      <c r="AB359" s="136"/>
      <c r="AC359" s="136"/>
      <c r="AD359" s="105">
        <f t="shared" si="127"/>
        <v>0</v>
      </c>
      <c r="AE359" s="143"/>
      <c r="AF359" s="143"/>
      <c r="AG359" s="146"/>
      <c r="AH359" s="224" t="e">
        <f t="shared" si="128"/>
        <v>#REF!</v>
      </c>
      <c r="AI359" s="126"/>
      <c r="AJ359" s="274"/>
      <c r="AK359" s="274"/>
      <c r="AL359" s="126"/>
      <c r="AM359" s="126"/>
      <c r="AN359" s="126"/>
      <c r="AO359" s="126"/>
      <c r="AP359" s="274"/>
      <c r="AQ359" s="274"/>
      <c r="AR359" s="274"/>
      <c r="AS359" s="274"/>
      <c r="AT359" s="222">
        <f t="shared" si="129"/>
        <v>0</v>
      </c>
      <c r="AU359" s="140" t="e">
        <f t="shared" si="130"/>
        <v>#REF!</v>
      </c>
      <c r="AV359" s="132"/>
      <c r="AW359" s="140">
        <f t="shared" si="131"/>
        <v>0</v>
      </c>
      <c r="AX359" s="141"/>
      <c r="AY359" s="141"/>
      <c r="AZ359" s="141"/>
      <c r="BA359" s="141"/>
      <c r="BB359" s="141"/>
      <c r="BC359" s="130" t="e">
        <f t="shared" si="132"/>
        <v>#REF!</v>
      </c>
      <c r="BD359" s="132"/>
    </row>
    <row r="360" ht="14.25" customHeight="1">
      <c r="A360" s="132"/>
      <c r="B360" s="1506">
        <v>46344</v>
      </c>
      <c r="C360" s="136"/>
      <c r="D360" s="136"/>
      <c r="E360" s="135"/>
      <c r="F360" s="135"/>
      <c r="G360" s="147">
        <f t="shared" si="124"/>
        <v>0</v>
      </c>
      <c r="H360" s="144"/>
      <c r="I360" s="143"/>
      <c r="J360" s="143"/>
      <c r="K360" s="143"/>
      <c r="L360" s="143"/>
      <c r="M360" s="103">
        <f t="shared" si="125"/>
        <v>0</v>
      </c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03">
        <f t="shared" si="126"/>
        <v>0</v>
      </c>
      <c r="AA360" s="136"/>
      <c r="AB360" s="136"/>
      <c r="AC360" s="136"/>
      <c r="AD360" s="105">
        <f t="shared" si="127"/>
        <v>0</v>
      </c>
      <c r="AE360" s="143"/>
      <c r="AF360" s="143"/>
      <c r="AG360" s="146"/>
      <c r="AH360" s="224" t="e">
        <f t="shared" si="128"/>
        <v>#REF!</v>
      </c>
      <c r="AI360" s="126"/>
      <c r="AJ360" s="274"/>
      <c r="AK360" s="274"/>
      <c r="AL360" s="126"/>
      <c r="AM360" s="126"/>
      <c r="AN360" s="126"/>
      <c r="AO360" s="126"/>
      <c r="AP360" s="274"/>
      <c r="AQ360" s="274"/>
      <c r="AR360" s="274"/>
      <c r="AS360" s="274"/>
      <c r="AT360" s="222">
        <f t="shared" si="129"/>
        <v>0</v>
      </c>
      <c r="AU360" s="140" t="e">
        <f t="shared" si="130"/>
        <v>#REF!</v>
      </c>
      <c r="AV360" s="132"/>
      <c r="AW360" s="140">
        <f t="shared" si="131"/>
        <v>0</v>
      </c>
      <c r="AX360" s="141"/>
      <c r="AY360" s="141"/>
      <c r="AZ360" s="141"/>
      <c r="BA360" s="141"/>
      <c r="BB360" s="141"/>
      <c r="BC360" s="130" t="e">
        <f t="shared" si="132"/>
        <v>#REF!</v>
      </c>
      <c r="BD360" s="132"/>
    </row>
    <row r="361" ht="14.25" customHeight="1">
      <c r="A361" s="132"/>
      <c r="B361" s="1506">
        <v>46345</v>
      </c>
      <c r="C361" s="136"/>
      <c r="D361" s="136"/>
      <c r="E361" s="135"/>
      <c r="F361" s="135"/>
      <c r="G361" s="147">
        <f t="shared" si="124"/>
        <v>0</v>
      </c>
      <c r="H361" s="144"/>
      <c r="I361" s="143"/>
      <c r="J361" s="143"/>
      <c r="K361" s="143"/>
      <c r="L361" s="143"/>
      <c r="M361" s="103">
        <f t="shared" si="125"/>
        <v>0</v>
      </c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03">
        <f t="shared" si="126"/>
        <v>0</v>
      </c>
      <c r="AA361" s="136"/>
      <c r="AB361" s="136"/>
      <c r="AC361" s="136"/>
      <c r="AD361" s="105">
        <f t="shared" si="127"/>
        <v>0</v>
      </c>
      <c r="AE361" s="143"/>
      <c r="AF361" s="143"/>
      <c r="AG361" s="146"/>
      <c r="AH361" s="224" t="e">
        <f t="shared" si="128"/>
        <v>#REF!</v>
      </c>
      <c r="AI361" s="126"/>
      <c r="AJ361" s="274"/>
      <c r="AK361" s="274"/>
      <c r="AL361" s="126"/>
      <c r="AM361" s="126"/>
      <c r="AN361" s="126"/>
      <c r="AO361" s="126"/>
      <c r="AP361" s="274"/>
      <c r="AQ361" s="274"/>
      <c r="AR361" s="274"/>
      <c r="AS361" s="274"/>
      <c r="AT361" s="222">
        <f t="shared" si="129"/>
        <v>0</v>
      </c>
      <c r="AU361" s="140" t="e">
        <f t="shared" si="130"/>
        <v>#REF!</v>
      </c>
      <c r="AV361" s="132"/>
      <c r="AW361" s="140">
        <f t="shared" si="131"/>
        <v>0</v>
      </c>
      <c r="AX361" s="141"/>
      <c r="AY361" s="141"/>
      <c r="AZ361" s="141"/>
      <c r="BA361" s="141"/>
      <c r="BB361" s="141"/>
      <c r="BC361" s="130" t="e">
        <f t="shared" si="132"/>
        <v>#REF!</v>
      </c>
      <c r="BD361" s="132"/>
    </row>
    <row r="362" ht="14.25" customHeight="1">
      <c r="A362" s="132"/>
      <c r="B362" s="1506">
        <v>46346</v>
      </c>
      <c r="C362" s="136"/>
      <c r="D362" s="136"/>
      <c r="E362" s="135"/>
      <c r="F362" s="135"/>
      <c r="G362" s="147">
        <f t="shared" si="124"/>
        <v>0</v>
      </c>
      <c r="H362" s="144"/>
      <c r="I362" s="143"/>
      <c r="J362" s="143"/>
      <c r="K362" s="143"/>
      <c r="L362" s="143"/>
      <c r="M362" s="103">
        <f t="shared" si="125"/>
        <v>0</v>
      </c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03">
        <f t="shared" si="126"/>
        <v>0</v>
      </c>
      <c r="AA362" s="136"/>
      <c r="AB362" s="136"/>
      <c r="AC362" s="136"/>
      <c r="AD362" s="105">
        <f t="shared" si="127"/>
        <v>0</v>
      </c>
      <c r="AE362" s="143"/>
      <c r="AF362" s="143"/>
      <c r="AG362" s="146"/>
      <c r="AH362" s="224" t="e">
        <f t="shared" si="128"/>
        <v>#REF!</v>
      </c>
      <c r="AI362" s="126"/>
      <c r="AJ362" s="274"/>
      <c r="AK362" s="274"/>
      <c r="AL362" s="126"/>
      <c r="AM362" s="126"/>
      <c r="AN362" s="126"/>
      <c r="AO362" s="126"/>
      <c r="AP362" s="274"/>
      <c r="AQ362" s="274"/>
      <c r="AR362" s="274"/>
      <c r="AS362" s="274"/>
      <c r="AT362" s="222">
        <f t="shared" si="129"/>
        <v>0</v>
      </c>
      <c r="AU362" s="140" t="e">
        <f t="shared" si="130"/>
        <v>#REF!</v>
      </c>
      <c r="AV362" s="132"/>
      <c r="AW362" s="140">
        <f t="shared" si="131"/>
        <v>0</v>
      </c>
      <c r="AX362" s="141"/>
      <c r="AY362" s="141"/>
      <c r="AZ362" s="141"/>
      <c r="BA362" s="141"/>
      <c r="BB362" s="141"/>
      <c r="BC362" s="130" t="e">
        <f t="shared" si="132"/>
        <v>#REF!</v>
      </c>
      <c r="BD362" s="132"/>
    </row>
    <row r="363" ht="14.25" customHeight="1">
      <c r="A363" s="132"/>
      <c r="B363" s="1506">
        <v>46347</v>
      </c>
      <c r="C363" s="136"/>
      <c r="D363" s="136"/>
      <c r="E363" s="135"/>
      <c r="F363" s="135"/>
      <c r="G363" s="147">
        <f t="shared" si="124"/>
        <v>0</v>
      </c>
      <c r="H363" s="144"/>
      <c r="I363" s="143"/>
      <c r="J363" s="143"/>
      <c r="K363" s="143"/>
      <c r="L363" s="143"/>
      <c r="M363" s="103">
        <f t="shared" si="125"/>
        <v>0</v>
      </c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03">
        <f t="shared" si="126"/>
        <v>0</v>
      </c>
      <c r="AA363" s="136"/>
      <c r="AB363" s="136"/>
      <c r="AC363" s="136"/>
      <c r="AD363" s="105">
        <f t="shared" si="127"/>
        <v>0</v>
      </c>
      <c r="AE363" s="143"/>
      <c r="AF363" s="143"/>
      <c r="AG363" s="146"/>
      <c r="AH363" s="224" t="e">
        <f t="shared" si="128"/>
        <v>#REF!</v>
      </c>
      <c r="AI363" s="126"/>
      <c r="AJ363" s="274"/>
      <c r="AK363" s="274"/>
      <c r="AL363" s="126"/>
      <c r="AM363" s="126"/>
      <c r="AN363" s="126"/>
      <c r="AO363" s="126"/>
      <c r="AP363" s="274"/>
      <c r="AQ363" s="274"/>
      <c r="AR363" s="274"/>
      <c r="AS363" s="274"/>
      <c r="AT363" s="222">
        <f t="shared" si="129"/>
        <v>0</v>
      </c>
      <c r="AU363" s="140" t="e">
        <f t="shared" si="130"/>
        <v>#REF!</v>
      </c>
      <c r="AV363" s="132"/>
      <c r="AW363" s="140">
        <f t="shared" si="131"/>
        <v>0</v>
      </c>
      <c r="AX363" s="141"/>
      <c r="AY363" s="141"/>
      <c r="AZ363" s="141"/>
      <c r="BA363" s="141"/>
      <c r="BB363" s="141"/>
      <c r="BC363" s="130" t="e">
        <f t="shared" si="132"/>
        <v>#REF!</v>
      </c>
      <c r="BD363" s="132"/>
    </row>
    <row r="364" ht="14.25" customHeight="1">
      <c r="A364" s="132"/>
      <c r="B364" s="1506">
        <v>46348</v>
      </c>
      <c r="C364" s="136"/>
      <c r="D364" s="136"/>
      <c r="E364" s="135"/>
      <c r="F364" s="135"/>
      <c r="G364" s="147">
        <f t="shared" si="124"/>
        <v>0</v>
      </c>
      <c r="H364" s="144"/>
      <c r="I364" s="143"/>
      <c r="J364" s="143"/>
      <c r="K364" s="143"/>
      <c r="L364" s="143"/>
      <c r="M364" s="103">
        <f t="shared" si="125"/>
        <v>0</v>
      </c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03">
        <f t="shared" si="126"/>
        <v>0</v>
      </c>
      <c r="AA364" s="136"/>
      <c r="AB364" s="136"/>
      <c r="AC364" s="136"/>
      <c r="AD364" s="105">
        <f t="shared" si="127"/>
        <v>0</v>
      </c>
      <c r="AE364" s="143"/>
      <c r="AF364" s="143"/>
      <c r="AG364" s="146"/>
      <c r="AH364" s="224" t="e">
        <f t="shared" si="128"/>
        <v>#REF!</v>
      </c>
      <c r="AI364" s="126"/>
      <c r="AJ364" s="274"/>
      <c r="AK364" s="274"/>
      <c r="AL364" s="126"/>
      <c r="AM364" s="126"/>
      <c r="AN364" s="126"/>
      <c r="AO364" s="126"/>
      <c r="AP364" s="274"/>
      <c r="AQ364" s="274"/>
      <c r="AR364" s="274"/>
      <c r="AS364" s="274"/>
      <c r="AT364" s="222">
        <f t="shared" si="129"/>
        <v>0</v>
      </c>
      <c r="AU364" s="140" t="e">
        <f t="shared" si="130"/>
        <v>#REF!</v>
      </c>
      <c r="AV364" s="132"/>
      <c r="AW364" s="140">
        <f t="shared" si="131"/>
        <v>0</v>
      </c>
      <c r="AX364" s="141"/>
      <c r="AY364" s="141"/>
      <c r="AZ364" s="141"/>
      <c r="BA364" s="141"/>
      <c r="BB364" s="141"/>
      <c r="BC364" s="130" t="e">
        <f t="shared" si="132"/>
        <v>#REF!</v>
      </c>
      <c r="BD364" s="132"/>
    </row>
    <row r="365" ht="14.25" customHeight="1">
      <c r="A365" s="132"/>
      <c r="B365" s="1506">
        <v>46349</v>
      </c>
      <c r="C365" s="136"/>
      <c r="D365" s="136"/>
      <c r="E365" s="135"/>
      <c r="F365" s="135"/>
      <c r="G365" s="147">
        <f t="shared" si="124"/>
        <v>0</v>
      </c>
      <c r="H365" s="144"/>
      <c r="I365" s="143"/>
      <c r="J365" s="143"/>
      <c r="K365" s="143"/>
      <c r="L365" s="143"/>
      <c r="M365" s="103">
        <f t="shared" si="125"/>
        <v>0</v>
      </c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03">
        <f t="shared" si="126"/>
        <v>0</v>
      </c>
      <c r="AA365" s="136"/>
      <c r="AB365" s="136"/>
      <c r="AC365" s="136"/>
      <c r="AD365" s="105">
        <f t="shared" si="127"/>
        <v>0</v>
      </c>
      <c r="AE365" s="143"/>
      <c r="AF365" s="143"/>
      <c r="AG365" s="146"/>
      <c r="AH365" s="224" t="e">
        <f t="shared" si="128"/>
        <v>#REF!</v>
      </c>
      <c r="AI365" s="126"/>
      <c r="AJ365" s="274"/>
      <c r="AK365" s="274"/>
      <c r="AL365" s="126"/>
      <c r="AM365" s="126"/>
      <c r="AN365" s="126"/>
      <c r="AO365" s="126"/>
      <c r="AP365" s="274"/>
      <c r="AQ365" s="274"/>
      <c r="AR365" s="274"/>
      <c r="AS365" s="274"/>
      <c r="AT365" s="222">
        <f t="shared" si="129"/>
        <v>0</v>
      </c>
      <c r="AU365" s="140" t="e">
        <f t="shared" si="130"/>
        <v>#REF!</v>
      </c>
      <c r="AV365" s="132"/>
      <c r="AW365" s="140">
        <f t="shared" si="131"/>
        <v>0</v>
      </c>
      <c r="AX365" s="141"/>
      <c r="AY365" s="141"/>
      <c r="AZ365" s="141"/>
      <c r="BA365" s="141"/>
      <c r="BB365" s="141"/>
      <c r="BC365" s="130" t="e">
        <f t="shared" si="132"/>
        <v>#REF!</v>
      </c>
      <c r="BD365" s="132"/>
    </row>
    <row r="366" ht="14.25" customHeight="1">
      <c r="A366" s="132"/>
      <c r="B366" s="1506">
        <v>46350</v>
      </c>
      <c r="C366" s="136"/>
      <c r="D366" s="136"/>
      <c r="E366" s="135"/>
      <c r="F366" s="135"/>
      <c r="G366" s="147">
        <f t="shared" si="124"/>
        <v>0</v>
      </c>
      <c r="H366" s="144"/>
      <c r="I366" s="143"/>
      <c r="J366" s="143"/>
      <c r="K366" s="143"/>
      <c r="L366" s="143"/>
      <c r="M366" s="103">
        <f t="shared" si="125"/>
        <v>0</v>
      </c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03">
        <f t="shared" si="126"/>
        <v>0</v>
      </c>
      <c r="AA366" s="136"/>
      <c r="AB366" s="136"/>
      <c r="AC366" s="136"/>
      <c r="AD366" s="105">
        <f t="shared" si="127"/>
        <v>0</v>
      </c>
      <c r="AE366" s="143"/>
      <c r="AF366" s="143"/>
      <c r="AG366" s="146"/>
      <c r="AH366" s="224" t="e">
        <f t="shared" si="128"/>
        <v>#REF!</v>
      </c>
      <c r="AI366" s="126"/>
      <c r="AJ366" s="274"/>
      <c r="AK366" s="274"/>
      <c r="AL366" s="126"/>
      <c r="AM366" s="126"/>
      <c r="AN366" s="126"/>
      <c r="AO366" s="126"/>
      <c r="AP366" s="274"/>
      <c r="AQ366" s="274"/>
      <c r="AR366" s="274"/>
      <c r="AS366" s="274"/>
      <c r="AT366" s="222">
        <f t="shared" si="129"/>
        <v>0</v>
      </c>
      <c r="AU366" s="140" t="e">
        <f t="shared" si="130"/>
        <v>#REF!</v>
      </c>
      <c r="AV366" s="132"/>
      <c r="AW366" s="140">
        <f t="shared" si="131"/>
        <v>0</v>
      </c>
      <c r="AX366" s="141"/>
      <c r="AY366" s="141"/>
      <c r="AZ366" s="141"/>
      <c r="BA366" s="141"/>
      <c r="BB366" s="141"/>
      <c r="BC366" s="130" t="e">
        <f t="shared" si="132"/>
        <v>#REF!</v>
      </c>
      <c r="BD366" s="132"/>
    </row>
    <row r="367" ht="14.25" customHeight="1">
      <c r="A367" s="132"/>
      <c r="B367" s="1506">
        <v>46351</v>
      </c>
      <c r="C367" s="136"/>
      <c r="D367" s="136"/>
      <c r="E367" s="135"/>
      <c r="F367" s="135"/>
      <c r="G367" s="147">
        <f t="shared" si="124"/>
        <v>0</v>
      </c>
      <c r="H367" s="144"/>
      <c r="I367" s="143"/>
      <c r="J367" s="143"/>
      <c r="K367" s="143"/>
      <c r="L367" s="143"/>
      <c r="M367" s="103">
        <f t="shared" si="125"/>
        <v>0</v>
      </c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03">
        <f t="shared" si="126"/>
        <v>0</v>
      </c>
      <c r="AA367" s="136"/>
      <c r="AB367" s="136"/>
      <c r="AC367" s="136"/>
      <c r="AD367" s="105">
        <f t="shared" si="127"/>
        <v>0</v>
      </c>
      <c r="AE367" s="143"/>
      <c r="AF367" s="143"/>
      <c r="AG367" s="146"/>
      <c r="AH367" s="224" t="e">
        <f t="shared" si="128"/>
        <v>#REF!</v>
      </c>
      <c r="AI367" s="126"/>
      <c r="AJ367" s="274"/>
      <c r="AK367" s="274"/>
      <c r="AL367" s="126"/>
      <c r="AM367" s="126"/>
      <c r="AN367" s="126"/>
      <c r="AO367" s="126"/>
      <c r="AP367" s="274"/>
      <c r="AQ367" s="274"/>
      <c r="AR367" s="274"/>
      <c r="AS367" s="274"/>
      <c r="AT367" s="222">
        <f t="shared" si="129"/>
        <v>0</v>
      </c>
      <c r="AU367" s="140" t="e">
        <f t="shared" si="130"/>
        <v>#REF!</v>
      </c>
      <c r="AV367" s="132"/>
      <c r="AW367" s="140">
        <f t="shared" si="131"/>
        <v>0</v>
      </c>
      <c r="AX367" s="141"/>
      <c r="AY367" s="141"/>
      <c r="AZ367" s="141"/>
      <c r="BA367" s="141"/>
      <c r="BB367" s="141"/>
      <c r="BC367" s="130" t="e">
        <f t="shared" si="132"/>
        <v>#REF!</v>
      </c>
      <c r="BD367" s="132"/>
    </row>
    <row r="368" ht="14.25" customHeight="1">
      <c r="A368" s="132"/>
      <c r="B368" s="1506">
        <v>46352</v>
      </c>
      <c r="C368" s="136"/>
      <c r="D368" s="136"/>
      <c r="E368" s="135"/>
      <c r="F368" s="135"/>
      <c r="G368" s="147">
        <f t="shared" si="124"/>
        <v>0</v>
      </c>
      <c r="H368" s="144"/>
      <c r="I368" s="143"/>
      <c r="J368" s="143"/>
      <c r="K368" s="143"/>
      <c r="L368" s="143"/>
      <c r="M368" s="103">
        <f t="shared" si="125"/>
        <v>0</v>
      </c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03">
        <f t="shared" si="126"/>
        <v>0</v>
      </c>
      <c r="AA368" s="136"/>
      <c r="AB368" s="136"/>
      <c r="AC368" s="136"/>
      <c r="AD368" s="105">
        <f t="shared" si="127"/>
        <v>0</v>
      </c>
      <c r="AE368" s="143"/>
      <c r="AF368" s="143"/>
      <c r="AG368" s="146"/>
      <c r="AH368" s="224" t="e">
        <f t="shared" si="128"/>
        <v>#REF!</v>
      </c>
      <c r="AI368" s="126"/>
      <c r="AJ368" s="274"/>
      <c r="AK368" s="274"/>
      <c r="AL368" s="126"/>
      <c r="AM368" s="126"/>
      <c r="AN368" s="126"/>
      <c r="AO368" s="126"/>
      <c r="AP368" s="274"/>
      <c r="AQ368" s="274"/>
      <c r="AR368" s="274"/>
      <c r="AS368" s="274"/>
      <c r="AT368" s="222">
        <f t="shared" si="129"/>
        <v>0</v>
      </c>
      <c r="AU368" s="140" t="e">
        <f t="shared" si="130"/>
        <v>#REF!</v>
      </c>
      <c r="AV368" s="132"/>
      <c r="AW368" s="140">
        <f t="shared" si="131"/>
        <v>0</v>
      </c>
      <c r="AX368" s="141"/>
      <c r="AY368" s="141"/>
      <c r="AZ368" s="141"/>
      <c r="BA368" s="141"/>
      <c r="BB368" s="141"/>
      <c r="BC368" s="130" t="e">
        <f t="shared" si="132"/>
        <v>#REF!</v>
      </c>
      <c r="BD368" s="132"/>
    </row>
    <row r="369" ht="14.25" customHeight="1">
      <c r="A369" s="132"/>
      <c r="B369" s="1506">
        <v>46353</v>
      </c>
      <c r="C369" s="136"/>
      <c r="D369" s="136"/>
      <c r="E369" s="135"/>
      <c r="F369" s="135"/>
      <c r="G369" s="147">
        <f t="shared" si="124"/>
        <v>0</v>
      </c>
      <c r="H369" s="144"/>
      <c r="I369" s="143"/>
      <c r="J369" s="143"/>
      <c r="K369" s="143"/>
      <c r="L369" s="143"/>
      <c r="M369" s="103">
        <f t="shared" si="125"/>
        <v>0</v>
      </c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03">
        <f t="shared" si="126"/>
        <v>0</v>
      </c>
      <c r="AA369" s="136"/>
      <c r="AB369" s="136"/>
      <c r="AC369" s="136"/>
      <c r="AD369" s="105">
        <f t="shared" si="127"/>
        <v>0</v>
      </c>
      <c r="AE369" s="143"/>
      <c r="AF369" s="143"/>
      <c r="AG369" s="146"/>
      <c r="AH369" s="224" t="e">
        <f t="shared" si="128"/>
        <v>#REF!</v>
      </c>
      <c r="AI369" s="126"/>
      <c r="AJ369" s="274"/>
      <c r="AK369" s="274"/>
      <c r="AL369" s="126"/>
      <c r="AM369" s="126"/>
      <c r="AN369" s="126"/>
      <c r="AO369" s="126"/>
      <c r="AP369" s="274"/>
      <c r="AQ369" s="274"/>
      <c r="AR369" s="274"/>
      <c r="AS369" s="274"/>
      <c r="AT369" s="222">
        <f t="shared" si="129"/>
        <v>0</v>
      </c>
      <c r="AU369" s="140" t="e">
        <f t="shared" si="130"/>
        <v>#REF!</v>
      </c>
      <c r="AV369" s="132"/>
      <c r="AW369" s="140">
        <f t="shared" si="131"/>
        <v>0</v>
      </c>
      <c r="AX369" s="141"/>
      <c r="AY369" s="141"/>
      <c r="AZ369" s="141"/>
      <c r="BA369" s="141"/>
      <c r="BB369" s="141"/>
      <c r="BC369" s="130" t="e">
        <f t="shared" si="132"/>
        <v>#REF!</v>
      </c>
      <c r="BD369" s="132"/>
    </row>
    <row r="370" ht="14.25" customHeight="1">
      <c r="A370" s="132"/>
      <c r="B370" s="1506">
        <v>46354</v>
      </c>
      <c r="C370" s="136"/>
      <c r="D370" s="136"/>
      <c r="E370" s="135"/>
      <c r="F370" s="135"/>
      <c r="G370" s="147">
        <f t="shared" si="124"/>
        <v>0</v>
      </c>
      <c r="H370" s="144"/>
      <c r="I370" s="143"/>
      <c r="J370" s="143"/>
      <c r="K370" s="143"/>
      <c r="L370" s="143"/>
      <c r="M370" s="103">
        <f t="shared" si="125"/>
        <v>0</v>
      </c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03">
        <f t="shared" si="126"/>
        <v>0</v>
      </c>
      <c r="AA370" s="136"/>
      <c r="AB370" s="136"/>
      <c r="AC370" s="136"/>
      <c r="AD370" s="105">
        <f t="shared" si="127"/>
        <v>0</v>
      </c>
      <c r="AE370" s="143"/>
      <c r="AF370" s="143"/>
      <c r="AG370" s="146"/>
      <c r="AH370" s="224" t="e">
        <f t="shared" si="128"/>
        <v>#REF!</v>
      </c>
      <c r="AI370" s="126"/>
      <c r="AJ370" s="274"/>
      <c r="AK370" s="274"/>
      <c r="AL370" s="126"/>
      <c r="AM370" s="126"/>
      <c r="AN370" s="126"/>
      <c r="AO370" s="126"/>
      <c r="AP370" s="274"/>
      <c r="AQ370" s="274"/>
      <c r="AR370" s="274"/>
      <c r="AS370" s="274"/>
      <c r="AT370" s="222">
        <f t="shared" si="129"/>
        <v>0</v>
      </c>
      <c r="AU370" s="140" t="e">
        <f t="shared" si="130"/>
        <v>#REF!</v>
      </c>
      <c r="AV370" s="132"/>
      <c r="AW370" s="140">
        <f t="shared" si="131"/>
        <v>0</v>
      </c>
      <c r="AX370" s="141"/>
      <c r="AY370" s="141"/>
      <c r="AZ370" s="141"/>
      <c r="BA370" s="141"/>
      <c r="BB370" s="141"/>
      <c r="BC370" s="130" t="e">
        <f t="shared" si="132"/>
        <v>#REF!</v>
      </c>
      <c r="BD370" s="132"/>
    </row>
    <row r="371" ht="14.25" customHeight="1">
      <c r="A371" s="132"/>
      <c r="B371" s="1506">
        <v>46355</v>
      </c>
      <c r="C371" s="136"/>
      <c r="D371" s="136"/>
      <c r="E371" s="135"/>
      <c r="F371" s="135"/>
      <c r="G371" s="147">
        <f t="shared" si="124"/>
        <v>0</v>
      </c>
      <c r="H371" s="144"/>
      <c r="I371" s="143"/>
      <c r="J371" s="143"/>
      <c r="K371" s="143"/>
      <c r="L371" s="143"/>
      <c r="M371" s="103">
        <f t="shared" si="125"/>
        <v>0</v>
      </c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03">
        <f t="shared" si="126"/>
        <v>0</v>
      </c>
      <c r="AA371" s="136"/>
      <c r="AB371" s="136"/>
      <c r="AC371" s="136"/>
      <c r="AD371" s="105">
        <f t="shared" si="127"/>
        <v>0</v>
      </c>
      <c r="AE371" s="143"/>
      <c r="AF371" s="143"/>
      <c r="AG371" s="146"/>
      <c r="AH371" s="224" t="e">
        <f t="shared" si="128"/>
        <v>#REF!</v>
      </c>
      <c r="AI371" s="126"/>
      <c r="AJ371" s="274"/>
      <c r="AK371" s="274"/>
      <c r="AL371" s="126"/>
      <c r="AM371" s="126"/>
      <c r="AN371" s="126"/>
      <c r="AO371" s="126"/>
      <c r="AP371" s="274"/>
      <c r="AQ371" s="274"/>
      <c r="AR371" s="274"/>
      <c r="AS371" s="274"/>
      <c r="AT371" s="222">
        <f t="shared" si="129"/>
        <v>0</v>
      </c>
      <c r="AU371" s="140" t="e">
        <f t="shared" si="130"/>
        <v>#REF!</v>
      </c>
      <c r="AV371" s="132"/>
      <c r="AW371" s="140">
        <f t="shared" si="131"/>
        <v>0</v>
      </c>
      <c r="AX371" s="141"/>
      <c r="AY371" s="141"/>
      <c r="AZ371" s="141"/>
      <c r="BA371" s="141"/>
      <c r="BB371" s="141"/>
      <c r="BC371" s="130" t="e">
        <f t="shared" si="132"/>
        <v>#REF!</v>
      </c>
      <c r="BD371" s="132"/>
    </row>
    <row r="372" ht="14.25" customHeight="1">
      <c r="A372" s="132"/>
      <c r="B372" s="1506">
        <v>46356</v>
      </c>
      <c r="C372" s="136"/>
      <c r="D372" s="136"/>
      <c r="E372" s="135"/>
      <c r="F372" s="135"/>
      <c r="G372" s="147">
        <f t="shared" si="124"/>
        <v>0</v>
      </c>
      <c r="H372" s="144"/>
      <c r="I372" s="143"/>
      <c r="J372" s="143"/>
      <c r="K372" s="143"/>
      <c r="L372" s="143"/>
      <c r="M372" s="103">
        <f t="shared" si="125"/>
        <v>0</v>
      </c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03">
        <f t="shared" si="126"/>
        <v>0</v>
      </c>
      <c r="AA372" s="136"/>
      <c r="AB372" s="136"/>
      <c r="AC372" s="136"/>
      <c r="AD372" s="105">
        <f t="shared" si="127"/>
        <v>0</v>
      </c>
      <c r="AE372" s="143"/>
      <c r="AF372" s="143"/>
      <c r="AG372" s="146"/>
      <c r="AH372" s="224" t="e">
        <f t="shared" si="128"/>
        <v>#REF!</v>
      </c>
      <c r="AI372" s="138"/>
      <c r="AJ372" s="274"/>
      <c r="AK372" s="274"/>
      <c r="AL372" s="126"/>
      <c r="AM372" s="126"/>
      <c r="AN372" s="126"/>
      <c r="AO372" s="126"/>
      <c r="AP372" s="274"/>
      <c r="AQ372" s="274"/>
      <c r="AR372" s="274"/>
      <c r="AS372" s="274"/>
      <c r="AT372" s="222">
        <f t="shared" si="129"/>
        <v>0</v>
      </c>
      <c r="AU372" s="140" t="e">
        <f t="shared" si="130"/>
        <v>#REF!</v>
      </c>
      <c r="AV372" s="132"/>
      <c r="AW372" s="140">
        <f t="shared" si="131"/>
        <v>0</v>
      </c>
      <c r="AX372" s="141"/>
      <c r="AY372" s="141"/>
      <c r="AZ372" s="141"/>
      <c r="BA372" s="141"/>
      <c r="BB372" s="141"/>
      <c r="BC372" s="130" t="e">
        <f t="shared" si="132"/>
        <v>#REF!</v>
      </c>
      <c r="BD372" s="132"/>
    </row>
    <row r="373" ht="14.25" customHeight="1">
      <c r="A373" s="3"/>
      <c r="B373" s="1521" t="s">
        <v>85</v>
      </c>
      <c r="C373" s="166">
        <f ref="C373:H373" t="shared" si="133">SUM(C343:C372)</f>
        <v>0</v>
      </c>
      <c r="D373" s="166">
        <f t="shared" si="133"/>
        <v>0</v>
      </c>
      <c r="E373" s="166">
        <f t="shared" si="133"/>
        <v>0</v>
      </c>
      <c r="F373" s="166">
        <f t="shared" si="133"/>
        <v>0</v>
      </c>
      <c r="G373" s="166">
        <f t="shared" si="133"/>
        <v>0</v>
      </c>
      <c r="H373" s="166">
        <f t="shared" si="133"/>
        <v>0</v>
      </c>
      <c r="I373" s="166"/>
      <c r="J373" s="166"/>
      <c r="K373" s="166"/>
      <c r="L373" s="166">
        <f ref="L373:AA373" t="shared" si="134">SUM(L343:L372)</f>
        <v>0</v>
      </c>
      <c r="M373" s="166">
        <f t="shared" si="134"/>
        <v>0</v>
      </c>
      <c r="N373" s="166">
        <f t="shared" si="134"/>
        <v>0</v>
      </c>
      <c r="O373" s="166">
        <f t="shared" si="134"/>
        <v>0</v>
      </c>
      <c r="P373" s="166">
        <f t="shared" si="134"/>
        <v>0</v>
      </c>
      <c r="Q373" s="166">
        <f t="shared" si="134"/>
        <v>0</v>
      </c>
      <c r="R373" s="166">
        <f t="shared" si="134"/>
        <v>0</v>
      </c>
      <c r="S373" s="166">
        <f t="shared" si="134"/>
        <v>0</v>
      </c>
      <c r="T373" s="166">
        <f t="shared" si="134"/>
        <v>0</v>
      </c>
      <c r="U373" s="166">
        <f t="shared" si="134"/>
        <v>0</v>
      </c>
      <c r="V373" s="166">
        <f t="shared" si="134"/>
        <v>0</v>
      </c>
      <c r="W373" s="166">
        <f t="shared" si="134"/>
        <v>0</v>
      </c>
      <c r="X373" s="166">
        <f t="shared" si="134"/>
        <v>0</v>
      </c>
      <c r="Y373" s="166">
        <f t="shared" si="134"/>
        <v>0</v>
      </c>
      <c r="Z373" s="166">
        <f t="shared" si="134"/>
        <v>0</v>
      </c>
      <c r="AA373" s="166">
        <f t="shared" si="134"/>
        <v>0</v>
      </c>
      <c r="AB373" s="166"/>
      <c r="AC373" s="166"/>
      <c r="AD373" s="166">
        <f ref="AD373:AU373" t="shared" si="135">SUM(AD343:AD372)</f>
        <v>0</v>
      </c>
      <c r="AE373" s="166">
        <f t="shared" si="135"/>
        <v>0</v>
      </c>
      <c r="AF373" s="166">
        <f t="shared" si="135"/>
        <v>0</v>
      </c>
      <c r="AG373" s="166">
        <f t="shared" si="135"/>
        <v>0</v>
      </c>
      <c r="AH373" s="166" t="e">
        <f t="shared" si="135"/>
        <v>#REF!</v>
      </c>
      <c r="AI373" s="165">
        <f t="shared" si="135"/>
        <v>0</v>
      </c>
      <c r="AJ373" s="166">
        <f t="shared" si="135"/>
        <v>0</v>
      </c>
      <c r="AK373" s="166">
        <f t="shared" si="135"/>
        <v>0</v>
      </c>
      <c r="AL373" s="166">
        <f t="shared" si="135"/>
        <v>0</v>
      </c>
      <c r="AM373" s="166">
        <f t="shared" si="135"/>
        <v>0</v>
      </c>
      <c r="AN373" s="166">
        <f t="shared" si="135"/>
        <v>0</v>
      </c>
      <c r="AO373" s="166">
        <f t="shared" si="135"/>
        <v>0</v>
      </c>
      <c r="AP373" s="166">
        <f t="shared" si="135"/>
        <v>0</v>
      </c>
      <c r="AQ373" s="166">
        <f t="shared" si="135"/>
        <v>0</v>
      </c>
      <c r="AR373" s="166">
        <f t="shared" si="135"/>
        <v>0</v>
      </c>
      <c r="AS373" s="166">
        <f t="shared" si="135"/>
        <v>0</v>
      </c>
      <c r="AT373" s="166">
        <f t="shared" si="135"/>
        <v>0</v>
      </c>
      <c r="AU373" s="166" t="e">
        <f t="shared" si="135"/>
        <v>#REF!</v>
      </c>
      <c r="AV373" s="132"/>
      <c r="AW373" s="166">
        <f>SUM(AW343:AW372)</f>
        <v>0</v>
      </c>
      <c r="AX373" s="166"/>
      <c r="AY373" s="166"/>
      <c r="AZ373" s="166">
        <f ref="AZ373:BC373" t="shared" si="136">SUM(AZ343:AZ372)</f>
        <v>0</v>
      </c>
      <c r="BA373" s="166">
        <f t="shared" si="136"/>
        <v>0</v>
      </c>
      <c r="BB373" s="166">
        <f t="shared" si="136"/>
        <v>0</v>
      </c>
      <c r="BC373" s="166" t="e">
        <f t="shared" si="136"/>
        <v>#REF!</v>
      </c>
      <c r="BD373" s="132"/>
    </row>
    <row r="374" ht="14.25" customHeight="1">
      <c r="A374" s="1"/>
      <c r="B374" s="1495"/>
      <c r="C374" s="3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96"/>
      <c r="AA374" s="96"/>
      <c r="AB374" s="3"/>
      <c r="AC374" s="3"/>
      <c r="AD374" s="4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132"/>
      <c r="AT374" s="4"/>
      <c r="AU374" s="3"/>
      <c r="AV374" s="3"/>
      <c r="AW374" s="3"/>
      <c r="AX374" s="3"/>
      <c r="AY374" s="3"/>
      <c r="AZ374" s="3"/>
      <c r="BA374" s="3"/>
      <c r="BB374" s="3"/>
      <c r="BC374" s="3"/>
      <c r="BD374" s="132"/>
    </row>
    <row r="375" ht="14.25" customHeight="1">
      <c r="A375" s="1"/>
      <c r="B375" s="1495"/>
      <c r="C375" s="3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176"/>
      <c r="AA375" s="176"/>
      <c r="AB375" s="3"/>
      <c r="AC375" s="3"/>
      <c r="AD375" s="4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132"/>
      <c r="AT375" s="4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ht="14.25" customHeight="1">
      <c r="A376" s="3"/>
      <c r="B376" s="1506">
        <v>46357</v>
      </c>
      <c r="C376" s="104"/>
      <c r="D376" s="104"/>
      <c r="E376" s="97"/>
      <c r="F376" s="97"/>
      <c r="G376" s="265">
        <f ref="G376:G406" t="shared" si="137">+C376+D376+E376+F376</f>
        <v>0</v>
      </c>
      <c r="H376" s="187"/>
      <c r="I376" s="186"/>
      <c r="J376" s="186"/>
      <c r="K376" s="186"/>
      <c r="L376" s="186"/>
      <c r="M376" s="103">
        <f ref="M376:M406" t="shared" si="138">SUM(H376:L376)</f>
        <v>0</v>
      </c>
      <c r="N376" s="186"/>
      <c r="O376" s="186"/>
      <c r="P376" s="186"/>
      <c r="Q376" s="186"/>
      <c r="R376" s="186"/>
      <c r="S376" s="186"/>
      <c r="T376" s="186"/>
      <c r="U376" s="186"/>
      <c r="V376" s="186"/>
      <c r="W376" s="186"/>
      <c r="X376" s="186"/>
      <c r="Y376" s="186"/>
      <c r="Z376" s="103">
        <f ref="Z376:Z406" t="shared" si="139">SUM(N376:Y376)</f>
        <v>0</v>
      </c>
      <c r="AA376" s="104"/>
      <c r="AB376" s="104"/>
      <c r="AC376" s="104"/>
      <c r="AD376" s="191">
        <f ref="AD376:AD406" t="shared" si="140">SUM(AA376:AC376)</f>
        <v>0</v>
      </c>
      <c r="AE376" s="186"/>
      <c r="AF376" s="186"/>
      <c r="AG376" s="193"/>
      <c r="AH376" s="219" t="e">
        <f ref="AH376:AH406" t="shared" si="141">+G376-M376-Z376-AD376-AE376-AF376-#REF!-AG376</f>
        <v>#REF!</v>
      </c>
      <c r="AI376" s="109"/>
      <c r="AJ376" s="269"/>
      <c r="AK376" s="269"/>
      <c r="AL376" s="109"/>
      <c r="AM376" s="109"/>
      <c r="AN376" s="109"/>
      <c r="AO376" s="109"/>
      <c r="AP376" s="269"/>
      <c r="AQ376" s="269"/>
      <c r="AR376" s="269"/>
      <c r="AS376" s="269"/>
      <c r="AT376" s="292">
        <f ref="AT376:AT406" t="shared" si="142">SUM(AI376:AS376)-AR376</f>
        <v>0</v>
      </c>
      <c r="AU376" s="114" t="e">
        <f ref="AU376:AU406" t="shared" si="143">+AH376-AT376</f>
        <v>#REF!</v>
      </c>
      <c r="AV376" s="3"/>
      <c r="AW376" s="114">
        <f ref="AW376:AW406" t="shared" si="144">SUM(AX376:BB376)</f>
        <v>0</v>
      </c>
      <c r="AX376" s="115"/>
      <c r="AY376" s="115"/>
      <c r="AZ376" s="115"/>
      <c r="BA376" s="115"/>
      <c r="BB376" s="115"/>
      <c r="BC376" s="116" t="e">
        <f ref="BC376:BC406" t="shared" si="145">+AU376-AW376</f>
        <v>#REF!</v>
      </c>
      <c r="BD376" s="3"/>
    </row>
    <row r="377" ht="14.25" customHeight="1">
      <c r="A377" s="3"/>
      <c r="B377" s="1506">
        <v>46358</v>
      </c>
      <c r="C377" s="123"/>
      <c r="D377" s="123"/>
      <c r="E377" s="120"/>
      <c r="F377" s="120"/>
      <c r="G377" s="147">
        <f t="shared" si="137"/>
        <v>0</v>
      </c>
      <c r="H377" s="144"/>
      <c r="I377" s="143"/>
      <c r="J377" s="143"/>
      <c r="K377" s="143"/>
      <c r="L377" s="143"/>
      <c r="M377" s="103">
        <f t="shared" si="138"/>
        <v>0</v>
      </c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03">
        <f t="shared" si="139"/>
        <v>0</v>
      </c>
      <c r="AA377" s="123"/>
      <c r="AB377" s="123"/>
      <c r="AC377" s="123"/>
      <c r="AD377" s="105">
        <f t="shared" si="140"/>
        <v>0</v>
      </c>
      <c r="AE377" s="143"/>
      <c r="AF377" s="143"/>
      <c r="AG377" s="146"/>
      <c r="AH377" s="224" t="e">
        <f t="shared" si="141"/>
        <v>#REF!</v>
      </c>
      <c r="AI377" s="126"/>
      <c r="AJ377" s="274"/>
      <c r="AK377" s="274"/>
      <c r="AL377" s="126"/>
      <c r="AM377" s="126"/>
      <c r="AN377" s="126"/>
      <c r="AO377" s="126"/>
      <c r="AP377" s="274"/>
      <c r="AQ377" s="274"/>
      <c r="AR377" s="274"/>
      <c r="AS377" s="274"/>
      <c r="AT377" s="222">
        <f t="shared" si="142"/>
        <v>0</v>
      </c>
      <c r="AU377" s="113" t="e">
        <f t="shared" si="143"/>
        <v>#REF!</v>
      </c>
      <c r="AV377" s="3"/>
      <c r="AW377" s="113">
        <f t="shared" si="144"/>
        <v>0</v>
      </c>
      <c r="AX377" s="129"/>
      <c r="AY377" s="129"/>
      <c r="AZ377" s="129"/>
      <c r="BA377" s="129"/>
      <c r="BB377" s="129"/>
      <c r="BC377" s="130" t="e">
        <f t="shared" si="145"/>
        <v>#REF!</v>
      </c>
      <c r="BD377" s="3"/>
    </row>
    <row r="378" ht="14.25" customHeight="1">
      <c r="A378" s="3"/>
      <c r="B378" s="1506">
        <v>46359</v>
      </c>
      <c r="C378" s="123"/>
      <c r="D378" s="123"/>
      <c r="E378" s="120"/>
      <c r="F378" s="120"/>
      <c r="G378" s="147">
        <f t="shared" si="137"/>
        <v>0</v>
      </c>
      <c r="H378" s="144"/>
      <c r="I378" s="143"/>
      <c r="J378" s="1517"/>
      <c r="K378" s="143"/>
      <c r="L378" s="143"/>
      <c r="M378" s="103">
        <f t="shared" si="138"/>
        <v>0</v>
      </c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03">
        <f t="shared" si="139"/>
        <v>0</v>
      </c>
      <c r="AA378" s="123"/>
      <c r="AB378" s="123"/>
      <c r="AC378" s="123"/>
      <c r="AD378" s="105">
        <f t="shared" si="140"/>
        <v>0</v>
      </c>
      <c r="AE378" s="143"/>
      <c r="AF378" s="143"/>
      <c r="AG378" s="146"/>
      <c r="AH378" s="224" t="e">
        <f t="shared" si="141"/>
        <v>#REF!</v>
      </c>
      <c r="AI378" s="126"/>
      <c r="AJ378" s="274"/>
      <c r="AK378" s="274"/>
      <c r="AL378" s="126"/>
      <c r="AM378" s="126"/>
      <c r="AN378" s="126"/>
      <c r="AO378" s="126"/>
      <c r="AP378" s="274"/>
      <c r="AQ378" s="274"/>
      <c r="AR378" s="274"/>
      <c r="AS378" s="274"/>
      <c r="AT378" s="222">
        <f t="shared" si="142"/>
        <v>0</v>
      </c>
      <c r="AU378" s="113" t="e">
        <f t="shared" si="143"/>
        <v>#REF!</v>
      </c>
      <c r="AV378" s="3"/>
      <c r="AW378" s="113">
        <f t="shared" si="144"/>
        <v>0</v>
      </c>
      <c r="AX378" s="129"/>
      <c r="AY378" s="129"/>
      <c r="AZ378" s="129"/>
      <c r="BA378" s="129"/>
      <c r="BB378" s="129"/>
      <c r="BC378" s="130" t="e">
        <f t="shared" si="145"/>
        <v>#REF!</v>
      </c>
      <c r="BD378" s="3"/>
    </row>
    <row r="379" ht="14.25" customHeight="1">
      <c r="A379" s="3"/>
      <c r="B379" s="1506">
        <v>46360</v>
      </c>
      <c r="C379" s="123"/>
      <c r="D379" s="123"/>
      <c r="E379" s="120"/>
      <c r="F379" s="120"/>
      <c r="G379" s="147">
        <f t="shared" si="137"/>
        <v>0</v>
      </c>
      <c r="H379" s="144"/>
      <c r="I379" s="143"/>
      <c r="J379" s="143"/>
      <c r="K379" s="143"/>
      <c r="L379" s="143"/>
      <c r="M379" s="103">
        <f t="shared" si="138"/>
        <v>0</v>
      </c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03">
        <f t="shared" si="139"/>
        <v>0</v>
      </c>
      <c r="AA379" s="123"/>
      <c r="AB379" s="123"/>
      <c r="AC379" s="123"/>
      <c r="AD379" s="105">
        <f t="shared" si="140"/>
        <v>0</v>
      </c>
      <c r="AE379" s="143"/>
      <c r="AF379" s="143"/>
      <c r="AG379" s="146"/>
      <c r="AH379" s="224" t="e">
        <f t="shared" si="141"/>
        <v>#REF!</v>
      </c>
      <c r="AI379" s="126"/>
      <c r="AJ379" s="274"/>
      <c r="AK379" s="274"/>
      <c r="AL379" s="126"/>
      <c r="AM379" s="126"/>
      <c r="AN379" s="126"/>
      <c r="AO379" s="126"/>
      <c r="AP379" s="274"/>
      <c r="AQ379" s="274"/>
      <c r="AR379" s="274"/>
      <c r="AS379" s="274"/>
      <c r="AT379" s="222">
        <f t="shared" si="142"/>
        <v>0</v>
      </c>
      <c r="AU379" s="113" t="e">
        <f t="shared" si="143"/>
        <v>#REF!</v>
      </c>
      <c r="AV379" s="3"/>
      <c r="AW379" s="113">
        <f t="shared" si="144"/>
        <v>0</v>
      </c>
      <c r="AX379" s="129"/>
      <c r="AY379" s="129"/>
      <c r="AZ379" s="129"/>
      <c r="BA379" s="129"/>
      <c r="BB379" s="129"/>
      <c r="BC379" s="130" t="e">
        <f t="shared" si="145"/>
        <v>#REF!</v>
      </c>
      <c r="BD379" s="3"/>
    </row>
    <row r="380" ht="14.25" customHeight="1">
      <c r="A380" s="3"/>
      <c r="B380" s="1506">
        <v>46361</v>
      </c>
      <c r="C380" s="123"/>
      <c r="D380" s="123"/>
      <c r="E380" s="120"/>
      <c r="F380" s="120"/>
      <c r="G380" s="147">
        <f t="shared" si="137"/>
        <v>0</v>
      </c>
      <c r="H380" s="144"/>
      <c r="I380" s="143"/>
      <c r="J380" s="143"/>
      <c r="K380" s="143"/>
      <c r="L380" s="143"/>
      <c r="M380" s="103">
        <f t="shared" si="138"/>
        <v>0</v>
      </c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03">
        <f t="shared" si="139"/>
        <v>0</v>
      </c>
      <c r="AA380" s="123"/>
      <c r="AB380" s="123"/>
      <c r="AC380" s="123"/>
      <c r="AD380" s="105">
        <f t="shared" si="140"/>
        <v>0</v>
      </c>
      <c r="AE380" s="143"/>
      <c r="AF380" s="143"/>
      <c r="AG380" s="146"/>
      <c r="AH380" s="224" t="e">
        <f t="shared" si="141"/>
        <v>#REF!</v>
      </c>
      <c r="AI380" s="126"/>
      <c r="AJ380" s="274"/>
      <c r="AK380" s="274"/>
      <c r="AL380" s="126"/>
      <c r="AM380" s="126"/>
      <c r="AN380" s="126"/>
      <c r="AO380" s="126"/>
      <c r="AP380" s="274"/>
      <c r="AQ380" s="274"/>
      <c r="AR380" s="274"/>
      <c r="AS380" s="274"/>
      <c r="AT380" s="222">
        <f t="shared" si="142"/>
        <v>0</v>
      </c>
      <c r="AU380" s="113" t="e">
        <f t="shared" si="143"/>
        <v>#REF!</v>
      </c>
      <c r="AV380" s="3"/>
      <c r="AW380" s="113">
        <f t="shared" si="144"/>
        <v>0</v>
      </c>
      <c r="AX380" s="129"/>
      <c r="AY380" s="129"/>
      <c r="AZ380" s="129"/>
      <c r="BA380" s="129"/>
      <c r="BB380" s="129"/>
      <c r="BC380" s="130" t="e">
        <f t="shared" si="145"/>
        <v>#REF!</v>
      </c>
      <c r="BD380" s="3"/>
    </row>
    <row r="381" ht="14.25" customHeight="1">
      <c r="A381" s="3"/>
      <c r="B381" s="1506">
        <v>46362</v>
      </c>
      <c r="C381" s="123"/>
      <c r="D381" s="123"/>
      <c r="E381" s="120"/>
      <c r="F381" s="120"/>
      <c r="G381" s="147">
        <f t="shared" si="137"/>
        <v>0</v>
      </c>
      <c r="H381" s="144"/>
      <c r="I381" s="143"/>
      <c r="J381" s="1517"/>
      <c r="K381" s="143"/>
      <c r="L381" s="143"/>
      <c r="M381" s="103">
        <f t="shared" si="138"/>
        <v>0</v>
      </c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03">
        <f t="shared" si="139"/>
        <v>0</v>
      </c>
      <c r="AA381" s="123"/>
      <c r="AB381" s="123"/>
      <c r="AC381" s="123"/>
      <c r="AD381" s="105">
        <f t="shared" si="140"/>
        <v>0</v>
      </c>
      <c r="AE381" s="143"/>
      <c r="AF381" s="143"/>
      <c r="AG381" s="146"/>
      <c r="AH381" s="224" t="e">
        <f t="shared" si="141"/>
        <v>#REF!</v>
      </c>
      <c r="AI381" s="126"/>
      <c r="AJ381" s="274"/>
      <c r="AK381" s="274"/>
      <c r="AL381" s="126"/>
      <c r="AM381" s="126"/>
      <c r="AN381" s="126"/>
      <c r="AO381" s="126"/>
      <c r="AP381" s="274"/>
      <c r="AQ381" s="274"/>
      <c r="AR381" s="274"/>
      <c r="AS381" s="274"/>
      <c r="AT381" s="222">
        <f t="shared" si="142"/>
        <v>0</v>
      </c>
      <c r="AU381" s="113" t="e">
        <f t="shared" si="143"/>
        <v>#REF!</v>
      </c>
      <c r="AV381" s="3"/>
      <c r="AW381" s="113">
        <f t="shared" si="144"/>
        <v>0</v>
      </c>
      <c r="AX381" s="129"/>
      <c r="AY381" s="129"/>
      <c r="AZ381" s="129"/>
      <c r="BA381" s="129"/>
      <c r="BB381" s="129"/>
      <c r="BC381" s="130" t="e">
        <f t="shared" si="145"/>
        <v>#REF!</v>
      </c>
      <c r="BD381" s="3"/>
    </row>
    <row r="382" ht="14.25" customHeight="1">
      <c r="A382" s="3"/>
      <c r="B382" s="1506">
        <v>46363</v>
      </c>
      <c r="C382" s="123"/>
      <c r="D382" s="123"/>
      <c r="E382" s="120"/>
      <c r="F382" s="120"/>
      <c r="G382" s="147">
        <f t="shared" si="137"/>
        <v>0</v>
      </c>
      <c r="H382" s="144"/>
      <c r="I382" s="143"/>
      <c r="J382" s="1517"/>
      <c r="K382" s="143"/>
      <c r="L382" s="143"/>
      <c r="M382" s="103">
        <f t="shared" si="138"/>
        <v>0</v>
      </c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03">
        <f t="shared" si="139"/>
        <v>0</v>
      </c>
      <c r="AA382" s="123"/>
      <c r="AB382" s="123"/>
      <c r="AC382" s="123"/>
      <c r="AD382" s="105">
        <f t="shared" si="140"/>
        <v>0</v>
      </c>
      <c r="AE382" s="143"/>
      <c r="AF382" s="143"/>
      <c r="AG382" s="146"/>
      <c r="AH382" s="224" t="e">
        <f t="shared" si="141"/>
        <v>#REF!</v>
      </c>
      <c r="AI382" s="126"/>
      <c r="AJ382" s="274"/>
      <c r="AK382" s="274"/>
      <c r="AL382" s="126"/>
      <c r="AM382" s="126"/>
      <c r="AN382" s="126"/>
      <c r="AO382" s="126"/>
      <c r="AP382" s="274"/>
      <c r="AQ382" s="274"/>
      <c r="AR382" s="274"/>
      <c r="AS382" s="274"/>
      <c r="AT382" s="222">
        <f t="shared" si="142"/>
        <v>0</v>
      </c>
      <c r="AU382" s="113" t="e">
        <f t="shared" si="143"/>
        <v>#REF!</v>
      </c>
      <c r="AV382" s="3"/>
      <c r="AW382" s="113">
        <f t="shared" si="144"/>
        <v>0</v>
      </c>
      <c r="AX382" s="129"/>
      <c r="AY382" s="129"/>
      <c r="AZ382" s="129"/>
      <c r="BA382" s="129"/>
      <c r="BB382" s="129"/>
      <c r="BC382" s="130" t="e">
        <f t="shared" si="145"/>
        <v>#REF!</v>
      </c>
      <c r="BD382" s="3"/>
    </row>
    <row r="383" ht="14.25" customHeight="1">
      <c r="A383" s="132"/>
      <c r="B383" s="1506">
        <v>46364</v>
      </c>
      <c r="C383" s="136"/>
      <c r="D383" s="136"/>
      <c r="E383" s="135"/>
      <c r="F383" s="135"/>
      <c r="G383" s="147">
        <f t="shared" si="137"/>
        <v>0</v>
      </c>
      <c r="H383" s="144"/>
      <c r="I383" s="143"/>
      <c r="J383" s="143"/>
      <c r="K383" s="143"/>
      <c r="L383" s="143"/>
      <c r="M383" s="103">
        <f t="shared" si="138"/>
        <v>0</v>
      </c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03">
        <f t="shared" si="139"/>
        <v>0</v>
      </c>
      <c r="AA383" s="136"/>
      <c r="AB383" s="136"/>
      <c r="AC383" s="136"/>
      <c r="AD383" s="105">
        <f t="shared" si="140"/>
        <v>0</v>
      </c>
      <c r="AE383" s="143"/>
      <c r="AF383" s="143"/>
      <c r="AG383" s="146"/>
      <c r="AH383" s="224" t="e">
        <f t="shared" si="141"/>
        <v>#REF!</v>
      </c>
      <c r="AI383" s="126"/>
      <c r="AJ383" s="274"/>
      <c r="AK383" s="274"/>
      <c r="AL383" s="126"/>
      <c r="AM383" s="126"/>
      <c r="AN383" s="126"/>
      <c r="AO383" s="126"/>
      <c r="AP383" s="274"/>
      <c r="AQ383" s="274"/>
      <c r="AR383" s="274"/>
      <c r="AS383" s="274"/>
      <c r="AT383" s="222">
        <f t="shared" si="142"/>
        <v>0</v>
      </c>
      <c r="AU383" s="140" t="e">
        <f t="shared" si="143"/>
        <v>#REF!</v>
      </c>
      <c r="AV383" s="132"/>
      <c r="AW383" s="140">
        <f t="shared" si="144"/>
        <v>0</v>
      </c>
      <c r="AX383" s="141"/>
      <c r="AY383" s="141"/>
      <c r="AZ383" s="141"/>
      <c r="BA383" s="141"/>
      <c r="BB383" s="141"/>
      <c r="BC383" s="130" t="e">
        <f t="shared" si="145"/>
        <v>#REF!</v>
      </c>
      <c r="BD383" s="132"/>
    </row>
    <row r="384" ht="14.25" customHeight="1">
      <c r="A384" s="132"/>
      <c r="B384" s="1506">
        <v>46365</v>
      </c>
      <c r="C384" s="136"/>
      <c r="D384" s="136"/>
      <c r="E384" s="135"/>
      <c r="F384" s="135"/>
      <c r="G384" s="147">
        <f t="shared" si="137"/>
        <v>0</v>
      </c>
      <c r="H384" s="144"/>
      <c r="I384" s="143"/>
      <c r="J384" s="143"/>
      <c r="K384" s="143"/>
      <c r="L384" s="143"/>
      <c r="M384" s="103">
        <f t="shared" si="138"/>
        <v>0</v>
      </c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03">
        <f t="shared" si="139"/>
        <v>0</v>
      </c>
      <c r="AA384" s="136"/>
      <c r="AB384" s="136"/>
      <c r="AC384" s="136"/>
      <c r="AD384" s="105">
        <f t="shared" si="140"/>
        <v>0</v>
      </c>
      <c r="AE384" s="143"/>
      <c r="AF384" s="143"/>
      <c r="AG384" s="146"/>
      <c r="AH384" s="224" t="e">
        <f t="shared" si="141"/>
        <v>#REF!</v>
      </c>
      <c r="AI384" s="126"/>
      <c r="AJ384" s="274"/>
      <c r="AK384" s="274"/>
      <c r="AL384" s="126"/>
      <c r="AM384" s="126"/>
      <c r="AN384" s="126"/>
      <c r="AO384" s="126"/>
      <c r="AP384" s="274"/>
      <c r="AQ384" s="274"/>
      <c r="AR384" s="274"/>
      <c r="AS384" s="274"/>
      <c r="AT384" s="222">
        <f t="shared" si="142"/>
        <v>0</v>
      </c>
      <c r="AU384" s="140" t="e">
        <f t="shared" si="143"/>
        <v>#REF!</v>
      </c>
      <c r="AV384" s="132"/>
      <c r="AW384" s="140">
        <f t="shared" si="144"/>
        <v>0</v>
      </c>
      <c r="AX384" s="141"/>
      <c r="AY384" s="141"/>
      <c r="AZ384" s="141"/>
      <c r="BA384" s="141"/>
      <c r="BB384" s="141"/>
      <c r="BC384" s="130" t="e">
        <f t="shared" si="145"/>
        <v>#REF!</v>
      </c>
      <c r="BD384" s="132"/>
    </row>
    <row r="385" ht="14.25" customHeight="1">
      <c r="A385" s="132"/>
      <c r="B385" s="1506">
        <v>46366</v>
      </c>
      <c r="C385" s="136"/>
      <c r="D385" s="136"/>
      <c r="E385" s="135"/>
      <c r="F385" s="135"/>
      <c r="G385" s="147">
        <f t="shared" si="137"/>
        <v>0</v>
      </c>
      <c r="H385" s="144"/>
      <c r="I385" s="143"/>
      <c r="J385" s="143"/>
      <c r="K385" s="143"/>
      <c r="L385" s="143"/>
      <c r="M385" s="103">
        <f t="shared" si="138"/>
        <v>0</v>
      </c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03">
        <f t="shared" si="139"/>
        <v>0</v>
      </c>
      <c r="AA385" s="136"/>
      <c r="AB385" s="136"/>
      <c r="AC385" s="136"/>
      <c r="AD385" s="105">
        <f t="shared" si="140"/>
        <v>0</v>
      </c>
      <c r="AE385" s="143"/>
      <c r="AF385" s="143"/>
      <c r="AG385" s="146"/>
      <c r="AH385" s="224" t="e">
        <f t="shared" si="141"/>
        <v>#REF!</v>
      </c>
      <c r="AI385" s="126"/>
      <c r="AJ385" s="274"/>
      <c r="AK385" s="274"/>
      <c r="AL385" s="126"/>
      <c r="AM385" s="126"/>
      <c r="AN385" s="126"/>
      <c r="AO385" s="126"/>
      <c r="AP385" s="274"/>
      <c r="AQ385" s="274"/>
      <c r="AR385" s="274"/>
      <c r="AS385" s="274"/>
      <c r="AT385" s="222">
        <f t="shared" si="142"/>
        <v>0</v>
      </c>
      <c r="AU385" s="140" t="e">
        <f t="shared" si="143"/>
        <v>#REF!</v>
      </c>
      <c r="AV385" s="132"/>
      <c r="AW385" s="140">
        <f t="shared" si="144"/>
        <v>0</v>
      </c>
      <c r="AX385" s="141"/>
      <c r="AY385" s="141"/>
      <c r="AZ385" s="141"/>
      <c r="BA385" s="141"/>
      <c r="BB385" s="141"/>
      <c r="BC385" s="130" t="e">
        <f t="shared" si="145"/>
        <v>#REF!</v>
      </c>
      <c r="BD385" s="132"/>
    </row>
    <row r="386" ht="14.25" customHeight="1">
      <c r="A386" s="132"/>
      <c r="B386" s="1506">
        <v>46367</v>
      </c>
      <c r="C386" s="136"/>
      <c r="D386" s="136"/>
      <c r="E386" s="135"/>
      <c r="F386" s="135"/>
      <c r="G386" s="147">
        <f t="shared" si="137"/>
        <v>0</v>
      </c>
      <c r="H386" s="144"/>
      <c r="I386" s="143"/>
      <c r="J386" s="143"/>
      <c r="K386" s="143"/>
      <c r="L386" s="143"/>
      <c r="M386" s="103">
        <f t="shared" si="138"/>
        <v>0</v>
      </c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03">
        <f t="shared" si="139"/>
        <v>0</v>
      </c>
      <c r="AA386" s="136"/>
      <c r="AB386" s="136"/>
      <c r="AC386" s="136"/>
      <c r="AD386" s="105">
        <f t="shared" si="140"/>
        <v>0</v>
      </c>
      <c r="AE386" s="143"/>
      <c r="AF386" s="143"/>
      <c r="AG386" s="146"/>
      <c r="AH386" s="224" t="e">
        <f t="shared" si="141"/>
        <v>#REF!</v>
      </c>
      <c r="AI386" s="126"/>
      <c r="AJ386" s="274"/>
      <c r="AK386" s="274"/>
      <c r="AL386" s="126"/>
      <c r="AM386" s="126"/>
      <c r="AN386" s="126"/>
      <c r="AO386" s="126"/>
      <c r="AP386" s="274"/>
      <c r="AQ386" s="274"/>
      <c r="AR386" s="274"/>
      <c r="AS386" s="274"/>
      <c r="AT386" s="222">
        <f t="shared" si="142"/>
        <v>0</v>
      </c>
      <c r="AU386" s="140" t="e">
        <f t="shared" si="143"/>
        <v>#REF!</v>
      </c>
      <c r="AV386" s="132"/>
      <c r="AW386" s="140">
        <f t="shared" si="144"/>
        <v>0</v>
      </c>
      <c r="AX386" s="141"/>
      <c r="AY386" s="141"/>
      <c r="AZ386" s="141"/>
      <c r="BA386" s="141"/>
      <c r="BB386" s="141"/>
      <c r="BC386" s="130" t="e">
        <f t="shared" si="145"/>
        <v>#REF!</v>
      </c>
      <c r="BD386" s="132"/>
    </row>
    <row r="387" ht="14.25" customHeight="1">
      <c r="A387" s="132"/>
      <c r="B387" s="1506">
        <v>46368</v>
      </c>
      <c r="C387" s="136"/>
      <c r="D387" s="136"/>
      <c r="E387" s="135"/>
      <c r="F387" s="135"/>
      <c r="G387" s="147">
        <f t="shared" si="137"/>
        <v>0</v>
      </c>
      <c r="H387" s="144"/>
      <c r="I387" s="143"/>
      <c r="J387" s="143"/>
      <c r="K387" s="143"/>
      <c r="L387" s="143"/>
      <c r="M387" s="103">
        <f t="shared" si="138"/>
        <v>0</v>
      </c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03">
        <f t="shared" si="139"/>
        <v>0</v>
      </c>
      <c r="AA387" s="136"/>
      <c r="AB387" s="136"/>
      <c r="AC387" s="136"/>
      <c r="AD387" s="105">
        <f t="shared" si="140"/>
        <v>0</v>
      </c>
      <c r="AE387" s="143"/>
      <c r="AF387" s="143"/>
      <c r="AG387" s="146"/>
      <c r="AH387" s="224" t="e">
        <f t="shared" si="141"/>
        <v>#REF!</v>
      </c>
      <c r="AI387" s="126"/>
      <c r="AJ387" s="274"/>
      <c r="AK387" s="274"/>
      <c r="AL387" s="126"/>
      <c r="AM387" s="126"/>
      <c r="AN387" s="126"/>
      <c r="AO387" s="126"/>
      <c r="AP387" s="274"/>
      <c r="AQ387" s="274"/>
      <c r="AR387" s="274"/>
      <c r="AS387" s="274"/>
      <c r="AT387" s="222">
        <f t="shared" si="142"/>
        <v>0</v>
      </c>
      <c r="AU387" s="140" t="e">
        <f t="shared" si="143"/>
        <v>#REF!</v>
      </c>
      <c r="AV387" s="132"/>
      <c r="AW387" s="140">
        <f t="shared" si="144"/>
        <v>0</v>
      </c>
      <c r="AX387" s="141"/>
      <c r="AY387" s="141"/>
      <c r="AZ387" s="141"/>
      <c r="BA387" s="141"/>
      <c r="BB387" s="141"/>
      <c r="BC387" s="130" t="e">
        <f t="shared" si="145"/>
        <v>#REF!</v>
      </c>
      <c r="BD387" s="132"/>
    </row>
    <row r="388" ht="14.25" customHeight="1">
      <c r="A388" s="132"/>
      <c r="B388" s="1506">
        <v>46369</v>
      </c>
      <c r="C388" s="136"/>
      <c r="D388" s="136"/>
      <c r="E388" s="135"/>
      <c r="F388" s="135"/>
      <c r="G388" s="147">
        <f t="shared" si="137"/>
        <v>0</v>
      </c>
      <c r="H388" s="144"/>
      <c r="I388" s="143"/>
      <c r="J388" s="143"/>
      <c r="K388" s="143"/>
      <c r="L388" s="143"/>
      <c r="M388" s="103">
        <f t="shared" si="138"/>
        <v>0</v>
      </c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03">
        <f t="shared" si="139"/>
        <v>0</v>
      </c>
      <c r="AA388" s="136"/>
      <c r="AB388" s="136"/>
      <c r="AC388" s="136"/>
      <c r="AD388" s="105">
        <f t="shared" si="140"/>
        <v>0</v>
      </c>
      <c r="AE388" s="143"/>
      <c r="AF388" s="143"/>
      <c r="AG388" s="146"/>
      <c r="AH388" s="224" t="e">
        <f t="shared" si="141"/>
        <v>#REF!</v>
      </c>
      <c r="AI388" s="126"/>
      <c r="AJ388" s="274"/>
      <c r="AK388" s="274"/>
      <c r="AL388" s="126"/>
      <c r="AM388" s="126"/>
      <c r="AN388" s="126"/>
      <c r="AO388" s="126"/>
      <c r="AP388" s="274"/>
      <c r="AQ388" s="274"/>
      <c r="AR388" s="274"/>
      <c r="AS388" s="274"/>
      <c r="AT388" s="222">
        <f t="shared" si="142"/>
        <v>0</v>
      </c>
      <c r="AU388" s="140" t="e">
        <f t="shared" si="143"/>
        <v>#REF!</v>
      </c>
      <c r="AV388" s="132"/>
      <c r="AW388" s="140">
        <f t="shared" si="144"/>
        <v>0</v>
      </c>
      <c r="AX388" s="141"/>
      <c r="AY388" s="141"/>
      <c r="AZ388" s="141"/>
      <c r="BA388" s="141"/>
      <c r="BB388" s="141"/>
      <c r="BC388" s="130" t="e">
        <f t="shared" si="145"/>
        <v>#REF!</v>
      </c>
      <c r="BD388" s="132"/>
    </row>
    <row r="389" ht="14.25" customHeight="1">
      <c r="A389" s="132"/>
      <c r="B389" s="1506">
        <v>46370</v>
      </c>
      <c r="C389" s="136"/>
      <c r="D389" s="136"/>
      <c r="E389" s="135"/>
      <c r="F389" s="135"/>
      <c r="G389" s="147">
        <f t="shared" si="137"/>
        <v>0</v>
      </c>
      <c r="H389" s="144"/>
      <c r="I389" s="143"/>
      <c r="J389" s="143"/>
      <c r="K389" s="143"/>
      <c r="L389" s="143"/>
      <c r="M389" s="103">
        <f t="shared" si="138"/>
        <v>0</v>
      </c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03">
        <f t="shared" si="139"/>
        <v>0</v>
      </c>
      <c r="AA389" s="136"/>
      <c r="AB389" s="136"/>
      <c r="AC389" s="136"/>
      <c r="AD389" s="105">
        <f t="shared" si="140"/>
        <v>0</v>
      </c>
      <c r="AE389" s="143"/>
      <c r="AF389" s="143"/>
      <c r="AG389" s="146"/>
      <c r="AH389" s="224" t="e">
        <f t="shared" si="141"/>
        <v>#REF!</v>
      </c>
      <c r="AI389" s="126"/>
      <c r="AJ389" s="274"/>
      <c r="AK389" s="274"/>
      <c r="AL389" s="126"/>
      <c r="AM389" s="126"/>
      <c r="AN389" s="126"/>
      <c r="AO389" s="126"/>
      <c r="AP389" s="274"/>
      <c r="AQ389" s="274"/>
      <c r="AR389" s="274"/>
      <c r="AS389" s="274"/>
      <c r="AT389" s="222">
        <f t="shared" si="142"/>
        <v>0</v>
      </c>
      <c r="AU389" s="140" t="e">
        <f t="shared" si="143"/>
        <v>#REF!</v>
      </c>
      <c r="AV389" s="132"/>
      <c r="AW389" s="140">
        <f t="shared" si="144"/>
        <v>0</v>
      </c>
      <c r="AX389" s="141"/>
      <c r="AY389" s="141"/>
      <c r="AZ389" s="141"/>
      <c r="BA389" s="141"/>
      <c r="BB389" s="141"/>
      <c r="BC389" s="130" t="e">
        <f t="shared" si="145"/>
        <v>#REF!</v>
      </c>
      <c r="BD389" s="132"/>
    </row>
    <row r="390" ht="14.25" customHeight="1">
      <c r="A390" s="132"/>
      <c r="B390" s="1506">
        <v>46371</v>
      </c>
      <c r="C390" s="136"/>
      <c r="D390" s="136"/>
      <c r="E390" s="135"/>
      <c r="F390" s="135"/>
      <c r="G390" s="147">
        <f t="shared" si="137"/>
        <v>0</v>
      </c>
      <c r="H390" s="144"/>
      <c r="I390" s="143"/>
      <c r="J390" s="143"/>
      <c r="K390" s="143"/>
      <c r="L390" s="143"/>
      <c r="M390" s="103">
        <f t="shared" si="138"/>
        <v>0</v>
      </c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03">
        <f t="shared" si="139"/>
        <v>0</v>
      </c>
      <c r="AA390" s="136"/>
      <c r="AB390" s="136"/>
      <c r="AC390" s="136"/>
      <c r="AD390" s="105">
        <f t="shared" si="140"/>
        <v>0</v>
      </c>
      <c r="AE390" s="143"/>
      <c r="AF390" s="143"/>
      <c r="AG390" s="146"/>
      <c r="AH390" s="224" t="e">
        <f t="shared" si="141"/>
        <v>#REF!</v>
      </c>
      <c r="AI390" s="126"/>
      <c r="AJ390" s="274"/>
      <c r="AK390" s="274"/>
      <c r="AL390" s="126"/>
      <c r="AM390" s="126"/>
      <c r="AN390" s="126"/>
      <c r="AO390" s="126"/>
      <c r="AP390" s="274"/>
      <c r="AQ390" s="274"/>
      <c r="AR390" s="274"/>
      <c r="AS390" s="274"/>
      <c r="AT390" s="222">
        <f t="shared" si="142"/>
        <v>0</v>
      </c>
      <c r="AU390" s="140" t="e">
        <f t="shared" si="143"/>
        <v>#REF!</v>
      </c>
      <c r="AV390" s="132"/>
      <c r="AW390" s="140">
        <f t="shared" si="144"/>
        <v>0</v>
      </c>
      <c r="AX390" s="141"/>
      <c r="AY390" s="141"/>
      <c r="AZ390" s="141"/>
      <c r="BA390" s="141"/>
      <c r="BB390" s="141"/>
      <c r="BC390" s="130" t="e">
        <f t="shared" si="145"/>
        <v>#REF!</v>
      </c>
      <c r="BD390" s="132"/>
    </row>
    <row r="391" ht="14.25" customHeight="1">
      <c r="A391" s="132"/>
      <c r="B391" s="1506">
        <v>46372</v>
      </c>
      <c r="C391" s="136"/>
      <c r="D391" s="136"/>
      <c r="E391" s="135"/>
      <c r="F391" s="135"/>
      <c r="G391" s="147">
        <f t="shared" si="137"/>
        <v>0</v>
      </c>
      <c r="H391" s="144"/>
      <c r="I391" s="143"/>
      <c r="J391" s="143"/>
      <c r="K391" s="143"/>
      <c r="L391" s="143"/>
      <c r="M391" s="103">
        <f t="shared" si="138"/>
        <v>0</v>
      </c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03">
        <f t="shared" si="139"/>
        <v>0</v>
      </c>
      <c r="AA391" s="136"/>
      <c r="AB391" s="136"/>
      <c r="AC391" s="136"/>
      <c r="AD391" s="105">
        <f t="shared" si="140"/>
        <v>0</v>
      </c>
      <c r="AE391" s="143"/>
      <c r="AF391" s="143"/>
      <c r="AG391" s="146"/>
      <c r="AH391" s="224" t="e">
        <f t="shared" si="141"/>
        <v>#REF!</v>
      </c>
      <c r="AI391" s="126"/>
      <c r="AJ391" s="274"/>
      <c r="AK391" s="274"/>
      <c r="AL391" s="126"/>
      <c r="AM391" s="126"/>
      <c r="AN391" s="126"/>
      <c r="AO391" s="126"/>
      <c r="AP391" s="274"/>
      <c r="AQ391" s="274"/>
      <c r="AR391" s="274"/>
      <c r="AS391" s="274"/>
      <c r="AT391" s="222">
        <f t="shared" si="142"/>
        <v>0</v>
      </c>
      <c r="AU391" s="140" t="e">
        <f t="shared" si="143"/>
        <v>#REF!</v>
      </c>
      <c r="AV391" s="132"/>
      <c r="AW391" s="140">
        <f t="shared" si="144"/>
        <v>0</v>
      </c>
      <c r="AX391" s="141"/>
      <c r="AY391" s="141"/>
      <c r="AZ391" s="141"/>
      <c r="BA391" s="141"/>
      <c r="BB391" s="141"/>
      <c r="BC391" s="130" t="e">
        <f t="shared" si="145"/>
        <v>#REF!</v>
      </c>
      <c r="BD391" s="132"/>
    </row>
    <row r="392" ht="14.25" customHeight="1">
      <c r="A392" s="132"/>
      <c r="B392" s="1506">
        <v>46373</v>
      </c>
      <c r="C392" s="136"/>
      <c r="D392" s="136"/>
      <c r="E392" s="135"/>
      <c r="F392" s="135"/>
      <c r="G392" s="147">
        <f t="shared" si="137"/>
        <v>0</v>
      </c>
      <c r="H392" s="144"/>
      <c r="I392" s="143"/>
      <c r="J392" s="143"/>
      <c r="K392" s="143"/>
      <c r="L392" s="143"/>
      <c r="M392" s="103">
        <f t="shared" si="138"/>
        <v>0</v>
      </c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03">
        <f t="shared" si="139"/>
        <v>0</v>
      </c>
      <c r="AA392" s="136"/>
      <c r="AB392" s="136"/>
      <c r="AC392" s="136"/>
      <c r="AD392" s="105">
        <f t="shared" si="140"/>
        <v>0</v>
      </c>
      <c r="AE392" s="143"/>
      <c r="AF392" s="143"/>
      <c r="AG392" s="146"/>
      <c r="AH392" s="224" t="e">
        <f t="shared" si="141"/>
        <v>#REF!</v>
      </c>
      <c r="AI392" s="126"/>
      <c r="AJ392" s="274"/>
      <c r="AK392" s="274"/>
      <c r="AL392" s="126"/>
      <c r="AM392" s="126"/>
      <c r="AN392" s="126"/>
      <c r="AO392" s="126"/>
      <c r="AP392" s="274"/>
      <c r="AQ392" s="274"/>
      <c r="AR392" s="274"/>
      <c r="AS392" s="274"/>
      <c r="AT392" s="222">
        <f t="shared" si="142"/>
        <v>0</v>
      </c>
      <c r="AU392" s="140" t="e">
        <f t="shared" si="143"/>
        <v>#REF!</v>
      </c>
      <c r="AV392" s="132"/>
      <c r="AW392" s="140">
        <f t="shared" si="144"/>
        <v>0</v>
      </c>
      <c r="AX392" s="141"/>
      <c r="AY392" s="141"/>
      <c r="AZ392" s="141"/>
      <c r="BA392" s="141"/>
      <c r="BB392" s="141"/>
      <c r="BC392" s="130" t="e">
        <f t="shared" si="145"/>
        <v>#REF!</v>
      </c>
      <c r="BD392" s="132"/>
    </row>
    <row r="393" ht="14.25" customHeight="1">
      <c r="A393" s="132"/>
      <c r="B393" s="1506">
        <v>46374</v>
      </c>
      <c r="C393" s="136"/>
      <c r="D393" s="136"/>
      <c r="E393" s="135"/>
      <c r="F393" s="135"/>
      <c r="G393" s="147">
        <f t="shared" si="137"/>
        <v>0</v>
      </c>
      <c r="H393" s="144"/>
      <c r="I393" s="143"/>
      <c r="J393" s="143"/>
      <c r="K393" s="143"/>
      <c r="L393" s="143"/>
      <c r="M393" s="103">
        <f t="shared" si="138"/>
        <v>0</v>
      </c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03">
        <f t="shared" si="139"/>
        <v>0</v>
      </c>
      <c r="AA393" s="136"/>
      <c r="AB393" s="136"/>
      <c r="AC393" s="136"/>
      <c r="AD393" s="105">
        <f t="shared" si="140"/>
        <v>0</v>
      </c>
      <c r="AE393" s="143"/>
      <c r="AF393" s="143"/>
      <c r="AG393" s="146"/>
      <c r="AH393" s="224" t="e">
        <f t="shared" si="141"/>
        <v>#REF!</v>
      </c>
      <c r="AI393" s="126"/>
      <c r="AJ393" s="274"/>
      <c r="AK393" s="274"/>
      <c r="AL393" s="126"/>
      <c r="AM393" s="126"/>
      <c r="AN393" s="126"/>
      <c r="AO393" s="126"/>
      <c r="AP393" s="274"/>
      <c r="AQ393" s="274"/>
      <c r="AR393" s="274"/>
      <c r="AS393" s="274"/>
      <c r="AT393" s="222">
        <f t="shared" si="142"/>
        <v>0</v>
      </c>
      <c r="AU393" s="140" t="e">
        <f t="shared" si="143"/>
        <v>#REF!</v>
      </c>
      <c r="AV393" s="132"/>
      <c r="AW393" s="140">
        <f t="shared" si="144"/>
        <v>0</v>
      </c>
      <c r="AX393" s="141"/>
      <c r="AY393" s="141"/>
      <c r="AZ393" s="141"/>
      <c r="BA393" s="141"/>
      <c r="BB393" s="141"/>
      <c r="BC393" s="130" t="e">
        <f t="shared" si="145"/>
        <v>#REF!</v>
      </c>
      <c r="BD393" s="132"/>
    </row>
    <row r="394" ht="14.25" customHeight="1">
      <c r="A394" s="132"/>
      <c r="B394" s="1506">
        <v>46375</v>
      </c>
      <c r="C394" s="136"/>
      <c r="D394" s="136"/>
      <c r="E394" s="135"/>
      <c r="F394" s="135"/>
      <c r="G394" s="147">
        <f t="shared" si="137"/>
        <v>0</v>
      </c>
      <c r="H394" s="144"/>
      <c r="I394" s="143"/>
      <c r="J394" s="1517"/>
      <c r="K394" s="143"/>
      <c r="L394" s="143"/>
      <c r="M394" s="103">
        <f t="shared" si="138"/>
        <v>0</v>
      </c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03">
        <f t="shared" si="139"/>
        <v>0</v>
      </c>
      <c r="AA394" s="136"/>
      <c r="AB394" s="136"/>
      <c r="AC394" s="136"/>
      <c r="AD394" s="105">
        <f t="shared" si="140"/>
        <v>0</v>
      </c>
      <c r="AE394" s="143"/>
      <c r="AF394" s="143"/>
      <c r="AG394" s="146"/>
      <c r="AH394" s="224" t="e">
        <f t="shared" si="141"/>
        <v>#REF!</v>
      </c>
      <c r="AI394" s="126"/>
      <c r="AJ394" s="274"/>
      <c r="AK394" s="274"/>
      <c r="AL394" s="126"/>
      <c r="AM394" s="126"/>
      <c r="AN394" s="126"/>
      <c r="AO394" s="126"/>
      <c r="AP394" s="274"/>
      <c r="AQ394" s="274"/>
      <c r="AR394" s="274"/>
      <c r="AS394" s="274"/>
      <c r="AT394" s="222">
        <f t="shared" si="142"/>
        <v>0</v>
      </c>
      <c r="AU394" s="140" t="e">
        <f t="shared" si="143"/>
        <v>#REF!</v>
      </c>
      <c r="AV394" s="132"/>
      <c r="AW394" s="140">
        <f t="shared" si="144"/>
        <v>0</v>
      </c>
      <c r="AX394" s="141"/>
      <c r="AY394" s="141"/>
      <c r="AZ394" s="141"/>
      <c r="BA394" s="141"/>
      <c r="BB394" s="141"/>
      <c r="BC394" s="130" t="e">
        <f t="shared" si="145"/>
        <v>#REF!</v>
      </c>
      <c r="BD394" s="132"/>
    </row>
    <row r="395" ht="14.25" customHeight="1">
      <c r="A395" s="132"/>
      <c r="B395" s="1506">
        <v>46376</v>
      </c>
      <c r="C395" s="136"/>
      <c r="D395" s="136"/>
      <c r="E395" s="135"/>
      <c r="F395" s="135"/>
      <c r="G395" s="147">
        <f t="shared" si="137"/>
        <v>0</v>
      </c>
      <c r="H395" s="144"/>
      <c r="I395" s="143"/>
      <c r="J395" s="1517"/>
      <c r="K395" s="143"/>
      <c r="L395" s="143"/>
      <c r="M395" s="103">
        <f t="shared" si="138"/>
        <v>0</v>
      </c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03">
        <f t="shared" si="139"/>
        <v>0</v>
      </c>
      <c r="AA395" s="136"/>
      <c r="AB395" s="136"/>
      <c r="AC395" s="136"/>
      <c r="AD395" s="105">
        <f t="shared" si="140"/>
        <v>0</v>
      </c>
      <c r="AE395" s="143"/>
      <c r="AF395" s="143"/>
      <c r="AG395" s="146"/>
      <c r="AH395" s="224" t="e">
        <f t="shared" si="141"/>
        <v>#REF!</v>
      </c>
      <c r="AI395" s="126"/>
      <c r="AJ395" s="274"/>
      <c r="AK395" s="274"/>
      <c r="AL395" s="126"/>
      <c r="AM395" s="126"/>
      <c r="AN395" s="126"/>
      <c r="AO395" s="126"/>
      <c r="AP395" s="274"/>
      <c r="AQ395" s="274"/>
      <c r="AR395" s="274"/>
      <c r="AS395" s="274"/>
      <c r="AT395" s="222">
        <f t="shared" si="142"/>
        <v>0</v>
      </c>
      <c r="AU395" s="140" t="e">
        <f t="shared" si="143"/>
        <v>#REF!</v>
      </c>
      <c r="AV395" s="132"/>
      <c r="AW395" s="140">
        <f t="shared" si="144"/>
        <v>0</v>
      </c>
      <c r="AX395" s="141"/>
      <c r="AY395" s="141"/>
      <c r="AZ395" s="141"/>
      <c r="BA395" s="141"/>
      <c r="BB395" s="141"/>
      <c r="BC395" s="130" t="e">
        <f t="shared" si="145"/>
        <v>#REF!</v>
      </c>
      <c r="BD395" s="132"/>
    </row>
    <row r="396" ht="14.25" customHeight="1">
      <c r="A396" s="132"/>
      <c r="B396" s="1506">
        <v>46377</v>
      </c>
      <c r="C396" s="136"/>
      <c r="D396" s="136"/>
      <c r="E396" s="135"/>
      <c r="F396" s="135"/>
      <c r="G396" s="147">
        <f t="shared" si="137"/>
        <v>0</v>
      </c>
      <c r="H396" s="144"/>
      <c r="I396" s="143"/>
      <c r="J396" s="1517"/>
      <c r="K396" s="143"/>
      <c r="L396" s="143"/>
      <c r="M396" s="103">
        <f t="shared" si="138"/>
        <v>0</v>
      </c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03">
        <f t="shared" si="139"/>
        <v>0</v>
      </c>
      <c r="AA396" s="136"/>
      <c r="AB396" s="136"/>
      <c r="AC396" s="136"/>
      <c r="AD396" s="105">
        <f t="shared" si="140"/>
        <v>0</v>
      </c>
      <c r="AE396" s="143"/>
      <c r="AF396" s="143"/>
      <c r="AG396" s="146"/>
      <c r="AH396" s="224" t="e">
        <f t="shared" si="141"/>
        <v>#REF!</v>
      </c>
      <c r="AI396" s="126"/>
      <c r="AJ396" s="274"/>
      <c r="AK396" s="274"/>
      <c r="AL396" s="126"/>
      <c r="AM396" s="126"/>
      <c r="AN396" s="126"/>
      <c r="AO396" s="126"/>
      <c r="AP396" s="274"/>
      <c r="AQ396" s="274"/>
      <c r="AR396" s="274"/>
      <c r="AS396" s="274"/>
      <c r="AT396" s="222">
        <f t="shared" si="142"/>
        <v>0</v>
      </c>
      <c r="AU396" s="140" t="e">
        <f t="shared" si="143"/>
        <v>#REF!</v>
      </c>
      <c r="AV396" s="132"/>
      <c r="AW396" s="140">
        <f t="shared" si="144"/>
        <v>0</v>
      </c>
      <c r="AX396" s="141"/>
      <c r="AY396" s="141"/>
      <c r="AZ396" s="141"/>
      <c r="BA396" s="141"/>
      <c r="BB396" s="141"/>
      <c r="BC396" s="130" t="e">
        <f t="shared" si="145"/>
        <v>#REF!</v>
      </c>
      <c r="BD396" s="132"/>
    </row>
    <row r="397" ht="12.75" customHeight="1">
      <c r="A397" s="132"/>
      <c r="B397" s="1506">
        <v>46378</v>
      </c>
      <c r="C397" s="136"/>
      <c r="D397" s="136"/>
      <c r="E397" s="135"/>
      <c r="F397" s="135"/>
      <c r="G397" s="147">
        <f t="shared" si="137"/>
        <v>0</v>
      </c>
      <c r="H397" s="144"/>
      <c r="I397" s="143"/>
      <c r="J397" s="143"/>
      <c r="K397" s="143"/>
      <c r="L397" s="143"/>
      <c r="M397" s="103">
        <f t="shared" si="138"/>
        <v>0</v>
      </c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03">
        <f t="shared" si="139"/>
        <v>0</v>
      </c>
      <c r="AA397" s="136"/>
      <c r="AB397" s="136"/>
      <c r="AC397" s="136"/>
      <c r="AD397" s="105">
        <f t="shared" si="140"/>
        <v>0</v>
      </c>
      <c r="AE397" s="143"/>
      <c r="AF397" s="143"/>
      <c r="AG397" s="146"/>
      <c r="AH397" s="224" t="e">
        <f t="shared" si="141"/>
        <v>#REF!</v>
      </c>
      <c r="AI397" s="126"/>
      <c r="AJ397" s="274"/>
      <c r="AK397" s="274"/>
      <c r="AL397" s="126"/>
      <c r="AM397" s="126"/>
      <c r="AN397" s="126"/>
      <c r="AO397" s="126"/>
      <c r="AP397" s="274"/>
      <c r="AQ397" s="274"/>
      <c r="AR397" s="274"/>
      <c r="AS397" s="274"/>
      <c r="AT397" s="222">
        <f t="shared" si="142"/>
        <v>0</v>
      </c>
      <c r="AU397" s="140" t="e">
        <f t="shared" si="143"/>
        <v>#REF!</v>
      </c>
      <c r="AV397" s="132"/>
      <c r="AW397" s="140">
        <f t="shared" si="144"/>
        <v>0</v>
      </c>
      <c r="AX397" s="141"/>
      <c r="AY397" s="141"/>
      <c r="AZ397" s="141"/>
      <c r="BA397" s="141"/>
      <c r="BB397" s="141"/>
      <c r="BC397" s="130" t="e">
        <f t="shared" si="145"/>
        <v>#REF!</v>
      </c>
      <c r="BD397" s="132"/>
    </row>
    <row r="398" ht="15.75" customHeight="1">
      <c r="A398" s="132"/>
      <c r="B398" s="1506">
        <v>46379</v>
      </c>
      <c r="C398" s="136"/>
      <c r="D398" s="136"/>
      <c r="E398" s="135"/>
      <c r="F398" s="135"/>
      <c r="G398" s="147">
        <f t="shared" si="137"/>
        <v>0</v>
      </c>
      <c r="H398" s="144"/>
      <c r="I398" s="143"/>
      <c r="J398" s="1517"/>
      <c r="K398" s="143"/>
      <c r="L398" s="143"/>
      <c r="M398" s="103">
        <f t="shared" si="138"/>
        <v>0</v>
      </c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03">
        <f t="shared" si="139"/>
        <v>0</v>
      </c>
      <c r="AA398" s="136"/>
      <c r="AB398" s="136"/>
      <c r="AC398" s="136"/>
      <c r="AD398" s="105">
        <f t="shared" si="140"/>
        <v>0</v>
      </c>
      <c r="AE398" s="143"/>
      <c r="AF398" s="143"/>
      <c r="AG398" s="146"/>
      <c r="AH398" s="224" t="e">
        <f t="shared" si="141"/>
        <v>#REF!</v>
      </c>
      <c r="AI398" s="126"/>
      <c r="AJ398" s="274"/>
      <c r="AK398" s="274"/>
      <c r="AL398" s="126"/>
      <c r="AM398" s="126"/>
      <c r="AN398" s="126"/>
      <c r="AO398" s="126"/>
      <c r="AP398" s="274"/>
      <c r="AQ398" s="274"/>
      <c r="AR398" s="274"/>
      <c r="AS398" s="274"/>
      <c r="AT398" s="222">
        <f t="shared" si="142"/>
        <v>0</v>
      </c>
      <c r="AU398" s="140" t="e">
        <f t="shared" si="143"/>
        <v>#REF!</v>
      </c>
      <c r="AV398" s="132"/>
      <c r="AW398" s="140">
        <f t="shared" si="144"/>
        <v>0</v>
      </c>
      <c r="AX398" s="141"/>
      <c r="AY398" s="141"/>
      <c r="AZ398" s="141"/>
      <c r="BA398" s="141"/>
      <c r="BB398" s="141"/>
      <c r="BC398" s="130" t="e">
        <f t="shared" si="145"/>
        <v>#REF!</v>
      </c>
      <c r="BD398" s="132"/>
    </row>
    <row r="399" ht="14.25" customHeight="1">
      <c r="A399" s="132"/>
      <c r="B399" s="1506">
        <v>46380</v>
      </c>
      <c r="C399" s="136"/>
      <c r="D399" s="136"/>
      <c r="E399" s="135"/>
      <c r="F399" s="135"/>
      <c r="G399" s="147">
        <f t="shared" si="137"/>
        <v>0</v>
      </c>
      <c r="H399" s="144"/>
      <c r="I399" s="143"/>
      <c r="J399" s="143"/>
      <c r="K399" s="143"/>
      <c r="L399" s="143"/>
      <c r="M399" s="103">
        <f t="shared" si="138"/>
        <v>0</v>
      </c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03">
        <f t="shared" si="139"/>
        <v>0</v>
      </c>
      <c r="AA399" s="136"/>
      <c r="AB399" s="136"/>
      <c r="AC399" s="136"/>
      <c r="AD399" s="105">
        <f t="shared" si="140"/>
        <v>0</v>
      </c>
      <c r="AE399" s="143"/>
      <c r="AF399" s="143"/>
      <c r="AG399" s="146"/>
      <c r="AH399" s="224" t="e">
        <f t="shared" si="141"/>
        <v>#REF!</v>
      </c>
      <c r="AI399" s="126"/>
      <c r="AJ399" s="274"/>
      <c r="AK399" s="274"/>
      <c r="AL399" s="126"/>
      <c r="AM399" s="126"/>
      <c r="AN399" s="126"/>
      <c r="AO399" s="126"/>
      <c r="AP399" s="274"/>
      <c r="AQ399" s="274"/>
      <c r="AR399" s="274"/>
      <c r="AS399" s="274"/>
      <c r="AT399" s="222">
        <f t="shared" si="142"/>
        <v>0</v>
      </c>
      <c r="AU399" s="140" t="e">
        <f t="shared" si="143"/>
        <v>#REF!</v>
      </c>
      <c r="AV399" s="132"/>
      <c r="AW399" s="140">
        <f t="shared" si="144"/>
        <v>0</v>
      </c>
      <c r="AX399" s="141"/>
      <c r="AY399" s="141"/>
      <c r="AZ399" s="141"/>
      <c r="BA399" s="141"/>
      <c r="BB399" s="141"/>
      <c r="BC399" s="130" t="e">
        <f t="shared" si="145"/>
        <v>#REF!</v>
      </c>
      <c r="BD399" s="132"/>
    </row>
    <row r="400" ht="14.25" customHeight="1">
      <c r="A400" s="132"/>
      <c r="B400" s="1506">
        <v>46381</v>
      </c>
      <c r="C400" s="136"/>
      <c r="D400" s="136"/>
      <c r="E400" s="135"/>
      <c r="F400" s="135"/>
      <c r="G400" s="147">
        <f t="shared" si="137"/>
        <v>0</v>
      </c>
      <c r="H400" s="144"/>
      <c r="I400" s="143"/>
      <c r="J400" s="143"/>
      <c r="K400" s="143"/>
      <c r="L400" s="143"/>
      <c r="M400" s="103">
        <f t="shared" si="138"/>
        <v>0</v>
      </c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03">
        <f t="shared" si="139"/>
        <v>0</v>
      </c>
      <c r="AA400" s="136"/>
      <c r="AB400" s="136"/>
      <c r="AC400" s="136"/>
      <c r="AD400" s="105">
        <f t="shared" si="140"/>
        <v>0</v>
      </c>
      <c r="AE400" s="143"/>
      <c r="AF400" s="143"/>
      <c r="AG400" s="146"/>
      <c r="AH400" s="224" t="e">
        <f t="shared" si="141"/>
        <v>#REF!</v>
      </c>
      <c r="AI400" s="126"/>
      <c r="AJ400" s="274"/>
      <c r="AK400" s="274"/>
      <c r="AL400" s="126"/>
      <c r="AM400" s="126"/>
      <c r="AN400" s="126"/>
      <c r="AO400" s="126"/>
      <c r="AP400" s="274"/>
      <c r="AQ400" s="274"/>
      <c r="AR400" s="274"/>
      <c r="AS400" s="274"/>
      <c r="AT400" s="222">
        <f t="shared" si="142"/>
        <v>0</v>
      </c>
      <c r="AU400" s="140" t="e">
        <f t="shared" si="143"/>
        <v>#REF!</v>
      </c>
      <c r="AV400" s="132"/>
      <c r="AW400" s="140">
        <f t="shared" si="144"/>
        <v>0</v>
      </c>
      <c r="AX400" s="141"/>
      <c r="AY400" s="141"/>
      <c r="AZ400" s="141"/>
      <c r="BA400" s="141"/>
      <c r="BB400" s="141"/>
      <c r="BC400" s="130" t="e">
        <f t="shared" si="145"/>
        <v>#REF!</v>
      </c>
      <c r="BD400" s="132"/>
    </row>
    <row r="401" ht="14.25" customHeight="1">
      <c r="A401" s="132"/>
      <c r="B401" s="1506">
        <v>46382</v>
      </c>
      <c r="C401" s="136"/>
      <c r="D401" s="136"/>
      <c r="E401" s="135"/>
      <c r="F401" s="135"/>
      <c r="G401" s="147">
        <f t="shared" si="137"/>
        <v>0</v>
      </c>
      <c r="H401" s="144"/>
      <c r="I401" s="143"/>
      <c r="J401" s="143"/>
      <c r="K401" s="143"/>
      <c r="L401" s="143"/>
      <c r="M401" s="103">
        <f t="shared" si="138"/>
        <v>0</v>
      </c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03">
        <f t="shared" si="139"/>
        <v>0</v>
      </c>
      <c r="AA401" s="136"/>
      <c r="AB401" s="136"/>
      <c r="AC401" s="136"/>
      <c r="AD401" s="105">
        <f t="shared" si="140"/>
        <v>0</v>
      </c>
      <c r="AE401" s="143"/>
      <c r="AF401" s="143"/>
      <c r="AG401" s="146"/>
      <c r="AH401" s="224" t="e">
        <f t="shared" si="141"/>
        <v>#REF!</v>
      </c>
      <c r="AI401" s="126"/>
      <c r="AJ401" s="274"/>
      <c r="AK401" s="274"/>
      <c r="AL401" s="126"/>
      <c r="AM401" s="126"/>
      <c r="AN401" s="126"/>
      <c r="AO401" s="126"/>
      <c r="AP401" s="274"/>
      <c r="AQ401" s="274"/>
      <c r="AR401" s="274"/>
      <c r="AS401" s="274"/>
      <c r="AT401" s="222">
        <f t="shared" si="142"/>
        <v>0</v>
      </c>
      <c r="AU401" s="140" t="e">
        <f t="shared" si="143"/>
        <v>#REF!</v>
      </c>
      <c r="AV401" s="132"/>
      <c r="AW401" s="140">
        <f t="shared" si="144"/>
        <v>0</v>
      </c>
      <c r="AX401" s="141"/>
      <c r="AY401" s="141"/>
      <c r="AZ401" s="141"/>
      <c r="BA401" s="141"/>
      <c r="BB401" s="141"/>
      <c r="BC401" s="130" t="e">
        <f t="shared" si="145"/>
        <v>#REF!</v>
      </c>
      <c r="BD401" s="132"/>
    </row>
    <row r="402" ht="14.25" customHeight="1">
      <c r="A402" s="132"/>
      <c r="B402" s="1506">
        <v>46383</v>
      </c>
      <c r="C402" s="136"/>
      <c r="D402" s="136"/>
      <c r="E402" s="135"/>
      <c r="F402" s="135"/>
      <c r="G402" s="147">
        <f t="shared" si="137"/>
        <v>0</v>
      </c>
      <c r="H402" s="144"/>
      <c r="I402" s="143"/>
      <c r="J402" s="143"/>
      <c r="K402" s="143"/>
      <c r="L402" s="143"/>
      <c r="M402" s="103">
        <f t="shared" si="138"/>
        <v>0</v>
      </c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03">
        <f t="shared" si="139"/>
        <v>0</v>
      </c>
      <c r="AA402" s="136"/>
      <c r="AB402" s="136"/>
      <c r="AC402" s="136"/>
      <c r="AD402" s="105">
        <f t="shared" si="140"/>
        <v>0</v>
      </c>
      <c r="AE402" s="143"/>
      <c r="AF402" s="143"/>
      <c r="AG402" s="146"/>
      <c r="AH402" s="224" t="e">
        <f t="shared" si="141"/>
        <v>#REF!</v>
      </c>
      <c r="AI402" s="126"/>
      <c r="AJ402" s="274"/>
      <c r="AK402" s="274"/>
      <c r="AL402" s="126"/>
      <c r="AM402" s="126"/>
      <c r="AN402" s="126"/>
      <c r="AO402" s="126"/>
      <c r="AP402" s="274"/>
      <c r="AQ402" s="274"/>
      <c r="AR402" s="274"/>
      <c r="AS402" s="274"/>
      <c r="AT402" s="222">
        <f t="shared" si="142"/>
        <v>0</v>
      </c>
      <c r="AU402" s="140" t="e">
        <f t="shared" si="143"/>
        <v>#REF!</v>
      </c>
      <c r="AV402" s="132"/>
      <c r="AW402" s="140">
        <f t="shared" si="144"/>
        <v>0</v>
      </c>
      <c r="AX402" s="141"/>
      <c r="AY402" s="141"/>
      <c r="AZ402" s="141"/>
      <c r="BA402" s="141"/>
      <c r="BB402" s="141"/>
      <c r="BC402" s="130" t="e">
        <f t="shared" si="145"/>
        <v>#REF!</v>
      </c>
      <c r="BD402" s="132"/>
    </row>
    <row r="403" ht="14.25" customHeight="1">
      <c r="A403" s="132"/>
      <c r="B403" s="1506">
        <v>46384</v>
      </c>
      <c r="C403" s="136"/>
      <c r="D403" s="136"/>
      <c r="E403" s="135"/>
      <c r="F403" s="135"/>
      <c r="G403" s="147">
        <f t="shared" si="137"/>
        <v>0</v>
      </c>
      <c r="H403" s="144"/>
      <c r="I403" s="143"/>
      <c r="J403" s="143"/>
      <c r="K403" s="143"/>
      <c r="L403" s="143"/>
      <c r="M403" s="103">
        <f t="shared" si="138"/>
        <v>0</v>
      </c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03">
        <f t="shared" si="139"/>
        <v>0</v>
      </c>
      <c r="AA403" s="136"/>
      <c r="AB403" s="136"/>
      <c r="AC403" s="136"/>
      <c r="AD403" s="105">
        <f t="shared" si="140"/>
        <v>0</v>
      </c>
      <c r="AE403" s="143"/>
      <c r="AF403" s="143"/>
      <c r="AG403" s="146"/>
      <c r="AH403" s="224" t="e">
        <f t="shared" si="141"/>
        <v>#REF!</v>
      </c>
      <c r="AI403" s="126"/>
      <c r="AJ403" s="274"/>
      <c r="AK403" s="274"/>
      <c r="AL403" s="126"/>
      <c r="AM403" s="126"/>
      <c r="AN403" s="126"/>
      <c r="AO403" s="126"/>
      <c r="AP403" s="274"/>
      <c r="AQ403" s="274"/>
      <c r="AR403" s="274"/>
      <c r="AS403" s="274"/>
      <c r="AT403" s="222">
        <f t="shared" si="142"/>
        <v>0</v>
      </c>
      <c r="AU403" s="140" t="e">
        <f t="shared" si="143"/>
        <v>#REF!</v>
      </c>
      <c r="AV403" s="132"/>
      <c r="AW403" s="140">
        <f t="shared" si="144"/>
        <v>0</v>
      </c>
      <c r="AX403" s="141"/>
      <c r="AY403" s="141"/>
      <c r="AZ403" s="141"/>
      <c r="BA403" s="141"/>
      <c r="BB403" s="141"/>
      <c r="BC403" s="130" t="e">
        <f t="shared" si="145"/>
        <v>#REF!</v>
      </c>
      <c r="BD403" s="132"/>
    </row>
    <row r="404" ht="14.25" customHeight="1">
      <c r="A404" s="132"/>
      <c r="B404" s="1506">
        <v>46385</v>
      </c>
      <c r="C404" s="136"/>
      <c r="D404" s="136"/>
      <c r="E404" s="135"/>
      <c r="F404" s="135"/>
      <c r="G404" s="147">
        <f t="shared" si="137"/>
        <v>0</v>
      </c>
      <c r="H404" s="144"/>
      <c r="I404" s="143"/>
      <c r="J404" s="143"/>
      <c r="K404" s="143"/>
      <c r="L404" s="143"/>
      <c r="M404" s="103">
        <f t="shared" si="138"/>
        <v>0</v>
      </c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03">
        <f t="shared" si="139"/>
        <v>0</v>
      </c>
      <c r="AA404" s="136"/>
      <c r="AB404" s="136"/>
      <c r="AC404" s="136"/>
      <c r="AD404" s="105">
        <f t="shared" si="140"/>
        <v>0</v>
      </c>
      <c r="AE404" s="143"/>
      <c r="AF404" s="143"/>
      <c r="AG404" s="146"/>
      <c r="AH404" s="224" t="e">
        <f t="shared" si="141"/>
        <v>#REF!</v>
      </c>
      <c r="AI404" s="126"/>
      <c r="AJ404" s="274"/>
      <c r="AK404" s="274"/>
      <c r="AL404" s="126"/>
      <c r="AM404" s="126"/>
      <c r="AN404" s="126"/>
      <c r="AO404" s="126"/>
      <c r="AP404" s="274"/>
      <c r="AQ404" s="274"/>
      <c r="AR404" s="274"/>
      <c r="AS404" s="274"/>
      <c r="AT404" s="222">
        <f t="shared" si="142"/>
        <v>0</v>
      </c>
      <c r="AU404" s="140" t="e">
        <f t="shared" si="143"/>
        <v>#REF!</v>
      </c>
      <c r="AV404" s="132"/>
      <c r="AW404" s="140">
        <f t="shared" si="144"/>
        <v>0</v>
      </c>
      <c r="AX404" s="141"/>
      <c r="AY404" s="141"/>
      <c r="AZ404" s="141"/>
      <c r="BA404" s="141"/>
      <c r="BB404" s="141"/>
      <c r="BC404" s="130" t="e">
        <f t="shared" si="145"/>
        <v>#REF!</v>
      </c>
      <c r="BD404" s="132"/>
    </row>
    <row r="405" ht="14.25" customHeight="1">
      <c r="A405" s="132"/>
      <c r="B405" s="1506">
        <v>46386</v>
      </c>
      <c r="C405" s="136"/>
      <c r="D405" s="136"/>
      <c r="E405" s="135"/>
      <c r="F405" s="135"/>
      <c r="G405" s="147">
        <f t="shared" si="137"/>
        <v>0</v>
      </c>
      <c r="H405" s="144"/>
      <c r="I405" s="143"/>
      <c r="J405" s="143"/>
      <c r="K405" s="143"/>
      <c r="L405" s="143"/>
      <c r="M405" s="103">
        <f t="shared" si="138"/>
        <v>0</v>
      </c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03">
        <f t="shared" si="139"/>
        <v>0</v>
      </c>
      <c r="AA405" s="136"/>
      <c r="AB405" s="136"/>
      <c r="AC405" s="136"/>
      <c r="AD405" s="105">
        <f t="shared" si="140"/>
        <v>0</v>
      </c>
      <c r="AE405" s="143"/>
      <c r="AF405" s="143"/>
      <c r="AG405" s="146"/>
      <c r="AH405" s="224" t="e">
        <f t="shared" si="141"/>
        <v>#REF!</v>
      </c>
      <c r="AI405" s="126"/>
      <c r="AJ405" s="274"/>
      <c r="AK405" s="274"/>
      <c r="AL405" s="126"/>
      <c r="AM405" s="126"/>
      <c r="AN405" s="126"/>
      <c r="AO405" s="126"/>
      <c r="AP405" s="274"/>
      <c r="AQ405" s="274"/>
      <c r="AR405" s="274"/>
      <c r="AS405" s="274"/>
      <c r="AT405" s="222">
        <f t="shared" si="142"/>
        <v>0</v>
      </c>
      <c r="AU405" s="140" t="e">
        <f t="shared" si="143"/>
        <v>#REF!</v>
      </c>
      <c r="AV405" s="132"/>
      <c r="AW405" s="140">
        <f t="shared" si="144"/>
        <v>0</v>
      </c>
      <c r="AX405" s="141"/>
      <c r="AY405" s="141"/>
      <c r="AZ405" s="141"/>
      <c r="BA405" s="141"/>
      <c r="BB405" s="141"/>
      <c r="BC405" s="130" t="e">
        <f t="shared" si="145"/>
        <v>#REF!</v>
      </c>
      <c r="BD405" s="132"/>
    </row>
    <row r="406" ht="14.25" customHeight="1">
      <c r="A406" s="132"/>
      <c r="B406" s="1506">
        <v>46387</v>
      </c>
      <c r="C406" s="159"/>
      <c r="D406" s="159"/>
      <c r="E406" s="156"/>
      <c r="F406" s="156"/>
      <c r="G406" s="147">
        <f t="shared" si="137"/>
        <v>0</v>
      </c>
      <c r="H406" s="612"/>
      <c r="I406" s="157"/>
      <c r="J406" s="1517"/>
      <c r="K406" s="157"/>
      <c r="L406" s="157"/>
      <c r="M406" s="103">
        <f t="shared" si="138"/>
        <v>0</v>
      </c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03">
        <f t="shared" si="139"/>
        <v>0</v>
      </c>
      <c r="AA406" s="159"/>
      <c r="AB406" s="159"/>
      <c r="AC406" s="159"/>
      <c r="AD406" s="105">
        <f t="shared" si="140"/>
        <v>0</v>
      </c>
      <c r="AE406" s="157"/>
      <c r="AF406" s="157"/>
      <c r="AG406" s="160"/>
      <c r="AH406" s="224" t="e">
        <f t="shared" si="141"/>
        <v>#REF!</v>
      </c>
      <c r="AI406" s="138"/>
      <c r="AJ406" s="296"/>
      <c r="AK406" s="296"/>
      <c r="AL406" s="138"/>
      <c r="AM406" s="126"/>
      <c r="AN406" s="126"/>
      <c r="AO406" s="138"/>
      <c r="AP406" s="296"/>
      <c r="AQ406" s="296"/>
      <c r="AR406" s="296"/>
      <c r="AS406" s="296"/>
      <c r="AT406" s="222">
        <f t="shared" si="142"/>
        <v>0</v>
      </c>
      <c r="AU406" s="162" t="e">
        <f t="shared" si="143"/>
        <v>#REF!</v>
      </c>
      <c r="AV406" s="132"/>
      <c r="AW406" s="162">
        <f t="shared" si="144"/>
        <v>0</v>
      </c>
      <c r="AX406" s="163"/>
      <c r="AY406" s="163"/>
      <c r="AZ406" s="141"/>
      <c r="BA406" s="163"/>
      <c r="BB406" s="163"/>
      <c r="BC406" s="164" t="e">
        <f t="shared" si="145"/>
        <v>#REF!</v>
      </c>
      <c r="BD406" s="132"/>
    </row>
    <row r="407" ht="14.25" customHeight="1">
      <c r="A407" s="3"/>
      <c r="B407" s="1495"/>
      <c r="C407" s="166">
        <f ref="C407:AP407" t="shared" si="146">SUM(C376:C406)</f>
        <v>0</v>
      </c>
      <c r="D407" s="166">
        <f t="shared" si="146"/>
        <v>0</v>
      </c>
      <c r="E407" s="167">
        <f t="shared" si="146"/>
        <v>0</v>
      </c>
      <c r="F407" s="167">
        <f t="shared" si="146"/>
        <v>0</v>
      </c>
      <c r="G407" s="167">
        <f t="shared" si="146"/>
        <v>0</v>
      </c>
      <c r="H407" s="167">
        <f t="shared" si="146"/>
        <v>0</v>
      </c>
      <c r="I407" s="167">
        <f t="shared" si="146"/>
        <v>0</v>
      </c>
      <c r="J407" s="166">
        <f t="shared" si="146"/>
        <v>0</v>
      </c>
      <c r="K407" s="166">
        <f t="shared" si="146"/>
        <v>0</v>
      </c>
      <c r="L407" s="166">
        <f t="shared" si="146"/>
        <v>0</v>
      </c>
      <c r="M407" s="166">
        <f t="shared" si="146"/>
        <v>0</v>
      </c>
      <c r="N407" s="166">
        <f t="shared" si="146"/>
        <v>0</v>
      </c>
      <c r="O407" s="166">
        <f t="shared" si="146"/>
        <v>0</v>
      </c>
      <c r="P407" s="166">
        <f t="shared" si="146"/>
        <v>0</v>
      </c>
      <c r="Q407" s="166">
        <f t="shared" si="146"/>
        <v>0</v>
      </c>
      <c r="R407" s="166">
        <f t="shared" si="146"/>
        <v>0</v>
      </c>
      <c r="S407" s="166">
        <f t="shared" si="146"/>
        <v>0</v>
      </c>
      <c r="T407" s="166">
        <f t="shared" si="146"/>
        <v>0</v>
      </c>
      <c r="U407" s="166">
        <f t="shared" si="146"/>
        <v>0</v>
      </c>
      <c r="V407" s="166">
        <f t="shared" si="146"/>
        <v>0</v>
      </c>
      <c r="W407" s="166">
        <f t="shared" si="146"/>
        <v>0</v>
      </c>
      <c r="X407" s="166">
        <f t="shared" si="146"/>
        <v>0</v>
      </c>
      <c r="Y407" s="166">
        <f t="shared" si="146"/>
        <v>0</v>
      </c>
      <c r="Z407" s="166">
        <f t="shared" si="146"/>
        <v>0</v>
      </c>
      <c r="AA407" s="166">
        <f t="shared" si="146"/>
        <v>0</v>
      </c>
      <c r="AB407" s="166">
        <f t="shared" si="146"/>
        <v>0</v>
      </c>
      <c r="AC407" s="166">
        <f t="shared" si="146"/>
        <v>0</v>
      </c>
      <c r="AD407" s="166">
        <f t="shared" si="146"/>
        <v>0</v>
      </c>
      <c r="AE407" s="166">
        <f t="shared" si="146"/>
        <v>0</v>
      </c>
      <c r="AF407" s="166">
        <f t="shared" si="146"/>
        <v>0</v>
      </c>
      <c r="AG407" s="167">
        <f t="shared" si="146"/>
        <v>0</v>
      </c>
      <c r="AH407" s="771" t="e">
        <f t="shared" si="146"/>
        <v>#REF!</v>
      </c>
      <c r="AI407" s="669">
        <f t="shared" si="146"/>
        <v>0</v>
      </c>
      <c r="AJ407" s="165">
        <f t="shared" si="146"/>
        <v>0</v>
      </c>
      <c r="AK407" s="166">
        <f t="shared" si="146"/>
        <v>0</v>
      </c>
      <c r="AL407" s="166">
        <f t="shared" si="146"/>
        <v>0</v>
      </c>
      <c r="AM407" s="166">
        <f t="shared" si="146"/>
        <v>0</v>
      </c>
      <c r="AN407" s="166">
        <f t="shared" si="146"/>
        <v>0</v>
      </c>
      <c r="AO407" s="167">
        <f t="shared" si="146"/>
        <v>0</v>
      </c>
      <c r="AP407" s="167">
        <f t="shared" si="146"/>
        <v>0</v>
      </c>
      <c r="AQ407" s="167"/>
      <c r="AR407" s="167">
        <f ref="AR407:AU407" t="shared" si="147">SUM(AR376:AR406)</f>
        <v>0</v>
      </c>
      <c r="AS407" s="167">
        <f t="shared" si="147"/>
        <v>0</v>
      </c>
      <c r="AT407" s="166">
        <f t="shared" si="147"/>
        <v>0</v>
      </c>
      <c r="AU407" s="166" t="e">
        <f t="shared" si="147"/>
        <v>#REF!</v>
      </c>
      <c r="AV407" s="3"/>
      <c r="AW407" s="172">
        <f ref="AW407:BA407" t="shared" si="148">SUM(AW376:AW406)</f>
        <v>0</v>
      </c>
      <c r="AX407" s="165">
        <f t="shared" si="148"/>
        <v>0</v>
      </c>
      <c r="AY407" s="165">
        <f t="shared" si="148"/>
        <v>0</v>
      </c>
      <c r="AZ407" s="166">
        <f t="shared" si="148"/>
        <v>0</v>
      </c>
      <c r="BA407" s="165">
        <f t="shared" si="148"/>
        <v>0</v>
      </c>
      <c r="BB407" s="165"/>
      <c r="BC407" s="173"/>
      <c r="BD407" s="3"/>
    </row>
  </sheetData>
  <pageMargins left="0.7" right="0.7" top="0.75" bottom="0.75" header="0" footer="0"/>
  <pageSetup orientation="portrait"/>
  <headerFooter/>
  <legacyDrawing r:id="rId1"/>
</worksheet>
</file>

<file path=EPPlusLicense.txt>This workbook was created with the EPPlus library, licensed to PETROBOT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01. PUENTE P.</vt:lpstr>
      <vt:lpstr>04. CHILCA</vt:lpstr>
      <vt:lpstr>32. BRASIL</vt:lpstr>
      <vt:lpstr>14.VIRU</vt:lpstr>
      <vt:lpstr>43. MAKITA</vt:lpstr>
      <vt:lpstr>44.SAN PABLO</vt:lpstr>
      <vt:lpstr>54. HUANCHACO</vt:lpstr>
      <vt:lpstr>55.ENACE</vt:lpstr>
      <vt:lpstr>56. ACAPULCO</vt:lpstr>
      <vt:lpstr>28. CATACAOS</vt:lpstr>
      <vt:lpstr>50.TULIS</vt:lpstr>
      <vt:lpstr>31. SAN MARCOS</vt:lpstr>
      <vt:lpstr>35. MARIA EUGENIA</vt:lpstr>
      <vt:lpstr>60. VELITA</vt:lpstr>
      <vt:lpstr>49. QUISTOCOCHA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PETROBOT</dc:creator>
  <cp:lastModifiedBy>Kevin Barreda Portillo</cp:lastModifiedBy>
  <dcterms:created xsi:type="dcterms:W3CDTF">2021-02-10T15:12:46Z</dcterms:created>
  <dcterms:modified xsi:type="dcterms:W3CDTF">2026-05-25T02:30:47Z</dcterms:modified>
  <cp:keywords>EPPlus noncommercial use</cp:keywords>
  <dc:description>This workbook has been created with EPPlus licensed to PETROBOT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